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kimjihwan/Desktop/KOEN/251123_SIF 분석/260302_SIF 프로그램/"/>
    </mc:Choice>
  </mc:AlternateContent>
  <xr:revisionPtr revIDLastSave="0" documentId="13_ncr:1_{6D759CB5-1E07-C545-85EE-524D157D0201}" xr6:coauthVersionLast="47" xr6:coauthVersionMax="47" xr10:uidLastSave="{00000000-0000-0000-0000-000000000000}"/>
  <bookViews>
    <workbookView xWindow="0" yWindow="660" windowWidth="30240" windowHeight="18980" xr2:uid="{FE2594BF-EE6C-1045-9868-FB56C4C9FB5E}"/>
  </bookViews>
  <sheets>
    <sheet name="③공정조회" sheetId="20" r:id="rId1"/>
    <sheet name="③기인물조회" sheetId="21" r:id="rId2"/>
    <sheet name="DB" sheetId="1" r:id="rId3"/>
    <sheet name="공종별 재해건수" sheetId="2" r:id="rId4"/>
    <sheet name="공정별-기인물" sheetId="12" r:id="rId5"/>
    <sheet name="공정별-기인물_분석" sheetId="16" r:id="rId6"/>
    <sheet name="기인물 재해건수" sheetId="5" r:id="rId7"/>
    <sheet name="기인물-재해형태" sheetId="11" r:id="rId8"/>
    <sheet name="기인물-재해형태 분석" sheetId="17" r:id="rId9"/>
    <sheet name="재해형태-기인물 분석" sheetId="8" r:id="rId10"/>
    <sheet name="_드롭다운참조" sheetId="19" state="hidden" r:id="rId11"/>
  </sheets>
  <definedNames>
    <definedName name="_xlnm._FilterDatabase" localSheetId="2" hidden="1">DB!$A$1:$R$2575</definedName>
    <definedName name="기인물_12대">_드롭다운참조!$J$2:$J$20</definedName>
    <definedName name="기인물_일반">_드롭다운참조!$J$21:$J$58</definedName>
    <definedName name="기인물_전체">_드롭다운참조!$J$2:$J$58</definedName>
    <definedName name="기인물분류목록">_드롭다운참조!$AB$2:$AB$35</definedName>
    <definedName name="ChartItem">OFFSET(③공정조회!$X$14,0,0,MAX(1,COUNTA(③공정조회!$X$14:$X$63)),1)</definedName>
    <definedName name="ChartItemVal">OFFSET(③공정조회!$Y$14,0,0,MAX(1,COUNTA(③공정조회!$X$14:$X$63)),1)</definedName>
    <definedName name="ChartWork">OFFSET(③공정조회!$U$14,0,0,MAX(1,COUNTA(③공정조회!$U$14:$U$63)),1)</definedName>
    <definedName name="ChartWorkVal">OFFSET(③공정조회!$V$14,0,0,MAX(1,COUNTA(③공정조회!$U$14:$U$63)),1)</definedName>
    <definedName name="GJ_1">_드롭다운참조!$P$2:$P$7</definedName>
    <definedName name="GJ_10">_드롭다운참조!$Y$2:$Y$3</definedName>
    <definedName name="GJ_11">_드롭다운참조!$Z$2:$Z$6</definedName>
    <definedName name="GJ_12">_드롭다운참조!$AA$2:$AA$8</definedName>
    <definedName name="GJ_2">_드롭다운참조!$Q$2:$Q$5</definedName>
    <definedName name="GJ_3">_드롭다운참조!$R$2:$R$2</definedName>
    <definedName name="GJ_4">_드롭다운참조!$S$2:$S$9</definedName>
    <definedName name="GJ_5">_드롭다운참조!$T$2:$T$4</definedName>
    <definedName name="GJ_6">_드롭다운참조!$U$2:$U$2</definedName>
    <definedName name="GJ_7">_드롭다운참조!$V$2:$V$3</definedName>
    <definedName name="GJ_8">_드롭다운참조!$W$2:$W$5</definedName>
    <definedName name="GJ_9">_드롭다운참조!$X$2:$X$7</definedName>
    <definedName name="JK_1_1">_드롭다운참조!$A$31:$A$33</definedName>
    <definedName name="JK_1_2">_드롭다운참조!$B$31:$B$34</definedName>
    <definedName name="JK_1_3">_드롭다운참조!$C$31:$C$33</definedName>
    <definedName name="JK_1_4">_드롭다운참조!$D$31:$D$32</definedName>
    <definedName name="JK_1_5">_드롭다운참조!$E$31:$E$31</definedName>
    <definedName name="JK_1_6">_드롭다운참조!$F$31:$F$32</definedName>
    <definedName name="JK_10_1">_드롭다운참조!$AJ$31:$AJ$31</definedName>
    <definedName name="JK_10_2">_드롭다운참조!$AK$31:$AK$31</definedName>
    <definedName name="JK_11_1">_드롭다운참조!$AL$31:$AL$32</definedName>
    <definedName name="JK_11_2">_드롭다운참조!$AM$31:$AM$32</definedName>
    <definedName name="JK_11_3">_드롭다운참조!$AN$31:$AN$32</definedName>
    <definedName name="JK_11_4">_드롭다운참조!$AO$31:$AO$32</definedName>
    <definedName name="JK_11_5">_드롭다운참조!$AP$31:$AP$31</definedName>
    <definedName name="JK_12_1">_드롭다운참조!$AQ$31:$AQ$31</definedName>
    <definedName name="JK_12_2">_드롭다운참조!$AR$31:$AR$40</definedName>
    <definedName name="JK_12_3">_드롭다운참조!$AS$31:$AS$36</definedName>
    <definedName name="JK_12_4">_드롭다운참조!$AT$31:$AT$31</definedName>
    <definedName name="JK_12_5">_드롭다운참조!$AU$31:$AU$35</definedName>
    <definedName name="JK_12_6">_드롭다운참조!$AV$31:$AV$31</definedName>
    <definedName name="JK_12_7">_드롭다운참조!$AW$31:$AW$31</definedName>
    <definedName name="JK_2_1">_드롭다운참조!$G$31:$G$34</definedName>
    <definedName name="JK_2_2">_드롭다운참조!$H$31:$H$34</definedName>
    <definedName name="JK_2_3">_드롭다운참조!$I$31:$I$33</definedName>
    <definedName name="JK_2_4">_드롭다운참조!$J$31:$J$33</definedName>
    <definedName name="JK_3_1">_드롭다운참조!$K$31:$K$33</definedName>
    <definedName name="JK_4_1">_드롭다운참조!$L$31:$L$33</definedName>
    <definedName name="JK_4_2">_드롭다운참조!$M$31:$M$31</definedName>
    <definedName name="JK_4_3">_드롭다운참조!$N$31:$N$33</definedName>
    <definedName name="JK_4_4">_드롭다운참조!$O$31:$O$33</definedName>
    <definedName name="JK_4_5">_드롭다운참조!$P$31:$P$32</definedName>
    <definedName name="JK_4_6">_드롭다운참조!$Q$31:$Q$32</definedName>
    <definedName name="JK_4_7">_드롭다운참조!$R$31:$R$32</definedName>
    <definedName name="JK_4_8">_드롭다운참조!$S$31:$S$32</definedName>
    <definedName name="JK_5_1">_드롭다운참조!$T$31:$T$34</definedName>
    <definedName name="JK_5_2">_드롭다운참조!$U$31:$U$32</definedName>
    <definedName name="JK_5_3">_드롭다운참조!$V$31:$V$32</definedName>
    <definedName name="JK_6_1">_드롭다운참조!$W$31:$W$32</definedName>
    <definedName name="JK_7_1">_드롭다운참조!$X$31:$X$32</definedName>
    <definedName name="JK_7_2">_드롭다운참조!$Y$31:$Y$31</definedName>
    <definedName name="JK_8_1">_드롭다운참조!$Z$31:$Z$32</definedName>
    <definedName name="JK_8_2">_드롭다운참조!$AA$31:$AA$32</definedName>
    <definedName name="JK_8_3">_드롭다운참조!$AB$31:$AB$31</definedName>
    <definedName name="JK_8_4">_드롭다운참조!$AC$31:$AC$31</definedName>
    <definedName name="JK_9_1">_드롭다운참조!$AD$31:$AD$31</definedName>
    <definedName name="JK_9_2">_드롭다운참조!$AE$31:$AE$32</definedName>
    <definedName name="JK_9_3">_드롭다운참조!$AF$31:$AF$32</definedName>
    <definedName name="JK_9_4">_드롭다운참조!$AG$31:$AG$31</definedName>
    <definedName name="JK_9_5">_드롭다운참조!$AH$31:$AH$31</definedName>
    <definedName name="JK_9_6">_드롭다운참조!$AI$31:$AI$31</definedName>
  </definedNames>
  <calcPr calcId="191029"/>
  <pivotCaches>
    <pivotCache cacheId="5"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4" i="20" l="1" a="1"/>
  <c r="AA14" i="20" s="1"/>
  <c r="AD14" i="20" a="1"/>
  <c r="AD14" i="20" s="1"/>
  <c r="H6" i="20"/>
  <c r="H5" i="20"/>
  <c r="G6" i="20" a="1"/>
  <c r="G6" i="20" s="1"/>
  <c r="G5" i="20" a="1"/>
  <c r="G5" i="20" s="1"/>
  <c r="G4" i="20" a="1"/>
  <c r="G4" i="20" s="1"/>
  <c r="P15" i="20" a="1"/>
  <c r="P15" i="20" s="1"/>
  <c r="P16" i="20" a="1"/>
  <c r="P16" i="20" s="1"/>
  <c r="P17" i="20" a="1"/>
  <c r="P17" i="20" s="1"/>
  <c r="P18" i="20" a="1"/>
  <c r="P18" i="20" s="1"/>
  <c r="P19" i="20" a="1"/>
  <c r="P19" i="20" s="1"/>
  <c r="P20" i="20" a="1"/>
  <c r="P20" i="20" s="1"/>
  <c r="P21" i="20" a="1"/>
  <c r="P21" i="20" s="1"/>
  <c r="P22" i="20" a="1"/>
  <c r="P22" i="20" s="1"/>
  <c r="P23" i="20" a="1"/>
  <c r="P23" i="20" s="1"/>
  <c r="P24" i="20" a="1"/>
  <c r="P24" i="20" s="1"/>
  <c r="P25" i="20" a="1"/>
  <c r="P25" i="20" s="1"/>
  <c r="P26" i="20" a="1"/>
  <c r="P26" i="20" s="1"/>
  <c r="P27" i="20" a="1"/>
  <c r="P27" i="20" s="1"/>
  <c r="P28" i="20" a="1"/>
  <c r="P28" i="20" s="1"/>
  <c r="P29" i="20" a="1"/>
  <c r="P29" i="20" s="1"/>
  <c r="P30" i="20" a="1"/>
  <c r="P30" i="20" s="1"/>
  <c r="P31" i="20" a="1"/>
  <c r="P31" i="20" s="1"/>
  <c r="P32" i="20" a="1"/>
  <c r="P32" i="20" s="1"/>
  <c r="P33" i="20" a="1"/>
  <c r="P33" i="20" s="1"/>
  <c r="P34" i="20" a="1"/>
  <c r="P34" i="20" s="1"/>
  <c r="P35" i="20" a="1"/>
  <c r="P35" i="20" s="1"/>
  <c r="P36" i="20" a="1"/>
  <c r="P36" i="20" s="1"/>
  <c r="P37" i="20" a="1"/>
  <c r="P37" i="20" s="1"/>
  <c r="P38" i="20" a="1"/>
  <c r="P38" i="20" s="1"/>
  <c r="P39" i="20" a="1"/>
  <c r="P39" i="20" s="1"/>
  <c r="P40" i="20" a="1"/>
  <c r="P40" i="20" s="1"/>
  <c r="P41" i="20" a="1"/>
  <c r="P41" i="20" s="1"/>
  <c r="P42" i="20" a="1"/>
  <c r="P42" i="20" s="1"/>
  <c r="P43" i="20" a="1"/>
  <c r="P43" i="20" s="1"/>
  <c r="P44" i="20" a="1"/>
  <c r="P44" i="20" s="1"/>
  <c r="P45" i="20" a="1"/>
  <c r="P45" i="20" s="1"/>
  <c r="P46" i="20" a="1"/>
  <c r="P46" i="20" s="1"/>
  <c r="P47" i="20" a="1"/>
  <c r="P47" i="20" s="1"/>
  <c r="P48" i="20" a="1"/>
  <c r="P48" i="20" s="1"/>
  <c r="P49" i="20" a="1"/>
  <c r="P49" i="20" s="1"/>
  <c r="P50" i="20" a="1"/>
  <c r="P50" i="20" s="1"/>
  <c r="P51" i="20" a="1"/>
  <c r="P51" i="20" s="1"/>
  <c r="P52" i="20" a="1"/>
  <c r="P52" i="20" s="1"/>
  <c r="P53" i="20" a="1"/>
  <c r="P53" i="20" s="1"/>
  <c r="P54" i="20" a="1"/>
  <c r="P54" i="20" s="1"/>
  <c r="P55" i="20" a="1"/>
  <c r="P55" i="20" s="1"/>
  <c r="P56" i="20" a="1"/>
  <c r="P56" i="20" s="1"/>
  <c r="P57" i="20" a="1"/>
  <c r="P57" i="20" s="1"/>
  <c r="P58" i="20" a="1"/>
  <c r="P58" i="20" s="1"/>
  <c r="P59" i="20" a="1"/>
  <c r="P59" i="20" s="1"/>
  <c r="P60" i="20" a="1"/>
  <c r="P60" i="20" s="1"/>
  <c r="P61" i="20" a="1"/>
  <c r="P61" i="20" s="1"/>
  <c r="P62" i="20" a="1"/>
  <c r="P62" i="20" s="1"/>
  <c r="P63" i="20" a="1"/>
  <c r="P63" i="20" s="1"/>
  <c r="P64" i="20" a="1"/>
  <c r="P64" i="20" s="1"/>
  <c r="P65" i="20" a="1"/>
  <c r="P65" i="20" s="1"/>
  <c r="P66" i="20" a="1"/>
  <c r="P66" i="20" s="1"/>
  <c r="P67" i="20" a="1"/>
  <c r="P67" i="20" s="1"/>
  <c r="P68" i="20" a="1"/>
  <c r="P68" i="20" s="1"/>
  <c r="P69" i="20" a="1"/>
  <c r="P69" i="20" s="1"/>
  <c r="P70" i="20" a="1"/>
  <c r="P70" i="20" s="1"/>
  <c r="P71" i="20" a="1"/>
  <c r="P71" i="20" s="1"/>
  <c r="P72" i="20" a="1"/>
  <c r="P72" i="20" s="1"/>
  <c r="P73" i="20" a="1"/>
  <c r="P73" i="20" s="1"/>
  <c r="P74" i="20" a="1"/>
  <c r="P74" i="20" s="1"/>
  <c r="P75" i="20" a="1"/>
  <c r="P75" i="20" s="1"/>
  <c r="P76" i="20" a="1"/>
  <c r="P76" i="20" s="1"/>
  <c r="P77" i="20" a="1"/>
  <c r="P77" i="20" s="1"/>
  <c r="P78" i="20" a="1"/>
  <c r="P78" i="20" s="1"/>
  <c r="P79" i="20" a="1"/>
  <c r="P79" i="20" s="1"/>
  <c r="P80" i="20" a="1"/>
  <c r="P80" i="20" s="1"/>
  <c r="P81" i="20" a="1"/>
  <c r="P81" i="20" s="1"/>
  <c r="P82" i="20" a="1"/>
  <c r="P82" i="20" s="1"/>
  <c r="P83" i="20" a="1"/>
  <c r="P83" i="20" s="1"/>
  <c r="P84" i="20" a="1"/>
  <c r="P84" i="20" s="1"/>
  <c r="P85" i="20" a="1"/>
  <c r="P85" i="20" s="1"/>
  <c r="P86" i="20" a="1"/>
  <c r="P86" i="20" s="1"/>
  <c r="P87" i="20" a="1"/>
  <c r="P87" i="20" s="1"/>
  <c r="P88" i="20" a="1"/>
  <c r="P88" i="20" s="1"/>
  <c r="P89" i="20" a="1"/>
  <c r="P89" i="20" s="1"/>
  <c r="P90" i="20" a="1"/>
  <c r="P90" i="20" s="1"/>
  <c r="P91" i="20" a="1"/>
  <c r="P91" i="20" s="1"/>
  <c r="P92" i="20" a="1"/>
  <c r="P92" i="20" s="1"/>
  <c r="P93" i="20" a="1"/>
  <c r="P93" i="20" s="1"/>
  <c r="P94" i="20" a="1"/>
  <c r="P94" i="20" s="1"/>
  <c r="P95" i="20" a="1"/>
  <c r="P95" i="20" s="1"/>
  <c r="P96" i="20" a="1"/>
  <c r="P96" i="20" s="1"/>
  <c r="P97" i="20" a="1"/>
  <c r="P97" i="20" s="1"/>
  <c r="P98" i="20" a="1"/>
  <c r="P98" i="20" s="1"/>
  <c r="P99" i="20" a="1"/>
  <c r="P99" i="20" s="1"/>
  <c r="P100" i="20" a="1"/>
  <c r="P100" i="20" s="1"/>
  <c r="P101" i="20" a="1"/>
  <c r="P101" i="20" s="1"/>
  <c r="P102" i="20" a="1"/>
  <c r="P102" i="20" s="1"/>
  <c r="P103" i="20" a="1"/>
  <c r="P103" i="20" s="1"/>
  <c r="P104" i="20" a="1"/>
  <c r="P104" i="20" s="1"/>
  <c r="P105" i="20" a="1"/>
  <c r="P105" i="20" s="1"/>
  <c r="P106" i="20" a="1"/>
  <c r="P106" i="20" s="1"/>
  <c r="P107" i="20" a="1"/>
  <c r="P107" i="20" s="1"/>
  <c r="P108" i="20" a="1"/>
  <c r="P108" i="20" s="1"/>
  <c r="P109" i="20" a="1"/>
  <c r="P109" i="20" s="1"/>
  <c r="P110" i="20" a="1"/>
  <c r="P110" i="20" s="1"/>
  <c r="P111" i="20" a="1"/>
  <c r="P111" i="20" s="1"/>
  <c r="P112" i="20" a="1"/>
  <c r="P112" i="20" s="1"/>
  <c r="P113" i="20" a="1"/>
  <c r="P113" i="20" s="1"/>
  <c r="P114" i="20" a="1"/>
  <c r="P114" i="20" s="1"/>
  <c r="P115" i="20" a="1"/>
  <c r="P115" i="20" s="1"/>
  <c r="P116" i="20" a="1"/>
  <c r="P116" i="20" s="1"/>
  <c r="P117" i="20" a="1"/>
  <c r="P117" i="20" s="1"/>
  <c r="P118" i="20" a="1"/>
  <c r="P118" i="20" s="1"/>
  <c r="P119" i="20" a="1"/>
  <c r="P119" i="20" s="1"/>
  <c r="P120" i="20" a="1"/>
  <c r="P120" i="20" s="1"/>
  <c r="P121" i="20" a="1"/>
  <c r="P121" i="20" s="1"/>
  <c r="P122" i="20" a="1"/>
  <c r="P122" i="20" s="1"/>
  <c r="P123" i="20" a="1"/>
  <c r="P123" i="20" s="1"/>
  <c r="P124" i="20" a="1"/>
  <c r="P124" i="20" s="1"/>
  <c r="P125" i="20" a="1"/>
  <c r="P125" i="20" s="1"/>
  <c r="P126" i="20" a="1"/>
  <c r="P126" i="20" s="1"/>
  <c r="P127" i="20" a="1"/>
  <c r="P127" i="20" s="1"/>
  <c r="P128" i="20" a="1"/>
  <c r="P128" i="20" s="1"/>
  <c r="P129" i="20" a="1"/>
  <c r="P129" i="20" s="1"/>
  <c r="P130" i="20" a="1"/>
  <c r="P130" i="20" s="1"/>
  <c r="P131" i="20" a="1"/>
  <c r="P131" i="20" s="1"/>
  <c r="P132" i="20" a="1"/>
  <c r="P132" i="20" s="1"/>
  <c r="P133" i="20" a="1"/>
  <c r="P133" i="20" s="1"/>
  <c r="P134" i="20" a="1"/>
  <c r="P134" i="20" s="1"/>
  <c r="P135" i="20" a="1"/>
  <c r="P135" i="20" s="1"/>
  <c r="P136" i="20" a="1"/>
  <c r="P136" i="20" s="1"/>
  <c r="P137" i="20" a="1"/>
  <c r="P137" i="20" s="1"/>
  <c r="P138" i="20" a="1"/>
  <c r="P138" i="20" s="1"/>
  <c r="P139" i="20" a="1"/>
  <c r="P139" i="20" s="1"/>
  <c r="P140" i="20" a="1"/>
  <c r="P140" i="20" s="1"/>
  <c r="P141" i="20" a="1"/>
  <c r="P141" i="20" s="1"/>
  <c r="P142" i="20" a="1"/>
  <c r="P142" i="20" s="1"/>
  <c r="P143" i="20" a="1"/>
  <c r="P143" i="20" s="1"/>
  <c r="P144" i="20" a="1"/>
  <c r="P144" i="20" s="1"/>
  <c r="P145" i="20" a="1"/>
  <c r="P145" i="20" s="1"/>
  <c r="P146" i="20" a="1"/>
  <c r="P146" i="20" s="1"/>
  <c r="P147" i="20" a="1"/>
  <c r="P147" i="20" s="1"/>
  <c r="P148" i="20" a="1"/>
  <c r="P148" i="20" s="1"/>
  <c r="P149" i="20" a="1"/>
  <c r="P149" i="20" s="1"/>
  <c r="P150" i="20" a="1"/>
  <c r="P150" i="20" s="1"/>
  <c r="P151" i="20" a="1"/>
  <c r="P151" i="20" s="1"/>
  <c r="P152" i="20" a="1"/>
  <c r="P152" i="20" s="1"/>
  <c r="P153" i="20" a="1"/>
  <c r="P153" i="20" s="1"/>
  <c r="P154" i="20" a="1"/>
  <c r="P154" i="20" s="1"/>
  <c r="P155" i="20" a="1"/>
  <c r="P155" i="20" s="1"/>
  <c r="P156" i="20" a="1"/>
  <c r="P156" i="20" s="1"/>
  <c r="P157" i="20" a="1"/>
  <c r="P157" i="20" s="1"/>
  <c r="P158" i="20" a="1"/>
  <c r="P158" i="20" s="1"/>
  <c r="P159" i="20" a="1"/>
  <c r="P159" i="20" s="1"/>
  <c r="P160" i="20" a="1"/>
  <c r="P160" i="20" s="1"/>
  <c r="P161" i="20" a="1"/>
  <c r="P161" i="20" s="1"/>
  <c r="P162" i="20" a="1"/>
  <c r="P162" i="20" s="1"/>
  <c r="P163" i="20" a="1"/>
  <c r="P163" i="20" s="1"/>
  <c r="P164" i="20" a="1"/>
  <c r="P164" i="20" s="1"/>
  <c r="P165" i="20" a="1"/>
  <c r="P165" i="20" s="1"/>
  <c r="P166" i="20" a="1"/>
  <c r="P166" i="20" s="1"/>
  <c r="P167" i="20" a="1"/>
  <c r="P167" i="20" s="1"/>
  <c r="P168" i="20" a="1"/>
  <c r="P168" i="20" s="1"/>
  <c r="P169" i="20" a="1"/>
  <c r="P169" i="20" s="1"/>
  <c r="P170" i="20" a="1"/>
  <c r="P170" i="20" s="1"/>
  <c r="P171" i="20" a="1"/>
  <c r="P171" i="20" s="1"/>
  <c r="P172" i="20" a="1"/>
  <c r="P172" i="20" s="1"/>
  <c r="P173" i="20" a="1"/>
  <c r="P173" i="20" s="1"/>
  <c r="P174" i="20" a="1"/>
  <c r="P174" i="20" s="1"/>
  <c r="P175" i="20" a="1"/>
  <c r="P175" i="20" s="1"/>
  <c r="P176" i="20" a="1"/>
  <c r="P176" i="20" s="1"/>
  <c r="P177" i="20" a="1"/>
  <c r="P177" i="20" s="1"/>
  <c r="P178" i="20" a="1"/>
  <c r="P178" i="20" s="1"/>
  <c r="P179" i="20" a="1"/>
  <c r="P179" i="20" s="1"/>
  <c r="P180" i="20" a="1"/>
  <c r="P180" i="20" s="1"/>
  <c r="P181" i="20" a="1"/>
  <c r="P181" i="20" s="1"/>
  <c r="P182" i="20" a="1"/>
  <c r="P182" i="20" s="1"/>
  <c r="P183" i="20" a="1"/>
  <c r="P183" i="20" s="1"/>
  <c r="P184" i="20" a="1"/>
  <c r="P184" i="20" s="1"/>
  <c r="P185" i="20" a="1"/>
  <c r="P185" i="20" s="1"/>
  <c r="P186" i="20" a="1"/>
  <c r="P186" i="20" s="1"/>
  <c r="P187" i="20" a="1"/>
  <c r="P187" i="20" s="1"/>
  <c r="P188" i="20" a="1"/>
  <c r="P188" i="20" s="1"/>
  <c r="P189" i="20" a="1"/>
  <c r="P189" i="20" s="1"/>
  <c r="P190" i="20" a="1"/>
  <c r="P190" i="20" s="1"/>
  <c r="P191" i="20" a="1"/>
  <c r="P191" i="20" s="1"/>
  <c r="P192" i="20" a="1"/>
  <c r="P192" i="20" s="1"/>
  <c r="P193" i="20" a="1"/>
  <c r="P193" i="20" s="1"/>
  <c r="P194" i="20" a="1"/>
  <c r="P194" i="20" s="1"/>
  <c r="P195" i="20" a="1"/>
  <c r="P195" i="20" s="1"/>
  <c r="P196" i="20" a="1"/>
  <c r="P196" i="20" s="1"/>
  <c r="P197" i="20" a="1"/>
  <c r="P197" i="20" s="1"/>
  <c r="P198" i="20" a="1"/>
  <c r="P198" i="20" s="1"/>
  <c r="P199" i="20" a="1"/>
  <c r="P199" i="20" s="1"/>
  <c r="P200" i="20" a="1"/>
  <c r="P200" i="20" s="1"/>
  <c r="P201" i="20" a="1"/>
  <c r="P201" i="20" s="1"/>
  <c r="P202" i="20" a="1"/>
  <c r="P202" i="20" s="1"/>
  <c r="P203" i="20" a="1"/>
  <c r="P203" i="20" s="1"/>
  <c r="P204" i="20" a="1"/>
  <c r="P204" i="20" s="1"/>
  <c r="P205" i="20" a="1"/>
  <c r="P205" i="20" s="1"/>
  <c r="P206" i="20" a="1"/>
  <c r="P206" i="20" s="1"/>
  <c r="P207" i="20" a="1"/>
  <c r="P207" i="20" s="1"/>
  <c r="P208" i="20" a="1"/>
  <c r="P208" i="20" s="1"/>
  <c r="P209" i="20" a="1"/>
  <c r="P209" i="20" s="1"/>
  <c r="P210" i="20" a="1"/>
  <c r="P210" i="20" s="1"/>
  <c r="P211" i="20" a="1"/>
  <c r="P211" i="20" s="1"/>
  <c r="P212" i="20" a="1"/>
  <c r="P212" i="20" s="1"/>
  <c r="P213" i="20" a="1"/>
  <c r="P213" i="20" s="1"/>
  <c r="P214" i="20" a="1"/>
  <c r="P214" i="20" s="1"/>
  <c r="P215" i="20" a="1"/>
  <c r="P215" i="20" s="1"/>
  <c r="P216" i="20" a="1"/>
  <c r="P216" i="20" s="1"/>
  <c r="P217" i="20" a="1"/>
  <c r="P217" i="20" s="1"/>
  <c r="P218" i="20" a="1"/>
  <c r="P218" i="20" s="1"/>
  <c r="P219" i="20" a="1"/>
  <c r="P219" i="20" s="1"/>
  <c r="P220" i="20" a="1"/>
  <c r="P220" i="20" s="1"/>
  <c r="P221" i="20" a="1"/>
  <c r="P221" i="20" s="1"/>
  <c r="P222" i="20" a="1"/>
  <c r="P222" i="20" s="1"/>
  <c r="P223" i="20" a="1"/>
  <c r="P223" i="20" s="1"/>
  <c r="P224" i="20" a="1"/>
  <c r="P224" i="20" s="1"/>
  <c r="P225" i="20" a="1"/>
  <c r="P225" i="20" s="1"/>
  <c r="P226" i="20" a="1"/>
  <c r="P226" i="20" s="1"/>
  <c r="P227" i="20" a="1"/>
  <c r="P227" i="20" s="1"/>
  <c r="P228" i="20" a="1"/>
  <c r="P228" i="20" s="1"/>
  <c r="P229" i="20" a="1"/>
  <c r="P229" i="20" s="1"/>
  <c r="P230" i="20" a="1"/>
  <c r="P230" i="20" s="1"/>
  <c r="P231" i="20" a="1"/>
  <c r="P231" i="20" s="1"/>
  <c r="P232" i="20" a="1"/>
  <c r="P232" i="20" s="1"/>
  <c r="P233" i="20" a="1"/>
  <c r="P233" i="20" s="1"/>
  <c r="P234" i="20" a="1"/>
  <c r="P234" i="20" s="1"/>
  <c r="P235" i="20" a="1"/>
  <c r="P235" i="20" s="1"/>
  <c r="P236" i="20" a="1"/>
  <c r="P236" i="20" s="1"/>
  <c r="P237" i="20" a="1"/>
  <c r="P237" i="20" s="1"/>
  <c r="P238" i="20" a="1"/>
  <c r="P238" i="20" s="1"/>
  <c r="P239" i="20" a="1"/>
  <c r="P239" i="20" s="1"/>
  <c r="P240" i="20" a="1"/>
  <c r="P240" i="20" s="1"/>
  <c r="P241" i="20" a="1"/>
  <c r="P241" i="20" s="1"/>
  <c r="P242" i="20" a="1"/>
  <c r="P242" i="20" s="1"/>
  <c r="P243" i="20" a="1"/>
  <c r="P243" i="20" s="1"/>
  <c r="P244" i="20" a="1"/>
  <c r="P244" i="20" s="1"/>
  <c r="P245" i="20" a="1"/>
  <c r="P245" i="20" s="1"/>
  <c r="P246" i="20" a="1"/>
  <c r="P246" i="20" s="1"/>
  <c r="P247" i="20" a="1"/>
  <c r="P247" i="20" s="1"/>
  <c r="P248" i="20" a="1"/>
  <c r="P248" i="20" s="1"/>
  <c r="P249" i="20" a="1"/>
  <c r="P249" i="20" s="1"/>
  <c r="P250" i="20" a="1"/>
  <c r="P250" i="20" s="1"/>
  <c r="P251" i="20" a="1"/>
  <c r="P251" i="20" s="1"/>
  <c r="P252" i="20" a="1"/>
  <c r="P252" i="20" s="1"/>
  <c r="P253" i="20" a="1"/>
  <c r="P253" i="20" s="1"/>
  <c r="P254" i="20" a="1"/>
  <c r="P254" i="20" s="1"/>
  <c r="P255" i="20" a="1"/>
  <c r="P255" i="20" s="1"/>
  <c r="P256" i="20" a="1"/>
  <c r="P256" i="20" s="1"/>
  <c r="P257" i="20" a="1"/>
  <c r="P257" i="20" s="1"/>
  <c r="P258" i="20" a="1"/>
  <c r="P258" i="20" s="1"/>
  <c r="P259" i="20" a="1"/>
  <c r="P259" i="20" s="1"/>
  <c r="P260" i="20" a="1"/>
  <c r="P260" i="20" s="1"/>
  <c r="P261" i="20" a="1"/>
  <c r="P261" i="20" s="1"/>
  <c r="P262" i="20" a="1"/>
  <c r="P262" i="20" s="1"/>
  <c r="P263" i="20" a="1"/>
  <c r="P263" i="20" s="1"/>
  <c r="P264" i="20" a="1"/>
  <c r="P264" i="20" s="1"/>
  <c r="P265" i="20" a="1"/>
  <c r="P265" i="20" s="1"/>
  <c r="P266" i="20" a="1"/>
  <c r="P266" i="20" s="1"/>
  <c r="P267" i="20" a="1"/>
  <c r="P267" i="20" s="1"/>
  <c r="P268" i="20" a="1"/>
  <c r="P268" i="20" s="1"/>
  <c r="P269" i="20" a="1"/>
  <c r="P269" i="20" s="1"/>
  <c r="P270" i="20" a="1"/>
  <c r="P270" i="20" s="1"/>
  <c r="P271" i="20" a="1"/>
  <c r="P271" i="20" s="1"/>
  <c r="P272" i="20" a="1"/>
  <c r="P272" i="20" s="1"/>
  <c r="P273" i="20" a="1"/>
  <c r="P273" i="20" s="1"/>
  <c r="P274" i="20" a="1"/>
  <c r="P274" i="20" s="1"/>
  <c r="P275" i="20" a="1"/>
  <c r="P275" i="20" s="1"/>
  <c r="P276" i="20" a="1"/>
  <c r="P276" i="20" s="1"/>
  <c r="P277" i="20" a="1"/>
  <c r="P277" i="20" s="1"/>
  <c r="P278" i="20" a="1"/>
  <c r="P278" i="20" s="1"/>
  <c r="P279" i="20" a="1"/>
  <c r="P279" i="20" s="1"/>
  <c r="P280" i="20" a="1"/>
  <c r="P280" i="20" s="1"/>
  <c r="P281" i="20" a="1"/>
  <c r="P281" i="20" s="1"/>
  <c r="P282" i="20" a="1"/>
  <c r="P282" i="20" s="1"/>
  <c r="P283" i="20" a="1"/>
  <c r="P283" i="20" s="1"/>
  <c r="P284" i="20" a="1"/>
  <c r="P284" i="20" s="1"/>
  <c r="P285" i="20" a="1"/>
  <c r="P285" i="20" s="1"/>
  <c r="P286" i="20" a="1"/>
  <c r="P286" i="20" s="1"/>
  <c r="P287" i="20" a="1"/>
  <c r="P287" i="20" s="1"/>
  <c r="P288" i="20" a="1"/>
  <c r="P288" i="20" s="1"/>
  <c r="P289" i="20" a="1"/>
  <c r="P289" i="20" s="1"/>
  <c r="P290" i="20" a="1"/>
  <c r="P290" i="20" s="1"/>
  <c r="P291" i="20" a="1"/>
  <c r="P291" i="20" s="1"/>
  <c r="P292" i="20" a="1"/>
  <c r="P292" i="20" s="1"/>
  <c r="P293" i="20" a="1"/>
  <c r="P293" i="20" s="1"/>
  <c r="P294" i="20" a="1"/>
  <c r="P294" i="20" s="1"/>
  <c r="P295" i="20" a="1"/>
  <c r="P295" i="20" s="1"/>
  <c r="P296" i="20" a="1"/>
  <c r="P296" i="20" s="1"/>
  <c r="P297" i="20" a="1"/>
  <c r="P297" i="20" s="1"/>
  <c r="P298" i="20" a="1"/>
  <c r="P298" i="20" s="1"/>
  <c r="P299" i="20" a="1"/>
  <c r="P299" i="20" s="1"/>
  <c r="P300" i="20" a="1"/>
  <c r="P300" i="20" s="1"/>
  <c r="P301" i="20" a="1"/>
  <c r="P301" i="20" s="1"/>
  <c r="P302" i="20" a="1"/>
  <c r="P302" i="20" s="1"/>
  <c r="P303" i="20" a="1"/>
  <c r="P303" i="20" s="1"/>
  <c r="P304" i="20" a="1"/>
  <c r="P304" i="20" s="1"/>
  <c r="P305" i="20" a="1"/>
  <c r="P305" i="20" s="1"/>
  <c r="P306" i="20" a="1"/>
  <c r="P306" i="20" s="1"/>
  <c r="P307" i="20" a="1"/>
  <c r="P307" i="20" s="1"/>
  <c r="P308" i="20" a="1"/>
  <c r="P308" i="20" s="1"/>
  <c r="P309" i="20" a="1"/>
  <c r="P309" i="20" s="1"/>
  <c r="P310" i="20" a="1"/>
  <c r="P310" i="20" s="1"/>
  <c r="P311" i="20" a="1"/>
  <c r="P311" i="20" s="1"/>
  <c r="P312" i="20" a="1"/>
  <c r="P312" i="20" s="1"/>
  <c r="P313" i="20" a="1"/>
  <c r="P313" i="20" s="1"/>
  <c r="P314" i="20" a="1"/>
  <c r="P314" i="20" s="1"/>
  <c r="P315" i="20" a="1"/>
  <c r="P315" i="20" s="1"/>
  <c r="P316" i="20" a="1"/>
  <c r="P316" i="20" s="1"/>
  <c r="P317" i="20" a="1"/>
  <c r="P317" i="20" s="1"/>
  <c r="P318" i="20" a="1"/>
  <c r="P318" i="20" s="1"/>
  <c r="P319" i="20" a="1"/>
  <c r="P319" i="20" s="1"/>
  <c r="P320" i="20" a="1"/>
  <c r="P320" i="20" s="1"/>
  <c r="P321" i="20" a="1"/>
  <c r="P321" i="20" s="1"/>
  <c r="P322" i="20" a="1"/>
  <c r="P322" i="20" s="1"/>
  <c r="P323" i="20" a="1"/>
  <c r="P323" i="20" s="1"/>
  <c r="P324" i="20" a="1"/>
  <c r="P324" i="20" s="1"/>
  <c r="P325" i="20" a="1"/>
  <c r="P325" i="20" s="1"/>
  <c r="P326" i="20" a="1"/>
  <c r="P326" i="20" s="1"/>
  <c r="P327" i="20" a="1"/>
  <c r="P327" i="20" s="1"/>
  <c r="P328" i="20" a="1"/>
  <c r="P328" i="20" s="1"/>
  <c r="P329" i="20" a="1"/>
  <c r="P329" i="20" s="1"/>
  <c r="P330" i="20" a="1"/>
  <c r="P330" i="20" s="1"/>
  <c r="P331" i="20" a="1"/>
  <c r="P331" i="20" s="1"/>
  <c r="P332" i="20" a="1"/>
  <c r="P332" i="20" s="1"/>
  <c r="P333" i="20" a="1"/>
  <c r="P333" i="20" s="1"/>
  <c r="P334" i="20" a="1"/>
  <c r="P334" i="20" s="1"/>
  <c r="P335" i="20" a="1"/>
  <c r="P335" i="20" s="1"/>
  <c r="P336" i="20" a="1"/>
  <c r="P336" i="20" s="1"/>
  <c r="P337" i="20" a="1"/>
  <c r="P337" i="20" s="1"/>
  <c r="P338" i="20" a="1"/>
  <c r="P338" i="20" s="1"/>
  <c r="P339" i="20" a="1"/>
  <c r="P339" i="20" s="1"/>
  <c r="P340" i="20" a="1"/>
  <c r="P340" i="20" s="1"/>
  <c r="P341" i="20" a="1"/>
  <c r="P341" i="20" s="1"/>
  <c r="P342" i="20" a="1"/>
  <c r="P342" i="20" s="1"/>
  <c r="P343" i="20" a="1"/>
  <c r="P343" i="20" s="1"/>
  <c r="P344" i="20" a="1"/>
  <c r="P344" i="20" s="1"/>
  <c r="P345" i="20" a="1"/>
  <c r="P345" i="20" s="1"/>
  <c r="P346" i="20" a="1"/>
  <c r="P346" i="20" s="1"/>
  <c r="P347" i="20" a="1"/>
  <c r="P347" i="20" s="1"/>
  <c r="P348" i="20" a="1"/>
  <c r="P348" i="20" s="1"/>
  <c r="P349" i="20" a="1"/>
  <c r="P349" i="20" s="1"/>
  <c r="P350" i="20" a="1"/>
  <c r="P350" i="20" s="1"/>
  <c r="P351" i="20" a="1"/>
  <c r="P351" i="20" s="1"/>
  <c r="P352" i="20" a="1"/>
  <c r="P352" i="20" s="1"/>
  <c r="P353" i="20" a="1"/>
  <c r="P353" i="20" s="1"/>
  <c r="P354" i="20" a="1"/>
  <c r="P354" i="20" s="1"/>
  <c r="P355" i="20" a="1"/>
  <c r="P355" i="20" s="1"/>
  <c r="P356" i="20" a="1"/>
  <c r="P356" i="20" s="1"/>
  <c r="P357" i="20" a="1"/>
  <c r="P357" i="20" s="1"/>
  <c r="P358" i="20" a="1"/>
  <c r="P358" i="20" s="1"/>
  <c r="P359" i="20" a="1"/>
  <c r="P359" i="20" s="1"/>
  <c r="P360" i="20" a="1"/>
  <c r="P360" i="20" s="1"/>
  <c r="P361" i="20" a="1"/>
  <c r="P361" i="20" s="1"/>
  <c r="P362" i="20" a="1"/>
  <c r="P362" i="20" s="1"/>
  <c r="P363" i="20" a="1"/>
  <c r="P363" i="20" s="1"/>
  <c r="P364" i="20" a="1"/>
  <c r="P364" i="20" s="1"/>
  <c r="P365" i="20" a="1"/>
  <c r="P365" i="20" s="1"/>
  <c r="P366" i="20" a="1"/>
  <c r="P366" i="20" s="1"/>
  <c r="P367" i="20" a="1"/>
  <c r="P367" i="20" s="1"/>
  <c r="P368" i="20" a="1"/>
  <c r="P368" i="20" s="1"/>
  <c r="P369" i="20" a="1"/>
  <c r="P369" i="20" s="1"/>
  <c r="P370" i="20" a="1"/>
  <c r="P370" i="20" s="1"/>
  <c r="P371" i="20" a="1"/>
  <c r="P371" i="20" s="1"/>
  <c r="P372" i="20" a="1"/>
  <c r="P372" i="20" s="1"/>
  <c r="P373" i="20" a="1"/>
  <c r="P373" i="20" s="1"/>
  <c r="P374" i="20" a="1"/>
  <c r="P374" i="20" s="1"/>
  <c r="P375" i="20" a="1"/>
  <c r="P375" i="20" s="1"/>
  <c r="P376" i="20" a="1"/>
  <c r="P376" i="20" s="1"/>
  <c r="P377" i="20" a="1"/>
  <c r="P377" i="20" s="1"/>
  <c r="P378" i="20" a="1"/>
  <c r="P378" i="20" s="1"/>
  <c r="P379" i="20" a="1"/>
  <c r="P379" i="20" s="1"/>
  <c r="P380" i="20" a="1"/>
  <c r="P380" i="20" s="1"/>
  <c r="P381" i="20" a="1"/>
  <c r="P381" i="20" s="1"/>
  <c r="P382" i="20" a="1"/>
  <c r="P382" i="20" s="1"/>
  <c r="P383" i="20" a="1"/>
  <c r="P383" i="20" s="1"/>
  <c r="P384" i="20" a="1"/>
  <c r="P384" i="20" s="1"/>
  <c r="P385" i="20" a="1"/>
  <c r="P385" i="20" s="1"/>
  <c r="P386" i="20" a="1"/>
  <c r="P386" i="20" s="1"/>
  <c r="P387" i="20" a="1"/>
  <c r="P387" i="20" s="1"/>
  <c r="P388" i="20" a="1"/>
  <c r="P388" i="20" s="1"/>
  <c r="P389" i="20" a="1"/>
  <c r="P389" i="20" s="1"/>
  <c r="P390" i="20" a="1"/>
  <c r="P390" i="20" s="1"/>
  <c r="P391" i="20" a="1"/>
  <c r="P391" i="20" s="1"/>
  <c r="P392" i="20" a="1"/>
  <c r="P392" i="20" s="1"/>
  <c r="P393" i="20" a="1"/>
  <c r="P393" i="20" s="1"/>
  <c r="P394" i="20" a="1"/>
  <c r="P394" i="20" s="1"/>
  <c r="P395" i="20" a="1"/>
  <c r="P395" i="20" s="1"/>
  <c r="P396" i="20" a="1"/>
  <c r="P396" i="20" s="1"/>
  <c r="P397" i="20" a="1"/>
  <c r="P397" i="20" s="1"/>
  <c r="P398" i="20" a="1"/>
  <c r="P398" i="20" s="1"/>
  <c r="P399" i="20" a="1"/>
  <c r="P399" i="20" s="1"/>
  <c r="P400" i="20" a="1"/>
  <c r="P400" i="20" s="1"/>
  <c r="P401" i="20" a="1"/>
  <c r="P401" i="20" s="1"/>
  <c r="P402" i="20" a="1"/>
  <c r="P402" i="20" s="1"/>
  <c r="P403" i="20" a="1"/>
  <c r="P403" i="20" s="1"/>
  <c r="P404" i="20" a="1"/>
  <c r="P404" i="20" s="1"/>
  <c r="P405" i="20" a="1"/>
  <c r="P405" i="20" s="1"/>
  <c r="P406" i="20" a="1"/>
  <c r="P406" i="20" s="1"/>
  <c r="P407" i="20" a="1"/>
  <c r="P407" i="20" s="1"/>
  <c r="P408" i="20" a="1"/>
  <c r="P408" i="20" s="1"/>
  <c r="P409" i="20" a="1"/>
  <c r="P409" i="20" s="1"/>
  <c r="P410" i="20" a="1"/>
  <c r="P410" i="20" s="1"/>
  <c r="P411" i="20" a="1"/>
  <c r="P411" i="20" s="1"/>
  <c r="P412" i="20" a="1"/>
  <c r="P412" i="20" s="1"/>
  <c r="P413" i="20" a="1"/>
  <c r="P413" i="20" s="1"/>
  <c r="P414" i="20" a="1"/>
  <c r="P414" i="20" s="1"/>
  <c r="P415" i="20" a="1"/>
  <c r="P415" i="20" s="1"/>
  <c r="P416" i="20" a="1"/>
  <c r="P416" i="20" s="1"/>
  <c r="P417" i="20" a="1"/>
  <c r="P417" i="20" s="1"/>
  <c r="P418" i="20" a="1"/>
  <c r="P418" i="20" s="1"/>
  <c r="P419" i="20" a="1"/>
  <c r="P419" i="20" s="1"/>
  <c r="P420" i="20" a="1"/>
  <c r="P420" i="20" s="1"/>
  <c r="P421" i="20" a="1"/>
  <c r="P421" i="20" s="1"/>
  <c r="P422" i="20" a="1"/>
  <c r="P422" i="20" s="1"/>
  <c r="P423" i="20" a="1"/>
  <c r="P423" i="20" s="1"/>
  <c r="P424" i="20" a="1"/>
  <c r="P424" i="20" s="1"/>
  <c r="P425" i="20" a="1"/>
  <c r="P425" i="20" s="1"/>
  <c r="P426" i="20" a="1"/>
  <c r="P426" i="20" s="1"/>
  <c r="P427" i="20" a="1"/>
  <c r="P427" i="20" s="1"/>
  <c r="P428" i="20" a="1"/>
  <c r="P428" i="20" s="1"/>
  <c r="P429" i="20" a="1"/>
  <c r="P429" i="20" s="1"/>
  <c r="P430" i="20" a="1"/>
  <c r="P430" i="20" s="1"/>
  <c r="P431" i="20" a="1"/>
  <c r="P431" i="20" s="1"/>
  <c r="P432" i="20" a="1"/>
  <c r="P432" i="20" s="1"/>
  <c r="P433" i="20" a="1"/>
  <c r="P433" i="20" s="1"/>
  <c r="P434" i="20" a="1"/>
  <c r="P434" i="20" s="1"/>
  <c r="P435" i="20" a="1"/>
  <c r="P435" i="20" s="1"/>
  <c r="P436" i="20" a="1"/>
  <c r="P436" i="20" s="1"/>
  <c r="P437" i="20" a="1"/>
  <c r="P437" i="20" s="1"/>
  <c r="P438" i="20" a="1"/>
  <c r="P438" i="20" s="1"/>
  <c r="P439" i="20" a="1"/>
  <c r="P439" i="20" s="1"/>
  <c r="P440" i="20" a="1"/>
  <c r="P440" i="20" s="1"/>
  <c r="P441" i="20" a="1"/>
  <c r="P441" i="20" s="1"/>
  <c r="P442" i="20" a="1"/>
  <c r="P442" i="20" s="1"/>
  <c r="P443" i="20" a="1"/>
  <c r="P443" i="20" s="1"/>
  <c r="P444" i="20" a="1"/>
  <c r="P444" i="20" s="1"/>
  <c r="P445" i="20" a="1"/>
  <c r="P445" i="20" s="1"/>
  <c r="P446" i="20" a="1"/>
  <c r="P446" i="20" s="1"/>
  <c r="P447" i="20" a="1"/>
  <c r="P447" i="20" s="1"/>
  <c r="P448" i="20" a="1"/>
  <c r="P448" i="20" s="1"/>
  <c r="P449" i="20" a="1"/>
  <c r="P449" i="20" s="1"/>
  <c r="P450" i="20" a="1"/>
  <c r="P450" i="20" s="1"/>
  <c r="P451" i="20" a="1"/>
  <c r="P451" i="20" s="1"/>
  <c r="P452" i="20" a="1"/>
  <c r="P452" i="20" s="1"/>
  <c r="P453" i="20" a="1"/>
  <c r="P453" i="20" s="1"/>
  <c r="P454" i="20" a="1"/>
  <c r="P454" i="20" s="1"/>
  <c r="P455" i="20" a="1"/>
  <c r="P455" i="20" s="1"/>
  <c r="P456" i="20" a="1"/>
  <c r="P456" i="20" s="1"/>
  <c r="P457" i="20" a="1"/>
  <c r="P457" i="20" s="1"/>
  <c r="P458" i="20" a="1"/>
  <c r="P458" i="20" s="1"/>
  <c r="P459" i="20" a="1"/>
  <c r="P459" i="20" s="1"/>
  <c r="P460" i="20" a="1"/>
  <c r="P460" i="20" s="1"/>
  <c r="P461" i="20" a="1"/>
  <c r="P461" i="20" s="1"/>
  <c r="P462" i="20" a="1"/>
  <c r="P462" i="20" s="1"/>
  <c r="P463" i="20" a="1"/>
  <c r="P463" i="20" s="1"/>
  <c r="P464" i="20" a="1"/>
  <c r="P464" i="20" s="1"/>
  <c r="P465" i="20" a="1"/>
  <c r="P465" i="20" s="1"/>
  <c r="P466" i="20" a="1"/>
  <c r="P466" i="20" s="1"/>
  <c r="P467" i="20" a="1"/>
  <c r="P467" i="20" s="1"/>
  <c r="P468" i="20" a="1"/>
  <c r="P468" i="20" s="1"/>
  <c r="P469" i="20" a="1"/>
  <c r="P469" i="20" s="1"/>
  <c r="P470" i="20" a="1"/>
  <c r="P470" i="20" s="1"/>
  <c r="P471" i="20" a="1"/>
  <c r="P471" i="20" s="1"/>
  <c r="P472" i="20" a="1"/>
  <c r="P472" i="20" s="1"/>
  <c r="P473" i="20" a="1"/>
  <c r="P473" i="20" s="1"/>
  <c r="P474" i="20" a="1"/>
  <c r="P474" i="20" s="1"/>
  <c r="P475" i="20" a="1"/>
  <c r="P475" i="20" s="1"/>
  <c r="P476" i="20" a="1"/>
  <c r="P476" i="20" s="1"/>
  <c r="P477" i="20" a="1"/>
  <c r="P477" i="20" s="1"/>
  <c r="P478" i="20" a="1"/>
  <c r="P478" i="20" s="1"/>
  <c r="P479" i="20" a="1"/>
  <c r="P479" i="20" s="1"/>
  <c r="P480" i="20" a="1"/>
  <c r="P480" i="20" s="1"/>
  <c r="P481" i="20" a="1"/>
  <c r="P481" i="20" s="1"/>
  <c r="P482" i="20" a="1"/>
  <c r="P482" i="20" s="1"/>
  <c r="P483" i="20" a="1"/>
  <c r="P483" i="20" s="1"/>
  <c r="P484" i="20" a="1"/>
  <c r="P484" i="20" s="1"/>
  <c r="P485" i="20" a="1"/>
  <c r="P485" i="20" s="1"/>
  <c r="P486" i="20" a="1"/>
  <c r="P486" i="20" s="1"/>
  <c r="P487" i="20" a="1"/>
  <c r="P487" i="20" s="1"/>
  <c r="P488" i="20" a="1"/>
  <c r="P488" i="20" s="1"/>
  <c r="P489" i="20" a="1"/>
  <c r="P489" i="20" s="1"/>
  <c r="P490" i="20" a="1"/>
  <c r="P490" i="20" s="1"/>
  <c r="P491" i="20" a="1"/>
  <c r="P491" i="20" s="1"/>
  <c r="P492" i="20" a="1"/>
  <c r="P492" i="20" s="1"/>
  <c r="P493" i="20" a="1"/>
  <c r="P493" i="20" s="1"/>
  <c r="P494" i="20" a="1"/>
  <c r="P494" i="20" s="1"/>
  <c r="P495" i="20" a="1"/>
  <c r="P495" i="20" s="1"/>
  <c r="P496" i="20" a="1"/>
  <c r="P496" i="20" s="1"/>
  <c r="P497" i="20" a="1"/>
  <c r="P497" i="20" s="1"/>
  <c r="P498" i="20" a="1"/>
  <c r="P498" i="20" s="1"/>
  <c r="P499" i="20" a="1"/>
  <c r="P499" i="20" s="1"/>
  <c r="P500" i="20" a="1"/>
  <c r="P500" i="20" s="1"/>
  <c r="P501" i="20" a="1"/>
  <c r="P501" i="20" s="1"/>
  <c r="P502" i="20" a="1"/>
  <c r="P502" i="20" s="1"/>
  <c r="P503" i="20" a="1"/>
  <c r="P503" i="20" s="1"/>
  <c r="P504" i="20" a="1"/>
  <c r="P504" i="20" s="1"/>
  <c r="P505" i="20" a="1"/>
  <c r="P505" i="20" s="1"/>
  <c r="P506" i="20" a="1"/>
  <c r="P506" i="20" s="1"/>
  <c r="P507" i="20" a="1"/>
  <c r="P507" i="20" s="1"/>
  <c r="P508" i="20" a="1"/>
  <c r="P508" i="20" s="1"/>
  <c r="P509" i="20" a="1"/>
  <c r="P509" i="20" s="1"/>
  <c r="P510" i="20" a="1"/>
  <c r="P510" i="20" s="1"/>
  <c r="P511" i="20" a="1"/>
  <c r="P511" i="20" s="1"/>
  <c r="P512" i="20" a="1"/>
  <c r="P512" i="20" s="1"/>
  <c r="P513" i="20" a="1"/>
  <c r="P513" i="20" s="1"/>
  <c r="P514" i="20" a="1"/>
  <c r="P514" i="20" s="1"/>
  <c r="P515" i="20" a="1"/>
  <c r="P515" i="20" s="1"/>
  <c r="P516" i="20" a="1"/>
  <c r="P516" i="20"/>
  <c r="P517" i="20" a="1"/>
  <c r="P517" i="20"/>
  <c r="P518" i="20" a="1"/>
  <c r="P518" i="20"/>
  <c r="P519" i="20" a="1"/>
  <c r="P519" i="20"/>
  <c r="P520" i="20" a="1"/>
  <c r="P520" i="20"/>
  <c r="P521" i="20" a="1"/>
  <c r="P521" i="20"/>
  <c r="P522" i="20" a="1"/>
  <c r="P522" i="20"/>
  <c r="P523" i="20" a="1"/>
  <c r="P523" i="20"/>
  <c r="P524" i="20" a="1"/>
  <c r="P524" i="20"/>
  <c r="P525" i="20" a="1"/>
  <c r="P525" i="20"/>
  <c r="P526" i="20" a="1"/>
  <c r="P526" i="20"/>
  <c r="P527" i="20" a="1"/>
  <c r="P527" i="20"/>
  <c r="P528" i="20" a="1"/>
  <c r="P528" i="20"/>
  <c r="P529" i="20" a="1"/>
  <c r="P529" i="20"/>
  <c r="P530" i="20" a="1"/>
  <c r="P530" i="20"/>
  <c r="P531" i="20" a="1"/>
  <c r="P531" i="20"/>
  <c r="P532" i="20" a="1"/>
  <c r="P532" i="20"/>
  <c r="P533" i="20" a="1"/>
  <c r="P533" i="20"/>
  <c r="P534" i="20" a="1"/>
  <c r="P534" i="20"/>
  <c r="P535" i="20" a="1"/>
  <c r="P535" i="20"/>
  <c r="P536" i="20" a="1"/>
  <c r="P536" i="20"/>
  <c r="P537" i="20" a="1"/>
  <c r="P537" i="20"/>
  <c r="P538" i="20" a="1"/>
  <c r="P538" i="20"/>
  <c r="P539" i="20" a="1"/>
  <c r="P539" i="20"/>
  <c r="P540" i="20" a="1"/>
  <c r="P540" i="20"/>
  <c r="P541" i="20" a="1"/>
  <c r="P541" i="20"/>
  <c r="P542" i="20" a="1"/>
  <c r="P542" i="20"/>
  <c r="P543" i="20" a="1"/>
  <c r="P543" i="20"/>
  <c r="P544" i="20" a="1"/>
  <c r="P544" i="20"/>
  <c r="P545" i="20" a="1"/>
  <c r="P545" i="20"/>
  <c r="P546" i="20" a="1"/>
  <c r="P546" i="20"/>
  <c r="P547" i="20" a="1"/>
  <c r="P547" i="20"/>
  <c r="P548" i="20" a="1"/>
  <c r="P548" i="20"/>
  <c r="P549" i="20" a="1"/>
  <c r="P549" i="20"/>
  <c r="P550" i="20" a="1"/>
  <c r="P550" i="20"/>
  <c r="P551" i="20" a="1"/>
  <c r="P551" i="20"/>
  <c r="P552" i="20" a="1"/>
  <c r="P552" i="20"/>
  <c r="P553" i="20" a="1"/>
  <c r="P553" i="20"/>
  <c r="P554" i="20" a="1"/>
  <c r="P554" i="20"/>
  <c r="P555" i="20" a="1"/>
  <c r="P555" i="20"/>
  <c r="P556" i="20" a="1"/>
  <c r="P556" i="20"/>
  <c r="P557" i="20" a="1"/>
  <c r="P557" i="20"/>
  <c r="P558" i="20" a="1"/>
  <c r="P558" i="20"/>
  <c r="P559" i="20" a="1"/>
  <c r="P559" i="20"/>
  <c r="P560" i="20" a="1"/>
  <c r="P560" i="20"/>
  <c r="P561" i="20" a="1"/>
  <c r="P561" i="20"/>
  <c r="P562" i="20" a="1"/>
  <c r="P562" i="20"/>
  <c r="P563" i="20" a="1"/>
  <c r="P563" i="20"/>
  <c r="P564" i="20" a="1"/>
  <c r="P564" i="20"/>
  <c r="P565" i="20" a="1"/>
  <c r="P565" i="20"/>
  <c r="P566" i="20" a="1"/>
  <c r="P566" i="20"/>
  <c r="P567" i="20" a="1"/>
  <c r="P567" i="20"/>
  <c r="P568" i="20" a="1"/>
  <c r="P568" i="20"/>
  <c r="P569" i="20" a="1"/>
  <c r="P569" i="20"/>
  <c r="P570" i="20" a="1"/>
  <c r="P570" i="20"/>
  <c r="P571" i="20" a="1"/>
  <c r="P571" i="20"/>
  <c r="P572" i="20" a="1"/>
  <c r="P572" i="20"/>
  <c r="P573" i="20" a="1"/>
  <c r="P573" i="20"/>
  <c r="P574" i="20" a="1"/>
  <c r="P574" i="20"/>
  <c r="P575" i="20" a="1"/>
  <c r="P575" i="20"/>
  <c r="P576" i="20" a="1"/>
  <c r="P576" i="20"/>
  <c r="P577" i="20" a="1"/>
  <c r="P577" i="20"/>
  <c r="P578" i="20" a="1"/>
  <c r="P578" i="20"/>
  <c r="P579" i="20" a="1"/>
  <c r="P579" i="20"/>
  <c r="P580" i="20" a="1"/>
  <c r="P580" i="20"/>
  <c r="P581" i="20" a="1"/>
  <c r="P581" i="20"/>
  <c r="P582" i="20" a="1"/>
  <c r="P582" i="20"/>
  <c r="P583" i="20" a="1"/>
  <c r="P583" i="20"/>
  <c r="P584" i="20" a="1"/>
  <c r="P584" i="20"/>
  <c r="P585" i="20" a="1"/>
  <c r="P585" i="20"/>
  <c r="P586" i="20" a="1"/>
  <c r="P586" i="20"/>
  <c r="P587" i="20" a="1"/>
  <c r="P587" i="20"/>
  <c r="P588" i="20" a="1"/>
  <c r="P588" i="20"/>
  <c r="P589" i="20" a="1"/>
  <c r="P589" i="20"/>
  <c r="P590" i="20" a="1"/>
  <c r="P590" i="20"/>
  <c r="P591" i="20" a="1"/>
  <c r="P591" i="20"/>
  <c r="P592" i="20" a="1"/>
  <c r="P592" i="20"/>
  <c r="P593" i="20" a="1"/>
  <c r="P593" i="20"/>
  <c r="P594" i="20" a="1"/>
  <c r="P594" i="20"/>
  <c r="P595" i="20" a="1"/>
  <c r="P595" i="20" s="1"/>
  <c r="P596" i="20" a="1"/>
  <c r="P596" i="20" s="1"/>
  <c r="P597" i="20" a="1"/>
  <c r="P597" i="20" s="1"/>
  <c r="P598" i="20" a="1"/>
  <c r="P598" i="20" s="1"/>
  <c r="P599" i="20" a="1"/>
  <c r="P599" i="20" s="1"/>
  <c r="P600" i="20" a="1"/>
  <c r="P600" i="20" s="1"/>
  <c r="P601" i="20" a="1"/>
  <c r="P601" i="20" s="1"/>
  <c r="P602" i="20" a="1"/>
  <c r="P602" i="20" s="1"/>
  <c r="P603" i="20" a="1"/>
  <c r="P603" i="20" s="1"/>
  <c r="P604" i="20" a="1"/>
  <c r="P604" i="20" s="1"/>
  <c r="P605" i="20" a="1"/>
  <c r="P605" i="20" s="1"/>
  <c r="P606" i="20" a="1"/>
  <c r="P606" i="20" s="1"/>
  <c r="P607" i="20" a="1"/>
  <c r="P607" i="20" s="1"/>
  <c r="P608" i="20" a="1"/>
  <c r="P608" i="20" s="1"/>
  <c r="P609" i="20" a="1"/>
  <c r="P609" i="20" s="1"/>
  <c r="P610" i="20" a="1"/>
  <c r="P610" i="20" s="1"/>
  <c r="P611" i="20" a="1"/>
  <c r="P611" i="20" s="1"/>
  <c r="P612" i="20" a="1"/>
  <c r="P612" i="20" s="1"/>
  <c r="P613" i="20" a="1"/>
  <c r="P613" i="20" s="1"/>
  <c r="P614" i="20" a="1"/>
  <c r="P614" i="20" s="1"/>
  <c r="P615" i="20" a="1"/>
  <c r="P615" i="20" s="1"/>
  <c r="P616" i="20" a="1"/>
  <c r="P616" i="20" s="1"/>
  <c r="P617" i="20" a="1"/>
  <c r="P617" i="20" s="1"/>
  <c r="P618" i="20" a="1"/>
  <c r="P618" i="20" s="1"/>
  <c r="P619" i="20" a="1"/>
  <c r="P619" i="20" s="1"/>
  <c r="P620" i="20" a="1"/>
  <c r="P620" i="20" s="1"/>
  <c r="P621" i="20" a="1"/>
  <c r="P621" i="20" s="1"/>
  <c r="P622" i="20" a="1"/>
  <c r="P622" i="20" s="1"/>
  <c r="P623" i="20" a="1"/>
  <c r="P623" i="20" s="1"/>
  <c r="P624" i="20" a="1"/>
  <c r="P624" i="20" s="1"/>
  <c r="P625" i="20" a="1"/>
  <c r="P625" i="20" s="1"/>
  <c r="P626" i="20" a="1"/>
  <c r="P626" i="20" s="1"/>
  <c r="P627" i="20" a="1"/>
  <c r="P627" i="20" s="1"/>
  <c r="P628" i="20" a="1"/>
  <c r="P628" i="20" s="1"/>
  <c r="P629" i="20" a="1"/>
  <c r="P629" i="20" s="1"/>
  <c r="P630" i="20" a="1"/>
  <c r="P630" i="20" s="1"/>
  <c r="P631" i="20" a="1"/>
  <c r="P631" i="20" s="1"/>
  <c r="P632" i="20" a="1"/>
  <c r="P632" i="20" s="1"/>
  <c r="P633" i="20" a="1"/>
  <c r="P633" i="20" s="1"/>
  <c r="P634" i="20" a="1"/>
  <c r="P634" i="20" s="1"/>
  <c r="P635" i="20" a="1"/>
  <c r="P635" i="20" s="1"/>
  <c r="P636" i="20" a="1"/>
  <c r="P636" i="20" s="1"/>
  <c r="P637" i="20" a="1"/>
  <c r="P637" i="20" s="1"/>
  <c r="P638" i="20" a="1"/>
  <c r="P638" i="20" s="1"/>
  <c r="P639" i="20" a="1"/>
  <c r="P639" i="20" s="1"/>
  <c r="P640" i="20" a="1"/>
  <c r="P640" i="20" s="1"/>
  <c r="P641" i="20" a="1"/>
  <c r="P641" i="20" s="1"/>
  <c r="P642" i="20" a="1"/>
  <c r="P642" i="20" s="1"/>
  <c r="P643" i="20" a="1"/>
  <c r="P643" i="20" s="1"/>
  <c r="P644" i="20" a="1"/>
  <c r="P644" i="20" s="1"/>
  <c r="P645" i="20" a="1"/>
  <c r="P645" i="20" s="1"/>
  <c r="P646" i="20" a="1"/>
  <c r="P646" i="20" s="1"/>
  <c r="P647" i="20" a="1"/>
  <c r="P647" i="20" s="1"/>
  <c r="P648" i="20" a="1"/>
  <c r="P648" i="20" s="1"/>
  <c r="P649" i="20" a="1"/>
  <c r="P649" i="20" s="1"/>
  <c r="P650" i="20" a="1"/>
  <c r="P650" i="20" s="1"/>
  <c r="P651" i="20" a="1"/>
  <c r="P651" i="20" s="1"/>
  <c r="P652" i="20" a="1"/>
  <c r="P652" i="20" s="1"/>
  <c r="P653" i="20" a="1"/>
  <c r="P653" i="20" s="1"/>
  <c r="P654" i="20" a="1"/>
  <c r="P654" i="20" s="1"/>
  <c r="P655" i="20" a="1"/>
  <c r="P655" i="20" s="1"/>
  <c r="P656" i="20" a="1"/>
  <c r="P656" i="20" s="1"/>
  <c r="P657" i="20" a="1"/>
  <c r="P657" i="20" s="1"/>
  <c r="P658" i="20" a="1"/>
  <c r="P658" i="20" s="1"/>
  <c r="P659" i="20" a="1"/>
  <c r="P659" i="20" s="1"/>
  <c r="P660" i="20" a="1"/>
  <c r="P660" i="20" s="1"/>
  <c r="P661" i="20" a="1"/>
  <c r="P661" i="20" s="1"/>
  <c r="P662" i="20" a="1"/>
  <c r="P662" i="20" s="1"/>
  <c r="P663" i="20" a="1"/>
  <c r="P663" i="20" s="1"/>
  <c r="P664" i="20" a="1"/>
  <c r="P664" i="20" s="1"/>
  <c r="P665" i="20" a="1"/>
  <c r="P665" i="20" s="1"/>
  <c r="P666" i="20" a="1"/>
  <c r="P666" i="20" s="1"/>
  <c r="P667" i="20" a="1"/>
  <c r="P667" i="20" s="1"/>
  <c r="P668" i="20" a="1"/>
  <c r="P668" i="20" s="1"/>
  <c r="P669" i="20" a="1"/>
  <c r="P669" i="20" s="1"/>
  <c r="P670" i="20" a="1"/>
  <c r="P670" i="20" s="1"/>
  <c r="P671" i="20" a="1"/>
  <c r="P671" i="20" s="1"/>
  <c r="P672" i="20" a="1"/>
  <c r="P672" i="20" s="1"/>
  <c r="P673" i="20" a="1"/>
  <c r="P673" i="20" s="1"/>
  <c r="P674" i="20" a="1"/>
  <c r="P674" i="20" s="1"/>
  <c r="P675" i="20" a="1"/>
  <c r="P675" i="20" s="1"/>
  <c r="P676" i="20" a="1"/>
  <c r="P676" i="20" s="1"/>
  <c r="P677" i="20" a="1"/>
  <c r="P677" i="20" s="1"/>
  <c r="P678" i="20" a="1"/>
  <c r="P678" i="20" s="1"/>
  <c r="P679" i="20" a="1"/>
  <c r="P679" i="20" s="1"/>
  <c r="P680" i="20" a="1"/>
  <c r="P680" i="20" s="1"/>
  <c r="P681" i="20" a="1"/>
  <c r="P681" i="20" s="1"/>
  <c r="P682" i="20" a="1"/>
  <c r="P682" i="20" s="1"/>
  <c r="P683" i="20" a="1"/>
  <c r="P683" i="20" s="1"/>
  <c r="P684" i="20" a="1"/>
  <c r="P684" i="20" s="1"/>
  <c r="P685" i="20" a="1"/>
  <c r="P685" i="20" s="1"/>
  <c r="P686" i="20" a="1"/>
  <c r="P686" i="20" s="1"/>
  <c r="P687" i="20" a="1"/>
  <c r="P687" i="20" s="1"/>
  <c r="P688" i="20" a="1"/>
  <c r="P688" i="20" s="1"/>
  <c r="P689" i="20" a="1"/>
  <c r="P689" i="20" s="1"/>
  <c r="P690" i="20" a="1"/>
  <c r="P690" i="20" s="1"/>
  <c r="P691" i="20" a="1"/>
  <c r="P691" i="20" s="1"/>
  <c r="P692" i="20" a="1"/>
  <c r="P692" i="20" s="1"/>
  <c r="P693" i="20" a="1"/>
  <c r="P693" i="20" s="1"/>
  <c r="P694" i="20" a="1"/>
  <c r="P694" i="20" s="1"/>
  <c r="P695" i="20" a="1"/>
  <c r="P695" i="20" s="1"/>
  <c r="P696" i="20" a="1"/>
  <c r="P696" i="20" s="1"/>
  <c r="P697" i="20" a="1"/>
  <c r="P697" i="20" s="1"/>
  <c r="P698" i="20" a="1"/>
  <c r="P698" i="20" s="1"/>
  <c r="P699" i="20" a="1"/>
  <c r="P699" i="20" s="1"/>
  <c r="P700" i="20" a="1"/>
  <c r="P700" i="20" s="1"/>
  <c r="P701" i="20" a="1"/>
  <c r="P701" i="20" s="1"/>
  <c r="P702" i="20" a="1"/>
  <c r="P702" i="20" s="1"/>
  <c r="P703" i="20" a="1"/>
  <c r="P703" i="20" s="1"/>
  <c r="P704" i="20" a="1"/>
  <c r="P704" i="20" s="1"/>
  <c r="P705" i="20" a="1"/>
  <c r="P705" i="20" s="1"/>
  <c r="P706" i="20" a="1"/>
  <c r="P706" i="20" s="1"/>
  <c r="P707" i="20" a="1"/>
  <c r="P707" i="20" s="1"/>
  <c r="P708" i="20" a="1"/>
  <c r="P708" i="20" s="1"/>
  <c r="P709" i="20" a="1"/>
  <c r="P709" i="20" s="1"/>
  <c r="P710" i="20" a="1"/>
  <c r="P710" i="20" s="1"/>
  <c r="P711" i="20" a="1"/>
  <c r="P711" i="20" s="1"/>
  <c r="P712" i="20" a="1"/>
  <c r="P712" i="20" s="1"/>
  <c r="P713" i="20" a="1"/>
  <c r="P713" i="20" s="1"/>
  <c r="P714" i="20" a="1"/>
  <c r="P714" i="20" s="1"/>
  <c r="P715" i="20" a="1"/>
  <c r="P715" i="20" s="1"/>
  <c r="P716" i="20" a="1"/>
  <c r="P716" i="20" s="1"/>
  <c r="P717" i="20" a="1"/>
  <c r="P717" i="20" s="1"/>
  <c r="P718" i="20" a="1"/>
  <c r="P718" i="20" s="1"/>
  <c r="P719" i="20" a="1"/>
  <c r="P719" i="20" s="1"/>
  <c r="P720" i="20" a="1"/>
  <c r="P720" i="20" s="1"/>
  <c r="P721" i="20" a="1"/>
  <c r="P721" i="20" s="1"/>
  <c r="P722" i="20" a="1"/>
  <c r="P722" i="20" s="1"/>
  <c r="P723" i="20" a="1"/>
  <c r="P723" i="20" s="1"/>
  <c r="P724" i="20" a="1"/>
  <c r="P724" i="20" s="1"/>
  <c r="P725" i="20" a="1"/>
  <c r="P725" i="20" s="1"/>
  <c r="P726" i="20" a="1"/>
  <c r="P726" i="20" s="1"/>
  <c r="P727" i="20" a="1"/>
  <c r="P727" i="20" s="1"/>
  <c r="P728" i="20" a="1"/>
  <c r="P728" i="20" s="1"/>
  <c r="P729" i="20" a="1"/>
  <c r="P729" i="20" s="1"/>
  <c r="P730" i="20" a="1"/>
  <c r="P730" i="20" s="1"/>
  <c r="P731" i="20" a="1"/>
  <c r="P731" i="20" s="1"/>
  <c r="P732" i="20" a="1"/>
  <c r="P732" i="20" s="1"/>
  <c r="P733" i="20" a="1"/>
  <c r="P733" i="20" s="1"/>
  <c r="P734" i="20" a="1"/>
  <c r="P734" i="20" s="1"/>
  <c r="P735" i="20" a="1"/>
  <c r="P735" i="20" s="1"/>
  <c r="P736" i="20" a="1"/>
  <c r="P736" i="20" s="1"/>
  <c r="P737" i="20" a="1"/>
  <c r="P737" i="20" s="1"/>
  <c r="P738" i="20" a="1"/>
  <c r="P738" i="20" s="1"/>
  <c r="P739" i="20" a="1"/>
  <c r="P739" i="20" s="1"/>
  <c r="P740" i="20" a="1"/>
  <c r="P740" i="20" s="1"/>
  <c r="P741" i="20" a="1"/>
  <c r="P741" i="20" s="1"/>
  <c r="P742" i="20" a="1"/>
  <c r="P742" i="20" s="1"/>
  <c r="P743" i="20" a="1"/>
  <c r="P743" i="20" s="1"/>
  <c r="P744" i="20" a="1"/>
  <c r="P744" i="20" s="1"/>
  <c r="P745" i="20" a="1"/>
  <c r="P745" i="20" s="1"/>
  <c r="P746" i="20" a="1"/>
  <c r="P746" i="20" s="1"/>
  <c r="P747" i="20" a="1"/>
  <c r="P747" i="20" s="1"/>
  <c r="P748" i="20" a="1"/>
  <c r="P748" i="20" s="1"/>
  <c r="P749" i="20" a="1"/>
  <c r="P749" i="20" s="1"/>
  <c r="P750" i="20" a="1"/>
  <c r="P750" i="20" s="1"/>
  <c r="P751" i="20" a="1"/>
  <c r="P751" i="20" s="1"/>
  <c r="P752" i="20" a="1"/>
  <c r="P752" i="20" s="1"/>
  <c r="P753" i="20" a="1"/>
  <c r="P753" i="20" s="1"/>
  <c r="P754" i="20" a="1"/>
  <c r="P754" i="20" s="1"/>
  <c r="P755" i="20" a="1"/>
  <c r="P755" i="20" s="1"/>
  <c r="P756" i="20" a="1"/>
  <c r="P756" i="20" s="1"/>
  <c r="P757" i="20" a="1"/>
  <c r="P757" i="20" s="1"/>
  <c r="P758" i="20" a="1"/>
  <c r="P758" i="20" s="1"/>
  <c r="P759" i="20" a="1"/>
  <c r="P759" i="20" s="1"/>
  <c r="P760" i="20" a="1"/>
  <c r="P760" i="20" s="1"/>
  <c r="P761" i="20" a="1"/>
  <c r="P761" i="20" s="1"/>
  <c r="P762" i="20" a="1"/>
  <c r="P762" i="20" s="1"/>
  <c r="P763" i="20" a="1"/>
  <c r="P763" i="20" s="1"/>
  <c r="P764" i="20" a="1"/>
  <c r="P764" i="20" s="1"/>
  <c r="P765" i="20" a="1"/>
  <c r="P765" i="20" s="1"/>
  <c r="P766" i="20" a="1"/>
  <c r="P766" i="20" s="1"/>
  <c r="P767" i="20" a="1"/>
  <c r="P767" i="20" s="1"/>
  <c r="P768" i="20" a="1"/>
  <c r="P768" i="20" s="1"/>
  <c r="P769" i="20" a="1"/>
  <c r="P769" i="20" s="1"/>
  <c r="P770" i="20" a="1"/>
  <c r="P770" i="20" s="1"/>
  <c r="P771" i="20" a="1"/>
  <c r="P771" i="20" s="1"/>
  <c r="P772" i="20" a="1"/>
  <c r="P772" i="20" s="1"/>
  <c r="P773" i="20" a="1"/>
  <c r="P773" i="20" s="1"/>
  <c r="P774" i="20" a="1"/>
  <c r="P774" i="20" s="1"/>
  <c r="P775" i="20" a="1"/>
  <c r="P775" i="20" s="1"/>
  <c r="P776" i="20" a="1"/>
  <c r="P776" i="20" s="1"/>
  <c r="P777" i="20" a="1"/>
  <c r="P777" i="20" s="1"/>
  <c r="P778" i="20" a="1"/>
  <c r="P778" i="20" s="1"/>
  <c r="P779" i="20" a="1"/>
  <c r="P779" i="20" s="1"/>
  <c r="P780" i="20" a="1"/>
  <c r="P780" i="20" s="1"/>
  <c r="P781" i="20" a="1"/>
  <c r="P781" i="20" s="1"/>
  <c r="P782" i="20" a="1"/>
  <c r="P782" i="20" s="1"/>
  <c r="P783" i="20" a="1"/>
  <c r="P783" i="20" s="1"/>
  <c r="P784" i="20" a="1"/>
  <c r="P784" i="20" s="1"/>
  <c r="P785" i="20" a="1"/>
  <c r="P785" i="20" s="1"/>
  <c r="P786" i="20" a="1"/>
  <c r="P786" i="20" s="1"/>
  <c r="P787" i="20" a="1"/>
  <c r="P787" i="20" s="1"/>
  <c r="P788" i="20" a="1"/>
  <c r="P788" i="20" s="1"/>
  <c r="P789" i="20" a="1"/>
  <c r="P789" i="20" s="1"/>
  <c r="P790" i="20" a="1"/>
  <c r="P790" i="20" s="1"/>
  <c r="P791" i="20" a="1"/>
  <c r="P791" i="20" s="1"/>
  <c r="P792" i="20" a="1"/>
  <c r="P792" i="20" s="1"/>
  <c r="P793" i="20" a="1"/>
  <c r="P793" i="20" s="1"/>
  <c r="P794" i="20" a="1"/>
  <c r="P794" i="20" s="1"/>
  <c r="P795" i="20" a="1"/>
  <c r="P795" i="20" s="1"/>
  <c r="P796" i="20" a="1"/>
  <c r="P796" i="20" s="1"/>
  <c r="P797" i="20" a="1"/>
  <c r="P797" i="20" s="1"/>
  <c r="P798" i="20" a="1"/>
  <c r="P798" i="20" s="1"/>
  <c r="P799" i="20" a="1"/>
  <c r="P799" i="20" s="1"/>
  <c r="P800" i="20" a="1"/>
  <c r="P800" i="20" s="1"/>
  <c r="P801" i="20" a="1"/>
  <c r="P801" i="20" s="1"/>
  <c r="P802" i="20" a="1"/>
  <c r="P802" i="20" s="1"/>
  <c r="P803" i="20" a="1"/>
  <c r="P803" i="20" s="1"/>
  <c r="P804" i="20" a="1"/>
  <c r="P804" i="20" s="1"/>
  <c r="P805" i="20" a="1"/>
  <c r="P805" i="20" s="1"/>
  <c r="P806" i="20" a="1"/>
  <c r="P806" i="20" s="1"/>
  <c r="P807" i="20" a="1"/>
  <c r="P807" i="20" s="1"/>
  <c r="P808" i="20" a="1"/>
  <c r="P808" i="20" s="1"/>
  <c r="P809" i="20" a="1"/>
  <c r="P809" i="20" s="1"/>
  <c r="P810" i="20" a="1"/>
  <c r="P810" i="20" s="1"/>
  <c r="P811" i="20" a="1"/>
  <c r="P811" i="20" s="1"/>
  <c r="P812" i="20" a="1"/>
  <c r="P812" i="20" s="1"/>
  <c r="P813" i="20" a="1"/>
  <c r="P813" i="20" s="1"/>
  <c r="P814" i="20" a="1"/>
  <c r="P814" i="20" s="1"/>
  <c r="P815" i="20" a="1"/>
  <c r="P815" i="20" s="1"/>
  <c r="P816" i="20" a="1"/>
  <c r="P816" i="20" s="1"/>
  <c r="P817" i="20" a="1"/>
  <c r="P817" i="20" s="1"/>
  <c r="P818" i="20" a="1"/>
  <c r="P818" i="20" s="1"/>
  <c r="P819" i="20" a="1"/>
  <c r="P819" i="20" s="1"/>
  <c r="P820" i="20" a="1"/>
  <c r="P820" i="20" s="1"/>
  <c r="P821" i="20" a="1"/>
  <c r="P821" i="20" s="1"/>
  <c r="P822" i="20" a="1"/>
  <c r="P822" i="20" s="1"/>
  <c r="P823" i="20" a="1"/>
  <c r="P823" i="20" s="1"/>
  <c r="P824" i="20" a="1"/>
  <c r="P824" i="20" s="1"/>
  <c r="P825" i="20" a="1"/>
  <c r="P825" i="20" s="1"/>
  <c r="P826" i="20" a="1"/>
  <c r="P826" i="20" s="1"/>
  <c r="P827" i="20" a="1"/>
  <c r="P827" i="20" s="1"/>
  <c r="P828" i="20" a="1"/>
  <c r="P828" i="20" s="1"/>
  <c r="P829" i="20" a="1"/>
  <c r="P829" i="20" s="1"/>
  <c r="P830" i="20" a="1"/>
  <c r="P830" i="20" s="1"/>
  <c r="P831" i="20" a="1"/>
  <c r="P831" i="20" s="1"/>
  <c r="P832" i="20" a="1"/>
  <c r="P832" i="20" s="1"/>
  <c r="P833" i="20" a="1"/>
  <c r="P833" i="20" s="1"/>
  <c r="P834" i="20" a="1"/>
  <c r="P834" i="20" s="1"/>
  <c r="P835" i="20" a="1"/>
  <c r="P835" i="20" s="1"/>
  <c r="P836" i="20" a="1"/>
  <c r="P836" i="20" s="1"/>
  <c r="P837" i="20" a="1"/>
  <c r="P837" i="20" s="1"/>
  <c r="P838" i="20" a="1"/>
  <c r="P838" i="20" s="1"/>
  <c r="P839" i="20" a="1"/>
  <c r="P839" i="20" s="1"/>
  <c r="P840" i="20" a="1"/>
  <c r="P840" i="20" s="1"/>
  <c r="P841" i="20" a="1"/>
  <c r="P841" i="20" s="1"/>
  <c r="P842" i="20" a="1"/>
  <c r="P842" i="20" s="1"/>
  <c r="P843" i="20" a="1"/>
  <c r="P843" i="20" s="1"/>
  <c r="P844" i="20" a="1"/>
  <c r="P844" i="20" s="1"/>
  <c r="P845" i="20" a="1"/>
  <c r="P845" i="20" s="1"/>
  <c r="P846" i="20" a="1"/>
  <c r="P846" i="20" s="1"/>
  <c r="P847" i="20" a="1"/>
  <c r="P847" i="20" s="1"/>
  <c r="P848" i="20" a="1"/>
  <c r="P848" i="20" s="1"/>
  <c r="P849" i="20" a="1"/>
  <c r="P849" i="20" s="1"/>
  <c r="P850" i="20" a="1"/>
  <c r="P850" i="20" s="1"/>
  <c r="P851" i="20" a="1"/>
  <c r="P851" i="20" s="1"/>
  <c r="P852" i="20" a="1"/>
  <c r="P852" i="20" s="1"/>
  <c r="P853" i="20" a="1"/>
  <c r="P853" i="20" s="1"/>
  <c r="P854" i="20" a="1"/>
  <c r="P854" i="20" s="1"/>
  <c r="P855" i="20" a="1"/>
  <c r="P855" i="20" s="1"/>
  <c r="P856" i="20" a="1"/>
  <c r="P856" i="20" s="1"/>
  <c r="P857" i="20" a="1"/>
  <c r="P857" i="20" s="1"/>
  <c r="P858" i="20" a="1"/>
  <c r="P858" i="20" s="1"/>
  <c r="P859" i="20" a="1"/>
  <c r="P859" i="20" s="1"/>
  <c r="P860" i="20" a="1"/>
  <c r="P860" i="20" s="1"/>
  <c r="P861" i="20" a="1"/>
  <c r="P861" i="20" s="1"/>
  <c r="P862" i="20" a="1"/>
  <c r="P862" i="20" s="1"/>
  <c r="P863" i="20" a="1"/>
  <c r="P863" i="20" s="1"/>
  <c r="P864" i="20" a="1"/>
  <c r="P864" i="20" s="1"/>
  <c r="P865" i="20" a="1"/>
  <c r="P865" i="20" s="1"/>
  <c r="P866" i="20" a="1"/>
  <c r="P866" i="20" s="1"/>
  <c r="P867" i="20" a="1"/>
  <c r="P867" i="20" s="1"/>
  <c r="P868" i="20" a="1"/>
  <c r="P868" i="20" s="1"/>
  <c r="P869" i="20" a="1"/>
  <c r="P869" i="20" s="1"/>
  <c r="P870" i="20" a="1"/>
  <c r="P870" i="20" s="1"/>
  <c r="P871" i="20" a="1"/>
  <c r="P871" i="20" s="1"/>
  <c r="P872" i="20" a="1"/>
  <c r="P872" i="20" s="1"/>
  <c r="P873" i="20" a="1"/>
  <c r="P873" i="20" s="1"/>
  <c r="P874" i="20" a="1"/>
  <c r="P874" i="20" s="1"/>
  <c r="P875" i="20" a="1"/>
  <c r="P875" i="20" s="1"/>
  <c r="P876" i="20" a="1"/>
  <c r="P876" i="20" s="1"/>
  <c r="P877" i="20" a="1"/>
  <c r="P877" i="20" s="1"/>
  <c r="P878" i="20" a="1"/>
  <c r="P878" i="20" s="1"/>
  <c r="P879" i="20" a="1"/>
  <c r="P879" i="20" s="1"/>
  <c r="P880" i="20" a="1"/>
  <c r="P880" i="20" s="1"/>
  <c r="P881" i="20" a="1"/>
  <c r="P881" i="20" s="1"/>
  <c r="P882" i="20" a="1"/>
  <c r="P882" i="20" s="1"/>
  <c r="P883" i="20" a="1"/>
  <c r="P883" i="20" s="1"/>
  <c r="P884" i="20" a="1"/>
  <c r="P884" i="20" s="1"/>
  <c r="P885" i="20" a="1"/>
  <c r="P885" i="20" s="1"/>
  <c r="P886" i="20" a="1"/>
  <c r="P886" i="20" s="1"/>
  <c r="P887" i="20" a="1"/>
  <c r="P887" i="20" s="1"/>
  <c r="P888" i="20" a="1"/>
  <c r="P888" i="20" s="1"/>
  <c r="P889" i="20" a="1"/>
  <c r="P889" i="20" s="1"/>
  <c r="P890" i="20" a="1"/>
  <c r="P890" i="20" s="1"/>
  <c r="P891" i="20" a="1"/>
  <c r="P891" i="20" s="1"/>
  <c r="P892" i="20" a="1"/>
  <c r="P892" i="20" s="1"/>
  <c r="P893" i="20" a="1"/>
  <c r="P893" i="20" s="1"/>
  <c r="P894" i="20" a="1"/>
  <c r="P894" i="20" s="1"/>
  <c r="P895" i="20" a="1"/>
  <c r="P895" i="20" s="1"/>
  <c r="P896" i="20" a="1"/>
  <c r="P896" i="20" s="1"/>
  <c r="P897" i="20" a="1"/>
  <c r="P897" i="20" s="1"/>
  <c r="P898" i="20" a="1"/>
  <c r="P898" i="20" s="1"/>
  <c r="P899" i="20" a="1"/>
  <c r="P899" i="20" s="1"/>
  <c r="P900" i="20" a="1"/>
  <c r="P900" i="20" s="1"/>
  <c r="P901" i="20" a="1"/>
  <c r="P901" i="20" s="1"/>
  <c r="P902" i="20" a="1"/>
  <c r="P902" i="20" s="1"/>
  <c r="P903" i="20" a="1"/>
  <c r="P903" i="20" s="1"/>
  <c r="P904" i="20" a="1"/>
  <c r="P904" i="20" s="1"/>
  <c r="P905" i="20" a="1"/>
  <c r="P905" i="20" s="1"/>
  <c r="P906" i="20" a="1"/>
  <c r="P906" i="20" s="1"/>
  <c r="P907" i="20" a="1"/>
  <c r="P907" i="20" s="1"/>
  <c r="P908" i="20" a="1"/>
  <c r="P908" i="20" s="1"/>
  <c r="P909" i="20" a="1"/>
  <c r="P909" i="20" s="1"/>
  <c r="P910" i="20" a="1"/>
  <c r="P910" i="20" s="1"/>
  <c r="P911" i="20" a="1"/>
  <c r="P911" i="20" s="1"/>
  <c r="P912" i="20" a="1"/>
  <c r="P912" i="20" s="1"/>
  <c r="P913" i="20" a="1"/>
  <c r="P913" i="20" s="1"/>
  <c r="P914" i="20" a="1"/>
  <c r="P914" i="20" s="1"/>
  <c r="P915" i="20" a="1"/>
  <c r="P915" i="20" s="1"/>
  <c r="P916" i="20" a="1"/>
  <c r="P916" i="20" s="1"/>
  <c r="P917" i="20" a="1"/>
  <c r="P917" i="20" s="1"/>
  <c r="P918" i="20" a="1"/>
  <c r="P918" i="20" s="1"/>
  <c r="P919" i="20" a="1"/>
  <c r="P919" i="20" s="1"/>
  <c r="P920" i="20" a="1"/>
  <c r="P920" i="20" s="1"/>
  <c r="P921" i="20" a="1"/>
  <c r="P921" i="20" s="1"/>
  <c r="P922" i="20" a="1"/>
  <c r="P922" i="20" s="1"/>
  <c r="P923" i="20" a="1"/>
  <c r="P923" i="20" s="1"/>
  <c r="P924" i="20" a="1"/>
  <c r="P924" i="20" s="1"/>
  <c r="P925" i="20" a="1"/>
  <c r="P925" i="20" s="1"/>
  <c r="P926" i="20" a="1"/>
  <c r="P926" i="20" s="1"/>
  <c r="P927" i="20" a="1"/>
  <c r="P927" i="20" s="1"/>
  <c r="P928" i="20" a="1"/>
  <c r="P928" i="20" s="1"/>
  <c r="P929" i="20" a="1"/>
  <c r="P929" i="20" s="1"/>
  <c r="P930" i="20" a="1"/>
  <c r="P930" i="20" s="1"/>
  <c r="P931" i="20" a="1"/>
  <c r="P931" i="20" s="1"/>
  <c r="P932" i="20" a="1"/>
  <c r="P932" i="20" s="1"/>
  <c r="P933" i="20" a="1"/>
  <c r="P933" i="20" s="1"/>
  <c r="P934" i="20" a="1"/>
  <c r="P934" i="20" s="1"/>
  <c r="P935" i="20" a="1"/>
  <c r="P935" i="20" s="1"/>
  <c r="P936" i="20" a="1"/>
  <c r="P936" i="20" s="1"/>
  <c r="P937" i="20" a="1"/>
  <c r="P937" i="20" s="1"/>
  <c r="P938" i="20" a="1"/>
  <c r="P938" i="20" s="1"/>
  <c r="P939" i="20" a="1"/>
  <c r="P939" i="20" s="1"/>
  <c r="P940" i="20" a="1"/>
  <c r="P940" i="20" s="1"/>
  <c r="P941" i="20" a="1"/>
  <c r="P941" i="20" s="1"/>
  <c r="P942" i="20" a="1"/>
  <c r="P942" i="20" s="1"/>
  <c r="P943" i="20" a="1"/>
  <c r="P943" i="20" s="1"/>
  <c r="P944" i="20" a="1"/>
  <c r="P944" i="20" s="1"/>
  <c r="P945" i="20" a="1"/>
  <c r="P945" i="20" s="1"/>
  <c r="P946" i="20" a="1"/>
  <c r="P946" i="20" s="1"/>
  <c r="P947" i="20" a="1"/>
  <c r="P947" i="20" s="1"/>
  <c r="P948" i="20" a="1"/>
  <c r="P948" i="20" s="1"/>
  <c r="P949" i="20" a="1"/>
  <c r="P949" i="20" s="1"/>
  <c r="P950" i="20" a="1"/>
  <c r="P950" i="20" s="1"/>
  <c r="P951" i="20" a="1"/>
  <c r="P951" i="20" s="1"/>
  <c r="P952" i="20" a="1"/>
  <c r="P952" i="20" s="1"/>
  <c r="P953" i="20" a="1"/>
  <c r="P953" i="20" s="1"/>
  <c r="P954" i="20" a="1"/>
  <c r="P954" i="20" s="1"/>
  <c r="P955" i="20" a="1"/>
  <c r="P955" i="20" s="1"/>
  <c r="P956" i="20" a="1"/>
  <c r="P956" i="20" s="1"/>
  <c r="P957" i="20" a="1"/>
  <c r="P957" i="20" s="1"/>
  <c r="P958" i="20" a="1"/>
  <c r="P958" i="20" s="1"/>
  <c r="P959" i="20" a="1"/>
  <c r="P959" i="20" s="1"/>
  <c r="P960" i="20" a="1"/>
  <c r="P960" i="20" s="1"/>
  <c r="P961" i="20" a="1"/>
  <c r="P961" i="20" s="1"/>
  <c r="P962" i="20" a="1"/>
  <c r="P962" i="20" s="1"/>
  <c r="P963" i="20" a="1"/>
  <c r="P963" i="20" s="1"/>
  <c r="P964" i="20" a="1"/>
  <c r="P964" i="20" s="1"/>
  <c r="P965" i="20" a="1"/>
  <c r="P965" i="20" s="1"/>
  <c r="P966" i="20" a="1"/>
  <c r="P966" i="20" s="1"/>
  <c r="P967" i="20" a="1"/>
  <c r="P967" i="20" s="1"/>
  <c r="P968" i="20" a="1"/>
  <c r="P968" i="20" s="1"/>
  <c r="P969" i="20" a="1"/>
  <c r="P969" i="20" s="1"/>
  <c r="P970" i="20" a="1"/>
  <c r="P970" i="20" s="1"/>
  <c r="P971" i="20" a="1"/>
  <c r="P971" i="20" s="1"/>
  <c r="P972" i="20" a="1"/>
  <c r="P972" i="20" s="1"/>
  <c r="P973" i="20" a="1"/>
  <c r="P973" i="20" s="1"/>
  <c r="P974" i="20" a="1"/>
  <c r="P974" i="20" s="1"/>
  <c r="P975" i="20" a="1"/>
  <c r="P975" i="20" s="1"/>
  <c r="P976" i="20" a="1"/>
  <c r="P976" i="20" s="1"/>
  <c r="P977" i="20" a="1"/>
  <c r="P977" i="20" s="1"/>
  <c r="P978" i="20" a="1"/>
  <c r="P978" i="20" s="1"/>
  <c r="P979" i="20" a="1"/>
  <c r="P979" i="20" s="1"/>
  <c r="P980" i="20" a="1"/>
  <c r="P980" i="20" s="1"/>
  <c r="P981" i="20" a="1"/>
  <c r="P981" i="20" s="1"/>
  <c r="P982" i="20" a="1"/>
  <c r="P982" i="20" s="1"/>
  <c r="P983" i="20" a="1"/>
  <c r="P983" i="20" s="1"/>
  <c r="P984" i="20" a="1"/>
  <c r="P984" i="20" s="1"/>
  <c r="P985" i="20" a="1"/>
  <c r="P985" i="20" s="1"/>
  <c r="P986" i="20" a="1"/>
  <c r="P986" i="20" s="1"/>
  <c r="P987" i="20" a="1"/>
  <c r="P987" i="20" s="1"/>
  <c r="P988" i="20" a="1"/>
  <c r="P988" i="20" s="1"/>
  <c r="P989" i="20" a="1"/>
  <c r="P989" i="20" s="1"/>
  <c r="P990" i="20" a="1"/>
  <c r="P990" i="20" s="1"/>
  <c r="P991" i="20" a="1"/>
  <c r="P991" i="20" s="1"/>
  <c r="P992" i="20" a="1"/>
  <c r="P992" i="20" s="1"/>
  <c r="P993" i="20" a="1"/>
  <c r="P993" i="20" s="1"/>
  <c r="P994" i="20" a="1"/>
  <c r="P994" i="20" s="1"/>
  <c r="P995" i="20" a="1"/>
  <c r="P995" i="20" s="1"/>
  <c r="P996" i="20" a="1"/>
  <c r="P996" i="20" s="1"/>
  <c r="P997" i="20" a="1"/>
  <c r="P997" i="20" s="1"/>
  <c r="P998" i="20" a="1"/>
  <c r="P998" i="20" s="1"/>
  <c r="P999" i="20" a="1"/>
  <c r="P999" i="20" s="1"/>
  <c r="P1000" i="20" a="1"/>
  <c r="P1000" i="20" s="1"/>
  <c r="P1001" i="20" a="1"/>
  <c r="P1001" i="20" s="1"/>
  <c r="P1002" i="20" a="1"/>
  <c r="P1002" i="20" s="1"/>
  <c r="P1003" i="20" a="1"/>
  <c r="P1003" i="20" s="1"/>
  <c r="P1004" i="20" a="1"/>
  <c r="P1004" i="20" s="1"/>
  <c r="P1005" i="20" a="1"/>
  <c r="P1005" i="20" s="1"/>
  <c r="P1006" i="20" a="1"/>
  <c r="P1006" i="20" s="1"/>
  <c r="P1007" i="20" a="1"/>
  <c r="P1007" i="20" s="1"/>
  <c r="P1008" i="20" a="1"/>
  <c r="P1008" i="20" s="1"/>
  <c r="P1009" i="20" a="1"/>
  <c r="P1009" i="20" s="1"/>
  <c r="P1010" i="20" a="1"/>
  <c r="P1010" i="20" s="1"/>
  <c r="P1011" i="20" a="1"/>
  <c r="P1011" i="20" s="1"/>
  <c r="P1012" i="20" a="1"/>
  <c r="P1012" i="20" s="1"/>
  <c r="P1013" i="20" a="1"/>
  <c r="P1013" i="20" s="1"/>
  <c r="P1014" i="20" a="1"/>
  <c r="P1014" i="20" s="1"/>
  <c r="P1015" i="20" a="1"/>
  <c r="P1015" i="20" s="1"/>
  <c r="P1016" i="20" a="1"/>
  <c r="P1016" i="20" s="1"/>
  <c r="P1017" i="20" a="1"/>
  <c r="P1017" i="20" s="1"/>
  <c r="P1018" i="20" a="1"/>
  <c r="P1018" i="20" s="1"/>
  <c r="P1019" i="20" a="1"/>
  <c r="P1019" i="20" s="1"/>
  <c r="P1020" i="20" a="1"/>
  <c r="P1020" i="20" s="1"/>
  <c r="P1021" i="20" a="1"/>
  <c r="P1021" i="20" s="1"/>
  <c r="P1022" i="20" a="1"/>
  <c r="P1022" i="20" s="1"/>
  <c r="P1023" i="20" a="1"/>
  <c r="P1023" i="20" s="1"/>
  <c r="P1024" i="20" a="1"/>
  <c r="P1024" i="20" s="1"/>
  <c r="P1025" i="20" a="1"/>
  <c r="P1025" i="20" s="1"/>
  <c r="P1026" i="20" a="1"/>
  <c r="P1026" i="20" s="1"/>
  <c r="P1027" i="20" a="1"/>
  <c r="P1027" i="20" s="1"/>
  <c r="P1028" i="20" a="1"/>
  <c r="P1028" i="20" s="1"/>
  <c r="P1029" i="20" a="1"/>
  <c r="P1029" i="20" s="1"/>
  <c r="P1030" i="20" a="1"/>
  <c r="P1030" i="20" s="1"/>
  <c r="P1031" i="20" a="1"/>
  <c r="P1031" i="20" s="1"/>
  <c r="P1032" i="20" a="1"/>
  <c r="P1032" i="20" s="1"/>
  <c r="P1033" i="20" a="1"/>
  <c r="P1033" i="20" s="1"/>
  <c r="P1034" i="20" a="1"/>
  <c r="P1034" i="20" s="1"/>
  <c r="P1035" i="20" a="1"/>
  <c r="P1035" i="20" s="1"/>
  <c r="P1036" i="20" a="1"/>
  <c r="P1036" i="20" s="1"/>
  <c r="P1037" i="20" a="1"/>
  <c r="P1037" i="20" s="1"/>
  <c r="P1038" i="20" a="1"/>
  <c r="P1038" i="20" s="1"/>
  <c r="P1039" i="20" a="1"/>
  <c r="P1039" i="20" s="1"/>
  <c r="P1040" i="20" a="1"/>
  <c r="P1040" i="20" s="1"/>
  <c r="P1041" i="20" a="1"/>
  <c r="P1041" i="20" s="1"/>
  <c r="P1042" i="20" a="1"/>
  <c r="P1042" i="20" s="1"/>
  <c r="P1043" i="20" a="1"/>
  <c r="P1043" i="20" s="1"/>
  <c r="P1044" i="20" a="1"/>
  <c r="P1044" i="20" s="1"/>
  <c r="P1045" i="20" a="1"/>
  <c r="P1045" i="20" s="1"/>
  <c r="P1046" i="20" a="1"/>
  <c r="P1046" i="20" s="1"/>
  <c r="P1047" i="20" a="1"/>
  <c r="P1047" i="20" s="1"/>
  <c r="P1048" i="20" a="1"/>
  <c r="P1048" i="20" s="1"/>
  <c r="P1049" i="20" a="1"/>
  <c r="P1049" i="20" s="1"/>
  <c r="P1050" i="20" a="1"/>
  <c r="P1050" i="20" s="1"/>
  <c r="P1051" i="20" a="1"/>
  <c r="P1051" i="20" s="1"/>
  <c r="P1052" i="20" a="1"/>
  <c r="P1052" i="20" s="1"/>
  <c r="P1053" i="20" a="1"/>
  <c r="P1053" i="20" s="1"/>
  <c r="P1054" i="20" a="1"/>
  <c r="P1054" i="20" s="1"/>
  <c r="P1055" i="20" a="1"/>
  <c r="P1055" i="20" s="1"/>
  <c r="P1056" i="20" a="1"/>
  <c r="P1056" i="20" s="1"/>
  <c r="P1057" i="20" a="1"/>
  <c r="P1057" i="20" s="1"/>
  <c r="P1058" i="20" a="1"/>
  <c r="P1058" i="20" s="1"/>
  <c r="P1059" i="20" a="1"/>
  <c r="P1059" i="20" s="1"/>
  <c r="P1060" i="20" a="1"/>
  <c r="P1060" i="20" s="1"/>
  <c r="P1061" i="20" a="1"/>
  <c r="P1061" i="20" s="1"/>
  <c r="P1062" i="20" a="1"/>
  <c r="P1062" i="20" s="1"/>
  <c r="P1063" i="20" a="1"/>
  <c r="P1063" i="20" s="1"/>
  <c r="P1064" i="20" a="1"/>
  <c r="P1064" i="20" s="1"/>
  <c r="P1065" i="20" a="1"/>
  <c r="P1065" i="20" s="1"/>
  <c r="P1066" i="20" a="1"/>
  <c r="P1066" i="20" s="1"/>
  <c r="P1067" i="20" a="1"/>
  <c r="P1067" i="20" s="1"/>
  <c r="P1068" i="20" a="1"/>
  <c r="P1068" i="20" s="1"/>
  <c r="P1069" i="20" a="1"/>
  <c r="P1069" i="20" s="1"/>
  <c r="P1070" i="20" a="1"/>
  <c r="P1070" i="20" s="1"/>
  <c r="P1071" i="20" a="1"/>
  <c r="P1071" i="20" s="1"/>
  <c r="P1072" i="20" a="1"/>
  <c r="P1072" i="20" s="1"/>
  <c r="P1073" i="20" a="1"/>
  <c r="P1073" i="20" s="1"/>
  <c r="P1074" i="20" a="1"/>
  <c r="P1074" i="20" s="1"/>
  <c r="P1075" i="20" a="1"/>
  <c r="P1075" i="20" s="1"/>
  <c r="P1076" i="20" a="1"/>
  <c r="P1076" i="20" s="1"/>
  <c r="P1077" i="20" a="1"/>
  <c r="P1077" i="20" s="1"/>
  <c r="P1078" i="20" a="1"/>
  <c r="P1078" i="20" s="1"/>
  <c r="P1079" i="20" a="1"/>
  <c r="P1079" i="20" s="1"/>
  <c r="P1080" i="20" a="1"/>
  <c r="P1080" i="20" s="1"/>
  <c r="P1081" i="20" a="1"/>
  <c r="P1081" i="20" s="1"/>
  <c r="P1082" i="20" a="1"/>
  <c r="P1082" i="20" s="1"/>
  <c r="P1083" i="20" a="1"/>
  <c r="P1083" i="20" s="1"/>
  <c r="P1084" i="20" a="1"/>
  <c r="P1084" i="20" s="1"/>
  <c r="P1085" i="20" a="1"/>
  <c r="P1085" i="20" s="1"/>
  <c r="P1086" i="20" a="1"/>
  <c r="P1086" i="20" s="1"/>
  <c r="P1087" i="20" a="1"/>
  <c r="P1087" i="20" s="1"/>
  <c r="P1088" i="20" a="1"/>
  <c r="P1088" i="20" s="1"/>
  <c r="P1089" i="20" a="1"/>
  <c r="P1089" i="20" s="1"/>
  <c r="P1090" i="20" a="1"/>
  <c r="P1090" i="20" s="1"/>
  <c r="P1091" i="20" a="1"/>
  <c r="P1091" i="20" s="1"/>
  <c r="P1092" i="20" a="1"/>
  <c r="P1092" i="20" s="1"/>
  <c r="P1093" i="20" a="1"/>
  <c r="P1093" i="20" s="1"/>
  <c r="P1094" i="20" a="1"/>
  <c r="P1094" i="20" s="1"/>
  <c r="P1095" i="20" a="1"/>
  <c r="P1095" i="20" s="1"/>
  <c r="P1096" i="20" a="1"/>
  <c r="P1096" i="20" s="1"/>
  <c r="P1097" i="20" a="1"/>
  <c r="P1097" i="20" s="1"/>
  <c r="P1098" i="20" a="1"/>
  <c r="P1098" i="20" s="1"/>
  <c r="P1099" i="20" a="1"/>
  <c r="P1099" i="20" s="1"/>
  <c r="P1100" i="20" a="1"/>
  <c r="P1100" i="20" s="1"/>
  <c r="P1101" i="20" a="1"/>
  <c r="P1101" i="20" s="1"/>
  <c r="P1102" i="20" a="1"/>
  <c r="P1102" i="20" s="1"/>
  <c r="P1103" i="20" a="1"/>
  <c r="P1103" i="20" s="1"/>
  <c r="P1104" i="20" a="1"/>
  <c r="P1104" i="20" s="1"/>
  <c r="P1105" i="20" a="1"/>
  <c r="P1105" i="20" s="1"/>
  <c r="P1106" i="20" a="1"/>
  <c r="P1106" i="20" s="1"/>
  <c r="P1107" i="20" a="1"/>
  <c r="P1107" i="20" s="1"/>
  <c r="P1108" i="20" a="1"/>
  <c r="P1108" i="20" s="1"/>
  <c r="P1109" i="20" a="1"/>
  <c r="P1109" i="20" s="1"/>
  <c r="P1110" i="20" a="1"/>
  <c r="P1110" i="20" s="1"/>
  <c r="P1111" i="20" a="1"/>
  <c r="P1111" i="20" s="1"/>
  <c r="P1112" i="20" a="1"/>
  <c r="P1112" i="20" s="1"/>
  <c r="P1113" i="20" a="1"/>
  <c r="P1113" i="20" s="1"/>
  <c r="P1114" i="20" a="1"/>
  <c r="P1114" i="20" s="1"/>
  <c r="P1115" i="20" a="1"/>
  <c r="P1115" i="20" s="1"/>
  <c r="P1116" i="20" a="1"/>
  <c r="P1116" i="20" s="1"/>
  <c r="P1117" i="20" a="1"/>
  <c r="P1117" i="20" s="1"/>
  <c r="P1118" i="20" a="1"/>
  <c r="P1118" i="20" s="1"/>
  <c r="P1119" i="20" a="1"/>
  <c r="P1119" i="20" s="1"/>
  <c r="P1120" i="20" a="1"/>
  <c r="P1120" i="20" s="1"/>
  <c r="P1121" i="20" a="1"/>
  <c r="P1121" i="20" s="1"/>
  <c r="P1122" i="20" a="1"/>
  <c r="P1122" i="20" s="1"/>
  <c r="P1123" i="20" a="1"/>
  <c r="P1123" i="20" s="1"/>
  <c r="P1124" i="20" a="1"/>
  <c r="P1124" i="20" s="1"/>
  <c r="P1125" i="20" a="1"/>
  <c r="P1125" i="20" s="1"/>
  <c r="P1126" i="20" a="1"/>
  <c r="P1126" i="20" s="1"/>
  <c r="P1127" i="20" a="1"/>
  <c r="P1127" i="20" s="1"/>
  <c r="P1128" i="20" a="1"/>
  <c r="P1128" i="20" s="1"/>
  <c r="P1129" i="20" a="1"/>
  <c r="P1129" i="20" s="1"/>
  <c r="P1130" i="20" a="1"/>
  <c r="P1130" i="20" s="1"/>
  <c r="P1131" i="20" a="1"/>
  <c r="P1131" i="20" s="1"/>
  <c r="P1132" i="20" a="1"/>
  <c r="P1132" i="20" s="1"/>
  <c r="P1133" i="20" a="1"/>
  <c r="P1133" i="20" s="1"/>
  <c r="P1134" i="20" a="1"/>
  <c r="P1134" i="20" s="1"/>
  <c r="P1135" i="20" a="1"/>
  <c r="P1135" i="20" s="1"/>
  <c r="P1136" i="20" a="1"/>
  <c r="P1136" i="20" s="1"/>
  <c r="P1137" i="20" a="1"/>
  <c r="P1137" i="20" s="1"/>
  <c r="P1138" i="20" a="1"/>
  <c r="P1138" i="20" s="1"/>
  <c r="P1139" i="20" a="1"/>
  <c r="P1139" i="20" s="1"/>
  <c r="P1140" i="20" a="1"/>
  <c r="P1140" i="20" s="1"/>
  <c r="P1141" i="20" a="1"/>
  <c r="P1141" i="20" s="1"/>
  <c r="P1142" i="20" a="1"/>
  <c r="P1142" i="20" s="1"/>
  <c r="P1143" i="20" a="1"/>
  <c r="P1143" i="20" s="1"/>
  <c r="P1144" i="20" a="1"/>
  <c r="P1144" i="20" s="1"/>
  <c r="P1145" i="20" a="1"/>
  <c r="P1145" i="20" s="1"/>
  <c r="P1146" i="20" a="1"/>
  <c r="P1146" i="20" s="1"/>
  <c r="P1147" i="20" a="1"/>
  <c r="P1147" i="20" s="1"/>
  <c r="P1148" i="20" a="1"/>
  <c r="P1148" i="20" s="1"/>
  <c r="P1149" i="20" a="1"/>
  <c r="P1149" i="20" s="1"/>
  <c r="P1150" i="20" a="1"/>
  <c r="P1150" i="20" s="1"/>
  <c r="P1151" i="20" a="1"/>
  <c r="P1151" i="20" s="1"/>
  <c r="P1152" i="20" a="1"/>
  <c r="P1152" i="20" s="1"/>
  <c r="P1153" i="20" a="1"/>
  <c r="P1153" i="20" s="1"/>
  <c r="P1154" i="20" a="1"/>
  <c r="P1154" i="20" s="1"/>
  <c r="P1155" i="20" a="1"/>
  <c r="P1155" i="20" s="1"/>
  <c r="P1156" i="20" a="1"/>
  <c r="P1156" i="20" s="1"/>
  <c r="P1157" i="20" a="1"/>
  <c r="P1157" i="20" s="1"/>
  <c r="P1158" i="20" a="1"/>
  <c r="P1158" i="20" s="1"/>
  <c r="P1159" i="20" a="1"/>
  <c r="P1159" i="20" s="1"/>
  <c r="P1160" i="20" a="1"/>
  <c r="P1160" i="20" s="1"/>
  <c r="P1161" i="20" a="1"/>
  <c r="P1161" i="20" s="1"/>
  <c r="P1162" i="20" a="1"/>
  <c r="P1162" i="20" s="1"/>
  <c r="P1163" i="20" a="1"/>
  <c r="P1163" i="20" s="1"/>
  <c r="P1164" i="20" a="1"/>
  <c r="P1164" i="20" s="1"/>
  <c r="P1165" i="20" a="1"/>
  <c r="P1165" i="20" s="1"/>
  <c r="P1166" i="20" a="1"/>
  <c r="P1166" i="20" s="1"/>
  <c r="P1167" i="20" a="1"/>
  <c r="P1167" i="20" s="1"/>
  <c r="P1168" i="20" a="1"/>
  <c r="P1168" i="20" s="1"/>
  <c r="P1169" i="20" a="1"/>
  <c r="P1169" i="20" s="1"/>
  <c r="P1170" i="20" a="1"/>
  <c r="P1170" i="20" s="1"/>
  <c r="P1171" i="20" a="1"/>
  <c r="P1171" i="20" s="1"/>
  <c r="P1172" i="20" a="1"/>
  <c r="P1172" i="20" s="1"/>
  <c r="P1173" i="20" a="1"/>
  <c r="P1173" i="20" s="1"/>
  <c r="P1174" i="20" a="1"/>
  <c r="P1174" i="20" s="1"/>
  <c r="P1175" i="20" a="1"/>
  <c r="P1175" i="20" s="1"/>
  <c r="P1176" i="20" a="1"/>
  <c r="P1176" i="20" s="1"/>
  <c r="P1177" i="20" a="1"/>
  <c r="P1177" i="20" s="1"/>
  <c r="P1178" i="20" a="1"/>
  <c r="P1178" i="20" s="1"/>
  <c r="P1179" i="20" a="1"/>
  <c r="P1179" i="20" s="1"/>
  <c r="P1180" i="20" a="1"/>
  <c r="P1180" i="20" s="1"/>
  <c r="P1181" i="20" a="1"/>
  <c r="P1181" i="20" s="1"/>
  <c r="P1182" i="20" a="1"/>
  <c r="P1182" i="20" s="1"/>
  <c r="P1183" i="20" a="1"/>
  <c r="P1183" i="20" s="1"/>
  <c r="P1184" i="20" a="1"/>
  <c r="P1184" i="20" s="1"/>
  <c r="P1185" i="20" a="1"/>
  <c r="P1185" i="20" s="1"/>
  <c r="P1186" i="20" a="1"/>
  <c r="P1186" i="20" s="1"/>
  <c r="P1187" i="20" a="1"/>
  <c r="P1187" i="20" s="1"/>
  <c r="P1188" i="20" a="1"/>
  <c r="P1188" i="20" s="1"/>
  <c r="P1189" i="20" a="1"/>
  <c r="P1189" i="20" s="1"/>
  <c r="P1190" i="20" a="1"/>
  <c r="P1190" i="20" s="1"/>
  <c r="P1191" i="20" a="1"/>
  <c r="P1191" i="20" s="1"/>
  <c r="P1192" i="20" a="1"/>
  <c r="P1192" i="20" s="1"/>
  <c r="P1193" i="20" a="1"/>
  <c r="P1193" i="20" s="1"/>
  <c r="P1194" i="20" a="1"/>
  <c r="P1194" i="20" s="1"/>
  <c r="P1195" i="20" a="1"/>
  <c r="P1195" i="20" s="1"/>
  <c r="P1196" i="20" a="1"/>
  <c r="P1196" i="20" s="1"/>
  <c r="P1197" i="20" a="1"/>
  <c r="P1197" i="20" s="1"/>
  <c r="P1198" i="20" a="1"/>
  <c r="P1198" i="20" s="1"/>
  <c r="P1199" i="20" a="1"/>
  <c r="P1199" i="20" s="1"/>
  <c r="P1200" i="20" a="1"/>
  <c r="P1200" i="20" s="1"/>
  <c r="P1201" i="20" a="1"/>
  <c r="P1201" i="20" s="1"/>
  <c r="P1202" i="20" a="1"/>
  <c r="P1202" i="20" s="1"/>
  <c r="P1203" i="20" a="1"/>
  <c r="P1203" i="20" s="1"/>
  <c r="P1204" i="20" a="1"/>
  <c r="P1204" i="20" s="1"/>
  <c r="P1205" i="20" a="1"/>
  <c r="P1205" i="20" s="1"/>
  <c r="P1206" i="20" a="1"/>
  <c r="P1206" i="20" s="1"/>
  <c r="P1207" i="20" a="1"/>
  <c r="P1207" i="20" s="1"/>
  <c r="P1208" i="20" a="1"/>
  <c r="P1208" i="20" s="1"/>
  <c r="P1209" i="20" a="1"/>
  <c r="P1209" i="20" s="1"/>
  <c r="P1210" i="20" a="1"/>
  <c r="P1210" i="20" s="1"/>
  <c r="P1211" i="20" a="1"/>
  <c r="P1211" i="20" s="1"/>
  <c r="P1212" i="20" a="1"/>
  <c r="P1212" i="20" s="1"/>
  <c r="P1213" i="20" a="1"/>
  <c r="P1213" i="20" s="1"/>
  <c r="P1214" i="20" a="1"/>
  <c r="P1214" i="20" s="1"/>
  <c r="P1215" i="20" a="1"/>
  <c r="P1215" i="20" s="1"/>
  <c r="P1216" i="20" a="1"/>
  <c r="P1216" i="20" s="1"/>
  <c r="P1217" i="20" a="1"/>
  <c r="P1217" i="20" s="1"/>
  <c r="P1218" i="20" a="1"/>
  <c r="P1218" i="20" s="1"/>
  <c r="P1219" i="20" a="1"/>
  <c r="P1219" i="20" s="1"/>
  <c r="P1220" i="20" a="1"/>
  <c r="P1220" i="20" s="1"/>
  <c r="P1221" i="20" a="1"/>
  <c r="P1221" i="20" s="1"/>
  <c r="P1222" i="20" a="1"/>
  <c r="P1222" i="20" s="1"/>
  <c r="P1223" i="20" a="1"/>
  <c r="P1223" i="20" s="1"/>
  <c r="P1224" i="20" a="1"/>
  <c r="P1224" i="20" s="1"/>
  <c r="P1225" i="20" a="1"/>
  <c r="P1225" i="20" s="1"/>
  <c r="P1226" i="20" a="1"/>
  <c r="P1226" i="20" s="1"/>
  <c r="P1227" i="20" a="1"/>
  <c r="P1227" i="20" s="1"/>
  <c r="P1228" i="20" a="1"/>
  <c r="P1228" i="20" s="1"/>
  <c r="P1229" i="20" a="1"/>
  <c r="P1229" i="20" s="1"/>
  <c r="P1230" i="20" a="1"/>
  <c r="P1230" i="20" s="1"/>
  <c r="P1231" i="20" a="1"/>
  <c r="P1231" i="20" s="1"/>
  <c r="P1232" i="20" a="1"/>
  <c r="P1232" i="20" s="1"/>
  <c r="P1233" i="20" a="1"/>
  <c r="P1233" i="20" s="1"/>
  <c r="P1234" i="20" a="1"/>
  <c r="P1234" i="20" s="1"/>
  <c r="P1235" i="20" a="1"/>
  <c r="P1235" i="20" s="1"/>
  <c r="P1236" i="20" a="1"/>
  <c r="P1236" i="20" s="1"/>
  <c r="P1237" i="20" a="1"/>
  <c r="P1237" i="20" s="1"/>
  <c r="P1238" i="20" a="1"/>
  <c r="P1238" i="20" s="1"/>
  <c r="P1239" i="20" a="1"/>
  <c r="P1239" i="20" s="1"/>
  <c r="P1240" i="20" a="1"/>
  <c r="P1240" i="20" s="1"/>
  <c r="P1241" i="20" a="1"/>
  <c r="P1241" i="20" s="1"/>
  <c r="P1242" i="20" a="1"/>
  <c r="P1242" i="20" s="1"/>
  <c r="P1243" i="20" a="1"/>
  <c r="P1243" i="20" s="1"/>
  <c r="P1244" i="20" a="1"/>
  <c r="P1244" i="20" s="1"/>
  <c r="P1245" i="20" a="1"/>
  <c r="P1245" i="20" s="1"/>
  <c r="P1246" i="20" a="1"/>
  <c r="P1246" i="20" s="1"/>
  <c r="P1247" i="20" a="1"/>
  <c r="P1247" i="20" s="1"/>
  <c r="P1248" i="20" a="1"/>
  <c r="P1248" i="20" s="1"/>
  <c r="P1249" i="20" a="1"/>
  <c r="P1249" i="20" s="1"/>
  <c r="P1250" i="20" a="1"/>
  <c r="P1250" i="20" s="1"/>
  <c r="P1251" i="20" a="1"/>
  <c r="P1251" i="20" s="1"/>
  <c r="P1252" i="20" a="1"/>
  <c r="P1252" i="20" s="1"/>
  <c r="P1253" i="20" a="1"/>
  <c r="P1253" i="20" s="1"/>
  <c r="P1254" i="20" a="1"/>
  <c r="P1254" i="20" s="1"/>
  <c r="P1255" i="20" a="1"/>
  <c r="P1255" i="20" s="1"/>
  <c r="P1256" i="20" a="1"/>
  <c r="P1256" i="20" s="1"/>
  <c r="P1257" i="20" a="1"/>
  <c r="P1257" i="20" s="1"/>
  <c r="P1258" i="20" a="1"/>
  <c r="P1258" i="20" s="1"/>
  <c r="P1259" i="20" a="1"/>
  <c r="P1259" i="20" s="1"/>
  <c r="P1260" i="20" a="1"/>
  <c r="P1260" i="20" s="1"/>
  <c r="P1261" i="20" a="1"/>
  <c r="P1261" i="20" s="1"/>
  <c r="P1262" i="20" a="1"/>
  <c r="P1262" i="20" s="1"/>
  <c r="P1263" i="20" a="1"/>
  <c r="P1263" i="20" s="1"/>
  <c r="P1264" i="20" a="1"/>
  <c r="P1264" i="20" s="1"/>
  <c r="P1265" i="20" a="1"/>
  <c r="P1265" i="20" s="1"/>
  <c r="P1266" i="20" a="1"/>
  <c r="P1266" i="20" s="1"/>
  <c r="P1267" i="20" a="1"/>
  <c r="P1267" i="20" s="1"/>
  <c r="P1268" i="20" a="1"/>
  <c r="P1268" i="20" s="1"/>
  <c r="P1269" i="20" a="1"/>
  <c r="P1269" i="20" s="1"/>
  <c r="P1270" i="20" a="1"/>
  <c r="P1270" i="20" s="1"/>
  <c r="P1271" i="20" a="1"/>
  <c r="P1271" i="20" s="1"/>
  <c r="P1272" i="20" a="1"/>
  <c r="P1272" i="20" s="1"/>
  <c r="P1273" i="20" a="1"/>
  <c r="P1273" i="20" s="1"/>
  <c r="P1274" i="20" a="1"/>
  <c r="P1274" i="20" s="1"/>
  <c r="P1275" i="20" a="1"/>
  <c r="P1275" i="20" s="1"/>
  <c r="P1276" i="20" a="1"/>
  <c r="P1276" i="20" s="1"/>
  <c r="P1277" i="20" a="1"/>
  <c r="P1277" i="20" s="1"/>
  <c r="P1278" i="20" a="1"/>
  <c r="P1278" i="20" s="1"/>
  <c r="P1279" i="20" a="1"/>
  <c r="P1279" i="20" s="1"/>
  <c r="P1280" i="20" a="1"/>
  <c r="P1280" i="20" s="1"/>
  <c r="P1281" i="20" a="1"/>
  <c r="P1281" i="20" s="1"/>
  <c r="P1282" i="20" a="1"/>
  <c r="P1282" i="20" s="1"/>
  <c r="P1283" i="20" a="1"/>
  <c r="P1283" i="20" s="1"/>
  <c r="P1284" i="20" a="1"/>
  <c r="P1284" i="20" s="1"/>
  <c r="P1285" i="20" a="1"/>
  <c r="P1285" i="20" s="1"/>
  <c r="P1286" i="20" a="1"/>
  <c r="P1286" i="20" s="1"/>
  <c r="P1287" i="20" a="1"/>
  <c r="P1287" i="20" s="1"/>
  <c r="P1288" i="20" a="1"/>
  <c r="P1288" i="20" s="1"/>
  <c r="P1289" i="20" a="1"/>
  <c r="P1289" i="20" s="1"/>
  <c r="P1290" i="20" a="1"/>
  <c r="P1290" i="20" s="1"/>
  <c r="P1291" i="20" a="1"/>
  <c r="P1291" i="20" s="1"/>
  <c r="P1292" i="20" a="1"/>
  <c r="P1292" i="20" s="1"/>
  <c r="P1293" i="20" a="1"/>
  <c r="P1293" i="20" s="1"/>
  <c r="P1294" i="20" a="1"/>
  <c r="P1294" i="20" s="1"/>
  <c r="P1295" i="20" a="1"/>
  <c r="P1295" i="20" s="1"/>
  <c r="P1296" i="20" a="1"/>
  <c r="P1296" i="20" s="1"/>
  <c r="P1297" i="20" a="1"/>
  <c r="P1297" i="20" s="1"/>
  <c r="P1298" i="20" a="1"/>
  <c r="P1298" i="20" s="1"/>
  <c r="P1299" i="20" a="1"/>
  <c r="P1299" i="20" s="1"/>
  <c r="P1300" i="20" a="1"/>
  <c r="P1300" i="20" s="1"/>
  <c r="P1301" i="20" a="1"/>
  <c r="P1301" i="20" s="1"/>
  <c r="P1302" i="20" a="1"/>
  <c r="P1302" i="20" s="1"/>
  <c r="P1303" i="20" a="1"/>
  <c r="P1303" i="20" s="1"/>
  <c r="P1304" i="20" a="1"/>
  <c r="P1304" i="20" s="1"/>
  <c r="P1305" i="20" a="1"/>
  <c r="P1305" i="20" s="1"/>
  <c r="P1306" i="20" a="1"/>
  <c r="P1306" i="20" s="1"/>
  <c r="P1307" i="20" a="1"/>
  <c r="P1307" i="20" s="1"/>
  <c r="P1308" i="20" a="1"/>
  <c r="P1308" i="20" s="1"/>
  <c r="P1309" i="20" a="1"/>
  <c r="P1309" i="20" s="1"/>
  <c r="P1310" i="20" a="1"/>
  <c r="P1310" i="20" s="1"/>
  <c r="P1311" i="20" a="1"/>
  <c r="P1311" i="20" s="1"/>
  <c r="P1312" i="20" a="1"/>
  <c r="P1312" i="20" s="1"/>
  <c r="P1313" i="20" a="1"/>
  <c r="P1313" i="20" s="1"/>
  <c r="P1314" i="20" a="1"/>
  <c r="P1314" i="20" s="1"/>
  <c r="P1315" i="20" a="1"/>
  <c r="P1315" i="20" s="1"/>
  <c r="P1316" i="20" a="1"/>
  <c r="P1316" i="20" s="1"/>
  <c r="P1317" i="20" a="1"/>
  <c r="P1317" i="20" s="1"/>
  <c r="P1318" i="20" a="1"/>
  <c r="P1318" i="20" s="1"/>
  <c r="P1319" i="20" a="1"/>
  <c r="P1319" i="20" s="1"/>
  <c r="P1320" i="20" a="1"/>
  <c r="P1320" i="20" s="1"/>
  <c r="P1321" i="20" a="1"/>
  <c r="P1321" i="20" s="1"/>
  <c r="P1322" i="20" a="1"/>
  <c r="P1322" i="20" s="1"/>
  <c r="P1323" i="20" a="1"/>
  <c r="P1323" i="20" s="1"/>
  <c r="P1324" i="20" a="1"/>
  <c r="P1324" i="20" s="1"/>
  <c r="P1325" i="20" a="1"/>
  <c r="P1325" i="20" s="1"/>
  <c r="P1326" i="20" a="1"/>
  <c r="P1326" i="20" s="1"/>
  <c r="P1327" i="20" a="1"/>
  <c r="P1327" i="20" s="1"/>
  <c r="P1328" i="20" a="1"/>
  <c r="P1328" i="20" s="1"/>
  <c r="P1329" i="20" a="1"/>
  <c r="P1329" i="20" s="1"/>
  <c r="P1330" i="20" a="1"/>
  <c r="P1330" i="20" s="1"/>
  <c r="P1331" i="20" a="1"/>
  <c r="P1331" i="20" s="1"/>
  <c r="P1332" i="20" a="1"/>
  <c r="P1332" i="20" s="1"/>
  <c r="P1333" i="20" a="1"/>
  <c r="P1333" i="20" s="1"/>
  <c r="P1334" i="20" a="1"/>
  <c r="P1334" i="20" s="1"/>
  <c r="P1335" i="20" a="1"/>
  <c r="P1335" i="20" s="1"/>
  <c r="P1336" i="20" a="1"/>
  <c r="P1336" i="20" s="1"/>
  <c r="P1337" i="20" a="1"/>
  <c r="P1337" i="20" s="1"/>
  <c r="P1338" i="20" a="1"/>
  <c r="P1338" i="20" s="1"/>
  <c r="P1339" i="20" a="1"/>
  <c r="P1339" i="20" s="1"/>
  <c r="P1340" i="20" a="1"/>
  <c r="P1340" i="20" s="1"/>
  <c r="P1341" i="20" a="1"/>
  <c r="P1341" i="20" s="1"/>
  <c r="P1342" i="20" a="1"/>
  <c r="P1342" i="20" s="1"/>
  <c r="P1343" i="20" a="1"/>
  <c r="P1343" i="20" s="1"/>
  <c r="P1344" i="20" a="1"/>
  <c r="P1344" i="20" s="1"/>
  <c r="P1345" i="20" a="1"/>
  <c r="P1345" i="20" s="1"/>
  <c r="P1346" i="20" a="1"/>
  <c r="P1346" i="20" s="1"/>
  <c r="P1347" i="20" a="1"/>
  <c r="P1347" i="20" s="1"/>
  <c r="P1348" i="20" a="1"/>
  <c r="P1348" i="20" s="1"/>
  <c r="P1349" i="20" a="1"/>
  <c r="P1349" i="20" s="1"/>
  <c r="P1350" i="20" a="1"/>
  <c r="P1350" i="20" s="1"/>
  <c r="P1351" i="20" a="1"/>
  <c r="P1351" i="20" s="1"/>
  <c r="P1352" i="20" a="1"/>
  <c r="P1352" i="20" s="1"/>
  <c r="P1353" i="20" a="1"/>
  <c r="P1353" i="20" s="1"/>
  <c r="P1354" i="20" a="1"/>
  <c r="P1354" i="20" s="1"/>
  <c r="P1355" i="20" a="1"/>
  <c r="P1355" i="20" s="1"/>
  <c r="P1356" i="20" a="1"/>
  <c r="P1356" i="20" s="1"/>
  <c r="P1357" i="20" a="1"/>
  <c r="P1357" i="20" s="1"/>
  <c r="P1358" i="20" a="1"/>
  <c r="P1358" i="20" s="1"/>
  <c r="P1359" i="20" a="1"/>
  <c r="P1359" i="20" s="1"/>
  <c r="P1360" i="20" a="1"/>
  <c r="P1360" i="20" s="1"/>
  <c r="P1361" i="20" a="1"/>
  <c r="P1361" i="20" s="1"/>
  <c r="P1362" i="20" a="1"/>
  <c r="P1362" i="20" s="1"/>
  <c r="P1363" i="20" a="1"/>
  <c r="P1363" i="20" s="1"/>
  <c r="P1364" i="20" a="1"/>
  <c r="P1364" i="20" s="1"/>
  <c r="P1365" i="20" a="1"/>
  <c r="P1365" i="20" s="1"/>
  <c r="P1366" i="20" a="1"/>
  <c r="P1366" i="20" s="1"/>
  <c r="P1367" i="20" a="1"/>
  <c r="P1367" i="20" s="1"/>
  <c r="P1368" i="20" a="1"/>
  <c r="P1368" i="20" s="1"/>
  <c r="P1369" i="20" a="1"/>
  <c r="P1369" i="20" s="1"/>
  <c r="P1370" i="20" a="1"/>
  <c r="P1370" i="20" s="1"/>
  <c r="P1371" i="20" a="1"/>
  <c r="P1371" i="20" s="1"/>
  <c r="P1372" i="20" a="1"/>
  <c r="P1372" i="20" s="1"/>
  <c r="P1373" i="20" a="1"/>
  <c r="P1373" i="20" s="1"/>
  <c r="P1374" i="20" a="1"/>
  <c r="P1374" i="20" s="1"/>
  <c r="P1375" i="20" a="1"/>
  <c r="P1375" i="20" s="1"/>
  <c r="P1376" i="20" a="1"/>
  <c r="P1376" i="20" s="1"/>
  <c r="P1377" i="20" a="1"/>
  <c r="P1377" i="20" s="1"/>
  <c r="P1378" i="20" a="1"/>
  <c r="P1378" i="20" s="1"/>
  <c r="P1379" i="20" a="1"/>
  <c r="P1379" i="20" s="1"/>
  <c r="P1380" i="20" a="1"/>
  <c r="P1380" i="20" s="1"/>
  <c r="P1381" i="20" a="1"/>
  <c r="P1381" i="20" s="1"/>
  <c r="P1382" i="20" a="1"/>
  <c r="P1382" i="20" s="1"/>
  <c r="P1383" i="20" a="1"/>
  <c r="P1383" i="20" s="1"/>
  <c r="P1384" i="20" a="1"/>
  <c r="P1384" i="20" s="1"/>
  <c r="P1385" i="20" a="1"/>
  <c r="P1385" i="20" s="1"/>
  <c r="P1386" i="20" a="1"/>
  <c r="P1386" i="20" s="1"/>
  <c r="P1387" i="20" a="1"/>
  <c r="P1387" i="20" s="1"/>
  <c r="P1388" i="20" a="1"/>
  <c r="P1388" i="20" s="1"/>
  <c r="P1389" i="20" a="1"/>
  <c r="P1389" i="20" s="1"/>
  <c r="P1390" i="20" a="1"/>
  <c r="P1390" i="20" s="1"/>
  <c r="P1391" i="20" a="1"/>
  <c r="P1391" i="20" s="1"/>
  <c r="P1392" i="20" a="1"/>
  <c r="P1392" i="20" s="1"/>
  <c r="P1393" i="20" a="1"/>
  <c r="P1393" i="20" s="1"/>
  <c r="P1394" i="20" a="1"/>
  <c r="P1394" i="20" s="1"/>
  <c r="P1395" i="20" a="1"/>
  <c r="P1395" i="20" s="1"/>
  <c r="P1396" i="20" a="1"/>
  <c r="P1396" i="20" s="1"/>
  <c r="P1397" i="20" a="1"/>
  <c r="P1397" i="20" s="1"/>
  <c r="P1398" i="20" a="1"/>
  <c r="P1398" i="20" s="1"/>
  <c r="P1399" i="20" a="1"/>
  <c r="P1399" i="20" s="1"/>
  <c r="P1400" i="20" a="1"/>
  <c r="P1400" i="20" s="1"/>
  <c r="P1401" i="20" a="1"/>
  <c r="P1401" i="20" s="1"/>
  <c r="P1402" i="20" a="1"/>
  <c r="P1402" i="20" s="1"/>
  <c r="P1403" i="20" a="1"/>
  <c r="P1403" i="20" s="1"/>
  <c r="P1404" i="20" a="1"/>
  <c r="P1404" i="20" s="1"/>
  <c r="P1405" i="20" a="1"/>
  <c r="P1405" i="20" s="1"/>
  <c r="P1406" i="20" a="1"/>
  <c r="P1406" i="20" s="1"/>
  <c r="P1407" i="20" a="1"/>
  <c r="P1407" i="20" s="1"/>
  <c r="P1408" i="20" a="1"/>
  <c r="P1408" i="20" s="1"/>
  <c r="P1409" i="20" a="1"/>
  <c r="P1409" i="20" s="1"/>
  <c r="P1410" i="20" a="1"/>
  <c r="P1410" i="20" s="1"/>
  <c r="P1411" i="20" a="1"/>
  <c r="P1411" i="20" s="1"/>
  <c r="P1412" i="20" a="1"/>
  <c r="P1412" i="20" s="1"/>
  <c r="P1413" i="20" a="1"/>
  <c r="P1413" i="20" s="1"/>
  <c r="P1414" i="20" a="1"/>
  <c r="P1414" i="20" s="1"/>
  <c r="P1415" i="20" a="1"/>
  <c r="P1415" i="20" s="1"/>
  <c r="P1416" i="20" a="1"/>
  <c r="P1416" i="20" s="1"/>
  <c r="P1417" i="20" a="1"/>
  <c r="P1417" i="20" s="1"/>
  <c r="P1418" i="20" a="1"/>
  <c r="P1418" i="20" s="1"/>
  <c r="P1419" i="20" a="1"/>
  <c r="P1419" i="20" s="1"/>
  <c r="P1420" i="20" a="1"/>
  <c r="P1420" i="20" s="1"/>
  <c r="P1421" i="20" a="1"/>
  <c r="P1421" i="20" s="1"/>
  <c r="P1422" i="20" a="1"/>
  <c r="P1422" i="20" s="1"/>
  <c r="P1423" i="20" a="1"/>
  <c r="P1423" i="20" s="1"/>
  <c r="P1424" i="20" a="1"/>
  <c r="P1424" i="20" s="1"/>
  <c r="P1425" i="20" a="1"/>
  <c r="P1425" i="20" s="1"/>
  <c r="P1426" i="20" a="1"/>
  <c r="P1426" i="20" s="1"/>
  <c r="P1427" i="20" a="1"/>
  <c r="P1427" i="20" s="1"/>
  <c r="P1428" i="20" a="1"/>
  <c r="P1428" i="20" s="1"/>
  <c r="P1429" i="20" a="1"/>
  <c r="P1429" i="20" s="1"/>
  <c r="P1430" i="20" a="1"/>
  <c r="P1430" i="20" s="1"/>
  <c r="P1431" i="20" a="1"/>
  <c r="P1431" i="20" s="1"/>
  <c r="P1432" i="20" a="1"/>
  <c r="P1432" i="20" s="1"/>
  <c r="P1433" i="20" a="1"/>
  <c r="P1433" i="20" s="1"/>
  <c r="P1434" i="20" a="1"/>
  <c r="P1434" i="20" s="1"/>
  <c r="P1435" i="20" a="1"/>
  <c r="P1435" i="20" s="1"/>
  <c r="P1436" i="20" a="1"/>
  <c r="P1436" i="20" s="1"/>
  <c r="P1437" i="20" a="1"/>
  <c r="P1437" i="20" s="1"/>
  <c r="P1438" i="20" a="1"/>
  <c r="P1438" i="20" s="1"/>
  <c r="P1439" i="20" a="1"/>
  <c r="P1439" i="20" s="1"/>
  <c r="P1440" i="20" a="1"/>
  <c r="P1440" i="20" s="1"/>
  <c r="P1441" i="20" a="1"/>
  <c r="P1441" i="20" s="1"/>
  <c r="P1442" i="20" a="1"/>
  <c r="P1442" i="20" s="1"/>
  <c r="P1443" i="20" a="1"/>
  <c r="P1443" i="20" s="1"/>
  <c r="P1444" i="20" a="1"/>
  <c r="P1444" i="20" s="1"/>
  <c r="P1445" i="20" a="1"/>
  <c r="P1445" i="20" s="1"/>
  <c r="P1446" i="20" a="1"/>
  <c r="P1446" i="20" s="1"/>
  <c r="P1447" i="20" a="1"/>
  <c r="P1447" i="20" s="1"/>
  <c r="P1448" i="20" a="1"/>
  <c r="P1448" i="20" s="1"/>
  <c r="P1449" i="20" a="1"/>
  <c r="P1449" i="20" s="1"/>
  <c r="P1450" i="20" a="1"/>
  <c r="P1450" i="20" s="1"/>
  <c r="P1451" i="20" a="1"/>
  <c r="P1451" i="20" s="1"/>
  <c r="P1452" i="20" a="1"/>
  <c r="P1452" i="20" s="1"/>
  <c r="P1453" i="20" a="1"/>
  <c r="P1453" i="20" s="1"/>
  <c r="P1454" i="20" a="1"/>
  <c r="P1454" i="20" s="1"/>
  <c r="P1455" i="20" a="1"/>
  <c r="P1455" i="20" s="1"/>
  <c r="P1456" i="20" a="1"/>
  <c r="P1456" i="20" s="1"/>
  <c r="P1457" i="20" a="1"/>
  <c r="P1457" i="20" s="1"/>
  <c r="P1458" i="20" a="1"/>
  <c r="P1458" i="20" s="1"/>
  <c r="P1459" i="20" a="1"/>
  <c r="P1459" i="20" s="1"/>
  <c r="P1460" i="20" a="1"/>
  <c r="P1460" i="20" s="1"/>
  <c r="P1461" i="20" a="1"/>
  <c r="P1461" i="20" s="1"/>
  <c r="P1462" i="20" a="1"/>
  <c r="P1462" i="20" s="1"/>
  <c r="P1463" i="20" a="1"/>
  <c r="P1463" i="20" s="1"/>
  <c r="P1464" i="20" a="1"/>
  <c r="P1464" i="20" s="1"/>
  <c r="P1465" i="20" a="1"/>
  <c r="P1465" i="20" s="1"/>
  <c r="P1466" i="20" a="1"/>
  <c r="P1466" i="20" s="1"/>
  <c r="P1467" i="20" a="1"/>
  <c r="P1467" i="20" s="1"/>
  <c r="P1468" i="20" a="1"/>
  <c r="P1468" i="20" s="1"/>
  <c r="P1469" i="20" a="1"/>
  <c r="P1469" i="20" s="1"/>
  <c r="P1470" i="20" a="1"/>
  <c r="P1470" i="20" s="1"/>
  <c r="P1471" i="20" a="1"/>
  <c r="P1471" i="20" s="1"/>
  <c r="P1472" i="20" a="1"/>
  <c r="P1472" i="20" s="1"/>
  <c r="P1473" i="20" a="1"/>
  <c r="P1473" i="20" s="1"/>
  <c r="P1474" i="20" a="1"/>
  <c r="P1474" i="20" s="1"/>
  <c r="P1475" i="20" a="1"/>
  <c r="P1475" i="20" s="1"/>
  <c r="P1476" i="20" a="1"/>
  <c r="P1476" i="20" s="1"/>
  <c r="P1477" i="20" a="1"/>
  <c r="P1477" i="20" s="1"/>
  <c r="P1478" i="20" a="1"/>
  <c r="P1478" i="20" s="1"/>
  <c r="P1479" i="20" a="1"/>
  <c r="P1479" i="20" s="1"/>
  <c r="P1480" i="20" a="1"/>
  <c r="P1480" i="20" s="1"/>
  <c r="P1481" i="20" a="1"/>
  <c r="P1481" i="20" s="1"/>
  <c r="P1482" i="20" a="1"/>
  <c r="P1482" i="20" s="1"/>
  <c r="P1483" i="20" a="1"/>
  <c r="P1483" i="20" s="1"/>
  <c r="P1484" i="20" a="1"/>
  <c r="P1484" i="20" s="1"/>
  <c r="P1485" i="20" a="1"/>
  <c r="P1485" i="20" s="1"/>
  <c r="P1486" i="20" a="1"/>
  <c r="P1486" i="20" s="1"/>
  <c r="P1487" i="20" a="1"/>
  <c r="P1487" i="20" s="1"/>
  <c r="P1488" i="20" a="1"/>
  <c r="P1488" i="20" s="1"/>
  <c r="P1489" i="20" a="1"/>
  <c r="P1489" i="20" s="1"/>
  <c r="P1490" i="20" a="1"/>
  <c r="P1490" i="20" s="1"/>
  <c r="P1491" i="20" a="1"/>
  <c r="P1491" i="20" s="1"/>
  <c r="P1492" i="20" a="1"/>
  <c r="P1492" i="20" s="1"/>
  <c r="P1493" i="20" a="1"/>
  <c r="P1493" i="20" s="1"/>
  <c r="P1494" i="20" a="1"/>
  <c r="P1494" i="20" s="1"/>
  <c r="P1495" i="20" a="1"/>
  <c r="P1495" i="20" s="1"/>
  <c r="P1496" i="20" a="1"/>
  <c r="P1496" i="20" s="1"/>
  <c r="P1497" i="20" a="1"/>
  <c r="P1497" i="20" s="1"/>
  <c r="P1498" i="20" a="1"/>
  <c r="P1498" i="20" s="1"/>
  <c r="P1499" i="20" a="1"/>
  <c r="P1499" i="20" s="1"/>
  <c r="P1500" i="20" a="1"/>
  <c r="P1500" i="20" s="1"/>
  <c r="P1501" i="20" a="1"/>
  <c r="P1501" i="20" s="1"/>
  <c r="P1502" i="20" a="1"/>
  <c r="P1502" i="20" s="1"/>
  <c r="P1503" i="20" a="1"/>
  <c r="P1503" i="20" s="1"/>
  <c r="P1504" i="20" a="1"/>
  <c r="P1504" i="20" s="1"/>
  <c r="P1505" i="20" a="1"/>
  <c r="P1505" i="20" s="1"/>
  <c r="P1506" i="20" a="1"/>
  <c r="P1506" i="20" s="1"/>
  <c r="P1507" i="20" a="1"/>
  <c r="P1507" i="20" s="1"/>
  <c r="P1508" i="20" a="1"/>
  <c r="P1508" i="20" s="1"/>
  <c r="P1509" i="20" a="1"/>
  <c r="P1509" i="20" s="1"/>
  <c r="P1510" i="20" a="1"/>
  <c r="P1510" i="20" s="1"/>
  <c r="P1511" i="20" a="1"/>
  <c r="P1511" i="20" s="1"/>
  <c r="P1512" i="20" a="1"/>
  <c r="P1512" i="20" s="1"/>
  <c r="P1513" i="20" a="1"/>
  <c r="P1513" i="20" s="1"/>
  <c r="P1514" i="20" a="1"/>
  <c r="P1514" i="20" s="1"/>
  <c r="P1515" i="20" a="1"/>
  <c r="P1515" i="20" s="1"/>
  <c r="P1516" i="20" a="1"/>
  <c r="P1516" i="20" s="1"/>
  <c r="P1517" i="20" a="1"/>
  <c r="P1517" i="20" s="1"/>
  <c r="P1518" i="20" a="1"/>
  <c r="P1518" i="20" s="1"/>
  <c r="P1519" i="20" a="1"/>
  <c r="P1519" i="20" s="1"/>
  <c r="P1520" i="20" a="1"/>
  <c r="P1520" i="20" s="1"/>
  <c r="P1521" i="20" a="1"/>
  <c r="P1521" i="20" s="1"/>
  <c r="P1522" i="20" a="1"/>
  <c r="P1522" i="20" s="1"/>
  <c r="P1523" i="20" a="1"/>
  <c r="P1523" i="20" s="1"/>
  <c r="P1524" i="20" a="1"/>
  <c r="P1524" i="20" s="1"/>
  <c r="P1525" i="20" a="1"/>
  <c r="P1525" i="20" s="1"/>
  <c r="P1526" i="20" a="1"/>
  <c r="P1526" i="20" s="1"/>
  <c r="P1527" i="20" a="1"/>
  <c r="P1527" i="20" s="1"/>
  <c r="P1528" i="20" a="1"/>
  <c r="P1528" i="20" s="1"/>
  <c r="P1529" i="20" a="1"/>
  <c r="P1529" i="20" s="1"/>
  <c r="P1530" i="20" a="1"/>
  <c r="P1530" i="20" s="1"/>
  <c r="P1531" i="20" a="1"/>
  <c r="P1531" i="20" s="1"/>
  <c r="P1532" i="20" a="1"/>
  <c r="P1532" i="20" s="1"/>
  <c r="P1533" i="20" a="1"/>
  <c r="P1533" i="20" s="1"/>
  <c r="P1534" i="20" a="1"/>
  <c r="P1534" i="20" s="1"/>
  <c r="P1535" i="20" a="1"/>
  <c r="P1535" i="20" s="1"/>
  <c r="P1536" i="20" a="1"/>
  <c r="P1536" i="20" s="1"/>
  <c r="P1537" i="20" a="1"/>
  <c r="P1537" i="20" s="1"/>
  <c r="P1538" i="20" a="1"/>
  <c r="P1538" i="20" s="1"/>
  <c r="P1539" i="20" a="1"/>
  <c r="P1539" i="20" s="1"/>
  <c r="P1540" i="20" a="1"/>
  <c r="P1540" i="20" s="1"/>
  <c r="P1541" i="20" a="1"/>
  <c r="P1541" i="20" s="1"/>
  <c r="P1542" i="20" a="1"/>
  <c r="P1542" i="20" s="1"/>
  <c r="P1543" i="20" a="1"/>
  <c r="P1543" i="20" s="1"/>
  <c r="P1544" i="20" a="1"/>
  <c r="P1544" i="20" s="1"/>
  <c r="P1545" i="20" a="1"/>
  <c r="P1545" i="20" s="1"/>
  <c r="P1546" i="20" a="1"/>
  <c r="P1546" i="20" s="1"/>
  <c r="P1547" i="20" a="1"/>
  <c r="P1547" i="20" s="1"/>
  <c r="P1548" i="20" a="1"/>
  <c r="P1548" i="20" s="1"/>
  <c r="P1549" i="20" a="1"/>
  <c r="P1549" i="20" s="1"/>
  <c r="P1550" i="20" a="1"/>
  <c r="P1550" i="20" s="1"/>
  <c r="P1551" i="20" a="1"/>
  <c r="P1551" i="20" s="1"/>
  <c r="P1552" i="20" a="1"/>
  <c r="P1552" i="20" s="1"/>
  <c r="P1553" i="20" a="1"/>
  <c r="P1553" i="20" s="1"/>
  <c r="P1554" i="20" a="1"/>
  <c r="P1554" i="20" s="1"/>
  <c r="P1555" i="20" a="1"/>
  <c r="P1555" i="20" s="1"/>
  <c r="P1556" i="20" a="1"/>
  <c r="P1556" i="20" s="1"/>
  <c r="P1557" i="20" a="1"/>
  <c r="P1557" i="20" s="1"/>
  <c r="P1558" i="20" a="1"/>
  <c r="P1558" i="20" s="1"/>
  <c r="P1559" i="20" a="1"/>
  <c r="P1559" i="20" s="1"/>
  <c r="P1560" i="20" a="1"/>
  <c r="P1560" i="20" s="1"/>
  <c r="P1561" i="20" a="1"/>
  <c r="P1561" i="20" s="1"/>
  <c r="P1562" i="20" a="1"/>
  <c r="P1562" i="20" s="1"/>
  <c r="P1563" i="20" a="1"/>
  <c r="P1563" i="20" s="1"/>
  <c r="P1564" i="20" a="1"/>
  <c r="P1564" i="20" s="1"/>
  <c r="P1565" i="20" a="1"/>
  <c r="P1565" i="20" s="1"/>
  <c r="P1566" i="20" a="1"/>
  <c r="P1566" i="20" s="1"/>
  <c r="P1567" i="20" a="1"/>
  <c r="P1567" i="20" s="1"/>
  <c r="P1568" i="20" a="1"/>
  <c r="P1568" i="20" s="1"/>
  <c r="P1569" i="20" a="1"/>
  <c r="P1569" i="20" s="1"/>
  <c r="P1570" i="20" a="1"/>
  <c r="P1570" i="20" s="1"/>
  <c r="P1571" i="20" a="1"/>
  <c r="P1571" i="20" s="1"/>
  <c r="P1572" i="20" a="1"/>
  <c r="P1572" i="20" s="1"/>
  <c r="P1573" i="20" a="1"/>
  <c r="P1573" i="20" s="1"/>
  <c r="P1574" i="20" a="1"/>
  <c r="P1574" i="20" s="1"/>
  <c r="P1575" i="20" a="1"/>
  <c r="P1575" i="20" s="1"/>
  <c r="P1576" i="20" a="1"/>
  <c r="P1576" i="20" s="1"/>
  <c r="P1577" i="20" a="1"/>
  <c r="P1577" i="20" s="1"/>
  <c r="P1578" i="20" a="1"/>
  <c r="P1578" i="20" s="1"/>
  <c r="P1579" i="20" a="1"/>
  <c r="P1579" i="20" s="1"/>
  <c r="P1580" i="20" a="1"/>
  <c r="P1580" i="20" s="1"/>
  <c r="P1581" i="20" a="1"/>
  <c r="P1581" i="20" s="1"/>
  <c r="P1582" i="20" a="1"/>
  <c r="P1582" i="20" s="1"/>
  <c r="P1583" i="20" a="1"/>
  <c r="P1583" i="20" s="1"/>
  <c r="P1584" i="20" a="1"/>
  <c r="P1584" i="20" s="1"/>
  <c r="P1585" i="20" a="1"/>
  <c r="P1585" i="20" s="1"/>
  <c r="P1586" i="20" a="1"/>
  <c r="P1586" i="20" s="1"/>
  <c r="P1587" i="20" a="1"/>
  <c r="P1587" i="20" s="1"/>
  <c r="P1588" i="20" a="1"/>
  <c r="P1588" i="20" s="1"/>
  <c r="P1589" i="20" a="1"/>
  <c r="P1589" i="20" s="1"/>
  <c r="P1590" i="20" a="1"/>
  <c r="P1590" i="20" s="1"/>
  <c r="P1591" i="20" a="1"/>
  <c r="P1591" i="20" s="1"/>
  <c r="P1592" i="20" a="1"/>
  <c r="P1592" i="20" s="1"/>
  <c r="P1593" i="20" a="1"/>
  <c r="P1593" i="20" s="1"/>
  <c r="P1594" i="20" a="1"/>
  <c r="P1594" i="20" s="1"/>
  <c r="P1595" i="20" a="1"/>
  <c r="P1595" i="20" s="1"/>
  <c r="P1596" i="20" a="1"/>
  <c r="P1596" i="20" s="1"/>
  <c r="P1597" i="20" a="1"/>
  <c r="P1597" i="20" s="1"/>
  <c r="P1598" i="20" a="1"/>
  <c r="P1598" i="20" s="1"/>
  <c r="P1599" i="20" a="1"/>
  <c r="P1599" i="20" s="1"/>
  <c r="P1600" i="20" a="1"/>
  <c r="P1600" i="20" s="1"/>
  <c r="P1601" i="20" a="1"/>
  <c r="P1601" i="20" s="1"/>
  <c r="P1602" i="20" a="1"/>
  <c r="P1602" i="20" s="1"/>
  <c r="P1603" i="20" a="1"/>
  <c r="P1603" i="20" s="1"/>
  <c r="P1604" i="20" a="1"/>
  <c r="P1604" i="20" s="1"/>
  <c r="P1605" i="20" a="1"/>
  <c r="P1605" i="20" s="1"/>
  <c r="P1606" i="20" a="1"/>
  <c r="P1606" i="20" s="1"/>
  <c r="P1607" i="20" a="1"/>
  <c r="P1607" i="20" s="1"/>
  <c r="P1608" i="20" a="1"/>
  <c r="P1608" i="20" s="1"/>
  <c r="P1609" i="20" a="1"/>
  <c r="P1609" i="20" s="1"/>
  <c r="P1610" i="20" a="1"/>
  <c r="P1610" i="20" s="1"/>
  <c r="P1611" i="20" a="1"/>
  <c r="P1611" i="20" s="1"/>
  <c r="P1612" i="20" a="1"/>
  <c r="P1612" i="20" s="1"/>
  <c r="P1613" i="20" a="1"/>
  <c r="P1613" i="20" s="1"/>
  <c r="P1614" i="20" a="1"/>
  <c r="P1614" i="20" s="1"/>
  <c r="P1615" i="20" a="1"/>
  <c r="P1615" i="20" s="1"/>
  <c r="P1616" i="20" a="1"/>
  <c r="P1616" i="20" s="1"/>
  <c r="P1617" i="20" a="1"/>
  <c r="P1617" i="20" s="1"/>
  <c r="P1618" i="20" a="1"/>
  <c r="P1618" i="20" s="1"/>
  <c r="P1619" i="20" a="1"/>
  <c r="P1619" i="20" s="1"/>
  <c r="P1620" i="20" a="1"/>
  <c r="P1620" i="20" s="1"/>
  <c r="P1621" i="20" a="1"/>
  <c r="P1621" i="20" s="1"/>
  <c r="P1622" i="20" a="1"/>
  <c r="P1622" i="20" s="1"/>
  <c r="P1623" i="20" a="1"/>
  <c r="P1623" i="20" s="1"/>
  <c r="P1624" i="20" a="1"/>
  <c r="P1624" i="20" s="1"/>
  <c r="P1625" i="20" a="1"/>
  <c r="P1625" i="20" s="1"/>
  <c r="P1626" i="20" a="1"/>
  <c r="P1626" i="20" s="1"/>
  <c r="P1627" i="20" a="1"/>
  <c r="P1627" i="20" s="1"/>
  <c r="P1628" i="20" a="1"/>
  <c r="P1628" i="20" s="1"/>
  <c r="P1629" i="20" a="1"/>
  <c r="P1629" i="20" s="1"/>
  <c r="P1630" i="20" a="1"/>
  <c r="P1630" i="20" s="1"/>
  <c r="P1631" i="20" a="1"/>
  <c r="P1631" i="20" s="1"/>
  <c r="P1632" i="20" a="1"/>
  <c r="P1632" i="20" s="1"/>
  <c r="P1633" i="20" a="1"/>
  <c r="P1633" i="20" s="1"/>
  <c r="P1634" i="20" a="1"/>
  <c r="P1634" i="20" s="1"/>
  <c r="P1635" i="20" a="1"/>
  <c r="P1635" i="20" s="1"/>
  <c r="P1636" i="20" a="1"/>
  <c r="P1636" i="20" s="1"/>
  <c r="P1637" i="20" a="1"/>
  <c r="P1637" i="20" s="1"/>
  <c r="P1638" i="20" a="1"/>
  <c r="P1638" i="20" s="1"/>
  <c r="P1639" i="20" a="1"/>
  <c r="P1639" i="20" s="1"/>
  <c r="P1640" i="20" a="1"/>
  <c r="P1640" i="20" s="1"/>
  <c r="P1641" i="20" a="1"/>
  <c r="P1641" i="20" s="1"/>
  <c r="P1642" i="20" a="1"/>
  <c r="P1642" i="20" s="1"/>
  <c r="P1643" i="20" a="1"/>
  <c r="P1643" i="20" s="1"/>
  <c r="P1644" i="20" a="1"/>
  <c r="P1644" i="20" s="1"/>
  <c r="P1645" i="20" a="1"/>
  <c r="P1645" i="20" s="1"/>
  <c r="P1646" i="20" a="1"/>
  <c r="P1646" i="20" s="1"/>
  <c r="P1647" i="20" a="1"/>
  <c r="P1647" i="20" s="1"/>
  <c r="P1648" i="20" a="1"/>
  <c r="P1648" i="20" s="1"/>
  <c r="P1649" i="20" a="1"/>
  <c r="P1649" i="20" s="1"/>
  <c r="P1650" i="20" a="1"/>
  <c r="P1650" i="20" s="1"/>
  <c r="P1651" i="20" a="1"/>
  <c r="P1651" i="20" s="1"/>
  <c r="P1652" i="20" a="1"/>
  <c r="P1652" i="20" s="1"/>
  <c r="P1653" i="20" a="1"/>
  <c r="P1653" i="20" s="1"/>
  <c r="P1654" i="20" a="1"/>
  <c r="P1654" i="20" s="1"/>
  <c r="P1655" i="20" a="1"/>
  <c r="P1655" i="20" s="1"/>
  <c r="P1656" i="20" a="1"/>
  <c r="P1656" i="20" s="1"/>
  <c r="P1657" i="20" a="1"/>
  <c r="P1657" i="20" s="1"/>
  <c r="P1658" i="20" a="1"/>
  <c r="P1658" i="20" s="1"/>
  <c r="P1659" i="20" a="1"/>
  <c r="P1659" i="20" s="1"/>
  <c r="P1660" i="20" a="1"/>
  <c r="P1660" i="20" s="1"/>
  <c r="P1661" i="20" a="1"/>
  <c r="P1661" i="20" s="1"/>
  <c r="P1662" i="20" a="1"/>
  <c r="P1662" i="20" s="1"/>
  <c r="P1663" i="20" a="1"/>
  <c r="P1663" i="20" s="1"/>
  <c r="P1664" i="20" a="1"/>
  <c r="P1664" i="20" s="1"/>
  <c r="P1665" i="20" a="1"/>
  <c r="P1665" i="20" s="1"/>
  <c r="P1666" i="20" a="1"/>
  <c r="P1666" i="20" s="1"/>
  <c r="P1667" i="20" a="1"/>
  <c r="P1667" i="20" s="1"/>
  <c r="P1668" i="20" a="1"/>
  <c r="P1668" i="20" s="1"/>
  <c r="P1669" i="20" a="1"/>
  <c r="P1669" i="20" s="1"/>
  <c r="P1670" i="20" a="1"/>
  <c r="P1670" i="20" s="1"/>
  <c r="P1671" i="20" a="1"/>
  <c r="P1671" i="20" s="1"/>
  <c r="P1672" i="20" a="1"/>
  <c r="P1672" i="20" s="1"/>
  <c r="P1673" i="20" a="1"/>
  <c r="P1673" i="20" s="1"/>
  <c r="P1674" i="20" a="1"/>
  <c r="P1674" i="20" s="1"/>
  <c r="P1675" i="20" a="1"/>
  <c r="P1675" i="20" s="1"/>
  <c r="P1676" i="20" a="1"/>
  <c r="P1676" i="20" s="1"/>
  <c r="P1677" i="20" a="1"/>
  <c r="P1677" i="20" s="1"/>
  <c r="P1678" i="20" a="1"/>
  <c r="P1678" i="20" s="1"/>
  <c r="P1679" i="20" a="1"/>
  <c r="P1679" i="20" s="1"/>
  <c r="P1680" i="20" a="1"/>
  <c r="P1680" i="20" s="1"/>
  <c r="P1681" i="20" a="1"/>
  <c r="P1681" i="20" s="1"/>
  <c r="P1682" i="20" a="1"/>
  <c r="P1682" i="20" s="1"/>
  <c r="P1683" i="20" a="1"/>
  <c r="P1683" i="20" s="1"/>
  <c r="P1684" i="20" a="1"/>
  <c r="P1684" i="20" s="1"/>
  <c r="P1685" i="20" a="1"/>
  <c r="P1685" i="20" s="1"/>
  <c r="P1686" i="20" a="1"/>
  <c r="P1686" i="20" s="1"/>
  <c r="P1687" i="20" a="1"/>
  <c r="P1687" i="20" s="1"/>
  <c r="P1688" i="20" a="1"/>
  <c r="P1688" i="20" s="1"/>
  <c r="P1689" i="20" a="1"/>
  <c r="P1689" i="20" s="1"/>
  <c r="P1690" i="20" a="1"/>
  <c r="P1690" i="20" s="1"/>
  <c r="P1691" i="20" a="1"/>
  <c r="P1691" i="20" s="1"/>
  <c r="P1692" i="20" a="1"/>
  <c r="P1692" i="20" s="1"/>
  <c r="P1693" i="20" a="1"/>
  <c r="P1693" i="20" s="1"/>
  <c r="P1694" i="20" a="1"/>
  <c r="P1694" i="20" s="1"/>
  <c r="P1695" i="20" a="1"/>
  <c r="P1695" i="20" s="1"/>
  <c r="P1696" i="20" a="1"/>
  <c r="P1696" i="20" s="1"/>
  <c r="P1697" i="20" a="1"/>
  <c r="P1697" i="20" s="1"/>
  <c r="P1698" i="20" a="1"/>
  <c r="P1698" i="20" s="1"/>
  <c r="P1699" i="20" a="1"/>
  <c r="P1699" i="20" s="1"/>
  <c r="P1700" i="20" a="1"/>
  <c r="P1700" i="20" s="1"/>
  <c r="P1701" i="20" a="1"/>
  <c r="P1701" i="20" s="1"/>
  <c r="P1702" i="20" a="1"/>
  <c r="P1702" i="20" s="1"/>
  <c r="P1703" i="20" a="1"/>
  <c r="P1703" i="20" s="1"/>
  <c r="P1704" i="20" a="1"/>
  <c r="P1704" i="20" s="1"/>
  <c r="P1705" i="20" a="1"/>
  <c r="P1705" i="20" s="1"/>
  <c r="P1706" i="20" a="1"/>
  <c r="P1706" i="20" s="1"/>
  <c r="P1707" i="20" a="1"/>
  <c r="P1707" i="20" s="1"/>
  <c r="P1708" i="20" a="1"/>
  <c r="P1708" i="20" s="1"/>
  <c r="P1709" i="20" a="1"/>
  <c r="P1709" i="20" s="1"/>
  <c r="P1710" i="20" a="1"/>
  <c r="P1710" i="20" s="1"/>
  <c r="P1711" i="20" a="1"/>
  <c r="P1711" i="20" s="1"/>
  <c r="P1712" i="20" a="1"/>
  <c r="P1712" i="20" s="1"/>
  <c r="P1713" i="20" a="1"/>
  <c r="P1713" i="20" s="1"/>
  <c r="P1714" i="20" a="1"/>
  <c r="P1714" i="20" s="1"/>
  <c r="P1715" i="20" a="1"/>
  <c r="P1715" i="20" s="1"/>
  <c r="P1716" i="20" a="1"/>
  <c r="P1716" i="20" s="1"/>
  <c r="P1717" i="20" a="1"/>
  <c r="P1717" i="20" s="1"/>
  <c r="P1718" i="20" a="1"/>
  <c r="P1718" i="20" s="1"/>
  <c r="P1719" i="20" a="1"/>
  <c r="P1719" i="20" s="1"/>
  <c r="P1720" i="20" a="1"/>
  <c r="P1720" i="20" s="1"/>
  <c r="P1721" i="20" a="1"/>
  <c r="P1721" i="20" s="1"/>
  <c r="P1722" i="20" a="1"/>
  <c r="P1722" i="20" s="1"/>
  <c r="P1723" i="20" a="1"/>
  <c r="P1723" i="20" s="1"/>
  <c r="P1724" i="20" a="1"/>
  <c r="P1724" i="20" s="1"/>
  <c r="P1725" i="20" a="1"/>
  <c r="P1725" i="20" s="1"/>
  <c r="P1726" i="20" a="1"/>
  <c r="P1726" i="20" s="1"/>
  <c r="P1727" i="20" a="1"/>
  <c r="P1727" i="20" s="1"/>
  <c r="P1728" i="20" a="1"/>
  <c r="P1728" i="20" s="1"/>
  <c r="P1729" i="20" a="1"/>
  <c r="P1729" i="20" s="1"/>
  <c r="P1730" i="20" a="1"/>
  <c r="P1730" i="20" s="1"/>
  <c r="P1731" i="20" a="1"/>
  <c r="P1731" i="20" s="1"/>
  <c r="P1732" i="20" a="1"/>
  <c r="P1732" i="20" s="1"/>
  <c r="P1733" i="20" a="1"/>
  <c r="P1733" i="20" s="1"/>
  <c r="P1734" i="20" a="1"/>
  <c r="P1734" i="20" s="1"/>
  <c r="P1735" i="20" a="1"/>
  <c r="P1735" i="20" s="1"/>
  <c r="P1736" i="20" a="1"/>
  <c r="P1736" i="20" s="1"/>
  <c r="P1737" i="20" a="1"/>
  <c r="P1737" i="20" s="1"/>
  <c r="P1738" i="20" a="1"/>
  <c r="P1738" i="20" s="1"/>
  <c r="P1739" i="20" a="1"/>
  <c r="P1739" i="20" s="1"/>
  <c r="P1740" i="20" a="1"/>
  <c r="P1740" i="20" s="1"/>
  <c r="P1741" i="20" a="1"/>
  <c r="P1741" i="20" s="1"/>
  <c r="P1742" i="20" a="1"/>
  <c r="P1742" i="20" s="1"/>
  <c r="P1743" i="20" a="1"/>
  <c r="P1743" i="20" s="1"/>
  <c r="P1744" i="20" a="1"/>
  <c r="P1744" i="20" s="1"/>
  <c r="P1745" i="20" a="1"/>
  <c r="P1745" i="20" s="1"/>
  <c r="P1746" i="20" a="1"/>
  <c r="P1746" i="20" s="1"/>
  <c r="P1747" i="20" a="1"/>
  <c r="P1747" i="20" s="1"/>
  <c r="P1748" i="20" a="1"/>
  <c r="P1748" i="20" s="1"/>
  <c r="P1749" i="20" a="1"/>
  <c r="P1749" i="20" s="1"/>
  <c r="P1750" i="20" a="1"/>
  <c r="P1750" i="20" s="1"/>
  <c r="P1751" i="20" a="1"/>
  <c r="P1751" i="20" s="1"/>
  <c r="P1752" i="20" a="1"/>
  <c r="P1752" i="20" s="1"/>
  <c r="P1753" i="20" a="1"/>
  <c r="P1753" i="20" s="1"/>
  <c r="P1754" i="20" a="1"/>
  <c r="P1754" i="20" s="1"/>
  <c r="P1755" i="20" a="1"/>
  <c r="P1755" i="20" s="1"/>
  <c r="P1756" i="20" a="1"/>
  <c r="P1756" i="20" s="1"/>
  <c r="P1757" i="20" a="1"/>
  <c r="P1757" i="20" s="1"/>
  <c r="P1758" i="20" a="1"/>
  <c r="P1758" i="20" s="1"/>
  <c r="P1759" i="20" a="1"/>
  <c r="P1759" i="20" s="1"/>
  <c r="P1760" i="20" a="1"/>
  <c r="P1760" i="20" s="1"/>
  <c r="P1761" i="20" a="1"/>
  <c r="P1761" i="20" s="1"/>
  <c r="P1762" i="20" a="1"/>
  <c r="P1762" i="20" s="1"/>
  <c r="P1763" i="20" a="1"/>
  <c r="P1763" i="20" s="1"/>
  <c r="P1764" i="20" a="1"/>
  <c r="P1764" i="20" s="1"/>
  <c r="P1765" i="20" a="1"/>
  <c r="P1765" i="20" s="1"/>
  <c r="P1766" i="20" a="1"/>
  <c r="P1766" i="20" s="1"/>
  <c r="P1767" i="20" a="1"/>
  <c r="P1767" i="20" s="1"/>
  <c r="P1768" i="20" a="1"/>
  <c r="P1768" i="20" s="1"/>
  <c r="P1769" i="20" a="1"/>
  <c r="P1769" i="20" s="1"/>
  <c r="P1770" i="20" a="1"/>
  <c r="P1770" i="20" s="1"/>
  <c r="P1771" i="20" a="1"/>
  <c r="P1771" i="20" s="1"/>
  <c r="P1772" i="20" a="1"/>
  <c r="P1772" i="20" s="1"/>
  <c r="P1773" i="20" a="1"/>
  <c r="P1773" i="20" s="1"/>
  <c r="P1774" i="20" a="1"/>
  <c r="P1774" i="20" s="1"/>
  <c r="P1775" i="20" a="1"/>
  <c r="P1775" i="20" s="1"/>
  <c r="P1776" i="20" a="1"/>
  <c r="P1776" i="20" s="1"/>
  <c r="P1777" i="20" a="1"/>
  <c r="P1777" i="20" s="1"/>
  <c r="P1778" i="20" a="1"/>
  <c r="P1778" i="20" s="1"/>
  <c r="P1779" i="20" a="1"/>
  <c r="P1779" i="20" s="1"/>
  <c r="P1780" i="20" a="1"/>
  <c r="P1780" i="20" s="1"/>
  <c r="P1781" i="20" a="1"/>
  <c r="P1781" i="20" s="1"/>
  <c r="P1782" i="20" a="1"/>
  <c r="P1782" i="20" s="1"/>
  <c r="P1783" i="20" a="1"/>
  <c r="P1783" i="20" s="1"/>
  <c r="P1784" i="20" a="1"/>
  <c r="P1784" i="20" s="1"/>
  <c r="P1785" i="20" a="1"/>
  <c r="P1785" i="20" s="1"/>
  <c r="P1786" i="20" a="1"/>
  <c r="P1786" i="20" s="1"/>
  <c r="P1787" i="20" a="1"/>
  <c r="P1787" i="20" s="1"/>
  <c r="P1788" i="20" a="1"/>
  <c r="P1788" i="20" s="1"/>
  <c r="P1789" i="20" a="1"/>
  <c r="P1789" i="20" s="1"/>
  <c r="P1790" i="20" a="1"/>
  <c r="P1790" i="20" s="1"/>
  <c r="P1791" i="20" a="1"/>
  <c r="P1791" i="20" s="1"/>
  <c r="P1792" i="20" a="1"/>
  <c r="P1792" i="20" s="1"/>
  <c r="P1793" i="20" a="1"/>
  <c r="P1793" i="20" s="1"/>
  <c r="P1794" i="20" a="1"/>
  <c r="P1794" i="20" s="1"/>
  <c r="P1795" i="20" a="1"/>
  <c r="P1795" i="20" s="1"/>
  <c r="P1796" i="20" a="1"/>
  <c r="P1796" i="20" s="1"/>
  <c r="P1797" i="20" a="1"/>
  <c r="P1797" i="20" s="1"/>
  <c r="P1798" i="20" a="1"/>
  <c r="P1798" i="20" s="1"/>
  <c r="P1799" i="20" a="1"/>
  <c r="P1799" i="20" s="1"/>
  <c r="P1800" i="20" a="1"/>
  <c r="P1800" i="20" s="1"/>
  <c r="P1801" i="20" a="1"/>
  <c r="P1801" i="20" s="1"/>
  <c r="P1802" i="20" a="1"/>
  <c r="P1802" i="20" s="1"/>
  <c r="P1803" i="20" a="1"/>
  <c r="P1803" i="20" s="1"/>
  <c r="P1804" i="20" a="1"/>
  <c r="P1804" i="20" s="1"/>
  <c r="P1805" i="20" a="1"/>
  <c r="P1805" i="20" s="1"/>
  <c r="P1806" i="20" a="1"/>
  <c r="P1806" i="20" s="1"/>
  <c r="P1807" i="20" a="1"/>
  <c r="P1807" i="20" s="1"/>
  <c r="P1808" i="20" a="1"/>
  <c r="P1808" i="20" s="1"/>
  <c r="P1809" i="20" a="1"/>
  <c r="P1809" i="20" s="1"/>
  <c r="P1810" i="20" a="1"/>
  <c r="P1810" i="20" s="1"/>
  <c r="P1811" i="20" a="1"/>
  <c r="P1811" i="20" s="1"/>
  <c r="P1812" i="20" a="1"/>
  <c r="P1812" i="20" s="1"/>
  <c r="P1813" i="20" a="1"/>
  <c r="P1813" i="20" s="1"/>
  <c r="P1814" i="20" a="1"/>
  <c r="P1814" i="20" s="1"/>
  <c r="P1815" i="20" a="1"/>
  <c r="P1815" i="20" s="1"/>
  <c r="P1816" i="20" a="1"/>
  <c r="P1816" i="20" s="1"/>
  <c r="P1817" i="20" a="1"/>
  <c r="P1817" i="20" s="1"/>
  <c r="P1818" i="20" a="1"/>
  <c r="P1818" i="20" s="1"/>
  <c r="P1819" i="20" a="1"/>
  <c r="P1819" i="20" s="1"/>
  <c r="P1820" i="20" a="1"/>
  <c r="P1820" i="20" s="1"/>
  <c r="P1821" i="20" a="1"/>
  <c r="P1821" i="20" s="1"/>
  <c r="P1822" i="20" a="1"/>
  <c r="P1822" i="20" s="1"/>
  <c r="P1823" i="20" a="1"/>
  <c r="P1823" i="20" s="1"/>
  <c r="P1824" i="20" a="1"/>
  <c r="P1824" i="20" s="1"/>
  <c r="P1825" i="20" a="1"/>
  <c r="P1825" i="20" s="1"/>
  <c r="P1826" i="20" a="1"/>
  <c r="P1826" i="20" s="1"/>
  <c r="P1827" i="20" a="1"/>
  <c r="P1827" i="20" s="1"/>
  <c r="P1828" i="20" a="1"/>
  <c r="P1828" i="20" s="1"/>
  <c r="P1829" i="20" a="1"/>
  <c r="P1829" i="20" s="1"/>
  <c r="P1830" i="20" a="1"/>
  <c r="P1830" i="20" s="1"/>
  <c r="P1831" i="20" a="1"/>
  <c r="P1831" i="20" s="1"/>
  <c r="P1832" i="20" a="1"/>
  <c r="P1832" i="20" s="1"/>
  <c r="P1833" i="20" a="1"/>
  <c r="P1833" i="20" s="1"/>
  <c r="P1834" i="20" a="1"/>
  <c r="P1834" i="20" s="1"/>
  <c r="P1835" i="20" a="1"/>
  <c r="P1835" i="20" s="1"/>
  <c r="P1836" i="20" a="1"/>
  <c r="P1836" i="20" s="1"/>
  <c r="P1837" i="20" a="1"/>
  <c r="P1837" i="20" s="1"/>
  <c r="P1838" i="20" a="1"/>
  <c r="P1838" i="20" s="1"/>
  <c r="P1839" i="20" a="1"/>
  <c r="P1839" i="20" s="1"/>
  <c r="P1840" i="20" a="1"/>
  <c r="P1840" i="20" s="1"/>
  <c r="P1841" i="20" a="1"/>
  <c r="P1841" i="20" s="1"/>
  <c r="P1842" i="20" a="1"/>
  <c r="P1842" i="20" s="1"/>
  <c r="P1843" i="20" a="1"/>
  <c r="P1843" i="20" s="1"/>
  <c r="P1844" i="20" a="1"/>
  <c r="P1844" i="20" s="1"/>
  <c r="P1845" i="20" a="1"/>
  <c r="P1845" i="20" s="1"/>
  <c r="P1846" i="20" a="1"/>
  <c r="P1846" i="20" s="1"/>
  <c r="P1847" i="20" a="1"/>
  <c r="P1847" i="20" s="1"/>
  <c r="P1848" i="20" a="1"/>
  <c r="P1848" i="20" s="1"/>
  <c r="P1849" i="20" a="1"/>
  <c r="P1849" i="20" s="1"/>
  <c r="P1850" i="20" a="1"/>
  <c r="P1850" i="20" s="1"/>
  <c r="P1851" i="20" a="1"/>
  <c r="P1851" i="20" s="1"/>
  <c r="P1852" i="20" a="1"/>
  <c r="P1852" i="20" s="1"/>
  <c r="P1853" i="20" a="1"/>
  <c r="P1853" i="20" s="1"/>
  <c r="P1854" i="20" a="1"/>
  <c r="P1854" i="20" s="1"/>
  <c r="P1855" i="20" a="1"/>
  <c r="P1855" i="20" s="1"/>
  <c r="P1856" i="20" a="1"/>
  <c r="P1856" i="20" s="1"/>
  <c r="P1857" i="20" a="1"/>
  <c r="P1857" i="20" s="1"/>
  <c r="P1858" i="20" a="1"/>
  <c r="P1858" i="20" s="1"/>
  <c r="P1859" i="20" a="1"/>
  <c r="P1859" i="20" s="1"/>
  <c r="P1860" i="20" a="1"/>
  <c r="P1860" i="20" s="1"/>
  <c r="P1861" i="20" a="1"/>
  <c r="P1861" i="20" s="1"/>
  <c r="P1862" i="20" a="1"/>
  <c r="P1862" i="20" s="1"/>
  <c r="P1863" i="20" a="1"/>
  <c r="P1863" i="20" s="1"/>
  <c r="P1864" i="20" a="1"/>
  <c r="P1864" i="20" s="1"/>
  <c r="P1865" i="20" a="1"/>
  <c r="P1865" i="20" s="1"/>
  <c r="P1866" i="20" a="1"/>
  <c r="P1866" i="20" s="1"/>
  <c r="P1867" i="20" a="1"/>
  <c r="P1867" i="20" s="1"/>
  <c r="P1868" i="20" a="1"/>
  <c r="P1868" i="20" s="1"/>
  <c r="P1869" i="20" a="1"/>
  <c r="P1869" i="20" s="1"/>
  <c r="P1870" i="20" a="1"/>
  <c r="P1870" i="20" s="1"/>
  <c r="P1871" i="20" a="1"/>
  <c r="P1871" i="20" s="1"/>
  <c r="P1872" i="20" a="1"/>
  <c r="P1872" i="20" s="1"/>
  <c r="P1873" i="20" a="1"/>
  <c r="P1873" i="20" s="1"/>
  <c r="P1874" i="20" a="1"/>
  <c r="P1874" i="20" s="1"/>
  <c r="P1875" i="20" a="1"/>
  <c r="P1875" i="20" s="1"/>
  <c r="P1876" i="20" a="1"/>
  <c r="P1876" i="20" s="1"/>
  <c r="P1877" i="20" a="1"/>
  <c r="P1877" i="20" s="1"/>
  <c r="P1878" i="20" a="1"/>
  <c r="P1878" i="20" s="1"/>
  <c r="P1879" i="20" a="1"/>
  <c r="P1879" i="20" s="1"/>
  <c r="P1880" i="20" a="1"/>
  <c r="P1880" i="20" s="1"/>
  <c r="P1881" i="20" a="1"/>
  <c r="P1881" i="20" s="1"/>
  <c r="P1882" i="20" a="1"/>
  <c r="P1882" i="20" s="1"/>
  <c r="P1883" i="20" a="1"/>
  <c r="P1883" i="20" s="1"/>
  <c r="P1884" i="20" a="1"/>
  <c r="P1884" i="20" s="1"/>
  <c r="P1885" i="20" a="1"/>
  <c r="P1885" i="20" s="1"/>
  <c r="P1886" i="20" a="1"/>
  <c r="P1886" i="20" s="1"/>
  <c r="P1887" i="20" a="1"/>
  <c r="P1887" i="20" s="1"/>
  <c r="P1888" i="20" a="1"/>
  <c r="P1888" i="20" s="1"/>
  <c r="P1889" i="20" a="1"/>
  <c r="P1889" i="20" s="1"/>
  <c r="P1890" i="20" a="1"/>
  <c r="P1890" i="20" s="1"/>
  <c r="P1891" i="20" a="1"/>
  <c r="P1891" i="20" s="1"/>
  <c r="P1892" i="20" a="1"/>
  <c r="P1892" i="20" s="1"/>
  <c r="P1893" i="20" a="1"/>
  <c r="P1893" i="20" s="1"/>
  <c r="P1894" i="20" a="1"/>
  <c r="P1894" i="20" s="1"/>
  <c r="P1895" i="20" a="1"/>
  <c r="P1895" i="20" s="1"/>
  <c r="P1896" i="20" a="1"/>
  <c r="P1896" i="20" s="1"/>
  <c r="P1897" i="20" a="1"/>
  <c r="P1897" i="20" s="1"/>
  <c r="P1898" i="20" a="1"/>
  <c r="P1898" i="20" s="1"/>
  <c r="P1899" i="20" a="1"/>
  <c r="P1899" i="20" s="1"/>
  <c r="P1900" i="20" a="1"/>
  <c r="P1900" i="20" s="1"/>
  <c r="P1901" i="20" a="1"/>
  <c r="P1901" i="20" s="1"/>
  <c r="P1902" i="20" a="1"/>
  <c r="P1902" i="20" s="1"/>
  <c r="P1903" i="20" a="1"/>
  <c r="P1903" i="20" s="1"/>
  <c r="P1904" i="20" a="1"/>
  <c r="P1904" i="20" s="1"/>
  <c r="P1905" i="20" a="1"/>
  <c r="P1905" i="20" s="1"/>
  <c r="P1906" i="20" a="1"/>
  <c r="P1906" i="20" s="1"/>
  <c r="P1907" i="20" a="1"/>
  <c r="P1907" i="20" s="1"/>
  <c r="P1908" i="20" a="1"/>
  <c r="P1908" i="20" s="1"/>
  <c r="P1909" i="20" a="1"/>
  <c r="P1909" i="20" s="1"/>
  <c r="P1910" i="20" a="1"/>
  <c r="P1910" i="20" s="1"/>
  <c r="P1911" i="20" a="1"/>
  <c r="P1911" i="20" s="1"/>
  <c r="P1912" i="20" a="1"/>
  <c r="P1912" i="20" s="1"/>
  <c r="P1913" i="20" a="1"/>
  <c r="P1913" i="20" s="1"/>
  <c r="P1914" i="20" a="1"/>
  <c r="P1914" i="20" s="1"/>
  <c r="P1915" i="20" a="1"/>
  <c r="P1915" i="20" s="1"/>
  <c r="P1916" i="20" a="1"/>
  <c r="P1916" i="20" s="1"/>
  <c r="P1917" i="20" a="1"/>
  <c r="P1917" i="20" s="1"/>
  <c r="P1918" i="20" a="1"/>
  <c r="P1918" i="20" s="1"/>
  <c r="P1919" i="20" a="1"/>
  <c r="P1919" i="20" s="1"/>
  <c r="P1920" i="20" a="1"/>
  <c r="P1920" i="20" s="1"/>
  <c r="P1921" i="20" a="1"/>
  <c r="P1921" i="20" s="1"/>
  <c r="P1922" i="20" a="1"/>
  <c r="P1922" i="20" s="1"/>
  <c r="P1923" i="20" a="1"/>
  <c r="P1923" i="20" s="1"/>
  <c r="P1924" i="20" a="1"/>
  <c r="P1924" i="20" s="1"/>
  <c r="P1925" i="20" a="1"/>
  <c r="P1925" i="20" s="1"/>
  <c r="P1926" i="20" a="1"/>
  <c r="P1926" i="20" s="1"/>
  <c r="P1927" i="20" a="1"/>
  <c r="P1927" i="20" s="1"/>
  <c r="P1928" i="20" a="1"/>
  <c r="P1928" i="20" s="1"/>
  <c r="P1929" i="20" a="1"/>
  <c r="P1929" i="20" s="1"/>
  <c r="P1930" i="20" a="1"/>
  <c r="P1930" i="20" s="1"/>
  <c r="P1931" i="20" a="1"/>
  <c r="P1931" i="20" s="1"/>
  <c r="P1932" i="20" a="1"/>
  <c r="P1932" i="20" s="1"/>
  <c r="P1933" i="20" a="1"/>
  <c r="P1933" i="20" s="1"/>
  <c r="P1934" i="20" a="1"/>
  <c r="P1934" i="20" s="1"/>
  <c r="P1935" i="20" a="1"/>
  <c r="P1935" i="20" s="1"/>
  <c r="P1936" i="20" a="1"/>
  <c r="P1936" i="20" s="1"/>
  <c r="P1937" i="20" a="1"/>
  <c r="P1937" i="20" s="1"/>
  <c r="P1938" i="20" a="1"/>
  <c r="P1938" i="20" s="1"/>
  <c r="P1939" i="20" a="1"/>
  <c r="P1939" i="20" s="1"/>
  <c r="P1940" i="20" a="1"/>
  <c r="P1940" i="20" s="1"/>
  <c r="P1941" i="20" a="1"/>
  <c r="P1941" i="20" s="1"/>
  <c r="P1942" i="20" a="1"/>
  <c r="P1942" i="20" s="1"/>
  <c r="P1943" i="20" a="1"/>
  <c r="P1943" i="20" s="1"/>
  <c r="P1944" i="20" a="1"/>
  <c r="P1944" i="20" s="1"/>
  <c r="P1945" i="20" a="1"/>
  <c r="P1945" i="20" s="1"/>
  <c r="P1946" i="20" a="1"/>
  <c r="P1946" i="20" s="1"/>
  <c r="P1947" i="20" a="1"/>
  <c r="P1947" i="20" s="1"/>
  <c r="P1948" i="20" a="1"/>
  <c r="P1948" i="20" s="1"/>
  <c r="P1949" i="20" a="1"/>
  <c r="P1949" i="20" s="1"/>
  <c r="P1950" i="20" a="1"/>
  <c r="P1950" i="20" s="1"/>
  <c r="P1951" i="20" a="1"/>
  <c r="P1951" i="20" s="1"/>
  <c r="P1952" i="20" a="1"/>
  <c r="P1952" i="20" s="1"/>
  <c r="P1953" i="20" a="1"/>
  <c r="P1953" i="20" s="1"/>
  <c r="P1954" i="20" a="1"/>
  <c r="P1954" i="20" s="1"/>
  <c r="P1955" i="20" a="1"/>
  <c r="P1955" i="20" s="1"/>
  <c r="P1956" i="20" a="1"/>
  <c r="P1956" i="20" s="1"/>
  <c r="P1957" i="20" a="1"/>
  <c r="P1957" i="20" s="1"/>
  <c r="P1958" i="20" a="1"/>
  <c r="P1958" i="20" s="1"/>
  <c r="P1959" i="20" a="1"/>
  <c r="P1959" i="20" s="1"/>
  <c r="P1960" i="20" a="1"/>
  <c r="P1960" i="20" s="1"/>
  <c r="P1961" i="20" a="1"/>
  <c r="P1961" i="20" s="1"/>
  <c r="P1962" i="20" a="1"/>
  <c r="P1962" i="20" s="1"/>
  <c r="P1963" i="20" a="1"/>
  <c r="P1963" i="20" s="1"/>
  <c r="P1964" i="20" a="1"/>
  <c r="P1964" i="20" s="1"/>
  <c r="P1965" i="20" a="1"/>
  <c r="P1965" i="20" s="1"/>
  <c r="P1966" i="20" a="1"/>
  <c r="P1966" i="20" s="1"/>
  <c r="P1967" i="20" a="1"/>
  <c r="P1967" i="20" s="1"/>
  <c r="P1968" i="20" a="1"/>
  <c r="P1968" i="20" s="1"/>
  <c r="P1969" i="20" a="1"/>
  <c r="P1969" i="20" s="1"/>
  <c r="P1970" i="20" a="1"/>
  <c r="P1970" i="20" s="1"/>
  <c r="P1971" i="20" a="1"/>
  <c r="P1971" i="20" s="1"/>
  <c r="P1972" i="20" a="1"/>
  <c r="P1972" i="20" s="1"/>
  <c r="P1973" i="20" a="1"/>
  <c r="P1973" i="20" s="1"/>
  <c r="P1974" i="20" a="1"/>
  <c r="P1974" i="20" s="1"/>
  <c r="P1975" i="20" a="1"/>
  <c r="P1975" i="20" s="1"/>
  <c r="P1976" i="20" a="1"/>
  <c r="P1976" i="20" s="1"/>
  <c r="P1977" i="20" a="1"/>
  <c r="P1977" i="20" s="1"/>
  <c r="P1978" i="20" a="1"/>
  <c r="P1978" i="20" s="1"/>
  <c r="P1979" i="20" a="1"/>
  <c r="P1979" i="20" s="1"/>
  <c r="P1980" i="20" a="1"/>
  <c r="P1980" i="20" s="1"/>
  <c r="P1981" i="20" a="1"/>
  <c r="P1981" i="20" s="1"/>
  <c r="P1982" i="20" a="1"/>
  <c r="P1982" i="20" s="1"/>
  <c r="P1983" i="20" a="1"/>
  <c r="P1983" i="20" s="1"/>
  <c r="P1984" i="20" a="1"/>
  <c r="P1984" i="20" s="1"/>
  <c r="P1985" i="20" a="1"/>
  <c r="P1985" i="20" s="1"/>
  <c r="P1986" i="20" a="1"/>
  <c r="P1986" i="20" s="1"/>
  <c r="P1987" i="20" a="1"/>
  <c r="P1987" i="20" s="1"/>
  <c r="P1988" i="20" a="1"/>
  <c r="P1988" i="20" s="1"/>
  <c r="P1989" i="20" a="1"/>
  <c r="P1989" i="20" s="1"/>
  <c r="P1990" i="20" a="1"/>
  <c r="P1990" i="20" s="1"/>
  <c r="P1991" i="20" a="1"/>
  <c r="P1991" i="20" s="1"/>
  <c r="P1992" i="20" a="1"/>
  <c r="P1992" i="20" s="1"/>
  <c r="P1993" i="20" a="1"/>
  <c r="P1993" i="20" s="1"/>
  <c r="P1994" i="20" a="1"/>
  <c r="P1994" i="20" s="1"/>
  <c r="P1995" i="20" a="1"/>
  <c r="P1995" i="20" s="1"/>
  <c r="P1996" i="20" a="1"/>
  <c r="P1996" i="20" s="1"/>
  <c r="P1997" i="20" a="1"/>
  <c r="P1997" i="20" s="1"/>
  <c r="P1998" i="20" a="1"/>
  <c r="P1998" i="20" s="1"/>
  <c r="P1999" i="20" a="1"/>
  <c r="P1999" i="20" s="1"/>
  <c r="P2000" i="20" a="1"/>
  <c r="P2000" i="20" s="1"/>
  <c r="P2001" i="20" a="1"/>
  <c r="P2001" i="20" s="1"/>
  <c r="P2002" i="20" a="1"/>
  <c r="P2002" i="20" s="1"/>
  <c r="P2003" i="20" a="1"/>
  <c r="P2003" i="20" s="1"/>
  <c r="P2004" i="20" a="1"/>
  <c r="P2004" i="20" s="1"/>
  <c r="P2005" i="20" a="1"/>
  <c r="P2005" i="20" s="1"/>
  <c r="P2006" i="20" a="1"/>
  <c r="P2006" i="20" s="1"/>
  <c r="P2007" i="20" a="1"/>
  <c r="P2007" i="20" s="1"/>
  <c r="P2008" i="20" a="1"/>
  <c r="P2008" i="20" s="1"/>
  <c r="P2009" i="20" a="1"/>
  <c r="P2009" i="20" s="1"/>
  <c r="P2010" i="20" a="1"/>
  <c r="P2010" i="20" s="1"/>
  <c r="P2011" i="20" a="1"/>
  <c r="P2011" i="20" s="1"/>
  <c r="P2012" i="20" a="1"/>
  <c r="P2012" i="20" s="1"/>
  <c r="P2013" i="20" a="1"/>
  <c r="P2013" i="20" s="1"/>
  <c r="P2014" i="20" a="1"/>
  <c r="P2014" i="20" s="1"/>
  <c r="P2015" i="20" a="1"/>
  <c r="P2015" i="20" s="1"/>
  <c r="P2016" i="20" a="1"/>
  <c r="P2016" i="20" s="1"/>
  <c r="P2017" i="20" a="1"/>
  <c r="P2017" i="20" s="1"/>
  <c r="P2018" i="20" a="1"/>
  <c r="P2018" i="20" s="1"/>
  <c r="P2019" i="20" a="1"/>
  <c r="P2019" i="20" s="1"/>
  <c r="P2020" i="20" a="1"/>
  <c r="P2020" i="20" s="1"/>
  <c r="P2021" i="20" a="1"/>
  <c r="P2021" i="20" s="1"/>
  <c r="P2022" i="20" a="1"/>
  <c r="P2022" i="20" s="1"/>
  <c r="P2023" i="20" a="1"/>
  <c r="P2023" i="20" s="1"/>
  <c r="P2024" i="20" a="1"/>
  <c r="P2024" i="20" s="1"/>
  <c r="P2025" i="20" a="1"/>
  <c r="P2025" i="20" s="1"/>
  <c r="P2026" i="20" a="1"/>
  <c r="P2026" i="20" s="1"/>
  <c r="P2027" i="20" a="1"/>
  <c r="P2027" i="20" s="1"/>
  <c r="P2028" i="20" a="1"/>
  <c r="P2028" i="20" s="1"/>
  <c r="P2029" i="20" a="1"/>
  <c r="P2029" i="20" s="1"/>
  <c r="P2030" i="20" a="1"/>
  <c r="P2030" i="20" s="1"/>
  <c r="P2031" i="20" a="1"/>
  <c r="P2031" i="20" s="1"/>
  <c r="P2032" i="20" a="1"/>
  <c r="P2032" i="20" s="1"/>
  <c r="P2033" i="20" a="1"/>
  <c r="P2033" i="20" s="1"/>
  <c r="P2034" i="20" a="1"/>
  <c r="P2034" i="20" s="1"/>
  <c r="P2035" i="20" a="1"/>
  <c r="P2035" i="20" s="1"/>
  <c r="P2036" i="20" a="1"/>
  <c r="P2036" i="20" s="1"/>
  <c r="P2037" i="20" a="1"/>
  <c r="P2037" i="20" s="1"/>
  <c r="P2038" i="20" a="1"/>
  <c r="P2038" i="20" s="1"/>
  <c r="P2039" i="20" a="1"/>
  <c r="P2039" i="20" s="1"/>
  <c r="P2040" i="20" a="1"/>
  <c r="P2040" i="20" s="1"/>
  <c r="P2041" i="20" a="1"/>
  <c r="P2041" i="20" s="1"/>
  <c r="P2042" i="20" a="1"/>
  <c r="P2042" i="20" s="1"/>
  <c r="P2043" i="20" a="1"/>
  <c r="P2043" i="20" s="1"/>
  <c r="P2044" i="20" a="1"/>
  <c r="P2044" i="20" s="1"/>
  <c r="P2045" i="20" a="1"/>
  <c r="P2045" i="20" s="1"/>
  <c r="P2046" i="20" a="1"/>
  <c r="P2046" i="20" s="1"/>
  <c r="P2047" i="20" a="1"/>
  <c r="P2047" i="20" s="1"/>
  <c r="P2048" i="20" a="1"/>
  <c r="P2048" i="20" s="1"/>
  <c r="P2049" i="20" a="1"/>
  <c r="P2049" i="20" s="1"/>
  <c r="P2050" i="20" a="1"/>
  <c r="P2050" i="20" s="1"/>
  <c r="P2051" i="20" a="1"/>
  <c r="P2051" i="20" s="1"/>
  <c r="P2052" i="20" a="1"/>
  <c r="P2052" i="20" s="1"/>
  <c r="P2053" i="20" a="1"/>
  <c r="P2053" i="20" s="1"/>
  <c r="P2054" i="20" a="1"/>
  <c r="P2054" i="20" s="1"/>
  <c r="P2055" i="20" a="1"/>
  <c r="P2055" i="20" s="1"/>
  <c r="P2056" i="20" a="1"/>
  <c r="P2056" i="20" s="1"/>
  <c r="P2057" i="20" a="1"/>
  <c r="P2057" i="20" s="1"/>
  <c r="P2058" i="20" a="1"/>
  <c r="P2058" i="20" s="1"/>
  <c r="P2059" i="20" a="1"/>
  <c r="P2059" i="20" s="1"/>
  <c r="P2060" i="20" a="1"/>
  <c r="P2060" i="20" s="1"/>
  <c r="P2061" i="20" a="1"/>
  <c r="P2061" i="20" s="1"/>
  <c r="P2062" i="20" a="1"/>
  <c r="P2062" i="20" s="1"/>
  <c r="P2063" i="20" a="1"/>
  <c r="P2063" i="20" s="1"/>
  <c r="P2064" i="20" a="1"/>
  <c r="P2064" i="20" s="1"/>
  <c r="P2065" i="20" a="1"/>
  <c r="P2065" i="20" s="1"/>
  <c r="P2066" i="20" a="1"/>
  <c r="P2066" i="20" s="1"/>
  <c r="P2067" i="20" a="1"/>
  <c r="P2067" i="20" s="1"/>
  <c r="P2068" i="20" a="1"/>
  <c r="P2068" i="20" s="1"/>
  <c r="P2069" i="20" a="1"/>
  <c r="P2069" i="20" s="1"/>
  <c r="P2070" i="20" a="1"/>
  <c r="P2070" i="20" s="1"/>
  <c r="P2071" i="20" a="1"/>
  <c r="P2071" i="20" s="1"/>
  <c r="P2072" i="20" a="1"/>
  <c r="P2072" i="20" s="1"/>
  <c r="P2073" i="20" a="1"/>
  <c r="P2073" i="20" s="1"/>
  <c r="P2074" i="20" a="1"/>
  <c r="P2074" i="20" s="1"/>
  <c r="P2075" i="20" a="1"/>
  <c r="P2075" i="20" s="1"/>
  <c r="P2076" i="20" a="1"/>
  <c r="P2076" i="20" s="1"/>
  <c r="P2077" i="20" a="1"/>
  <c r="P2077" i="20" s="1"/>
  <c r="P2078" i="20" a="1"/>
  <c r="P2078" i="20" s="1"/>
  <c r="P2079" i="20" a="1"/>
  <c r="P2079" i="20" s="1"/>
  <c r="P2080" i="20" a="1"/>
  <c r="P2080" i="20" s="1"/>
  <c r="P2081" i="20" a="1"/>
  <c r="P2081" i="20" s="1"/>
  <c r="P2082" i="20" a="1"/>
  <c r="P2082" i="20" s="1"/>
  <c r="P2083" i="20" a="1"/>
  <c r="P2083" i="20" s="1"/>
  <c r="P2084" i="20" a="1"/>
  <c r="P2084" i="20" s="1"/>
  <c r="P2085" i="20" a="1"/>
  <c r="P2085" i="20" s="1"/>
  <c r="P2086" i="20" a="1"/>
  <c r="P2086" i="20" s="1"/>
  <c r="P2087" i="20" a="1"/>
  <c r="P2087" i="20" s="1"/>
  <c r="P2088" i="20" a="1"/>
  <c r="P2088" i="20" s="1"/>
  <c r="P2089" i="20" a="1"/>
  <c r="P2089" i="20" s="1"/>
  <c r="P2090" i="20" a="1"/>
  <c r="P2090" i="20" s="1"/>
  <c r="P2091" i="20" a="1"/>
  <c r="P2091" i="20" s="1"/>
  <c r="P2092" i="20" a="1"/>
  <c r="P2092" i="20" s="1"/>
  <c r="P2093" i="20" a="1"/>
  <c r="P2093" i="20" s="1"/>
  <c r="P2094" i="20" a="1"/>
  <c r="P2094" i="20" s="1"/>
  <c r="P2095" i="20" a="1"/>
  <c r="P2095" i="20" s="1"/>
  <c r="P2096" i="20" a="1"/>
  <c r="P2096" i="20" s="1"/>
  <c r="P2097" i="20" a="1"/>
  <c r="P2097" i="20" s="1"/>
  <c r="P2098" i="20" a="1"/>
  <c r="P2098" i="20" s="1"/>
  <c r="P2099" i="20" a="1"/>
  <c r="P2099" i="20" s="1"/>
  <c r="P2100" i="20" a="1"/>
  <c r="P2100" i="20" s="1"/>
  <c r="P2101" i="20" a="1"/>
  <c r="P2101" i="20" s="1"/>
  <c r="P2102" i="20" a="1"/>
  <c r="P2102" i="20" s="1"/>
  <c r="P2103" i="20" a="1"/>
  <c r="P2103" i="20" s="1"/>
  <c r="P2104" i="20" a="1"/>
  <c r="P2104" i="20" s="1"/>
  <c r="P2105" i="20" a="1"/>
  <c r="P2105" i="20" s="1"/>
  <c r="P2106" i="20" a="1"/>
  <c r="P2106" i="20" s="1"/>
  <c r="P2107" i="20" a="1"/>
  <c r="P2107" i="20" s="1"/>
  <c r="P2108" i="20" a="1"/>
  <c r="P2108" i="20" s="1"/>
  <c r="P2109" i="20" a="1"/>
  <c r="P2109" i="20" s="1"/>
  <c r="P2110" i="20" a="1"/>
  <c r="P2110" i="20" s="1"/>
  <c r="P2111" i="20" a="1"/>
  <c r="P2111" i="20" s="1"/>
  <c r="P2112" i="20" a="1"/>
  <c r="P2112" i="20" s="1"/>
  <c r="P2113" i="20" a="1"/>
  <c r="P2113" i="20" s="1"/>
  <c r="P2114" i="20" a="1"/>
  <c r="P2114" i="20" s="1"/>
  <c r="P2115" i="20" a="1"/>
  <c r="P2115" i="20" s="1"/>
  <c r="P2116" i="20" a="1"/>
  <c r="P2116" i="20" s="1"/>
  <c r="P2117" i="20" a="1"/>
  <c r="P2117" i="20" s="1"/>
  <c r="P2118" i="20" a="1"/>
  <c r="P2118" i="20" s="1"/>
  <c r="P2119" i="20" a="1"/>
  <c r="P2119" i="20" s="1"/>
  <c r="P2120" i="20" a="1"/>
  <c r="P2120" i="20" s="1"/>
  <c r="P2121" i="20" a="1"/>
  <c r="P2121" i="20" s="1"/>
  <c r="P2122" i="20" a="1"/>
  <c r="P2122" i="20" s="1"/>
  <c r="P2123" i="20" a="1"/>
  <c r="P2123" i="20" s="1"/>
  <c r="P2124" i="20" a="1"/>
  <c r="P2124" i="20" s="1"/>
  <c r="P2125" i="20" a="1"/>
  <c r="P2125" i="20" s="1"/>
  <c r="P2126" i="20" a="1"/>
  <c r="P2126" i="20" s="1"/>
  <c r="P2127" i="20" a="1"/>
  <c r="P2127" i="20" s="1"/>
  <c r="P2128" i="20" a="1"/>
  <c r="P2128" i="20" s="1"/>
  <c r="P2129" i="20" a="1"/>
  <c r="P2129" i="20" s="1"/>
  <c r="P2130" i="20" a="1"/>
  <c r="P2130" i="20" s="1"/>
  <c r="P2131" i="20" a="1"/>
  <c r="P2131" i="20" s="1"/>
  <c r="P2132" i="20" a="1"/>
  <c r="P2132" i="20" s="1"/>
  <c r="P2133" i="20" a="1"/>
  <c r="P2133" i="20" s="1"/>
  <c r="P2134" i="20" a="1"/>
  <c r="P2134" i="20" s="1"/>
  <c r="P2135" i="20" a="1"/>
  <c r="P2135" i="20" s="1"/>
  <c r="P2136" i="20" a="1"/>
  <c r="P2136" i="20" s="1"/>
  <c r="P2137" i="20" a="1"/>
  <c r="P2137" i="20" s="1"/>
  <c r="P2138" i="20" a="1"/>
  <c r="P2138" i="20" s="1"/>
  <c r="P2139" i="20" a="1"/>
  <c r="P2139" i="20" s="1"/>
  <c r="P2140" i="20" a="1"/>
  <c r="P2140" i="20" s="1"/>
  <c r="P2141" i="20" a="1"/>
  <c r="P2141" i="20" s="1"/>
  <c r="P2142" i="20" a="1"/>
  <c r="P2142" i="20" s="1"/>
  <c r="P2143" i="20" a="1"/>
  <c r="P2143" i="20" s="1"/>
  <c r="P2144" i="20" a="1"/>
  <c r="P2144" i="20" s="1"/>
  <c r="P2145" i="20" a="1"/>
  <c r="P2145" i="20" s="1"/>
  <c r="P2146" i="20" a="1"/>
  <c r="P2146" i="20" s="1"/>
  <c r="P2147" i="20" a="1"/>
  <c r="P2147" i="20" s="1"/>
  <c r="P2148" i="20" a="1"/>
  <c r="P2148" i="20" s="1"/>
  <c r="P2149" i="20" a="1"/>
  <c r="P2149" i="20" s="1"/>
  <c r="P2150" i="20" a="1"/>
  <c r="P2150" i="20" s="1"/>
  <c r="P2151" i="20" a="1"/>
  <c r="P2151" i="20" s="1"/>
  <c r="P2152" i="20" a="1"/>
  <c r="P2152" i="20" s="1"/>
  <c r="P2153" i="20" a="1"/>
  <c r="P2153" i="20" s="1"/>
  <c r="P2154" i="20" a="1"/>
  <c r="P2154" i="20" s="1"/>
  <c r="P2155" i="20" a="1"/>
  <c r="P2155" i="20" s="1"/>
  <c r="P2156" i="20" a="1"/>
  <c r="P2156" i="20" s="1"/>
  <c r="P2157" i="20" a="1"/>
  <c r="P2157" i="20" s="1"/>
  <c r="P2158" i="20" a="1"/>
  <c r="P2158" i="20" s="1"/>
  <c r="P2159" i="20" a="1"/>
  <c r="P2159" i="20" s="1"/>
  <c r="P2160" i="20" a="1"/>
  <c r="P2160" i="20" s="1"/>
  <c r="P2161" i="20" a="1"/>
  <c r="P2161" i="20" s="1"/>
  <c r="P2162" i="20" a="1"/>
  <c r="P2162" i="20" s="1"/>
  <c r="P2163" i="20" a="1"/>
  <c r="P2163" i="20" s="1"/>
  <c r="P2164" i="20" a="1"/>
  <c r="P2164" i="20" s="1"/>
  <c r="P2165" i="20" a="1"/>
  <c r="P2165" i="20" s="1"/>
  <c r="P2166" i="20" a="1"/>
  <c r="P2166" i="20" s="1"/>
  <c r="P2167" i="20" a="1"/>
  <c r="P2167" i="20" s="1"/>
  <c r="P2168" i="20" a="1"/>
  <c r="P2168" i="20" s="1"/>
  <c r="P2169" i="20" a="1"/>
  <c r="P2169" i="20" s="1"/>
  <c r="P2170" i="20" a="1"/>
  <c r="P2170" i="20" s="1"/>
  <c r="P2171" i="20" a="1"/>
  <c r="P2171" i="20" s="1"/>
  <c r="P2172" i="20" a="1"/>
  <c r="P2172" i="20" s="1"/>
  <c r="P2173" i="20" a="1"/>
  <c r="P2173" i="20" s="1"/>
  <c r="P2174" i="20" a="1"/>
  <c r="P2174" i="20" s="1"/>
  <c r="P2175" i="20" a="1"/>
  <c r="P2175" i="20" s="1"/>
  <c r="P2176" i="20" a="1"/>
  <c r="P2176" i="20" s="1"/>
  <c r="P2177" i="20" a="1"/>
  <c r="P2177" i="20" s="1"/>
  <c r="P2178" i="20" a="1"/>
  <c r="P2178" i="20" s="1"/>
  <c r="P2179" i="20" a="1"/>
  <c r="P2179" i="20" s="1"/>
  <c r="P2180" i="20" a="1"/>
  <c r="P2180" i="20" s="1"/>
  <c r="P2181" i="20" a="1"/>
  <c r="P2181" i="20" s="1"/>
  <c r="P2182" i="20" a="1"/>
  <c r="P2182" i="20" s="1"/>
  <c r="P2183" i="20" a="1"/>
  <c r="P2183" i="20" s="1"/>
  <c r="P2184" i="20" a="1"/>
  <c r="P2184" i="20" s="1"/>
  <c r="P2185" i="20" a="1"/>
  <c r="P2185" i="20" s="1"/>
  <c r="P2186" i="20" a="1"/>
  <c r="P2186" i="20" s="1"/>
  <c r="P2187" i="20" a="1"/>
  <c r="P2187" i="20" s="1"/>
  <c r="P2188" i="20" a="1"/>
  <c r="P2188" i="20" s="1"/>
  <c r="P2189" i="20" a="1"/>
  <c r="P2189" i="20" s="1"/>
  <c r="P2190" i="20" a="1"/>
  <c r="P2190" i="20" s="1"/>
  <c r="P2191" i="20" a="1"/>
  <c r="P2191" i="20" s="1"/>
  <c r="P2192" i="20" a="1"/>
  <c r="P2192" i="20" s="1"/>
  <c r="P2193" i="20" a="1"/>
  <c r="P2193" i="20" s="1"/>
  <c r="P2194" i="20" a="1"/>
  <c r="P2194" i="20" s="1"/>
  <c r="P2195" i="20" a="1"/>
  <c r="P2195" i="20" s="1"/>
  <c r="P2196" i="20" a="1"/>
  <c r="P2196" i="20" s="1"/>
  <c r="P2197" i="20" a="1"/>
  <c r="P2197" i="20" s="1"/>
  <c r="P2198" i="20" a="1"/>
  <c r="P2198" i="20" s="1"/>
  <c r="P2199" i="20" a="1"/>
  <c r="P2199" i="20" s="1"/>
  <c r="P2200" i="20" a="1"/>
  <c r="P2200" i="20" s="1"/>
  <c r="P2201" i="20" a="1"/>
  <c r="P2201" i="20" s="1"/>
  <c r="P2202" i="20" a="1"/>
  <c r="P2202" i="20" s="1"/>
  <c r="P2203" i="20" a="1"/>
  <c r="P2203" i="20" s="1"/>
  <c r="P2204" i="20" a="1"/>
  <c r="P2204" i="20" s="1"/>
  <c r="P2205" i="20" a="1"/>
  <c r="P2205" i="20" s="1"/>
  <c r="P2206" i="20" a="1"/>
  <c r="P2206" i="20" s="1"/>
  <c r="P2207" i="20" a="1"/>
  <c r="P2207" i="20" s="1"/>
  <c r="P2208" i="20" a="1"/>
  <c r="P2208" i="20" s="1"/>
  <c r="P2209" i="20" a="1"/>
  <c r="P2209" i="20" s="1"/>
  <c r="P2210" i="20" a="1"/>
  <c r="P2210" i="20" s="1"/>
  <c r="P2211" i="20" a="1"/>
  <c r="P2211" i="20" s="1"/>
  <c r="P2212" i="20" a="1"/>
  <c r="P2212" i="20" s="1"/>
  <c r="P2213" i="20" a="1"/>
  <c r="P2213" i="20" s="1"/>
  <c r="P2214" i="20" a="1"/>
  <c r="P2214" i="20" s="1"/>
  <c r="P2215" i="20" a="1"/>
  <c r="P2215" i="20" s="1"/>
  <c r="P2216" i="20" a="1"/>
  <c r="P2216" i="20" s="1"/>
  <c r="P2217" i="20" a="1"/>
  <c r="P2217" i="20" s="1"/>
  <c r="P2218" i="20" a="1"/>
  <c r="P2218" i="20" s="1"/>
  <c r="P2219" i="20" a="1"/>
  <c r="P2219" i="20" s="1"/>
  <c r="P2220" i="20" a="1"/>
  <c r="P2220" i="20" s="1"/>
  <c r="P2221" i="20" a="1"/>
  <c r="P2221" i="20" s="1"/>
  <c r="P2222" i="20" a="1"/>
  <c r="P2222" i="20" s="1"/>
  <c r="P2223" i="20" a="1"/>
  <c r="P2223" i="20" s="1"/>
  <c r="P2224" i="20" a="1"/>
  <c r="P2224" i="20" s="1"/>
  <c r="P2225" i="20" a="1"/>
  <c r="P2225" i="20" s="1"/>
  <c r="P2226" i="20" a="1"/>
  <c r="P2226" i="20" s="1"/>
  <c r="P2227" i="20" a="1"/>
  <c r="P2227" i="20" s="1"/>
  <c r="P2228" i="20" a="1"/>
  <c r="P2228" i="20" s="1"/>
  <c r="P2229" i="20" a="1"/>
  <c r="P2229" i="20" s="1"/>
  <c r="P2230" i="20" a="1"/>
  <c r="P2230" i="20" s="1"/>
  <c r="P2231" i="20" a="1"/>
  <c r="P2231" i="20" s="1"/>
  <c r="P2232" i="20" a="1"/>
  <c r="P2232" i="20" s="1"/>
  <c r="P2233" i="20" a="1"/>
  <c r="P2233" i="20" s="1"/>
  <c r="P2234" i="20" a="1"/>
  <c r="P2234" i="20" s="1"/>
  <c r="P2235" i="20" a="1"/>
  <c r="P2235" i="20" s="1"/>
  <c r="P2236" i="20" a="1"/>
  <c r="P2236" i="20" s="1"/>
  <c r="P2237" i="20" a="1"/>
  <c r="P2237" i="20" s="1"/>
  <c r="P2238" i="20" a="1"/>
  <c r="P2238" i="20" s="1"/>
  <c r="P2239" i="20" a="1"/>
  <c r="P2239" i="20" s="1"/>
  <c r="P2240" i="20" a="1"/>
  <c r="P2240" i="20" s="1"/>
  <c r="P2241" i="20" a="1"/>
  <c r="P2241" i="20" s="1"/>
  <c r="P2242" i="20" a="1"/>
  <c r="P2242" i="20" s="1"/>
  <c r="P2243" i="20" a="1"/>
  <c r="P2243" i="20" s="1"/>
  <c r="P2244" i="20" a="1"/>
  <c r="P2244" i="20" s="1"/>
  <c r="P2245" i="20" a="1"/>
  <c r="P2245" i="20" s="1"/>
  <c r="P2246" i="20" a="1"/>
  <c r="P2246" i="20" s="1"/>
  <c r="P2247" i="20" a="1"/>
  <c r="P2247" i="20" s="1"/>
  <c r="P2248" i="20" a="1"/>
  <c r="P2248" i="20" s="1"/>
  <c r="P2249" i="20" a="1"/>
  <c r="P2249" i="20" s="1"/>
  <c r="P2250" i="20" a="1"/>
  <c r="P2250" i="20" s="1"/>
  <c r="P2251" i="20" a="1"/>
  <c r="P2251" i="20" s="1"/>
  <c r="P2252" i="20" a="1"/>
  <c r="P2252" i="20" s="1"/>
  <c r="P2253" i="20" a="1"/>
  <c r="P2253" i="20" s="1"/>
  <c r="P2254" i="20" a="1"/>
  <c r="P2254" i="20" s="1"/>
  <c r="P2255" i="20" a="1"/>
  <c r="P2255" i="20" s="1"/>
  <c r="P2256" i="20" a="1"/>
  <c r="P2256" i="20" s="1"/>
  <c r="P2257" i="20" a="1"/>
  <c r="P2257" i="20" s="1"/>
  <c r="P2258" i="20" a="1"/>
  <c r="P2258" i="20" s="1"/>
  <c r="P2259" i="20" a="1"/>
  <c r="P2259" i="20" s="1"/>
  <c r="P2260" i="20" a="1"/>
  <c r="P2260" i="20" s="1"/>
  <c r="P2261" i="20" a="1"/>
  <c r="P2261" i="20" s="1"/>
  <c r="P2262" i="20" a="1"/>
  <c r="P2262" i="20" s="1"/>
  <c r="P2263" i="20" a="1"/>
  <c r="P2263" i="20" s="1"/>
  <c r="P2264" i="20" a="1"/>
  <c r="P2264" i="20" s="1"/>
  <c r="P2265" i="20" a="1"/>
  <c r="P2265" i="20" s="1"/>
  <c r="P2266" i="20" a="1"/>
  <c r="P2266" i="20" s="1"/>
  <c r="P2267" i="20" a="1"/>
  <c r="P2267" i="20" s="1"/>
  <c r="P2268" i="20" a="1"/>
  <c r="P2268" i="20" s="1"/>
  <c r="P2269" i="20" a="1"/>
  <c r="P2269" i="20" s="1"/>
  <c r="P2270" i="20" a="1"/>
  <c r="P2270" i="20" s="1"/>
  <c r="P2271" i="20" a="1"/>
  <c r="P2271" i="20" s="1"/>
  <c r="P2272" i="20" a="1"/>
  <c r="P2272" i="20" s="1"/>
  <c r="P2273" i="20" a="1"/>
  <c r="P2273" i="20" s="1"/>
  <c r="P2274" i="20" a="1"/>
  <c r="P2274" i="20" s="1"/>
  <c r="P2275" i="20" a="1"/>
  <c r="P2275" i="20" s="1"/>
  <c r="P2276" i="20" a="1"/>
  <c r="P2276" i="20" s="1"/>
  <c r="P2277" i="20" a="1"/>
  <c r="P2277" i="20" s="1"/>
  <c r="P2278" i="20" a="1"/>
  <c r="P2278" i="20" s="1"/>
  <c r="P2279" i="20" a="1"/>
  <c r="P2279" i="20" s="1"/>
  <c r="P2280" i="20" a="1"/>
  <c r="P2280" i="20" s="1"/>
  <c r="P2281" i="20" a="1"/>
  <c r="P2281" i="20" s="1"/>
  <c r="P2282" i="20" a="1"/>
  <c r="P2282" i="20" s="1"/>
  <c r="P2283" i="20" a="1"/>
  <c r="P2283" i="20" s="1"/>
  <c r="P2284" i="20" a="1"/>
  <c r="P2284" i="20" s="1"/>
  <c r="P2285" i="20" a="1"/>
  <c r="P2285" i="20" s="1"/>
  <c r="P2286" i="20" a="1"/>
  <c r="P2286" i="20" s="1"/>
  <c r="P2287" i="20" a="1"/>
  <c r="P2287" i="20" s="1"/>
  <c r="P2288" i="20" a="1"/>
  <c r="P2288" i="20" s="1"/>
  <c r="P2289" i="20" a="1"/>
  <c r="P2289" i="20" s="1"/>
  <c r="P2290" i="20" a="1"/>
  <c r="P2290" i="20" s="1"/>
  <c r="P2291" i="20" a="1"/>
  <c r="P2291" i="20" s="1"/>
  <c r="P2292" i="20" a="1"/>
  <c r="P2292" i="20" s="1"/>
  <c r="P2293" i="20" a="1"/>
  <c r="P2293" i="20" s="1"/>
  <c r="P2294" i="20" a="1"/>
  <c r="P2294" i="20" s="1"/>
  <c r="P2295" i="20" a="1"/>
  <c r="P2295" i="20" s="1"/>
  <c r="P2296" i="20" a="1"/>
  <c r="P2296" i="20" s="1"/>
  <c r="P2297" i="20" a="1"/>
  <c r="P2297" i="20" s="1"/>
  <c r="P2298" i="20" a="1"/>
  <c r="P2298" i="20" s="1"/>
  <c r="P2299" i="20" a="1"/>
  <c r="P2299" i="20" s="1"/>
  <c r="P2300" i="20" a="1"/>
  <c r="P2300" i="20" s="1"/>
  <c r="P2301" i="20" a="1"/>
  <c r="P2301" i="20" s="1"/>
  <c r="P2302" i="20" a="1"/>
  <c r="P2302" i="20" s="1"/>
  <c r="P2303" i="20" a="1"/>
  <c r="P2303" i="20" s="1"/>
  <c r="P2304" i="20" a="1"/>
  <c r="P2304" i="20" s="1"/>
  <c r="P2305" i="20" a="1"/>
  <c r="P2305" i="20" s="1"/>
  <c r="P2306" i="20" a="1"/>
  <c r="P2306" i="20" s="1"/>
  <c r="P2307" i="20" a="1"/>
  <c r="P2307" i="20" s="1"/>
  <c r="P2308" i="20" a="1"/>
  <c r="P2308" i="20" s="1"/>
  <c r="P2309" i="20" a="1"/>
  <c r="P2309" i="20" s="1"/>
  <c r="P2310" i="20" a="1"/>
  <c r="P2310" i="20" s="1"/>
  <c r="P2311" i="20" a="1"/>
  <c r="P2311" i="20" s="1"/>
  <c r="P2312" i="20" a="1"/>
  <c r="P2312" i="20" s="1"/>
  <c r="P2313" i="20" a="1"/>
  <c r="P2313" i="20" s="1"/>
  <c r="P2314" i="20" a="1"/>
  <c r="P2314" i="20" s="1"/>
  <c r="P2315" i="20" a="1"/>
  <c r="P2315" i="20" s="1"/>
  <c r="P2316" i="20" a="1"/>
  <c r="P2316" i="20" s="1"/>
  <c r="P2317" i="20" a="1"/>
  <c r="P2317" i="20" s="1"/>
  <c r="P2318" i="20" a="1"/>
  <c r="P2318" i="20" s="1"/>
  <c r="P2319" i="20" a="1"/>
  <c r="P2319" i="20" s="1"/>
  <c r="P2320" i="20" a="1"/>
  <c r="P2320" i="20" s="1"/>
  <c r="P2321" i="20" a="1"/>
  <c r="P2321" i="20" s="1"/>
  <c r="P2322" i="20" a="1"/>
  <c r="P2322" i="20" s="1"/>
  <c r="P2323" i="20" a="1"/>
  <c r="P2323" i="20" s="1"/>
  <c r="P2324" i="20" a="1"/>
  <c r="P2324" i="20" s="1"/>
  <c r="P2325" i="20" a="1"/>
  <c r="P2325" i="20" s="1"/>
  <c r="P2326" i="20" a="1"/>
  <c r="P2326" i="20" s="1"/>
  <c r="P2327" i="20" a="1"/>
  <c r="P2327" i="20" s="1"/>
  <c r="P2328" i="20" a="1"/>
  <c r="P2328" i="20" s="1"/>
  <c r="P2329" i="20" a="1"/>
  <c r="P2329" i="20" s="1"/>
  <c r="P2330" i="20" a="1"/>
  <c r="P2330" i="20" s="1"/>
  <c r="P2331" i="20" a="1"/>
  <c r="P2331" i="20" s="1"/>
  <c r="P2332" i="20" a="1"/>
  <c r="P2332" i="20" s="1"/>
  <c r="P2333" i="20" a="1"/>
  <c r="P2333" i="20" s="1"/>
  <c r="P2334" i="20" a="1"/>
  <c r="P2334" i="20" s="1"/>
  <c r="P2335" i="20" a="1"/>
  <c r="P2335" i="20" s="1"/>
  <c r="P2336" i="20" a="1"/>
  <c r="P2336" i="20" s="1"/>
  <c r="P2337" i="20" a="1"/>
  <c r="P2337" i="20" s="1"/>
  <c r="P2338" i="20" a="1"/>
  <c r="P2338" i="20" s="1"/>
  <c r="P2339" i="20" a="1"/>
  <c r="P2339" i="20" s="1"/>
  <c r="P2340" i="20" a="1"/>
  <c r="P2340" i="20" s="1"/>
  <c r="P2341" i="20" a="1"/>
  <c r="P2341" i="20" s="1"/>
  <c r="P2342" i="20" a="1"/>
  <c r="P2342" i="20" s="1"/>
  <c r="P2343" i="20" a="1"/>
  <c r="P2343" i="20" s="1"/>
  <c r="P2344" i="20" a="1"/>
  <c r="P2344" i="20" s="1"/>
  <c r="P2345" i="20" a="1"/>
  <c r="P2345" i="20" s="1"/>
  <c r="P2346" i="20" a="1"/>
  <c r="P2346" i="20" s="1"/>
  <c r="P2347" i="20" a="1"/>
  <c r="P2347" i="20" s="1"/>
  <c r="P2348" i="20" a="1"/>
  <c r="P2348" i="20" s="1"/>
  <c r="P2349" i="20" a="1"/>
  <c r="P2349" i="20" s="1"/>
  <c r="P2350" i="20" a="1"/>
  <c r="P2350" i="20" s="1"/>
  <c r="P2351" i="20" a="1"/>
  <c r="P2351" i="20" s="1"/>
  <c r="P2352" i="20" a="1"/>
  <c r="P2352" i="20" s="1"/>
  <c r="P2353" i="20" a="1"/>
  <c r="P2353" i="20" s="1"/>
  <c r="P2354" i="20" a="1"/>
  <c r="P2354" i="20" s="1"/>
  <c r="P2355" i="20" a="1"/>
  <c r="P2355" i="20" s="1"/>
  <c r="P2356" i="20" a="1"/>
  <c r="P2356" i="20" s="1"/>
  <c r="P2357" i="20" a="1"/>
  <c r="P2357" i="20" s="1"/>
  <c r="P2358" i="20" a="1"/>
  <c r="P2358" i="20" s="1"/>
  <c r="P2359" i="20" a="1"/>
  <c r="P2359" i="20" s="1"/>
  <c r="P2360" i="20" a="1"/>
  <c r="P2360" i="20" s="1"/>
  <c r="P2361" i="20" a="1"/>
  <c r="P2361" i="20" s="1"/>
  <c r="P2362" i="20" a="1"/>
  <c r="P2362" i="20" s="1"/>
  <c r="P2363" i="20" a="1"/>
  <c r="P2363" i="20" s="1"/>
  <c r="P2364" i="20" a="1"/>
  <c r="P2364" i="20" s="1"/>
  <c r="P2365" i="20" a="1"/>
  <c r="P2365" i="20" s="1"/>
  <c r="P2366" i="20" a="1"/>
  <c r="P2366" i="20" s="1"/>
  <c r="P2367" i="20" a="1"/>
  <c r="P2367" i="20" s="1"/>
  <c r="P2368" i="20" a="1"/>
  <c r="P2368" i="20" s="1"/>
  <c r="P2369" i="20" a="1"/>
  <c r="P2369" i="20" s="1"/>
  <c r="P2370" i="20" a="1"/>
  <c r="P2370" i="20" s="1"/>
  <c r="P2371" i="20" a="1"/>
  <c r="P2371" i="20" s="1"/>
  <c r="P2372" i="20" a="1"/>
  <c r="P2372" i="20" s="1"/>
  <c r="P2373" i="20" a="1"/>
  <c r="P2373" i="20" s="1"/>
  <c r="P2374" i="20" a="1"/>
  <c r="P2374" i="20" s="1"/>
  <c r="P2375" i="20" a="1"/>
  <c r="P2375" i="20" s="1"/>
  <c r="P2376" i="20" a="1"/>
  <c r="P2376" i="20" s="1"/>
  <c r="P2377" i="20" a="1"/>
  <c r="P2377" i="20" s="1"/>
  <c r="P2378" i="20" a="1"/>
  <c r="P2378" i="20" s="1"/>
  <c r="P2379" i="20" a="1"/>
  <c r="P2379" i="20" s="1"/>
  <c r="P2380" i="20" a="1"/>
  <c r="P2380" i="20" s="1"/>
  <c r="P2381" i="20" a="1"/>
  <c r="P2381" i="20" s="1"/>
  <c r="P2382" i="20" a="1"/>
  <c r="P2382" i="20" s="1"/>
  <c r="P2383" i="20" a="1"/>
  <c r="P2383" i="20" s="1"/>
  <c r="P2384" i="20" a="1"/>
  <c r="P2384" i="20" s="1"/>
  <c r="P2385" i="20" a="1"/>
  <c r="P2385" i="20" s="1"/>
  <c r="P2386" i="20" a="1"/>
  <c r="P2386" i="20" s="1"/>
  <c r="P2387" i="20" a="1"/>
  <c r="P2387" i="20" s="1"/>
  <c r="P2388" i="20" a="1"/>
  <c r="P2388" i="20" s="1"/>
  <c r="P2389" i="20" a="1"/>
  <c r="P2389" i="20" s="1"/>
  <c r="P2390" i="20" a="1"/>
  <c r="P2390" i="20" s="1"/>
  <c r="P2391" i="20" a="1"/>
  <c r="P2391" i="20" s="1"/>
  <c r="P2392" i="20" a="1"/>
  <c r="P2392" i="20" s="1"/>
  <c r="P2393" i="20" a="1"/>
  <c r="P2393" i="20" s="1"/>
  <c r="P2394" i="20" a="1"/>
  <c r="P2394" i="20" s="1"/>
  <c r="P2395" i="20" a="1"/>
  <c r="P2395" i="20" s="1"/>
  <c r="P2396" i="20" a="1"/>
  <c r="P2396" i="20" s="1"/>
  <c r="P2397" i="20" a="1"/>
  <c r="P2397" i="20" s="1"/>
  <c r="P2398" i="20" a="1"/>
  <c r="P2398" i="20" s="1"/>
  <c r="P2399" i="20" a="1"/>
  <c r="P2399" i="20" s="1"/>
  <c r="P2400" i="20" a="1"/>
  <c r="P2400" i="20" s="1"/>
  <c r="P2401" i="20" a="1"/>
  <c r="P2401" i="20" s="1"/>
  <c r="P2402" i="20" a="1"/>
  <c r="P2402" i="20" s="1"/>
  <c r="P2403" i="20" a="1"/>
  <c r="P2403" i="20" s="1"/>
  <c r="P2404" i="20" a="1"/>
  <c r="P2404" i="20" s="1"/>
  <c r="P2405" i="20" a="1"/>
  <c r="P2405" i="20" s="1"/>
  <c r="P2406" i="20" a="1"/>
  <c r="P2406" i="20" s="1"/>
  <c r="P2407" i="20" a="1"/>
  <c r="P2407" i="20" s="1"/>
  <c r="P2408" i="20" a="1"/>
  <c r="P2408" i="20" s="1"/>
  <c r="P2409" i="20" a="1"/>
  <c r="P2409" i="20" s="1"/>
  <c r="P2410" i="20" a="1"/>
  <c r="P2410" i="20" s="1"/>
  <c r="P2411" i="20" a="1"/>
  <c r="P2411" i="20" s="1"/>
  <c r="P2412" i="20" a="1"/>
  <c r="P2412" i="20" s="1"/>
  <c r="P2413" i="20" a="1"/>
  <c r="P2413" i="20" s="1"/>
  <c r="P2414" i="20" a="1"/>
  <c r="P2414" i="20" s="1"/>
  <c r="P2415" i="20" a="1"/>
  <c r="P2415" i="20" s="1"/>
  <c r="P2416" i="20" a="1"/>
  <c r="P2416" i="20" s="1"/>
  <c r="P2417" i="20" a="1"/>
  <c r="P2417" i="20" s="1"/>
  <c r="P2418" i="20" a="1"/>
  <c r="P2418" i="20" s="1"/>
  <c r="P2419" i="20" a="1"/>
  <c r="P2419" i="20" s="1"/>
  <c r="P2420" i="20" a="1"/>
  <c r="P2420" i="20" s="1"/>
  <c r="P2421" i="20" a="1"/>
  <c r="P2421" i="20" s="1"/>
  <c r="P2422" i="20" a="1"/>
  <c r="P2422" i="20" s="1"/>
  <c r="P2423" i="20" a="1"/>
  <c r="P2423" i="20" s="1"/>
  <c r="P2424" i="20" a="1"/>
  <c r="P2424" i="20" s="1"/>
  <c r="P2425" i="20" a="1"/>
  <c r="P2425" i="20" s="1"/>
  <c r="P2426" i="20" a="1"/>
  <c r="P2426" i="20" s="1"/>
  <c r="P2427" i="20" a="1"/>
  <c r="P2427" i="20" s="1"/>
  <c r="P2428" i="20" a="1"/>
  <c r="P2428" i="20" s="1"/>
  <c r="P2429" i="20" a="1"/>
  <c r="P2429" i="20" s="1"/>
  <c r="P2430" i="20" a="1"/>
  <c r="P2430" i="20" s="1"/>
  <c r="P2431" i="20" a="1"/>
  <c r="P2431" i="20" s="1"/>
  <c r="P2432" i="20" a="1"/>
  <c r="P2432" i="20" s="1"/>
  <c r="P2433" i="20" a="1"/>
  <c r="P2433" i="20" s="1"/>
  <c r="P2434" i="20" a="1"/>
  <c r="P2434" i="20" s="1"/>
  <c r="P2435" i="20" a="1"/>
  <c r="P2435" i="20" s="1"/>
  <c r="P2436" i="20" a="1"/>
  <c r="P2436" i="20" s="1"/>
  <c r="P2437" i="20" a="1"/>
  <c r="P2437" i="20" s="1"/>
  <c r="P2438" i="20" a="1"/>
  <c r="P2438" i="20" s="1"/>
  <c r="P2439" i="20" a="1"/>
  <c r="P2439" i="20" s="1"/>
  <c r="P2440" i="20" a="1"/>
  <c r="P2440" i="20" s="1"/>
  <c r="P2441" i="20" a="1"/>
  <c r="P2441" i="20" s="1"/>
  <c r="P2442" i="20" a="1"/>
  <c r="P2442" i="20" s="1"/>
  <c r="P2443" i="20" a="1"/>
  <c r="P2443" i="20" s="1"/>
  <c r="P2444" i="20" a="1"/>
  <c r="P2444" i="20" s="1"/>
  <c r="P2445" i="20" a="1"/>
  <c r="P2445" i="20" s="1"/>
  <c r="P2446" i="20" a="1"/>
  <c r="P2446" i="20" s="1"/>
  <c r="P2447" i="20" a="1"/>
  <c r="P2447" i="20" s="1"/>
  <c r="P2448" i="20" a="1"/>
  <c r="P2448" i="20" s="1"/>
  <c r="P2449" i="20" a="1"/>
  <c r="P2449" i="20" s="1"/>
  <c r="P2450" i="20" a="1"/>
  <c r="P2450" i="20" s="1"/>
  <c r="P2451" i="20" a="1"/>
  <c r="P2451" i="20" s="1"/>
  <c r="P2452" i="20" a="1"/>
  <c r="P2452" i="20" s="1"/>
  <c r="P2453" i="20" a="1"/>
  <c r="P2453" i="20" s="1"/>
  <c r="P2454" i="20" a="1"/>
  <c r="P2454" i="20" s="1"/>
  <c r="P2455" i="20" a="1"/>
  <c r="P2455" i="20" s="1"/>
  <c r="P2456" i="20" a="1"/>
  <c r="P2456" i="20" s="1"/>
  <c r="P2457" i="20" a="1"/>
  <c r="P2457" i="20" s="1"/>
  <c r="P2458" i="20" a="1"/>
  <c r="P2458" i="20" s="1"/>
  <c r="P2459" i="20" a="1"/>
  <c r="P2459" i="20" s="1"/>
  <c r="P2460" i="20" a="1"/>
  <c r="P2460" i="20" s="1"/>
  <c r="P2461" i="20" a="1"/>
  <c r="P2461" i="20" s="1"/>
  <c r="P2462" i="20" a="1"/>
  <c r="P2462" i="20" s="1"/>
  <c r="P2463" i="20" a="1"/>
  <c r="P2463" i="20" s="1"/>
  <c r="P2464" i="20" a="1"/>
  <c r="P2464" i="20" s="1"/>
  <c r="P2465" i="20" a="1"/>
  <c r="P2465" i="20" s="1"/>
  <c r="P2466" i="20" a="1"/>
  <c r="P2466" i="20" s="1"/>
  <c r="P2467" i="20" a="1"/>
  <c r="P2467" i="20" s="1"/>
  <c r="P2468" i="20" a="1"/>
  <c r="P2468" i="20" s="1"/>
  <c r="P2469" i="20" a="1"/>
  <c r="P2469" i="20" s="1"/>
  <c r="P2470" i="20" a="1"/>
  <c r="P2470" i="20" s="1"/>
  <c r="P2471" i="20" a="1"/>
  <c r="P2471" i="20" s="1"/>
  <c r="P2472" i="20" a="1"/>
  <c r="P2472" i="20" s="1"/>
  <c r="P2473" i="20" a="1"/>
  <c r="P2473" i="20" s="1"/>
  <c r="P2474" i="20" a="1"/>
  <c r="P2474" i="20" s="1"/>
  <c r="P2475" i="20" a="1"/>
  <c r="P2475" i="20" s="1"/>
  <c r="P2476" i="20" a="1"/>
  <c r="P2476" i="20" s="1"/>
  <c r="P2477" i="20" a="1"/>
  <c r="P2477" i="20" s="1"/>
  <c r="P2478" i="20" a="1"/>
  <c r="P2478" i="20" s="1"/>
  <c r="P2479" i="20" a="1"/>
  <c r="P2479" i="20" s="1"/>
  <c r="P2480" i="20" a="1"/>
  <c r="P2480" i="20" s="1"/>
  <c r="P2481" i="20" a="1"/>
  <c r="P2481" i="20" s="1"/>
  <c r="P2482" i="20" a="1"/>
  <c r="P2482" i="20" s="1"/>
  <c r="P2483" i="20" a="1"/>
  <c r="P2483" i="20" s="1"/>
  <c r="P2484" i="20" a="1"/>
  <c r="P2484" i="20" s="1"/>
  <c r="P2485" i="20" a="1"/>
  <c r="P2485" i="20" s="1"/>
  <c r="P2486" i="20" a="1"/>
  <c r="P2486" i="20" s="1"/>
  <c r="P2487" i="20" a="1"/>
  <c r="P2487" i="20" s="1"/>
  <c r="P2488" i="20" a="1"/>
  <c r="P2488" i="20" s="1"/>
  <c r="P2489" i="20" a="1"/>
  <c r="P2489" i="20" s="1"/>
  <c r="P2490" i="20" a="1"/>
  <c r="P2490" i="20" s="1"/>
  <c r="P2491" i="20" a="1"/>
  <c r="P2491" i="20" s="1"/>
  <c r="P2492" i="20" a="1"/>
  <c r="P2492" i="20" s="1"/>
  <c r="P2493" i="20" a="1"/>
  <c r="P2493" i="20" s="1"/>
  <c r="P2494" i="20" a="1"/>
  <c r="P2494" i="20" s="1"/>
  <c r="P2495" i="20" a="1"/>
  <c r="P2495" i="20" s="1"/>
  <c r="P2496" i="20" a="1"/>
  <c r="P2496" i="20" s="1"/>
  <c r="P2497" i="20" a="1"/>
  <c r="P2497" i="20" s="1"/>
  <c r="P2498" i="20" a="1"/>
  <c r="P2498" i="20" s="1"/>
  <c r="P2499" i="20" a="1"/>
  <c r="P2499" i="20" s="1"/>
  <c r="P2500" i="20" a="1"/>
  <c r="P2500" i="20" s="1"/>
  <c r="P2501" i="20" a="1"/>
  <c r="P2501" i="20" s="1"/>
  <c r="P2502" i="20" a="1"/>
  <c r="P2502" i="20" s="1"/>
  <c r="P2503" i="20" a="1"/>
  <c r="P2503" i="20" s="1"/>
  <c r="P2504" i="20" a="1"/>
  <c r="P2504" i="20" s="1"/>
  <c r="P2505" i="20" a="1"/>
  <c r="P2505" i="20" s="1"/>
  <c r="P2506" i="20" a="1"/>
  <c r="P2506" i="20" s="1"/>
  <c r="P2507" i="20" a="1"/>
  <c r="P2507" i="20" s="1"/>
  <c r="P2508" i="20" a="1"/>
  <c r="P2508" i="20" s="1"/>
  <c r="P2509" i="20" a="1"/>
  <c r="P2509" i="20" s="1"/>
  <c r="P2510" i="20" a="1"/>
  <c r="P2510" i="20" s="1"/>
  <c r="P2511" i="20" a="1"/>
  <c r="P2511" i="20" s="1"/>
  <c r="P2512" i="20" a="1"/>
  <c r="P2512" i="20" s="1"/>
  <c r="P2513" i="20" a="1"/>
  <c r="P2513" i="20" s="1"/>
  <c r="P2514" i="20" a="1"/>
  <c r="P2514" i="20" s="1"/>
  <c r="P2515" i="20" a="1"/>
  <c r="P2515" i="20" s="1"/>
  <c r="P2516" i="20" a="1"/>
  <c r="P2516" i="20" s="1"/>
  <c r="P2517" i="20" a="1"/>
  <c r="P2517" i="20" s="1"/>
  <c r="P2518" i="20" a="1"/>
  <c r="P2518" i="20" s="1"/>
  <c r="P2519" i="20" a="1"/>
  <c r="P2519" i="20" s="1"/>
  <c r="P2520" i="20" a="1"/>
  <c r="P2520" i="20" s="1"/>
  <c r="P2521" i="20" a="1"/>
  <c r="P2521" i="20" s="1"/>
  <c r="P2522" i="20" a="1"/>
  <c r="P2522" i="20" s="1"/>
  <c r="P2523" i="20" a="1"/>
  <c r="P2523" i="20" s="1"/>
  <c r="P2524" i="20" a="1"/>
  <c r="P2524" i="20" s="1"/>
  <c r="P2525" i="20" a="1"/>
  <c r="P2525" i="20" s="1"/>
  <c r="P2526" i="20" a="1"/>
  <c r="P2526" i="20" s="1"/>
  <c r="P2527" i="20" a="1"/>
  <c r="P2527" i="20" s="1"/>
  <c r="P2528" i="20" a="1"/>
  <c r="P2528" i="20" s="1"/>
  <c r="P2529" i="20" a="1"/>
  <c r="P2529" i="20" s="1"/>
  <c r="P2530" i="20" a="1"/>
  <c r="P2530" i="20" s="1"/>
  <c r="P2531" i="20" a="1"/>
  <c r="P2531" i="20" s="1"/>
  <c r="P2532" i="20" a="1"/>
  <c r="P2532" i="20" s="1"/>
  <c r="P2533" i="20" a="1"/>
  <c r="P2533" i="20" s="1"/>
  <c r="P2534" i="20" a="1"/>
  <c r="P2534" i="20" s="1"/>
  <c r="P2535" i="20" a="1"/>
  <c r="P2535" i="20" s="1"/>
  <c r="P2536" i="20" a="1"/>
  <c r="P2536" i="20" s="1"/>
  <c r="P2537" i="20" a="1"/>
  <c r="P2537" i="20" s="1"/>
  <c r="P2538" i="20" a="1"/>
  <c r="P2538" i="20" s="1"/>
  <c r="P2539" i="20" a="1"/>
  <c r="P2539" i="20" s="1"/>
  <c r="P2540" i="20" a="1"/>
  <c r="P2540" i="20" s="1"/>
  <c r="P2541" i="20" a="1"/>
  <c r="P2541" i="20" s="1"/>
  <c r="P2542" i="20" a="1"/>
  <c r="P2542" i="20" s="1"/>
  <c r="P2543" i="20" a="1"/>
  <c r="P2543" i="20" s="1"/>
  <c r="P2544" i="20" a="1"/>
  <c r="P2544" i="20" s="1"/>
  <c r="P2545" i="20" a="1"/>
  <c r="P2545" i="20" s="1"/>
  <c r="P2546" i="20" a="1"/>
  <c r="P2546" i="20" s="1"/>
  <c r="P2547" i="20" a="1"/>
  <c r="P2547" i="20" s="1"/>
  <c r="P2548" i="20" a="1"/>
  <c r="P2548" i="20" s="1"/>
  <c r="P2549" i="20" a="1"/>
  <c r="P2549" i="20" s="1"/>
  <c r="P2550" i="20" a="1"/>
  <c r="P2550" i="20" s="1"/>
  <c r="P2551" i="20" a="1"/>
  <c r="P2551" i="20" s="1"/>
  <c r="P2552" i="20" a="1"/>
  <c r="P2552" i="20" s="1"/>
  <c r="P2553" i="20" a="1"/>
  <c r="P2553" i="20" s="1"/>
  <c r="P2554" i="20" a="1"/>
  <c r="P2554" i="20" s="1"/>
  <c r="P2555" i="20" a="1"/>
  <c r="P2555" i="20" s="1"/>
  <c r="P2556" i="20" a="1"/>
  <c r="P2556" i="20" s="1"/>
  <c r="P2557" i="20" a="1"/>
  <c r="P2557" i="20" s="1"/>
  <c r="P2558" i="20" a="1"/>
  <c r="P2558" i="20" s="1"/>
  <c r="P2559" i="20" a="1"/>
  <c r="P2559" i="20" s="1"/>
  <c r="P2560" i="20" a="1"/>
  <c r="P2560" i="20" s="1"/>
  <c r="P2561" i="20" a="1"/>
  <c r="P2561" i="20" s="1"/>
  <c r="P2562" i="20" a="1"/>
  <c r="P2562" i="20" s="1"/>
  <c r="P2563" i="20" a="1"/>
  <c r="P2563" i="20" s="1"/>
  <c r="P2564" i="20" a="1"/>
  <c r="P2564" i="20" s="1"/>
  <c r="P2565" i="20" a="1"/>
  <c r="P2565" i="20" s="1"/>
  <c r="P2566" i="20" a="1"/>
  <c r="P2566" i="20" s="1"/>
  <c r="P2567" i="20" a="1"/>
  <c r="P2567" i="20" s="1"/>
  <c r="P2568" i="20" a="1"/>
  <c r="P2568" i="20" s="1"/>
  <c r="P2569" i="20" a="1"/>
  <c r="P2569" i="20" s="1"/>
  <c r="P2570" i="20" a="1"/>
  <c r="P2570" i="20"/>
  <c r="P2571" i="20" a="1"/>
  <c r="P2571" i="20"/>
  <c r="P2572" i="20" a="1"/>
  <c r="P2572" i="20"/>
  <c r="P2573" i="20" a="1"/>
  <c r="P2573" i="20"/>
  <c r="P2574" i="20" a="1"/>
  <c r="P2574" i="20"/>
  <c r="P2575" i="20" a="1"/>
  <c r="P2575" i="20"/>
  <c r="P2576" i="20" a="1"/>
  <c r="P2576" i="20"/>
  <c r="P2577" i="20" a="1"/>
  <c r="P2577" i="20"/>
  <c r="P2578" i="20" a="1"/>
  <c r="P2578" i="20"/>
  <c r="P2579" i="20" a="1"/>
  <c r="P2579" i="20"/>
  <c r="P2580" i="20" a="1"/>
  <c r="P2580" i="20"/>
  <c r="P2581" i="20" a="1"/>
  <c r="P2581" i="20"/>
  <c r="P2582" i="20" a="1"/>
  <c r="P2582" i="20"/>
  <c r="P2583" i="20" a="1"/>
  <c r="P2583" i="20"/>
  <c r="P2584" i="20" a="1"/>
  <c r="P2584" i="20"/>
  <c r="P2585" i="20" a="1"/>
  <c r="P2585" i="20"/>
  <c r="P2586" i="20" a="1"/>
  <c r="P2586" i="20"/>
  <c r="P2587" i="20" a="1"/>
  <c r="P2587" i="20"/>
  <c r="P14" i="20" a="1"/>
  <c r="P14" i="20" s="1"/>
  <c r="S3" i="21"/>
  <c r="T216" i="21" a="1"/>
  <c r="T216" i="21" s="1"/>
  <c r="T215" i="21" a="1"/>
  <c r="T215" i="21" s="1"/>
  <c r="T214" i="21" a="1"/>
  <c r="T214" i="21" s="1"/>
  <c r="T213" i="21" a="1"/>
  <c r="T213" i="21" s="1"/>
  <c r="T212" i="21" a="1"/>
  <c r="T212" i="21" s="1"/>
  <c r="T211" i="21" a="1"/>
  <c r="T211" i="21" s="1"/>
  <c r="T210" i="21" a="1"/>
  <c r="T210" i="21" s="1"/>
  <c r="T209" i="21" a="1"/>
  <c r="T209" i="21" s="1"/>
  <c r="T208" i="21" a="1"/>
  <c r="T208" i="21" s="1"/>
  <c r="T207" i="21" a="1"/>
  <c r="T207" i="21" s="1"/>
  <c r="T206" i="21" a="1"/>
  <c r="T206" i="21" s="1"/>
  <c r="T205" i="21" a="1"/>
  <c r="T205" i="21" s="1"/>
  <c r="T204" i="21" a="1"/>
  <c r="T204" i="21" s="1"/>
  <c r="T203" i="21" a="1"/>
  <c r="T203" i="21" s="1"/>
  <c r="T202" i="21" a="1"/>
  <c r="T202" i="21" s="1"/>
  <c r="T201" i="21" a="1"/>
  <c r="T201" i="21" s="1"/>
  <c r="T200" i="21" a="1"/>
  <c r="T200" i="21" s="1"/>
  <c r="T199" i="21" a="1"/>
  <c r="T199" i="21" s="1"/>
  <c r="T198" i="21" a="1"/>
  <c r="T198" i="21" s="1"/>
  <c r="T197" i="21" a="1"/>
  <c r="T197" i="21" s="1"/>
  <c r="T196" i="21" a="1"/>
  <c r="T196" i="21" s="1"/>
  <c r="T195" i="21" a="1"/>
  <c r="T195" i="21" s="1"/>
  <c r="T194" i="21" a="1"/>
  <c r="T194" i="21" s="1"/>
  <c r="T193" i="21" a="1"/>
  <c r="T193" i="21" s="1"/>
  <c r="T192" i="21" a="1"/>
  <c r="T192" i="21" s="1"/>
  <c r="T191" i="21" a="1"/>
  <c r="T191" i="21" s="1"/>
  <c r="T190" i="21" a="1"/>
  <c r="T190" i="21" s="1"/>
  <c r="T189" i="21" a="1"/>
  <c r="T189" i="21" s="1"/>
  <c r="T188" i="21" a="1"/>
  <c r="T188" i="21" s="1"/>
  <c r="T187" i="21" a="1"/>
  <c r="T187" i="21" s="1"/>
  <c r="T186" i="21" a="1"/>
  <c r="T186" i="21" s="1"/>
  <c r="T185" i="21" a="1"/>
  <c r="T185" i="21" s="1"/>
  <c r="T184" i="21" a="1"/>
  <c r="T184" i="21" s="1"/>
  <c r="T183" i="21" a="1"/>
  <c r="T183" i="21" s="1"/>
  <c r="T182" i="21" a="1"/>
  <c r="T182" i="21" s="1"/>
  <c r="T181" i="21" a="1"/>
  <c r="T181" i="21" s="1"/>
  <c r="T180" i="21" a="1"/>
  <c r="T180" i="21" s="1"/>
  <c r="T179" i="21" a="1"/>
  <c r="T179" i="21" s="1"/>
  <c r="T178" i="21" a="1"/>
  <c r="T178" i="21" s="1"/>
  <c r="T177" i="21" a="1"/>
  <c r="T177" i="21" s="1"/>
  <c r="T176" i="21" a="1"/>
  <c r="T176" i="21" s="1"/>
  <c r="T175" i="21" a="1"/>
  <c r="T175" i="21" s="1"/>
  <c r="T174" i="21" a="1"/>
  <c r="T174" i="21" s="1"/>
  <c r="T173" i="21" a="1"/>
  <c r="T173" i="21" s="1"/>
  <c r="T172" i="21" a="1"/>
  <c r="T172" i="21" s="1"/>
  <c r="T171" i="21" a="1"/>
  <c r="T171" i="21" s="1"/>
  <c r="T170" i="21" a="1"/>
  <c r="T170" i="21" s="1"/>
  <c r="T169" i="21" a="1"/>
  <c r="T169" i="21" s="1"/>
  <c r="T168" i="21" a="1"/>
  <c r="T168" i="21" s="1"/>
  <c r="T167" i="21" a="1"/>
  <c r="T167" i="21" s="1"/>
  <c r="T166" i="21" a="1"/>
  <c r="T166" i="21" s="1"/>
  <c r="T165" i="21" a="1"/>
  <c r="T165" i="21" s="1"/>
  <c r="T164" i="21" a="1"/>
  <c r="T164" i="21" s="1"/>
  <c r="T163" i="21" a="1"/>
  <c r="T163" i="21" s="1"/>
  <c r="T162" i="21" a="1"/>
  <c r="T162" i="21" s="1"/>
  <c r="T161" i="21" a="1"/>
  <c r="T161" i="21" s="1"/>
  <c r="T160" i="21" a="1"/>
  <c r="T160" i="21" s="1"/>
  <c r="T159" i="21" a="1"/>
  <c r="T159" i="21" s="1"/>
  <c r="T158" i="21" a="1"/>
  <c r="T158" i="21" s="1"/>
  <c r="T157" i="21" a="1"/>
  <c r="T157" i="21" s="1"/>
  <c r="T156" i="21" a="1"/>
  <c r="T156" i="21" s="1"/>
  <c r="T155" i="21" a="1"/>
  <c r="T155" i="21" s="1"/>
  <c r="T154" i="21" a="1"/>
  <c r="T154" i="21" s="1"/>
  <c r="T153" i="21" a="1"/>
  <c r="T153" i="21" s="1"/>
  <c r="T152" i="21" a="1"/>
  <c r="T152" i="21" s="1"/>
  <c r="T151" i="21" a="1"/>
  <c r="T151" i="21" s="1"/>
  <c r="T150" i="21" a="1"/>
  <c r="T150" i="21" s="1"/>
  <c r="T149" i="21" a="1"/>
  <c r="T149" i="21" s="1"/>
  <c r="T148" i="21" a="1"/>
  <c r="T148" i="21" s="1"/>
  <c r="T147" i="21" a="1"/>
  <c r="T147" i="21" s="1"/>
  <c r="T146" i="21" a="1"/>
  <c r="T146" i="21" s="1"/>
  <c r="T145" i="21" a="1"/>
  <c r="T145" i="21" s="1"/>
  <c r="T144" i="21" a="1"/>
  <c r="T144" i="21" s="1"/>
  <c r="T143" i="21" a="1"/>
  <c r="T143" i="21" s="1"/>
  <c r="T142" i="21" a="1"/>
  <c r="T142" i="21" s="1"/>
  <c r="T141" i="21" a="1"/>
  <c r="T141" i="21" s="1"/>
  <c r="T140" i="21" a="1"/>
  <c r="T140" i="21" s="1"/>
  <c r="T139" i="21" a="1"/>
  <c r="T139" i="21" s="1"/>
  <c r="T138" i="21" a="1"/>
  <c r="T138" i="21" s="1"/>
  <c r="T137" i="21" a="1"/>
  <c r="T137" i="21" s="1"/>
  <c r="T136" i="21" a="1"/>
  <c r="T136" i="21" s="1"/>
  <c r="T135" i="21" a="1"/>
  <c r="T135" i="21" s="1"/>
  <c r="T134" i="21" a="1"/>
  <c r="T134" i="21" s="1"/>
  <c r="T133" i="21" a="1"/>
  <c r="T133" i="21" s="1"/>
  <c r="T132" i="21" a="1"/>
  <c r="T132" i="21" s="1"/>
  <c r="T131" i="21" a="1"/>
  <c r="T131" i="21" s="1"/>
  <c r="T130" i="21" a="1"/>
  <c r="T130" i="21" s="1"/>
  <c r="T129" i="21" a="1"/>
  <c r="T129" i="21" s="1"/>
  <c r="T128" i="21" a="1"/>
  <c r="T128" i="21" s="1"/>
  <c r="T127" i="21" a="1"/>
  <c r="T127" i="21" s="1"/>
  <c r="T126" i="21" a="1"/>
  <c r="T126" i="21" s="1"/>
  <c r="T125" i="21" a="1"/>
  <c r="T125" i="21" s="1"/>
  <c r="T124" i="21" a="1"/>
  <c r="T124" i="21" s="1"/>
  <c r="T123" i="21" a="1"/>
  <c r="T123" i="21" s="1"/>
  <c r="T122" i="21" a="1"/>
  <c r="T122" i="21" s="1"/>
  <c r="T121" i="21" a="1"/>
  <c r="T121" i="21" s="1"/>
  <c r="T120" i="21" a="1"/>
  <c r="T120" i="21" s="1"/>
  <c r="T119" i="21" a="1"/>
  <c r="T119" i="21" s="1"/>
  <c r="T118" i="21" a="1"/>
  <c r="T118" i="21" s="1"/>
  <c r="T117" i="21" a="1"/>
  <c r="T117" i="21" s="1"/>
  <c r="T116" i="21" a="1"/>
  <c r="T116" i="21" s="1"/>
  <c r="T115" i="21" a="1"/>
  <c r="T115" i="21" s="1"/>
  <c r="T114" i="21" a="1"/>
  <c r="T114" i="21" s="1"/>
  <c r="T113" i="21" a="1"/>
  <c r="T113" i="21" s="1"/>
  <c r="T112" i="21" a="1"/>
  <c r="T112" i="21" s="1"/>
  <c r="T111" i="21" a="1"/>
  <c r="T111" i="21" s="1"/>
  <c r="T110" i="21" a="1"/>
  <c r="T110" i="21" s="1"/>
  <c r="T109" i="21" a="1"/>
  <c r="T109" i="21" s="1"/>
  <c r="T108" i="21" a="1"/>
  <c r="T108" i="21" s="1"/>
  <c r="T107" i="21" a="1"/>
  <c r="T107" i="21" s="1"/>
  <c r="T106" i="21" a="1"/>
  <c r="T106" i="21" s="1"/>
  <c r="T105" i="21" a="1"/>
  <c r="T105" i="21" s="1"/>
  <c r="T104" i="21" a="1"/>
  <c r="T104" i="21" s="1"/>
  <c r="T103" i="21" a="1"/>
  <c r="T103" i="21" s="1"/>
  <c r="T102" i="21" a="1"/>
  <c r="T102" i="21" s="1"/>
  <c r="T101" i="21" a="1"/>
  <c r="T101" i="21" s="1"/>
  <c r="T100" i="21" a="1"/>
  <c r="T100" i="21" s="1"/>
  <c r="T99" i="21" a="1"/>
  <c r="T99" i="21" s="1"/>
  <c r="T98" i="21" a="1"/>
  <c r="T98" i="21" s="1"/>
  <c r="T97" i="21" a="1"/>
  <c r="T97" i="21" s="1"/>
  <c r="T96" i="21" a="1"/>
  <c r="T96" i="21" s="1"/>
  <c r="T95" i="21" a="1"/>
  <c r="T95" i="21" s="1"/>
  <c r="T94" i="21" a="1"/>
  <c r="T94" i="21" s="1"/>
  <c r="T93" i="21" a="1"/>
  <c r="T93" i="21" s="1"/>
  <c r="T92" i="21" a="1"/>
  <c r="T92" i="21" s="1"/>
  <c r="T91" i="21" a="1"/>
  <c r="T91" i="21" s="1"/>
  <c r="T90" i="21" a="1"/>
  <c r="T90" i="21" s="1"/>
  <c r="T89" i="21" a="1"/>
  <c r="T89" i="21" s="1"/>
  <c r="T88" i="21" a="1"/>
  <c r="T88" i="21" s="1"/>
  <c r="T87" i="21" a="1"/>
  <c r="T87" i="21" s="1"/>
  <c r="T86" i="21" a="1"/>
  <c r="T86" i="21" s="1"/>
  <c r="T85" i="21" a="1"/>
  <c r="T85" i="21" s="1"/>
  <c r="T84" i="21" a="1"/>
  <c r="T84" i="21" s="1"/>
  <c r="T83" i="21" a="1"/>
  <c r="T83" i="21" s="1"/>
  <c r="T82" i="21" a="1"/>
  <c r="T82" i="21" s="1"/>
  <c r="T81" i="21" a="1"/>
  <c r="T81" i="21" s="1"/>
  <c r="T80" i="21" a="1"/>
  <c r="T80" i="21" s="1"/>
  <c r="T79" i="21" a="1"/>
  <c r="T79" i="21" s="1"/>
  <c r="T78" i="21" a="1"/>
  <c r="T78" i="21" s="1"/>
  <c r="T77" i="21" a="1"/>
  <c r="T77" i="21" s="1"/>
  <c r="T76" i="21" a="1"/>
  <c r="T76" i="21" s="1"/>
  <c r="T75" i="21" a="1"/>
  <c r="T75" i="21" s="1"/>
  <c r="T74" i="21" a="1"/>
  <c r="T74" i="21" s="1"/>
  <c r="T73" i="21" a="1"/>
  <c r="T73" i="21" s="1"/>
  <c r="T72" i="21" a="1"/>
  <c r="T72" i="21" s="1"/>
  <c r="T71" i="21" a="1"/>
  <c r="T71" i="21" s="1"/>
  <c r="T70" i="21" a="1"/>
  <c r="T70" i="21" s="1"/>
  <c r="T69" i="21" a="1"/>
  <c r="T69" i="21" s="1"/>
  <c r="T68" i="21" a="1"/>
  <c r="T68" i="21" s="1"/>
  <c r="T67" i="21" a="1"/>
  <c r="T67" i="21" s="1"/>
  <c r="T66" i="21" a="1"/>
  <c r="T66" i="21" s="1"/>
  <c r="T65" i="21" a="1"/>
  <c r="T65" i="21" s="1"/>
  <c r="T64" i="21" a="1"/>
  <c r="T64" i="21" s="1"/>
  <c r="T63" i="21" a="1"/>
  <c r="T63" i="21" s="1"/>
  <c r="T62" i="21" a="1"/>
  <c r="T62" i="21" s="1"/>
  <c r="T61" i="21" a="1"/>
  <c r="T61" i="21" s="1"/>
  <c r="T60" i="21" a="1"/>
  <c r="T60" i="21" s="1"/>
  <c r="T59" i="21" a="1"/>
  <c r="T59" i="21" s="1"/>
  <c r="T58" i="21" a="1"/>
  <c r="T58" i="21" s="1"/>
  <c r="T57" i="21" a="1"/>
  <c r="T57" i="21" s="1"/>
  <c r="T56" i="21" a="1"/>
  <c r="T56" i="21" s="1"/>
  <c r="T55" i="21" a="1"/>
  <c r="T55" i="21" s="1"/>
  <c r="T54" i="21" a="1"/>
  <c r="T54" i="21" s="1"/>
  <c r="T53" i="21" a="1"/>
  <c r="T53" i="21" s="1"/>
  <c r="T52" i="21" a="1"/>
  <c r="T52" i="21" s="1"/>
  <c r="T51" i="21" a="1"/>
  <c r="T51" i="21" s="1"/>
  <c r="T50" i="21" a="1"/>
  <c r="T50" i="21" s="1"/>
  <c r="T49" i="21" a="1"/>
  <c r="T49" i="21" s="1"/>
  <c r="T48" i="21" a="1"/>
  <c r="T48" i="21" s="1"/>
  <c r="T47" i="21" a="1"/>
  <c r="T47" i="21" s="1"/>
  <c r="T46" i="21" a="1"/>
  <c r="T46" i="21" s="1"/>
  <c r="T45" i="21" a="1"/>
  <c r="T45" i="21" s="1"/>
  <c r="T44" i="21" a="1"/>
  <c r="T44" i="21" s="1"/>
  <c r="T43" i="21" a="1"/>
  <c r="T43" i="21" s="1"/>
  <c r="T42" i="21" a="1"/>
  <c r="T42" i="21" s="1"/>
  <c r="T41" i="21" a="1"/>
  <c r="T41" i="21" s="1"/>
  <c r="T40" i="21" a="1"/>
  <c r="T40" i="21" s="1"/>
  <c r="T39" i="21" a="1"/>
  <c r="T39" i="21" s="1"/>
  <c r="T38" i="21" a="1"/>
  <c r="T38" i="21" s="1"/>
  <c r="T37" i="21" a="1"/>
  <c r="T37" i="21" s="1"/>
  <c r="T36" i="21" a="1"/>
  <c r="T36" i="21" s="1"/>
  <c r="T35" i="21" a="1"/>
  <c r="T35" i="21" s="1"/>
  <c r="T34" i="21" a="1"/>
  <c r="T34" i="21" s="1"/>
  <c r="T33" i="21" a="1"/>
  <c r="T33" i="21" s="1"/>
  <c r="T32" i="21" a="1"/>
  <c r="T32" i="21" s="1"/>
  <c r="T31" i="21" a="1"/>
  <c r="T31" i="21" s="1"/>
  <c r="T30" i="21" a="1"/>
  <c r="T30" i="21" s="1"/>
  <c r="T29" i="21" a="1"/>
  <c r="T29" i="21" s="1"/>
  <c r="T28" i="21" a="1"/>
  <c r="T28" i="21" s="1"/>
  <c r="T27" i="21" a="1"/>
  <c r="T27" i="21" s="1"/>
  <c r="T26" i="21" a="1"/>
  <c r="T26" i="21" s="1"/>
  <c r="T25" i="21" a="1"/>
  <c r="T25" i="21" s="1"/>
  <c r="T24" i="21" a="1"/>
  <c r="T24" i="21" s="1"/>
  <c r="T23" i="21" a="1"/>
  <c r="T23" i="21" s="1"/>
  <c r="T22" i="21" a="1"/>
  <c r="T22" i="21" s="1"/>
  <c r="T21" i="21" a="1"/>
  <c r="T21" i="21" s="1"/>
  <c r="T20" i="21" a="1"/>
  <c r="T20" i="21" s="1"/>
  <c r="T19" i="21" a="1"/>
  <c r="T19" i="21" s="1"/>
  <c r="T18" i="21" a="1"/>
  <c r="T18" i="21" s="1"/>
  <c r="T17" i="21" a="1"/>
  <c r="T17" i="21" s="1"/>
  <c r="AM17" i="21" a="1"/>
  <c r="AM17" i="21" s="1"/>
  <c r="AI17" i="21" a="1"/>
  <c r="AI17" i="21" s="1"/>
  <c r="H9" i="21"/>
  <c r="F9" i="21"/>
  <c r="D9" i="21" a="1"/>
  <c r="D9" i="21" s="1"/>
  <c r="AK17" i="21" a="1"/>
  <c r="AK17" i="21" s="1"/>
  <c r="N9" i="21"/>
  <c r="H7" i="20"/>
  <c r="D9" i="20" a="1"/>
  <c r="D9" i="20" s="1"/>
  <c r="F6" i="20" a="1"/>
  <c r="F6" i="20" s="1"/>
  <c r="F5" i="20" a="1"/>
  <c r="F5" i="20" s="1"/>
  <c r="F4" i="20" a="1"/>
  <c r="F4" i="20" s="1"/>
  <c r="N9" i="20"/>
  <c r="F9" i="20"/>
  <c r="AA15" i="20" l="1" a="1"/>
  <c r="AA15" i="20" s="1"/>
  <c r="AB14" i="20" a="1"/>
  <c r="AB14" i="20" s="1"/>
  <c r="AD15" i="20" a="1"/>
  <c r="AD15" i="20" s="1"/>
  <c r="AD16" i="20" s="1" a="1"/>
  <c r="AD16" i="20" s="1"/>
  <c r="AE14" i="20" a="1"/>
  <c r="AE14" i="20" s="1"/>
  <c r="Q15" i="20" a="1"/>
  <c r="Q15" i="20" s="1"/>
  <c r="R15" i="20" a="1"/>
  <c r="R15" i="20" s="1"/>
  <c r="R16" i="20" a="1"/>
  <c r="R16" i="20" s="1"/>
  <c r="Q16" i="20" a="1"/>
  <c r="Q16" i="20" s="1"/>
  <c r="Q17" i="20" a="1"/>
  <c r="Q17" i="20" s="1"/>
  <c r="R17" i="20" a="1"/>
  <c r="R17" i="20" s="1"/>
  <c r="Q18" i="20" a="1"/>
  <c r="Q18" i="20" s="1"/>
  <c r="R18" i="20" a="1"/>
  <c r="R18" i="20" s="1"/>
  <c r="Q19" i="20" a="1"/>
  <c r="Q19" i="20" s="1"/>
  <c r="R19" i="20" a="1"/>
  <c r="R19" i="20" s="1"/>
  <c r="Q20" i="20" a="1"/>
  <c r="Q20" i="20" s="1"/>
  <c r="R20" i="20" a="1"/>
  <c r="R20" i="20" s="1"/>
  <c r="Q21" i="20" a="1"/>
  <c r="Q21" i="20" s="1"/>
  <c r="R21" i="20" a="1"/>
  <c r="R21" i="20" s="1"/>
  <c r="Q22" i="20" a="1"/>
  <c r="Q22" i="20" s="1"/>
  <c r="R22" i="20" a="1"/>
  <c r="R22" i="20" s="1"/>
  <c r="R23" i="20" a="1"/>
  <c r="R23" i="20" s="1"/>
  <c r="Q23" i="20" a="1"/>
  <c r="Q23" i="20" s="1"/>
  <c r="Q24" i="20" a="1"/>
  <c r="Q24" i="20" s="1"/>
  <c r="R24" i="20" a="1"/>
  <c r="R24" i="20" s="1"/>
  <c r="Q25" i="20" a="1"/>
  <c r="Q25" i="20" s="1"/>
  <c r="R25" i="20" a="1"/>
  <c r="R25" i="20" s="1"/>
  <c r="Q26" i="20" a="1"/>
  <c r="Q26" i="20" s="1"/>
  <c r="R26" i="20" a="1"/>
  <c r="R26" i="20" s="1"/>
  <c r="Q27" i="20" a="1"/>
  <c r="Q27" i="20" s="1"/>
  <c r="R27" i="20" a="1"/>
  <c r="R27" i="20" s="1"/>
  <c r="Q28" i="20" a="1"/>
  <c r="Q28" i="20" s="1"/>
  <c r="R28" i="20" a="1"/>
  <c r="R28" i="20" s="1"/>
  <c r="R29" i="20" a="1"/>
  <c r="R29" i="20" s="1"/>
  <c r="Q29" i="20" a="1"/>
  <c r="Q29" i="20" s="1"/>
  <c r="Q30" i="20" a="1"/>
  <c r="Q30" i="20" s="1"/>
  <c r="R30" i="20" a="1"/>
  <c r="R30" i="20" s="1"/>
  <c r="Q31" i="20" a="1"/>
  <c r="Q31" i="20" s="1"/>
  <c r="R31" i="20" a="1"/>
  <c r="R31" i="20" s="1"/>
  <c r="Q32" i="20" a="1"/>
  <c r="Q32" i="20" s="1"/>
  <c r="R32" i="20" a="1"/>
  <c r="R32" i="20" s="1"/>
  <c r="Q33" i="20" a="1"/>
  <c r="Q33" i="20" s="1"/>
  <c r="R33" i="20" a="1"/>
  <c r="R33" i="20" s="1"/>
  <c r="R34" i="20" a="1"/>
  <c r="R34" i="20" s="1"/>
  <c r="Q34" i="20" a="1"/>
  <c r="Q34" i="20" s="1"/>
  <c r="Q35" i="20" a="1"/>
  <c r="Q35" i="20" s="1"/>
  <c r="R35" i="20" a="1"/>
  <c r="R35" i="20" s="1"/>
  <c r="Q36" i="20" a="1"/>
  <c r="Q36" i="20" s="1"/>
  <c r="R36" i="20" a="1"/>
  <c r="R36" i="20" s="1"/>
  <c r="Q37" i="20" a="1"/>
  <c r="Q37" i="20" s="1"/>
  <c r="R37" i="20" a="1"/>
  <c r="R37" i="20" s="1"/>
  <c r="R38" i="20" a="1"/>
  <c r="R38" i="20" s="1"/>
  <c r="Q38" i="20" a="1"/>
  <c r="Q38" i="20" s="1"/>
  <c r="Q39" i="20" a="1"/>
  <c r="Q39" i="20" s="1"/>
  <c r="R39" i="20" a="1"/>
  <c r="R39" i="20" s="1"/>
  <c r="Q40" i="20" a="1"/>
  <c r="Q40" i="20" s="1"/>
  <c r="R40" i="20" a="1"/>
  <c r="R40" i="20" s="1"/>
  <c r="R41" i="20" a="1"/>
  <c r="R41" i="20" s="1"/>
  <c r="Q41" i="20" a="1"/>
  <c r="Q41" i="20" s="1"/>
  <c r="Q42" i="20" a="1"/>
  <c r="Q42" i="20" s="1"/>
  <c r="R42" i="20" a="1"/>
  <c r="R42" i="20" s="1"/>
  <c r="Q43" i="20" a="1"/>
  <c r="Q43" i="20" s="1"/>
  <c r="R43" i="20" a="1"/>
  <c r="R43" i="20" s="1"/>
  <c r="Q44" i="20" a="1"/>
  <c r="Q44" i="20" s="1"/>
  <c r="R44" i="20" a="1"/>
  <c r="R44" i="20" s="1"/>
  <c r="Q45" i="20" a="1"/>
  <c r="Q45" i="20" s="1"/>
  <c r="R45" i="20" a="1"/>
  <c r="R45" i="20" s="1"/>
  <c r="Q46" i="20" a="1"/>
  <c r="Q46" i="20" s="1"/>
  <c r="R46" i="20" a="1"/>
  <c r="R46" i="20" s="1"/>
  <c r="R47" i="20" a="1"/>
  <c r="R47" i="20" s="1"/>
  <c r="Q47" i="20" a="1"/>
  <c r="Q47" i="20" s="1"/>
  <c r="Q48" i="20" a="1"/>
  <c r="Q48" i="20" s="1"/>
  <c r="R48" i="20" a="1"/>
  <c r="R48" i="20" s="1"/>
  <c r="Q49" i="20" a="1"/>
  <c r="Q49" i="20" s="1"/>
  <c r="R49" i="20" a="1"/>
  <c r="R49" i="20" s="1"/>
  <c r="Q50" i="20" a="1"/>
  <c r="Q50" i="20" s="1"/>
  <c r="R50" i="20" a="1"/>
  <c r="R50" i="20" s="1"/>
  <c r="Q51" i="20" a="1"/>
  <c r="Q51" i="20" s="1"/>
  <c r="R51" i="20" a="1"/>
  <c r="R51" i="20" s="1"/>
  <c r="R52" i="20" a="1"/>
  <c r="R52" i="20" s="1"/>
  <c r="Q52" i="20" a="1"/>
  <c r="Q52" i="20" s="1"/>
  <c r="Q53" i="20" a="1"/>
  <c r="Q53" i="20" s="1"/>
  <c r="R53" i="20" a="1"/>
  <c r="R53" i="20" s="1"/>
  <c r="Q54" i="20" a="1"/>
  <c r="Q54" i="20" s="1"/>
  <c r="R54" i="20" a="1"/>
  <c r="R54" i="20" s="1"/>
  <c r="Q55" i="20" a="1"/>
  <c r="Q55" i="20" s="1"/>
  <c r="R55" i="20" a="1"/>
  <c r="R55" i="20" s="1"/>
  <c r="Q56" i="20" a="1"/>
  <c r="Q56" i="20" s="1"/>
  <c r="R56" i="20" a="1"/>
  <c r="R56" i="20" s="1"/>
  <c r="Q57" i="20" a="1"/>
  <c r="Q57" i="20" s="1"/>
  <c r="R57" i="20" a="1"/>
  <c r="R57" i="20" s="1"/>
  <c r="R58" i="20" a="1"/>
  <c r="R58" i="20" s="1"/>
  <c r="Q58" i="20" a="1"/>
  <c r="Q58" i="20" s="1"/>
  <c r="Q59" i="20" a="1"/>
  <c r="Q59" i="20" s="1"/>
  <c r="R59" i="20" a="1"/>
  <c r="R59" i="20" s="1"/>
  <c r="Q60" i="20" a="1"/>
  <c r="Q60" i="20" s="1"/>
  <c r="R60" i="20" a="1"/>
  <c r="R60" i="20" s="1"/>
  <c r="Q61" i="20" a="1"/>
  <c r="Q61" i="20" s="1"/>
  <c r="R61" i="20" a="1"/>
  <c r="R61" i="20" s="1"/>
  <c r="Q62" i="20" a="1"/>
  <c r="Q62" i="20" s="1"/>
  <c r="R62" i="20" a="1"/>
  <c r="R62" i="20" s="1"/>
  <c r="Q63" i="20" a="1"/>
  <c r="Q63" i="20" s="1"/>
  <c r="R63" i="20" a="1"/>
  <c r="R63" i="20" s="1"/>
  <c r="Q64" i="20" a="1"/>
  <c r="Q64" i="20" s="1"/>
  <c r="R64" i="20" a="1"/>
  <c r="R64" i="20" s="1"/>
  <c r="Q65" i="20" a="1"/>
  <c r="Q65" i="20" s="1"/>
  <c r="R65" i="20" a="1"/>
  <c r="R65" i="20" s="1"/>
  <c r="Q66" i="20" a="1"/>
  <c r="Q66" i="20" s="1"/>
  <c r="R66" i="20" a="1"/>
  <c r="R66" i="20" s="1"/>
  <c r="R67" i="20" a="1"/>
  <c r="R67" i="20" s="1"/>
  <c r="Q67" i="20" a="1"/>
  <c r="Q67" i="20" s="1"/>
  <c r="Q68" i="20" a="1"/>
  <c r="Q68" i="20" s="1"/>
  <c r="R68" i="20" a="1"/>
  <c r="R68" i="20" s="1"/>
  <c r="Q69" i="20" a="1"/>
  <c r="Q69" i="20" s="1"/>
  <c r="R69" i="20" a="1"/>
  <c r="R69" i="20" s="1"/>
  <c r="R70" i="20" a="1"/>
  <c r="R70" i="20" s="1"/>
  <c r="Q70" i="20" a="1"/>
  <c r="Q70" i="20" s="1"/>
  <c r="Q71" i="20" a="1"/>
  <c r="Q71" i="20" s="1"/>
  <c r="R71" i="20" a="1"/>
  <c r="R71" i="20" s="1"/>
  <c r="Q72" i="20" a="1"/>
  <c r="Q72" i="20" s="1"/>
  <c r="R72" i="20" a="1"/>
  <c r="R72" i="20" s="1"/>
  <c r="Q73" i="20" a="1"/>
  <c r="Q73" i="20" s="1"/>
  <c r="R73" i="20" a="1"/>
  <c r="R73" i="20" s="1"/>
  <c r="R74" i="20" a="1"/>
  <c r="R74" i="20" s="1"/>
  <c r="Q74" i="20" a="1"/>
  <c r="Q74" i="20" s="1"/>
  <c r="Q75" i="20" a="1"/>
  <c r="Q75" i="20" s="1"/>
  <c r="R75" i="20" a="1"/>
  <c r="R75" i="20" s="1"/>
  <c r="Q76" i="20" a="1"/>
  <c r="Q76" i="20" s="1"/>
  <c r="R76" i="20" a="1"/>
  <c r="R76" i="20" s="1"/>
  <c r="Q77" i="20" a="1"/>
  <c r="Q77" i="20" s="1"/>
  <c r="R77" i="20" a="1"/>
  <c r="R77" i="20" s="1"/>
  <c r="R78" i="20" a="1"/>
  <c r="R78" i="20" s="1"/>
  <c r="Q78" i="20" a="1"/>
  <c r="Q78" i="20" s="1"/>
  <c r="Q79" i="20" a="1"/>
  <c r="Q79" i="20" s="1"/>
  <c r="R79" i="20" a="1"/>
  <c r="R79" i="20" s="1"/>
  <c r="Q80" i="20" a="1"/>
  <c r="Q80" i="20" s="1"/>
  <c r="R80" i="20" a="1"/>
  <c r="R80" i="20" s="1"/>
  <c r="Q81" i="20" a="1"/>
  <c r="Q81" i="20" s="1"/>
  <c r="R81" i="20" a="1"/>
  <c r="R81" i="20" s="1"/>
  <c r="R82" i="20" a="1"/>
  <c r="R82" i="20" s="1"/>
  <c r="Q82" i="20" a="1"/>
  <c r="Q82" i="20" s="1"/>
  <c r="Q83" i="20" a="1"/>
  <c r="Q83" i="20" s="1"/>
  <c r="R83" i="20" a="1"/>
  <c r="R83" i="20" s="1"/>
  <c r="Q84" i="20" a="1"/>
  <c r="Q84" i="20" s="1"/>
  <c r="R84" i="20" a="1"/>
  <c r="R84" i="20" s="1"/>
  <c r="Q85" i="20" a="1"/>
  <c r="Q85" i="20" s="1"/>
  <c r="R85" i="20" a="1"/>
  <c r="R85" i="20" s="1"/>
  <c r="R86" i="20" a="1"/>
  <c r="R86" i="20" s="1"/>
  <c r="Q86" i="20" a="1"/>
  <c r="Q86" i="20" s="1"/>
  <c r="Q87" i="20" a="1"/>
  <c r="Q87" i="20" s="1"/>
  <c r="R87" i="20" a="1"/>
  <c r="R87" i="20" s="1"/>
  <c r="Q88" i="20" a="1"/>
  <c r="Q88" i="20" s="1"/>
  <c r="R88" i="20" a="1"/>
  <c r="R88" i="20" s="1"/>
  <c r="Q89" i="20" a="1"/>
  <c r="Q89" i="20" s="1"/>
  <c r="R89" i="20" a="1"/>
  <c r="R89" i="20" s="1"/>
  <c r="R90" i="20" a="1"/>
  <c r="R90" i="20" s="1"/>
  <c r="Q90" i="20" a="1"/>
  <c r="Q90" i="20" s="1"/>
  <c r="Q91" i="20" a="1"/>
  <c r="Q91" i="20" s="1"/>
  <c r="R91" i="20" a="1"/>
  <c r="R91" i="20" s="1"/>
  <c r="Q92" i="20" a="1"/>
  <c r="Q92" i="20" s="1"/>
  <c r="R92" i="20" a="1"/>
  <c r="R92" i="20" s="1"/>
  <c r="Q93" i="20" a="1"/>
  <c r="Q93" i="20" s="1"/>
  <c r="R93" i="20" a="1"/>
  <c r="R93" i="20" s="1"/>
  <c r="R94" i="20" a="1"/>
  <c r="R94" i="20" s="1"/>
  <c r="Q94" i="20" a="1"/>
  <c r="Q94" i="20" s="1"/>
  <c r="Q95" i="20" a="1"/>
  <c r="Q95" i="20" s="1"/>
  <c r="R95" i="20" a="1"/>
  <c r="R95" i="20" s="1"/>
  <c r="Q96" i="20" a="1"/>
  <c r="Q96" i="20" s="1"/>
  <c r="R96" i="20" a="1"/>
  <c r="R96" i="20" s="1"/>
  <c r="Q97" i="20" a="1"/>
  <c r="Q97" i="20" s="1"/>
  <c r="R97" i="20" a="1"/>
  <c r="R97" i="20" s="1"/>
  <c r="R98" i="20" a="1"/>
  <c r="R98" i="20" s="1"/>
  <c r="Q98" i="20" a="1"/>
  <c r="Q98" i="20" s="1"/>
  <c r="Q99" i="20" a="1"/>
  <c r="Q99" i="20" s="1"/>
  <c r="R99" i="20" a="1"/>
  <c r="R99" i="20" s="1"/>
  <c r="Q100" i="20" a="1"/>
  <c r="Q100" i="20" s="1"/>
  <c r="R100" i="20" a="1"/>
  <c r="R100" i="20" s="1"/>
  <c r="Q101" i="20" a="1"/>
  <c r="Q101" i="20" s="1"/>
  <c r="R101" i="20" a="1"/>
  <c r="R101" i="20" s="1"/>
  <c r="Q102" i="20" a="1"/>
  <c r="Q102" i="20" s="1"/>
  <c r="R102" i="20" a="1"/>
  <c r="R102" i="20" s="1"/>
  <c r="Q103" i="20" a="1"/>
  <c r="Q103" i="20" s="1"/>
  <c r="R103" i="20" a="1"/>
  <c r="R103" i="20" s="1"/>
  <c r="Q104" i="20" a="1"/>
  <c r="Q104" i="20" s="1"/>
  <c r="R104" i="20" a="1"/>
  <c r="R104" i="20" s="1"/>
  <c r="R105" i="20" a="1"/>
  <c r="R105" i="20" s="1"/>
  <c r="Q105" i="20" a="1"/>
  <c r="Q105" i="20" s="1"/>
  <c r="Q106" i="20" a="1"/>
  <c r="Q106" i="20" s="1"/>
  <c r="R106" i="20" a="1"/>
  <c r="R106" i="20" s="1"/>
  <c r="Q107" i="20" a="1"/>
  <c r="Q107" i="20" s="1"/>
  <c r="R107" i="20" a="1"/>
  <c r="R107" i="20" s="1"/>
  <c r="Q108" i="20" a="1"/>
  <c r="Q108" i="20" s="1"/>
  <c r="R108" i="20" a="1"/>
  <c r="R108" i="20" s="1"/>
  <c r="Q109" i="20" a="1"/>
  <c r="Q109" i="20" s="1"/>
  <c r="R109" i="20" a="1"/>
  <c r="R109" i="20" s="1"/>
  <c r="R110" i="20" a="1"/>
  <c r="R110" i="20" s="1"/>
  <c r="Q110" i="20" a="1"/>
  <c r="Q110" i="20" s="1"/>
  <c r="Q111" i="20" a="1"/>
  <c r="Q111" i="20" s="1"/>
  <c r="R111" i="20" a="1"/>
  <c r="R111" i="20" s="1"/>
  <c r="Q112" i="20" a="1"/>
  <c r="Q112" i="20" s="1"/>
  <c r="R112" i="20" a="1"/>
  <c r="R112" i="20" s="1"/>
  <c r="Q113" i="20" a="1"/>
  <c r="Q113" i="20" s="1"/>
  <c r="R113" i="20" a="1"/>
  <c r="R113" i="20" s="1"/>
  <c r="R114" i="20" a="1"/>
  <c r="R114" i="20" s="1"/>
  <c r="Q114" i="20" a="1"/>
  <c r="Q114" i="20" s="1"/>
  <c r="Q115" i="20" a="1"/>
  <c r="Q115" i="20" s="1"/>
  <c r="R115" i="20" a="1"/>
  <c r="R115" i="20" s="1"/>
  <c r="Q116" i="20" a="1"/>
  <c r="Q116" i="20" s="1"/>
  <c r="R116" i="20" a="1"/>
  <c r="R116" i="20" s="1"/>
  <c r="Q117" i="20" a="1"/>
  <c r="Q117" i="20" s="1"/>
  <c r="R117" i="20" a="1"/>
  <c r="R117" i="20" s="1"/>
  <c r="Q118" i="20" a="1"/>
  <c r="Q118" i="20" s="1"/>
  <c r="R118" i="20" a="1"/>
  <c r="R118" i="20" s="1"/>
  <c r="R119" i="20" a="1"/>
  <c r="R119" i="20" s="1"/>
  <c r="Q119" i="20" a="1"/>
  <c r="Q119" i="20" s="1"/>
  <c r="Q120" i="20" a="1"/>
  <c r="Q120" i="20" s="1"/>
  <c r="R120" i="20" a="1"/>
  <c r="R120" i="20" s="1"/>
  <c r="Q121" i="20" a="1"/>
  <c r="Q121" i="20" s="1"/>
  <c r="R121" i="20" a="1"/>
  <c r="R121" i="20" s="1"/>
  <c r="Q122" i="20" a="1"/>
  <c r="Q122" i="20" s="1"/>
  <c r="R122" i="20" a="1"/>
  <c r="R122" i="20" s="1"/>
  <c r="R123" i="20" a="1"/>
  <c r="R123" i="20" s="1"/>
  <c r="Q123" i="20" a="1"/>
  <c r="Q123" i="20" s="1"/>
  <c r="Q124" i="20" a="1"/>
  <c r="Q124" i="20" s="1"/>
  <c r="R124" i="20" a="1"/>
  <c r="R124" i="20" s="1"/>
  <c r="Q125" i="20" a="1"/>
  <c r="Q125" i="20" s="1"/>
  <c r="R125" i="20" a="1"/>
  <c r="R125" i="20" s="1"/>
  <c r="Q126" i="20" a="1"/>
  <c r="Q126" i="20" s="1"/>
  <c r="R126" i="20" a="1"/>
  <c r="R126" i="20" s="1"/>
  <c r="R127" i="20" a="1"/>
  <c r="R127" i="20" s="1"/>
  <c r="Q127" i="20" a="1"/>
  <c r="Q127" i="20" s="1"/>
  <c r="Q128" i="20" a="1"/>
  <c r="Q128" i="20" s="1"/>
  <c r="R128" i="20" a="1"/>
  <c r="R128" i="20" s="1"/>
  <c r="Q129" i="20" a="1"/>
  <c r="Q129" i="20" s="1"/>
  <c r="R129" i="20" a="1"/>
  <c r="R129" i="20" s="1"/>
  <c r="R130" i="20" a="1"/>
  <c r="R130" i="20" s="1"/>
  <c r="Q130" i="20" a="1"/>
  <c r="Q130" i="20" s="1"/>
  <c r="Q131" i="20" a="1"/>
  <c r="Q131" i="20" s="1"/>
  <c r="R131" i="20" a="1"/>
  <c r="R131" i="20" s="1"/>
  <c r="Q132" i="20" a="1"/>
  <c r="Q132" i="20" s="1"/>
  <c r="R132" i="20" a="1"/>
  <c r="R132" i="20" s="1"/>
  <c r="Q133" i="20" a="1"/>
  <c r="Q133" i="20" s="1"/>
  <c r="R133" i="20" a="1"/>
  <c r="R133" i="20" s="1"/>
  <c r="Q134" i="20" a="1"/>
  <c r="Q134" i="20" s="1"/>
  <c r="R134" i="20" a="1"/>
  <c r="R134" i="20" s="1"/>
  <c r="Q135" i="20" a="1"/>
  <c r="Q135" i="20" s="1"/>
  <c r="R135" i="20" a="1"/>
  <c r="R135" i="20" s="1"/>
  <c r="R136" i="20" a="1"/>
  <c r="R136" i="20" s="1"/>
  <c r="Q136" i="20" a="1"/>
  <c r="Q136" i="20" s="1"/>
  <c r="Q137" i="20" a="1"/>
  <c r="Q137" i="20" s="1"/>
  <c r="R137" i="20" a="1"/>
  <c r="R137" i="20" s="1"/>
  <c r="Q138" i="20" a="1"/>
  <c r="Q138" i="20" s="1"/>
  <c r="R138" i="20" a="1"/>
  <c r="R138" i="20" s="1"/>
  <c r="Q139" i="20" a="1"/>
  <c r="Q139" i="20" s="1"/>
  <c r="R139" i="20" a="1"/>
  <c r="R139" i="20" s="1"/>
  <c r="R140" i="20" a="1"/>
  <c r="R140" i="20" s="1"/>
  <c r="Q140" i="20" a="1"/>
  <c r="Q140" i="20" s="1"/>
  <c r="Q141" i="20" a="1"/>
  <c r="Q141" i="20" s="1"/>
  <c r="R141" i="20" a="1"/>
  <c r="R141" i="20" s="1"/>
  <c r="Q142" i="20" a="1"/>
  <c r="Q142" i="20" s="1"/>
  <c r="R142" i="20" a="1"/>
  <c r="R142" i="20" s="1"/>
  <c r="Q143" i="20" a="1"/>
  <c r="Q143" i="20" s="1"/>
  <c r="R143" i="20" a="1"/>
  <c r="R143" i="20" s="1"/>
  <c r="Q144" i="20" a="1"/>
  <c r="Q144" i="20" s="1"/>
  <c r="R144" i="20" a="1"/>
  <c r="R144" i="20" s="1"/>
  <c r="Q145" i="20" a="1"/>
  <c r="Q145" i="20" s="1"/>
  <c r="R145" i="20" a="1"/>
  <c r="R145" i="20" s="1"/>
  <c r="Q146" i="20" a="1"/>
  <c r="Q146" i="20" s="1"/>
  <c r="R146" i="20" a="1"/>
  <c r="R146" i="20" s="1"/>
  <c r="R147" i="20" a="1"/>
  <c r="R147" i="20" s="1"/>
  <c r="Q147" i="20" a="1"/>
  <c r="Q147" i="20" s="1"/>
  <c r="Q148" i="20" a="1"/>
  <c r="Q148" i="20" s="1"/>
  <c r="R148" i="20" a="1"/>
  <c r="R148" i="20" s="1"/>
  <c r="Q149" i="20" a="1"/>
  <c r="Q149" i="20" s="1"/>
  <c r="R149" i="20" a="1"/>
  <c r="R149" i="20" s="1"/>
  <c r="Q150" i="20" a="1"/>
  <c r="Q150" i="20" s="1"/>
  <c r="R150" i="20" a="1"/>
  <c r="R150" i="20" s="1"/>
  <c r="R151" i="20" a="1"/>
  <c r="R151" i="20" s="1"/>
  <c r="Q151" i="20" a="1"/>
  <c r="Q151" i="20" s="1"/>
  <c r="Q152" i="20" a="1"/>
  <c r="Q152" i="20" s="1"/>
  <c r="R152" i="20" a="1"/>
  <c r="R152" i="20" s="1"/>
  <c r="Q153" i="20" a="1"/>
  <c r="Q153" i="20" s="1"/>
  <c r="R153" i="20" a="1"/>
  <c r="R153" i="20" s="1"/>
  <c r="Q154" i="20" a="1"/>
  <c r="Q154" i="20" s="1"/>
  <c r="R154" i="20" a="1"/>
  <c r="R154" i="20" s="1"/>
  <c r="R155" i="20" a="1"/>
  <c r="R155" i="20" s="1"/>
  <c r="Q155" i="20" a="1"/>
  <c r="Q155" i="20" s="1"/>
  <c r="Q156" i="20" a="1"/>
  <c r="Q156" i="20" s="1"/>
  <c r="R156" i="20" a="1"/>
  <c r="R156" i="20" s="1"/>
  <c r="Q157" i="20" a="1"/>
  <c r="Q157" i="20" s="1"/>
  <c r="R157" i="20" a="1"/>
  <c r="R157" i="20" s="1"/>
  <c r="Q158" i="20" a="1"/>
  <c r="Q158" i="20" s="1"/>
  <c r="R158" i="20" a="1"/>
  <c r="R158" i="20" s="1"/>
  <c r="R159" i="20" a="1"/>
  <c r="R159" i="20" s="1"/>
  <c r="Q159" i="20" a="1"/>
  <c r="Q159" i="20" s="1"/>
  <c r="Q160" i="20" a="1"/>
  <c r="Q160" i="20" s="1"/>
  <c r="R160" i="20" a="1"/>
  <c r="R160" i="20" s="1"/>
  <c r="Q161" i="20" a="1"/>
  <c r="Q161" i="20" s="1"/>
  <c r="R161" i="20" a="1"/>
  <c r="R161" i="20" s="1"/>
  <c r="Q162" i="20" a="1"/>
  <c r="Q162" i="20" s="1"/>
  <c r="R162" i="20" a="1"/>
  <c r="R162" i="20" s="1"/>
  <c r="R163" i="20" a="1"/>
  <c r="R163" i="20" s="1"/>
  <c r="Q163" i="20" a="1"/>
  <c r="Q163" i="20" s="1"/>
  <c r="Q164" i="20" a="1"/>
  <c r="Q164" i="20" s="1"/>
  <c r="R164" i="20" a="1"/>
  <c r="R164" i="20" s="1"/>
  <c r="Q165" i="20" a="1"/>
  <c r="Q165" i="20" s="1"/>
  <c r="R165" i="20" a="1"/>
  <c r="R165" i="20" s="1"/>
  <c r="Q166" i="20" a="1"/>
  <c r="Q166" i="20" s="1"/>
  <c r="R166" i="20" a="1"/>
  <c r="R166" i="20" s="1"/>
  <c r="R167" i="20" a="1"/>
  <c r="R167" i="20" s="1"/>
  <c r="Q167" i="20" a="1"/>
  <c r="Q167" i="20" s="1"/>
  <c r="Q168" i="20" a="1"/>
  <c r="Q168" i="20" s="1"/>
  <c r="R168" i="20" a="1"/>
  <c r="R168" i="20" s="1"/>
  <c r="Q169" i="20" a="1"/>
  <c r="Q169" i="20" s="1"/>
  <c r="R169" i="20" a="1"/>
  <c r="R169" i="20" s="1"/>
  <c r="Q170" i="20" a="1"/>
  <c r="Q170" i="20" s="1"/>
  <c r="R170" i="20" a="1"/>
  <c r="R170" i="20" s="1"/>
  <c r="R171" i="20" a="1"/>
  <c r="R171" i="20" s="1"/>
  <c r="Q171" i="20" a="1"/>
  <c r="Q171" i="20" s="1"/>
  <c r="Q172" i="20" a="1"/>
  <c r="Q172" i="20" s="1"/>
  <c r="R172" i="20" a="1"/>
  <c r="R172" i="20" s="1"/>
  <c r="Q173" i="20" a="1"/>
  <c r="Q173" i="20" s="1"/>
  <c r="R173" i="20" a="1"/>
  <c r="R173" i="20" s="1"/>
  <c r="Q174" i="20" a="1"/>
  <c r="Q174" i="20" s="1"/>
  <c r="R174" i="20" a="1"/>
  <c r="R174" i="20" s="1"/>
  <c r="Q175" i="20" a="1"/>
  <c r="Q175" i="20" s="1"/>
  <c r="R175" i="20" a="1"/>
  <c r="R175" i="20" s="1"/>
  <c r="Q176" i="20" a="1"/>
  <c r="Q176" i="20" s="1"/>
  <c r="R176" i="20" a="1"/>
  <c r="R176" i="20" s="1"/>
  <c r="Q177" i="20" a="1"/>
  <c r="Q177" i="20" s="1"/>
  <c r="R177" i="20" a="1"/>
  <c r="R177" i="20" s="1"/>
  <c r="R178" i="20" a="1"/>
  <c r="R178" i="20" s="1"/>
  <c r="Q178" i="20" a="1"/>
  <c r="Q178" i="20" s="1"/>
  <c r="Q179" i="20" a="1"/>
  <c r="Q179" i="20" s="1"/>
  <c r="R179" i="20" a="1"/>
  <c r="R179" i="20" s="1"/>
  <c r="Q180" i="20" a="1"/>
  <c r="Q180" i="20" s="1"/>
  <c r="R180" i="20" a="1"/>
  <c r="R180" i="20" s="1"/>
  <c r="Q181" i="20" a="1"/>
  <c r="Q181" i="20" s="1"/>
  <c r="R181" i="20" a="1"/>
  <c r="R181" i="20" s="1"/>
  <c r="R182" i="20" a="1"/>
  <c r="R182" i="20" s="1"/>
  <c r="Q182" i="20" a="1"/>
  <c r="Q182" i="20" s="1"/>
  <c r="Q183" i="20" a="1"/>
  <c r="Q183" i="20" s="1"/>
  <c r="R183" i="20" a="1"/>
  <c r="R183" i="20" s="1"/>
  <c r="Q184" i="20" a="1"/>
  <c r="Q184" i="20" s="1"/>
  <c r="R184" i="20" a="1"/>
  <c r="R184" i="20" s="1"/>
  <c r="Q185" i="20" a="1"/>
  <c r="Q185" i="20" s="1"/>
  <c r="R185" i="20" a="1"/>
  <c r="R185" i="20" s="1"/>
  <c r="R186" i="20" a="1"/>
  <c r="R186" i="20" s="1"/>
  <c r="Q186" i="20" a="1"/>
  <c r="Q186" i="20" s="1"/>
  <c r="Q187" i="20" a="1"/>
  <c r="Q187" i="20" s="1"/>
  <c r="R187" i="20" a="1"/>
  <c r="R187" i="20" s="1"/>
  <c r="Q188" i="20" a="1"/>
  <c r="Q188" i="20" s="1"/>
  <c r="R188" i="20" a="1"/>
  <c r="R188" i="20" s="1"/>
  <c r="Q189" i="20" a="1"/>
  <c r="Q189" i="20" s="1"/>
  <c r="R189" i="20" a="1"/>
  <c r="R189" i="20" s="1"/>
  <c r="R190" i="20" a="1"/>
  <c r="R190" i="20" s="1"/>
  <c r="Q190" i="20" a="1"/>
  <c r="Q190" i="20" s="1"/>
  <c r="Q191" i="20" a="1"/>
  <c r="Q191" i="20" s="1"/>
  <c r="R191" i="20" a="1"/>
  <c r="R191" i="20" s="1"/>
  <c r="Q192" i="20" a="1"/>
  <c r="Q192" i="20" s="1"/>
  <c r="R192" i="20" a="1"/>
  <c r="R192" i="20" s="1"/>
  <c r="R193" i="20" a="1"/>
  <c r="R193" i="20" s="1"/>
  <c r="Q193" i="20" a="1"/>
  <c r="Q193" i="20" s="1"/>
  <c r="Q194" i="20" a="1"/>
  <c r="Q194" i="20" s="1"/>
  <c r="R194" i="20" a="1"/>
  <c r="R194" i="20" s="1"/>
  <c r="Q195" i="20" a="1"/>
  <c r="Q195" i="20" s="1"/>
  <c r="R195" i="20" a="1"/>
  <c r="R195" i="20" s="1"/>
  <c r="Q196" i="20" a="1"/>
  <c r="Q196" i="20" s="1"/>
  <c r="R196" i="20" a="1"/>
  <c r="R196" i="20" s="1"/>
  <c r="R197" i="20" a="1"/>
  <c r="R197" i="20" s="1"/>
  <c r="Q197" i="20" a="1"/>
  <c r="Q197" i="20" s="1"/>
  <c r="Q198" i="20" a="1"/>
  <c r="Q198" i="20" s="1"/>
  <c r="R198" i="20" a="1"/>
  <c r="R198" i="20" s="1"/>
  <c r="Q199" i="20" a="1"/>
  <c r="Q199" i="20" s="1"/>
  <c r="R199" i="20" a="1"/>
  <c r="R199" i="20" s="1"/>
  <c r="Q200" i="20" a="1"/>
  <c r="Q200" i="20" s="1"/>
  <c r="R200" i="20" a="1"/>
  <c r="R200" i="20" s="1"/>
  <c r="R201" i="20" a="1"/>
  <c r="R201" i="20" s="1"/>
  <c r="Q201" i="20" a="1"/>
  <c r="Q201" i="20" s="1"/>
  <c r="Q202" i="20" a="1"/>
  <c r="Q202" i="20" s="1"/>
  <c r="R202" i="20" a="1"/>
  <c r="R202" i="20" s="1"/>
  <c r="Q203" i="20" a="1"/>
  <c r="Q203" i="20" s="1"/>
  <c r="R203" i="20" a="1"/>
  <c r="R203" i="20" s="1"/>
  <c r="Q204" i="20" a="1"/>
  <c r="Q204" i="20" s="1"/>
  <c r="R204" i="20" a="1"/>
  <c r="R204" i="20" s="1"/>
  <c r="Q205" i="20" a="1"/>
  <c r="Q205" i="20" s="1"/>
  <c r="R205" i="20" a="1"/>
  <c r="R205" i="20" s="1"/>
  <c r="R206" i="20" a="1"/>
  <c r="R206" i="20" s="1"/>
  <c r="Q206" i="20" a="1"/>
  <c r="Q206" i="20" s="1"/>
  <c r="Q207" i="20" a="1"/>
  <c r="Q207" i="20" s="1"/>
  <c r="R207" i="20" a="1"/>
  <c r="R207" i="20" s="1"/>
  <c r="Q208" i="20" a="1"/>
  <c r="Q208" i="20" s="1"/>
  <c r="R208" i="20" a="1"/>
  <c r="R208" i="20" s="1"/>
  <c r="Q209" i="20" a="1"/>
  <c r="Q209" i="20" s="1"/>
  <c r="R209" i="20" a="1"/>
  <c r="R209" i="20" s="1"/>
  <c r="Q210" i="20" a="1"/>
  <c r="Q210" i="20" s="1"/>
  <c r="R210" i="20" a="1"/>
  <c r="R210" i="20" s="1"/>
  <c r="R211" i="20" a="1"/>
  <c r="R211" i="20" s="1"/>
  <c r="Q211" i="20" a="1"/>
  <c r="Q211" i="20" s="1"/>
  <c r="Q212" i="20" a="1"/>
  <c r="Q212" i="20" s="1"/>
  <c r="R212" i="20" a="1"/>
  <c r="R212" i="20" s="1"/>
  <c r="Q213" i="20" a="1"/>
  <c r="Q213" i="20" s="1"/>
  <c r="R213" i="20" a="1"/>
  <c r="R213" i="20" s="1"/>
  <c r="Q214" i="20" a="1"/>
  <c r="Q214" i="20" s="1"/>
  <c r="R214" i="20" a="1"/>
  <c r="R214" i="20" s="1"/>
  <c r="Q215" i="20" a="1"/>
  <c r="Q215" i="20" s="1"/>
  <c r="R215" i="20" a="1"/>
  <c r="R215" i="20" s="1"/>
  <c r="R216" i="20" a="1"/>
  <c r="R216" i="20" s="1"/>
  <c r="Q216" i="20" a="1"/>
  <c r="Q216" i="20" s="1"/>
  <c r="Q217" i="20" a="1"/>
  <c r="Q217" i="20" s="1"/>
  <c r="R217" i="20" a="1"/>
  <c r="R217" i="20" s="1"/>
  <c r="Q218" i="20" a="1"/>
  <c r="Q218" i="20" s="1"/>
  <c r="R218" i="20" a="1"/>
  <c r="R218" i="20" s="1"/>
  <c r="Q219" i="20" a="1"/>
  <c r="Q219" i="20" s="1"/>
  <c r="R219" i="20" a="1"/>
  <c r="R219" i="20" s="1"/>
  <c r="R220" i="20" a="1"/>
  <c r="R220" i="20" s="1"/>
  <c r="Q220" i="20" a="1"/>
  <c r="Q220" i="20" s="1"/>
  <c r="Q221" i="20" a="1"/>
  <c r="Q221" i="20" s="1"/>
  <c r="R221" i="20" a="1"/>
  <c r="R221" i="20" s="1"/>
  <c r="Q222" i="20" a="1"/>
  <c r="Q222" i="20" s="1"/>
  <c r="R222" i="20" a="1"/>
  <c r="R222" i="20" s="1"/>
  <c r="Q223" i="20" a="1"/>
  <c r="Q223" i="20" s="1"/>
  <c r="R223" i="20" a="1"/>
  <c r="R223" i="20" s="1"/>
  <c r="Q224" i="20" a="1"/>
  <c r="Q224" i="20" s="1"/>
  <c r="R224" i="20" a="1"/>
  <c r="R224" i="20" s="1"/>
  <c r="R225" i="20" a="1"/>
  <c r="R225" i="20" s="1"/>
  <c r="Q225" i="20" a="1"/>
  <c r="Q225" i="20" s="1"/>
  <c r="Q226" i="20" a="1"/>
  <c r="Q226" i="20" s="1"/>
  <c r="R226" i="20" a="1"/>
  <c r="R226" i="20" s="1"/>
  <c r="Q227" i="20" a="1"/>
  <c r="Q227" i="20" s="1"/>
  <c r="R227" i="20" a="1"/>
  <c r="R227" i="20" s="1"/>
  <c r="Q228" i="20" a="1"/>
  <c r="Q228" i="20" s="1"/>
  <c r="R228" i="20" a="1"/>
  <c r="R228" i="20" s="1"/>
  <c r="R229" i="20" a="1"/>
  <c r="R229" i="20" s="1"/>
  <c r="Q229" i="20" a="1"/>
  <c r="Q229" i="20" s="1"/>
  <c r="Q230" i="20" a="1"/>
  <c r="Q230" i="20" s="1"/>
  <c r="R230" i="20" a="1"/>
  <c r="R230" i="20" s="1"/>
  <c r="Q231" i="20" a="1"/>
  <c r="Q231" i="20" s="1"/>
  <c r="R231" i="20" a="1"/>
  <c r="R231" i="20" s="1"/>
  <c r="Q232" i="20" a="1"/>
  <c r="Q232" i="20" s="1"/>
  <c r="R232" i="20" a="1"/>
  <c r="R232" i="20" s="1"/>
  <c r="R233" i="20" a="1"/>
  <c r="R233" i="20" s="1"/>
  <c r="Q233" i="20" a="1"/>
  <c r="Q233" i="20" s="1"/>
  <c r="Q234" i="20" a="1"/>
  <c r="Q234" i="20" s="1"/>
  <c r="R234" i="20" a="1"/>
  <c r="R234" i="20" s="1"/>
  <c r="Q235" i="20" a="1"/>
  <c r="Q235" i="20" s="1"/>
  <c r="R235" i="20" a="1"/>
  <c r="R235" i="20" s="1"/>
  <c r="Q236" i="20" a="1"/>
  <c r="Q236" i="20" s="1"/>
  <c r="R236" i="20" a="1"/>
  <c r="R236" i="20" s="1"/>
  <c r="R237" i="20" a="1"/>
  <c r="R237" i="20" s="1"/>
  <c r="Q237" i="20" a="1"/>
  <c r="Q237" i="20" s="1"/>
  <c r="Q238" i="20" a="1"/>
  <c r="Q238" i="20" s="1"/>
  <c r="R238" i="20" a="1"/>
  <c r="R238" i="20" s="1"/>
  <c r="Q239" i="20" a="1"/>
  <c r="Q239" i="20" s="1"/>
  <c r="R239" i="20" a="1"/>
  <c r="R239" i="20" s="1"/>
  <c r="Q240" i="20" a="1"/>
  <c r="Q240" i="20" s="1"/>
  <c r="R240" i="20" a="1"/>
  <c r="R240" i="20" s="1"/>
  <c r="R241" i="20" a="1"/>
  <c r="R241" i="20" s="1"/>
  <c r="Q241" i="20" a="1"/>
  <c r="Q241" i="20" s="1"/>
  <c r="Q242" i="20" a="1"/>
  <c r="Q242" i="20" s="1"/>
  <c r="R242" i="20" a="1"/>
  <c r="R242" i="20" s="1"/>
  <c r="Q243" i="20" a="1"/>
  <c r="Q243" i="20" s="1"/>
  <c r="R243" i="20" a="1"/>
  <c r="R243" i="20" s="1"/>
  <c r="Q244" i="20" a="1"/>
  <c r="Q244" i="20" s="1"/>
  <c r="R244" i="20" a="1"/>
  <c r="R244" i="20" s="1"/>
  <c r="Q245" i="20" a="1"/>
  <c r="Q245" i="20" s="1"/>
  <c r="R245" i="20" a="1"/>
  <c r="R245" i="20" s="1"/>
  <c r="Q246" i="20" a="1"/>
  <c r="Q246" i="20" s="1"/>
  <c r="R246" i="20" a="1"/>
  <c r="R246" i="20" s="1"/>
  <c r="R247" i="20" a="1"/>
  <c r="R247" i="20" s="1"/>
  <c r="Q247" i="20" a="1"/>
  <c r="Q247" i="20" s="1"/>
  <c r="Q248" i="20" a="1"/>
  <c r="Q248" i="20" s="1"/>
  <c r="R248" i="20" a="1"/>
  <c r="R248" i="20" s="1"/>
  <c r="Q249" i="20" a="1"/>
  <c r="Q249" i="20" s="1"/>
  <c r="R249" i="20" a="1"/>
  <c r="R249" i="20" s="1"/>
  <c r="Q250" i="20" a="1"/>
  <c r="Q250" i="20" s="1"/>
  <c r="R250" i="20" a="1"/>
  <c r="R250" i="20" s="1"/>
  <c r="Q251" i="20" a="1"/>
  <c r="Q251" i="20" s="1"/>
  <c r="R251" i="20" a="1"/>
  <c r="R251" i="20" s="1"/>
  <c r="R252" i="20" a="1"/>
  <c r="R252" i="20" s="1"/>
  <c r="Q252" i="20" a="1"/>
  <c r="Q252" i="20" s="1"/>
  <c r="Q253" i="20" a="1"/>
  <c r="Q253" i="20" s="1"/>
  <c r="R253" i="20" a="1"/>
  <c r="R253" i="20" s="1"/>
  <c r="Q254" i="20" a="1"/>
  <c r="Q254" i="20" s="1"/>
  <c r="R254" i="20" a="1"/>
  <c r="R254" i="20" s="1"/>
  <c r="Q255" i="20" a="1"/>
  <c r="Q255" i="20" s="1"/>
  <c r="R255" i="20" a="1"/>
  <c r="R255" i="20" s="1"/>
  <c r="R256" i="20" a="1"/>
  <c r="R256" i="20" s="1"/>
  <c r="Q256" i="20" a="1"/>
  <c r="Q256" i="20" s="1"/>
  <c r="Q257" i="20" a="1"/>
  <c r="Q257" i="20" s="1"/>
  <c r="R257" i="20" a="1"/>
  <c r="R257" i="20" s="1"/>
  <c r="Q258" i="20" a="1"/>
  <c r="Q258" i="20" s="1"/>
  <c r="R258" i="20" a="1"/>
  <c r="R258" i="20" s="1"/>
  <c r="R259" i="20" a="1"/>
  <c r="R259" i="20" s="1"/>
  <c r="Q259" i="20" a="1"/>
  <c r="Q259" i="20" s="1"/>
  <c r="Q260" i="20" a="1"/>
  <c r="Q260" i="20" s="1"/>
  <c r="R260" i="20" a="1"/>
  <c r="R260" i="20" s="1"/>
  <c r="Q261" i="20" a="1"/>
  <c r="Q261" i="20" s="1"/>
  <c r="R261" i="20" a="1"/>
  <c r="R261" i="20" s="1"/>
  <c r="Q262" i="20" a="1"/>
  <c r="Q262" i="20" s="1"/>
  <c r="R262" i="20" a="1"/>
  <c r="R262" i="20" s="1"/>
  <c r="Q263" i="20" a="1"/>
  <c r="Q263" i="20" s="1"/>
  <c r="R263" i="20" a="1"/>
  <c r="R263" i="20" s="1"/>
  <c r="R264" i="20" a="1"/>
  <c r="R264" i="20" s="1"/>
  <c r="Q264" i="20" a="1"/>
  <c r="Q264" i="20" s="1"/>
  <c r="Q265" i="20" a="1"/>
  <c r="Q265" i="20" s="1"/>
  <c r="R265" i="20" a="1"/>
  <c r="R265" i="20" s="1"/>
  <c r="Q266" i="20" a="1"/>
  <c r="Q266" i="20" s="1"/>
  <c r="R266" i="20" a="1"/>
  <c r="R266" i="20" s="1"/>
  <c r="Q267" i="20" a="1"/>
  <c r="Q267" i="20" s="1"/>
  <c r="R267" i="20" a="1"/>
  <c r="R267" i="20" s="1"/>
  <c r="R268" i="20" a="1"/>
  <c r="R268" i="20" s="1"/>
  <c r="Q268" i="20" a="1"/>
  <c r="Q268" i="20" s="1"/>
  <c r="Q269" i="20" a="1"/>
  <c r="Q269" i="20" s="1"/>
  <c r="R269" i="20" a="1"/>
  <c r="R269" i="20" s="1"/>
  <c r="Q270" i="20" a="1"/>
  <c r="Q270" i="20" s="1"/>
  <c r="R270" i="20" a="1"/>
  <c r="R270" i="20" s="1"/>
  <c r="Q271" i="20" a="1"/>
  <c r="Q271" i="20" s="1"/>
  <c r="R271" i="20" a="1"/>
  <c r="R271" i="20" s="1"/>
  <c r="Q272" i="20" a="1"/>
  <c r="Q272" i="20" s="1"/>
  <c r="R272" i="20" a="1"/>
  <c r="R272" i="20" s="1"/>
  <c r="Q273" i="20" a="1"/>
  <c r="Q273" i="20" s="1"/>
  <c r="R273" i="20" a="1"/>
  <c r="R273" i="20" s="1"/>
  <c r="Q274" i="20" a="1"/>
  <c r="Q274" i="20" s="1"/>
  <c r="R274" i="20" a="1"/>
  <c r="R274" i="20" s="1"/>
  <c r="Q275" i="20" a="1"/>
  <c r="Q275" i="20" s="1"/>
  <c r="R275" i="20" a="1"/>
  <c r="R275" i="20" s="1"/>
  <c r="Q276" i="20" a="1"/>
  <c r="Q276" i="20" s="1"/>
  <c r="R276" i="20" a="1"/>
  <c r="R276" i="20" s="1"/>
  <c r="R277" i="20" a="1"/>
  <c r="R277" i="20" s="1"/>
  <c r="Q277" i="20" a="1"/>
  <c r="Q277" i="20" s="1"/>
  <c r="Q278" i="20" a="1"/>
  <c r="Q278" i="20" s="1"/>
  <c r="R278" i="20" a="1"/>
  <c r="R278" i="20" s="1"/>
  <c r="Q279" i="20" a="1"/>
  <c r="Q279" i="20" s="1"/>
  <c r="R279" i="20" a="1"/>
  <c r="R279" i="20" s="1"/>
  <c r="Q280" i="20" a="1"/>
  <c r="Q280" i="20" s="1"/>
  <c r="R280" i="20" a="1"/>
  <c r="R280" i="20" s="1"/>
  <c r="Q281" i="20" a="1"/>
  <c r="Q281" i="20" s="1"/>
  <c r="R281" i="20" a="1"/>
  <c r="R281" i="20" s="1"/>
  <c r="Q282" i="20" a="1"/>
  <c r="Q282" i="20" s="1"/>
  <c r="R282" i="20" a="1"/>
  <c r="R282" i="20" s="1"/>
  <c r="Q283" i="20" a="1"/>
  <c r="Q283" i="20" s="1"/>
  <c r="R283" i="20" a="1"/>
  <c r="R283" i="20" s="1"/>
  <c r="R284" i="20" a="1"/>
  <c r="R284" i="20" s="1"/>
  <c r="Q284" i="20" a="1"/>
  <c r="Q284" i="20" s="1"/>
  <c r="Q285" i="20" a="1"/>
  <c r="Q285" i="20" s="1"/>
  <c r="R285" i="20" a="1"/>
  <c r="R285" i="20" s="1"/>
  <c r="Q286" i="20" a="1"/>
  <c r="Q286" i="20" s="1"/>
  <c r="R286" i="20" a="1"/>
  <c r="R286" i="20" s="1"/>
  <c r="Q287" i="20" a="1"/>
  <c r="Q287" i="20" s="1"/>
  <c r="R287" i="20" a="1"/>
  <c r="R287" i="20" s="1"/>
  <c r="Q288" i="20" a="1"/>
  <c r="Q288" i="20" s="1"/>
  <c r="R288" i="20" a="1"/>
  <c r="R288" i="20" s="1"/>
  <c r="Q289" i="20" a="1"/>
  <c r="Q289" i="20" s="1"/>
  <c r="R289" i="20" a="1"/>
  <c r="R289" i="20" s="1"/>
  <c r="Q290" i="20" a="1"/>
  <c r="Q290" i="20" s="1"/>
  <c r="R290" i="20" a="1"/>
  <c r="R290" i="20" s="1"/>
  <c r="Q291" i="20" a="1"/>
  <c r="Q291" i="20" s="1"/>
  <c r="R291" i="20" a="1"/>
  <c r="R291" i="20" s="1"/>
  <c r="R292" i="20" a="1"/>
  <c r="R292" i="20" s="1"/>
  <c r="Q292" i="20" a="1"/>
  <c r="Q292" i="20" s="1"/>
  <c r="Q293" i="20" a="1"/>
  <c r="Q293" i="20" s="1"/>
  <c r="R293" i="20" a="1"/>
  <c r="R293" i="20" s="1"/>
  <c r="Q294" i="20" a="1"/>
  <c r="Q294" i="20" s="1"/>
  <c r="R294" i="20" a="1"/>
  <c r="R294" i="20" s="1"/>
  <c r="Q295" i="20" a="1"/>
  <c r="Q295" i="20" s="1"/>
  <c r="R295" i="20" a="1"/>
  <c r="R295" i="20" s="1"/>
  <c r="Q296" i="20" a="1"/>
  <c r="Q296" i="20" s="1"/>
  <c r="R296" i="20" a="1"/>
  <c r="R296" i="20" s="1"/>
  <c r="Q297" i="20" a="1"/>
  <c r="Q297" i="20" s="1"/>
  <c r="R297" i="20" a="1"/>
  <c r="R297" i="20" s="1"/>
  <c r="Q298" i="20" a="1"/>
  <c r="Q298" i="20" s="1"/>
  <c r="R298" i="20" a="1"/>
  <c r="R298" i="20" s="1"/>
  <c r="Q299" i="20" a="1"/>
  <c r="Q299" i="20" s="1"/>
  <c r="R299" i="20" a="1"/>
  <c r="R299" i="20" s="1"/>
  <c r="Q300" i="20" a="1"/>
  <c r="Q300" i="20" s="1"/>
  <c r="R300" i="20" a="1"/>
  <c r="R300" i="20" s="1"/>
  <c r="Q301" i="20" a="1"/>
  <c r="Q301" i="20" s="1"/>
  <c r="R301" i="20" a="1"/>
  <c r="R301" i="20" s="1"/>
  <c r="R302" i="20" a="1"/>
  <c r="R302" i="20" s="1"/>
  <c r="Q302" i="20" a="1"/>
  <c r="Q302" i="20" s="1"/>
  <c r="Q303" i="20" a="1"/>
  <c r="Q303" i="20" s="1"/>
  <c r="R303" i="20" a="1"/>
  <c r="R303" i="20" s="1"/>
  <c r="Q304" i="20" a="1"/>
  <c r="Q304" i="20" s="1"/>
  <c r="R304" i="20" a="1"/>
  <c r="R304" i="20" s="1"/>
  <c r="Q305" i="20" a="1"/>
  <c r="Q305" i="20" s="1"/>
  <c r="R305" i="20" a="1"/>
  <c r="R305" i="20" s="1"/>
  <c r="Q306" i="20" a="1"/>
  <c r="Q306" i="20" s="1"/>
  <c r="R306" i="20" a="1"/>
  <c r="R306" i="20" s="1"/>
  <c r="Q307" i="20" a="1"/>
  <c r="Q307" i="20" s="1"/>
  <c r="R307" i="20" a="1"/>
  <c r="R307" i="20" s="1"/>
  <c r="Q308" i="20" a="1"/>
  <c r="Q308" i="20" s="1"/>
  <c r="R308" i="20" a="1"/>
  <c r="R308" i="20" s="1"/>
  <c r="Q309" i="20" a="1"/>
  <c r="Q309" i="20" s="1"/>
  <c r="R309" i="20" a="1"/>
  <c r="R309" i="20" s="1"/>
  <c r="R310" i="20" a="1"/>
  <c r="R310" i="20" s="1"/>
  <c r="Q310" i="20" a="1"/>
  <c r="Q310" i="20" s="1"/>
  <c r="Q311" i="20" a="1"/>
  <c r="Q311" i="20" s="1"/>
  <c r="R311" i="20" a="1"/>
  <c r="R311" i="20" s="1"/>
  <c r="Q312" i="20" a="1"/>
  <c r="Q312" i="20" s="1"/>
  <c r="R312" i="20" a="1"/>
  <c r="R312" i="20" s="1"/>
  <c r="Q313" i="20" a="1"/>
  <c r="Q313" i="20" s="1"/>
  <c r="R313" i="20" a="1"/>
  <c r="R313" i="20" s="1"/>
  <c r="Q314" i="20" a="1"/>
  <c r="Q314" i="20" s="1"/>
  <c r="R314" i="20" a="1"/>
  <c r="R314" i="20" s="1"/>
  <c r="Q315" i="20" a="1"/>
  <c r="Q315" i="20" s="1"/>
  <c r="R315" i="20" a="1"/>
  <c r="R315" i="20" s="1"/>
  <c r="Q316" i="20" a="1"/>
  <c r="Q316" i="20" s="1"/>
  <c r="R316" i="20" a="1"/>
  <c r="R316" i="20" s="1"/>
  <c r="Q317" i="20" a="1"/>
  <c r="Q317" i="20" s="1"/>
  <c r="R317" i="20" a="1"/>
  <c r="R317" i="20" s="1"/>
  <c r="Q318" i="20" a="1"/>
  <c r="Q318" i="20" s="1"/>
  <c r="R318" i="20" a="1"/>
  <c r="R318" i="20" s="1"/>
  <c r="Q319" i="20" a="1"/>
  <c r="Q319" i="20" s="1"/>
  <c r="R319" i="20" a="1"/>
  <c r="R319" i="20" s="1"/>
  <c r="R320" i="20" a="1"/>
  <c r="R320" i="20" s="1"/>
  <c r="Q320" i="20" a="1"/>
  <c r="Q320" i="20" s="1"/>
  <c r="Q321" i="20" a="1"/>
  <c r="Q321" i="20" s="1"/>
  <c r="R321" i="20" a="1"/>
  <c r="R321" i="20" s="1"/>
  <c r="Q322" i="20" a="1"/>
  <c r="Q322" i="20" s="1"/>
  <c r="R322" i="20" a="1"/>
  <c r="R322" i="20" s="1"/>
  <c r="Q323" i="20" a="1"/>
  <c r="Q323" i="20" s="1"/>
  <c r="R323" i="20" a="1"/>
  <c r="R323" i="20" s="1"/>
  <c r="Q324" i="20" a="1"/>
  <c r="Q324" i="20" s="1"/>
  <c r="R324" i="20" a="1"/>
  <c r="R324" i="20" s="1"/>
  <c r="Q325" i="20" a="1"/>
  <c r="Q325" i="20" s="1"/>
  <c r="R325" i="20" a="1"/>
  <c r="R325" i="20" s="1"/>
  <c r="Q326" i="20" a="1"/>
  <c r="Q326" i="20" s="1"/>
  <c r="R326" i="20" a="1"/>
  <c r="R326" i="20" s="1"/>
  <c r="Q327" i="20" a="1"/>
  <c r="Q327" i="20" s="1"/>
  <c r="R327" i="20" a="1"/>
  <c r="R327" i="20" s="1"/>
  <c r="Q328" i="20" a="1"/>
  <c r="Q328" i="20" s="1"/>
  <c r="R328" i="20" a="1"/>
  <c r="R328" i="20" s="1"/>
  <c r="R329" i="20" a="1"/>
  <c r="R329" i="20" s="1"/>
  <c r="Q329" i="20" a="1"/>
  <c r="Q329" i="20" s="1"/>
  <c r="Q330" i="20" a="1"/>
  <c r="Q330" i="20" s="1"/>
  <c r="R330" i="20" a="1"/>
  <c r="R330" i="20" s="1"/>
  <c r="Q331" i="20" a="1"/>
  <c r="Q331" i="20" s="1"/>
  <c r="R331" i="20" a="1"/>
  <c r="R331" i="20" s="1"/>
  <c r="Q332" i="20" a="1"/>
  <c r="Q332" i="20" s="1"/>
  <c r="R332" i="20" a="1"/>
  <c r="R332" i="20" s="1"/>
  <c r="Q333" i="20" a="1"/>
  <c r="Q333" i="20" s="1"/>
  <c r="R333" i="20" a="1"/>
  <c r="R333" i="20" s="1"/>
  <c r="Q334" i="20" a="1"/>
  <c r="Q334" i="20" s="1"/>
  <c r="R334" i="20" a="1"/>
  <c r="R334" i="20" s="1"/>
  <c r="Q335" i="20" a="1"/>
  <c r="Q335" i="20" s="1"/>
  <c r="R335" i="20" a="1"/>
  <c r="R335" i="20" s="1"/>
  <c r="R336" i="20" a="1"/>
  <c r="R336" i="20" s="1"/>
  <c r="Q336" i="20" a="1"/>
  <c r="Q336" i="20" s="1"/>
  <c r="Q337" i="20" a="1"/>
  <c r="Q337" i="20" s="1"/>
  <c r="R337" i="20" a="1"/>
  <c r="R337" i="20" s="1"/>
  <c r="Q338" i="20" a="1"/>
  <c r="Q338" i="20" s="1"/>
  <c r="R338" i="20" a="1"/>
  <c r="R338" i="20" s="1"/>
  <c r="Q339" i="20" a="1"/>
  <c r="Q339" i="20" s="1"/>
  <c r="R339" i="20" a="1"/>
  <c r="R339" i="20" s="1"/>
  <c r="Q340" i="20" a="1"/>
  <c r="Q340" i="20" s="1"/>
  <c r="R340" i="20" a="1"/>
  <c r="R340" i="20" s="1"/>
  <c r="Q341" i="20" a="1"/>
  <c r="Q341" i="20" s="1"/>
  <c r="R341" i="20" a="1"/>
  <c r="R341" i="20" s="1"/>
  <c r="Q342" i="20" a="1"/>
  <c r="Q342" i="20" s="1"/>
  <c r="R342" i="20" a="1"/>
  <c r="R342" i="20" s="1"/>
  <c r="Q343" i="20" a="1"/>
  <c r="Q343" i="20" s="1"/>
  <c r="R343" i="20" a="1"/>
  <c r="R343" i="20" s="1"/>
  <c r="Q344" i="20" a="1"/>
  <c r="Q344" i="20" s="1"/>
  <c r="R344" i="20" a="1"/>
  <c r="R344" i="20" s="1"/>
  <c r="R345" i="20" a="1"/>
  <c r="R345" i="20" s="1"/>
  <c r="Q345" i="20" a="1"/>
  <c r="Q345" i="20" s="1"/>
  <c r="Q346" i="20" a="1"/>
  <c r="Q346" i="20" s="1"/>
  <c r="R346" i="20" a="1"/>
  <c r="R346" i="20" s="1"/>
  <c r="Q347" i="20" a="1"/>
  <c r="Q347" i="20" s="1"/>
  <c r="R347" i="20" a="1"/>
  <c r="R347" i="20" s="1"/>
  <c r="Q348" i="20" a="1"/>
  <c r="Q348" i="20" s="1"/>
  <c r="R348" i="20" a="1"/>
  <c r="R348" i="20" s="1"/>
  <c r="Q349" i="20" a="1"/>
  <c r="Q349" i="20" s="1"/>
  <c r="R349" i="20" a="1"/>
  <c r="R349" i="20" s="1"/>
  <c r="Q350" i="20" a="1"/>
  <c r="Q350" i="20" s="1"/>
  <c r="R350" i="20" a="1"/>
  <c r="R350" i="20" s="1"/>
  <c r="Q351" i="20" a="1"/>
  <c r="Q351" i="20" s="1"/>
  <c r="R351" i="20" a="1"/>
  <c r="R351" i="20" s="1"/>
  <c r="Q352" i="20" a="1"/>
  <c r="Q352" i="20" s="1"/>
  <c r="R352" i="20" a="1"/>
  <c r="R352" i="20" s="1"/>
  <c r="Q353" i="20" a="1"/>
  <c r="Q353" i="20" s="1"/>
  <c r="R353" i="20" a="1"/>
  <c r="R353" i="20" s="1"/>
  <c r="Q354" i="20" a="1"/>
  <c r="Q354" i="20" s="1"/>
  <c r="R354" i="20" a="1"/>
  <c r="R354" i="20" s="1"/>
  <c r="R355" i="20" a="1"/>
  <c r="R355" i="20" s="1"/>
  <c r="Q355" i="20" a="1"/>
  <c r="Q355" i="20" s="1"/>
  <c r="Q356" i="20" a="1"/>
  <c r="Q356" i="20" s="1"/>
  <c r="R356" i="20" a="1"/>
  <c r="R356" i="20" s="1"/>
  <c r="Q357" i="20" a="1"/>
  <c r="Q357" i="20" s="1"/>
  <c r="R357" i="20" a="1"/>
  <c r="R357" i="20" s="1"/>
  <c r="Q358" i="20" a="1"/>
  <c r="Q358" i="20" s="1"/>
  <c r="R358" i="20" a="1"/>
  <c r="R358" i="20" s="1"/>
  <c r="Q359" i="20" a="1"/>
  <c r="Q359" i="20" s="1"/>
  <c r="R359" i="20" a="1"/>
  <c r="R359" i="20" s="1"/>
  <c r="Q360" i="20" a="1"/>
  <c r="Q360" i="20" s="1"/>
  <c r="R360" i="20" a="1"/>
  <c r="R360" i="20" s="1"/>
  <c r="Q361" i="20" a="1"/>
  <c r="Q361" i="20" s="1"/>
  <c r="R361" i="20" a="1"/>
  <c r="R361" i="20" s="1"/>
  <c r="Q362" i="20" a="1"/>
  <c r="Q362" i="20" s="1"/>
  <c r="R362" i="20" a="1"/>
  <c r="R362" i="20" s="1"/>
  <c r="Q363" i="20" a="1"/>
  <c r="Q363" i="20" s="1"/>
  <c r="R363" i="20" a="1"/>
  <c r="R363" i="20" s="1"/>
  <c r="Q364" i="20" a="1"/>
  <c r="Q364" i="20" s="1"/>
  <c r="R364" i="20" a="1"/>
  <c r="R364" i="20" s="1"/>
  <c r="Q365" i="20" a="1"/>
  <c r="Q365" i="20" s="1"/>
  <c r="R365" i="20" a="1"/>
  <c r="R365" i="20" s="1"/>
  <c r="Q366" i="20" a="1"/>
  <c r="Q366" i="20" s="1"/>
  <c r="R366" i="20" a="1"/>
  <c r="R366" i="20" s="1"/>
  <c r="Q367" i="20" a="1"/>
  <c r="Q367" i="20" s="1"/>
  <c r="R367" i="20" a="1"/>
  <c r="R367" i="20" s="1"/>
  <c r="Q368" i="20" a="1"/>
  <c r="Q368" i="20" s="1"/>
  <c r="R368" i="20" a="1"/>
  <c r="R368" i="20" s="1"/>
  <c r="Q369" i="20" a="1"/>
  <c r="Q369" i="20" s="1"/>
  <c r="R369" i="20" a="1"/>
  <c r="R369" i="20" s="1"/>
  <c r="R370" i="20" a="1"/>
  <c r="R370" i="20" s="1"/>
  <c r="Q370" i="20" a="1"/>
  <c r="Q370" i="20" s="1"/>
  <c r="Q371" i="20" a="1"/>
  <c r="Q371" i="20" s="1"/>
  <c r="R371" i="20" a="1"/>
  <c r="R371" i="20" s="1"/>
  <c r="Q372" i="20" a="1"/>
  <c r="Q372" i="20" s="1"/>
  <c r="R372" i="20" a="1"/>
  <c r="R372" i="20" s="1"/>
  <c r="Q373" i="20" a="1"/>
  <c r="Q373" i="20" s="1"/>
  <c r="R373" i="20" a="1"/>
  <c r="R373" i="20" s="1"/>
  <c r="Q374" i="20" a="1"/>
  <c r="Q374" i="20" s="1"/>
  <c r="R374" i="20" a="1"/>
  <c r="R374" i="20" s="1"/>
  <c r="Q375" i="20" a="1"/>
  <c r="Q375" i="20" s="1"/>
  <c r="R375" i="20" a="1"/>
  <c r="R375" i="20" s="1"/>
  <c r="Q376" i="20" a="1"/>
  <c r="Q376" i="20" s="1"/>
  <c r="R376" i="20" a="1"/>
  <c r="R376" i="20" s="1"/>
  <c r="Q377" i="20" a="1"/>
  <c r="Q377" i="20" s="1"/>
  <c r="R377" i="20" a="1"/>
  <c r="R377" i="20" s="1"/>
  <c r="Q378" i="20" a="1"/>
  <c r="Q378" i="20" s="1"/>
  <c r="R378" i="20" a="1"/>
  <c r="R378" i="20" s="1"/>
  <c r="Q379" i="20" a="1"/>
  <c r="Q379" i="20" s="1"/>
  <c r="R379" i="20" a="1"/>
  <c r="R379" i="20" s="1"/>
  <c r="Q380" i="20" a="1"/>
  <c r="Q380" i="20" s="1"/>
  <c r="R380" i="20" a="1"/>
  <c r="R380" i="20" s="1"/>
  <c r="Q381" i="20" a="1"/>
  <c r="Q381" i="20" s="1"/>
  <c r="R381" i="20" a="1"/>
  <c r="R381" i="20" s="1"/>
  <c r="Q382" i="20" a="1"/>
  <c r="Q382" i="20" s="1"/>
  <c r="R382" i="20" a="1"/>
  <c r="R382" i="20" s="1"/>
  <c r="R383" i="20" a="1"/>
  <c r="R383" i="20" s="1"/>
  <c r="Q383" i="20" a="1"/>
  <c r="Q383" i="20" s="1"/>
  <c r="Q384" i="20" a="1"/>
  <c r="Q384" i="20" s="1"/>
  <c r="R384" i="20" a="1"/>
  <c r="R384" i="20" s="1"/>
  <c r="Q385" i="20" a="1"/>
  <c r="Q385" i="20" s="1"/>
  <c r="R385" i="20" a="1"/>
  <c r="R385" i="20" s="1"/>
  <c r="Q386" i="20" a="1"/>
  <c r="Q386" i="20" s="1"/>
  <c r="R386" i="20" a="1"/>
  <c r="R386" i="20" s="1"/>
  <c r="Q387" i="20" a="1"/>
  <c r="Q387" i="20" s="1"/>
  <c r="R387" i="20" a="1"/>
  <c r="R387" i="20" s="1"/>
  <c r="Q388" i="20" a="1"/>
  <c r="Q388" i="20" s="1"/>
  <c r="R388" i="20" a="1"/>
  <c r="R388" i="20" s="1"/>
  <c r="Q389" i="20" a="1"/>
  <c r="Q389" i="20" s="1"/>
  <c r="R389" i="20" a="1"/>
  <c r="R389" i="20" s="1"/>
  <c r="Q390" i="20" a="1"/>
  <c r="Q390" i="20" s="1"/>
  <c r="R390" i="20" a="1"/>
  <c r="R390" i="20" s="1"/>
  <c r="Q391" i="20" a="1"/>
  <c r="Q391" i="20" s="1"/>
  <c r="R391" i="20" a="1"/>
  <c r="R391" i="20" s="1"/>
  <c r="Q392" i="20" a="1"/>
  <c r="Q392" i="20" s="1"/>
  <c r="R392" i="20" a="1"/>
  <c r="R392" i="20" s="1"/>
  <c r="Q393" i="20" a="1"/>
  <c r="Q393" i="20" s="1"/>
  <c r="R393" i="20" a="1"/>
  <c r="R393" i="20" s="1"/>
  <c r="Q394" i="20" a="1"/>
  <c r="Q394" i="20" s="1"/>
  <c r="R394" i="20" a="1"/>
  <c r="R394" i="20" s="1"/>
  <c r="Q395" i="20" a="1"/>
  <c r="Q395" i="20" s="1"/>
  <c r="R395" i="20" a="1"/>
  <c r="R395" i="20" s="1"/>
  <c r="Q396" i="20" a="1"/>
  <c r="Q396" i="20" s="1"/>
  <c r="R396" i="20" a="1"/>
  <c r="R396" i="20" s="1"/>
  <c r="R397" i="20" a="1"/>
  <c r="R397" i="20" s="1"/>
  <c r="Q397" i="20" a="1"/>
  <c r="Q397" i="20" s="1"/>
  <c r="Q398" i="20" a="1"/>
  <c r="Q398" i="20" s="1"/>
  <c r="R398" i="20" a="1"/>
  <c r="R398" i="20" s="1"/>
  <c r="Q399" i="20" a="1"/>
  <c r="Q399" i="20" s="1"/>
  <c r="R399" i="20" a="1"/>
  <c r="R399" i="20" s="1"/>
  <c r="Q400" i="20" a="1"/>
  <c r="Q400" i="20" s="1"/>
  <c r="R400" i="20" a="1"/>
  <c r="R400" i="20" s="1"/>
  <c r="Q401" i="20" a="1"/>
  <c r="Q401" i="20" s="1"/>
  <c r="R401" i="20" a="1"/>
  <c r="R401" i="20" s="1"/>
  <c r="Q402" i="20" a="1"/>
  <c r="Q402" i="20" s="1"/>
  <c r="R402" i="20" a="1"/>
  <c r="R402" i="20" s="1"/>
  <c r="Q403" i="20" a="1"/>
  <c r="Q403" i="20" s="1"/>
  <c r="R403" i="20" a="1"/>
  <c r="R403" i="20" s="1"/>
  <c r="Q404" i="20" a="1"/>
  <c r="Q404" i="20" s="1"/>
  <c r="R404" i="20" a="1"/>
  <c r="R404" i="20" s="1"/>
  <c r="Q405" i="20" a="1"/>
  <c r="Q405" i="20" s="1"/>
  <c r="R405" i="20" a="1"/>
  <c r="R405" i="20" s="1"/>
  <c r="Q406" i="20" a="1"/>
  <c r="Q406" i="20" s="1"/>
  <c r="R406" i="20" a="1"/>
  <c r="R406" i="20" s="1"/>
  <c r="Q407" i="20" a="1"/>
  <c r="Q407" i="20" s="1"/>
  <c r="R407" i="20" a="1"/>
  <c r="R407" i="20" s="1"/>
  <c r="R408" i="20" a="1"/>
  <c r="R408" i="20" s="1"/>
  <c r="Q408" i="20" a="1"/>
  <c r="Q408" i="20" s="1"/>
  <c r="Q409" i="20" a="1"/>
  <c r="Q409" i="20" s="1"/>
  <c r="R409" i="20" a="1"/>
  <c r="R409" i="20" s="1"/>
  <c r="Q410" i="20" a="1"/>
  <c r="Q410" i="20" s="1"/>
  <c r="R410" i="20" a="1"/>
  <c r="R410" i="20" s="1"/>
  <c r="Q411" i="20" a="1"/>
  <c r="Q411" i="20" s="1"/>
  <c r="R411" i="20" a="1"/>
  <c r="R411" i="20" s="1"/>
  <c r="Q412" i="20" a="1"/>
  <c r="Q412" i="20" s="1"/>
  <c r="R412" i="20" a="1"/>
  <c r="R412" i="20" s="1"/>
  <c r="Q413" i="20" a="1"/>
  <c r="Q413" i="20" s="1"/>
  <c r="R413" i="20" a="1"/>
  <c r="R413" i="20" s="1"/>
  <c r="Q414" i="20" a="1"/>
  <c r="Q414" i="20" s="1"/>
  <c r="R414" i="20" a="1"/>
  <c r="R414" i="20" s="1"/>
  <c r="Q415" i="20" a="1"/>
  <c r="Q415" i="20" s="1"/>
  <c r="R415" i="20" a="1"/>
  <c r="R415" i="20" s="1"/>
  <c r="Q416" i="20" a="1"/>
  <c r="Q416" i="20" s="1"/>
  <c r="R416" i="20" a="1"/>
  <c r="R416" i="20" s="1"/>
  <c r="Q417" i="20" a="1"/>
  <c r="Q417" i="20" s="1"/>
  <c r="R417" i="20" a="1"/>
  <c r="R417" i="20" s="1"/>
  <c r="Q418" i="20" a="1"/>
  <c r="Q418" i="20" s="1"/>
  <c r="R418" i="20" a="1"/>
  <c r="R418" i="20" s="1"/>
  <c r="Q419" i="20" a="1"/>
  <c r="Q419" i="20" s="1"/>
  <c r="R419" i="20" a="1"/>
  <c r="R419" i="20" s="1"/>
  <c r="Q420" i="20" a="1"/>
  <c r="Q420" i="20" s="1"/>
  <c r="R420" i="20" a="1"/>
  <c r="R420" i="20" s="1"/>
  <c r="R421" i="20" a="1"/>
  <c r="R421" i="20" s="1"/>
  <c r="Q421" i="20" a="1"/>
  <c r="Q421" i="20" s="1"/>
  <c r="Q422" i="20" a="1"/>
  <c r="Q422" i="20" s="1"/>
  <c r="R422" i="20" a="1"/>
  <c r="R422" i="20" s="1"/>
  <c r="Q423" i="20" a="1"/>
  <c r="Q423" i="20" s="1"/>
  <c r="R423" i="20" a="1"/>
  <c r="R423" i="20" s="1"/>
  <c r="Q424" i="20" a="1"/>
  <c r="Q424" i="20" s="1"/>
  <c r="R424" i="20" a="1"/>
  <c r="R424" i="20" s="1"/>
  <c r="Q425" i="20" a="1"/>
  <c r="Q425" i="20" s="1"/>
  <c r="R425" i="20" a="1"/>
  <c r="R425" i="20" s="1"/>
  <c r="Q426" i="20" a="1"/>
  <c r="Q426" i="20" s="1"/>
  <c r="R426" i="20" a="1"/>
  <c r="R426" i="20" s="1"/>
  <c r="Q427" i="20" a="1"/>
  <c r="Q427" i="20" s="1"/>
  <c r="R427" i="20" a="1"/>
  <c r="R427" i="20" s="1"/>
  <c r="Q428" i="20" a="1"/>
  <c r="Q428" i="20" s="1"/>
  <c r="R428" i="20" a="1"/>
  <c r="R428" i="20" s="1"/>
  <c r="Q429" i="20" a="1"/>
  <c r="Q429" i="20" s="1"/>
  <c r="R429" i="20" a="1"/>
  <c r="R429" i="20" s="1"/>
  <c r="Q430" i="20" a="1"/>
  <c r="Q430" i="20" s="1"/>
  <c r="R430" i="20" a="1"/>
  <c r="R430" i="20" s="1"/>
  <c r="Q431" i="20" a="1"/>
  <c r="Q431" i="20" s="1"/>
  <c r="R431" i="20" a="1"/>
  <c r="R431" i="20" s="1"/>
  <c r="R432" i="20" a="1"/>
  <c r="R432" i="20" s="1"/>
  <c r="Q432" i="20" a="1"/>
  <c r="Q432" i="20" s="1"/>
  <c r="Q433" i="20" a="1"/>
  <c r="Q433" i="20" s="1"/>
  <c r="R433" i="20" a="1"/>
  <c r="R433" i="20" s="1"/>
  <c r="Q434" i="20" a="1"/>
  <c r="Q434" i="20" s="1"/>
  <c r="R434" i="20" a="1"/>
  <c r="R434" i="20" s="1"/>
  <c r="Q435" i="20" a="1"/>
  <c r="Q435" i="20" s="1"/>
  <c r="R435" i="20" a="1"/>
  <c r="R435" i="20" s="1"/>
  <c r="Q436" i="20" a="1"/>
  <c r="Q436" i="20" s="1"/>
  <c r="R436" i="20" a="1"/>
  <c r="R436" i="20" s="1"/>
  <c r="Q437" i="20" a="1"/>
  <c r="Q437" i="20" s="1"/>
  <c r="R437" i="20" a="1"/>
  <c r="R437" i="20" s="1"/>
  <c r="Q438" i="20" a="1"/>
  <c r="Q438" i="20" s="1"/>
  <c r="R438" i="20" a="1"/>
  <c r="R438" i="20" s="1"/>
  <c r="Q439" i="20" a="1"/>
  <c r="Q439" i="20" s="1"/>
  <c r="R439" i="20" a="1"/>
  <c r="R439" i="20" s="1"/>
  <c r="Q440" i="20" a="1"/>
  <c r="Q440" i="20" s="1"/>
  <c r="R440" i="20" a="1"/>
  <c r="R440" i="20" s="1"/>
  <c r="Q441" i="20" a="1"/>
  <c r="Q441" i="20" s="1"/>
  <c r="R441" i="20" a="1"/>
  <c r="R441" i="20" s="1"/>
  <c r="Q442" i="20" a="1"/>
  <c r="Q442" i="20" s="1"/>
  <c r="R442" i="20" a="1"/>
  <c r="R442" i="20" s="1"/>
  <c r="R443" i="20" a="1"/>
  <c r="R443" i="20" s="1"/>
  <c r="Q443" i="20" a="1"/>
  <c r="Q443" i="20" s="1"/>
  <c r="Q444" i="20" a="1"/>
  <c r="Q444" i="20" s="1"/>
  <c r="R444" i="20" a="1"/>
  <c r="R444" i="20" s="1"/>
  <c r="Q445" i="20" a="1"/>
  <c r="Q445" i="20" s="1"/>
  <c r="R445" i="20" a="1"/>
  <c r="R445" i="20" s="1"/>
  <c r="Q446" i="20" a="1"/>
  <c r="Q446" i="20" s="1"/>
  <c r="R446" i="20" a="1"/>
  <c r="R446" i="20" s="1"/>
  <c r="Q447" i="20" a="1"/>
  <c r="Q447" i="20" s="1"/>
  <c r="R447" i="20" a="1"/>
  <c r="R447" i="20" s="1"/>
  <c r="Q448" i="20" a="1"/>
  <c r="Q448" i="20" s="1"/>
  <c r="R448" i="20" a="1"/>
  <c r="R448" i="20" s="1"/>
  <c r="Q449" i="20" a="1"/>
  <c r="Q449" i="20" s="1"/>
  <c r="R449" i="20" a="1"/>
  <c r="R449" i="20" s="1"/>
  <c r="Q450" i="20" a="1"/>
  <c r="Q450" i="20" s="1"/>
  <c r="R450" i="20" a="1"/>
  <c r="R450" i="20" s="1"/>
  <c r="Q451" i="20" a="1"/>
  <c r="Q451" i="20" s="1"/>
  <c r="R451" i="20" a="1"/>
  <c r="R451" i="20" s="1"/>
  <c r="Q452" i="20" a="1"/>
  <c r="Q452" i="20" s="1"/>
  <c r="R452" i="20" a="1"/>
  <c r="R452" i="20" s="1"/>
  <c r="Q453" i="20" a="1"/>
  <c r="Q453" i="20" s="1"/>
  <c r="R453" i="20" a="1"/>
  <c r="R453" i="20" s="1"/>
  <c r="Q454" i="20" a="1"/>
  <c r="Q454" i="20" s="1"/>
  <c r="R454" i="20" a="1"/>
  <c r="R454" i="20" s="1"/>
  <c r="Q455" i="20" a="1"/>
  <c r="Q455" i="20" s="1"/>
  <c r="R455" i="20" a="1"/>
  <c r="R455" i="20" s="1"/>
  <c r="Q456" i="20" a="1"/>
  <c r="Q456" i="20" s="1"/>
  <c r="R456" i="20" a="1"/>
  <c r="R456" i="20" s="1"/>
  <c r="R457" i="20" a="1"/>
  <c r="R457" i="20" s="1"/>
  <c r="Q457" i="20" a="1"/>
  <c r="Q457" i="20" s="1"/>
  <c r="Q458" i="20" a="1"/>
  <c r="Q458" i="20" s="1"/>
  <c r="R458" i="20" a="1"/>
  <c r="R458" i="20" s="1"/>
  <c r="Q459" i="20" a="1"/>
  <c r="Q459" i="20" s="1"/>
  <c r="R459" i="20" a="1"/>
  <c r="R459" i="20" s="1"/>
  <c r="Q460" i="20" a="1"/>
  <c r="Q460" i="20" s="1"/>
  <c r="R460" i="20" a="1"/>
  <c r="R460" i="20" s="1"/>
  <c r="Q461" i="20" a="1"/>
  <c r="Q461" i="20" s="1"/>
  <c r="R461" i="20" a="1"/>
  <c r="R461" i="20" s="1"/>
  <c r="Q462" i="20" a="1"/>
  <c r="Q462" i="20" s="1"/>
  <c r="R462" i="20" a="1"/>
  <c r="R462" i="20" s="1"/>
  <c r="Q463" i="20" a="1"/>
  <c r="Q463" i="20" s="1"/>
  <c r="R463" i="20" a="1"/>
  <c r="R463" i="20" s="1"/>
  <c r="Q464" i="20" a="1"/>
  <c r="Q464" i="20" s="1"/>
  <c r="R464" i="20" a="1"/>
  <c r="R464" i="20" s="1"/>
  <c r="Q465" i="20" a="1"/>
  <c r="Q465" i="20" s="1"/>
  <c r="R465" i="20" a="1"/>
  <c r="R465" i="20" s="1"/>
  <c r="Q466" i="20" a="1"/>
  <c r="Q466" i="20" s="1"/>
  <c r="R466" i="20" a="1"/>
  <c r="R466" i="20" s="1"/>
  <c r="Q467" i="20" a="1"/>
  <c r="Q467" i="20" s="1"/>
  <c r="R467" i="20" a="1"/>
  <c r="R467" i="20" s="1"/>
  <c r="Q468" i="20" a="1"/>
  <c r="Q468" i="20" s="1"/>
  <c r="R468" i="20" a="1"/>
  <c r="R468" i="20" s="1"/>
  <c r="Q469" i="20" a="1"/>
  <c r="Q469" i="20" s="1"/>
  <c r="R469" i="20" a="1"/>
  <c r="R469" i="20" s="1"/>
  <c r="Q470" i="20" a="1"/>
  <c r="Q470" i="20" s="1"/>
  <c r="R470" i="20" a="1"/>
  <c r="R470" i="20" s="1"/>
  <c r="Q471" i="20" a="1"/>
  <c r="Q471" i="20" s="1"/>
  <c r="R471" i="20" a="1"/>
  <c r="R471" i="20" s="1"/>
  <c r="R472" i="20" a="1"/>
  <c r="R472" i="20" s="1"/>
  <c r="Q472" i="20" a="1"/>
  <c r="Q472" i="20" s="1"/>
  <c r="Q473" i="20" a="1"/>
  <c r="Q473" i="20" s="1"/>
  <c r="R473" i="20" a="1"/>
  <c r="R473" i="20" s="1"/>
  <c r="Q474" i="20" a="1"/>
  <c r="Q474" i="20" s="1"/>
  <c r="R474" i="20" a="1"/>
  <c r="R474" i="20" s="1"/>
  <c r="Q475" i="20" a="1"/>
  <c r="Q475" i="20" s="1"/>
  <c r="R475" i="20" a="1"/>
  <c r="R475" i="20" s="1"/>
  <c r="Q476" i="20" a="1"/>
  <c r="Q476" i="20" s="1"/>
  <c r="R476" i="20" a="1"/>
  <c r="R476" i="20" s="1"/>
  <c r="Q477" i="20" a="1"/>
  <c r="Q477" i="20" s="1"/>
  <c r="R477" i="20" a="1"/>
  <c r="R477" i="20" s="1"/>
  <c r="Q478" i="20" a="1"/>
  <c r="Q478" i="20" s="1"/>
  <c r="R478" i="20" a="1"/>
  <c r="R478" i="20" s="1"/>
  <c r="Q479" i="20" a="1"/>
  <c r="Q479" i="20" s="1"/>
  <c r="R479" i="20" a="1"/>
  <c r="R479" i="20" s="1"/>
  <c r="Q480" i="20" a="1"/>
  <c r="Q480" i="20" s="1"/>
  <c r="R480" i="20" a="1"/>
  <c r="R480" i="20" s="1"/>
  <c r="Q481" i="20" a="1"/>
  <c r="Q481" i="20" s="1"/>
  <c r="R481" i="20" a="1"/>
  <c r="R481" i="20" s="1"/>
  <c r="Q482" i="20" a="1"/>
  <c r="Q482" i="20" s="1"/>
  <c r="R482" i="20" a="1"/>
  <c r="R482" i="20" s="1"/>
  <c r="Q483" i="20" a="1"/>
  <c r="Q483" i="20" s="1"/>
  <c r="R483" i="20" a="1"/>
  <c r="R483" i="20" s="1"/>
  <c r="R484" i="20" a="1"/>
  <c r="R484" i="20" s="1"/>
  <c r="Q484" i="20" a="1"/>
  <c r="Q484" i="20" s="1"/>
  <c r="Q485" i="20" a="1"/>
  <c r="Q485" i="20" s="1"/>
  <c r="R485" i="20" a="1"/>
  <c r="R485" i="20" s="1"/>
  <c r="Q486" i="20" a="1"/>
  <c r="Q486" i="20" s="1"/>
  <c r="R486" i="20" a="1"/>
  <c r="R486" i="20" s="1"/>
  <c r="Q487" i="20" a="1"/>
  <c r="Q487" i="20" s="1"/>
  <c r="R487" i="20" a="1"/>
  <c r="R487" i="20" s="1"/>
  <c r="Q488" i="20" a="1"/>
  <c r="Q488" i="20" s="1"/>
  <c r="R488" i="20" a="1"/>
  <c r="R488" i="20" s="1"/>
  <c r="Q489" i="20" a="1"/>
  <c r="Q489" i="20" s="1"/>
  <c r="R489" i="20" a="1"/>
  <c r="R489" i="20" s="1"/>
  <c r="Q490" i="20" a="1"/>
  <c r="Q490" i="20" s="1"/>
  <c r="R490" i="20" a="1"/>
  <c r="R490" i="20" s="1"/>
  <c r="Q491" i="20" a="1"/>
  <c r="Q491" i="20" s="1"/>
  <c r="R491" i="20" a="1"/>
  <c r="R491" i="20" s="1"/>
  <c r="Q492" i="20" a="1"/>
  <c r="Q492" i="20" s="1"/>
  <c r="R492" i="20" a="1"/>
  <c r="R492" i="20" s="1"/>
  <c r="Q493" i="20" a="1"/>
  <c r="Q493" i="20" s="1"/>
  <c r="R493" i="20" a="1"/>
  <c r="R493" i="20" s="1"/>
  <c r="Q494" i="20" a="1"/>
  <c r="Q494" i="20" s="1"/>
  <c r="R494" i="20" a="1"/>
  <c r="R494" i="20" s="1"/>
  <c r="R495" i="20" a="1"/>
  <c r="R495" i="20" s="1"/>
  <c r="Q495" i="20" a="1"/>
  <c r="Q495" i="20" s="1"/>
  <c r="Q496" i="20" a="1"/>
  <c r="Q496" i="20" s="1"/>
  <c r="R496" i="20" a="1"/>
  <c r="R496" i="20" s="1"/>
  <c r="Q497" i="20" a="1"/>
  <c r="Q497" i="20" s="1"/>
  <c r="R497" i="20" a="1"/>
  <c r="R497" i="20" s="1"/>
  <c r="Q498" i="20" a="1"/>
  <c r="Q498" i="20" s="1"/>
  <c r="R498" i="20" a="1"/>
  <c r="R498" i="20" s="1"/>
  <c r="Q499" i="20" a="1"/>
  <c r="Q499" i="20" s="1"/>
  <c r="R499" i="20" a="1"/>
  <c r="R499" i="20" s="1"/>
  <c r="Q500" i="20" a="1"/>
  <c r="Q500" i="20" s="1"/>
  <c r="R500" i="20" a="1"/>
  <c r="R500" i="20" s="1"/>
  <c r="Q501" i="20" a="1"/>
  <c r="Q501" i="20" s="1"/>
  <c r="R501" i="20" a="1"/>
  <c r="R501" i="20" s="1"/>
  <c r="Q502" i="20" a="1"/>
  <c r="Q502" i="20" s="1"/>
  <c r="R502" i="20" a="1"/>
  <c r="R502" i="20" s="1"/>
  <c r="Q503" i="20" a="1"/>
  <c r="Q503" i="20" s="1"/>
  <c r="R503" i="20" a="1"/>
  <c r="R503" i="20" s="1"/>
  <c r="Q504" i="20" a="1"/>
  <c r="Q504" i="20" s="1"/>
  <c r="R504" i="20" a="1"/>
  <c r="R504" i="20" s="1"/>
  <c r="Q505" i="20" a="1"/>
  <c r="Q505" i="20" s="1"/>
  <c r="R505" i="20" a="1"/>
  <c r="R505" i="20" s="1"/>
  <c r="Q506" i="20" a="1"/>
  <c r="Q506" i="20" s="1"/>
  <c r="R506" i="20" a="1"/>
  <c r="R506" i="20" s="1"/>
  <c r="R507" i="20" a="1"/>
  <c r="R507" i="20" s="1"/>
  <c r="Q507" i="20" a="1"/>
  <c r="Q507" i="20" s="1"/>
  <c r="Q508" i="20" a="1"/>
  <c r="Q508" i="20" s="1"/>
  <c r="R508" i="20" a="1"/>
  <c r="R508" i="20" s="1"/>
  <c r="Q509" i="20" a="1"/>
  <c r="Q509" i="20" s="1"/>
  <c r="R509" i="20" a="1"/>
  <c r="R509" i="20" s="1"/>
  <c r="Q510" i="20" a="1"/>
  <c r="Q510" i="20" s="1"/>
  <c r="R510" i="20" a="1"/>
  <c r="R510" i="20" s="1"/>
  <c r="Q511" i="20" a="1"/>
  <c r="Q511" i="20" s="1"/>
  <c r="R511" i="20" a="1"/>
  <c r="R511" i="20" s="1"/>
  <c r="Q512" i="20" a="1"/>
  <c r="Q512" i="20" s="1"/>
  <c r="R512" i="20" a="1"/>
  <c r="R512" i="20" s="1"/>
  <c r="Q513" i="20" a="1"/>
  <c r="Q513" i="20" s="1"/>
  <c r="R513" i="20" a="1"/>
  <c r="R513" i="20" s="1"/>
  <c r="Q514" i="20" a="1"/>
  <c r="Q514" i="20" s="1"/>
  <c r="R514" i="20" a="1"/>
  <c r="R514" i="20" s="1"/>
  <c r="Q515" i="20" a="1"/>
  <c r="Q515" i="20" s="1"/>
  <c r="R515" i="20" a="1"/>
  <c r="R515" i="20" s="1"/>
  <c r="Q516" i="20" a="1"/>
  <c r="Q516" i="20" s="1"/>
  <c r="R516" i="20" a="1"/>
  <c r="R516" i="20" s="1"/>
  <c r="Q517" i="20" a="1"/>
  <c r="Q517" i="20" s="1"/>
  <c r="R517" i="20" a="1"/>
  <c r="R517" i="20" s="1"/>
  <c r="Q518" i="20" a="1"/>
  <c r="Q518" i="20" s="1"/>
  <c r="R518" i="20" a="1"/>
  <c r="R518" i="20" s="1"/>
  <c r="R519" i="20" a="1"/>
  <c r="R519" i="20" s="1"/>
  <c r="Q519" i="20" a="1"/>
  <c r="Q519" i="20" s="1"/>
  <c r="R520" i="20" a="1"/>
  <c r="R520" i="20" s="1"/>
  <c r="Q520" i="20" a="1"/>
  <c r="Q520" i="20" s="1"/>
  <c r="Q521" i="20" a="1"/>
  <c r="Q521" i="20" s="1"/>
  <c r="R521" i="20" a="1"/>
  <c r="R521" i="20" s="1"/>
  <c r="R522" i="20" a="1"/>
  <c r="R522" i="20" s="1"/>
  <c r="Q522" i="20" a="1"/>
  <c r="Q522" i="20" s="1"/>
  <c r="R523" i="20" a="1"/>
  <c r="R523" i="20" s="1"/>
  <c r="Q523" i="20" a="1"/>
  <c r="Q523" i="20" s="1"/>
  <c r="Q524" i="20" a="1"/>
  <c r="Q524" i="20" s="1"/>
  <c r="R524" i="20" a="1"/>
  <c r="R524" i="20" s="1"/>
  <c r="R525" i="20" a="1"/>
  <c r="R525" i="20" s="1"/>
  <c r="Q525" i="20" a="1"/>
  <c r="Q525" i="20" s="1"/>
  <c r="Q526" i="20" a="1"/>
  <c r="Q526" i="20" s="1"/>
  <c r="R526" i="20" a="1"/>
  <c r="R526" i="20" s="1"/>
  <c r="Q527" i="20" a="1"/>
  <c r="Q527" i="20" s="1"/>
  <c r="R527" i="20" a="1"/>
  <c r="R527" i="20" s="1"/>
  <c r="Q528" i="20" a="1"/>
  <c r="Q528" i="20" s="1"/>
  <c r="R528" i="20" a="1"/>
  <c r="R528" i="20" s="1"/>
  <c r="Q529" i="20" a="1"/>
  <c r="Q529" i="20" s="1"/>
  <c r="R529" i="20" a="1"/>
  <c r="R529" i="20" s="1"/>
  <c r="Q530" i="20" a="1"/>
  <c r="Q530" i="20" s="1"/>
  <c r="R530" i="20" a="1"/>
  <c r="R530" i="20" s="1"/>
  <c r="Q531" i="20" a="1"/>
  <c r="Q531" i="20" s="1"/>
  <c r="R531" i="20" a="1"/>
  <c r="R531" i="20" s="1"/>
  <c r="Q532" i="20" a="1"/>
  <c r="Q532" i="20" s="1"/>
  <c r="R532" i="20" a="1"/>
  <c r="R532" i="20" s="1"/>
  <c r="R533" i="20" a="1"/>
  <c r="R533" i="20" s="1"/>
  <c r="Q533" i="20" a="1"/>
  <c r="Q533" i="20" s="1"/>
  <c r="Q534" i="20" a="1"/>
  <c r="Q534" i="20" s="1"/>
  <c r="R534" i="20" a="1"/>
  <c r="R534" i="20" s="1"/>
  <c r="Q535" i="20" a="1"/>
  <c r="Q535" i="20" s="1"/>
  <c r="R535" i="20" a="1"/>
  <c r="R535" i="20" s="1"/>
  <c r="Q536" i="20" a="1"/>
  <c r="Q536" i="20" s="1"/>
  <c r="R536" i="20" a="1"/>
  <c r="R536" i="20" s="1"/>
  <c r="R537" i="20" a="1"/>
  <c r="R537" i="20" s="1"/>
  <c r="Q537" i="20" a="1"/>
  <c r="Q537" i="20" s="1"/>
  <c r="R538" i="20" a="1"/>
  <c r="R538" i="20" s="1"/>
  <c r="Q538" i="20" a="1"/>
  <c r="Q538" i="20" s="1"/>
  <c r="R539" i="20" a="1"/>
  <c r="R539" i="20" s="1"/>
  <c r="Q539" i="20" a="1"/>
  <c r="Q539" i="20" s="1"/>
  <c r="Q540" i="20" a="1"/>
  <c r="Q540" i="20" s="1"/>
  <c r="R540" i="20" a="1"/>
  <c r="R540" i="20" s="1"/>
  <c r="R541" i="20" a="1"/>
  <c r="R541" i="20" s="1"/>
  <c r="Q541" i="20" a="1"/>
  <c r="Q541" i="20" s="1"/>
  <c r="R542" i="20" a="1"/>
  <c r="R542" i="20" s="1"/>
  <c r="Q542" i="20" a="1"/>
  <c r="Q542" i="20" s="1"/>
  <c r="Q543" i="20" a="1"/>
  <c r="Q543" i="20" s="1"/>
  <c r="R543" i="20" a="1"/>
  <c r="R543" i="20" s="1"/>
  <c r="R544" i="20" a="1"/>
  <c r="R544" i="20" s="1"/>
  <c r="Q544" i="20" a="1"/>
  <c r="Q544" i="20" s="1"/>
  <c r="R545" i="20" a="1"/>
  <c r="R545" i="20" s="1"/>
  <c r="Q545" i="20" a="1"/>
  <c r="Q545" i="20" s="1"/>
  <c r="R546" i="20" a="1"/>
  <c r="R546" i="20" s="1"/>
  <c r="Q546" i="20" a="1"/>
  <c r="Q546" i="20" s="1"/>
  <c r="R547" i="20" a="1"/>
  <c r="R547" i="20" s="1"/>
  <c r="Q547" i="20" a="1"/>
  <c r="Q547" i="20" s="1"/>
  <c r="R548" i="20" a="1"/>
  <c r="R548" i="20" s="1"/>
  <c r="Q548" i="20" a="1"/>
  <c r="Q548" i="20" s="1"/>
  <c r="R549" i="20" a="1"/>
  <c r="R549" i="20" s="1"/>
  <c r="Q549" i="20" a="1"/>
  <c r="Q549" i="20" s="1"/>
  <c r="R550" i="20" a="1"/>
  <c r="R550" i="20" s="1"/>
  <c r="Q550" i="20" a="1"/>
  <c r="Q550" i="20" s="1"/>
  <c r="R551" i="20" a="1"/>
  <c r="R551" i="20" s="1"/>
  <c r="Q551" i="20" a="1"/>
  <c r="Q551" i="20" s="1"/>
  <c r="R552" i="20" a="1"/>
  <c r="R552" i="20" s="1"/>
  <c r="Q552" i="20" a="1"/>
  <c r="Q552" i="20" s="1"/>
  <c r="R553" i="20" a="1"/>
  <c r="R553" i="20" s="1"/>
  <c r="Q553" i="20" a="1"/>
  <c r="Q553" i="20" s="1"/>
  <c r="R554" i="20" a="1"/>
  <c r="R554" i="20" s="1"/>
  <c r="Q554" i="20" a="1"/>
  <c r="Q554" i="20" s="1"/>
  <c r="Q555" i="20" a="1"/>
  <c r="Q555" i="20" s="1"/>
  <c r="R555" i="20" a="1"/>
  <c r="R555" i="20" s="1"/>
  <c r="Q556" i="20" a="1"/>
  <c r="Q556" i="20" s="1"/>
  <c r="R556" i="20" a="1"/>
  <c r="R556" i="20" s="1"/>
  <c r="Q557" i="20" a="1"/>
  <c r="Q557" i="20" s="1"/>
  <c r="R557" i="20" a="1"/>
  <c r="R557" i="20" s="1"/>
  <c r="Q558" i="20" a="1"/>
  <c r="Q558" i="20" s="1"/>
  <c r="R558" i="20" a="1"/>
  <c r="R558" i="20" s="1"/>
  <c r="Q559" i="20" a="1"/>
  <c r="Q559" i="20" s="1"/>
  <c r="R559" i="20" a="1"/>
  <c r="R559" i="20" s="1"/>
  <c r="Q560" i="20" a="1"/>
  <c r="Q560" i="20" s="1"/>
  <c r="R560" i="20" a="1"/>
  <c r="R560" i="20" s="1"/>
  <c r="Q561" i="20" a="1"/>
  <c r="Q561" i="20" s="1"/>
  <c r="R561" i="20" a="1"/>
  <c r="R561" i="20" s="1"/>
  <c r="Q562" i="20" a="1"/>
  <c r="Q562" i="20" s="1"/>
  <c r="R562" i="20" a="1"/>
  <c r="R562" i="20" s="1"/>
  <c r="R563" i="20" a="1"/>
  <c r="R563" i="20" s="1"/>
  <c r="Q563" i="20" a="1"/>
  <c r="Q563" i="20" s="1"/>
  <c r="R564" i="20" a="1"/>
  <c r="R564" i="20" s="1"/>
  <c r="Q564" i="20" a="1"/>
  <c r="Q564" i="20" s="1"/>
  <c r="R565" i="20" a="1"/>
  <c r="R565" i="20" s="1"/>
  <c r="Q565" i="20" a="1"/>
  <c r="Q565" i="20" s="1"/>
  <c r="R566" i="20" a="1"/>
  <c r="R566" i="20" s="1"/>
  <c r="Q566" i="20" a="1"/>
  <c r="Q566" i="20" s="1"/>
  <c r="R567" i="20" a="1"/>
  <c r="R567" i="20" s="1"/>
  <c r="Q567" i="20" a="1"/>
  <c r="Q567" i="20" s="1"/>
  <c r="R568" i="20" a="1"/>
  <c r="R568" i="20" s="1"/>
  <c r="Q568" i="20" a="1"/>
  <c r="Q568" i="20" s="1"/>
  <c r="R569" i="20" a="1"/>
  <c r="R569" i="20" s="1"/>
  <c r="Q569" i="20" a="1"/>
  <c r="Q569" i="20" s="1"/>
  <c r="R570" i="20" a="1"/>
  <c r="R570" i="20" s="1"/>
  <c r="Q570" i="20" a="1"/>
  <c r="Q570" i="20" s="1"/>
  <c r="Q571" i="20" a="1"/>
  <c r="Q571" i="20" s="1"/>
  <c r="R571" i="20" a="1"/>
  <c r="R571" i="20" s="1"/>
  <c r="Q572" i="20" a="1"/>
  <c r="Q572" i="20" s="1"/>
  <c r="R572" i="20" a="1"/>
  <c r="R572" i="20" s="1"/>
  <c r="Q573" i="20" a="1"/>
  <c r="Q573" i="20" s="1"/>
  <c r="R573" i="20" a="1"/>
  <c r="R573" i="20" s="1"/>
  <c r="Q574" i="20" a="1"/>
  <c r="Q574" i="20" s="1"/>
  <c r="R574" i="20" a="1"/>
  <c r="R574" i="20" s="1"/>
  <c r="Q575" i="20" a="1"/>
  <c r="Q575" i="20" s="1"/>
  <c r="R575" i="20" a="1"/>
  <c r="R575" i="20" s="1"/>
  <c r="Q576" i="20" a="1"/>
  <c r="Q576" i="20" s="1"/>
  <c r="R576" i="20" a="1"/>
  <c r="R576" i="20" s="1"/>
  <c r="Q577" i="20" a="1"/>
  <c r="Q577" i="20" s="1"/>
  <c r="R577" i="20" a="1"/>
  <c r="R577" i="20" s="1"/>
  <c r="Q578" i="20" a="1"/>
  <c r="Q578" i="20" s="1"/>
  <c r="R578" i="20" a="1"/>
  <c r="R578" i="20" s="1"/>
  <c r="R579" i="20" a="1"/>
  <c r="R579" i="20" s="1"/>
  <c r="Q579" i="20" a="1"/>
  <c r="Q579" i="20" s="1"/>
  <c r="R580" i="20" a="1"/>
  <c r="R580" i="20" s="1"/>
  <c r="Q580" i="20" a="1"/>
  <c r="Q580" i="20" s="1"/>
  <c r="Q581" i="20" a="1"/>
  <c r="Q581" i="20" s="1"/>
  <c r="R581" i="20" a="1"/>
  <c r="R581" i="20" s="1"/>
  <c r="R582" i="20" a="1"/>
  <c r="R582" i="20" s="1"/>
  <c r="Q582" i="20" a="1"/>
  <c r="Q582" i="20" s="1"/>
  <c r="R583" i="20" a="1"/>
  <c r="R583" i="20" s="1"/>
  <c r="Q583" i="20" a="1"/>
  <c r="Q583" i="20" s="1"/>
  <c r="R584" i="20" a="1"/>
  <c r="R584" i="20" s="1"/>
  <c r="Q584" i="20" a="1"/>
  <c r="Q584" i="20" s="1"/>
  <c r="R585" i="20" a="1"/>
  <c r="R585" i="20" s="1"/>
  <c r="Q585" i="20" a="1"/>
  <c r="Q585" i="20" s="1"/>
  <c r="R586" i="20" a="1"/>
  <c r="R586" i="20" s="1"/>
  <c r="Q586" i="20" a="1"/>
  <c r="Q586" i="20" s="1"/>
  <c r="Q587" i="20" a="1"/>
  <c r="Q587" i="20" s="1"/>
  <c r="R587" i="20" a="1"/>
  <c r="R587" i="20" s="1"/>
  <c r="Q588" i="20" a="1"/>
  <c r="Q588" i="20" s="1"/>
  <c r="R588" i="20" a="1"/>
  <c r="R588" i="20" s="1"/>
  <c r="Q589" i="20" a="1"/>
  <c r="Q589" i="20" s="1"/>
  <c r="R589" i="20" a="1"/>
  <c r="R589" i="20" s="1"/>
  <c r="Q590" i="20" a="1"/>
  <c r="Q590" i="20" s="1"/>
  <c r="R590" i="20" a="1"/>
  <c r="R590" i="20" s="1"/>
  <c r="Q591" i="20" a="1"/>
  <c r="Q591" i="20" s="1"/>
  <c r="R591" i="20" a="1"/>
  <c r="R591" i="20" s="1"/>
  <c r="Q592" i="20" a="1"/>
  <c r="Q592" i="20" s="1"/>
  <c r="R592" i="20" a="1"/>
  <c r="R592" i="20" s="1"/>
  <c r="Q593" i="20" a="1"/>
  <c r="Q593" i="20" s="1"/>
  <c r="R593" i="20" a="1"/>
  <c r="R593" i="20" s="1"/>
  <c r="R594" i="20" a="1"/>
  <c r="R594" i="20" s="1"/>
  <c r="Q594" i="20" a="1"/>
  <c r="Q594" i="20" s="1"/>
  <c r="Q595" i="20" a="1"/>
  <c r="Q595" i="20" s="1"/>
  <c r="R595" i="20" a="1"/>
  <c r="R595" i="20" s="1"/>
  <c r="Q596" i="20" a="1"/>
  <c r="Q596" i="20" s="1"/>
  <c r="R596" i="20" a="1"/>
  <c r="R596" i="20" s="1"/>
  <c r="Q597" i="20" a="1"/>
  <c r="Q597" i="20" s="1"/>
  <c r="R597" i="20" a="1"/>
  <c r="R597" i="20" s="1"/>
  <c r="Q598" i="20" a="1"/>
  <c r="Q598" i="20" s="1"/>
  <c r="R598" i="20" a="1"/>
  <c r="R598" i="20" s="1"/>
  <c r="Q599" i="20" a="1"/>
  <c r="Q599" i="20" s="1"/>
  <c r="R599" i="20" a="1"/>
  <c r="R599" i="20" s="1"/>
  <c r="Q600" i="20" a="1"/>
  <c r="Q600" i="20" s="1"/>
  <c r="R600" i="20" a="1"/>
  <c r="R600" i="20" s="1"/>
  <c r="Q601" i="20" a="1"/>
  <c r="Q601" i="20" s="1"/>
  <c r="R601" i="20" a="1"/>
  <c r="R601" i="20" s="1"/>
  <c r="R602" i="20" a="1"/>
  <c r="R602" i="20" s="1"/>
  <c r="Q602" i="20" a="1"/>
  <c r="Q602" i="20" s="1"/>
  <c r="Q603" i="20" a="1"/>
  <c r="Q603" i="20" s="1"/>
  <c r="R603" i="20" a="1"/>
  <c r="R603" i="20" s="1"/>
  <c r="Q604" i="20" a="1"/>
  <c r="Q604" i="20" s="1"/>
  <c r="R604" i="20" a="1"/>
  <c r="R604" i="20" s="1"/>
  <c r="Q605" i="20" a="1"/>
  <c r="Q605" i="20" s="1"/>
  <c r="R605" i="20" a="1"/>
  <c r="R605" i="20" s="1"/>
  <c r="Q606" i="20" a="1"/>
  <c r="Q606" i="20" s="1"/>
  <c r="R606" i="20" a="1"/>
  <c r="R606" i="20" s="1"/>
  <c r="Q607" i="20" a="1"/>
  <c r="Q607" i="20" s="1"/>
  <c r="R607" i="20" a="1"/>
  <c r="R607" i="20" s="1"/>
  <c r="Q608" i="20" a="1"/>
  <c r="Q608" i="20" s="1"/>
  <c r="R608" i="20" a="1"/>
  <c r="R608" i="20" s="1"/>
  <c r="Q609" i="20" a="1"/>
  <c r="Q609" i="20" s="1"/>
  <c r="R609" i="20" a="1"/>
  <c r="R609" i="20" s="1"/>
  <c r="Q610" i="20" a="1"/>
  <c r="Q610" i="20" s="1"/>
  <c r="R610" i="20" a="1"/>
  <c r="R610" i="20" s="1"/>
  <c r="Q611" i="20" a="1"/>
  <c r="Q611" i="20" s="1"/>
  <c r="R611" i="20" a="1"/>
  <c r="R611" i="20" s="1"/>
  <c r="Q612" i="20" a="1"/>
  <c r="Q612" i="20" s="1"/>
  <c r="R612" i="20" a="1"/>
  <c r="R612" i="20" s="1"/>
  <c r="Q613" i="20" a="1"/>
  <c r="Q613" i="20" s="1"/>
  <c r="R613" i="20" a="1"/>
  <c r="R613" i="20" s="1"/>
  <c r="R614" i="20" a="1"/>
  <c r="R614" i="20" s="1"/>
  <c r="Q614" i="20" a="1"/>
  <c r="Q614" i="20" s="1"/>
  <c r="Q615" i="20" a="1"/>
  <c r="Q615" i="20" s="1"/>
  <c r="R615" i="20" a="1"/>
  <c r="R615" i="20" s="1"/>
  <c r="Q616" i="20" a="1"/>
  <c r="Q616" i="20" s="1"/>
  <c r="R616" i="20" a="1"/>
  <c r="R616" i="20" s="1"/>
  <c r="Q617" i="20" a="1"/>
  <c r="Q617" i="20" s="1"/>
  <c r="R617" i="20" a="1"/>
  <c r="R617" i="20" s="1"/>
  <c r="Q618" i="20" a="1"/>
  <c r="Q618" i="20" s="1"/>
  <c r="R618" i="20" a="1"/>
  <c r="R618" i="20" s="1"/>
  <c r="Q619" i="20" a="1"/>
  <c r="Q619" i="20" s="1"/>
  <c r="R619" i="20" a="1"/>
  <c r="R619" i="20" s="1"/>
  <c r="Q620" i="20" a="1"/>
  <c r="Q620" i="20" s="1"/>
  <c r="R620" i="20" a="1"/>
  <c r="R620" i="20" s="1"/>
  <c r="Q621" i="20" a="1"/>
  <c r="Q621" i="20" s="1"/>
  <c r="R621" i="20" a="1"/>
  <c r="R621" i="20" s="1"/>
  <c r="Q622" i="20" a="1"/>
  <c r="Q622" i="20" s="1"/>
  <c r="R622" i="20" a="1"/>
  <c r="R622" i="20" s="1"/>
  <c r="Q623" i="20" a="1"/>
  <c r="Q623" i="20" s="1"/>
  <c r="R623" i="20" a="1"/>
  <c r="R623" i="20" s="1"/>
  <c r="Q624" i="20" a="1"/>
  <c r="Q624" i="20" s="1"/>
  <c r="R624" i="20" a="1"/>
  <c r="R624" i="20" s="1"/>
  <c r="Q625" i="20" a="1"/>
  <c r="Q625" i="20" s="1"/>
  <c r="R625" i="20" a="1"/>
  <c r="R625" i="20" s="1"/>
  <c r="R626" i="20" a="1"/>
  <c r="R626" i="20" s="1"/>
  <c r="Q626" i="20" a="1"/>
  <c r="Q626" i="20" s="1"/>
  <c r="Q627" i="20" a="1"/>
  <c r="Q627" i="20" s="1"/>
  <c r="R627" i="20" a="1"/>
  <c r="R627" i="20" s="1"/>
  <c r="Q628" i="20" a="1"/>
  <c r="Q628" i="20" s="1"/>
  <c r="R628" i="20" a="1"/>
  <c r="R628" i="20" s="1"/>
  <c r="Q629" i="20" a="1"/>
  <c r="Q629" i="20" s="1"/>
  <c r="R629" i="20" a="1"/>
  <c r="R629" i="20" s="1"/>
  <c r="Q630" i="20" a="1"/>
  <c r="Q630" i="20" s="1"/>
  <c r="R630" i="20" a="1"/>
  <c r="R630" i="20" s="1"/>
  <c r="Q631" i="20" a="1"/>
  <c r="Q631" i="20" s="1"/>
  <c r="R631" i="20" a="1"/>
  <c r="R631" i="20" s="1"/>
  <c r="Q632" i="20" a="1"/>
  <c r="Q632" i="20" s="1"/>
  <c r="R632" i="20" a="1"/>
  <c r="R632" i="20" s="1"/>
  <c r="Q633" i="20" a="1"/>
  <c r="Q633" i="20" s="1"/>
  <c r="R633" i="20" a="1"/>
  <c r="R633" i="20" s="1"/>
  <c r="Q634" i="20" a="1"/>
  <c r="Q634" i="20" s="1"/>
  <c r="R634" i="20" a="1"/>
  <c r="R634" i="20" s="1"/>
  <c r="Q635" i="20" a="1"/>
  <c r="Q635" i="20" s="1"/>
  <c r="R635" i="20" a="1"/>
  <c r="R635" i="20" s="1"/>
  <c r="Q636" i="20" a="1"/>
  <c r="Q636" i="20" s="1"/>
  <c r="R636" i="20" a="1"/>
  <c r="R636" i="20" s="1"/>
  <c r="Q637" i="20" a="1"/>
  <c r="Q637" i="20" s="1"/>
  <c r="R637" i="20" a="1"/>
  <c r="R637" i="20" s="1"/>
  <c r="R638" i="20" a="1"/>
  <c r="R638" i="20" s="1"/>
  <c r="Q638" i="20" a="1"/>
  <c r="Q638" i="20" s="1"/>
  <c r="Q639" i="20" a="1"/>
  <c r="Q639" i="20" s="1"/>
  <c r="R639" i="20" a="1"/>
  <c r="R639" i="20" s="1"/>
  <c r="Q640" i="20" a="1"/>
  <c r="Q640" i="20" s="1"/>
  <c r="R640" i="20" a="1"/>
  <c r="R640" i="20" s="1"/>
  <c r="Q641" i="20" a="1"/>
  <c r="Q641" i="20" s="1"/>
  <c r="R641" i="20" a="1"/>
  <c r="R641" i="20" s="1"/>
  <c r="Q642" i="20" a="1"/>
  <c r="Q642" i="20" s="1"/>
  <c r="R642" i="20" a="1"/>
  <c r="R642" i="20" s="1"/>
  <c r="Q643" i="20" a="1"/>
  <c r="Q643" i="20" s="1"/>
  <c r="R643" i="20" a="1"/>
  <c r="R643" i="20" s="1"/>
  <c r="Q644" i="20" a="1"/>
  <c r="Q644" i="20" s="1"/>
  <c r="R644" i="20" a="1"/>
  <c r="R644" i="20" s="1"/>
  <c r="Q645" i="20" a="1"/>
  <c r="Q645" i="20" s="1"/>
  <c r="R645" i="20" a="1"/>
  <c r="R645" i="20" s="1"/>
  <c r="Q646" i="20" a="1"/>
  <c r="Q646" i="20" s="1"/>
  <c r="R646" i="20" a="1"/>
  <c r="R646" i="20" s="1"/>
  <c r="Q647" i="20" a="1"/>
  <c r="Q647" i="20" s="1"/>
  <c r="R647" i="20" a="1"/>
  <c r="R647" i="20" s="1"/>
  <c r="Q648" i="20" a="1"/>
  <c r="Q648" i="20" s="1"/>
  <c r="R648" i="20" a="1"/>
  <c r="R648" i="20" s="1"/>
  <c r="Q649" i="20" a="1"/>
  <c r="Q649" i="20" s="1"/>
  <c r="R649" i="20" a="1"/>
  <c r="R649" i="20" s="1"/>
  <c r="R650" i="20" a="1"/>
  <c r="R650" i="20" s="1"/>
  <c r="Q650" i="20" a="1"/>
  <c r="Q650" i="20" s="1"/>
  <c r="Q651" i="20" a="1"/>
  <c r="Q651" i="20" s="1"/>
  <c r="R651" i="20" a="1"/>
  <c r="R651" i="20" s="1"/>
  <c r="Q652" i="20" a="1"/>
  <c r="Q652" i="20" s="1"/>
  <c r="R652" i="20" a="1"/>
  <c r="R652" i="20" s="1"/>
  <c r="Q653" i="20" a="1"/>
  <c r="Q653" i="20" s="1"/>
  <c r="R653" i="20" a="1"/>
  <c r="R653" i="20" s="1"/>
  <c r="Q654" i="20" a="1"/>
  <c r="Q654" i="20" s="1"/>
  <c r="R654" i="20" a="1"/>
  <c r="R654" i="20" s="1"/>
  <c r="Q655" i="20" a="1"/>
  <c r="Q655" i="20" s="1"/>
  <c r="R655" i="20" a="1"/>
  <c r="R655" i="20" s="1"/>
  <c r="Q656" i="20" a="1"/>
  <c r="Q656" i="20" s="1"/>
  <c r="R656" i="20" a="1"/>
  <c r="R656" i="20" s="1"/>
  <c r="Q657" i="20" a="1"/>
  <c r="Q657" i="20" s="1"/>
  <c r="R657" i="20" a="1"/>
  <c r="R657" i="20" s="1"/>
  <c r="Q658" i="20" a="1"/>
  <c r="Q658" i="20" s="1"/>
  <c r="R658" i="20" a="1"/>
  <c r="R658" i="20" s="1"/>
  <c r="Q659" i="20" a="1"/>
  <c r="Q659" i="20" s="1"/>
  <c r="R659" i="20" a="1"/>
  <c r="R659" i="20" s="1"/>
  <c r="Q660" i="20" a="1"/>
  <c r="Q660" i="20" s="1"/>
  <c r="R660" i="20" a="1"/>
  <c r="R660" i="20" s="1"/>
  <c r="Q661" i="20" a="1"/>
  <c r="Q661" i="20" s="1"/>
  <c r="R661" i="20" a="1"/>
  <c r="R661" i="20" s="1"/>
  <c r="Q662" i="20" a="1"/>
  <c r="Q662" i="20" s="1"/>
  <c r="R662" i="20" a="1"/>
  <c r="R662" i="20" s="1"/>
  <c r="Q663" i="20" a="1"/>
  <c r="Q663" i="20" s="1"/>
  <c r="R663" i="20" a="1"/>
  <c r="R663" i="20" s="1"/>
  <c r="Q664" i="20" a="1"/>
  <c r="Q664" i="20" s="1"/>
  <c r="R664" i="20" a="1"/>
  <c r="R664" i="20" s="1"/>
  <c r="Q665" i="20" a="1"/>
  <c r="Q665" i="20" s="1"/>
  <c r="R665" i="20" a="1"/>
  <c r="R665" i="20" s="1"/>
  <c r="R666" i="20" a="1"/>
  <c r="R666" i="20" s="1"/>
  <c r="Q666" i="20" a="1"/>
  <c r="Q666" i="20" s="1"/>
  <c r="Q667" i="20" a="1"/>
  <c r="Q667" i="20" s="1"/>
  <c r="R667" i="20" a="1"/>
  <c r="R667" i="20" s="1"/>
  <c r="Q668" i="20" a="1"/>
  <c r="Q668" i="20" s="1"/>
  <c r="R668" i="20" a="1"/>
  <c r="R668" i="20" s="1"/>
  <c r="Q669" i="20" a="1"/>
  <c r="Q669" i="20" s="1"/>
  <c r="R669" i="20" a="1"/>
  <c r="R669" i="20" s="1"/>
  <c r="Q670" i="20" a="1"/>
  <c r="Q670" i="20" s="1"/>
  <c r="R670" i="20" a="1"/>
  <c r="R670" i="20" s="1"/>
  <c r="Q671" i="20" a="1"/>
  <c r="Q671" i="20" s="1"/>
  <c r="R671" i="20" a="1"/>
  <c r="R671" i="20" s="1"/>
  <c r="Q672" i="20" a="1"/>
  <c r="Q672" i="20" s="1"/>
  <c r="R672" i="20" a="1"/>
  <c r="R672" i="20" s="1"/>
  <c r="Q673" i="20" a="1"/>
  <c r="Q673" i="20" s="1"/>
  <c r="R673" i="20" a="1"/>
  <c r="R673" i="20" s="1"/>
  <c r="Q674" i="20" a="1"/>
  <c r="Q674" i="20" s="1"/>
  <c r="R674" i="20" a="1"/>
  <c r="R674" i="20" s="1"/>
  <c r="Q675" i="20" a="1"/>
  <c r="Q675" i="20" s="1"/>
  <c r="R675" i="20" a="1"/>
  <c r="R675" i="20" s="1"/>
  <c r="Q676" i="20" a="1"/>
  <c r="Q676" i="20" s="1"/>
  <c r="R676" i="20" a="1"/>
  <c r="R676" i="20" s="1"/>
  <c r="Q677" i="20" a="1"/>
  <c r="Q677" i="20" s="1"/>
  <c r="R677" i="20" a="1"/>
  <c r="R677" i="20" s="1"/>
  <c r="Q678" i="20" a="1"/>
  <c r="Q678" i="20" s="1"/>
  <c r="R678" i="20" a="1"/>
  <c r="R678" i="20" s="1"/>
  <c r="Q679" i="20" a="1"/>
  <c r="Q679" i="20" s="1"/>
  <c r="R679" i="20" a="1"/>
  <c r="R679" i="20" s="1"/>
  <c r="Q680" i="20" a="1"/>
  <c r="Q680" i="20" s="1"/>
  <c r="R680" i="20" a="1"/>
  <c r="R680" i="20" s="1"/>
  <c r="Q681" i="20" a="1"/>
  <c r="Q681" i="20" s="1"/>
  <c r="R681" i="20" a="1"/>
  <c r="R681" i="20" s="1"/>
  <c r="R682" i="20" a="1"/>
  <c r="R682" i="20" s="1"/>
  <c r="Q682" i="20" a="1"/>
  <c r="Q682" i="20" s="1"/>
  <c r="Q683" i="20" a="1"/>
  <c r="Q683" i="20" s="1"/>
  <c r="R683" i="20" a="1"/>
  <c r="R683" i="20" s="1"/>
  <c r="Q684" i="20" a="1"/>
  <c r="Q684" i="20" s="1"/>
  <c r="R684" i="20" a="1"/>
  <c r="R684" i="20" s="1"/>
  <c r="Q685" i="20" a="1"/>
  <c r="Q685" i="20" s="1"/>
  <c r="R685" i="20" a="1"/>
  <c r="R685" i="20" s="1"/>
  <c r="Q686" i="20" a="1"/>
  <c r="Q686" i="20" s="1"/>
  <c r="R686" i="20" a="1"/>
  <c r="R686" i="20" s="1"/>
  <c r="Q687" i="20" a="1"/>
  <c r="Q687" i="20" s="1"/>
  <c r="R687" i="20" a="1"/>
  <c r="R687" i="20" s="1"/>
  <c r="Q688" i="20" a="1"/>
  <c r="Q688" i="20" s="1"/>
  <c r="R688" i="20" a="1"/>
  <c r="R688" i="20" s="1"/>
  <c r="Q689" i="20" a="1"/>
  <c r="Q689" i="20" s="1"/>
  <c r="R689" i="20" a="1"/>
  <c r="R689" i="20" s="1"/>
  <c r="Q690" i="20" a="1"/>
  <c r="Q690" i="20" s="1"/>
  <c r="R690" i="20" a="1"/>
  <c r="R690" i="20" s="1"/>
  <c r="Q691" i="20" a="1"/>
  <c r="Q691" i="20" s="1"/>
  <c r="R691" i="20" a="1"/>
  <c r="R691" i="20" s="1"/>
  <c r="Q692" i="20" a="1"/>
  <c r="Q692" i="20" s="1"/>
  <c r="R692" i="20" a="1"/>
  <c r="R692" i="20" s="1"/>
  <c r="R693" i="20" a="1"/>
  <c r="R693" i="20" s="1"/>
  <c r="Q693" i="20" a="1"/>
  <c r="Q693" i="20" s="1"/>
  <c r="Q694" i="20" a="1"/>
  <c r="Q694" i="20" s="1"/>
  <c r="R694" i="20" a="1"/>
  <c r="R694" i="20" s="1"/>
  <c r="Q695" i="20" a="1"/>
  <c r="Q695" i="20" s="1"/>
  <c r="R695" i="20" a="1"/>
  <c r="R695" i="20" s="1"/>
  <c r="Q696" i="20" a="1"/>
  <c r="Q696" i="20" s="1"/>
  <c r="R696" i="20" a="1"/>
  <c r="R696" i="20" s="1"/>
  <c r="Q697" i="20" a="1"/>
  <c r="Q697" i="20" s="1"/>
  <c r="R697" i="20" a="1"/>
  <c r="R697" i="20" s="1"/>
  <c r="Q698" i="20" a="1"/>
  <c r="Q698" i="20" s="1"/>
  <c r="R698" i="20" a="1"/>
  <c r="R698" i="20" s="1"/>
  <c r="Q699" i="20" a="1"/>
  <c r="Q699" i="20" s="1"/>
  <c r="R699" i="20" a="1"/>
  <c r="R699" i="20" s="1"/>
  <c r="Q700" i="20" a="1"/>
  <c r="Q700" i="20" s="1"/>
  <c r="R700" i="20" a="1"/>
  <c r="R700" i="20" s="1"/>
  <c r="Q701" i="20" a="1"/>
  <c r="Q701" i="20" s="1"/>
  <c r="R701" i="20" a="1"/>
  <c r="R701" i="20" s="1"/>
  <c r="Q702" i="20" a="1"/>
  <c r="Q702" i="20" s="1"/>
  <c r="R702" i="20" a="1"/>
  <c r="R702" i="20" s="1"/>
  <c r="Q703" i="20" a="1"/>
  <c r="Q703" i="20" s="1"/>
  <c r="R703" i="20" a="1"/>
  <c r="R703" i="20" s="1"/>
  <c r="Q704" i="20" a="1"/>
  <c r="Q704" i="20" s="1"/>
  <c r="R704" i="20" a="1"/>
  <c r="R704" i="20" s="1"/>
  <c r="Q705" i="20" a="1"/>
  <c r="Q705" i="20" s="1"/>
  <c r="R705" i="20" a="1"/>
  <c r="R705" i="20" s="1"/>
  <c r="Q706" i="20" a="1"/>
  <c r="Q706" i="20" s="1"/>
  <c r="R706" i="20" a="1"/>
  <c r="R706" i="20" s="1"/>
  <c r="R707" i="20" a="1"/>
  <c r="R707" i="20" s="1"/>
  <c r="Q707" i="20" a="1"/>
  <c r="Q707" i="20" s="1"/>
  <c r="Q708" i="20" a="1"/>
  <c r="Q708" i="20" s="1"/>
  <c r="R708" i="20" a="1"/>
  <c r="R708" i="20" s="1"/>
  <c r="Q709" i="20" a="1"/>
  <c r="Q709" i="20" s="1"/>
  <c r="R709" i="20" a="1"/>
  <c r="R709" i="20" s="1"/>
  <c r="Q710" i="20" a="1"/>
  <c r="Q710" i="20" s="1"/>
  <c r="R710" i="20" a="1"/>
  <c r="R710" i="20" s="1"/>
  <c r="Q711" i="20" a="1"/>
  <c r="Q711" i="20" s="1"/>
  <c r="R711" i="20" a="1"/>
  <c r="R711" i="20" s="1"/>
  <c r="Q712" i="20" a="1"/>
  <c r="Q712" i="20" s="1"/>
  <c r="R712" i="20" a="1"/>
  <c r="R712" i="20" s="1"/>
  <c r="Q713" i="20" a="1"/>
  <c r="Q713" i="20" s="1"/>
  <c r="R713" i="20" a="1"/>
  <c r="R713" i="20" s="1"/>
  <c r="Q714" i="20" a="1"/>
  <c r="Q714" i="20" s="1"/>
  <c r="R714" i="20" a="1"/>
  <c r="R714" i="20" s="1"/>
  <c r="Q715" i="20" a="1"/>
  <c r="Q715" i="20" s="1"/>
  <c r="R715" i="20" a="1"/>
  <c r="R715" i="20" s="1"/>
  <c r="Q716" i="20" a="1"/>
  <c r="Q716" i="20" s="1"/>
  <c r="R716" i="20" a="1"/>
  <c r="R716" i="20" s="1"/>
  <c r="Q717" i="20" a="1"/>
  <c r="Q717" i="20" s="1"/>
  <c r="R717" i="20" a="1"/>
  <c r="R717" i="20" s="1"/>
  <c r="Q718" i="20" a="1"/>
  <c r="Q718" i="20" s="1"/>
  <c r="R718" i="20" a="1"/>
  <c r="R718" i="20" s="1"/>
  <c r="Q719" i="20" a="1"/>
  <c r="Q719" i="20" s="1"/>
  <c r="R719" i="20" a="1"/>
  <c r="R719" i="20" s="1"/>
  <c r="Q720" i="20" a="1"/>
  <c r="Q720" i="20" s="1"/>
  <c r="R720" i="20" a="1"/>
  <c r="R720" i="20" s="1"/>
  <c r="R721" i="20" a="1"/>
  <c r="R721" i="20" s="1"/>
  <c r="Q721" i="20" a="1"/>
  <c r="Q721" i="20" s="1"/>
  <c r="Q722" i="20" a="1"/>
  <c r="Q722" i="20" s="1"/>
  <c r="R722" i="20" a="1"/>
  <c r="R722" i="20" s="1"/>
  <c r="Q723" i="20" a="1"/>
  <c r="Q723" i="20" s="1"/>
  <c r="R723" i="20" a="1"/>
  <c r="R723" i="20" s="1"/>
  <c r="Q724" i="20" a="1"/>
  <c r="Q724" i="20" s="1"/>
  <c r="R724" i="20" a="1"/>
  <c r="R724" i="20" s="1"/>
  <c r="Q725" i="20" a="1"/>
  <c r="Q725" i="20" s="1"/>
  <c r="R725" i="20" a="1"/>
  <c r="R725" i="20" s="1"/>
  <c r="Q726" i="20" a="1"/>
  <c r="Q726" i="20" s="1"/>
  <c r="R726" i="20" a="1"/>
  <c r="R726" i="20" s="1"/>
  <c r="Q727" i="20" a="1"/>
  <c r="Q727" i="20" s="1"/>
  <c r="R727" i="20" a="1"/>
  <c r="R727" i="20" s="1"/>
  <c r="Q728" i="20" a="1"/>
  <c r="Q728" i="20" s="1"/>
  <c r="R728" i="20" a="1"/>
  <c r="R728" i="20" s="1"/>
  <c r="Q729" i="20" a="1"/>
  <c r="Q729" i="20" s="1"/>
  <c r="R729" i="20" a="1"/>
  <c r="R729" i="20" s="1"/>
  <c r="Q730" i="20" a="1"/>
  <c r="Q730" i="20" s="1"/>
  <c r="R730" i="20" a="1"/>
  <c r="R730" i="20" s="1"/>
  <c r="Q731" i="20" a="1"/>
  <c r="Q731" i="20" s="1"/>
  <c r="R731" i="20" a="1"/>
  <c r="R731" i="20" s="1"/>
  <c r="Q732" i="20" a="1"/>
  <c r="Q732" i="20" s="1"/>
  <c r="R732" i="20" a="1"/>
  <c r="R732" i="20" s="1"/>
  <c r="R733" i="20" a="1"/>
  <c r="R733" i="20" s="1"/>
  <c r="Q733" i="20" a="1"/>
  <c r="Q733" i="20" s="1"/>
  <c r="Q734" i="20" a="1"/>
  <c r="Q734" i="20" s="1"/>
  <c r="R734" i="20" a="1"/>
  <c r="R734" i="20" s="1"/>
  <c r="Q735" i="20" a="1"/>
  <c r="Q735" i="20" s="1"/>
  <c r="R735" i="20" a="1"/>
  <c r="R735" i="20" s="1"/>
  <c r="Q736" i="20" a="1"/>
  <c r="Q736" i="20" s="1"/>
  <c r="R736" i="20" a="1"/>
  <c r="R736" i="20" s="1"/>
  <c r="Q737" i="20" a="1"/>
  <c r="Q737" i="20" s="1"/>
  <c r="R737" i="20" a="1"/>
  <c r="R737" i="20" s="1"/>
  <c r="Q738" i="20" a="1"/>
  <c r="Q738" i="20" s="1"/>
  <c r="R738" i="20" a="1"/>
  <c r="R738" i="20" s="1"/>
  <c r="Q739" i="20" a="1"/>
  <c r="Q739" i="20" s="1"/>
  <c r="R739" i="20" a="1"/>
  <c r="R739" i="20" s="1"/>
  <c r="Q740" i="20" a="1"/>
  <c r="Q740" i="20" s="1"/>
  <c r="R740" i="20" a="1"/>
  <c r="R740" i="20" s="1"/>
  <c r="Q741" i="20" a="1"/>
  <c r="Q741" i="20" s="1"/>
  <c r="R741" i="20" a="1"/>
  <c r="R741" i="20" s="1"/>
  <c r="Q742" i="20" a="1"/>
  <c r="Q742" i="20" s="1"/>
  <c r="R742" i="20" a="1"/>
  <c r="R742" i="20" s="1"/>
  <c r="Q743" i="20" a="1"/>
  <c r="Q743" i="20" s="1"/>
  <c r="R743" i="20" a="1"/>
  <c r="R743" i="20" s="1"/>
  <c r="Q744" i="20" a="1"/>
  <c r="Q744" i="20" s="1"/>
  <c r="R744" i="20" a="1"/>
  <c r="R744" i="20" s="1"/>
  <c r="Q745" i="20" a="1"/>
  <c r="Q745" i="20" s="1"/>
  <c r="R745" i="20" a="1"/>
  <c r="R745" i="20" s="1"/>
  <c r="R746" i="20" a="1"/>
  <c r="R746" i="20" s="1"/>
  <c r="Q746" i="20" a="1"/>
  <c r="Q746" i="20" s="1"/>
  <c r="Q747" i="20" a="1"/>
  <c r="Q747" i="20" s="1"/>
  <c r="R747" i="20" a="1"/>
  <c r="R747" i="20" s="1"/>
  <c r="Q748" i="20" a="1"/>
  <c r="Q748" i="20" s="1"/>
  <c r="R748" i="20" a="1"/>
  <c r="R748" i="20" s="1"/>
  <c r="Q749" i="20" a="1"/>
  <c r="Q749" i="20" s="1"/>
  <c r="R749" i="20" a="1"/>
  <c r="R749" i="20" s="1"/>
  <c r="Q750" i="20" a="1"/>
  <c r="Q750" i="20" s="1"/>
  <c r="R750" i="20" a="1"/>
  <c r="R750" i="20" s="1"/>
  <c r="Q751" i="20" a="1"/>
  <c r="Q751" i="20" s="1"/>
  <c r="R751" i="20" a="1"/>
  <c r="R751" i="20" s="1"/>
  <c r="Q752" i="20" a="1"/>
  <c r="Q752" i="20" s="1"/>
  <c r="R752" i="20" a="1"/>
  <c r="R752" i="20" s="1"/>
  <c r="Q753" i="20" a="1"/>
  <c r="Q753" i="20" s="1"/>
  <c r="R753" i="20" a="1"/>
  <c r="R753" i="20" s="1"/>
  <c r="Q754" i="20" a="1"/>
  <c r="Q754" i="20" s="1"/>
  <c r="R754" i="20" a="1"/>
  <c r="R754" i="20" s="1"/>
  <c r="Q755" i="20" a="1"/>
  <c r="Q755" i="20" s="1"/>
  <c r="R755" i="20" a="1"/>
  <c r="R755" i="20" s="1"/>
  <c r="Q756" i="20" a="1"/>
  <c r="Q756" i="20" s="1"/>
  <c r="R756" i="20" a="1"/>
  <c r="R756" i="20" s="1"/>
  <c r="Q757" i="20" a="1"/>
  <c r="Q757" i="20" s="1"/>
  <c r="R757" i="20" a="1"/>
  <c r="R757" i="20" s="1"/>
  <c r="Q758" i="20" a="1"/>
  <c r="Q758" i="20" s="1"/>
  <c r="R758" i="20" a="1"/>
  <c r="R758" i="20" s="1"/>
  <c r="Q759" i="20" a="1"/>
  <c r="Q759" i="20" s="1"/>
  <c r="R759" i="20" a="1"/>
  <c r="R759" i="20" s="1"/>
  <c r="Q760" i="20" a="1"/>
  <c r="Q760" i="20" s="1"/>
  <c r="R760" i="20" a="1"/>
  <c r="R760" i="20" s="1"/>
  <c r="Q761" i="20" a="1"/>
  <c r="Q761" i="20" s="1"/>
  <c r="R761" i="20" a="1"/>
  <c r="R761" i="20" s="1"/>
  <c r="Q762" i="20" a="1"/>
  <c r="Q762" i="20" s="1"/>
  <c r="R762" i="20" a="1"/>
  <c r="R762" i="20" s="1"/>
  <c r="Q763" i="20" a="1"/>
  <c r="Q763" i="20" s="1"/>
  <c r="R763" i="20" a="1"/>
  <c r="R763" i="20" s="1"/>
  <c r="Q764" i="20" a="1"/>
  <c r="Q764" i="20" s="1"/>
  <c r="R764" i="20" a="1"/>
  <c r="R764" i="20" s="1"/>
  <c r="Q765" i="20" a="1"/>
  <c r="Q765" i="20" s="1"/>
  <c r="R765" i="20" a="1"/>
  <c r="R765" i="20" s="1"/>
  <c r="S765" i="20"/>
  <c r="R766" i="20" a="1"/>
  <c r="R766" i="20" s="1"/>
  <c r="S766" i="20"/>
  <c r="Q766" i="20" a="1"/>
  <c r="Q766" i="20" s="1"/>
  <c r="Q767" i="20" a="1"/>
  <c r="Q767" i="20" s="1"/>
  <c r="R767" i="20" a="1"/>
  <c r="R767" i="20" s="1"/>
  <c r="S767" i="20"/>
  <c r="Q768" i="20" a="1"/>
  <c r="Q768" i="20" s="1"/>
  <c r="R768" i="20" a="1"/>
  <c r="R768" i="20" s="1"/>
  <c r="S768" i="20"/>
  <c r="Q769" i="20" a="1"/>
  <c r="Q769" i="20" s="1"/>
  <c r="R769" i="20" a="1"/>
  <c r="R769" i="20" s="1"/>
  <c r="S769" i="20"/>
  <c r="Q770" i="20" a="1"/>
  <c r="Q770" i="20" s="1"/>
  <c r="R770" i="20" a="1"/>
  <c r="R770" i="20" s="1"/>
  <c r="S770" i="20"/>
  <c r="S771" i="20"/>
  <c r="Q771" i="20" a="1"/>
  <c r="Q771" i="20" s="1"/>
  <c r="R771" i="20" a="1"/>
  <c r="R771" i="20" s="1"/>
  <c r="Q772" i="20" a="1"/>
  <c r="Q772" i="20" s="1"/>
  <c r="R772" i="20" a="1"/>
  <c r="R772" i="20" s="1"/>
  <c r="S772" i="20"/>
  <c r="Q773" i="20" a="1"/>
  <c r="Q773" i="20" s="1"/>
  <c r="R773" i="20" a="1"/>
  <c r="R773" i="20" s="1"/>
  <c r="S773" i="20"/>
  <c r="Q774" i="20" a="1"/>
  <c r="Q774" i="20" s="1"/>
  <c r="R774" i="20" a="1"/>
  <c r="R774" i="20" s="1"/>
  <c r="S774" i="20"/>
  <c r="Q775" i="20" a="1"/>
  <c r="Q775" i="20" s="1"/>
  <c r="R775" i="20" a="1"/>
  <c r="R775" i="20" s="1"/>
  <c r="S775" i="20"/>
  <c r="Q776" i="20" a="1"/>
  <c r="Q776" i="20" s="1"/>
  <c r="R776" i="20" a="1"/>
  <c r="R776" i="20" s="1"/>
  <c r="S776" i="20"/>
  <c r="Q777" i="20" a="1"/>
  <c r="Q777" i="20" s="1"/>
  <c r="R777" i="20" a="1"/>
  <c r="R777" i="20" s="1"/>
  <c r="S777" i="20"/>
  <c r="R778" i="20" a="1"/>
  <c r="R778" i="20" s="1"/>
  <c r="S778" i="20"/>
  <c r="Q778" i="20" a="1"/>
  <c r="Q778" i="20" s="1"/>
  <c r="Q779" i="20" a="1"/>
  <c r="Q779" i="20" s="1"/>
  <c r="R779" i="20" a="1"/>
  <c r="R779" i="20" s="1"/>
  <c r="S779" i="20"/>
  <c r="Q780" i="20" a="1"/>
  <c r="Q780" i="20" s="1"/>
  <c r="R780" i="20" a="1"/>
  <c r="R780" i="20" s="1"/>
  <c r="S780" i="20"/>
  <c r="Q781" i="20" a="1"/>
  <c r="Q781" i="20" s="1"/>
  <c r="R781" i="20" a="1"/>
  <c r="R781" i="20" s="1"/>
  <c r="S781" i="20"/>
  <c r="S782" i="20"/>
  <c r="Q782" i="20" a="1"/>
  <c r="Q782" i="20" s="1"/>
  <c r="R782" i="20" a="1"/>
  <c r="R782" i="20" s="1"/>
  <c r="Q783" i="20" a="1"/>
  <c r="Q783" i="20" s="1"/>
  <c r="R783" i="20" a="1"/>
  <c r="R783" i="20" s="1"/>
  <c r="S783" i="20"/>
  <c r="Q784" i="20" a="1"/>
  <c r="Q784" i="20" s="1"/>
  <c r="R784" i="20" a="1"/>
  <c r="R784" i="20" s="1"/>
  <c r="S784" i="20"/>
  <c r="Q785" i="20" a="1"/>
  <c r="Q785" i="20" s="1"/>
  <c r="R785" i="20" a="1"/>
  <c r="R785" i="20" s="1"/>
  <c r="S785" i="20"/>
  <c r="Q786" i="20" a="1"/>
  <c r="Q786" i="20" s="1"/>
  <c r="R786" i="20" a="1"/>
  <c r="R786" i="20" s="1"/>
  <c r="S786" i="20"/>
  <c r="Q787" i="20" a="1"/>
  <c r="Q787" i="20" s="1"/>
  <c r="R787" i="20" a="1"/>
  <c r="R787" i="20" s="1"/>
  <c r="S787" i="20"/>
  <c r="Q788" i="20" a="1"/>
  <c r="Q788" i="20" s="1"/>
  <c r="R788" i="20" a="1"/>
  <c r="R788" i="20" s="1"/>
  <c r="S788" i="20"/>
  <c r="Q789" i="20" a="1"/>
  <c r="Q789" i="20" s="1"/>
  <c r="R789" i="20" a="1"/>
  <c r="R789" i="20" s="1"/>
  <c r="S789" i="20"/>
  <c r="R790" i="20" a="1"/>
  <c r="R790" i="20" s="1"/>
  <c r="S790" i="20"/>
  <c r="Q790" i="20" a="1"/>
  <c r="Q790" i="20" s="1"/>
  <c r="Q791" i="20" a="1"/>
  <c r="Q791" i="20" s="1"/>
  <c r="R791" i="20" a="1"/>
  <c r="R791" i="20" s="1"/>
  <c r="S791" i="20"/>
  <c r="Q792" i="20" a="1"/>
  <c r="Q792" i="20" s="1"/>
  <c r="R792" i="20" a="1"/>
  <c r="R792" i="20" s="1"/>
  <c r="S792" i="20"/>
  <c r="S793" i="20"/>
  <c r="Q793" i="20" a="1"/>
  <c r="Q793" i="20" s="1"/>
  <c r="R793" i="20" a="1"/>
  <c r="R793" i="20" s="1"/>
  <c r="Q794" i="20" a="1"/>
  <c r="Q794" i="20" s="1"/>
  <c r="R794" i="20" a="1"/>
  <c r="R794" i="20" s="1"/>
  <c r="S794" i="20"/>
  <c r="Q795" i="20" a="1"/>
  <c r="Q795" i="20" s="1"/>
  <c r="R795" i="20" a="1"/>
  <c r="R795" i="20" s="1"/>
  <c r="S795" i="20"/>
  <c r="Q796" i="20" a="1"/>
  <c r="Q796" i="20" s="1"/>
  <c r="R796" i="20" a="1"/>
  <c r="R796" i="20" s="1"/>
  <c r="S796" i="20"/>
  <c r="Q797" i="20" a="1"/>
  <c r="Q797" i="20" s="1"/>
  <c r="R797" i="20" a="1"/>
  <c r="R797" i="20" s="1"/>
  <c r="S797" i="20"/>
  <c r="Q798" i="20" a="1"/>
  <c r="Q798" i="20" s="1"/>
  <c r="R798" i="20" a="1"/>
  <c r="R798" i="20" s="1"/>
  <c r="S798" i="20"/>
  <c r="Q799" i="20" a="1"/>
  <c r="Q799" i="20" s="1"/>
  <c r="R799" i="20" a="1"/>
  <c r="R799" i="20" s="1"/>
  <c r="S799" i="20"/>
  <c r="Q800" i="20" a="1"/>
  <c r="Q800" i="20" s="1"/>
  <c r="R800" i="20" a="1"/>
  <c r="R800" i="20" s="1"/>
  <c r="S800" i="20"/>
  <c r="Q801" i="20" a="1"/>
  <c r="Q801" i="20" s="1"/>
  <c r="R801" i="20" a="1"/>
  <c r="R801" i="20" s="1"/>
  <c r="S801" i="20"/>
  <c r="R802" i="20" a="1"/>
  <c r="R802" i="20" s="1"/>
  <c r="S802" i="20"/>
  <c r="Q802" i="20" a="1"/>
  <c r="Q802" i="20" s="1"/>
  <c r="Q803" i="20" a="1"/>
  <c r="Q803" i="20" s="1"/>
  <c r="R803" i="20" a="1"/>
  <c r="R803" i="20" s="1"/>
  <c r="S803" i="20"/>
  <c r="S804" i="20"/>
  <c r="Q804" i="20" a="1"/>
  <c r="Q804" i="20" s="1"/>
  <c r="R804" i="20" a="1"/>
  <c r="R804" i="20" s="1"/>
  <c r="Q805" i="20" a="1"/>
  <c r="Q805" i="20" s="1"/>
  <c r="R805" i="20" a="1"/>
  <c r="R805" i="20" s="1"/>
  <c r="S805" i="20"/>
  <c r="Q806" i="20" a="1"/>
  <c r="Q806" i="20" s="1"/>
  <c r="R806" i="20" a="1"/>
  <c r="R806" i="20" s="1"/>
  <c r="S806" i="20"/>
  <c r="Q807" i="20" a="1"/>
  <c r="Q807" i="20" s="1"/>
  <c r="R807" i="20" a="1"/>
  <c r="R807" i="20" s="1"/>
  <c r="S807" i="20"/>
  <c r="Q808" i="20" a="1"/>
  <c r="Q808" i="20" s="1"/>
  <c r="R808" i="20" a="1"/>
  <c r="R808" i="20" s="1"/>
  <c r="S808" i="20"/>
  <c r="Q809" i="20" a="1"/>
  <c r="Q809" i="20" s="1"/>
  <c r="R809" i="20" a="1"/>
  <c r="R809" i="20" s="1"/>
  <c r="S809" i="20"/>
  <c r="Q810" i="20" a="1"/>
  <c r="Q810" i="20" s="1"/>
  <c r="R810" i="20" a="1"/>
  <c r="R810" i="20" s="1"/>
  <c r="S810" i="20"/>
  <c r="Q811" i="20" a="1"/>
  <c r="Q811" i="20" s="1"/>
  <c r="R811" i="20" a="1"/>
  <c r="R811" i="20" s="1"/>
  <c r="S811" i="20"/>
  <c r="Q812" i="20" a="1"/>
  <c r="Q812" i="20" s="1"/>
  <c r="R812" i="20" a="1"/>
  <c r="R812" i="20" s="1"/>
  <c r="S812" i="20"/>
  <c r="S813" i="20"/>
  <c r="Q813" i="20" a="1"/>
  <c r="Q813" i="20" s="1"/>
  <c r="R813" i="20" a="1"/>
  <c r="R813" i="20" s="1"/>
  <c r="Q814" i="20" a="1"/>
  <c r="Q814" i="20" s="1"/>
  <c r="R814" i="20" a="1"/>
  <c r="R814" i="20" s="1"/>
  <c r="S814" i="20"/>
  <c r="R815" i="20" a="1"/>
  <c r="R815" i="20" s="1"/>
  <c r="S815" i="20"/>
  <c r="Q815" i="20" a="1"/>
  <c r="Q815" i="20" s="1"/>
  <c r="Q816" i="20" a="1"/>
  <c r="Q816" i="20" s="1"/>
  <c r="R816" i="20" a="1"/>
  <c r="R816" i="20" s="1"/>
  <c r="S816" i="20"/>
  <c r="Q817" i="20" a="1"/>
  <c r="Q817" i="20" s="1"/>
  <c r="R817" i="20" a="1"/>
  <c r="R817" i="20" s="1"/>
  <c r="S817" i="20"/>
  <c r="Q818" i="20" a="1"/>
  <c r="Q818" i="20" s="1"/>
  <c r="R818" i="20" a="1"/>
  <c r="R818" i="20" s="1"/>
  <c r="S818" i="20"/>
  <c r="Q819" i="20" a="1"/>
  <c r="Q819" i="20" s="1"/>
  <c r="R819" i="20" a="1"/>
  <c r="R819" i="20" s="1"/>
  <c r="S819" i="20"/>
  <c r="Q820" i="20" a="1"/>
  <c r="Q820" i="20" s="1"/>
  <c r="R820" i="20" a="1"/>
  <c r="R820" i="20" s="1"/>
  <c r="S820" i="20"/>
  <c r="Q821" i="20" a="1"/>
  <c r="Q821" i="20" s="1"/>
  <c r="R821" i="20" a="1"/>
  <c r="R821" i="20" s="1"/>
  <c r="S821" i="20"/>
  <c r="Q822" i="20" a="1"/>
  <c r="Q822" i="20" s="1"/>
  <c r="R822" i="20" a="1"/>
  <c r="R822" i="20" s="1"/>
  <c r="S822" i="20"/>
  <c r="Q823" i="20" a="1"/>
  <c r="Q823" i="20" s="1"/>
  <c r="R823" i="20" a="1"/>
  <c r="R823" i="20" s="1"/>
  <c r="S823" i="20"/>
  <c r="S824" i="20"/>
  <c r="Q824" i="20" a="1"/>
  <c r="Q824" i="20" s="1"/>
  <c r="R824" i="20" a="1"/>
  <c r="R824" i="20" s="1"/>
  <c r="Q825" i="20" a="1"/>
  <c r="Q825" i="20" s="1"/>
  <c r="R825" i="20" a="1"/>
  <c r="R825" i="20" s="1"/>
  <c r="S825" i="20"/>
  <c r="Q826" i="20" a="1"/>
  <c r="Q826" i="20" s="1"/>
  <c r="R826" i="20" a="1"/>
  <c r="R826" i="20" s="1"/>
  <c r="S826" i="20"/>
  <c r="Q827" i="20" a="1"/>
  <c r="Q827" i="20" s="1"/>
  <c r="R827" i="20" a="1"/>
  <c r="R827" i="20" s="1"/>
  <c r="S827" i="20"/>
  <c r="Q828" i="20" a="1"/>
  <c r="Q828" i="20" s="1"/>
  <c r="R828" i="20" a="1"/>
  <c r="R828" i="20" s="1"/>
  <c r="S828" i="20"/>
  <c r="R829" i="20" a="1"/>
  <c r="R829" i="20" s="1"/>
  <c r="S829" i="20"/>
  <c r="Q829" i="20" a="1"/>
  <c r="Q829" i="20" s="1"/>
  <c r="Q830" i="20" a="1"/>
  <c r="Q830" i="20" s="1"/>
  <c r="R830" i="20" a="1"/>
  <c r="R830" i="20" s="1"/>
  <c r="S830" i="20"/>
  <c r="Q831" i="20" a="1"/>
  <c r="Q831" i="20" s="1"/>
  <c r="R831" i="20" a="1"/>
  <c r="R831" i="20" s="1"/>
  <c r="S831" i="20"/>
  <c r="Q832" i="20" a="1"/>
  <c r="Q832" i="20" s="1"/>
  <c r="R832" i="20" a="1"/>
  <c r="R832" i="20" s="1"/>
  <c r="S832" i="20"/>
  <c r="Q833" i="20" a="1"/>
  <c r="Q833" i="20" s="1"/>
  <c r="R833" i="20" a="1"/>
  <c r="R833" i="20" s="1"/>
  <c r="S833" i="20"/>
  <c r="Q834" i="20" a="1"/>
  <c r="Q834" i="20" s="1"/>
  <c r="R834" i="20" a="1"/>
  <c r="R834" i="20" s="1"/>
  <c r="S834" i="20"/>
  <c r="Q835" i="20" a="1"/>
  <c r="Q835" i="20" s="1"/>
  <c r="R835" i="20" a="1"/>
  <c r="R835" i="20" s="1"/>
  <c r="S835" i="20"/>
  <c r="S836" i="20"/>
  <c r="Q836" i="20" a="1"/>
  <c r="Q836" i="20" s="1"/>
  <c r="R836" i="20" a="1"/>
  <c r="R836" i="20" s="1"/>
  <c r="Q837" i="20" a="1"/>
  <c r="Q837" i="20" s="1"/>
  <c r="R837" i="20" a="1"/>
  <c r="R837" i="20" s="1"/>
  <c r="S837" i="20"/>
  <c r="Q838" i="20" a="1"/>
  <c r="Q838" i="20" s="1"/>
  <c r="R838" i="20" a="1"/>
  <c r="R838" i="20" s="1"/>
  <c r="S838" i="20"/>
  <c r="Q839" i="20" a="1"/>
  <c r="Q839" i="20" s="1"/>
  <c r="R839" i="20" a="1"/>
  <c r="R839" i="20" s="1"/>
  <c r="S839" i="20"/>
  <c r="Q840" i="20" a="1"/>
  <c r="Q840" i="20" s="1"/>
  <c r="R840" i="20" a="1"/>
  <c r="R840" i="20" s="1"/>
  <c r="S840" i="20"/>
  <c r="Q841" i="20" a="1"/>
  <c r="Q841" i="20" s="1"/>
  <c r="R841" i="20" a="1"/>
  <c r="R841" i="20" s="1"/>
  <c r="S841" i="20"/>
  <c r="R842" i="20" a="1"/>
  <c r="R842" i="20" s="1"/>
  <c r="S842" i="20"/>
  <c r="Q842" i="20" a="1"/>
  <c r="Q842" i="20" s="1"/>
  <c r="Q843" i="20" a="1"/>
  <c r="Q843" i="20" s="1"/>
  <c r="R843" i="20" a="1"/>
  <c r="R843" i="20" s="1"/>
  <c r="S843" i="20"/>
  <c r="Q844" i="20" a="1"/>
  <c r="Q844" i="20" s="1"/>
  <c r="R844" i="20" a="1"/>
  <c r="R844" i="20" s="1"/>
  <c r="S844" i="20"/>
  <c r="Q845" i="20" a="1"/>
  <c r="Q845" i="20" s="1"/>
  <c r="R845" i="20" a="1"/>
  <c r="R845" i="20" s="1"/>
  <c r="S845" i="20"/>
  <c r="Q846" i="20" a="1"/>
  <c r="Q846" i="20" s="1"/>
  <c r="R846" i="20" a="1"/>
  <c r="R846" i="20" s="1"/>
  <c r="S846" i="20"/>
  <c r="Q847" i="20" a="1"/>
  <c r="Q847" i="20" s="1"/>
  <c r="R847" i="20" a="1"/>
  <c r="R847" i="20" s="1"/>
  <c r="S847" i="20"/>
  <c r="Q848" i="20" a="1"/>
  <c r="Q848" i="20" s="1"/>
  <c r="R848" i="20" a="1"/>
  <c r="R848" i="20" s="1"/>
  <c r="S848" i="20"/>
  <c r="S849" i="20"/>
  <c r="Q849" i="20" a="1"/>
  <c r="Q849" i="20" s="1"/>
  <c r="R849" i="20" a="1"/>
  <c r="R849" i="20" s="1"/>
  <c r="Q850" i="20" a="1"/>
  <c r="Q850" i="20" s="1"/>
  <c r="R850" i="20" a="1"/>
  <c r="R850" i="20" s="1"/>
  <c r="S850" i="20"/>
  <c r="Q851" i="20" a="1"/>
  <c r="Q851" i="20" s="1"/>
  <c r="R851" i="20" a="1"/>
  <c r="R851" i="20" s="1"/>
  <c r="S851" i="20"/>
  <c r="Q852" i="20" a="1"/>
  <c r="Q852" i="20" s="1"/>
  <c r="R852" i="20" a="1"/>
  <c r="R852" i="20" s="1"/>
  <c r="S852" i="20"/>
  <c r="Q853" i="20" a="1"/>
  <c r="Q853" i="20" s="1"/>
  <c r="R853" i="20" a="1"/>
  <c r="R853" i="20" s="1"/>
  <c r="S853" i="20"/>
  <c r="Q854" i="20" a="1"/>
  <c r="Q854" i="20" s="1"/>
  <c r="R854" i="20" a="1"/>
  <c r="R854" i="20" s="1"/>
  <c r="S854" i="20"/>
  <c r="Q855" i="20" a="1"/>
  <c r="Q855" i="20" s="1"/>
  <c r="R855" i="20" a="1"/>
  <c r="R855" i="20" s="1"/>
  <c r="S855" i="20"/>
  <c r="Q856" i="20" a="1"/>
  <c r="Q856" i="20" s="1"/>
  <c r="R856" i="20" a="1"/>
  <c r="R856" i="20" s="1"/>
  <c r="S856" i="20"/>
  <c r="Q857" i="20" a="1"/>
  <c r="Q857" i="20" s="1"/>
  <c r="R857" i="20" a="1"/>
  <c r="R857" i="20" s="1"/>
  <c r="S857" i="20"/>
  <c r="R858" i="20" a="1"/>
  <c r="R858" i="20" s="1"/>
  <c r="S858" i="20"/>
  <c r="Q858" i="20" a="1"/>
  <c r="Q858" i="20" s="1"/>
  <c r="Q859" i="20" a="1"/>
  <c r="Q859" i="20" s="1"/>
  <c r="R859" i="20" a="1"/>
  <c r="R859" i="20" s="1"/>
  <c r="S859" i="20"/>
  <c r="Q860" i="20" a="1"/>
  <c r="Q860" i="20" s="1"/>
  <c r="R860" i="20" a="1"/>
  <c r="R860" i="20" s="1"/>
  <c r="S860" i="20"/>
  <c r="S861" i="20"/>
  <c r="Q861" i="20" a="1"/>
  <c r="Q861" i="20" s="1"/>
  <c r="R861" i="20" a="1"/>
  <c r="R861" i="20" s="1"/>
  <c r="Q862" i="20" a="1"/>
  <c r="Q862" i="20" s="1"/>
  <c r="R862" i="20" a="1"/>
  <c r="R862" i="20" s="1"/>
  <c r="S862" i="20"/>
  <c r="Q863" i="20" a="1"/>
  <c r="Q863" i="20" s="1"/>
  <c r="R863" i="20" a="1"/>
  <c r="R863" i="20" s="1"/>
  <c r="S863" i="20"/>
  <c r="Q864" i="20" a="1"/>
  <c r="Q864" i="20" s="1"/>
  <c r="R864" i="20" a="1"/>
  <c r="R864" i="20" s="1"/>
  <c r="S864" i="20"/>
  <c r="Q865" i="20" a="1"/>
  <c r="Q865" i="20" s="1"/>
  <c r="R865" i="20" a="1"/>
  <c r="R865" i="20" s="1"/>
  <c r="S865" i="20"/>
  <c r="Q866" i="20" a="1"/>
  <c r="Q866" i="20" s="1"/>
  <c r="R866" i="20" a="1"/>
  <c r="R866" i="20" s="1"/>
  <c r="S866" i="20"/>
  <c r="Q867" i="20" a="1"/>
  <c r="Q867" i="20" s="1"/>
  <c r="R867" i="20" a="1"/>
  <c r="R867" i="20" s="1"/>
  <c r="S867" i="20"/>
  <c r="Q868" i="20" a="1"/>
  <c r="Q868" i="20" s="1"/>
  <c r="R868" i="20" a="1"/>
  <c r="R868" i="20" s="1"/>
  <c r="S868" i="20"/>
  <c r="Q869" i="20" a="1"/>
  <c r="Q869" i="20" s="1"/>
  <c r="R869" i="20" a="1"/>
  <c r="R869" i="20" s="1"/>
  <c r="S869" i="20"/>
  <c r="Q870" i="20" a="1"/>
  <c r="Q870" i="20" s="1"/>
  <c r="R870" i="20" a="1"/>
  <c r="R870" i="20" s="1"/>
  <c r="S870" i="20"/>
  <c r="Q871" i="20" a="1"/>
  <c r="Q871" i="20" s="1"/>
  <c r="R871" i="20" a="1"/>
  <c r="R871" i="20" s="1"/>
  <c r="S871" i="20"/>
  <c r="R872" i="20" a="1"/>
  <c r="R872" i="20" s="1"/>
  <c r="S872" i="20"/>
  <c r="Q872" i="20" a="1"/>
  <c r="Q872" i="20" s="1"/>
  <c r="Q873" i="20" a="1"/>
  <c r="Q873" i="20" s="1"/>
  <c r="R873" i="20" a="1"/>
  <c r="R873" i="20" s="1"/>
  <c r="S873" i="20"/>
  <c r="S874" i="20"/>
  <c r="Q874" i="20" a="1"/>
  <c r="Q874" i="20" s="1"/>
  <c r="R874" i="20" a="1"/>
  <c r="R874" i="20" s="1"/>
  <c r="Q875" i="20" a="1"/>
  <c r="Q875" i="20" s="1"/>
  <c r="R875" i="20" a="1"/>
  <c r="R875" i="20" s="1"/>
  <c r="S875" i="20"/>
  <c r="Q876" i="20" a="1"/>
  <c r="Q876" i="20" s="1"/>
  <c r="R876" i="20" a="1"/>
  <c r="R876" i="20" s="1"/>
  <c r="S876" i="20"/>
  <c r="Q877" i="20" a="1"/>
  <c r="Q877" i="20" s="1"/>
  <c r="R877" i="20" a="1"/>
  <c r="R877" i="20" s="1"/>
  <c r="S877" i="20"/>
  <c r="Q878" i="20" a="1"/>
  <c r="Q878" i="20" s="1"/>
  <c r="R878" i="20" a="1"/>
  <c r="R878" i="20" s="1"/>
  <c r="S878" i="20"/>
  <c r="Q879" i="20" a="1"/>
  <c r="Q879" i="20" s="1"/>
  <c r="R879" i="20" a="1"/>
  <c r="R879" i="20" s="1"/>
  <c r="S879" i="20"/>
  <c r="Q880" i="20" a="1"/>
  <c r="Q880" i="20" s="1"/>
  <c r="R880" i="20" a="1"/>
  <c r="R880" i="20" s="1"/>
  <c r="S880" i="20"/>
  <c r="Q881" i="20" a="1"/>
  <c r="Q881" i="20" s="1"/>
  <c r="R881" i="20" a="1"/>
  <c r="R881" i="20" s="1"/>
  <c r="S881" i="20"/>
  <c r="Q882" i="20" a="1"/>
  <c r="Q882" i="20" s="1"/>
  <c r="R882" i="20" a="1"/>
  <c r="R882" i="20" s="1"/>
  <c r="S882" i="20"/>
  <c r="Q883" i="20" a="1"/>
  <c r="Q883" i="20" s="1"/>
  <c r="R883" i="20" a="1"/>
  <c r="R883" i="20" s="1"/>
  <c r="S883" i="20"/>
  <c r="Q884" i="20" a="1"/>
  <c r="Q884" i="20" s="1"/>
  <c r="R884" i="20" a="1"/>
  <c r="R884" i="20" s="1"/>
  <c r="S884" i="20"/>
  <c r="S885" i="20"/>
  <c r="Q885" i="20" a="1"/>
  <c r="Q885" i="20" s="1"/>
  <c r="R885" i="20" a="1"/>
  <c r="R885" i="20" s="1"/>
  <c r="R886" i="20" a="1"/>
  <c r="R886" i="20" s="1"/>
  <c r="S886" i="20"/>
  <c r="Q886" i="20" a="1"/>
  <c r="Q886" i="20" s="1"/>
  <c r="Q887" i="20" a="1"/>
  <c r="Q887" i="20" s="1"/>
  <c r="R887" i="20" a="1"/>
  <c r="R887" i="20" s="1"/>
  <c r="S887" i="20"/>
  <c r="Q888" i="20" a="1"/>
  <c r="Q888" i="20" s="1"/>
  <c r="R888" i="20" a="1"/>
  <c r="R888" i="20" s="1"/>
  <c r="S888" i="20"/>
  <c r="Q889" i="20" a="1"/>
  <c r="Q889" i="20" s="1"/>
  <c r="R889" i="20" a="1"/>
  <c r="R889" i="20" s="1"/>
  <c r="S889" i="20"/>
  <c r="Q890" i="20" a="1"/>
  <c r="Q890" i="20" s="1"/>
  <c r="R890" i="20" a="1"/>
  <c r="R890" i="20" s="1"/>
  <c r="S890" i="20"/>
  <c r="Q891" i="20" a="1"/>
  <c r="Q891" i="20" s="1"/>
  <c r="R891" i="20" a="1"/>
  <c r="R891" i="20" s="1"/>
  <c r="S891" i="20"/>
  <c r="Q892" i="20" a="1"/>
  <c r="Q892" i="20" s="1"/>
  <c r="R892" i="20" a="1"/>
  <c r="R892" i="20" s="1"/>
  <c r="S892" i="20"/>
  <c r="Q893" i="20" a="1"/>
  <c r="Q893" i="20" s="1"/>
  <c r="R893" i="20" a="1"/>
  <c r="R893" i="20" s="1"/>
  <c r="S893" i="20"/>
  <c r="Q894" i="20" a="1"/>
  <c r="Q894" i="20" s="1"/>
  <c r="R894" i="20" a="1"/>
  <c r="R894" i="20" s="1"/>
  <c r="S894" i="20"/>
  <c r="S895" i="20"/>
  <c r="Q895" i="20" a="1"/>
  <c r="Q895" i="20" s="1"/>
  <c r="R895" i="20" a="1"/>
  <c r="R895" i="20" s="1"/>
  <c r="Q896" i="20" a="1"/>
  <c r="Q896" i="20" s="1"/>
  <c r="R896" i="20" a="1"/>
  <c r="R896" i="20" s="1"/>
  <c r="S896" i="20"/>
  <c r="Q897" i="20" a="1"/>
  <c r="Q897" i="20" s="1"/>
  <c r="R897" i="20" a="1"/>
  <c r="R897" i="20" s="1"/>
  <c r="S897" i="20"/>
  <c r="R898" i="20" a="1"/>
  <c r="R898" i="20" s="1"/>
  <c r="S898" i="20"/>
  <c r="Q898" i="20" a="1"/>
  <c r="Q898" i="20" s="1"/>
  <c r="Q899" i="20" a="1"/>
  <c r="Q899" i="20" s="1"/>
  <c r="R899" i="20" a="1"/>
  <c r="R899" i="20" s="1"/>
  <c r="S899" i="20"/>
  <c r="Q900" i="20" a="1"/>
  <c r="Q900" i="20" s="1"/>
  <c r="R900" i="20" a="1"/>
  <c r="R900" i="20" s="1"/>
  <c r="S900" i="20"/>
  <c r="Q901" i="20" a="1"/>
  <c r="Q901" i="20" s="1"/>
  <c r="R901" i="20" a="1"/>
  <c r="R901" i="20" s="1"/>
  <c r="S901" i="20"/>
  <c r="Q902" i="20" a="1"/>
  <c r="Q902" i="20" s="1"/>
  <c r="R902" i="20" a="1"/>
  <c r="R902" i="20" s="1"/>
  <c r="S902" i="20"/>
  <c r="Q903" i="20" a="1"/>
  <c r="Q903" i="20" s="1"/>
  <c r="R903" i="20" a="1"/>
  <c r="R903" i="20" s="1"/>
  <c r="S903" i="20"/>
  <c r="Q904" i="20" a="1"/>
  <c r="Q904" i="20" s="1"/>
  <c r="R904" i="20" a="1"/>
  <c r="R904" i="20" s="1"/>
  <c r="S904" i="20"/>
  <c r="Q905" i="20" a="1"/>
  <c r="Q905" i="20" s="1"/>
  <c r="R905" i="20" a="1"/>
  <c r="R905" i="20" s="1"/>
  <c r="S905" i="20"/>
  <c r="S906" i="20"/>
  <c r="Q906" i="20" a="1"/>
  <c r="Q906" i="20" s="1"/>
  <c r="R906" i="20" a="1"/>
  <c r="R906" i="20" s="1"/>
  <c r="Q907" i="20" a="1"/>
  <c r="Q907" i="20" s="1"/>
  <c r="R907" i="20" a="1"/>
  <c r="R907" i="20" s="1"/>
  <c r="S907" i="20"/>
  <c r="Q908" i="20" a="1"/>
  <c r="Q908" i="20" s="1"/>
  <c r="R908" i="20" a="1"/>
  <c r="R908" i="20" s="1"/>
  <c r="S908" i="20"/>
  <c r="Q909" i="20" a="1"/>
  <c r="Q909" i="20" s="1"/>
  <c r="R909" i="20" a="1"/>
  <c r="R909" i="20" s="1"/>
  <c r="S909" i="20"/>
  <c r="R910" i="20" a="1"/>
  <c r="R910" i="20" s="1"/>
  <c r="S910" i="20"/>
  <c r="Q910" i="20" a="1"/>
  <c r="Q910" i="20" s="1"/>
  <c r="Q911" i="20" a="1"/>
  <c r="Q911" i="20" s="1"/>
  <c r="R911" i="20" a="1"/>
  <c r="R911" i="20" s="1"/>
  <c r="S911" i="20"/>
  <c r="Q912" i="20" a="1"/>
  <c r="Q912" i="20" s="1"/>
  <c r="R912" i="20" a="1"/>
  <c r="R912" i="20" s="1"/>
  <c r="S912" i="20"/>
  <c r="Q913" i="20" a="1"/>
  <c r="Q913" i="20" s="1"/>
  <c r="R913" i="20" a="1"/>
  <c r="R913" i="20" s="1"/>
  <c r="S913" i="20"/>
  <c r="Q914" i="20" a="1"/>
  <c r="Q914" i="20" s="1"/>
  <c r="R914" i="20" a="1"/>
  <c r="R914" i="20" s="1"/>
  <c r="S914" i="20"/>
  <c r="S915" i="20"/>
  <c r="Q915" i="20" a="1"/>
  <c r="Q915" i="20" s="1"/>
  <c r="R915" i="20" a="1"/>
  <c r="R915" i="20" s="1"/>
  <c r="Q916" i="20" a="1"/>
  <c r="Q916" i="20" s="1"/>
  <c r="R916" i="20" a="1"/>
  <c r="R916" i="20" s="1"/>
  <c r="S916" i="20"/>
  <c r="Q917" i="20" a="1"/>
  <c r="Q917" i="20" s="1"/>
  <c r="R917" i="20" a="1"/>
  <c r="R917" i="20" s="1"/>
  <c r="S917" i="20"/>
  <c r="Q918" i="20" a="1"/>
  <c r="Q918" i="20" s="1"/>
  <c r="R918" i="20" a="1"/>
  <c r="R918" i="20" s="1"/>
  <c r="S918" i="20"/>
  <c r="Q919" i="20" a="1"/>
  <c r="Q919" i="20" s="1"/>
  <c r="R919" i="20" a="1"/>
  <c r="R919" i="20" s="1"/>
  <c r="S919" i="20"/>
  <c r="Q920" i="20" a="1"/>
  <c r="Q920" i="20" s="1"/>
  <c r="R920" i="20" a="1"/>
  <c r="R920" i="20" s="1"/>
  <c r="S920" i="20"/>
  <c r="Q921" i="20" a="1"/>
  <c r="Q921" i="20" s="1"/>
  <c r="R921" i="20" a="1"/>
  <c r="R921" i="20" s="1"/>
  <c r="S921" i="20"/>
  <c r="R922" i="20" a="1"/>
  <c r="R922" i="20" s="1"/>
  <c r="S922" i="20"/>
  <c r="Q922" i="20" a="1"/>
  <c r="Q922" i="20" s="1"/>
  <c r="Q923" i="20" a="1"/>
  <c r="Q923" i="20" s="1"/>
  <c r="R923" i="20" a="1"/>
  <c r="R923" i="20" s="1"/>
  <c r="S923" i="20"/>
  <c r="Q924" i="20" a="1"/>
  <c r="Q924" i="20" s="1"/>
  <c r="R924" i="20" a="1"/>
  <c r="R924" i="20" s="1"/>
  <c r="S924" i="20"/>
  <c r="Q925" i="20" a="1"/>
  <c r="Q925" i="20" s="1"/>
  <c r="R925" i="20" a="1"/>
  <c r="R925" i="20" s="1"/>
  <c r="S925" i="20"/>
  <c r="S926" i="20"/>
  <c r="Q926" i="20" a="1"/>
  <c r="Q926" i="20" s="1"/>
  <c r="R926" i="20" a="1"/>
  <c r="R926" i="20" s="1"/>
  <c r="Q927" i="20" a="1"/>
  <c r="Q927" i="20" s="1"/>
  <c r="R927" i="20" a="1"/>
  <c r="R927" i="20" s="1"/>
  <c r="S927" i="20"/>
  <c r="Q928" i="20" a="1"/>
  <c r="Q928" i="20" s="1"/>
  <c r="R928" i="20" a="1"/>
  <c r="R928" i="20" s="1"/>
  <c r="S928" i="20"/>
  <c r="Q929" i="20" a="1"/>
  <c r="Q929" i="20" s="1"/>
  <c r="R929" i="20" a="1"/>
  <c r="R929" i="20" s="1"/>
  <c r="S929" i="20"/>
  <c r="Q930" i="20" a="1"/>
  <c r="Q930" i="20" s="1"/>
  <c r="R930" i="20" a="1"/>
  <c r="R930" i="20" s="1"/>
  <c r="S930" i="20"/>
  <c r="Q931" i="20" a="1"/>
  <c r="Q931" i="20" s="1"/>
  <c r="R931" i="20" a="1"/>
  <c r="R931" i="20" s="1"/>
  <c r="S931" i="20"/>
  <c r="Q932" i="20" a="1"/>
  <c r="Q932" i="20" s="1"/>
  <c r="R932" i="20" a="1"/>
  <c r="R932" i="20" s="1"/>
  <c r="S932" i="20"/>
  <c r="Q933" i="20" a="1"/>
  <c r="Q933" i="20" s="1"/>
  <c r="R933" i="20" a="1"/>
  <c r="R933" i="20" s="1"/>
  <c r="S933" i="20"/>
  <c r="R934" i="20" a="1"/>
  <c r="R934" i="20" s="1"/>
  <c r="S934" i="20"/>
  <c r="Q934" i="20" a="1"/>
  <c r="Q934" i="20" s="1"/>
  <c r="Q935" i="20" a="1"/>
  <c r="Q935" i="20" s="1"/>
  <c r="R935" i="20" a="1"/>
  <c r="R935" i="20" s="1"/>
  <c r="S935" i="20"/>
  <c r="Q936" i="20" a="1"/>
  <c r="Q936" i="20" s="1"/>
  <c r="R936" i="20" a="1"/>
  <c r="R936" i="20" s="1"/>
  <c r="S936" i="20"/>
  <c r="S937" i="20"/>
  <c r="Q937" i="20" a="1"/>
  <c r="Q937" i="20" s="1"/>
  <c r="R937" i="20" a="1"/>
  <c r="R937" i="20" s="1"/>
  <c r="Q938" i="20" a="1"/>
  <c r="Q938" i="20" s="1"/>
  <c r="R938" i="20" a="1"/>
  <c r="R938" i="20" s="1"/>
  <c r="S938" i="20"/>
  <c r="Q939" i="20" a="1"/>
  <c r="Q939" i="20" s="1"/>
  <c r="R939" i="20" a="1"/>
  <c r="R939" i="20" s="1"/>
  <c r="S939" i="20"/>
  <c r="Q940" i="20" a="1"/>
  <c r="Q940" i="20" s="1"/>
  <c r="R940" i="20" a="1"/>
  <c r="R940" i="20" s="1"/>
  <c r="S940" i="20"/>
  <c r="Q941" i="20" a="1"/>
  <c r="Q941" i="20" s="1"/>
  <c r="R941" i="20" a="1"/>
  <c r="R941" i="20" s="1"/>
  <c r="S941" i="20"/>
  <c r="Q942" i="20" a="1"/>
  <c r="Q942" i="20" s="1"/>
  <c r="R942" i="20" a="1"/>
  <c r="R942" i="20" s="1"/>
  <c r="S942" i="20"/>
  <c r="Q943" i="20" a="1"/>
  <c r="Q943" i="20" s="1"/>
  <c r="R943" i="20" a="1"/>
  <c r="R943" i="20" s="1"/>
  <c r="S943" i="20"/>
  <c r="Q944" i="20" a="1"/>
  <c r="Q944" i="20" s="1"/>
  <c r="R944" i="20" a="1"/>
  <c r="R944" i="20" s="1"/>
  <c r="S944" i="20"/>
  <c r="Q945" i="20" a="1"/>
  <c r="Q945" i="20" s="1"/>
  <c r="R945" i="20" a="1"/>
  <c r="R945" i="20" s="1"/>
  <c r="S945" i="20"/>
  <c r="S946" i="20"/>
  <c r="Q946" i="20" a="1"/>
  <c r="Q946" i="20" s="1"/>
  <c r="R946" i="20" a="1"/>
  <c r="R946" i="20" s="1"/>
  <c r="R947" i="20" a="1"/>
  <c r="R947" i="20" s="1"/>
  <c r="S947" i="20"/>
  <c r="Q947" i="20" a="1"/>
  <c r="Q947" i="20" s="1"/>
  <c r="Q948" i="20" a="1"/>
  <c r="Q948" i="20" s="1"/>
  <c r="R948" i="20" a="1"/>
  <c r="R948" i="20" s="1"/>
  <c r="S948" i="20"/>
  <c r="Q949" i="20" a="1"/>
  <c r="Q949" i="20" s="1"/>
  <c r="R949" i="20" a="1"/>
  <c r="R949" i="20" s="1"/>
  <c r="S949" i="20"/>
  <c r="Q950" i="20" a="1"/>
  <c r="Q950" i="20" s="1"/>
  <c r="R950" i="20" a="1"/>
  <c r="R950" i="20" s="1"/>
  <c r="S950" i="20"/>
  <c r="Q951" i="20" a="1"/>
  <c r="Q951" i="20" s="1"/>
  <c r="R951" i="20" a="1"/>
  <c r="R951" i="20" s="1"/>
  <c r="S951" i="20"/>
  <c r="Q952" i="20" a="1"/>
  <c r="Q952" i="20" s="1"/>
  <c r="R952" i="20" a="1"/>
  <c r="R952" i="20" s="1"/>
  <c r="S952" i="20"/>
  <c r="Q953" i="20" a="1"/>
  <c r="Q953" i="20" s="1"/>
  <c r="R953" i="20" a="1"/>
  <c r="R953" i="20" s="1"/>
  <c r="S953" i="20"/>
  <c r="Q954" i="20" a="1"/>
  <c r="Q954" i="20" s="1"/>
  <c r="R954" i="20" a="1"/>
  <c r="R954" i="20" s="1"/>
  <c r="S954" i="20"/>
  <c r="Q955" i="20" a="1"/>
  <c r="Q955" i="20" s="1"/>
  <c r="R955" i="20" a="1"/>
  <c r="R955" i="20" s="1"/>
  <c r="S955" i="20"/>
  <c r="S956" i="20"/>
  <c r="Q956" i="20" a="1"/>
  <c r="Q956" i="20" s="1"/>
  <c r="R956" i="20" a="1"/>
  <c r="R956" i="20" s="1"/>
  <c r="Q957" i="20" a="1"/>
  <c r="Q957" i="20" s="1"/>
  <c r="R957" i="20" a="1"/>
  <c r="R957" i="20" s="1"/>
  <c r="S957" i="20"/>
  <c r="Q958" i="20" a="1"/>
  <c r="Q958" i="20" s="1"/>
  <c r="R958" i="20" a="1"/>
  <c r="R958" i="20" s="1"/>
  <c r="S958" i="20"/>
  <c r="Q959" i="20" a="1"/>
  <c r="Q959" i="20" s="1"/>
  <c r="R959" i="20" a="1"/>
  <c r="R959" i="20" s="1"/>
  <c r="S959" i="20"/>
  <c r="Q960" i="20" a="1"/>
  <c r="Q960" i="20" s="1"/>
  <c r="R960" i="20" a="1"/>
  <c r="R960" i="20" s="1"/>
  <c r="S960" i="20"/>
  <c r="R961" i="20" a="1"/>
  <c r="R961" i="20" s="1"/>
  <c r="S961" i="20"/>
  <c r="Q961" i="20" a="1"/>
  <c r="Q961" i="20" s="1"/>
  <c r="Q962" i="20" a="1"/>
  <c r="Q962" i="20" s="1"/>
  <c r="R962" i="20" a="1"/>
  <c r="R962" i="20" s="1"/>
  <c r="S962" i="20"/>
  <c r="Q963" i="20" a="1"/>
  <c r="Q963" i="20" s="1"/>
  <c r="R963" i="20" a="1"/>
  <c r="R963" i="20" s="1"/>
  <c r="S963" i="20"/>
  <c r="Q964" i="20" a="1"/>
  <c r="Q964" i="20" s="1"/>
  <c r="R964" i="20" a="1"/>
  <c r="R964" i="20" s="1"/>
  <c r="S964" i="20"/>
  <c r="Q965" i="20" a="1"/>
  <c r="Q965" i="20" s="1"/>
  <c r="R965" i="20" a="1"/>
  <c r="R965" i="20" s="1"/>
  <c r="S965" i="20"/>
  <c r="Q966" i="20" a="1"/>
  <c r="Q966" i="20" s="1"/>
  <c r="R966" i="20" a="1"/>
  <c r="R966" i="20" s="1"/>
  <c r="S966" i="20"/>
  <c r="S967" i="20"/>
  <c r="Q967" i="20" a="1"/>
  <c r="Q967" i="20" s="1"/>
  <c r="R967" i="20" a="1"/>
  <c r="R967" i="20" s="1"/>
  <c r="Q968" i="20" a="1"/>
  <c r="Q968" i="20" s="1"/>
  <c r="R968" i="20" a="1"/>
  <c r="R968" i="20" s="1"/>
  <c r="S968" i="20"/>
  <c r="Q969" i="20" a="1"/>
  <c r="Q969" i="20" s="1"/>
  <c r="R969" i="20" a="1"/>
  <c r="R969" i="20" s="1"/>
  <c r="S969" i="20"/>
  <c r="Q970" i="20" a="1"/>
  <c r="Q970" i="20" s="1"/>
  <c r="R970" i="20" a="1"/>
  <c r="R970" i="20" s="1"/>
  <c r="S970" i="20"/>
  <c r="Q971" i="20" a="1"/>
  <c r="Q971" i="20" s="1"/>
  <c r="R971" i="20" a="1"/>
  <c r="R971" i="20" s="1"/>
  <c r="S971" i="20"/>
  <c r="Q972" i="20" a="1"/>
  <c r="Q972" i="20" s="1"/>
  <c r="R972" i="20" a="1"/>
  <c r="R972" i="20" s="1"/>
  <c r="S972" i="20"/>
  <c r="Q973" i="20" a="1"/>
  <c r="Q973" i="20" s="1"/>
  <c r="R973" i="20" a="1"/>
  <c r="R973" i="20" s="1"/>
  <c r="S973" i="20"/>
  <c r="Q974" i="20" a="1"/>
  <c r="Q974" i="20" s="1"/>
  <c r="R974" i="20" a="1"/>
  <c r="R974" i="20" s="1"/>
  <c r="S974" i="20"/>
  <c r="Q975" i="20" a="1"/>
  <c r="Q975" i="20" s="1"/>
  <c r="R975" i="20" a="1"/>
  <c r="R975" i="20" s="1"/>
  <c r="S975" i="20"/>
  <c r="R976" i="20" a="1"/>
  <c r="R976" i="20" s="1"/>
  <c r="S976" i="20"/>
  <c r="Q976" i="20" a="1"/>
  <c r="Q976" i="20" s="1"/>
  <c r="Q977" i="20" a="1"/>
  <c r="Q977" i="20" s="1"/>
  <c r="R977" i="20" a="1"/>
  <c r="R977" i="20" s="1"/>
  <c r="S977" i="20"/>
  <c r="S978" i="20"/>
  <c r="Q978" i="20" a="1"/>
  <c r="Q978" i="20" s="1"/>
  <c r="R978" i="20" a="1"/>
  <c r="R978" i="20" s="1"/>
  <c r="Q979" i="20" a="1"/>
  <c r="Q979" i="20" s="1"/>
  <c r="R979" i="20" a="1"/>
  <c r="R979" i="20" s="1"/>
  <c r="S979" i="20"/>
  <c r="Q980" i="20" a="1"/>
  <c r="Q980" i="20" s="1"/>
  <c r="R980" i="20" a="1"/>
  <c r="R980" i="20" s="1"/>
  <c r="S980" i="20"/>
  <c r="Q981" i="20" a="1"/>
  <c r="Q981" i="20" s="1"/>
  <c r="R981" i="20" a="1"/>
  <c r="R981" i="20" s="1"/>
  <c r="S981" i="20"/>
  <c r="Q982" i="20" a="1"/>
  <c r="Q982" i="20" s="1"/>
  <c r="R982" i="20" a="1"/>
  <c r="R982" i="20" s="1"/>
  <c r="S982" i="20"/>
  <c r="Q983" i="20" a="1"/>
  <c r="Q983" i="20" s="1"/>
  <c r="R983" i="20" a="1"/>
  <c r="R983" i="20" s="1"/>
  <c r="S983" i="20"/>
  <c r="Q984" i="20" a="1"/>
  <c r="Q984" i="20" s="1"/>
  <c r="R984" i="20" a="1"/>
  <c r="R984" i="20" s="1"/>
  <c r="S984" i="20"/>
  <c r="Q985" i="20" a="1"/>
  <c r="Q985" i="20" s="1"/>
  <c r="R985" i="20" a="1"/>
  <c r="R985" i="20" s="1"/>
  <c r="S985" i="20"/>
  <c r="Q986" i="20" a="1"/>
  <c r="Q986" i="20" s="1"/>
  <c r="R986" i="20" a="1"/>
  <c r="R986" i="20" s="1"/>
  <c r="S986" i="20"/>
  <c r="Q987" i="20" a="1"/>
  <c r="Q987" i="20" s="1"/>
  <c r="R987" i="20" a="1"/>
  <c r="R987" i="20" s="1"/>
  <c r="S987" i="20"/>
  <c r="S988" i="20"/>
  <c r="Q988" i="20" a="1"/>
  <c r="Q988" i="20" s="1"/>
  <c r="R988" i="20" a="1"/>
  <c r="R988" i="20" s="1"/>
  <c r="Q989" i="20" a="1"/>
  <c r="Q989" i="20" s="1"/>
  <c r="R989" i="20" a="1"/>
  <c r="R989" i="20" s="1"/>
  <c r="S989" i="20"/>
  <c r="R990" i="20" a="1"/>
  <c r="R990" i="20" s="1"/>
  <c r="S990" i="20"/>
  <c r="Q990" i="20" a="1"/>
  <c r="Q990" i="20" s="1"/>
  <c r="Q991" i="20" a="1"/>
  <c r="Q991" i="20" s="1"/>
  <c r="R991" i="20" a="1"/>
  <c r="R991" i="20" s="1"/>
  <c r="S991" i="20"/>
  <c r="Q992" i="20" a="1"/>
  <c r="Q992" i="20" s="1"/>
  <c r="R992" i="20" a="1"/>
  <c r="R992" i="20" s="1"/>
  <c r="S992" i="20"/>
  <c r="Q993" i="20" a="1"/>
  <c r="Q993" i="20" s="1"/>
  <c r="R993" i="20" a="1"/>
  <c r="R993" i="20" s="1"/>
  <c r="S993" i="20"/>
  <c r="Q994" i="20" a="1"/>
  <c r="Q994" i="20" s="1"/>
  <c r="R994" i="20" a="1"/>
  <c r="R994" i="20" s="1"/>
  <c r="S994" i="20"/>
  <c r="Q995" i="20" a="1"/>
  <c r="Q995" i="20" s="1"/>
  <c r="R995" i="20" a="1"/>
  <c r="R995" i="20" s="1"/>
  <c r="S995" i="20"/>
  <c r="Q996" i="20" a="1"/>
  <c r="Q996" i="20" s="1"/>
  <c r="R996" i="20" a="1"/>
  <c r="R996" i="20" s="1"/>
  <c r="S996" i="20"/>
  <c r="Q997" i="20" a="1"/>
  <c r="Q997" i="20" s="1"/>
  <c r="R997" i="20" a="1"/>
  <c r="R997" i="20" s="1"/>
  <c r="S997" i="20"/>
  <c r="Q998" i="20" a="1"/>
  <c r="Q998" i="20" s="1"/>
  <c r="R998" i="20" a="1"/>
  <c r="R998" i="20" s="1"/>
  <c r="S998" i="20"/>
  <c r="Q999" i="20" a="1"/>
  <c r="Q999" i="20" s="1"/>
  <c r="R999" i="20" a="1"/>
  <c r="R999" i="20" s="1"/>
  <c r="S999" i="20"/>
  <c r="S1000" i="20"/>
  <c r="Q1000" i="20" a="1"/>
  <c r="Q1000" i="20" s="1"/>
  <c r="R1000" i="20" a="1"/>
  <c r="R1000" i="20" s="1"/>
  <c r="Q1001" i="20" a="1"/>
  <c r="Q1001" i="20" s="1"/>
  <c r="R1001" i="20" a="1"/>
  <c r="R1001" i="20" s="1"/>
  <c r="S1001" i="20"/>
  <c r="Q1002" i="20" a="1"/>
  <c r="Q1002" i="20" s="1"/>
  <c r="R1002" i="20" a="1"/>
  <c r="R1002" i="20" s="1"/>
  <c r="S1002" i="20"/>
  <c r="R1003" i="20" a="1"/>
  <c r="R1003" i="20" s="1"/>
  <c r="S1003" i="20"/>
  <c r="Q1003" i="20" a="1"/>
  <c r="Q1003" i="20" s="1"/>
  <c r="Q1004" i="20" a="1"/>
  <c r="Q1004" i="20" s="1"/>
  <c r="R1004" i="20" a="1"/>
  <c r="R1004" i="20" s="1"/>
  <c r="S1004" i="20"/>
  <c r="Q1005" i="20" a="1"/>
  <c r="Q1005" i="20" s="1"/>
  <c r="R1005" i="20" a="1"/>
  <c r="R1005" i="20" s="1"/>
  <c r="S1005" i="20"/>
  <c r="Q1006" i="20" a="1"/>
  <c r="Q1006" i="20" s="1"/>
  <c r="R1006" i="20" a="1"/>
  <c r="R1006" i="20" s="1"/>
  <c r="S1006" i="20"/>
  <c r="Q1007" i="20" a="1"/>
  <c r="Q1007" i="20" s="1"/>
  <c r="R1007" i="20" a="1"/>
  <c r="R1007" i="20" s="1"/>
  <c r="S1007" i="20"/>
  <c r="Q1008" i="20" a="1"/>
  <c r="Q1008" i="20" s="1"/>
  <c r="R1008" i="20" a="1"/>
  <c r="R1008" i="20" s="1"/>
  <c r="S1008" i="20"/>
  <c r="Q1009" i="20" a="1"/>
  <c r="Q1009" i="20" s="1"/>
  <c r="R1009" i="20" a="1"/>
  <c r="R1009" i="20" s="1"/>
  <c r="S1009" i="20"/>
  <c r="Q1010" i="20" a="1"/>
  <c r="Q1010" i="20" s="1"/>
  <c r="R1010" i="20" a="1"/>
  <c r="R1010" i="20" s="1"/>
  <c r="S1010" i="20"/>
  <c r="Q1011" i="20" a="1"/>
  <c r="Q1011" i="20" s="1"/>
  <c r="R1011" i="20" a="1"/>
  <c r="R1011" i="20" s="1"/>
  <c r="S1011" i="20"/>
  <c r="S1012" i="20"/>
  <c r="Q1012" i="20" a="1"/>
  <c r="Q1012" i="20" s="1"/>
  <c r="R1012" i="20" a="1"/>
  <c r="R1012" i="20" s="1"/>
  <c r="Q1013" i="20" a="1"/>
  <c r="Q1013" i="20" s="1"/>
  <c r="R1013" i="20" a="1"/>
  <c r="R1013" i="20" s="1"/>
  <c r="S1013" i="20"/>
  <c r="Q1014" i="20" a="1"/>
  <c r="Q1014" i="20" s="1"/>
  <c r="R1014" i="20" a="1"/>
  <c r="R1014" i="20" s="1"/>
  <c r="S1014" i="20"/>
  <c r="R1015" i="20" a="1"/>
  <c r="R1015" i="20" s="1"/>
  <c r="S1015" i="20"/>
  <c r="Q1015" i="20" a="1"/>
  <c r="Q1015" i="20" s="1"/>
  <c r="Q1016" i="20" a="1"/>
  <c r="Q1016" i="20" s="1"/>
  <c r="R1016" i="20" a="1"/>
  <c r="R1016" i="20" s="1"/>
  <c r="S1016" i="20"/>
  <c r="Q1017" i="20" a="1"/>
  <c r="Q1017" i="20" s="1"/>
  <c r="R1017" i="20" a="1"/>
  <c r="R1017" i="20" s="1"/>
  <c r="S1017" i="20"/>
  <c r="Q1018" i="20" a="1"/>
  <c r="Q1018" i="20" s="1"/>
  <c r="R1018" i="20" a="1"/>
  <c r="R1018" i="20" s="1"/>
  <c r="S1018" i="20"/>
  <c r="Q1019" i="20" a="1"/>
  <c r="Q1019" i="20" s="1"/>
  <c r="R1019" i="20" a="1"/>
  <c r="R1019" i="20" s="1"/>
  <c r="S1019" i="20"/>
  <c r="Q1020" i="20" a="1"/>
  <c r="Q1020" i="20" s="1"/>
  <c r="R1020" i="20" a="1"/>
  <c r="R1020" i="20" s="1"/>
  <c r="S1020" i="20"/>
  <c r="Q1021" i="20" a="1"/>
  <c r="Q1021" i="20" s="1"/>
  <c r="R1021" i="20" a="1"/>
  <c r="R1021" i="20" s="1"/>
  <c r="S1021" i="20"/>
  <c r="Q1022" i="20" a="1"/>
  <c r="Q1022" i="20" s="1"/>
  <c r="R1022" i="20" a="1"/>
  <c r="R1022" i="20" s="1"/>
  <c r="S1022" i="20"/>
  <c r="Q1023" i="20" a="1"/>
  <c r="Q1023" i="20" s="1"/>
  <c r="R1023" i="20" a="1"/>
  <c r="R1023" i="20" s="1"/>
  <c r="S1023" i="20"/>
  <c r="S1024" i="20"/>
  <c r="Q1024" i="20" a="1"/>
  <c r="Q1024" i="20" s="1"/>
  <c r="R1024" i="20" a="1"/>
  <c r="R1024" i="20" s="1"/>
  <c r="Q1025" i="20" a="1"/>
  <c r="Q1025" i="20" s="1"/>
  <c r="R1025" i="20" a="1"/>
  <c r="R1025" i="20" s="1"/>
  <c r="S1025" i="20"/>
  <c r="Q1026" i="20" a="1"/>
  <c r="Q1026" i="20" s="1"/>
  <c r="R1026" i="20" a="1"/>
  <c r="R1026" i="20" s="1"/>
  <c r="S1026" i="20"/>
  <c r="Q1027" i="20" a="1"/>
  <c r="Q1027" i="20" s="1"/>
  <c r="R1027" i="20" a="1"/>
  <c r="R1027" i="20" s="1"/>
  <c r="S1027" i="20"/>
  <c r="R1028" i="20" a="1"/>
  <c r="R1028" i="20" s="1"/>
  <c r="S1028" i="20"/>
  <c r="Q1028" i="20" a="1"/>
  <c r="Q1028" i="20" s="1"/>
  <c r="Q1029" i="20" a="1"/>
  <c r="Q1029" i="20" s="1"/>
  <c r="R1029" i="20" a="1"/>
  <c r="R1029" i="20" s="1"/>
  <c r="S1029" i="20"/>
  <c r="Q1030" i="20" a="1"/>
  <c r="Q1030" i="20" s="1"/>
  <c r="R1030" i="20" a="1"/>
  <c r="R1030" i="20" s="1"/>
  <c r="S1030" i="20"/>
  <c r="Q1031" i="20" a="1"/>
  <c r="Q1031" i="20" s="1"/>
  <c r="R1031" i="20" a="1"/>
  <c r="R1031" i="20" s="1"/>
  <c r="S1031" i="20"/>
  <c r="Q1032" i="20" a="1"/>
  <c r="Q1032" i="20" s="1"/>
  <c r="R1032" i="20" a="1"/>
  <c r="R1032" i="20" s="1"/>
  <c r="S1032" i="20"/>
  <c r="Q1033" i="20" a="1"/>
  <c r="Q1033" i="20" s="1"/>
  <c r="R1033" i="20" a="1"/>
  <c r="R1033" i="20" s="1"/>
  <c r="S1033" i="20"/>
  <c r="Q1034" i="20" a="1"/>
  <c r="Q1034" i="20" s="1"/>
  <c r="R1034" i="20" a="1"/>
  <c r="R1034" i="20" s="1"/>
  <c r="S1034" i="20"/>
  <c r="Q1035" i="20" a="1"/>
  <c r="Q1035" i="20" s="1"/>
  <c r="R1035" i="20" a="1"/>
  <c r="R1035" i="20" s="1"/>
  <c r="S1035" i="20"/>
  <c r="S1036" i="20"/>
  <c r="Q1036" i="20" a="1"/>
  <c r="Q1036" i="20" s="1"/>
  <c r="R1036" i="20" a="1"/>
  <c r="R1036" i="20" s="1"/>
  <c r="Q1037" i="20" a="1"/>
  <c r="Q1037" i="20" s="1"/>
  <c r="R1037" i="20" a="1"/>
  <c r="R1037" i="20" s="1"/>
  <c r="S1037" i="20"/>
  <c r="Q1038" i="20" a="1"/>
  <c r="Q1038" i="20" s="1"/>
  <c r="R1038" i="20" a="1"/>
  <c r="R1038" i="20" s="1"/>
  <c r="S1038" i="20"/>
  <c r="Q1039" i="20" a="1"/>
  <c r="Q1039" i="20" s="1"/>
  <c r="R1039" i="20" a="1"/>
  <c r="R1039" i="20" s="1"/>
  <c r="S1039" i="20"/>
  <c r="R1040" i="20" a="1"/>
  <c r="R1040" i="20" s="1"/>
  <c r="S1040" i="20"/>
  <c r="Q1040" i="20" a="1"/>
  <c r="Q1040" i="20" s="1"/>
  <c r="Q1041" i="20" a="1"/>
  <c r="Q1041" i="20" s="1"/>
  <c r="R1041" i="20" a="1"/>
  <c r="R1041" i="20" s="1"/>
  <c r="S1041" i="20"/>
  <c r="R1042" i="20" a="1"/>
  <c r="R1042" i="20" s="1"/>
  <c r="S1042" i="20"/>
  <c r="Q1042" i="20" a="1"/>
  <c r="Q1042" i="20" s="1"/>
  <c r="Q1043" i="20" a="1"/>
  <c r="Q1043" i="20" s="1"/>
  <c r="R1043" i="20" a="1"/>
  <c r="R1043" i="20" s="1"/>
  <c r="S1043" i="20"/>
  <c r="Q1044" i="20" a="1"/>
  <c r="Q1044" i="20" s="1"/>
  <c r="R1044" i="20" a="1"/>
  <c r="R1044" i="20" s="1"/>
  <c r="S1044" i="20"/>
  <c r="Q1045" i="20" a="1"/>
  <c r="Q1045" i="20" s="1"/>
  <c r="R1045" i="20" a="1"/>
  <c r="R1045" i="20" s="1"/>
  <c r="S1045" i="20"/>
  <c r="Q1046" i="20" a="1"/>
  <c r="Q1046" i="20" s="1"/>
  <c r="R1046" i="20" a="1"/>
  <c r="R1046" i="20" s="1"/>
  <c r="S1046" i="20"/>
  <c r="Q1047" i="20" a="1"/>
  <c r="Q1047" i="20" s="1"/>
  <c r="R1047" i="20" a="1"/>
  <c r="R1047" i="20" s="1"/>
  <c r="S1047" i="20"/>
  <c r="Q1048" i="20" a="1"/>
  <c r="Q1048" i="20" s="1"/>
  <c r="R1048" i="20" a="1"/>
  <c r="R1048" i="20" s="1"/>
  <c r="S1048" i="20"/>
  <c r="S1049" i="20"/>
  <c r="Q1049" i="20" a="1"/>
  <c r="Q1049" i="20" s="1"/>
  <c r="R1049" i="20" a="1"/>
  <c r="R1049" i="20" s="1"/>
  <c r="Q1050" i="20" a="1"/>
  <c r="Q1050" i="20" s="1"/>
  <c r="R1050" i="20" a="1"/>
  <c r="R1050" i="20" s="1"/>
  <c r="S1050" i="20"/>
  <c r="Q1051" i="20" a="1"/>
  <c r="Q1051" i="20" s="1"/>
  <c r="R1051" i="20" a="1"/>
  <c r="R1051" i="20" s="1"/>
  <c r="S1051" i="20"/>
  <c r="Q1052" i="20" a="1"/>
  <c r="Q1052" i="20" s="1"/>
  <c r="R1052" i="20" a="1"/>
  <c r="R1052" i="20" s="1"/>
  <c r="S1052" i="20"/>
  <c r="R1053" i="20" a="1"/>
  <c r="R1053" i="20" s="1"/>
  <c r="S1053" i="20"/>
  <c r="Q1053" i="20" a="1"/>
  <c r="Q1053" i="20" s="1"/>
  <c r="Q1054" i="20" a="1"/>
  <c r="Q1054" i="20" s="1"/>
  <c r="R1054" i="20" a="1"/>
  <c r="R1054" i="20" s="1"/>
  <c r="S1054" i="20"/>
  <c r="Q1055" i="20" a="1"/>
  <c r="Q1055" i="20" s="1"/>
  <c r="R1055" i="20" a="1"/>
  <c r="R1055" i="20" s="1"/>
  <c r="S1055" i="20"/>
  <c r="R1056" i="20" a="1"/>
  <c r="R1056" i="20" s="1"/>
  <c r="S1056" i="20"/>
  <c r="Q1056" i="20" a="1"/>
  <c r="Q1056" i="20" s="1"/>
  <c r="Q1057" i="20" a="1"/>
  <c r="Q1057" i="20" s="1"/>
  <c r="R1057" i="20" a="1"/>
  <c r="R1057" i="20" s="1"/>
  <c r="S1057" i="20"/>
  <c r="Q1058" i="20" a="1"/>
  <c r="Q1058" i="20" s="1"/>
  <c r="R1058" i="20" a="1"/>
  <c r="R1058" i="20" s="1"/>
  <c r="S1058" i="20"/>
  <c r="S1059" i="20"/>
  <c r="Q1059" i="20" a="1"/>
  <c r="Q1059" i="20" s="1"/>
  <c r="R1059" i="20" a="1"/>
  <c r="R1059" i="20" s="1"/>
  <c r="Q1060" i="20" a="1"/>
  <c r="Q1060" i="20" s="1"/>
  <c r="R1060" i="20" a="1"/>
  <c r="R1060" i="20" s="1"/>
  <c r="S1060" i="20"/>
  <c r="Q1061" i="20" a="1"/>
  <c r="Q1061" i="20" s="1"/>
  <c r="R1061" i="20" a="1"/>
  <c r="R1061" i="20" s="1"/>
  <c r="S1061" i="20"/>
  <c r="Q1062" i="20" a="1"/>
  <c r="Q1062" i="20" s="1"/>
  <c r="R1062" i="20" a="1"/>
  <c r="R1062" i="20" s="1"/>
  <c r="S1062" i="20"/>
  <c r="Q1063" i="20" a="1"/>
  <c r="Q1063" i="20" s="1"/>
  <c r="R1063" i="20" a="1"/>
  <c r="R1063" i="20" s="1"/>
  <c r="S1063" i="20"/>
  <c r="Q1064" i="20" a="1"/>
  <c r="Q1064" i="20" s="1"/>
  <c r="R1064" i="20" a="1"/>
  <c r="R1064" i="20" s="1"/>
  <c r="S1064" i="20"/>
  <c r="R1065" i="20" a="1"/>
  <c r="R1065" i="20" s="1"/>
  <c r="S1065" i="20"/>
  <c r="Q1065" i="20" a="1"/>
  <c r="Q1065" i="20" s="1"/>
  <c r="Q1066" i="20" a="1"/>
  <c r="Q1066" i="20" s="1"/>
  <c r="R1066" i="20" a="1"/>
  <c r="R1066" i="20" s="1"/>
  <c r="S1066" i="20"/>
  <c r="Q1067" i="20" a="1"/>
  <c r="Q1067" i="20" s="1"/>
  <c r="R1067" i="20" a="1"/>
  <c r="R1067" i="20" s="1"/>
  <c r="S1067" i="20"/>
  <c r="Q1068" i="20" a="1"/>
  <c r="Q1068" i="20" s="1"/>
  <c r="R1068" i="20" a="1"/>
  <c r="R1068" i="20" s="1"/>
  <c r="S1068" i="20"/>
  <c r="Q1069" i="20" a="1"/>
  <c r="Q1069" i="20" s="1"/>
  <c r="R1069" i="20" a="1"/>
  <c r="R1069" i="20" s="1"/>
  <c r="S1069" i="20"/>
  <c r="S1070" i="20"/>
  <c r="Q1070" i="20" a="1"/>
  <c r="Q1070" i="20" s="1"/>
  <c r="R1070" i="20" a="1"/>
  <c r="R1070" i="20" s="1"/>
  <c r="Q1071" i="20" a="1"/>
  <c r="Q1071" i="20" s="1"/>
  <c r="R1071" i="20" a="1"/>
  <c r="R1071" i="20" s="1"/>
  <c r="S1071" i="20"/>
  <c r="R1072" i="20" a="1"/>
  <c r="R1072" i="20" s="1"/>
  <c r="S1072" i="20"/>
  <c r="Q1072" i="20" a="1"/>
  <c r="Q1072" i="20" s="1"/>
  <c r="Q1073" i="20" a="1"/>
  <c r="Q1073" i="20" s="1"/>
  <c r="R1073" i="20" a="1"/>
  <c r="R1073" i="20" s="1"/>
  <c r="S1073" i="20"/>
  <c r="Q1074" i="20" a="1"/>
  <c r="Q1074" i="20" s="1"/>
  <c r="R1074" i="20" a="1"/>
  <c r="R1074" i="20" s="1"/>
  <c r="S1074" i="20"/>
  <c r="Q1075" i="20" a="1"/>
  <c r="Q1075" i="20" s="1"/>
  <c r="R1075" i="20" a="1"/>
  <c r="R1075" i="20" s="1"/>
  <c r="S1075" i="20"/>
  <c r="Q1076" i="20" a="1"/>
  <c r="Q1076" i="20" s="1"/>
  <c r="R1076" i="20" a="1"/>
  <c r="R1076" i="20" s="1"/>
  <c r="S1076" i="20"/>
  <c r="R1077" i="20" a="1"/>
  <c r="R1077" i="20" s="1"/>
  <c r="S1077" i="20"/>
  <c r="Q1077" i="20" a="1"/>
  <c r="Q1077" i="20" s="1"/>
  <c r="Q1078" i="20" a="1"/>
  <c r="Q1078" i="20" s="1"/>
  <c r="R1078" i="20" a="1"/>
  <c r="R1078" i="20" s="1"/>
  <c r="S1078" i="20"/>
  <c r="Q1079" i="20" a="1"/>
  <c r="Q1079" i="20" s="1"/>
  <c r="R1079" i="20" a="1"/>
  <c r="R1079" i="20" s="1"/>
  <c r="S1079" i="20"/>
  <c r="Q1080" i="20" a="1"/>
  <c r="Q1080" i="20" s="1"/>
  <c r="R1080" i="20" a="1"/>
  <c r="R1080" i="20" s="1"/>
  <c r="S1080" i="20"/>
  <c r="S1081" i="20"/>
  <c r="Q1081" i="20" a="1"/>
  <c r="Q1081" i="20" s="1"/>
  <c r="R1081" i="20" a="1"/>
  <c r="R1081" i="20" s="1"/>
  <c r="Q1082" i="20" a="1"/>
  <c r="Q1082" i="20" s="1"/>
  <c r="R1082" i="20" a="1"/>
  <c r="R1082" i="20" s="1"/>
  <c r="S1082" i="20"/>
  <c r="Q1083" i="20" a="1"/>
  <c r="Q1083" i="20" s="1"/>
  <c r="R1083" i="20" a="1"/>
  <c r="R1083" i="20" s="1"/>
  <c r="S1083" i="20"/>
  <c r="Q1084" i="20" a="1"/>
  <c r="Q1084" i="20" s="1"/>
  <c r="R1084" i="20" a="1"/>
  <c r="R1084" i="20" s="1"/>
  <c r="S1084" i="20"/>
  <c r="R1085" i="20" a="1"/>
  <c r="R1085" i="20" s="1"/>
  <c r="S1085" i="20"/>
  <c r="Q1085" i="20" a="1"/>
  <c r="Q1085" i="20" s="1"/>
  <c r="Q1086" i="20" a="1"/>
  <c r="Q1086" i="20" s="1"/>
  <c r="R1086" i="20" a="1"/>
  <c r="R1086" i="20" s="1"/>
  <c r="S1086" i="20"/>
  <c r="Q1087" i="20" a="1"/>
  <c r="Q1087" i="20" s="1"/>
  <c r="R1087" i="20" a="1"/>
  <c r="R1087" i="20" s="1"/>
  <c r="S1087" i="20"/>
  <c r="Q1088" i="20" a="1"/>
  <c r="Q1088" i="20" s="1"/>
  <c r="R1088" i="20" a="1"/>
  <c r="R1088" i="20" s="1"/>
  <c r="S1088" i="20"/>
  <c r="R1089" i="20" a="1"/>
  <c r="R1089" i="20" s="1"/>
  <c r="S1089" i="20"/>
  <c r="Q1089" i="20" a="1"/>
  <c r="Q1089" i="20" s="1"/>
  <c r="Q1090" i="20" a="1"/>
  <c r="Q1090" i="20" s="1"/>
  <c r="R1090" i="20" a="1"/>
  <c r="R1090" i="20" s="1"/>
  <c r="S1090" i="20"/>
  <c r="S1091" i="20"/>
  <c r="Q1091" i="20" a="1"/>
  <c r="Q1091" i="20" s="1"/>
  <c r="R1091" i="20" a="1"/>
  <c r="R1091" i="20" s="1"/>
  <c r="Q1092" i="20" a="1"/>
  <c r="Q1092" i="20" s="1"/>
  <c r="R1092" i="20" a="1"/>
  <c r="R1092" i="20" s="1"/>
  <c r="S1092" i="20"/>
  <c r="Q1093" i="20" a="1"/>
  <c r="Q1093" i="20" s="1"/>
  <c r="R1093" i="20" a="1"/>
  <c r="R1093" i="20" s="1"/>
  <c r="S1093" i="20"/>
  <c r="Q1094" i="20" a="1"/>
  <c r="Q1094" i="20" s="1"/>
  <c r="R1094" i="20" a="1"/>
  <c r="R1094" i="20" s="1"/>
  <c r="S1094" i="20"/>
  <c r="Q1095" i="20" a="1"/>
  <c r="Q1095" i="20" s="1"/>
  <c r="R1095" i="20" a="1"/>
  <c r="R1095" i="20" s="1"/>
  <c r="S1095" i="20"/>
  <c r="Q1096" i="20" a="1"/>
  <c r="Q1096" i="20" s="1"/>
  <c r="R1096" i="20" a="1"/>
  <c r="R1096" i="20" s="1"/>
  <c r="S1096" i="20"/>
  <c r="Q1097" i="20" a="1"/>
  <c r="Q1097" i="20" s="1"/>
  <c r="R1097" i="20" a="1"/>
  <c r="R1097" i="20" s="1"/>
  <c r="S1097" i="20"/>
  <c r="R1098" i="20" a="1"/>
  <c r="R1098" i="20" s="1"/>
  <c r="S1098" i="20"/>
  <c r="Q1098" i="20" a="1"/>
  <c r="Q1098" i="20" s="1"/>
  <c r="Q1099" i="20" a="1"/>
  <c r="Q1099" i="20" s="1"/>
  <c r="R1099" i="20" a="1"/>
  <c r="R1099" i="20" s="1"/>
  <c r="S1099" i="20"/>
  <c r="S1100" i="20"/>
  <c r="Q1100" i="20" a="1"/>
  <c r="Q1100" i="20" s="1"/>
  <c r="R1100" i="20" a="1"/>
  <c r="R1100" i="20" s="1"/>
  <c r="Q1101" i="20" a="1"/>
  <c r="Q1101" i="20" s="1"/>
  <c r="R1101" i="20" a="1"/>
  <c r="R1101" i="20" s="1"/>
  <c r="S1101" i="20"/>
  <c r="Q1102" i="20" a="1"/>
  <c r="Q1102" i="20" s="1"/>
  <c r="R1102" i="20" a="1"/>
  <c r="R1102" i="20" s="1"/>
  <c r="S1102" i="20"/>
  <c r="Q1103" i="20" a="1"/>
  <c r="Q1103" i="20" s="1"/>
  <c r="R1103" i="20" a="1"/>
  <c r="R1103" i="20" s="1"/>
  <c r="S1103" i="20"/>
  <c r="Q1104" i="20" a="1"/>
  <c r="Q1104" i="20" s="1"/>
  <c r="R1104" i="20" a="1"/>
  <c r="R1104" i="20" s="1"/>
  <c r="S1104" i="20"/>
  <c r="R1105" i="20" a="1"/>
  <c r="R1105" i="20" s="1"/>
  <c r="S1105" i="20"/>
  <c r="Q1105" i="20" a="1"/>
  <c r="Q1105" i="20" s="1"/>
  <c r="Q1106" i="20" a="1"/>
  <c r="Q1106" i="20" s="1"/>
  <c r="R1106" i="20" a="1"/>
  <c r="R1106" i="20" s="1"/>
  <c r="S1106" i="20"/>
  <c r="Q1107" i="20" a="1"/>
  <c r="Q1107" i="20" s="1"/>
  <c r="R1107" i="20" a="1"/>
  <c r="R1107" i="20" s="1"/>
  <c r="S1107" i="20"/>
  <c r="Q1108" i="20" a="1"/>
  <c r="Q1108" i="20" s="1"/>
  <c r="R1108" i="20" a="1"/>
  <c r="R1108" i="20" s="1"/>
  <c r="S1108" i="20"/>
  <c r="S1109" i="20"/>
  <c r="Q1109" i="20" a="1"/>
  <c r="Q1109" i="20" s="1"/>
  <c r="R1109" i="20" a="1"/>
  <c r="R1109" i="20" s="1"/>
  <c r="R1110" i="20" a="1"/>
  <c r="R1110" i="20" s="1"/>
  <c r="S1110" i="20"/>
  <c r="Q1110" i="20" a="1"/>
  <c r="Q1110" i="20" s="1"/>
  <c r="Q1111" i="20" a="1"/>
  <c r="Q1111" i="20" s="1"/>
  <c r="R1111" i="20" a="1"/>
  <c r="R1111" i="20" s="1"/>
  <c r="S1111" i="20"/>
  <c r="Q1112" i="20" a="1"/>
  <c r="Q1112" i="20" s="1"/>
  <c r="R1112" i="20" a="1"/>
  <c r="R1112" i="20" s="1"/>
  <c r="S1112" i="20"/>
  <c r="Q1113" i="20" a="1"/>
  <c r="Q1113" i="20" s="1"/>
  <c r="R1113" i="20" a="1"/>
  <c r="R1113" i="20" s="1"/>
  <c r="S1113" i="20"/>
  <c r="Q1114" i="20" a="1"/>
  <c r="Q1114" i="20" s="1"/>
  <c r="R1114" i="20" a="1"/>
  <c r="R1114" i="20" s="1"/>
  <c r="S1114" i="20"/>
  <c r="Q1115" i="20" a="1"/>
  <c r="Q1115" i="20" s="1"/>
  <c r="R1115" i="20" a="1"/>
  <c r="R1115" i="20" s="1"/>
  <c r="S1115" i="20"/>
  <c r="Q1116" i="20" a="1"/>
  <c r="Q1116" i="20" s="1"/>
  <c r="R1116" i="20" a="1"/>
  <c r="R1116" i="20" s="1"/>
  <c r="S1116" i="20"/>
  <c r="R1117" i="20" a="1"/>
  <c r="R1117" i="20" s="1"/>
  <c r="S1117" i="20"/>
  <c r="Q1117" i="20" a="1"/>
  <c r="Q1117" i="20" s="1"/>
  <c r="Q1118" i="20" a="1"/>
  <c r="Q1118" i="20" s="1"/>
  <c r="R1118" i="20" a="1"/>
  <c r="R1118" i="20" s="1"/>
  <c r="S1118" i="20"/>
  <c r="Q1119" i="20" a="1"/>
  <c r="Q1119" i="20" s="1"/>
  <c r="R1119" i="20" a="1"/>
  <c r="R1119" i="20" s="1"/>
  <c r="S1119" i="20"/>
  <c r="Q1120" i="20" a="1"/>
  <c r="Q1120" i="20" s="1"/>
  <c r="R1120" i="20" a="1"/>
  <c r="R1120" i="20" s="1"/>
  <c r="S1120" i="20"/>
  <c r="S1121" i="20"/>
  <c r="Q1121" i="20" a="1"/>
  <c r="Q1121" i="20" s="1"/>
  <c r="R1121" i="20" a="1"/>
  <c r="R1121" i="20" s="1"/>
  <c r="Q1122" i="20" a="1"/>
  <c r="Q1122" i="20" s="1"/>
  <c r="R1122" i="20" a="1"/>
  <c r="R1122" i="20" s="1"/>
  <c r="S1122" i="20"/>
  <c r="R1123" i="20" a="1"/>
  <c r="R1123" i="20" s="1"/>
  <c r="S1123" i="20"/>
  <c r="Q1123" i="20" a="1"/>
  <c r="Q1123" i="20" s="1"/>
  <c r="Q1124" i="20" a="1"/>
  <c r="Q1124" i="20" s="1"/>
  <c r="R1124" i="20" a="1"/>
  <c r="R1124" i="20" s="1"/>
  <c r="S1124" i="20"/>
  <c r="Q1125" i="20" a="1"/>
  <c r="Q1125" i="20" s="1"/>
  <c r="R1125" i="20" a="1"/>
  <c r="R1125" i="20" s="1"/>
  <c r="S1125" i="20"/>
  <c r="Q1126" i="20" a="1"/>
  <c r="Q1126" i="20" s="1"/>
  <c r="R1126" i="20" a="1"/>
  <c r="R1126" i="20" s="1"/>
  <c r="S1126" i="20"/>
  <c r="R1127" i="20" a="1"/>
  <c r="R1127" i="20" s="1"/>
  <c r="S1127" i="20"/>
  <c r="Q1127" i="20" a="1"/>
  <c r="Q1127" i="20" s="1"/>
  <c r="Q1128" i="20" a="1"/>
  <c r="Q1128" i="20" s="1"/>
  <c r="R1128" i="20" a="1"/>
  <c r="R1128" i="20" s="1"/>
  <c r="S1128" i="20"/>
  <c r="Q1129" i="20" a="1"/>
  <c r="Q1129" i="20" s="1"/>
  <c r="R1129" i="20" a="1"/>
  <c r="R1129" i="20" s="1"/>
  <c r="S1129" i="20"/>
  <c r="Q1130" i="20" a="1"/>
  <c r="Q1130" i="20" s="1"/>
  <c r="R1130" i="20" a="1"/>
  <c r="R1130" i="20" s="1"/>
  <c r="S1130" i="20"/>
  <c r="Q1131" i="20" a="1"/>
  <c r="Q1131" i="20" s="1"/>
  <c r="R1131" i="20" a="1"/>
  <c r="R1131" i="20" s="1"/>
  <c r="S1131" i="20"/>
  <c r="S1132" i="20"/>
  <c r="Q1132" i="20" a="1"/>
  <c r="Q1132" i="20" s="1"/>
  <c r="R1132" i="20" a="1"/>
  <c r="R1132" i="20" s="1"/>
  <c r="Q1133" i="20" a="1"/>
  <c r="Q1133" i="20" s="1"/>
  <c r="R1133" i="20" a="1"/>
  <c r="R1133" i="20" s="1"/>
  <c r="S1133" i="20"/>
  <c r="Q1134" i="20" a="1"/>
  <c r="Q1134" i="20" s="1"/>
  <c r="R1134" i="20" a="1"/>
  <c r="R1134" i="20" s="1"/>
  <c r="S1134" i="20"/>
  <c r="Q1135" i="20" a="1"/>
  <c r="Q1135" i="20" s="1"/>
  <c r="R1135" i="20" a="1"/>
  <c r="R1135" i="20" s="1"/>
  <c r="S1135" i="20"/>
  <c r="R1136" i="20" a="1"/>
  <c r="R1136" i="20" s="1"/>
  <c r="S1136" i="20"/>
  <c r="Q1136" i="20" a="1"/>
  <c r="Q1136" i="20" s="1"/>
  <c r="R1137" i="20" a="1"/>
  <c r="R1137" i="20" s="1"/>
  <c r="S1137" i="20"/>
  <c r="Q1137" i="20" a="1"/>
  <c r="Q1137" i="20" s="1"/>
  <c r="Q1138" i="20" a="1"/>
  <c r="Q1138" i="20" s="1"/>
  <c r="R1138" i="20" a="1"/>
  <c r="R1138" i="20" s="1"/>
  <c r="S1138" i="20"/>
  <c r="Q1139" i="20" a="1"/>
  <c r="Q1139" i="20" s="1"/>
  <c r="R1139" i="20" a="1"/>
  <c r="R1139" i="20" s="1"/>
  <c r="S1139" i="20"/>
  <c r="Q1140" i="20" a="1"/>
  <c r="Q1140" i="20" s="1"/>
  <c r="R1140" i="20" a="1"/>
  <c r="R1140" i="20" s="1"/>
  <c r="S1140" i="20"/>
  <c r="Q1141" i="20" a="1"/>
  <c r="Q1141" i="20" s="1"/>
  <c r="R1141" i="20" a="1"/>
  <c r="R1141" i="20" s="1"/>
  <c r="S1141" i="20"/>
  <c r="Q1142" i="20" a="1"/>
  <c r="Q1142" i="20" s="1"/>
  <c r="R1142" i="20" a="1"/>
  <c r="R1142" i="20" s="1"/>
  <c r="S1142" i="20"/>
  <c r="S1143" i="20"/>
  <c r="Q1143" i="20" a="1"/>
  <c r="Q1143" i="20" s="1"/>
  <c r="R1143" i="20" a="1"/>
  <c r="R1143" i="20" s="1"/>
  <c r="Q1144" i="20" a="1"/>
  <c r="Q1144" i="20" s="1"/>
  <c r="R1144" i="20" a="1"/>
  <c r="R1144" i="20" s="1"/>
  <c r="S1144" i="20"/>
  <c r="Q1145" i="20" a="1"/>
  <c r="Q1145" i="20" s="1"/>
  <c r="R1145" i="20" a="1"/>
  <c r="R1145" i="20" s="1"/>
  <c r="S1145" i="20"/>
  <c r="Q1146" i="20" a="1"/>
  <c r="Q1146" i="20" s="1"/>
  <c r="R1146" i="20" a="1"/>
  <c r="R1146" i="20" s="1"/>
  <c r="S1146" i="20"/>
  <c r="Q1147" i="20" a="1"/>
  <c r="Q1147" i="20" s="1"/>
  <c r="R1147" i="20" a="1"/>
  <c r="R1147" i="20" s="1"/>
  <c r="S1147" i="20"/>
  <c r="R1148" i="20" a="1"/>
  <c r="R1148" i="20" s="1"/>
  <c r="S1148" i="20"/>
  <c r="Q1148" i="20" a="1"/>
  <c r="Q1148" i="20" s="1"/>
  <c r="Q1149" i="20" a="1"/>
  <c r="Q1149" i="20" s="1"/>
  <c r="R1149" i="20" a="1"/>
  <c r="R1149" i="20" s="1"/>
  <c r="S1149" i="20"/>
  <c r="R1150" i="20" a="1"/>
  <c r="R1150" i="20" s="1"/>
  <c r="S1150" i="20"/>
  <c r="Q1150" i="20" a="1"/>
  <c r="Q1150" i="20" s="1"/>
  <c r="Q1151" i="20" a="1"/>
  <c r="Q1151" i="20" s="1"/>
  <c r="R1151" i="20" a="1"/>
  <c r="R1151" i="20" s="1"/>
  <c r="S1151" i="20"/>
  <c r="Q1152" i="20" a="1"/>
  <c r="Q1152" i="20" s="1"/>
  <c r="R1152" i="20" a="1"/>
  <c r="R1152" i="20" s="1"/>
  <c r="S1152" i="20"/>
  <c r="Q1153" i="20" a="1"/>
  <c r="Q1153" i="20" s="1"/>
  <c r="R1153" i="20" a="1"/>
  <c r="R1153" i="20" s="1"/>
  <c r="S1153" i="20"/>
  <c r="Q1154" i="20" a="1"/>
  <c r="Q1154" i="20" s="1"/>
  <c r="R1154" i="20" a="1"/>
  <c r="R1154" i="20" s="1"/>
  <c r="S1154" i="20"/>
  <c r="S1155" i="20"/>
  <c r="Q1155" i="20" a="1"/>
  <c r="Q1155" i="20" s="1"/>
  <c r="R1155" i="20" a="1"/>
  <c r="R1155" i="20" s="1"/>
  <c r="Q1156" i="20" a="1"/>
  <c r="Q1156" i="20" s="1"/>
  <c r="R1156" i="20" a="1"/>
  <c r="R1156" i="20" s="1"/>
  <c r="S1156" i="20"/>
  <c r="Q1157" i="20" a="1"/>
  <c r="Q1157" i="20" s="1"/>
  <c r="R1157" i="20" a="1"/>
  <c r="R1157" i="20" s="1"/>
  <c r="S1157" i="20"/>
  <c r="Q1158" i="20" a="1"/>
  <c r="Q1158" i="20" s="1"/>
  <c r="R1158" i="20" a="1"/>
  <c r="R1158" i="20" s="1"/>
  <c r="S1158" i="20"/>
  <c r="Q1159" i="20" a="1"/>
  <c r="Q1159" i="20" s="1"/>
  <c r="R1159" i="20" a="1"/>
  <c r="R1159" i="20" s="1"/>
  <c r="S1159" i="20"/>
  <c r="R1160" i="20" a="1"/>
  <c r="R1160" i="20" s="1"/>
  <c r="S1160" i="20"/>
  <c r="Q1160" i="20" a="1"/>
  <c r="Q1160" i="20" s="1"/>
  <c r="Q1161" i="20" a="1"/>
  <c r="Q1161" i="20" s="1"/>
  <c r="R1161" i="20" a="1"/>
  <c r="R1161" i="20" s="1"/>
  <c r="S1161" i="20"/>
  <c r="Q1162" i="20" a="1"/>
  <c r="Q1162" i="20" s="1"/>
  <c r="R1162" i="20" a="1"/>
  <c r="R1162" i="20" s="1"/>
  <c r="S1162" i="20"/>
  <c r="Q1163" i="20" a="1"/>
  <c r="Q1163" i="20" s="1"/>
  <c r="R1163" i="20" a="1"/>
  <c r="R1163" i="20" s="1"/>
  <c r="S1163" i="20"/>
  <c r="Q1164" i="20" a="1"/>
  <c r="Q1164" i="20" s="1"/>
  <c r="R1164" i="20" a="1"/>
  <c r="R1164" i="20" s="1"/>
  <c r="S1164" i="20"/>
  <c r="Q1165" i="20" a="1"/>
  <c r="Q1165" i="20" s="1"/>
  <c r="R1165" i="20" a="1"/>
  <c r="R1165" i="20" s="1"/>
  <c r="S1165" i="20"/>
  <c r="S1166" i="20"/>
  <c r="Q1166" i="20" a="1"/>
  <c r="Q1166" i="20" s="1"/>
  <c r="R1166" i="20" a="1"/>
  <c r="R1166" i="20" s="1"/>
  <c r="Q1167" i="20" a="1"/>
  <c r="Q1167" i="20" s="1"/>
  <c r="R1167" i="20" a="1"/>
  <c r="R1167" i="20" s="1"/>
  <c r="S1167" i="20"/>
  <c r="Q1168" i="20" a="1"/>
  <c r="Q1168" i="20" s="1"/>
  <c r="R1168" i="20" a="1"/>
  <c r="R1168" i="20" s="1"/>
  <c r="S1168" i="20"/>
  <c r="R1169" i="20" a="1"/>
  <c r="R1169" i="20" s="1"/>
  <c r="S1169" i="20"/>
  <c r="Q1169" i="20" a="1"/>
  <c r="Q1169" i="20" s="1"/>
  <c r="Q1170" i="20" a="1"/>
  <c r="Q1170" i="20" s="1"/>
  <c r="R1170" i="20" a="1"/>
  <c r="R1170" i="20" s="1"/>
  <c r="S1170" i="20"/>
  <c r="R1171" i="20" a="1"/>
  <c r="R1171" i="20" s="1"/>
  <c r="S1171" i="20"/>
  <c r="Q1171" i="20" a="1"/>
  <c r="Q1171" i="20" s="1"/>
  <c r="Q1172" i="20" a="1"/>
  <c r="Q1172" i="20" s="1"/>
  <c r="R1172" i="20" a="1"/>
  <c r="R1172" i="20" s="1"/>
  <c r="S1172" i="20"/>
  <c r="Q1173" i="20" a="1"/>
  <c r="Q1173" i="20" s="1"/>
  <c r="R1173" i="20" a="1"/>
  <c r="R1173" i="20" s="1"/>
  <c r="S1173" i="20"/>
  <c r="Q1174" i="20" a="1"/>
  <c r="Q1174" i="20" s="1"/>
  <c r="R1174" i="20" a="1"/>
  <c r="R1174" i="20" s="1"/>
  <c r="S1174" i="20"/>
  <c r="Q1175" i="20" a="1"/>
  <c r="Q1175" i="20" s="1"/>
  <c r="R1175" i="20" a="1"/>
  <c r="R1175" i="20" s="1"/>
  <c r="S1175" i="20"/>
  <c r="Q1176" i="20" a="1"/>
  <c r="Q1176" i="20" s="1"/>
  <c r="R1176" i="20" a="1"/>
  <c r="R1176" i="20" s="1"/>
  <c r="S1176" i="20"/>
  <c r="Q1177" i="20" a="1"/>
  <c r="Q1177" i="20" s="1"/>
  <c r="R1177" i="20" a="1"/>
  <c r="R1177" i="20" s="1"/>
  <c r="S1177" i="20"/>
  <c r="S1178" i="20"/>
  <c r="Q1178" i="20" a="1"/>
  <c r="Q1178" i="20" s="1"/>
  <c r="R1178" i="20" a="1"/>
  <c r="R1178" i="20" s="1"/>
  <c r="Q1179" i="20" a="1"/>
  <c r="Q1179" i="20" s="1"/>
  <c r="R1179" i="20" a="1"/>
  <c r="R1179" i="20" s="1"/>
  <c r="S1179" i="20"/>
  <c r="R1180" i="20" a="1"/>
  <c r="R1180" i="20" s="1"/>
  <c r="S1180" i="20"/>
  <c r="Q1180" i="20" a="1"/>
  <c r="Q1180" i="20" s="1"/>
  <c r="Q1181" i="20" a="1"/>
  <c r="Q1181" i="20" s="1"/>
  <c r="R1181" i="20" a="1"/>
  <c r="R1181" i="20" s="1"/>
  <c r="S1181" i="20"/>
  <c r="Q1182" i="20" a="1"/>
  <c r="Q1182" i="20" s="1"/>
  <c r="R1182" i="20" a="1"/>
  <c r="R1182" i="20" s="1"/>
  <c r="S1182" i="20"/>
  <c r="R1183" i="20" a="1"/>
  <c r="R1183" i="20" s="1"/>
  <c r="S1183" i="20"/>
  <c r="Q1183" i="20" a="1"/>
  <c r="Q1183" i="20" s="1"/>
  <c r="Q1184" i="20" a="1"/>
  <c r="Q1184" i="20" s="1"/>
  <c r="R1184" i="20" a="1"/>
  <c r="R1184" i="20" s="1"/>
  <c r="S1184" i="20"/>
  <c r="Q1185" i="20" a="1"/>
  <c r="Q1185" i="20" s="1"/>
  <c r="R1185" i="20" a="1"/>
  <c r="R1185" i="20" s="1"/>
  <c r="S1185" i="20"/>
  <c r="Q1186" i="20" a="1"/>
  <c r="Q1186" i="20" s="1"/>
  <c r="R1186" i="20" a="1"/>
  <c r="R1186" i="20" s="1"/>
  <c r="S1186" i="20"/>
  <c r="Q1187" i="20" a="1"/>
  <c r="Q1187" i="20" s="1"/>
  <c r="R1187" i="20" a="1"/>
  <c r="R1187" i="20" s="1"/>
  <c r="S1187" i="20"/>
  <c r="Q1188" i="20" a="1"/>
  <c r="Q1188" i="20" s="1"/>
  <c r="R1188" i="20" a="1"/>
  <c r="R1188" i="20" s="1"/>
  <c r="S1188" i="20"/>
  <c r="S1189" i="20"/>
  <c r="Q1189" i="20" a="1"/>
  <c r="Q1189" i="20" s="1"/>
  <c r="R1189" i="20" a="1"/>
  <c r="R1189" i="20" s="1"/>
  <c r="Q1190" i="20" a="1"/>
  <c r="Q1190" i="20" s="1"/>
  <c r="R1190" i="20" a="1"/>
  <c r="R1190" i="20" s="1"/>
  <c r="S1190" i="20"/>
  <c r="Q1191" i="20" a="1"/>
  <c r="Q1191" i="20" s="1"/>
  <c r="R1191" i="20" a="1"/>
  <c r="R1191" i="20" s="1"/>
  <c r="S1191" i="20"/>
  <c r="Q1192" i="20" a="1"/>
  <c r="Q1192" i="20" s="1"/>
  <c r="R1192" i="20" a="1"/>
  <c r="R1192" i="20" s="1"/>
  <c r="S1192" i="20"/>
  <c r="R1193" i="20" a="1"/>
  <c r="R1193" i="20" s="1"/>
  <c r="S1193" i="20"/>
  <c r="Q1193" i="20" a="1"/>
  <c r="Q1193" i="20" s="1"/>
  <c r="Q1194" i="20" a="1"/>
  <c r="Q1194" i="20" s="1"/>
  <c r="R1194" i="20" a="1"/>
  <c r="R1194" i="20" s="1"/>
  <c r="S1194" i="20"/>
  <c r="Q1195" i="20" a="1"/>
  <c r="Q1195" i="20" s="1"/>
  <c r="R1195" i="20" a="1"/>
  <c r="R1195" i="20" s="1"/>
  <c r="S1195" i="20"/>
  <c r="Q1196" i="20" a="1"/>
  <c r="Q1196" i="20" s="1"/>
  <c r="R1196" i="20" a="1"/>
  <c r="R1196" i="20" s="1"/>
  <c r="S1196" i="20"/>
  <c r="Q1197" i="20" a="1"/>
  <c r="Q1197" i="20" s="1"/>
  <c r="R1197" i="20" a="1"/>
  <c r="R1197" i="20" s="1"/>
  <c r="S1197" i="20"/>
  <c r="S1198" i="20"/>
  <c r="Q1198" i="20" a="1"/>
  <c r="Q1198" i="20" s="1"/>
  <c r="R1198" i="20" a="1"/>
  <c r="R1198" i="20" s="1"/>
  <c r="Q1199" i="20" a="1"/>
  <c r="Q1199" i="20" s="1"/>
  <c r="R1199" i="20" a="1"/>
  <c r="R1199" i="20" s="1"/>
  <c r="S1199" i="20"/>
  <c r="Q1200" i="20" a="1"/>
  <c r="Q1200" i="20" s="1"/>
  <c r="R1200" i="20" a="1"/>
  <c r="R1200" i="20" s="1"/>
  <c r="S1200" i="20"/>
  <c r="Q1201" i="20" a="1"/>
  <c r="Q1201" i="20" s="1"/>
  <c r="R1201" i="20" a="1"/>
  <c r="R1201" i="20" s="1"/>
  <c r="S1201" i="20"/>
  <c r="R1202" i="20" a="1"/>
  <c r="R1202" i="20" s="1"/>
  <c r="S1202" i="20"/>
  <c r="Q1202" i="20" a="1"/>
  <c r="Q1202" i="20" s="1"/>
  <c r="Q1203" i="20" a="1"/>
  <c r="Q1203" i="20" s="1"/>
  <c r="R1203" i="20" a="1"/>
  <c r="R1203" i="20" s="1"/>
  <c r="S1203" i="20"/>
  <c r="Q1204" i="20" a="1"/>
  <c r="Q1204" i="20" s="1"/>
  <c r="R1204" i="20" a="1"/>
  <c r="R1204" i="20" s="1"/>
  <c r="S1204" i="20"/>
  <c r="Q1205" i="20" a="1"/>
  <c r="Q1205" i="20" s="1"/>
  <c r="R1205" i="20" a="1"/>
  <c r="R1205" i="20" s="1"/>
  <c r="S1205" i="20"/>
  <c r="R1206" i="20" a="1"/>
  <c r="R1206" i="20" s="1"/>
  <c r="S1206" i="20"/>
  <c r="Q1206" i="20" a="1"/>
  <c r="Q1206" i="20" s="1"/>
  <c r="Q1207" i="20" a="1"/>
  <c r="Q1207" i="20" s="1"/>
  <c r="R1207" i="20" a="1"/>
  <c r="R1207" i="20" s="1"/>
  <c r="S1207" i="20"/>
  <c r="Q1208" i="20" a="1"/>
  <c r="Q1208" i="20" s="1"/>
  <c r="R1208" i="20" a="1"/>
  <c r="R1208" i="20" s="1"/>
  <c r="S1208" i="20"/>
  <c r="S1209" i="20"/>
  <c r="Q1209" i="20" a="1"/>
  <c r="Q1209" i="20" s="1"/>
  <c r="R1209" i="20" a="1"/>
  <c r="R1209" i="20" s="1"/>
  <c r="Q1210" i="20" a="1"/>
  <c r="Q1210" i="20" s="1"/>
  <c r="R1210" i="20" a="1"/>
  <c r="R1210" i="20" s="1"/>
  <c r="S1210" i="20"/>
  <c r="Q1211" i="20" a="1"/>
  <c r="Q1211" i="20" s="1"/>
  <c r="R1211" i="20" a="1"/>
  <c r="R1211" i="20" s="1"/>
  <c r="S1211" i="20"/>
  <c r="R1212" i="20" a="1"/>
  <c r="R1212" i="20" s="1"/>
  <c r="S1212" i="20"/>
  <c r="Q1212" i="20" a="1"/>
  <c r="Q1212" i="20" s="1"/>
  <c r="Q1213" i="20" a="1"/>
  <c r="Q1213" i="20" s="1"/>
  <c r="R1213" i="20" a="1"/>
  <c r="R1213" i="20" s="1"/>
  <c r="S1213" i="20"/>
  <c r="Q1214" i="20" a="1"/>
  <c r="Q1214" i="20" s="1"/>
  <c r="R1214" i="20" a="1"/>
  <c r="R1214" i="20" s="1"/>
  <c r="S1214" i="20"/>
  <c r="Q1215" i="20" a="1"/>
  <c r="Q1215" i="20" s="1"/>
  <c r="R1215" i="20" a="1"/>
  <c r="R1215" i="20" s="1"/>
  <c r="S1215" i="20"/>
  <c r="R1216" i="20" a="1"/>
  <c r="R1216" i="20" s="1"/>
  <c r="S1216" i="20"/>
  <c r="Q1216" i="20" a="1"/>
  <c r="Q1216" i="20" s="1"/>
  <c r="Q1217" i="20" a="1"/>
  <c r="Q1217" i="20" s="1"/>
  <c r="R1217" i="20" a="1"/>
  <c r="R1217" i="20" s="1"/>
  <c r="S1217" i="20"/>
  <c r="S1218" i="20"/>
  <c r="Q1218" i="20" a="1"/>
  <c r="Q1218" i="20" s="1"/>
  <c r="R1218" i="20" a="1"/>
  <c r="R1218" i="20" s="1"/>
  <c r="Q1219" i="20" a="1"/>
  <c r="Q1219" i="20" s="1"/>
  <c r="R1219" i="20" a="1"/>
  <c r="R1219" i="20" s="1"/>
  <c r="S1219" i="20"/>
  <c r="Q1220" i="20" a="1"/>
  <c r="Q1220" i="20" s="1"/>
  <c r="R1220" i="20" a="1"/>
  <c r="R1220" i="20" s="1"/>
  <c r="S1220" i="20"/>
  <c r="Q1221" i="20" a="1"/>
  <c r="Q1221" i="20" s="1"/>
  <c r="R1221" i="20" a="1"/>
  <c r="R1221" i="20" s="1"/>
  <c r="S1221" i="20"/>
  <c r="Q1222" i="20" a="1"/>
  <c r="Q1222" i="20" s="1"/>
  <c r="R1222" i="20" a="1"/>
  <c r="R1222" i="20" s="1"/>
  <c r="S1222" i="20"/>
  <c r="R1223" i="20" a="1"/>
  <c r="R1223" i="20" s="1"/>
  <c r="S1223" i="20"/>
  <c r="Q1223" i="20" a="1"/>
  <c r="Q1223" i="20" s="1"/>
  <c r="Q1224" i="20" a="1"/>
  <c r="Q1224" i="20" s="1"/>
  <c r="R1224" i="20" a="1"/>
  <c r="R1224" i="20" s="1"/>
  <c r="S1224" i="20"/>
  <c r="Q1225" i="20" a="1"/>
  <c r="Q1225" i="20" s="1"/>
  <c r="R1225" i="20" a="1"/>
  <c r="R1225" i="20" s="1"/>
  <c r="S1225" i="20"/>
  <c r="S1226" i="20"/>
  <c r="Q1226" i="20" a="1"/>
  <c r="Q1226" i="20" s="1"/>
  <c r="R1226" i="20" a="1"/>
  <c r="R1226" i="20" s="1"/>
  <c r="Q1227" i="20" a="1"/>
  <c r="Q1227" i="20" s="1"/>
  <c r="R1227" i="20" a="1"/>
  <c r="R1227" i="20" s="1"/>
  <c r="S1227" i="20"/>
  <c r="R1228" i="20" a="1"/>
  <c r="R1228" i="20" s="1"/>
  <c r="S1228" i="20"/>
  <c r="Q1228" i="20" a="1"/>
  <c r="Q1228" i="20" s="1"/>
  <c r="Q1229" i="20" a="1"/>
  <c r="Q1229" i="20" s="1"/>
  <c r="R1229" i="20" a="1"/>
  <c r="R1229" i="20" s="1"/>
  <c r="S1229" i="20"/>
  <c r="Q1230" i="20" a="1"/>
  <c r="Q1230" i="20" s="1"/>
  <c r="R1230" i="20" a="1"/>
  <c r="R1230" i="20" s="1"/>
  <c r="S1230" i="20"/>
  <c r="Q1231" i="20" a="1"/>
  <c r="Q1231" i="20" s="1"/>
  <c r="R1231" i="20" a="1"/>
  <c r="R1231" i="20" s="1"/>
  <c r="S1231" i="20"/>
  <c r="Q1232" i="20" a="1"/>
  <c r="Q1232" i="20" s="1"/>
  <c r="R1232" i="20" a="1"/>
  <c r="R1232" i="20" s="1"/>
  <c r="S1232" i="20"/>
  <c r="Q1233" i="20" a="1"/>
  <c r="Q1233" i="20" s="1"/>
  <c r="R1233" i="20" a="1"/>
  <c r="R1233" i="20" s="1"/>
  <c r="S1233" i="20"/>
  <c r="Q1234" i="20" a="1"/>
  <c r="Q1234" i="20" s="1"/>
  <c r="R1234" i="20" a="1"/>
  <c r="R1234" i="20" s="1"/>
  <c r="S1234" i="20"/>
  <c r="S1235" i="20"/>
  <c r="Q1235" i="20" a="1"/>
  <c r="Q1235" i="20" s="1"/>
  <c r="R1235" i="20" a="1"/>
  <c r="R1235" i="20" s="1"/>
  <c r="Q1236" i="20" a="1"/>
  <c r="Q1236" i="20" s="1"/>
  <c r="R1236" i="20" a="1"/>
  <c r="R1236" i="20" s="1"/>
  <c r="S1236" i="20"/>
  <c r="R1237" i="20" a="1"/>
  <c r="R1237" i="20" s="1"/>
  <c r="S1237" i="20"/>
  <c r="Q1237" i="20" a="1"/>
  <c r="Q1237" i="20" s="1"/>
  <c r="Q1238" i="20" a="1"/>
  <c r="Q1238" i="20" s="1"/>
  <c r="R1238" i="20" a="1"/>
  <c r="R1238" i="20" s="1"/>
  <c r="S1238" i="20"/>
  <c r="Q1239" i="20" a="1"/>
  <c r="Q1239" i="20" s="1"/>
  <c r="R1239" i="20" a="1"/>
  <c r="R1239" i="20" s="1"/>
  <c r="S1239" i="20"/>
  <c r="Q1240" i="20" a="1"/>
  <c r="Q1240" i="20" s="1"/>
  <c r="R1240" i="20" a="1"/>
  <c r="R1240" i="20" s="1"/>
  <c r="S1240" i="20"/>
  <c r="Q1241" i="20" a="1"/>
  <c r="Q1241" i="20" s="1"/>
  <c r="R1241" i="20" a="1"/>
  <c r="R1241" i="20" s="1"/>
  <c r="S1241" i="20"/>
  <c r="Q1242" i="20" a="1"/>
  <c r="Q1242" i="20" s="1"/>
  <c r="R1242" i="20" a="1"/>
  <c r="R1242" i="20" s="1"/>
  <c r="S1242" i="20"/>
  <c r="Q1243" i="20" a="1"/>
  <c r="Q1243" i="20" s="1"/>
  <c r="R1243" i="20" a="1"/>
  <c r="R1243" i="20" s="1"/>
  <c r="S1243" i="20"/>
  <c r="Q1244" i="20" a="1"/>
  <c r="Q1244" i="20" s="1"/>
  <c r="R1244" i="20" a="1"/>
  <c r="R1244" i="20" s="1"/>
  <c r="S1244" i="20"/>
  <c r="S1245" i="20"/>
  <c r="Q1245" i="20" a="1"/>
  <c r="Q1245" i="20" s="1"/>
  <c r="R1245" i="20" a="1"/>
  <c r="R1245" i="20" s="1"/>
  <c r="Q1246" i="20" a="1"/>
  <c r="Q1246" i="20" s="1"/>
  <c r="R1246" i="20" a="1"/>
  <c r="R1246" i="20" s="1"/>
  <c r="S1246" i="20"/>
  <c r="R1247" i="20" a="1"/>
  <c r="R1247" i="20" s="1"/>
  <c r="S1247" i="20"/>
  <c r="Q1247" i="20" a="1"/>
  <c r="Q1247" i="20" s="1"/>
  <c r="R1248" i="20" a="1"/>
  <c r="R1248" i="20" s="1"/>
  <c r="S1248" i="20"/>
  <c r="Q1248" i="20" a="1"/>
  <c r="Q1248" i="20" s="1"/>
  <c r="Q1249" i="20" a="1"/>
  <c r="Q1249" i="20" s="1"/>
  <c r="R1249" i="20" a="1"/>
  <c r="R1249" i="20" s="1"/>
  <c r="S1249" i="20"/>
  <c r="Q1250" i="20" a="1"/>
  <c r="Q1250" i="20" s="1"/>
  <c r="R1250" i="20" a="1"/>
  <c r="R1250" i="20" s="1"/>
  <c r="S1250" i="20"/>
  <c r="Q1251" i="20" a="1"/>
  <c r="Q1251" i="20" s="1"/>
  <c r="R1251" i="20" a="1"/>
  <c r="R1251" i="20" s="1"/>
  <c r="S1251" i="20"/>
  <c r="Q1252" i="20" a="1"/>
  <c r="Q1252" i="20" s="1"/>
  <c r="R1252" i="20" a="1"/>
  <c r="R1252" i="20" s="1"/>
  <c r="S1252" i="20"/>
  <c r="Q1253" i="20" a="1"/>
  <c r="Q1253" i="20" s="1"/>
  <c r="R1253" i="20" a="1"/>
  <c r="R1253" i="20" s="1"/>
  <c r="S1253" i="20"/>
  <c r="Q1254" i="20" a="1"/>
  <c r="Q1254" i="20" s="1"/>
  <c r="R1254" i="20" a="1"/>
  <c r="R1254" i="20" s="1"/>
  <c r="S1254" i="20"/>
  <c r="Q1255" i="20" a="1"/>
  <c r="Q1255" i="20" s="1"/>
  <c r="R1255" i="20" a="1"/>
  <c r="R1255" i="20" s="1"/>
  <c r="S1255" i="20"/>
  <c r="S1256" i="20"/>
  <c r="Q1256" i="20" a="1"/>
  <c r="Q1256" i="20" s="1"/>
  <c r="R1256" i="20" a="1"/>
  <c r="R1256" i="20" s="1"/>
  <c r="Q1257" i="20" a="1"/>
  <c r="Q1257" i="20" s="1"/>
  <c r="R1257" i="20" a="1"/>
  <c r="R1257" i="20" s="1"/>
  <c r="S1257" i="20"/>
  <c r="Q1258" i="20" a="1"/>
  <c r="Q1258" i="20" s="1"/>
  <c r="R1258" i="20" a="1"/>
  <c r="R1258" i="20" s="1"/>
  <c r="S1258" i="20"/>
  <c r="R1259" i="20" a="1"/>
  <c r="R1259" i="20" s="1"/>
  <c r="S1259" i="20"/>
  <c r="Q1259" i="20" a="1"/>
  <c r="Q1259" i="20" s="1"/>
  <c r="Q1260" i="20" a="1"/>
  <c r="Q1260" i="20" s="1"/>
  <c r="R1260" i="20" a="1"/>
  <c r="R1260" i="20" s="1"/>
  <c r="S1260" i="20"/>
  <c r="R1261" i="20" a="1"/>
  <c r="R1261" i="20" s="1"/>
  <c r="S1261" i="20"/>
  <c r="Q1261" i="20" a="1"/>
  <c r="Q1261" i="20" s="1"/>
  <c r="Q1262" i="20" a="1"/>
  <c r="Q1262" i="20" s="1"/>
  <c r="R1262" i="20" a="1"/>
  <c r="R1262" i="20" s="1"/>
  <c r="S1262" i="20"/>
  <c r="Q1263" i="20" a="1"/>
  <c r="Q1263" i="20" s="1"/>
  <c r="R1263" i="20" a="1"/>
  <c r="R1263" i="20" s="1"/>
  <c r="S1263" i="20"/>
  <c r="Q1264" i="20" a="1"/>
  <c r="Q1264" i="20" s="1"/>
  <c r="R1264" i="20" a="1"/>
  <c r="R1264" i="20" s="1"/>
  <c r="S1264" i="20"/>
  <c r="Q1265" i="20" a="1"/>
  <c r="Q1265" i="20" s="1"/>
  <c r="R1265" i="20" a="1"/>
  <c r="R1265" i="20" s="1"/>
  <c r="S1265" i="20"/>
  <c r="Q1266" i="20" a="1"/>
  <c r="Q1266" i="20" s="1"/>
  <c r="R1266" i="20" a="1"/>
  <c r="R1266" i="20" s="1"/>
  <c r="S1266" i="20"/>
  <c r="Q1267" i="20" a="1"/>
  <c r="Q1267" i="20" s="1"/>
  <c r="R1267" i="20" a="1"/>
  <c r="R1267" i="20" s="1"/>
  <c r="S1267" i="20"/>
  <c r="Q1268" i="20" a="1"/>
  <c r="Q1268" i="20" s="1"/>
  <c r="R1268" i="20" a="1"/>
  <c r="R1268" i="20" s="1"/>
  <c r="S1268" i="20"/>
  <c r="S1269" i="20"/>
  <c r="Q1269" i="20" a="1"/>
  <c r="Q1269" i="20" s="1"/>
  <c r="R1269" i="20" a="1"/>
  <c r="R1269" i="20" s="1"/>
  <c r="R1270" i="20" a="1"/>
  <c r="R1270" i="20" s="1"/>
  <c r="S1270" i="20"/>
  <c r="Q1270" i="20" a="1"/>
  <c r="Q1270" i="20" s="1"/>
  <c r="Q1271" i="20" a="1"/>
  <c r="Q1271" i="20" s="1"/>
  <c r="R1271" i="20" a="1"/>
  <c r="R1271" i="20" s="1"/>
  <c r="S1271" i="20"/>
  <c r="Q1272" i="20" a="1"/>
  <c r="Q1272" i="20" s="1"/>
  <c r="R1272" i="20" a="1"/>
  <c r="R1272" i="20" s="1"/>
  <c r="S1272" i="20"/>
  <c r="R1273" i="20" a="1"/>
  <c r="R1273" i="20" s="1"/>
  <c r="S1273" i="20"/>
  <c r="Q1273" i="20" a="1"/>
  <c r="Q1273" i="20" s="1"/>
  <c r="Q1274" i="20" a="1"/>
  <c r="Q1274" i="20" s="1"/>
  <c r="R1274" i="20" a="1"/>
  <c r="R1274" i="20" s="1"/>
  <c r="S1274" i="20"/>
  <c r="Q1275" i="20" a="1"/>
  <c r="Q1275" i="20" s="1"/>
  <c r="R1275" i="20" a="1"/>
  <c r="R1275" i="20" s="1"/>
  <c r="S1275" i="20"/>
  <c r="Q1276" i="20" a="1"/>
  <c r="Q1276" i="20" s="1"/>
  <c r="R1276" i="20" a="1"/>
  <c r="R1276" i="20" s="1"/>
  <c r="S1276" i="20"/>
  <c r="Q1277" i="20" a="1"/>
  <c r="Q1277" i="20" s="1"/>
  <c r="R1277" i="20" a="1"/>
  <c r="R1277" i="20" s="1"/>
  <c r="S1277" i="20"/>
  <c r="Q1278" i="20" a="1"/>
  <c r="Q1278" i="20" s="1"/>
  <c r="R1278" i="20" a="1"/>
  <c r="R1278" i="20" s="1"/>
  <c r="S1278" i="20"/>
  <c r="Q1279" i="20" a="1"/>
  <c r="Q1279" i="20" s="1"/>
  <c r="R1279" i="20" a="1"/>
  <c r="R1279" i="20" s="1"/>
  <c r="S1279" i="20"/>
  <c r="S1280" i="20"/>
  <c r="Q1280" i="20" a="1"/>
  <c r="Q1280" i="20" s="1"/>
  <c r="R1280" i="20" a="1"/>
  <c r="R1280" i="20" s="1"/>
  <c r="R1281" i="20" a="1"/>
  <c r="R1281" i="20" s="1"/>
  <c r="S1281" i="20"/>
  <c r="Q1281" i="20" a="1"/>
  <c r="Q1281" i="20" s="1"/>
  <c r="Q1282" i="20" a="1"/>
  <c r="Q1282" i="20" s="1"/>
  <c r="R1282" i="20" a="1"/>
  <c r="R1282" i="20" s="1"/>
  <c r="S1282" i="20"/>
  <c r="Q1283" i="20" a="1"/>
  <c r="Q1283" i="20" s="1"/>
  <c r="R1283" i="20" a="1"/>
  <c r="R1283" i="20" s="1"/>
  <c r="S1283" i="20"/>
  <c r="Q1284" i="20" a="1"/>
  <c r="Q1284" i="20" s="1"/>
  <c r="R1284" i="20" a="1"/>
  <c r="R1284" i="20" s="1"/>
  <c r="S1284" i="20"/>
  <c r="Q1285" i="20" a="1"/>
  <c r="Q1285" i="20" s="1"/>
  <c r="R1285" i="20" a="1"/>
  <c r="R1285" i="20" s="1"/>
  <c r="S1285" i="20"/>
  <c r="Q1286" i="20" a="1"/>
  <c r="Q1286" i="20" s="1"/>
  <c r="R1286" i="20" a="1"/>
  <c r="R1286" i="20" s="1"/>
  <c r="S1286" i="20"/>
  <c r="Q1287" i="20" a="1"/>
  <c r="Q1287" i="20" s="1"/>
  <c r="R1287" i="20" a="1"/>
  <c r="R1287" i="20" s="1"/>
  <c r="S1287" i="20"/>
  <c r="R1288" i="20" a="1"/>
  <c r="R1288" i="20" s="1"/>
  <c r="S1288" i="20"/>
  <c r="Q1288" i="20" a="1"/>
  <c r="Q1288" i="20" s="1"/>
  <c r="Q1289" i="20" a="1"/>
  <c r="Q1289" i="20" s="1"/>
  <c r="R1289" i="20" a="1"/>
  <c r="R1289" i="20" s="1"/>
  <c r="S1289" i="20"/>
  <c r="Q1290" i="20" a="1"/>
  <c r="Q1290" i="20" s="1"/>
  <c r="R1290" i="20" a="1"/>
  <c r="R1290" i="20" s="1"/>
  <c r="S1290" i="20"/>
  <c r="S1291" i="20"/>
  <c r="Q1291" i="20" a="1"/>
  <c r="Q1291" i="20" s="1"/>
  <c r="R1291" i="20" a="1"/>
  <c r="R1291" i="20" s="1"/>
  <c r="R1292" i="20" a="1"/>
  <c r="R1292" i="20" s="1"/>
  <c r="S1292" i="20"/>
  <c r="Q1292" i="20" a="1"/>
  <c r="Q1292" i="20" s="1"/>
  <c r="Q1293" i="20" a="1"/>
  <c r="Q1293" i="20" s="1"/>
  <c r="R1293" i="20" a="1"/>
  <c r="R1293" i="20" s="1"/>
  <c r="S1293" i="20"/>
  <c r="Q1294" i="20" a="1"/>
  <c r="Q1294" i="20" s="1"/>
  <c r="R1294" i="20" a="1"/>
  <c r="R1294" i="20" s="1"/>
  <c r="S1294" i="20"/>
  <c r="Q1295" i="20" a="1"/>
  <c r="Q1295" i="20" s="1"/>
  <c r="R1295" i="20" a="1"/>
  <c r="R1295" i="20" s="1"/>
  <c r="S1295" i="20"/>
  <c r="Q1296" i="20" a="1"/>
  <c r="Q1296" i="20" s="1"/>
  <c r="R1296" i="20" a="1"/>
  <c r="R1296" i="20" s="1"/>
  <c r="S1296" i="20"/>
  <c r="Q1297" i="20" a="1"/>
  <c r="Q1297" i="20" s="1"/>
  <c r="R1297" i="20" a="1"/>
  <c r="R1297" i="20" s="1"/>
  <c r="S1297" i="20"/>
  <c r="Q1298" i="20" a="1"/>
  <c r="Q1298" i="20" s="1"/>
  <c r="R1298" i="20" a="1"/>
  <c r="R1298" i="20" s="1"/>
  <c r="S1298" i="20"/>
  <c r="S1299" i="20"/>
  <c r="Q1299" i="20" a="1"/>
  <c r="Q1299" i="20" s="1"/>
  <c r="R1299" i="20" a="1"/>
  <c r="R1299" i="20" s="1"/>
  <c r="Q1300" i="20" a="1"/>
  <c r="Q1300" i="20" s="1"/>
  <c r="R1300" i="20" a="1"/>
  <c r="R1300" i="20" s="1"/>
  <c r="S1300" i="20"/>
  <c r="Q1301" i="20" a="1"/>
  <c r="Q1301" i="20" s="1"/>
  <c r="R1301" i="20" a="1"/>
  <c r="R1301" i="20" s="1"/>
  <c r="S1301" i="20"/>
  <c r="R1302" i="20" a="1"/>
  <c r="R1302" i="20" s="1"/>
  <c r="S1302" i="20"/>
  <c r="Q1302" i="20" a="1"/>
  <c r="Q1302" i="20" s="1"/>
  <c r="Q1303" i="20" a="1"/>
  <c r="Q1303" i="20" s="1"/>
  <c r="R1303" i="20" a="1"/>
  <c r="R1303" i="20" s="1"/>
  <c r="S1303" i="20"/>
  <c r="R1304" i="20" a="1"/>
  <c r="R1304" i="20" s="1"/>
  <c r="S1304" i="20"/>
  <c r="Q1304" i="20" a="1"/>
  <c r="Q1304" i="20" s="1"/>
  <c r="Q1305" i="20" a="1"/>
  <c r="Q1305" i="20" s="1"/>
  <c r="R1305" i="20" a="1"/>
  <c r="R1305" i="20" s="1"/>
  <c r="S1305" i="20"/>
  <c r="Q1306" i="20" a="1"/>
  <c r="Q1306" i="20" s="1"/>
  <c r="R1306" i="20" a="1"/>
  <c r="R1306" i="20" s="1"/>
  <c r="S1306" i="20"/>
  <c r="Q1307" i="20" a="1"/>
  <c r="Q1307" i="20" s="1"/>
  <c r="R1307" i="20" a="1"/>
  <c r="R1307" i="20" s="1"/>
  <c r="S1307" i="20"/>
  <c r="Q1308" i="20" a="1"/>
  <c r="Q1308" i="20" s="1"/>
  <c r="R1308" i="20" a="1"/>
  <c r="R1308" i="20" s="1"/>
  <c r="S1308" i="20"/>
  <c r="Q1309" i="20" a="1"/>
  <c r="Q1309" i="20" s="1"/>
  <c r="R1309" i="20" a="1"/>
  <c r="R1309" i="20" s="1"/>
  <c r="S1309" i="20"/>
  <c r="Q1310" i="20" a="1"/>
  <c r="Q1310" i="20" s="1"/>
  <c r="R1310" i="20" a="1"/>
  <c r="R1310" i="20" s="1"/>
  <c r="S1310" i="20"/>
  <c r="S1311" i="20"/>
  <c r="Q1311" i="20" a="1"/>
  <c r="Q1311" i="20" s="1"/>
  <c r="R1311" i="20" a="1"/>
  <c r="R1311" i="20" s="1"/>
  <c r="Q1312" i="20" a="1"/>
  <c r="Q1312" i="20" s="1"/>
  <c r="R1312" i="20" a="1"/>
  <c r="R1312" i="20" s="1"/>
  <c r="S1312" i="20"/>
  <c r="Q1313" i="20" a="1"/>
  <c r="Q1313" i="20" s="1"/>
  <c r="R1313" i="20" a="1"/>
  <c r="R1313" i="20" s="1"/>
  <c r="S1313" i="20"/>
  <c r="R1314" i="20" a="1"/>
  <c r="R1314" i="20" s="1"/>
  <c r="S1314" i="20"/>
  <c r="Q1314" i="20" a="1"/>
  <c r="Q1314" i="20" s="1"/>
  <c r="Q1315" i="20" a="1"/>
  <c r="Q1315" i="20" s="1"/>
  <c r="R1315" i="20" a="1"/>
  <c r="R1315" i="20" s="1"/>
  <c r="S1315" i="20"/>
  <c r="Q1316" i="20" a="1"/>
  <c r="Q1316" i="20" s="1"/>
  <c r="R1316" i="20" a="1"/>
  <c r="R1316" i="20" s="1"/>
  <c r="S1316" i="20"/>
  <c r="Q1317" i="20" a="1"/>
  <c r="Q1317" i="20" s="1"/>
  <c r="R1317" i="20" a="1"/>
  <c r="R1317" i="20" s="1"/>
  <c r="S1317" i="20"/>
  <c r="R1318" i="20" a="1"/>
  <c r="R1318" i="20" s="1"/>
  <c r="S1318" i="20"/>
  <c r="Q1318" i="20" a="1"/>
  <c r="Q1318" i="20" s="1"/>
  <c r="Q1319" i="20" a="1"/>
  <c r="Q1319" i="20" s="1"/>
  <c r="R1319" i="20" a="1"/>
  <c r="R1319" i="20" s="1"/>
  <c r="S1319" i="20"/>
  <c r="Q1320" i="20" a="1"/>
  <c r="Q1320" i="20" s="1"/>
  <c r="R1320" i="20" a="1"/>
  <c r="R1320" i="20" s="1"/>
  <c r="S1320" i="20"/>
  <c r="Q1321" i="20" a="1"/>
  <c r="Q1321" i="20" s="1"/>
  <c r="R1321" i="20" a="1"/>
  <c r="R1321" i="20" s="1"/>
  <c r="S1321" i="20"/>
  <c r="S1322" i="20"/>
  <c r="Q1322" i="20" a="1"/>
  <c r="Q1322" i="20" s="1"/>
  <c r="R1322" i="20" a="1"/>
  <c r="R1322" i="20" s="1"/>
  <c r="Q1323" i="20" a="1"/>
  <c r="Q1323" i="20" s="1"/>
  <c r="R1323" i="20" a="1"/>
  <c r="R1323" i="20" s="1"/>
  <c r="S1323" i="20"/>
  <c r="Q1324" i="20" a="1"/>
  <c r="Q1324" i="20" s="1"/>
  <c r="R1324" i="20" a="1"/>
  <c r="R1324" i="20" s="1"/>
  <c r="S1324" i="20"/>
  <c r="Q1325" i="20" a="1"/>
  <c r="Q1325" i="20" s="1"/>
  <c r="R1325" i="20" a="1"/>
  <c r="R1325" i="20" s="1"/>
  <c r="S1325" i="20"/>
  <c r="Q1326" i="20" a="1"/>
  <c r="Q1326" i="20" s="1"/>
  <c r="R1326" i="20" a="1"/>
  <c r="R1326" i="20" s="1"/>
  <c r="S1326" i="20"/>
  <c r="R1327" i="20" a="1"/>
  <c r="R1327" i="20" s="1"/>
  <c r="S1327" i="20"/>
  <c r="Q1327" i="20" a="1"/>
  <c r="Q1327" i="20" s="1"/>
  <c r="Q1328" i="20" a="1"/>
  <c r="Q1328" i="20" s="1"/>
  <c r="R1328" i="20" a="1"/>
  <c r="R1328" i="20" s="1"/>
  <c r="S1328" i="20"/>
  <c r="R1329" i="20" a="1"/>
  <c r="R1329" i="20" s="1"/>
  <c r="S1329" i="20"/>
  <c r="Q1329" i="20" a="1"/>
  <c r="Q1329" i="20" s="1"/>
  <c r="Q1330" i="20" a="1"/>
  <c r="Q1330" i="20" s="1"/>
  <c r="R1330" i="20" a="1"/>
  <c r="R1330" i="20" s="1"/>
  <c r="S1330" i="20"/>
  <c r="Q1331" i="20" a="1"/>
  <c r="Q1331" i="20" s="1"/>
  <c r="R1331" i="20" a="1"/>
  <c r="R1331" i="20" s="1"/>
  <c r="S1331" i="20"/>
  <c r="Q1332" i="20" a="1"/>
  <c r="Q1332" i="20" s="1"/>
  <c r="R1332" i="20" a="1"/>
  <c r="R1332" i="20" s="1"/>
  <c r="S1332" i="20"/>
  <c r="Q1333" i="20" a="1"/>
  <c r="Q1333" i="20" s="1"/>
  <c r="R1333" i="20" a="1"/>
  <c r="R1333" i="20" s="1"/>
  <c r="S1333" i="20"/>
  <c r="S1334" i="20"/>
  <c r="Q1334" i="20" a="1"/>
  <c r="Q1334" i="20" s="1"/>
  <c r="R1334" i="20" a="1"/>
  <c r="R1334" i="20" s="1"/>
  <c r="Q1335" i="20" a="1"/>
  <c r="Q1335" i="20" s="1"/>
  <c r="R1335" i="20" a="1"/>
  <c r="R1335" i="20" s="1"/>
  <c r="S1335" i="20"/>
  <c r="Q1336" i="20" a="1"/>
  <c r="Q1336" i="20" s="1"/>
  <c r="R1336" i="20" a="1"/>
  <c r="R1336" i="20" s="1"/>
  <c r="S1336" i="20"/>
  <c r="Q1337" i="20" a="1"/>
  <c r="Q1337" i="20" s="1"/>
  <c r="R1337" i="20" a="1"/>
  <c r="R1337" i="20" s="1"/>
  <c r="S1337" i="20"/>
  <c r="Q1338" i="20" a="1"/>
  <c r="Q1338" i="20" s="1"/>
  <c r="R1338" i="20" a="1"/>
  <c r="R1338" i="20" s="1"/>
  <c r="S1338" i="20"/>
  <c r="Q1339" i="20" a="1"/>
  <c r="Q1339" i="20" s="1"/>
  <c r="R1339" i="20" a="1"/>
  <c r="R1339" i="20" s="1"/>
  <c r="S1339" i="20"/>
  <c r="R1340" i="20" a="1"/>
  <c r="R1340" i="20" s="1"/>
  <c r="S1340" i="20"/>
  <c r="Q1340" i="20" a="1"/>
  <c r="Q1340" i="20" s="1"/>
  <c r="Q1341" i="20" a="1"/>
  <c r="Q1341" i="20" s="1"/>
  <c r="R1341" i="20" a="1"/>
  <c r="R1341" i="20" s="1"/>
  <c r="S1341" i="20"/>
  <c r="R1342" i="20" a="1"/>
  <c r="R1342" i="20" s="1"/>
  <c r="S1342" i="20"/>
  <c r="Q1342" i="20" a="1"/>
  <c r="Q1342" i="20" s="1"/>
  <c r="S1343" i="20"/>
  <c r="Q1343" i="20" a="1"/>
  <c r="Q1343" i="20" s="1"/>
  <c r="R1343" i="20" a="1"/>
  <c r="R1343" i="20" s="1"/>
  <c r="Q1344" i="20" a="1"/>
  <c r="Q1344" i="20" s="1"/>
  <c r="R1344" i="20" a="1"/>
  <c r="R1344" i="20" s="1"/>
  <c r="S1344" i="20"/>
  <c r="Q1345" i="20" a="1"/>
  <c r="Q1345" i="20" s="1"/>
  <c r="R1345" i="20" a="1"/>
  <c r="R1345" i="20" s="1"/>
  <c r="S1345" i="20"/>
  <c r="Q1346" i="20" a="1"/>
  <c r="Q1346" i="20" s="1"/>
  <c r="R1346" i="20" a="1"/>
  <c r="R1346" i="20" s="1"/>
  <c r="S1346" i="20"/>
  <c r="Q1347" i="20" a="1"/>
  <c r="Q1347" i="20" s="1"/>
  <c r="R1347" i="20" a="1"/>
  <c r="R1347" i="20" s="1"/>
  <c r="S1347" i="20"/>
  <c r="Q1348" i="20" a="1"/>
  <c r="Q1348" i="20" s="1"/>
  <c r="R1348" i="20" a="1"/>
  <c r="R1348" i="20" s="1"/>
  <c r="S1348" i="20"/>
  <c r="Q1349" i="20" a="1"/>
  <c r="Q1349" i="20" s="1"/>
  <c r="R1349" i="20" a="1"/>
  <c r="R1349" i="20" s="1"/>
  <c r="S1349" i="20"/>
  <c r="Q1350" i="20" a="1"/>
  <c r="Q1350" i="20" s="1"/>
  <c r="R1350" i="20" a="1"/>
  <c r="R1350" i="20" s="1"/>
  <c r="S1350" i="20"/>
  <c r="R1351" i="20" a="1"/>
  <c r="R1351" i="20" s="1"/>
  <c r="S1351" i="20"/>
  <c r="Q1351" i="20" a="1"/>
  <c r="Q1351" i="20" s="1"/>
  <c r="Q1352" i="20" a="1"/>
  <c r="Q1352" i="20" s="1"/>
  <c r="R1352" i="20" a="1"/>
  <c r="R1352" i="20" s="1"/>
  <c r="S1352" i="20"/>
  <c r="Q1353" i="20" a="1"/>
  <c r="Q1353" i="20" s="1"/>
  <c r="R1353" i="20" a="1"/>
  <c r="R1353" i="20" s="1"/>
  <c r="S1353" i="20"/>
  <c r="S1354" i="20"/>
  <c r="Q1354" i="20" a="1"/>
  <c r="Q1354" i="20" s="1"/>
  <c r="R1354" i="20" a="1"/>
  <c r="R1354" i="20" s="1"/>
  <c r="R1355" i="20" a="1"/>
  <c r="R1355" i="20" s="1"/>
  <c r="S1355" i="20"/>
  <c r="Q1355" i="20" a="1"/>
  <c r="Q1355" i="20" s="1"/>
  <c r="Q1356" i="20" a="1"/>
  <c r="Q1356" i="20" s="1"/>
  <c r="R1356" i="20" a="1"/>
  <c r="R1356" i="20" s="1"/>
  <c r="S1356" i="20"/>
  <c r="Q1357" i="20" a="1"/>
  <c r="Q1357" i="20" s="1"/>
  <c r="R1357" i="20" a="1"/>
  <c r="R1357" i="20" s="1"/>
  <c r="S1357" i="20"/>
  <c r="Q1358" i="20" a="1"/>
  <c r="Q1358" i="20" s="1"/>
  <c r="R1358" i="20" a="1"/>
  <c r="R1358" i="20" s="1"/>
  <c r="S1358" i="20"/>
  <c r="Q1359" i="20" a="1"/>
  <c r="Q1359" i="20" s="1"/>
  <c r="R1359" i="20" a="1"/>
  <c r="R1359" i="20" s="1"/>
  <c r="S1359" i="20"/>
  <c r="Q1360" i="20" a="1"/>
  <c r="Q1360" i="20" s="1"/>
  <c r="R1360" i="20" a="1"/>
  <c r="R1360" i="20" s="1"/>
  <c r="S1360" i="20"/>
  <c r="Q1361" i="20" a="1"/>
  <c r="Q1361" i="20" s="1"/>
  <c r="R1361" i="20" a="1"/>
  <c r="R1361" i="20" s="1"/>
  <c r="S1361" i="20"/>
  <c r="Q1362" i="20" a="1"/>
  <c r="Q1362" i="20" s="1"/>
  <c r="R1362" i="20" a="1"/>
  <c r="R1362" i="20" s="1"/>
  <c r="S1362" i="20"/>
  <c r="R1363" i="20" a="1"/>
  <c r="R1363" i="20" s="1"/>
  <c r="S1363" i="20"/>
  <c r="Q1363" i="20" a="1"/>
  <c r="Q1363" i="20" s="1"/>
  <c r="Q1364" i="20" a="1"/>
  <c r="Q1364" i="20" s="1"/>
  <c r="R1364" i="20" a="1"/>
  <c r="R1364" i="20" s="1"/>
  <c r="S1364" i="20"/>
  <c r="S1365" i="20"/>
  <c r="Q1365" i="20" a="1"/>
  <c r="Q1365" i="20" s="1"/>
  <c r="R1365" i="20" a="1"/>
  <c r="R1365" i="20" s="1"/>
  <c r="Q1366" i="20" a="1"/>
  <c r="Q1366" i="20" s="1"/>
  <c r="R1366" i="20" a="1"/>
  <c r="R1366" i="20" s="1"/>
  <c r="S1366" i="20"/>
  <c r="Q1367" i="20" a="1"/>
  <c r="Q1367" i="20" s="1"/>
  <c r="R1367" i="20" a="1"/>
  <c r="R1367" i="20" s="1"/>
  <c r="S1367" i="20"/>
  <c r="R1368" i="20" a="1"/>
  <c r="R1368" i="20" s="1"/>
  <c r="S1368" i="20"/>
  <c r="Q1368" i="20" a="1"/>
  <c r="Q1368" i="20" s="1"/>
  <c r="Q1369" i="20" a="1"/>
  <c r="Q1369" i="20" s="1"/>
  <c r="R1369" i="20" a="1"/>
  <c r="R1369" i="20" s="1"/>
  <c r="S1369" i="20"/>
  <c r="Q1370" i="20" a="1"/>
  <c r="Q1370" i="20" s="1"/>
  <c r="R1370" i="20" a="1"/>
  <c r="R1370" i="20" s="1"/>
  <c r="S1370" i="20"/>
  <c r="Q1371" i="20" a="1"/>
  <c r="Q1371" i="20" s="1"/>
  <c r="R1371" i="20" a="1"/>
  <c r="R1371" i="20" s="1"/>
  <c r="S1371" i="20"/>
  <c r="Q1372" i="20" a="1"/>
  <c r="Q1372" i="20" s="1"/>
  <c r="R1372" i="20" a="1"/>
  <c r="R1372" i="20" s="1"/>
  <c r="S1372" i="20"/>
  <c r="R1373" i="20" a="1"/>
  <c r="R1373" i="20" s="1"/>
  <c r="S1373" i="20"/>
  <c r="Q1373" i="20" a="1"/>
  <c r="Q1373" i="20" s="1"/>
  <c r="Q1374" i="20" a="1"/>
  <c r="Q1374" i="20" s="1"/>
  <c r="R1374" i="20" a="1"/>
  <c r="R1374" i="20" s="1"/>
  <c r="S1374" i="20"/>
  <c r="Q1375" i="20" a="1"/>
  <c r="Q1375" i="20" s="1"/>
  <c r="R1375" i="20" a="1"/>
  <c r="R1375" i="20" s="1"/>
  <c r="S1375" i="20"/>
  <c r="Q1376" i="20" a="1"/>
  <c r="Q1376" i="20" s="1"/>
  <c r="R1376" i="20" a="1"/>
  <c r="R1376" i="20" s="1"/>
  <c r="S1376" i="20"/>
  <c r="S1377" i="20"/>
  <c r="Q1377" i="20" a="1"/>
  <c r="Q1377" i="20" s="1"/>
  <c r="R1377" i="20" a="1"/>
  <c r="R1377" i="20" s="1"/>
  <c r="Q1378" i="20" a="1"/>
  <c r="Q1378" i="20" s="1"/>
  <c r="R1378" i="20" a="1"/>
  <c r="R1378" i="20" s="1"/>
  <c r="S1378" i="20"/>
  <c r="Q1379" i="20" a="1"/>
  <c r="Q1379" i="20" s="1"/>
  <c r="R1379" i="20" a="1"/>
  <c r="R1379" i="20" s="1"/>
  <c r="S1379" i="20"/>
  <c r="Q1380" i="20" a="1"/>
  <c r="Q1380" i="20" s="1"/>
  <c r="R1380" i="20" a="1"/>
  <c r="R1380" i="20" s="1"/>
  <c r="S1380" i="20"/>
  <c r="Q1381" i="20" a="1"/>
  <c r="Q1381" i="20" s="1"/>
  <c r="R1381" i="20" a="1"/>
  <c r="R1381" i="20" s="1"/>
  <c r="S1381" i="20"/>
  <c r="R1382" i="20" a="1"/>
  <c r="R1382" i="20" s="1"/>
  <c r="S1382" i="20"/>
  <c r="Q1382" i="20" a="1"/>
  <c r="Q1382" i="20" s="1"/>
  <c r="Q1383" i="20" a="1"/>
  <c r="Q1383" i="20" s="1"/>
  <c r="R1383" i="20" a="1"/>
  <c r="R1383" i="20" s="1"/>
  <c r="S1383" i="20"/>
  <c r="Q1384" i="20" a="1"/>
  <c r="Q1384" i="20" s="1"/>
  <c r="R1384" i="20" a="1"/>
  <c r="R1384" i="20" s="1"/>
  <c r="S1384" i="20"/>
  <c r="R1385" i="20" a="1"/>
  <c r="R1385" i="20" s="1"/>
  <c r="S1385" i="20"/>
  <c r="Q1385" i="20" a="1"/>
  <c r="Q1385" i="20" s="1"/>
  <c r="Q1386" i="20" a="1"/>
  <c r="Q1386" i="20" s="1"/>
  <c r="R1386" i="20" a="1"/>
  <c r="R1386" i="20" s="1"/>
  <c r="S1386" i="20"/>
  <c r="Q1387" i="20" a="1"/>
  <c r="Q1387" i="20" s="1"/>
  <c r="R1387" i="20" a="1"/>
  <c r="R1387" i="20" s="1"/>
  <c r="S1387" i="20"/>
  <c r="Q1388" i="20" a="1"/>
  <c r="Q1388" i="20" s="1"/>
  <c r="R1388" i="20" a="1"/>
  <c r="R1388" i="20" s="1"/>
  <c r="S1388" i="20"/>
  <c r="S1389" i="20"/>
  <c r="Q1389" i="20" a="1"/>
  <c r="Q1389" i="20" s="1"/>
  <c r="R1389" i="20" a="1"/>
  <c r="R1389" i="20" s="1"/>
  <c r="Q1390" i="20" a="1"/>
  <c r="Q1390" i="20" s="1"/>
  <c r="R1390" i="20" a="1"/>
  <c r="R1390" i="20" s="1"/>
  <c r="S1390" i="20"/>
  <c r="Q1391" i="20" a="1"/>
  <c r="Q1391" i="20" s="1"/>
  <c r="R1391" i="20" a="1"/>
  <c r="R1391" i="20" s="1"/>
  <c r="S1391" i="20"/>
  <c r="Q1392" i="20" a="1"/>
  <c r="Q1392" i="20" s="1"/>
  <c r="R1392" i="20" a="1"/>
  <c r="R1392" i="20" s="1"/>
  <c r="S1392" i="20"/>
  <c r="Q1393" i="20" a="1"/>
  <c r="Q1393" i="20" s="1"/>
  <c r="R1393" i="20" a="1"/>
  <c r="R1393" i="20" s="1"/>
  <c r="S1393" i="20"/>
  <c r="Q1394" i="20" a="1"/>
  <c r="Q1394" i="20" s="1"/>
  <c r="R1394" i="20" a="1"/>
  <c r="R1394" i="20" s="1"/>
  <c r="S1394" i="20"/>
  <c r="R1395" i="20" a="1"/>
  <c r="R1395" i="20" s="1"/>
  <c r="S1395" i="20"/>
  <c r="Q1395" i="20" a="1"/>
  <c r="Q1395" i="20" s="1"/>
  <c r="Q1396" i="20" a="1"/>
  <c r="Q1396" i="20" s="1"/>
  <c r="R1396" i="20" a="1"/>
  <c r="R1396" i="20" s="1"/>
  <c r="S1396" i="20"/>
  <c r="Q1397" i="20" a="1"/>
  <c r="Q1397" i="20" s="1"/>
  <c r="R1397" i="20" a="1"/>
  <c r="R1397" i="20" s="1"/>
  <c r="S1397" i="20"/>
  <c r="S1398" i="20"/>
  <c r="Q1398" i="20" a="1"/>
  <c r="Q1398" i="20" s="1"/>
  <c r="R1398" i="20" a="1"/>
  <c r="R1398" i="20" s="1"/>
  <c r="Q1399" i="20" a="1"/>
  <c r="Q1399" i="20" s="1"/>
  <c r="R1399" i="20" a="1"/>
  <c r="R1399" i="20" s="1"/>
  <c r="S1399" i="20"/>
  <c r="Q1400" i="20" a="1"/>
  <c r="Q1400" i="20" s="1"/>
  <c r="R1400" i="20" a="1"/>
  <c r="R1400" i="20" s="1"/>
  <c r="S1400" i="20"/>
  <c r="Q1401" i="20" a="1"/>
  <c r="Q1401" i="20" s="1"/>
  <c r="R1401" i="20" a="1"/>
  <c r="R1401" i="20" s="1"/>
  <c r="S1401" i="20"/>
  <c r="Q1402" i="20" a="1"/>
  <c r="Q1402" i="20" s="1"/>
  <c r="R1402" i="20" a="1"/>
  <c r="R1402" i="20" s="1"/>
  <c r="S1402" i="20"/>
  <c r="Q1403" i="20" a="1"/>
  <c r="Q1403" i="20" s="1"/>
  <c r="R1403" i="20" a="1"/>
  <c r="R1403" i="20" s="1"/>
  <c r="S1403" i="20"/>
  <c r="R1404" i="20" a="1"/>
  <c r="R1404" i="20" s="1"/>
  <c r="S1404" i="20"/>
  <c r="Q1404" i="20" a="1"/>
  <c r="Q1404" i="20" s="1"/>
  <c r="R1405" i="20" a="1"/>
  <c r="R1405" i="20" s="1"/>
  <c r="S1405" i="20"/>
  <c r="Q1405" i="20" a="1"/>
  <c r="Q1405" i="20" s="1"/>
  <c r="Q1406" i="20" a="1"/>
  <c r="Q1406" i="20" s="1"/>
  <c r="R1406" i="20" a="1"/>
  <c r="R1406" i="20" s="1"/>
  <c r="S1406" i="20"/>
  <c r="S1407" i="20"/>
  <c r="Q1407" i="20" a="1"/>
  <c r="Q1407" i="20" s="1"/>
  <c r="R1407" i="20" a="1"/>
  <c r="R1407" i="20" s="1"/>
  <c r="Q1408" i="20" a="1"/>
  <c r="Q1408" i="20" s="1"/>
  <c r="R1408" i="20" a="1"/>
  <c r="R1408" i="20" s="1"/>
  <c r="S1408" i="20"/>
  <c r="Q1409" i="20" a="1"/>
  <c r="Q1409" i="20" s="1"/>
  <c r="R1409" i="20" a="1"/>
  <c r="R1409" i="20" s="1"/>
  <c r="S1409" i="20"/>
  <c r="Q1410" i="20" a="1"/>
  <c r="Q1410" i="20" s="1"/>
  <c r="R1410" i="20" a="1"/>
  <c r="R1410" i="20" s="1"/>
  <c r="S1410" i="20"/>
  <c r="Q1411" i="20" a="1"/>
  <c r="Q1411" i="20" s="1"/>
  <c r="R1411" i="20" a="1"/>
  <c r="R1411" i="20" s="1"/>
  <c r="S1411" i="20"/>
  <c r="Q1412" i="20" a="1"/>
  <c r="Q1412" i="20" s="1"/>
  <c r="R1412" i="20" a="1"/>
  <c r="R1412" i="20" s="1"/>
  <c r="S1412" i="20"/>
  <c r="Q1413" i="20" a="1"/>
  <c r="Q1413" i="20" s="1"/>
  <c r="R1413" i="20" a="1"/>
  <c r="R1413" i="20" s="1"/>
  <c r="S1413" i="20"/>
  <c r="R1414" i="20" a="1"/>
  <c r="R1414" i="20" s="1"/>
  <c r="S1414" i="20"/>
  <c r="Q1414" i="20" a="1"/>
  <c r="Q1414" i="20" s="1"/>
  <c r="R1415" i="20" a="1"/>
  <c r="R1415" i="20" s="1"/>
  <c r="S1415" i="20"/>
  <c r="Q1415" i="20" a="1"/>
  <c r="Q1415" i="20" s="1"/>
  <c r="Q1416" i="20" a="1"/>
  <c r="Q1416" i="20" s="1"/>
  <c r="R1416" i="20" a="1"/>
  <c r="R1416" i="20" s="1"/>
  <c r="S1416" i="20"/>
  <c r="S1417" i="20"/>
  <c r="Q1417" i="20" a="1"/>
  <c r="Q1417" i="20" s="1"/>
  <c r="R1417" i="20" a="1"/>
  <c r="R1417" i="20" s="1"/>
  <c r="Q1418" i="20" a="1"/>
  <c r="Q1418" i="20" s="1"/>
  <c r="R1418" i="20" a="1"/>
  <c r="R1418" i="20" s="1"/>
  <c r="S1418" i="20"/>
  <c r="Q1419" i="20" a="1"/>
  <c r="Q1419" i="20" s="1"/>
  <c r="R1419" i="20" a="1"/>
  <c r="R1419" i="20" s="1"/>
  <c r="S1419" i="20"/>
  <c r="Q1420" i="20" a="1"/>
  <c r="Q1420" i="20" s="1"/>
  <c r="R1420" i="20" a="1"/>
  <c r="R1420" i="20" s="1"/>
  <c r="S1420" i="20"/>
  <c r="Q1421" i="20" a="1"/>
  <c r="Q1421" i="20" s="1"/>
  <c r="R1421" i="20" a="1"/>
  <c r="R1421" i="20" s="1"/>
  <c r="S1421" i="20"/>
  <c r="Q1422" i="20" a="1"/>
  <c r="Q1422" i="20" s="1"/>
  <c r="R1422" i="20" a="1"/>
  <c r="R1422" i="20" s="1"/>
  <c r="S1422" i="20"/>
  <c r="Q1423" i="20" a="1"/>
  <c r="Q1423" i="20" s="1"/>
  <c r="R1423" i="20" a="1"/>
  <c r="R1423" i="20" s="1"/>
  <c r="S1423" i="20"/>
  <c r="R1424" i="20" a="1"/>
  <c r="R1424" i="20" s="1"/>
  <c r="S1424" i="20"/>
  <c r="Q1424" i="20" a="1"/>
  <c r="Q1424" i="20" s="1"/>
  <c r="R1425" i="20" a="1"/>
  <c r="R1425" i="20" s="1"/>
  <c r="S1425" i="20"/>
  <c r="Q1425" i="20" a="1"/>
  <c r="Q1425" i="20" s="1"/>
  <c r="S1426" i="20"/>
  <c r="Q1426" i="20" a="1"/>
  <c r="Q1426" i="20" s="1"/>
  <c r="R1426" i="20" a="1"/>
  <c r="R1426" i="20" s="1"/>
  <c r="Q1427" i="20" a="1"/>
  <c r="Q1427" i="20" s="1"/>
  <c r="R1427" i="20" a="1"/>
  <c r="R1427" i="20" s="1"/>
  <c r="S1427" i="20"/>
  <c r="Q1428" i="20" a="1"/>
  <c r="Q1428" i="20" s="1"/>
  <c r="R1428" i="20" a="1"/>
  <c r="R1428" i="20" s="1"/>
  <c r="S1428" i="20"/>
  <c r="Q1429" i="20" a="1"/>
  <c r="Q1429" i="20" s="1"/>
  <c r="R1429" i="20" a="1"/>
  <c r="R1429" i="20" s="1"/>
  <c r="S1429" i="20"/>
  <c r="Q1430" i="20" a="1"/>
  <c r="Q1430" i="20" s="1"/>
  <c r="R1430" i="20" a="1"/>
  <c r="R1430" i="20" s="1"/>
  <c r="S1430" i="20"/>
  <c r="Q1431" i="20" a="1"/>
  <c r="Q1431" i="20" s="1"/>
  <c r="R1431" i="20" a="1"/>
  <c r="R1431" i="20" s="1"/>
  <c r="S1431" i="20"/>
  <c r="Q1432" i="20" a="1"/>
  <c r="Q1432" i="20" s="1"/>
  <c r="R1432" i="20" a="1"/>
  <c r="R1432" i="20" s="1"/>
  <c r="S1432" i="20"/>
  <c r="Q1433" i="20" a="1"/>
  <c r="Q1433" i="20" s="1"/>
  <c r="R1433" i="20" a="1"/>
  <c r="R1433" i="20" s="1"/>
  <c r="S1433" i="20"/>
  <c r="Q1434" i="20" a="1"/>
  <c r="Q1434" i="20" s="1"/>
  <c r="R1434" i="20" a="1"/>
  <c r="R1434" i="20" s="1"/>
  <c r="S1434" i="20"/>
  <c r="R1435" i="20" a="1"/>
  <c r="R1435" i="20" s="1"/>
  <c r="S1435" i="20"/>
  <c r="Q1435" i="20" a="1"/>
  <c r="Q1435" i="20" s="1"/>
  <c r="R1436" i="20" a="1"/>
  <c r="R1436" i="20" s="1"/>
  <c r="S1436" i="20"/>
  <c r="Q1436" i="20" a="1"/>
  <c r="Q1436" i="20" s="1"/>
  <c r="Q1437" i="20" a="1"/>
  <c r="Q1437" i="20" s="1"/>
  <c r="R1437" i="20" a="1"/>
  <c r="R1437" i="20" s="1"/>
  <c r="S1437" i="20"/>
  <c r="Q1438" i="20" a="1"/>
  <c r="Q1438" i="20" s="1"/>
  <c r="R1438" i="20" a="1"/>
  <c r="R1438" i="20" s="1"/>
  <c r="S1438" i="20"/>
  <c r="Q1439" i="20" a="1"/>
  <c r="Q1439" i="20" s="1"/>
  <c r="R1439" i="20" a="1"/>
  <c r="R1439" i="20" s="1"/>
  <c r="S1439" i="20"/>
  <c r="Q1440" i="20" a="1"/>
  <c r="Q1440" i="20" s="1"/>
  <c r="R1440" i="20" a="1"/>
  <c r="R1440" i="20" s="1"/>
  <c r="S1440" i="20"/>
  <c r="Q1441" i="20" a="1"/>
  <c r="Q1441" i="20" s="1"/>
  <c r="R1441" i="20" a="1"/>
  <c r="R1441" i="20" s="1"/>
  <c r="S1441" i="20"/>
  <c r="Q1442" i="20" a="1"/>
  <c r="Q1442" i="20" s="1"/>
  <c r="R1442" i="20" a="1"/>
  <c r="R1442" i="20" s="1"/>
  <c r="S1442" i="20"/>
  <c r="Q1443" i="20" a="1"/>
  <c r="Q1443" i="20" s="1"/>
  <c r="R1443" i="20" a="1"/>
  <c r="R1443" i="20" s="1"/>
  <c r="S1443" i="20"/>
  <c r="R1444" i="20" a="1"/>
  <c r="R1444" i="20" s="1"/>
  <c r="S1444" i="20"/>
  <c r="Q1444" i="20" a="1"/>
  <c r="Q1444" i="20" s="1"/>
  <c r="Q1445" i="20" a="1"/>
  <c r="Q1445" i="20" s="1"/>
  <c r="R1445" i="20" a="1"/>
  <c r="R1445" i="20" s="1"/>
  <c r="S1445" i="20"/>
  <c r="R1446" i="20" a="1"/>
  <c r="R1446" i="20" s="1"/>
  <c r="S1446" i="20"/>
  <c r="Q1446" i="20" a="1"/>
  <c r="Q1446" i="20" s="1"/>
  <c r="Q1447" i="20" a="1"/>
  <c r="Q1447" i="20" s="1"/>
  <c r="R1447" i="20" a="1"/>
  <c r="R1447" i="20" s="1"/>
  <c r="S1447" i="20"/>
  <c r="Q1448" i="20" a="1"/>
  <c r="Q1448" i="20" s="1"/>
  <c r="R1448" i="20" a="1"/>
  <c r="R1448" i="20" s="1"/>
  <c r="S1448" i="20"/>
  <c r="Q1449" i="20" a="1"/>
  <c r="Q1449" i="20" s="1"/>
  <c r="R1449" i="20" a="1"/>
  <c r="R1449" i="20" s="1"/>
  <c r="S1449" i="20"/>
  <c r="Q1450" i="20" a="1"/>
  <c r="Q1450" i="20" s="1"/>
  <c r="R1450" i="20" a="1"/>
  <c r="R1450" i="20" s="1"/>
  <c r="S1450" i="20"/>
  <c r="Q1451" i="20" a="1"/>
  <c r="Q1451" i="20" s="1"/>
  <c r="R1451" i="20" a="1"/>
  <c r="R1451" i="20" s="1"/>
  <c r="S1451" i="20"/>
  <c r="Q1452" i="20" a="1"/>
  <c r="Q1452" i="20" s="1"/>
  <c r="R1452" i="20" a="1"/>
  <c r="R1452" i="20" s="1"/>
  <c r="S1452" i="20"/>
  <c r="Q1453" i="20" a="1"/>
  <c r="Q1453" i="20" s="1"/>
  <c r="R1453" i="20" a="1"/>
  <c r="R1453" i="20" s="1"/>
  <c r="S1453" i="20"/>
  <c r="S1454" i="20"/>
  <c r="Q1454" i="20" a="1"/>
  <c r="Q1454" i="20" s="1"/>
  <c r="R1454" i="20" a="1"/>
  <c r="R1454" i="20" s="1"/>
  <c r="R1455" i="20" a="1"/>
  <c r="R1455" i="20" s="1"/>
  <c r="S1455" i="20"/>
  <c r="Q1455" i="20" a="1"/>
  <c r="Q1455" i="20" s="1"/>
  <c r="Q1456" i="20" a="1"/>
  <c r="Q1456" i="20" s="1"/>
  <c r="R1456" i="20" a="1"/>
  <c r="R1456" i="20" s="1"/>
  <c r="S1456" i="20"/>
  <c r="Q1457" i="20" a="1"/>
  <c r="Q1457" i="20" s="1"/>
  <c r="R1457" i="20" a="1"/>
  <c r="R1457" i="20" s="1"/>
  <c r="S1457" i="20"/>
  <c r="Q1458" i="20" a="1"/>
  <c r="Q1458" i="20" s="1"/>
  <c r="R1458" i="20" a="1"/>
  <c r="R1458" i="20" s="1"/>
  <c r="S1458" i="20"/>
  <c r="R1459" i="20" a="1"/>
  <c r="R1459" i="20" s="1"/>
  <c r="S1459" i="20"/>
  <c r="Q1459" i="20" a="1"/>
  <c r="Q1459" i="20" s="1"/>
  <c r="Q1460" i="20" a="1"/>
  <c r="Q1460" i="20" s="1"/>
  <c r="R1460" i="20" a="1"/>
  <c r="R1460" i="20" s="1"/>
  <c r="S1460" i="20"/>
  <c r="Q1461" i="20" a="1"/>
  <c r="Q1461" i="20" s="1"/>
  <c r="R1461" i="20" a="1"/>
  <c r="R1461" i="20" s="1"/>
  <c r="S1461" i="20"/>
  <c r="Q1462" i="20" a="1"/>
  <c r="Q1462" i="20" s="1"/>
  <c r="R1462" i="20" a="1"/>
  <c r="R1462" i="20" s="1"/>
  <c r="S1462" i="20"/>
  <c r="Q1463" i="20" a="1"/>
  <c r="Q1463" i="20" s="1"/>
  <c r="R1463" i="20" a="1"/>
  <c r="R1463" i="20" s="1"/>
  <c r="S1463" i="20"/>
  <c r="Q1464" i="20" a="1"/>
  <c r="Q1464" i="20" s="1"/>
  <c r="R1464" i="20" a="1"/>
  <c r="R1464" i="20" s="1"/>
  <c r="S1464" i="20"/>
  <c r="Q1465" i="20" a="1"/>
  <c r="Q1465" i="20" s="1"/>
  <c r="R1465" i="20" a="1"/>
  <c r="R1465" i="20" s="1"/>
  <c r="S1465" i="20"/>
  <c r="R1466" i="20" a="1"/>
  <c r="R1466" i="20" s="1"/>
  <c r="S1466" i="20"/>
  <c r="Q1466" i="20" a="1"/>
  <c r="Q1466" i="20" s="1"/>
  <c r="S1467" i="20"/>
  <c r="Q1467" i="20" a="1"/>
  <c r="Q1467" i="20" s="1"/>
  <c r="R1467" i="20" a="1"/>
  <c r="R1467" i="20" s="1"/>
  <c r="Q1468" i="20" a="1"/>
  <c r="Q1468" i="20" s="1"/>
  <c r="R1468" i="20" a="1"/>
  <c r="R1468" i="20" s="1"/>
  <c r="S1468" i="20"/>
  <c r="Q1469" i="20" a="1"/>
  <c r="Q1469" i="20" s="1"/>
  <c r="R1469" i="20" a="1"/>
  <c r="R1469" i="20" s="1"/>
  <c r="S1469" i="20"/>
  <c r="Q1470" i="20" a="1"/>
  <c r="Q1470" i="20" s="1"/>
  <c r="R1470" i="20" a="1"/>
  <c r="R1470" i="20" s="1"/>
  <c r="S1470" i="20"/>
  <c r="Q1471" i="20" a="1"/>
  <c r="Q1471" i="20" s="1"/>
  <c r="R1471" i="20" a="1"/>
  <c r="R1471" i="20" s="1"/>
  <c r="S1471" i="20"/>
  <c r="Q1472" i="20" a="1"/>
  <c r="Q1472" i="20" s="1"/>
  <c r="R1472" i="20" a="1"/>
  <c r="R1472" i="20" s="1"/>
  <c r="S1472" i="20"/>
  <c r="R1473" i="20" a="1"/>
  <c r="R1473" i="20" s="1"/>
  <c r="S1473" i="20"/>
  <c r="Q1473" i="20" a="1"/>
  <c r="Q1473" i="20" s="1"/>
  <c r="Q1474" i="20" a="1"/>
  <c r="Q1474" i="20" s="1"/>
  <c r="R1474" i="20" a="1"/>
  <c r="R1474" i="20" s="1"/>
  <c r="S1474" i="20"/>
  <c r="Q1475" i="20" a="1"/>
  <c r="Q1475" i="20" s="1"/>
  <c r="R1475" i="20" a="1"/>
  <c r="R1475" i="20" s="1"/>
  <c r="S1475" i="20"/>
  <c r="Q1476" i="20" a="1"/>
  <c r="Q1476" i="20" s="1"/>
  <c r="R1476" i="20" a="1"/>
  <c r="R1476" i="20" s="1"/>
  <c r="S1476" i="20"/>
  <c r="R1477" i="20" a="1"/>
  <c r="R1477" i="20" s="1"/>
  <c r="S1477" i="20"/>
  <c r="Q1477" i="20" a="1"/>
  <c r="Q1477" i="20" s="1"/>
  <c r="Q1478" i="20" a="1"/>
  <c r="Q1478" i="20" s="1"/>
  <c r="R1478" i="20" a="1"/>
  <c r="R1478" i="20" s="1"/>
  <c r="S1478" i="20"/>
  <c r="S1479" i="20"/>
  <c r="Q1479" i="20" a="1"/>
  <c r="Q1479" i="20" s="1"/>
  <c r="R1479" i="20" a="1"/>
  <c r="R1479" i="20" s="1"/>
  <c r="Q1480" i="20" a="1"/>
  <c r="Q1480" i="20" s="1"/>
  <c r="R1480" i="20" a="1"/>
  <c r="R1480" i="20" s="1"/>
  <c r="S1480" i="20"/>
  <c r="Q1481" i="20" a="1"/>
  <c r="Q1481" i="20" s="1"/>
  <c r="R1481" i="20" a="1"/>
  <c r="R1481" i="20" s="1"/>
  <c r="S1481" i="20"/>
  <c r="Q1482" i="20" a="1"/>
  <c r="Q1482" i="20" s="1"/>
  <c r="R1482" i="20" a="1"/>
  <c r="R1482" i="20" s="1"/>
  <c r="S1482" i="20"/>
  <c r="Q1483" i="20" a="1"/>
  <c r="Q1483" i="20" s="1"/>
  <c r="R1483" i="20" a="1"/>
  <c r="R1483" i="20" s="1"/>
  <c r="S1483" i="20"/>
  <c r="Q1484" i="20" a="1"/>
  <c r="Q1484" i="20" s="1"/>
  <c r="R1484" i="20" a="1"/>
  <c r="R1484" i="20" s="1"/>
  <c r="S1484" i="20"/>
  <c r="Q1485" i="20" a="1"/>
  <c r="Q1485" i="20" s="1"/>
  <c r="R1485" i="20" a="1"/>
  <c r="R1485" i="20" s="1"/>
  <c r="S1485" i="20"/>
  <c r="Q1486" i="20" a="1"/>
  <c r="Q1486" i="20" s="1"/>
  <c r="R1486" i="20" a="1"/>
  <c r="R1486" i="20" s="1"/>
  <c r="S1486" i="20"/>
  <c r="Q1487" i="20" a="1"/>
  <c r="Q1487" i="20" s="1"/>
  <c r="R1487" i="20" a="1"/>
  <c r="R1487" i="20" s="1"/>
  <c r="S1487" i="20"/>
  <c r="R1488" i="20" a="1"/>
  <c r="R1488" i="20" s="1"/>
  <c r="S1488" i="20"/>
  <c r="Q1488" i="20" a="1"/>
  <c r="Q1488" i="20" s="1"/>
  <c r="S1489" i="20"/>
  <c r="Q1489" i="20" a="1"/>
  <c r="Q1489" i="20" s="1"/>
  <c r="R1489" i="20" a="1"/>
  <c r="R1489" i="20" s="1"/>
  <c r="R1490" i="20" a="1"/>
  <c r="R1490" i="20" s="1"/>
  <c r="S1490" i="20"/>
  <c r="Q1490" i="20" a="1"/>
  <c r="Q1490" i="20" s="1"/>
  <c r="Q1491" i="20" a="1"/>
  <c r="Q1491" i="20" s="1"/>
  <c r="R1491" i="20" a="1"/>
  <c r="R1491" i="20" s="1"/>
  <c r="S1491" i="20"/>
  <c r="Q1492" i="20" a="1"/>
  <c r="Q1492" i="20" s="1"/>
  <c r="R1492" i="20" a="1"/>
  <c r="R1492" i="20" s="1"/>
  <c r="S1492" i="20"/>
  <c r="Q1493" i="20" a="1"/>
  <c r="Q1493" i="20" s="1"/>
  <c r="R1493" i="20" a="1"/>
  <c r="R1493" i="20" s="1"/>
  <c r="S1493" i="20"/>
  <c r="Q1494" i="20" a="1"/>
  <c r="Q1494" i="20" s="1"/>
  <c r="R1494" i="20" a="1"/>
  <c r="R1494" i="20" s="1"/>
  <c r="S1494" i="20"/>
  <c r="Q1495" i="20" a="1"/>
  <c r="Q1495" i="20" s="1"/>
  <c r="R1495" i="20" a="1"/>
  <c r="R1495" i="20" s="1"/>
  <c r="S1495" i="20"/>
  <c r="Q1496" i="20" a="1"/>
  <c r="Q1496" i="20" s="1"/>
  <c r="R1496" i="20" a="1"/>
  <c r="R1496" i="20" s="1"/>
  <c r="S1496" i="20"/>
  <c r="Q1497" i="20" a="1"/>
  <c r="Q1497" i="20" s="1"/>
  <c r="R1497" i="20" a="1"/>
  <c r="R1497" i="20" s="1"/>
  <c r="S1497" i="20"/>
  <c r="Q1498" i="20" a="1"/>
  <c r="Q1498" i="20" s="1"/>
  <c r="R1498" i="20" a="1"/>
  <c r="R1498" i="20" s="1"/>
  <c r="S1498" i="20"/>
  <c r="Q1499" i="20" a="1"/>
  <c r="Q1499" i="20" s="1"/>
  <c r="R1499" i="20" a="1"/>
  <c r="R1499" i="20" s="1"/>
  <c r="S1499" i="20"/>
  <c r="S1500" i="20"/>
  <c r="Q1500" i="20" a="1"/>
  <c r="Q1500" i="20" s="1"/>
  <c r="R1500" i="20" a="1"/>
  <c r="R1500" i="20" s="1"/>
  <c r="R1501" i="20" a="1"/>
  <c r="R1501" i="20" s="1"/>
  <c r="S1501" i="20"/>
  <c r="Q1501" i="20" a="1"/>
  <c r="Q1501" i="20" s="1"/>
  <c r="R1502" i="20" a="1"/>
  <c r="R1502" i="20" s="1"/>
  <c r="S1502" i="20"/>
  <c r="Q1502" i="20" a="1"/>
  <c r="Q1502" i="20" s="1"/>
  <c r="Q1503" i="20" a="1"/>
  <c r="Q1503" i="20" s="1"/>
  <c r="R1503" i="20" a="1"/>
  <c r="R1503" i="20" s="1"/>
  <c r="S1503" i="20"/>
  <c r="Q1504" i="20" a="1"/>
  <c r="Q1504" i="20" s="1"/>
  <c r="R1504" i="20" a="1"/>
  <c r="R1504" i="20" s="1"/>
  <c r="S1504" i="20"/>
  <c r="Q1505" i="20" a="1"/>
  <c r="Q1505" i="20" s="1"/>
  <c r="R1505" i="20" a="1"/>
  <c r="R1505" i="20" s="1"/>
  <c r="S1505" i="20"/>
  <c r="Q1506" i="20" a="1"/>
  <c r="Q1506" i="20" s="1"/>
  <c r="R1506" i="20" a="1"/>
  <c r="R1506" i="20" s="1"/>
  <c r="S1506" i="20"/>
  <c r="Q1507" i="20" a="1"/>
  <c r="Q1507" i="20" s="1"/>
  <c r="R1507" i="20" a="1"/>
  <c r="R1507" i="20" s="1"/>
  <c r="S1507" i="20"/>
  <c r="Q1508" i="20" a="1"/>
  <c r="Q1508" i="20" s="1"/>
  <c r="R1508" i="20" a="1"/>
  <c r="R1508" i="20" s="1"/>
  <c r="S1508" i="20"/>
  <c r="Q1509" i="20" a="1"/>
  <c r="Q1509" i="20" s="1"/>
  <c r="R1509" i="20" a="1"/>
  <c r="R1509" i="20" s="1"/>
  <c r="S1509" i="20"/>
  <c r="S1510" i="20"/>
  <c r="Q1510" i="20" a="1"/>
  <c r="Q1510" i="20" s="1"/>
  <c r="R1510" i="20" a="1"/>
  <c r="R1510" i="20" s="1"/>
  <c r="Q1511" i="20" a="1"/>
  <c r="Q1511" i="20" s="1"/>
  <c r="R1511" i="20" a="1"/>
  <c r="R1511" i="20" s="1"/>
  <c r="S1511" i="20"/>
  <c r="Q1512" i="20" a="1"/>
  <c r="Q1512" i="20" s="1"/>
  <c r="R1512" i="20" a="1"/>
  <c r="R1512" i="20" s="1"/>
  <c r="S1512" i="20"/>
  <c r="R1513" i="20" a="1"/>
  <c r="R1513" i="20" s="1"/>
  <c r="S1513" i="20"/>
  <c r="Q1513" i="20" a="1"/>
  <c r="Q1513" i="20" s="1"/>
  <c r="Q1514" i="20" a="1"/>
  <c r="Q1514" i="20" s="1"/>
  <c r="R1514" i="20" a="1"/>
  <c r="R1514" i="20" s="1"/>
  <c r="S1514" i="20"/>
  <c r="R1515" i="20" a="1"/>
  <c r="R1515" i="20" s="1"/>
  <c r="S1515" i="20"/>
  <c r="Q1515" i="20" a="1"/>
  <c r="Q1515" i="20" s="1"/>
  <c r="Q1516" i="20" a="1"/>
  <c r="Q1516" i="20" s="1"/>
  <c r="R1516" i="20" a="1"/>
  <c r="R1516" i="20" s="1"/>
  <c r="S1516" i="20"/>
  <c r="Q1517" i="20" a="1"/>
  <c r="Q1517" i="20" s="1"/>
  <c r="R1517" i="20" a="1"/>
  <c r="R1517" i="20" s="1"/>
  <c r="S1517" i="20"/>
  <c r="Q1518" i="20" a="1"/>
  <c r="Q1518" i="20" s="1"/>
  <c r="R1518" i="20" a="1"/>
  <c r="R1518" i="20" s="1"/>
  <c r="S1518" i="20"/>
  <c r="Q1519" i="20" a="1"/>
  <c r="Q1519" i="20" s="1"/>
  <c r="R1519" i="20" a="1"/>
  <c r="R1519" i="20" s="1"/>
  <c r="S1519" i="20"/>
  <c r="Q1520" i="20" a="1"/>
  <c r="Q1520" i="20" s="1"/>
  <c r="R1520" i="20" a="1"/>
  <c r="R1520" i="20" s="1"/>
  <c r="S1520" i="20"/>
  <c r="S1521" i="20"/>
  <c r="Q1521" i="20" a="1"/>
  <c r="Q1521" i="20" s="1"/>
  <c r="R1521" i="20" a="1"/>
  <c r="R1521" i="20" s="1"/>
  <c r="Q1522" i="20" a="1"/>
  <c r="Q1522" i="20" s="1"/>
  <c r="R1522" i="20" a="1"/>
  <c r="R1522" i="20" s="1"/>
  <c r="S1522" i="20"/>
  <c r="Q1523" i="20" a="1"/>
  <c r="Q1523" i="20" s="1"/>
  <c r="R1523" i="20" a="1"/>
  <c r="R1523" i="20" s="1"/>
  <c r="S1523" i="20"/>
  <c r="R1524" i="20" a="1"/>
  <c r="R1524" i="20" s="1"/>
  <c r="S1524" i="20"/>
  <c r="Q1524" i="20" a="1"/>
  <c r="Q1524" i="20" s="1"/>
  <c r="R1525" i="20" a="1"/>
  <c r="R1525" i="20" s="1"/>
  <c r="S1525" i="20"/>
  <c r="Q1525" i="20" a="1"/>
  <c r="Q1525" i="20" s="1"/>
  <c r="Q1526" i="20" a="1"/>
  <c r="Q1526" i="20" s="1"/>
  <c r="R1526" i="20" a="1"/>
  <c r="R1526" i="20" s="1"/>
  <c r="S1526" i="20"/>
  <c r="Q1527" i="20" a="1"/>
  <c r="Q1527" i="20" s="1"/>
  <c r="R1527" i="20" a="1"/>
  <c r="R1527" i="20" s="1"/>
  <c r="S1527" i="20"/>
  <c r="Q1528" i="20" a="1"/>
  <c r="Q1528" i="20" s="1"/>
  <c r="R1528" i="20" a="1"/>
  <c r="R1528" i="20" s="1"/>
  <c r="S1528" i="20"/>
  <c r="Q1529" i="20" a="1"/>
  <c r="Q1529" i="20" s="1"/>
  <c r="R1529" i="20" a="1"/>
  <c r="R1529" i="20" s="1"/>
  <c r="S1529" i="20"/>
  <c r="Q1530" i="20" a="1"/>
  <c r="Q1530" i="20" s="1"/>
  <c r="R1530" i="20" a="1"/>
  <c r="R1530" i="20" s="1"/>
  <c r="S1530" i="20"/>
  <c r="Q1531" i="20" a="1"/>
  <c r="Q1531" i="20" s="1"/>
  <c r="R1531" i="20" a="1"/>
  <c r="R1531" i="20" s="1"/>
  <c r="S1531" i="20"/>
  <c r="Q1532" i="20" a="1"/>
  <c r="Q1532" i="20" s="1"/>
  <c r="R1532" i="20" a="1"/>
  <c r="R1532" i="20" s="1"/>
  <c r="S1532" i="20"/>
  <c r="S1533" i="20"/>
  <c r="Q1533" i="20" a="1"/>
  <c r="Q1533" i="20" s="1"/>
  <c r="R1533" i="20" a="1"/>
  <c r="R1533" i="20" s="1"/>
  <c r="Q1534" i="20" a="1"/>
  <c r="Q1534" i="20" s="1"/>
  <c r="R1534" i="20" a="1"/>
  <c r="R1534" i="20" s="1"/>
  <c r="S1534" i="20"/>
  <c r="Q1535" i="20" a="1"/>
  <c r="Q1535" i="20" s="1"/>
  <c r="R1535" i="20" a="1"/>
  <c r="R1535" i="20" s="1"/>
  <c r="S1535" i="20"/>
  <c r="R1536" i="20" a="1"/>
  <c r="R1536" i="20" s="1"/>
  <c r="S1536" i="20"/>
  <c r="Q1536" i="20" a="1"/>
  <c r="Q1536" i="20" s="1"/>
  <c r="Q1537" i="20" a="1"/>
  <c r="Q1537" i="20" s="1"/>
  <c r="R1537" i="20" a="1"/>
  <c r="R1537" i="20" s="1"/>
  <c r="S1537" i="20"/>
  <c r="Q1538" i="20" a="1"/>
  <c r="Q1538" i="20" s="1"/>
  <c r="R1538" i="20" a="1"/>
  <c r="R1538" i="20" s="1"/>
  <c r="S1538" i="20"/>
  <c r="Q1539" i="20" a="1"/>
  <c r="Q1539" i="20" s="1"/>
  <c r="R1539" i="20" a="1"/>
  <c r="R1539" i="20" s="1"/>
  <c r="S1539" i="20"/>
  <c r="R1540" i="20" a="1"/>
  <c r="R1540" i="20" s="1"/>
  <c r="S1540" i="20"/>
  <c r="Q1540" i="20" a="1"/>
  <c r="Q1540" i="20" s="1"/>
  <c r="Q1541" i="20" a="1"/>
  <c r="Q1541" i="20" s="1"/>
  <c r="R1541" i="20" a="1"/>
  <c r="R1541" i="20" s="1"/>
  <c r="S1541" i="20"/>
  <c r="Q1542" i="20" a="1"/>
  <c r="Q1542" i="20" s="1"/>
  <c r="R1542" i="20" a="1"/>
  <c r="R1542" i="20" s="1"/>
  <c r="S1542" i="20"/>
  <c r="Q1543" i="20" a="1"/>
  <c r="Q1543" i="20" s="1"/>
  <c r="R1543" i="20" a="1"/>
  <c r="R1543" i="20" s="1"/>
  <c r="S1543" i="20"/>
  <c r="Q1544" i="20" a="1"/>
  <c r="Q1544" i="20" s="1"/>
  <c r="R1544" i="20" a="1"/>
  <c r="R1544" i="20" s="1"/>
  <c r="S1544" i="20"/>
  <c r="S1545" i="20"/>
  <c r="Q1545" i="20" a="1"/>
  <c r="Q1545" i="20" s="1"/>
  <c r="R1545" i="20" a="1"/>
  <c r="R1545" i="20" s="1"/>
  <c r="Q1546" i="20" a="1"/>
  <c r="Q1546" i="20" s="1"/>
  <c r="R1546" i="20" a="1"/>
  <c r="R1546" i="20" s="1"/>
  <c r="S1546" i="20"/>
  <c r="Q1547" i="20" a="1"/>
  <c r="Q1547" i="20" s="1"/>
  <c r="R1547" i="20" a="1"/>
  <c r="R1547" i="20" s="1"/>
  <c r="S1547" i="20"/>
  <c r="R1548" i="20" a="1"/>
  <c r="R1548" i="20" s="1"/>
  <c r="S1548" i="20"/>
  <c r="Q1548" i="20" a="1"/>
  <c r="Q1548" i="20" s="1"/>
  <c r="Q1549" i="20" a="1"/>
  <c r="Q1549" i="20" s="1"/>
  <c r="R1549" i="20" a="1"/>
  <c r="R1549" i="20" s="1"/>
  <c r="S1549" i="20"/>
  <c r="Q1550" i="20" a="1"/>
  <c r="Q1550" i="20" s="1"/>
  <c r="R1550" i="20" a="1"/>
  <c r="R1550" i="20" s="1"/>
  <c r="S1550" i="20"/>
  <c r="Q1551" i="20" a="1"/>
  <c r="Q1551" i="20" s="1"/>
  <c r="R1551" i="20" a="1"/>
  <c r="R1551" i="20" s="1"/>
  <c r="S1551" i="20"/>
  <c r="Q1552" i="20" a="1"/>
  <c r="Q1552" i="20" s="1"/>
  <c r="R1552" i="20" a="1"/>
  <c r="R1552" i="20" s="1"/>
  <c r="S1552" i="20"/>
  <c r="Q1553" i="20" a="1"/>
  <c r="Q1553" i="20" s="1"/>
  <c r="R1553" i="20" a="1"/>
  <c r="R1553" i="20" s="1"/>
  <c r="S1553" i="20"/>
  <c r="Q1554" i="20" a="1"/>
  <c r="Q1554" i="20" s="1"/>
  <c r="R1554" i="20" a="1"/>
  <c r="R1554" i="20" s="1"/>
  <c r="S1554" i="20"/>
  <c r="Q1555" i="20" a="1"/>
  <c r="Q1555" i="20" s="1"/>
  <c r="R1555" i="20" a="1"/>
  <c r="R1555" i="20" s="1"/>
  <c r="S1555" i="20"/>
  <c r="Q1556" i="20" a="1"/>
  <c r="Q1556" i="20" s="1"/>
  <c r="R1556" i="20" a="1"/>
  <c r="R1556" i="20" s="1"/>
  <c r="S1556" i="20"/>
  <c r="Q1557" i="20" a="1"/>
  <c r="Q1557" i="20" s="1"/>
  <c r="R1557" i="20" a="1"/>
  <c r="R1557" i="20" s="1"/>
  <c r="S1557" i="20"/>
  <c r="R1558" i="20" a="1"/>
  <c r="R1558" i="20" s="1"/>
  <c r="S1558" i="20"/>
  <c r="Q1558" i="20" a="1"/>
  <c r="Q1558" i="20" s="1"/>
  <c r="Q1559" i="20" a="1"/>
  <c r="Q1559" i="20" s="1"/>
  <c r="R1559" i="20" a="1"/>
  <c r="R1559" i="20" s="1"/>
  <c r="S1559" i="20"/>
  <c r="Q1560" i="20" a="1"/>
  <c r="Q1560" i="20" s="1"/>
  <c r="R1560" i="20" a="1"/>
  <c r="R1560" i="20" s="1"/>
  <c r="S1560" i="20"/>
  <c r="Q1561" i="20" a="1"/>
  <c r="Q1561" i="20" s="1"/>
  <c r="R1561" i="20" a="1"/>
  <c r="R1561" i="20" s="1"/>
  <c r="S1561" i="20"/>
  <c r="Q1562" i="20" a="1"/>
  <c r="Q1562" i="20" s="1"/>
  <c r="R1562" i="20" a="1"/>
  <c r="R1562" i="20" s="1"/>
  <c r="S1562" i="20"/>
  <c r="Q1563" i="20" a="1"/>
  <c r="Q1563" i="20" s="1"/>
  <c r="R1563" i="20" a="1"/>
  <c r="R1563" i="20" s="1"/>
  <c r="S1563" i="20"/>
  <c r="Q1564" i="20" a="1"/>
  <c r="Q1564" i="20" s="1"/>
  <c r="R1564" i="20" a="1"/>
  <c r="R1564" i="20" s="1"/>
  <c r="S1564" i="20"/>
  <c r="Q1565" i="20" a="1"/>
  <c r="Q1565" i="20" s="1"/>
  <c r="R1565" i="20" a="1"/>
  <c r="R1565" i="20" s="1"/>
  <c r="S1565" i="20"/>
  <c r="S1566" i="20"/>
  <c r="Q1566" i="20" a="1"/>
  <c r="Q1566" i="20" s="1"/>
  <c r="R1566" i="20" a="1"/>
  <c r="R1566" i="20" s="1"/>
  <c r="Q1567" i="20" a="1"/>
  <c r="Q1567" i="20" s="1"/>
  <c r="R1567" i="20" a="1"/>
  <c r="R1567" i="20" s="1"/>
  <c r="S1567" i="20"/>
  <c r="Q1568" i="20" a="1"/>
  <c r="Q1568" i="20" s="1"/>
  <c r="R1568" i="20" a="1"/>
  <c r="R1568" i="20" s="1"/>
  <c r="S1568" i="20"/>
  <c r="Q1569" i="20" a="1"/>
  <c r="Q1569" i="20" s="1"/>
  <c r="R1569" i="20" a="1"/>
  <c r="R1569" i="20" s="1"/>
  <c r="S1569" i="20"/>
  <c r="R1570" i="20" a="1"/>
  <c r="R1570" i="20" s="1"/>
  <c r="S1570" i="20"/>
  <c r="Q1570" i="20" a="1"/>
  <c r="Q1570" i="20" s="1"/>
  <c r="Q1571" i="20" a="1"/>
  <c r="Q1571" i="20" s="1"/>
  <c r="R1571" i="20" a="1"/>
  <c r="R1571" i="20" s="1"/>
  <c r="S1571" i="20"/>
  <c r="Q1572" i="20" a="1"/>
  <c r="Q1572" i="20" s="1"/>
  <c r="R1572" i="20" a="1"/>
  <c r="R1572" i="20" s="1"/>
  <c r="S1572" i="20"/>
  <c r="Q1573" i="20" a="1"/>
  <c r="Q1573" i="20" s="1"/>
  <c r="R1573" i="20" a="1"/>
  <c r="R1573" i="20" s="1"/>
  <c r="S1573" i="20"/>
  <c r="Q1574" i="20" a="1"/>
  <c r="Q1574" i="20" s="1"/>
  <c r="R1574" i="20" a="1"/>
  <c r="R1574" i="20" s="1"/>
  <c r="S1574" i="20"/>
  <c r="Q1575" i="20" a="1"/>
  <c r="Q1575" i="20" s="1"/>
  <c r="R1575" i="20" a="1"/>
  <c r="R1575" i="20" s="1"/>
  <c r="S1575" i="20"/>
  <c r="Q1576" i="20" a="1"/>
  <c r="Q1576" i="20" s="1"/>
  <c r="R1576" i="20" a="1"/>
  <c r="R1576" i="20" s="1"/>
  <c r="S1576" i="20"/>
  <c r="S1577" i="20"/>
  <c r="Q1577" i="20" a="1"/>
  <c r="Q1577" i="20" s="1"/>
  <c r="R1577" i="20" a="1"/>
  <c r="R1577" i="20" s="1"/>
  <c r="Q1578" i="20" a="1"/>
  <c r="Q1578" i="20" s="1"/>
  <c r="R1578" i="20" a="1"/>
  <c r="R1578" i="20" s="1"/>
  <c r="S1578" i="20"/>
  <c r="Q1579" i="20" a="1"/>
  <c r="Q1579" i="20" s="1"/>
  <c r="R1579" i="20" a="1"/>
  <c r="R1579" i="20" s="1"/>
  <c r="S1579" i="20"/>
  <c r="Q1580" i="20" a="1"/>
  <c r="Q1580" i="20" s="1"/>
  <c r="R1580" i="20" a="1"/>
  <c r="R1580" i="20" s="1"/>
  <c r="S1580" i="20"/>
  <c r="Q1581" i="20" a="1"/>
  <c r="Q1581" i="20" s="1"/>
  <c r="R1581" i="20" a="1"/>
  <c r="R1581" i="20" s="1"/>
  <c r="S1581" i="20"/>
  <c r="R1582" i="20" a="1"/>
  <c r="R1582" i="20" s="1"/>
  <c r="S1582" i="20"/>
  <c r="Q1582" i="20" a="1"/>
  <c r="Q1582" i="20" s="1"/>
  <c r="Q1583" i="20" a="1"/>
  <c r="Q1583" i="20" s="1"/>
  <c r="R1583" i="20" a="1"/>
  <c r="R1583" i="20" s="1"/>
  <c r="S1583" i="20"/>
  <c r="Q1584" i="20" a="1"/>
  <c r="Q1584" i="20" s="1"/>
  <c r="R1584" i="20" a="1"/>
  <c r="R1584" i="20" s="1"/>
  <c r="S1584" i="20"/>
  <c r="Q1585" i="20" a="1"/>
  <c r="Q1585" i="20" s="1"/>
  <c r="R1585" i="20" a="1"/>
  <c r="R1585" i="20" s="1"/>
  <c r="S1585" i="20"/>
  <c r="Q1586" i="20" a="1"/>
  <c r="Q1586" i="20" s="1"/>
  <c r="R1586" i="20" a="1"/>
  <c r="R1586" i="20" s="1"/>
  <c r="S1586" i="20"/>
  <c r="Q1587" i="20" a="1"/>
  <c r="Q1587" i="20" s="1"/>
  <c r="R1587" i="20" a="1"/>
  <c r="R1587" i="20" s="1"/>
  <c r="S1587" i="20"/>
  <c r="Q1588" i="20" a="1"/>
  <c r="Q1588" i="20" s="1"/>
  <c r="R1588" i="20" a="1"/>
  <c r="R1588" i="20" s="1"/>
  <c r="S1588" i="20"/>
  <c r="Q1589" i="20" a="1"/>
  <c r="Q1589" i="20" s="1"/>
  <c r="R1589" i="20" a="1"/>
  <c r="R1589" i="20" s="1"/>
  <c r="S1589" i="20"/>
  <c r="Q1590" i="20" a="1"/>
  <c r="Q1590" i="20" s="1"/>
  <c r="R1590" i="20" a="1"/>
  <c r="R1590" i="20" s="1"/>
  <c r="S1590" i="20"/>
  <c r="S1591" i="20"/>
  <c r="Q1591" i="20" a="1"/>
  <c r="Q1591" i="20" s="1"/>
  <c r="R1591" i="20" a="1"/>
  <c r="R1591" i="20" s="1"/>
  <c r="Q1592" i="20" a="1"/>
  <c r="Q1592" i="20" s="1"/>
  <c r="R1592" i="20" a="1"/>
  <c r="R1592" i="20" s="1"/>
  <c r="S1592" i="20"/>
  <c r="Q1593" i="20" a="1"/>
  <c r="Q1593" i="20" s="1"/>
  <c r="R1593" i="20" a="1"/>
  <c r="R1593" i="20" s="1"/>
  <c r="S1593" i="20"/>
  <c r="R1594" i="20" a="1"/>
  <c r="R1594" i="20" s="1"/>
  <c r="S1594" i="20"/>
  <c r="Q1594" i="20" a="1"/>
  <c r="Q1594" i="20" s="1"/>
  <c r="Q1595" i="20" a="1"/>
  <c r="Q1595" i="20" s="1"/>
  <c r="R1595" i="20" a="1"/>
  <c r="R1595" i="20" s="1"/>
  <c r="S1595" i="20"/>
  <c r="Q1596" i="20" a="1"/>
  <c r="Q1596" i="20" s="1"/>
  <c r="R1596" i="20" a="1"/>
  <c r="R1596" i="20" s="1"/>
  <c r="S1596" i="20"/>
  <c r="Q1597" i="20" a="1"/>
  <c r="Q1597" i="20" s="1"/>
  <c r="R1597" i="20" a="1"/>
  <c r="R1597" i="20" s="1"/>
  <c r="S1597" i="20"/>
  <c r="Q1598" i="20" a="1"/>
  <c r="Q1598" i="20" s="1"/>
  <c r="R1598" i="20" a="1"/>
  <c r="R1598" i="20" s="1"/>
  <c r="S1598" i="20"/>
  <c r="Q1599" i="20" a="1"/>
  <c r="Q1599" i="20" s="1"/>
  <c r="R1599" i="20" a="1"/>
  <c r="R1599" i="20" s="1"/>
  <c r="S1599" i="20"/>
  <c r="Q1600" i="20" a="1"/>
  <c r="Q1600" i="20" s="1"/>
  <c r="R1600" i="20" a="1"/>
  <c r="R1600" i="20" s="1"/>
  <c r="S1600" i="20"/>
  <c r="S1601" i="20"/>
  <c r="Q1601" i="20" a="1"/>
  <c r="Q1601" i="20" s="1"/>
  <c r="R1601" i="20" a="1"/>
  <c r="R1601" i="20" s="1"/>
  <c r="Q1602" i="20" a="1"/>
  <c r="Q1602" i="20" s="1"/>
  <c r="R1602" i="20" a="1"/>
  <c r="R1602" i="20" s="1"/>
  <c r="S1602" i="20"/>
  <c r="Q1603" i="20" a="1"/>
  <c r="Q1603" i="20" s="1"/>
  <c r="R1603" i="20" a="1"/>
  <c r="R1603" i="20" s="1"/>
  <c r="S1603" i="20"/>
  <c r="Q1604" i="20" a="1"/>
  <c r="Q1604" i="20" s="1"/>
  <c r="R1604" i="20" a="1"/>
  <c r="R1604" i="20" s="1"/>
  <c r="S1604" i="20"/>
  <c r="Q1605" i="20" a="1"/>
  <c r="Q1605" i="20" s="1"/>
  <c r="R1605" i="20" a="1"/>
  <c r="R1605" i="20" s="1"/>
  <c r="S1605" i="20"/>
  <c r="R1606" i="20" a="1"/>
  <c r="R1606" i="20" s="1"/>
  <c r="S1606" i="20"/>
  <c r="Q1606" i="20" a="1"/>
  <c r="Q1606" i="20" s="1"/>
  <c r="Q1607" i="20" a="1"/>
  <c r="Q1607" i="20" s="1"/>
  <c r="R1607" i="20" a="1"/>
  <c r="R1607" i="20" s="1"/>
  <c r="S1607" i="20"/>
  <c r="Q1608" i="20" a="1"/>
  <c r="Q1608" i="20" s="1"/>
  <c r="R1608" i="20" a="1"/>
  <c r="R1608" i="20" s="1"/>
  <c r="S1608" i="20"/>
  <c r="Q1609" i="20" a="1"/>
  <c r="Q1609" i="20" s="1"/>
  <c r="R1609" i="20" a="1"/>
  <c r="R1609" i="20" s="1"/>
  <c r="S1609" i="20"/>
  <c r="Q1610" i="20" a="1"/>
  <c r="Q1610" i="20" s="1"/>
  <c r="R1610" i="20" a="1"/>
  <c r="R1610" i="20" s="1"/>
  <c r="S1610" i="20"/>
  <c r="Q1611" i="20" a="1"/>
  <c r="Q1611" i="20" s="1"/>
  <c r="R1611" i="20" a="1"/>
  <c r="R1611" i="20" s="1"/>
  <c r="S1611" i="20"/>
  <c r="Q1612" i="20" a="1"/>
  <c r="Q1612" i="20" s="1"/>
  <c r="R1612" i="20" a="1"/>
  <c r="R1612" i="20" s="1"/>
  <c r="S1612" i="20"/>
  <c r="S1613" i="20"/>
  <c r="Q1613" i="20" a="1"/>
  <c r="Q1613" i="20" s="1"/>
  <c r="R1613" i="20" a="1"/>
  <c r="R1613" i="20" s="1"/>
  <c r="Q1614" i="20" a="1"/>
  <c r="Q1614" i="20" s="1"/>
  <c r="R1614" i="20" a="1"/>
  <c r="R1614" i="20" s="1"/>
  <c r="S1614" i="20"/>
  <c r="Q1615" i="20" a="1"/>
  <c r="Q1615" i="20" s="1"/>
  <c r="R1615" i="20" a="1"/>
  <c r="R1615" i="20" s="1"/>
  <c r="S1615" i="20"/>
  <c r="R1616" i="20" a="1"/>
  <c r="R1616" i="20" s="1"/>
  <c r="S1616" i="20"/>
  <c r="Q1616" i="20" a="1"/>
  <c r="Q1616" i="20" s="1"/>
  <c r="Q1617" i="20" a="1"/>
  <c r="Q1617" i="20" s="1"/>
  <c r="R1617" i="20" a="1"/>
  <c r="R1617" i="20" s="1"/>
  <c r="S1617" i="20"/>
  <c r="Q1618" i="20" a="1"/>
  <c r="Q1618" i="20" s="1"/>
  <c r="R1618" i="20" a="1"/>
  <c r="R1618" i="20" s="1"/>
  <c r="S1618" i="20"/>
  <c r="Q1619" i="20" a="1"/>
  <c r="Q1619" i="20" s="1"/>
  <c r="R1619" i="20" a="1"/>
  <c r="R1619" i="20" s="1"/>
  <c r="S1619" i="20"/>
  <c r="Q1620" i="20" a="1"/>
  <c r="Q1620" i="20" s="1"/>
  <c r="R1620" i="20" a="1"/>
  <c r="R1620" i="20" s="1"/>
  <c r="S1620" i="20"/>
  <c r="Q1621" i="20" a="1"/>
  <c r="Q1621" i="20" s="1"/>
  <c r="R1621" i="20" a="1"/>
  <c r="R1621" i="20" s="1"/>
  <c r="S1621" i="20"/>
  <c r="Q1622" i="20" a="1"/>
  <c r="Q1622" i="20" s="1"/>
  <c r="R1622" i="20" a="1"/>
  <c r="R1622" i="20" s="1"/>
  <c r="S1622" i="20"/>
  <c r="Q1623" i="20" a="1"/>
  <c r="Q1623" i="20" s="1"/>
  <c r="R1623" i="20" a="1"/>
  <c r="R1623" i="20" s="1"/>
  <c r="S1623" i="20"/>
  <c r="Q1624" i="20" a="1"/>
  <c r="Q1624" i="20" s="1"/>
  <c r="R1624" i="20" a="1"/>
  <c r="R1624" i="20" s="1"/>
  <c r="S1624" i="20"/>
  <c r="Q1625" i="20" a="1"/>
  <c r="Q1625" i="20" s="1"/>
  <c r="R1625" i="20" a="1"/>
  <c r="R1625" i="20" s="1"/>
  <c r="S1625" i="20"/>
  <c r="R1626" i="20" a="1"/>
  <c r="R1626" i="20" s="1"/>
  <c r="S1626" i="20"/>
  <c r="Q1626" i="20" a="1"/>
  <c r="Q1626" i="20" s="1"/>
  <c r="Q1627" i="20" a="1"/>
  <c r="Q1627" i="20" s="1"/>
  <c r="R1627" i="20" a="1"/>
  <c r="R1627" i="20" s="1"/>
  <c r="S1627" i="20"/>
  <c r="Q1628" i="20" a="1"/>
  <c r="Q1628" i="20" s="1"/>
  <c r="R1628" i="20" a="1"/>
  <c r="R1628" i="20" s="1"/>
  <c r="S1628" i="20"/>
  <c r="Q1629" i="20" a="1"/>
  <c r="Q1629" i="20" s="1"/>
  <c r="R1629" i="20" a="1"/>
  <c r="R1629" i="20" s="1"/>
  <c r="S1629" i="20"/>
  <c r="Q1630" i="20" a="1"/>
  <c r="Q1630" i="20" s="1"/>
  <c r="R1630" i="20" a="1"/>
  <c r="R1630" i="20" s="1"/>
  <c r="S1630" i="20"/>
  <c r="Q1631" i="20" a="1"/>
  <c r="Q1631" i="20" s="1"/>
  <c r="R1631" i="20" a="1"/>
  <c r="R1631" i="20" s="1"/>
  <c r="S1631" i="20"/>
  <c r="Q1632" i="20" a="1"/>
  <c r="Q1632" i="20" s="1"/>
  <c r="R1632" i="20" a="1"/>
  <c r="R1632" i="20" s="1"/>
  <c r="S1632" i="20"/>
  <c r="Q1633" i="20" a="1"/>
  <c r="Q1633" i="20" s="1"/>
  <c r="R1633" i="20" a="1"/>
  <c r="R1633" i="20" s="1"/>
  <c r="S1633" i="20"/>
  <c r="Q1634" i="20" a="1"/>
  <c r="Q1634" i="20" s="1"/>
  <c r="R1634" i="20" a="1"/>
  <c r="R1634" i="20" s="1"/>
  <c r="S1634" i="20"/>
  <c r="S1635" i="20"/>
  <c r="Q1635" i="20" a="1"/>
  <c r="Q1635" i="20" s="1"/>
  <c r="R1635" i="20" a="1"/>
  <c r="R1635" i="20" s="1"/>
  <c r="Q1636" i="20" a="1"/>
  <c r="Q1636" i="20" s="1"/>
  <c r="R1636" i="20" a="1"/>
  <c r="R1636" i="20" s="1"/>
  <c r="S1636" i="20"/>
  <c r="Q1637" i="20" a="1"/>
  <c r="Q1637" i="20" s="1"/>
  <c r="R1637" i="20" a="1"/>
  <c r="R1637" i="20" s="1"/>
  <c r="S1637" i="20"/>
  <c r="Q1638" i="20" a="1"/>
  <c r="Q1638" i="20" s="1"/>
  <c r="R1638" i="20" a="1"/>
  <c r="R1638" i="20" s="1"/>
  <c r="S1638" i="20"/>
  <c r="R1639" i="20" a="1"/>
  <c r="R1639" i="20" s="1"/>
  <c r="S1639" i="20"/>
  <c r="Q1639" i="20" a="1"/>
  <c r="Q1639" i="20" s="1"/>
  <c r="Q1640" i="20" a="1"/>
  <c r="Q1640" i="20" s="1"/>
  <c r="R1640" i="20" a="1"/>
  <c r="R1640" i="20" s="1"/>
  <c r="S1640" i="20"/>
  <c r="Q1641" i="20" a="1"/>
  <c r="Q1641" i="20" s="1"/>
  <c r="R1641" i="20" a="1"/>
  <c r="R1641" i="20" s="1"/>
  <c r="S1641" i="20"/>
  <c r="Q1642" i="20" a="1"/>
  <c r="Q1642" i="20" s="1"/>
  <c r="R1642" i="20" a="1"/>
  <c r="R1642" i="20" s="1"/>
  <c r="S1642" i="20"/>
  <c r="Q1643" i="20" a="1"/>
  <c r="Q1643" i="20" s="1"/>
  <c r="R1643" i="20" a="1"/>
  <c r="R1643" i="20" s="1"/>
  <c r="S1643" i="20"/>
  <c r="Q1644" i="20" a="1"/>
  <c r="Q1644" i="20" s="1"/>
  <c r="R1644" i="20" a="1"/>
  <c r="R1644" i="20" s="1"/>
  <c r="S1644" i="20"/>
  <c r="Q1645" i="20" a="1"/>
  <c r="Q1645" i="20" s="1"/>
  <c r="R1645" i="20" a="1"/>
  <c r="R1645" i="20" s="1"/>
  <c r="S1645" i="20"/>
  <c r="Q1646" i="20" a="1"/>
  <c r="Q1646" i="20" s="1"/>
  <c r="R1646" i="20" a="1"/>
  <c r="R1646" i="20" s="1"/>
  <c r="S1646" i="20"/>
  <c r="Q1647" i="20" a="1"/>
  <c r="Q1647" i="20" s="1"/>
  <c r="R1647" i="20" a="1"/>
  <c r="R1647" i="20" s="1"/>
  <c r="S1647" i="20"/>
  <c r="R1648" i="20" a="1"/>
  <c r="R1648" i="20" s="1"/>
  <c r="S1648" i="20"/>
  <c r="Q1648" i="20" a="1"/>
  <c r="Q1648" i="20" s="1"/>
  <c r="Q1649" i="20" a="1"/>
  <c r="Q1649" i="20" s="1"/>
  <c r="R1649" i="20" a="1"/>
  <c r="R1649" i="20" s="1"/>
  <c r="S1649" i="20"/>
  <c r="S1650" i="20"/>
  <c r="Q1650" i="20" a="1"/>
  <c r="Q1650" i="20" s="1"/>
  <c r="R1650" i="20" a="1"/>
  <c r="R1650" i="20" s="1"/>
  <c r="Q1651" i="20" a="1"/>
  <c r="Q1651" i="20" s="1"/>
  <c r="R1651" i="20" a="1"/>
  <c r="R1651" i="20" s="1"/>
  <c r="S1651" i="20"/>
  <c r="Q1652" i="20" a="1"/>
  <c r="Q1652" i="20" s="1"/>
  <c r="R1652" i="20" a="1"/>
  <c r="R1652" i="20" s="1"/>
  <c r="S1652" i="20"/>
  <c r="Q1653" i="20" a="1"/>
  <c r="Q1653" i="20" s="1"/>
  <c r="R1653" i="20" a="1"/>
  <c r="R1653" i="20" s="1"/>
  <c r="S1653" i="20"/>
  <c r="Q1654" i="20" a="1"/>
  <c r="Q1654" i="20" s="1"/>
  <c r="R1654" i="20" a="1"/>
  <c r="R1654" i="20" s="1"/>
  <c r="S1654" i="20"/>
  <c r="R1655" i="20" a="1"/>
  <c r="R1655" i="20" s="1"/>
  <c r="S1655" i="20"/>
  <c r="Q1655" i="20" a="1"/>
  <c r="Q1655" i="20" s="1"/>
  <c r="Q1656" i="20" a="1"/>
  <c r="Q1656" i="20" s="1"/>
  <c r="R1656" i="20" a="1"/>
  <c r="R1656" i="20" s="1"/>
  <c r="S1656" i="20"/>
  <c r="Q1657" i="20" a="1"/>
  <c r="Q1657" i="20" s="1"/>
  <c r="R1657" i="20" a="1"/>
  <c r="R1657" i="20" s="1"/>
  <c r="S1657" i="20"/>
  <c r="Q1658" i="20" a="1"/>
  <c r="Q1658" i="20" s="1"/>
  <c r="R1658" i="20" a="1"/>
  <c r="R1658" i="20" s="1"/>
  <c r="S1658" i="20"/>
  <c r="Q1659" i="20" a="1"/>
  <c r="Q1659" i="20" s="1"/>
  <c r="R1659" i="20" a="1"/>
  <c r="R1659" i="20" s="1"/>
  <c r="S1659" i="20"/>
  <c r="Q1660" i="20" a="1"/>
  <c r="Q1660" i="20" s="1"/>
  <c r="R1660" i="20" a="1"/>
  <c r="R1660" i="20" s="1"/>
  <c r="S1660" i="20"/>
  <c r="Q1661" i="20" a="1"/>
  <c r="Q1661" i="20" s="1"/>
  <c r="R1661" i="20" a="1"/>
  <c r="R1661" i="20" s="1"/>
  <c r="S1661" i="20"/>
  <c r="Q1662" i="20" a="1"/>
  <c r="Q1662" i="20" s="1"/>
  <c r="R1662" i="20" a="1"/>
  <c r="R1662" i="20" s="1"/>
  <c r="S1662" i="20"/>
  <c r="Q1663" i="20" a="1"/>
  <c r="Q1663" i="20" s="1"/>
  <c r="R1663" i="20" a="1"/>
  <c r="R1663" i="20" s="1"/>
  <c r="S1663" i="20"/>
  <c r="S1664" i="20"/>
  <c r="Q1664" i="20" a="1"/>
  <c r="Q1664" i="20" s="1"/>
  <c r="R1664" i="20" a="1"/>
  <c r="R1664" i="20" s="1"/>
  <c r="Q1665" i="20" a="1"/>
  <c r="Q1665" i="20" s="1"/>
  <c r="R1665" i="20" a="1"/>
  <c r="R1665" i="20" s="1"/>
  <c r="S1665" i="20"/>
  <c r="R1666" i="20" a="1"/>
  <c r="R1666" i="20" s="1"/>
  <c r="S1666" i="20"/>
  <c r="Q1666" i="20" a="1"/>
  <c r="Q1666" i="20" s="1"/>
  <c r="Q1667" i="20" a="1"/>
  <c r="Q1667" i="20" s="1"/>
  <c r="R1667" i="20" a="1"/>
  <c r="R1667" i="20" s="1"/>
  <c r="S1667" i="20"/>
  <c r="Q1668" i="20" a="1"/>
  <c r="Q1668" i="20" s="1"/>
  <c r="R1668" i="20" a="1"/>
  <c r="R1668" i="20" s="1"/>
  <c r="S1668" i="20"/>
  <c r="Q1669" i="20" a="1"/>
  <c r="Q1669" i="20" s="1"/>
  <c r="R1669" i="20" a="1"/>
  <c r="R1669" i="20" s="1"/>
  <c r="S1669" i="20"/>
  <c r="Q1670" i="20" a="1"/>
  <c r="Q1670" i="20" s="1"/>
  <c r="R1670" i="20" a="1"/>
  <c r="R1670" i="20" s="1"/>
  <c r="S1670" i="20"/>
  <c r="Q1671" i="20" a="1"/>
  <c r="Q1671" i="20" s="1"/>
  <c r="R1671" i="20" a="1"/>
  <c r="R1671" i="20" s="1"/>
  <c r="S1671" i="20"/>
  <c r="Q1672" i="20" a="1"/>
  <c r="Q1672" i="20" s="1"/>
  <c r="R1672" i="20" a="1"/>
  <c r="R1672" i="20" s="1"/>
  <c r="S1672" i="20"/>
  <c r="Q1673" i="20" a="1"/>
  <c r="Q1673" i="20" s="1"/>
  <c r="R1673" i="20" a="1"/>
  <c r="R1673" i="20" s="1"/>
  <c r="S1673" i="20"/>
  <c r="Q1674" i="20" a="1"/>
  <c r="Q1674" i="20" s="1"/>
  <c r="R1674" i="20" a="1"/>
  <c r="R1674" i="20" s="1"/>
  <c r="S1674" i="20"/>
  <c r="S1675" i="20"/>
  <c r="Q1675" i="20" a="1"/>
  <c r="Q1675" i="20" s="1"/>
  <c r="R1675" i="20" a="1"/>
  <c r="R1675" i="20" s="1"/>
  <c r="Q1676" i="20" a="1"/>
  <c r="Q1676" i="20" s="1"/>
  <c r="R1676" i="20" a="1"/>
  <c r="R1676" i="20" s="1"/>
  <c r="S1676" i="20"/>
  <c r="Q1677" i="20" a="1"/>
  <c r="Q1677" i="20" s="1"/>
  <c r="R1677" i="20" a="1"/>
  <c r="R1677" i="20" s="1"/>
  <c r="S1677" i="20"/>
  <c r="Q1678" i="20" a="1"/>
  <c r="Q1678" i="20" s="1"/>
  <c r="R1678" i="20" a="1"/>
  <c r="R1678" i="20" s="1"/>
  <c r="S1678" i="20"/>
  <c r="Q1679" i="20" a="1"/>
  <c r="Q1679" i="20" s="1"/>
  <c r="R1679" i="20" a="1"/>
  <c r="R1679" i="20" s="1"/>
  <c r="S1679" i="20"/>
  <c r="Q1680" i="20" a="1"/>
  <c r="Q1680" i="20" s="1"/>
  <c r="R1680" i="20" a="1"/>
  <c r="R1680" i="20" s="1"/>
  <c r="S1680" i="20"/>
  <c r="S1681" i="20"/>
  <c r="Q1681" i="20" a="1"/>
  <c r="Q1681" i="20" s="1"/>
  <c r="R1681" i="20" a="1"/>
  <c r="R1681" i="20" s="1"/>
  <c r="Q1682" i="20" a="1"/>
  <c r="Q1682" i="20" s="1"/>
  <c r="R1682" i="20" a="1"/>
  <c r="R1682" i="20" s="1"/>
  <c r="S1682" i="20"/>
  <c r="Q1683" i="20" a="1"/>
  <c r="Q1683" i="20" s="1"/>
  <c r="R1683" i="20" a="1"/>
  <c r="R1683" i="20" s="1"/>
  <c r="S1683" i="20"/>
  <c r="Q1684" i="20" a="1"/>
  <c r="Q1684" i="20" s="1"/>
  <c r="R1684" i="20" a="1"/>
  <c r="R1684" i="20" s="1"/>
  <c r="S1684" i="20"/>
  <c r="Q1685" i="20" a="1"/>
  <c r="Q1685" i="20" s="1"/>
  <c r="R1685" i="20" a="1"/>
  <c r="R1685" i="20" s="1"/>
  <c r="S1685" i="20"/>
  <c r="Q1686" i="20" a="1"/>
  <c r="Q1686" i="20" s="1"/>
  <c r="R1686" i="20" a="1"/>
  <c r="R1686" i="20" s="1"/>
  <c r="S1686" i="20"/>
  <c r="Q1687" i="20" a="1"/>
  <c r="Q1687" i="20" s="1"/>
  <c r="R1687" i="20" a="1"/>
  <c r="R1687" i="20" s="1"/>
  <c r="S1687" i="20"/>
  <c r="R1688" i="20" a="1"/>
  <c r="R1688" i="20" s="1"/>
  <c r="S1688" i="20"/>
  <c r="Q1688" i="20" a="1"/>
  <c r="Q1688" i="20" s="1"/>
  <c r="Q1689" i="20" a="1"/>
  <c r="Q1689" i="20" s="1"/>
  <c r="R1689" i="20" a="1"/>
  <c r="R1689" i="20" s="1"/>
  <c r="S1689" i="20"/>
  <c r="Q1690" i="20" a="1"/>
  <c r="Q1690" i="20" s="1"/>
  <c r="R1690" i="20" a="1"/>
  <c r="R1690" i="20" s="1"/>
  <c r="S1690" i="20"/>
  <c r="Q1691" i="20" a="1"/>
  <c r="Q1691" i="20" s="1"/>
  <c r="R1691" i="20" a="1"/>
  <c r="R1691" i="20" s="1"/>
  <c r="S1691" i="20"/>
  <c r="Q1692" i="20" a="1"/>
  <c r="Q1692" i="20" s="1"/>
  <c r="R1692" i="20" a="1"/>
  <c r="R1692" i="20" s="1"/>
  <c r="S1692" i="20"/>
  <c r="Q1693" i="20" a="1"/>
  <c r="Q1693" i="20" s="1"/>
  <c r="R1693" i="20" a="1"/>
  <c r="R1693" i="20" s="1"/>
  <c r="S1693" i="20"/>
  <c r="S1694" i="20"/>
  <c r="Q1694" i="20" a="1"/>
  <c r="Q1694" i="20" s="1"/>
  <c r="R1694" i="20" a="1"/>
  <c r="R1694" i="20" s="1"/>
  <c r="Q1695" i="20" a="1"/>
  <c r="Q1695" i="20" s="1"/>
  <c r="R1695" i="20" a="1"/>
  <c r="R1695" i="20" s="1"/>
  <c r="S1695" i="20"/>
  <c r="Q1696" i="20" a="1"/>
  <c r="Q1696" i="20" s="1"/>
  <c r="R1696" i="20" a="1"/>
  <c r="R1696" i="20" s="1"/>
  <c r="S1696" i="20"/>
  <c r="Q1697" i="20" a="1"/>
  <c r="Q1697" i="20" s="1"/>
  <c r="R1697" i="20" a="1"/>
  <c r="R1697" i="20" s="1"/>
  <c r="S1697" i="20"/>
  <c r="Q1698" i="20" a="1"/>
  <c r="Q1698" i="20" s="1"/>
  <c r="R1698" i="20" a="1"/>
  <c r="R1698" i="20" s="1"/>
  <c r="S1698" i="20"/>
  <c r="Q1699" i="20" a="1"/>
  <c r="Q1699" i="20" s="1"/>
  <c r="R1699" i="20" a="1"/>
  <c r="R1699" i="20" s="1"/>
  <c r="S1699" i="20"/>
  <c r="Q1700" i="20" a="1"/>
  <c r="Q1700" i="20" s="1"/>
  <c r="R1700" i="20" a="1"/>
  <c r="R1700" i="20" s="1"/>
  <c r="S1700" i="20"/>
  <c r="Q1701" i="20" a="1"/>
  <c r="Q1701" i="20" s="1"/>
  <c r="R1701" i="20" a="1"/>
  <c r="R1701" i="20" s="1"/>
  <c r="S1701" i="20"/>
  <c r="Q1702" i="20" a="1"/>
  <c r="Q1702" i="20" s="1"/>
  <c r="R1702" i="20" a="1"/>
  <c r="R1702" i="20" s="1"/>
  <c r="S1702" i="20"/>
  <c r="Q1703" i="20" a="1"/>
  <c r="Q1703" i="20" s="1"/>
  <c r="R1703" i="20" a="1"/>
  <c r="R1703" i="20" s="1"/>
  <c r="S1703" i="20"/>
  <c r="R1704" i="20" a="1"/>
  <c r="R1704" i="20" s="1"/>
  <c r="S1704" i="20"/>
  <c r="Q1704" i="20" a="1"/>
  <c r="Q1704" i="20" s="1"/>
  <c r="Q1705" i="20" a="1"/>
  <c r="Q1705" i="20" s="1"/>
  <c r="R1705" i="20" a="1"/>
  <c r="R1705" i="20" s="1"/>
  <c r="S1705" i="20"/>
  <c r="Q1706" i="20" a="1"/>
  <c r="Q1706" i="20" s="1"/>
  <c r="R1706" i="20" a="1"/>
  <c r="R1706" i="20" s="1"/>
  <c r="S1706" i="20"/>
  <c r="S1707" i="20"/>
  <c r="Q1707" i="20" a="1"/>
  <c r="Q1707" i="20" s="1"/>
  <c r="R1707" i="20" a="1"/>
  <c r="R1707" i="20" s="1"/>
  <c r="Q1708" i="20" a="1"/>
  <c r="Q1708" i="20" s="1"/>
  <c r="R1708" i="20" a="1"/>
  <c r="R1708" i="20" s="1"/>
  <c r="S1708" i="20"/>
  <c r="Q1709" i="20" a="1"/>
  <c r="Q1709" i="20" s="1"/>
  <c r="R1709" i="20" a="1"/>
  <c r="R1709" i="20" s="1"/>
  <c r="S1709" i="20"/>
  <c r="Q1710" i="20" a="1"/>
  <c r="Q1710" i="20" s="1"/>
  <c r="R1710" i="20" a="1"/>
  <c r="R1710" i="20" s="1"/>
  <c r="S1710" i="20"/>
  <c r="Q1711" i="20" a="1"/>
  <c r="Q1711" i="20" s="1"/>
  <c r="R1711" i="20" a="1"/>
  <c r="R1711" i="20" s="1"/>
  <c r="S1711" i="20"/>
  <c r="Q1712" i="20" a="1"/>
  <c r="Q1712" i="20" s="1"/>
  <c r="R1712" i="20" a="1"/>
  <c r="R1712" i="20" s="1"/>
  <c r="S1712" i="20"/>
  <c r="Q1713" i="20" a="1"/>
  <c r="Q1713" i="20" s="1"/>
  <c r="R1713" i="20" a="1"/>
  <c r="R1713" i="20" s="1"/>
  <c r="S1713" i="20"/>
  <c r="Q1714" i="20" a="1"/>
  <c r="Q1714" i="20" s="1"/>
  <c r="R1714" i="20" a="1"/>
  <c r="R1714" i="20" s="1"/>
  <c r="S1714" i="20"/>
  <c r="R1715" i="20" a="1"/>
  <c r="R1715" i="20" s="1"/>
  <c r="S1715" i="20"/>
  <c r="Q1715" i="20" a="1"/>
  <c r="Q1715" i="20" s="1"/>
  <c r="Q1716" i="20" a="1"/>
  <c r="Q1716" i="20" s="1"/>
  <c r="R1716" i="20" a="1"/>
  <c r="R1716" i="20" s="1"/>
  <c r="S1716" i="20"/>
  <c r="Q1717" i="20" a="1"/>
  <c r="Q1717" i="20" s="1"/>
  <c r="R1717" i="20" a="1"/>
  <c r="R1717" i="20" s="1"/>
  <c r="S1717" i="20"/>
  <c r="Q1718" i="20" a="1"/>
  <c r="Q1718" i="20" s="1"/>
  <c r="R1718" i="20" a="1"/>
  <c r="R1718" i="20" s="1"/>
  <c r="S1718" i="20"/>
  <c r="S1719" i="20"/>
  <c r="Q1719" i="20" a="1"/>
  <c r="Q1719" i="20" s="1"/>
  <c r="R1719" i="20" a="1"/>
  <c r="R1719" i="20" s="1"/>
  <c r="Q1720" i="20" a="1"/>
  <c r="Q1720" i="20" s="1"/>
  <c r="R1720" i="20" a="1"/>
  <c r="R1720" i="20" s="1"/>
  <c r="S1720" i="20"/>
  <c r="Q1721" i="20" a="1"/>
  <c r="Q1721" i="20" s="1"/>
  <c r="R1721" i="20" a="1"/>
  <c r="R1721" i="20" s="1"/>
  <c r="S1721" i="20"/>
  <c r="Q1722" i="20" a="1"/>
  <c r="Q1722" i="20" s="1"/>
  <c r="R1722" i="20" a="1"/>
  <c r="R1722" i="20" s="1"/>
  <c r="S1722" i="20"/>
  <c r="Q1723" i="20" a="1"/>
  <c r="Q1723" i="20" s="1"/>
  <c r="R1723" i="20" a="1"/>
  <c r="R1723" i="20" s="1"/>
  <c r="S1723" i="20"/>
  <c r="Q1724" i="20" a="1"/>
  <c r="Q1724" i="20" s="1"/>
  <c r="R1724" i="20" a="1"/>
  <c r="R1724" i="20" s="1"/>
  <c r="S1724" i="20"/>
  <c r="Q1725" i="20" a="1"/>
  <c r="Q1725" i="20" s="1"/>
  <c r="R1725" i="20" a="1"/>
  <c r="R1725" i="20" s="1"/>
  <c r="S1725" i="20"/>
  <c r="Q1726" i="20" a="1"/>
  <c r="Q1726" i="20" s="1"/>
  <c r="R1726" i="20" a="1"/>
  <c r="R1726" i="20" s="1"/>
  <c r="S1726" i="20"/>
  <c r="Q1727" i="20" a="1"/>
  <c r="Q1727" i="20" s="1"/>
  <c r="R1727" i="20" a="1"/>
  <c r="R1727" i="20" s="1"/>
  <c r="S1727" i="20"/>
  <c r="Q1728" i="20" a="1"/>
  <c r="Q1728" i="20" s="1"/>
  <c r="R1728" i="20" a="1"/>
  <c r="R1728" i="20" s="1"/>
  <c r="S1728" i="20"/>
  <c r="R1729" i="20" a="1"/>
  <c r="R1729" i="20" s="1"/>
  <c r="S1729" i="20"/>
  <c r="Q1729" i="20" a="1"/>
  <c r="Q1729" i="20" s="1"/>
  <c r="Q1730" i="20" a="1"/>
  <c r="Q1730" i="20" s="1"/>
  <c r="R1730" i="20" a="1"/>
  <c r="R1730" i="20" s="1"/>
  <c r="S1730" i="20"/>
  <c r="Q1731" i="20" a="1"/>
  <c r="Q1731" i="20" s="1"/>
  <c r="R1731" i="20" a="1"/>
  <c r="R1731" i="20" s="1"/>
  <c r="S1731" i="20"/>
  <c r="S1732" i="20"/>
  <c r="Q1732" i="20" a="1"/>
  <c r="Q1732" i="20" s="1"/>
  <c r="R1732" i="20" a="1"/>
  <c r="R1732" i="20" s="1"/>
  <c r="Q1733" i="20" a="1"/>
  <c r="Q1733" i="20" s="1"/>
  <c r="R1733" i="20" a="1"/>
  <c r="R1733" i="20" s="1"/>
  <c r="S1733" i="20"/>
  <c r="Q1734" i="20" a="1"/>
  <c r="Q1734" i="20" s="1"/>
  <c r="R1734" i="20" a="1"/>
  <c r="R1734" i="20" s="1"/>
  <c r="S1734" i="20"/>
  <c r="Q1735" i="20" a="1"/>
  <c r="Q1735" i="20" s="1"/>
  <c r="R1735" i="20" a="1"/>
  <c r="R1735" i="20" s="1"/>
  <c r="S1735" i="20"/>
  <c r="Q1736" i="20" a="1"/>
  <c r="Q1736" i="20" s="1"/>
  <c r="R1736" i="20" a="1"/>
  <c r="R1736" i="20" s="1"/>
  <c r="S1736" i="20"/>
  <c r="Q1737" i="20" a="1"/>
  <c r="Q1737" i="20" s="1"/>
  <c r="R1737" i="20" a="1"/>
  <c r="R1737" i="20" s="1"/>
  <c r="S1737" i="20"/>
  <c r="Q1738" i="20" a="1"/>
  <c r="Q1738" i="20" s="1"/>
  <c r="R1738" i="20" a="1"/>
  <c r="R1738" i="20" s="1"/>
  <c r="S1738" i="20"/>
  <c r="Q1739" i="20" a="1"/>
  <c r="Q1739" i="20" s="1"/>
  <c r="R1739" i="20" a="1"/>
  <c r="R1739" i="20" s="1"/>
  <c r="S1739" i="20"/>
  <c r="Q1740" i="20" a="1"/>
  <c r="Q1740" i="20" s="1"/>
  <c r="R1740" i="20" a="1"/>
  <c r="R1740" i="20" s="1"/>
  <c r="S1740" i="20"/>
  <c r="Q1741" i="20" a="1"/>
  <c r="Q1741" i="20" s="1"/>
  <c r="R1741" i="20" a="1"/>
  <c r="R1741" i="20" s="1"/>
  <c r="S1741" i="20"/>
  <c r="Q1742" i="20" a="1"/>
  <c r="Q1742" i="20" s="1"/>
  <c r="R1742" i="20" a="1"/>
  <c r="R1742" i="20" s="1"/>
  <c r="S1742" i="20"/>
  <c r="R1743" i="20" a="1"/>
  <c r="R1743" i="20" s="1"/>
  <c r="S1743" i="20"/>
  <c r="Q1743" i="20" a="1"/>
  <c r="Q1743" i="20" s="1"/>
  <c r="Q1744" i="20" a="1"/>
  <c r="Q1744" i="20" s="1"/>
  <c r="R1744" i="20" a="1"/>
  <c r="R1744" i="20" s="1"/>
  <c r="S1744" i="20"/>
  <c r="S1745" i="20"/>
  <c r="Q1745" i="20" a="1"/>
  <c r="Q1745" i="20" s="1"/>
  <c r="R1745" i="20" a="1"/>
  <c r="R1745" i="20" s="1"/>
  <c r="Q1746" i="20" a="1"/>
  <c r="Q1746" i="20" s="1"/>
  <c r="R1746" i="20" a="1"/>
  <c r="R1746" i="20" s="1"/>
  <c r="S1746" i="20"/>
  <c r="Q1747" i="20" a="1"/>
  <c r="Q1747" i="20" s="1"/>
  <c r="R1747" i="20" a="1"/>
  <c r="R1747" i="20" s="1"/>
  <c r="S1747" i="20"/>
  <c r="Q1748" i="20" a="1"/>
  <c r="Q1748" i="20" s="1"/>
  <c r="R1748" i="20" a="1"/>
  <c r="R1748" i="20" s="1"/>
  <c r="S1748" i="20"/>
  <c r="Q1749" i="20" a="1"/>
  <c r="Q1749" i="20" s="1"/>
  <c r="R1749" i="20" a="1"/>
  <c r="R1749" i="20" s="1"/>
  <c r="S1749" i="20"/>
  <c r="Q1750" i="20" a="1"/>
  <c r="Q1750" i="20" s="1"/>
  <c r="R1750" i="20" a="1"/>
  <c r="R1750" i="20" s="1"/>
  <c r="S1750" i="20"/>
  <c r="Q1751" i="20" a="1"/>
  <c r="Q1751" i="20" s="1"/>
  <c r="R1751" i="20" a="1"/>
  <c r="R1751" i="20" s="1"/>
  <c r="S1751" i="20"/>
  <c r="Q1752" i="20" a="1"/>
  <c r="Q1752" i="20" s="1"/>
  <c r="R1752" i="20" a="1"/>
  <c r="R1752" i="20" s="1"/>
  <c r="S1752" i="20"/>
  <c r="Q1753" i="20" a="1"/>
  <c r="Q1753" i="20" s="1"/>
  <c r="R1753" i="20" a="1"/>
  <c r="R1753" i="20" s="1"/>
  <c r="S1753" i="20"/>
  <c r="R1754" i="20" a="1"/>
  <c r="R1754" i="20" s="1"/>
  <c r="S1754" i="20"/>
  <c r="Q1754" i="20" a="1"/>
  <c r="Q1754" i="20" s="1"/>
  <c r="Q1755" i="20" a="1"/>
  <c r="Q1755" i="20" s="1"/>
  <c r="R1755" i="20" a="1"/>
  <c r="R1755" i="20" s="1"/>
  <c r="S1755" i="20"/>
  <c r="S1756" i="20"/>
  <c r="Q1756" i="20" a="1"/>
  <c r="Q1756" i="20" s="1"/>
  <c r="R1756" i="20" a="1"/>
  <c r="R1756" i="20" s="1"/>
  <c r="Q1757" i="20" a="1"/>
  <c r="Q1757" i="20" s="1"/>
  <c r="R1757" i="20" a="1"/>
  <c r="R1757" i="20" s="1"/>
  <c r="S1757" i="20"/>
  <c r="Q1758" i="20" a="1"/>
  <c r="Q1758" i="20" s="1"/>
  <c r="R1758" i="20" a="1"/>
  <c r="R1758" i="20" s="1"/>
  <c r="S1758" i="20"/>
  <c r="Q1759" i="20" a="1"/>
  <c r="Q1759" i="20" s="1"/>
  <c r="R1759" i="20" a="1"/>
  <c r="R1759" i="20" s="1"/>
  <c r="S1759" i="20"/>
  <c r="Q1760" i="20" a="1"/>
  <c r="Q1760" i="20" s="1"/>
  <c r="R1760" i="20" a="1"/>
  <c r="R1760" i="20" s="1"/>
  <c r="S1760" i="20"/>
  <c r="Q1761" i="20" a="1"/>
  <c r="Q1761" i="20" s="1"/>
  <c r="R1761" i="20" a="1"/>
  <c r="R1761" i="20" s="1"/>
  <c r="S1761" i="20"/>
  <c r="Q1762" i="20" a="1"/>
  <c r="Q1762" i="20" s="1"/>
  <c r="R1762" i="20" a="1"/>
  <c r="R1762" i="20" s="1"/>
  <c r="S1762" i="20"/>
  <c r="Q1763" i="20" a="1"/>
  <c r="Q1763" i="20" s="1"/>
  <c r="R1763" i="20" a="1"/>
  <c r="R1763" i="20" s="1"/>
  <c r="S1763" i="20"/>
  <c r="Q1764" i="20" a="1"/>
  <c r="Q1764" i="20" s="1"/>
  <c r="R1764" i="20" a="1"/>
  <c r="R1764" i="20" s="1"/>
  <c r="S1764" i="20"/>
  <c r="Q1765" i="20" a="1"/>
  <c r="Q1765" i="20" s="1"/>
  <c r="R1765" i="20" a="1"/>
  <c r="R1765" i="20" s="1"/>
  <c r="S1765" i="20"/>
  <c r="R1766" i="20" a="1"/>
  <c r="R1766" i="20" s="1"/>
  <c r="S1766" i="20"/>
  <c r="Q1766" i="20" a="1"/>
  <c r="Q1766" i="20" s="1"/>
  <c r="Q1767" i="20" a="1"/>
  <c r="Q1767" i="20" s="1"/>
  <c r="R1767" i="20" a="1"/>
  <c r="R1767" i="20" s="1"/>
  <c r="S1767" i="20"/>
  <c r="Q1768" i="20" a="1"/>
  <c r="Q1768" i="20" s="1"/>
  <c r="R1768" i="20" a="1"/>
  <c r="R1768" i="20" s="1"/>
  <c r="S1768" i="20"/>
  <c r="Q1769" i="20" a="1"/>
  <c r="Q1769" i="20" s="1"/>
  <c r="R1769" i="20" a="1"/>
  <c r="R1769" i="20" s="1"/>
  <c r="S1769" i="20"/>
  <c r="Q1770" i="20" a="1"/>
  <c r="Q1770" i="20" s="1"/>
  <c r="R1770" i="20" a="1"/>
  <c r="R1770" i="20" s="1"/>
  <c r="S1770" i="20"/>
  <c r="Q1771" i="20" a="1"/>
  <c r="Q1771" i="20" s="1"/>
  <c r="R1771" i="20" a="1"/>
  <c r="R1771" i="20" s="1"/>
  <c r="S1771" i="20"/>
  <c r="Q1772" i="20" a="1"/>
  <c r="Q1772" i="20" s="1"/>
  <c r="R1772" i="20" a="1"/>
  <c r="R1772" i="20" s="1"/>
  <c r="S1772" i="20"/>
  <c r="Q1773" i="20" a="1"/>
  <c r="Q1773" i="20" s="1"/>
  <c r="R1773" i="20" a="1"/>
  <c r="R1773" i="20" s="1"/>
  <c r="S1773" i="20"/>
  <c r="S1774" i="20"/>
  <c r="Q1774" i="20" a="1"/>
  <c r="Q1774" i="20" s="1"/>
  <c r="R1774" i="20" a="1"/>
  <c r="R1774" i="20" s="1"/>
  <c r="Q1775" i="20" a="1"/>
  <c r="Q1775" i="20" s="1"/>
  <c r="R1775" i="20" a="1"/>
  <c r="R1775" i="20" s="1"/>
  <c r="S1775" i="20"/>
  <c r="Q1776" i="20" a="1"/>
  <c r="Q1776" i="20" s="1"/>
  <c r="R1776" i="20" a="1"/>
  <c r="R1776" i="20" s="1"/>
  <c r="S1776" i="20"/>
  <c r="Q1777" i="20" a="1"/>
  <c r="Q1777" i="20" s="1"/>
  <c r="R1777" i="20" a="1"/>
  <c r="R1777" i="20" s="1"/>
  <c r="S1777" i="20"/>
  <c r="R1778" i="20" a="1"/>
  <c r="R1778" i="20" s="1"/>
  <c r="S1778" i="20"/>
  <c r="Q1778" i="20" a="1"/>
  <c r="Q1778" i="20" s="1"/>
  <c r="Q1779" i="20" a="1"/>
  <c r="Q1779" i="20" s="1"/>
  <c r="R1779" i="20" a="1"/>
  <c r="R1779" i="20" s="1"/>
  <c r="S1779" i="20"/>
  <c r="Q1780" i="20" a="1"/>
  <c r="Q1780" i="20" s="1"/>
  <c r="R1780" i="20" a="1"/>
  <c r="R1780" i="20" s="1"/>
  <c r="S1780" i="20"/>
  <c r="Q1781" i="20" a="1"/>
  <c r="Q1781" i="20" s="1"/>
  <c r="R1781" i="20" a="1"/>
  <c r="R1781" i="20" s="1"/>
  <c r="S1781" i="20"/>
  <c r="Q1782" i="20" a="1"/>
  <c r="Q1782" i="20" s="1"/>
  <c r="R1782" i="20" a="1"/>
  <c r="R1782" i="20" s="1"/>
  <c r="S1782" i="20"/>
  <c r="Q1783" i="20" a="1"/>
  <c r="Q1783" i="20" s="1"/>
  <c r="R1783" i="20" a="1"/>
  <c r="R1783" i="20" s="1"/>
  <c r="S1783" i="20"/>
  <c r="Q1784" i="20" a="1"/>
  <c r="Q1784" i="20" s="1"/>
  <c r="R1784" i="20" a="1"/>
  <c r="R1784" i="20" s="1"/>
  <c r="S1784" i="20"/>
  <c r="Q1785" i="20" a="1"/>
  <c r="Q1785" i="20" s="1"/>
  <c r="R1785" i="20" a="1"/>
  <c r="R1785" i="20" s="1"/>
  <c r="S1785" i="20"/>
  <c r="Q1786" i="20" a="1"/>
  <c r="Q1786" i="20" s="1"/>
  <c r="R1786" i="20" a="1"/>
  <c r="R1786" i="20" s="1"/>
  <c r="S1786" i="20"/>
  <c r="Q1787" i="20" a="1"/>
  <c r="Q1787" i="20" s="1"/>
  <c r="R1787" i="20" a="1"/>
  <c r="R1787" i="20" s="1"/>
  <c r="S1787" i="20"/>
  <c r="S1788" i="20"/>
  <c r="Q1788" i="20" a="1"/>
  <c r="Q1788" i="20" s="1"/>
  <c r="R1788" i="20" a="1"/>
  <c r="R1788" i="20" s="1"/>
  <c r="R1789" i="20" a="1"/>
  <c r="R1789" i="20" s="1"/>
  <c r="S1789" i="20"/>
  <c r="Q1789" i="20" a="1"/>
  <c r="Q1789" i="20" s="1"/>
  <c r="Q1790" i="20" a="1"/>
  <c r="Q1790" i="20" s="1"/>
  <c r="R1790" i="20" a="1"/>
  <c r="R1790" i="20" s="1"/>
  <c r="S1790" i="20"/>
  <c r="Q1791" i="20" a="1"/>
  <c r="Q1791" i="20" s="1"/>
  <c r="R1791" i="20" a="1"/>
  <c r="R1791" i="20" s="1"/>
  <c r="S1791" i="20"/>
  <c r="Q1792" i="20" a="1"/>
  <c r="Q1792" i="20" s="1"/>
  <c r="R1792" i="20" a="1"/>
  <c r="R1792" i="20" s="1"/>
  <c r="S1792" i="20"/>
  <c r="Q1793" i="20" a="1"/>
  <c r="Q1793" i="20" s="1"/>
  <c r="R1793" i="20" a="1"/>
  <c r="R1793" i="20" s="1"/>
  <c r="S1793" i="20"/>
  <c r="Q1794" i="20" a="1"/>
  <c r="Q1794" i="20" s="1"/>
  <c r="R1794" i="20" a="1"/>
  <c r="R1794" i="20" s="1"/>
  <c r="S1794" i="20"/>
  <c r="Q1795" i="20" a="1"/>
  <c r="Q1795" i="20" s="1"/>
  <c r="R1795" i="20" a="1"/>
  <c r="R1795" i="20" s="1"/>
  <c r="S1795" i="20"/>
  <c r="Q1796" i="20" a="1"/>
  <c r="Q1796" i="20" s="1"/>
  <c r="R1796" i="20" a="1"/>
  <c r="R1796" i="20" s="1"/>
  <c r="S1796" i="20"/>
  <c r="Q1797" i="20" a="1"/>
  <c r="Q1797" i="20" s="1"/>
  <c r="R1797" i="20" a="1"/>
  <c r="R1797" i="20" s="1"/>
  <c r="S1797" i="20"/>
  <c r="Q1798" i="20" a="1"/>
  <c r="Q1798" i="20" s="1"/>
  <c r="R1798" i="20" a="1"/>
  <c r="R1798" i="20" s="1"/>
  <c r="S1798" i="20"/>
  <c r="Q1799" i="20" a="1"/>
  <c r="Q1799" i="20" s="1"/>
  <c r="R1799" i="20" a="1"/>
  <c r="R1799" i="20" s="1"/>
  <c r="S1799" i="20"/>
  <c r="R1800" i="20" a="1"/>
  <c r="R1800" i="20" s="1"/>
  <c r="S1800" i="20"/>
  <c r="Q1800" i="20" a="1"/>
  <c r="Q1800" i="20" s="1"/>
  <c r="S1801" i="20"/>
  <c r="Q1801" i="20" a="1"/>
  <c r="Q1801" i="20" s="1"/>
  <c r="R1801" i="20" a="1"/>
  <c r="R1801" i="20" s="1"/>
  <c r="Q1802" i="20" a="1"/>
  <c r="Q1802" i="20" s="1"/>
  <c r="R1802" i="20" a="1"/>
  <c r="R1802" i="20" s="1"/>
  <c r="S1802" i="20"/>
  <c r="Q1803" i="20" a="1"/>
  <c r="Q1803" i="20" s="1"/>
  <c r="R1803" i="20" a="1"/>
  <c r="R1803" i="20" s="1"/>
  <c r="S1803" i="20"/>
  <c r="Q1804" i="20" a="1"/>
  <c r="Q1804" i="20" s="1"/>
  <c r="R1804" i="20" a="1"/>
  <c r="R1804" i="20" s="1"/>
  <c r="S1804" i="20"/>
  <c r="Q1805" i="20" a="1"/>
  <c r="Q1805" i="20" s="1"/>
  <c r="R1805" i="20" a="1"/>
  <c r="R1805" i="20" s="1"/>
  <c r="S1805" i="20"/>
  <c r="Q1806" i="20" a="1"/>
  <c r="Q1806" i="20" s="1"/>
  <c r="R1806" i="20" a="1"/>
  <c r="R1806" i="20" s="1"/>
  <c r="S1806" i="20"/>
  <c r="Q1807" i="20" a="1"/>
  <c r="Q1807" i="20" s="1"/>
  <c r="R1807" i="20" a="1"/>
  <c r="R1807" i="20" s="1"/>
  <c r="S1807" i="20"/>
  <c r="Q1808" i="20" a="1"/>
  <c r="Q1808" i="20" s="1"/>
  <c r="R1808" i="20" a="1"/>
  <c r="R1808" i="20" s="1"/>
  <c r="S1808" i="20"/>
  <c r="R1809" i="20" a="1"/>
  <c r="R1809" i="20" s="1"/>
  <c r="S1809" i="20"/>
  <c r="Q1809" i="20" a="1"/>
  <c r="Q1809" i="20" s="1"/>
  <c r="Q1810" i="20" a="1"/>
  <c r="Q1810" i="20" s="1"/>
  <c r="R1810" i="20" a="1"/>
  <c r="R1810" i="20" s="1"/>
  <c r="S1810" i="20"/>
  <c r="Q1811" i="20" a="1"/>
  <c r="Q1811" i="20" s="1"/>
  <c r="R1811" i="20" a="1"/>
  <c r="R1811" i="20" s="1"/>
  <c r="S1811" i="20"/>
  <c r="Q1812" i="20" a="1"/>
  <c r="Q1812" i="20" s="1"/>
  <c r="R1812" i="20" a="1"/>
  <c r="R1812" i="20" s="1"/>
  <c r="S1812" i="20"/>
  <c r="S1813" i="20"/>
  <c r="Q1813" i="20" a="1"/>
  <c r="Q1813" i="20" s="1"/>
  <c r="R1813" i="20" a="1"/>
  <c r="R1813" i="20" s="1"/>
  <c r="Q1814" i="20" a="1"/>
  <c r="Q1814" i="20" s="1"/>
  <c r="R1814" i="20" a="1"/>
  <c r="R1814" i="20" s="1"/>
  <c r="S1814" i="20"/>
  <c r="Q1815" i="20" a="1"/>
  <c r="Q1815" i="20" s="1"/>
  <c r="R1815" i="20" a="1"/>
  <c r="R1815" i="20" s="1"/>
  <c r="S1815" i="20"/>
  <c r="Q1816" i="20" a="1"/>
  <c r="Q1816" i="20" s="1"/>
  <c r="R1816" i="20" a="1"/>
  <c r="R1816" i="20" s="1"/>
  <c r="S1816" i="20"/>
  <c r="Q1817" i="20" a="1"/>
  <c r="Q1817" i="20" s="1"/>
  <c r="R1817" i="20" a="1"/>
  <c r="R1817" i="20" s="1"/>
  <c r="S1817" i="20"/>
  <c r="Q1818" i="20" a="1"/>
  <c r="Q1818" i="20" s="1"/>
  <c r="R1818" i="20" a="1"/>
  <c r="R1818" i="20" s="1"/>
  <c r="S1818" i="20"/>
  <c r="Q1819" i="20" a="1"/>
  <c r="Q1819" i="20" s="1"/>
  <c r="R1819" i="20" a="1"/>
  <c r="R1819" i="20" s="1"/>
  <c r="S1819" i="20"/>
  <c r="R1820" i="20" a="1"/>
  <c r="R1820" i="20" s="1"/>
  <c r="S1820" i="20"/>
  <c r="Q1820" i="20" a="1"/>
  <c r="Q1820" i="20" s="1"/>
  <c r="Q1821" i="20" a="1"/>
  <c r="Q1821" i="20" s="1"/>
  <c r="R1821" i="20" a="1"/>
  <c r="R1821" i="20" s="1"/>
  <c r="S1821" i="20"/>
  <c r="Q1822" i="20" a="1"/>
  <c r="Q1822" i="20" s="1"/>
  <c r="R1822" i="20" a="1"/>
  <c r="R1822" i="20" s="1"/>
  <c r="S1822" i="20"/>
  <c r="Q1823" i="20" a="1"/>
  <c r="Q1823" i="20" s="1"/>
  <c r="R1823" i="20" a="1"/>
  <c r="R1823" i="20" s="1"/>
  <c r="S1823" i="20"/>
  <c r="S1824" i="20"/>
  <c r="Q1824" i="20" a="1"/>
  <c r="Q1824" i="20" s="1"/>
  <c r="R1824" i="20" a="1"/>
  <c r="R1824" i="20" s="1"/>
  <c r="Q1825" i="20" a="1"/>
  <c r="Q1825" i="20" s="1"/>
  <c r="R1825" i="20" a="1"/>
  <c r="R1825" i="20" s="1"/>
  <c r="S1825" i="20"/>
  <c r="Q1826" i="20" a="1"/>
  <c r="Q1826" i="20" s="1"/>
  <c r="R1826" i="20" a="1"/>
  <c r="R1826" i="20" s="1"/>
  <c r="S1826" i="20"/>
  <c r="Q1827" i="20" a="1"/>
  <c r="Q1827" i="20" s="1"/>
  <c r="R1827" i="20" a="1"/>
  <c r="R1827" i="20" s="1"/>
  <c r="S1827" i="20"/>
  <c r="Q1828" i="20" a="1"/>
  <c r="Q1828" i="20" s="1"/>
  <c r="R1828" i="20" a="1"/>
  <c r="R1828" i="20" s="1"/>
  <c r="S1828" i="20"/>
  <c r="Q1829" i="20" a="1"/>
  <c r="Q1829" i="20" s="1"/>
  <c r="R1829" i="20" a="1"/>
  <c r="R1829" i="20" s="1"/>
  <c r="S1829" i="20"/>
  <c r="Q1830" i="20" a="1"/>
  <c r="Q1830" i="20" s="1"/>
  <c r="R1830" i="20" a="1"/>
  <c r="R1830" i="20" s="1"/>
  <c r="S1830" i="20"/>
  <c r="Q1831" i="20" a="1"/>
  <c r="Q1831" i="20" s="1"/>
  <c r="R1831" i="20" a="1"/>
  <c r="R1831" i="20" s="1"/>
  <c r="S1831" i="20"/>
  <c r="R1832" i="20" a="1"/>
  <c r="R1832" i="20" s="1"/>
  <c r="S1832" i="20"/>
  <c r="Q1832" i="20" a="1"/>
  <c r="Q1832" i="20" s="1"/>
  <c r="Q1833" i="20" a="1"/>
  <c r="Q1833" i="20" s="1"/>
  <c r="R1833" i="20" a="1"/>
  <c r="R1833" i="20" s="1"/>
  <c r="S1833" i="20"/>
  <c r="Q1834" i="20" a="1"/>
  <c r="Q1834" i="20" s="1"/>
  <c r="R1834" i="20" a="1"/>
  <c r="R1834" i="20" s="1"/>
  <c r="S1834" i="20"/>
  <c r="Q1835" i="20" a="1"/>
  <c r="Q1835" i="20" s="1"/>
  <c r="R1835" i="20" a="1"/>
  <c r="R1835" i="20" s="1"/>
  <c r="S1835" i="20"/>
  <c r="S1836" i="20"/>
  <c r="Q1836" i="20" a="1"/>
  <c r="Q1836" i="20" s="1"/>
  <c r="R1836" i="20" a="1"/>
  <c r="R1836" i="20" s="1"/>
  <c r="Q1837" i="20" a="1"/>
  <c r="Q1837" i="20" s="1"/>
  <c r="R1837" i="20" a="1"/>
  <c r="R1837" i="20" s="1"/>
  <c r="S1837" i="20"/>
  <c r="Q1838" i="20" a="1"/>
  <c r="Q1838" i="20" s="1"/>
  <c r="R1838" i="20" a="1"/>
  <c r="R1838" i="20" s="1"/>
  <c r="S1838" i="20"/>
  <c r="Q1839" i="20" a="1"/>
  <c r="Q1839" i="20" s="1"/>
  <c r="R1839" i="20" a="1"/>
  <c r="R1839" i="20" s="1"/>
  <c r="S1839" i="20"/>
  <c r="Q1840" i="20" a="1"/>
  <c r="Q1840" i="20" s="1"/>
  <c r="R1840" i="20" a="1"/>
  <c r="R1840" i="20" s="1"/>
  <c r="S1840" i="20"/>
  <c r="Q1841" i="20" a="1"/>
  <c r="Q1841" i="20" s="1"/>
  <c r="R1841" i="20" a="1"/>
  <c r="R1841" i="20" s="1"/>
  <c r="S1841" i="20"/>
  <c r="Q1842" i="20" a="1"/>
  <c r="Q1842" i="20" s="1"/>
  <c r="R1842" i="20" a="1"/>
  <c r="R1842" i="20" s="1"/>
  <c r="S1842" i="20"/>
  <c r="R1843" i="20" a="1"/>
  <c r="R1843" i="20" s="1"/>
  <c r="S1843" i="20"/>
  <c r="Q1843" i="20" a="1"/>
  <c r="Q1843" i="20" s="1"/>
  <c r="Q1844" i="20" a="1"/>
  <c r="Q1844" i="20" s="1"/>
  <c r="R1844" i="20" a="1"/>
  <c r="R1844" i="20" s="1"/>
  <c r="S1844" i="20"/>
  <c r="Q1845" i="20" a="1"/>
  <c r="Q1845" i="20" s="1"/>
  <c r="R1845" i="20" a="1"/>
  <c r="R1845" i="20" s="1"/>
  <c r="S1845" i="20"/>
  <c r="Q1846" i="20" a="1"/>
  <c r="Q1846" i="20" s="1"/>
  <c r="R1846" i="20" a="1"/>
  <c r="R1846" i="20" s="1"/>
  <c r="S1846" i="20"/>
  <c r="Q1847" i="20" a="1"/>
  <c r="Q1847" i="20" s="1"/>
  <c r="R1847" i="20" a="1"/>
  <c r="R1847" i="20" s="1"/>
  <c r="S1847" i="20"/>
  <c r="Q1848" i="20" a="1"/>
  <c r="Q1848" i="20" s="1"/>
  <c r="R1848" i="20" a="1"/>
  <c r="R1848" i="20" s="1"/>
  <c r="S1848" i="20"/>
  <c r="Q1849" i="20" a="1"/>
  <c r="Q1849" i="20" s="1"/>
  <c r="R1849" i="20" a="1"/>
  <c r="R1849" i="20" s="1"/>
  <c r="S1849" i="20"/>
  <c r="Q1850" i="20" a="1"/>
  <c r="Q1850" i="20" s="1"/>
  <c r="R1850" i="20" a="1"/>
  <c r="R1850" i="20" s="1"/>
  <c r="S1850" i="20"/>
  <c r="Q1851" i="20" a="1"/>
  <c r="Q1851" i="20" s="1"/>
  <c r="R1851" i="20" a="1"/>
  <c r="R1851" i="20" s="1"/>
  <c r="S1851" i="20"/>
  <c r="Q1852" i="20" a="1"/>
  <c r="Q1852" i="20" s="1"/>
  <c r="R1852" i="20" a="1"/>
  <c r="R1852" i="20" s="1"/>
  <c r="S1852" i="20"/>
  <c r="Q1853" i="20" a="1"/>
  <c r="Q1853" i="20" s="1"/>
  <c r="R1853" i="20" a="1"/>
  <c r="R1853" i="20" s="1"/>
  <c r="S1853" i="20"/>
  <c r="R1854" i="20" a="1"/>
  <c r="R1854" i="20" s="1"/>
  <c r="S1854" i="20"/>
  <c r="Q1854" i="20" a="1"/>
  <c r="Q1854" i="20" s="1"/>
  <c r="Q1855" i="20" a="1"/>
  <c r="Q1855" i="20" s="1"/>
  <c r="R1855" i="20" a="1"/>
  <c r="R1855" i="20" s="1"/>
  <c r="S1855" i="20"/>
  <c r="Q1856" i="20" a="1"/>
  <c r="Q1856" i="20" s="1"/>
  <c r="R1856" i="20" a="1"/>
  <c r="R1856" i="20" s="1"/>
  <c r="S1856" i="20"/>
  <c r="Q1857" i="20" a="1"/>
  <c r="Q1857" i="20" s="1"/>
  <c r="R1857" i="20" a="1"/>
  <c r="R1857" i="20" s="1"/>
  <c r="S1857" i="20"/>
  <c r="Q1858" i="20" a="1"/>
  <c r="Q1858" i="20" s="1"/>
  <c r="R1858" i="20" a="1"/>
  <c r="R1858" i="20" s="1"/>
  <c r="S1858" i="20"/>
  <c r="Q1859" i="20" a="1"/>
  <c r="Q1859" i="20" s="1"/>
  <c r="R1859" i="20" a="1"/>
  <c r="R1859" i="20" s="1"/>
  <c r="S1859" i="20"/>
  <c r="Q1860" i="20" a="1"/>
  <c r="Q1860" i="20" s="1"/>
  <c r="R1860" i="20" a="1"/>
  <c r="R1860" i="20" s="1"/>
  <c r="S1860" i="20"/>
  <c r="Q1861" i="20" a="1"/>
  <c r="Q1861" i="20" s="1"/>
  <c r="R1861" i="20" a="1"/>
  <c r="R1861" i="20" s="1"/>
  <c r="S1861" i="20"/>
  <c r="R1862" i="20" a="1"/>
  <c r="R1862" i="20" s="1"/>
  <c r="S1862" i="20"/>
  <c r="Q1862" i="20" a="1"/>
  <c r="Q1862" i="20" s="1"/>
  <c r="Q1863" i="20" a="1"/>
  <c r="Q1863" i="20" s="1"/>
  <c r="R1863" i="20" a="1"/>
  <c r="R1863" i="20" s="1"/>
  <c r="S1863" i="20"/>
  <c r="Q1864" i="20" a="1"/>
  <c r="Q1864" i="20" s="1"/>
  <c r="R1864" i="20" a="1"/>
  <c r="R1864" i="20" s="1"/>
  <c r="S1864" i="20"/>
  <c r="S1865" i="20"/>
  <c r="Q1865" i="20" a="1"/>
  <c r="Q1865" i="20" s="1"/>
  <c r="R1865" i="20" a="1"/>
  <c r="R1865" i="20" s="1"/>
  <c r="Q1866" i="20" a="1"/>
  <c r="Q1866" i="20" s="1"/>
  <c r="R1866" i="20" a="1"/>
  <c r="R1866" i="20" s="1"/>
  <c r="S1866" i="20"/>
  <c r="Q1867" i="20" a="1"/>
  <c r="Q1867" i="20" s="1"/>
  <c r="R1867" i="20" a="1"/>
  <c r="R1867" i="20" s="1"/>
  <c r="S1867" i="20"/>
  <c r="Q1868" i="20" a="1"/>
  <c r="Q1868" i="20" s="1"/>
  <c r="R1868" i="20" a="1"/>
  <c r="R1868" i="20" s="1"/>
  <c r="S1868" i="20"/>
  <c r="Q1869" i="20" a="1"/>
  <c r="Q1869" i="20" s="1"/>
  <c r="R1869" i="20" a="1"/>
  <c r="R1869" i="20" s="1"/>
  <c r="S1869" i="20"/>
  <c r="Q1870" i="20" a="1"/>
  <c r="Q1870" i="20" s="1"/>
  <c r="R1870" i="20" a="1"/>
  <c r="R1870" i="20" s="1"/>
  <c r="S1870" i="20"/>
  <c r="Q1871" i="20" a="1"/>
  <c r="Q1871" i="20" s="1"/>
  <c r="R1871" i="20" a="1"/>
  <c r="R1871" i="20" s="1"/>
  <c r="S1871" i="20"/>
  <c r="Q1872" i="20" a="1"/>
  <c r="Q1872" i="20" s="1"/>
  <c r="R1872" i="20" a="1"/>
  <c r="R1872" i="20" s="1"/>
  <c r="S1872" i="20"/>
  <c r="R1873" i="20" a="1"/>
  <c r="R1873" i="20" s="1"/>
  <c r="S1873" i="20"/>
  <c r="Q1873" i="20" a="1"/>
  <c r="Q1873" i="20" s="1"/>
  <c r="Q1874" i="20" a="1"/>
  <c r="Q1874" i="20" s="1"/>
  <c r="R1874" i="20" a="1"/>
  <c r="R1874" i="20" s="1"/>
  <c r="S1874" i="20"/>
  <c r="Q1875" i="20" a="1"/>
  <c r="Q1875" i="20" s="1"/>
  <c r="R1875" i="20" a="1"/>
  <c r="R1875" i="20" s="1"/>
  <c r="S1875" i="20"/>
  <c r="Q1876" i="20" a="1"/>
  <c r="Q1876" i="20" s="1"/>
  <c r="R1876" i="20" a="1"/>
  <c r="R1876" i="20" s="1"/>
  <c r="S1876" i="20"/>
  <c r="Q1877" i="20" a="1"/>
  <c r="Q1877" i="20" s="1"/>
  <c r="R1877" i="20" a="1"/>
  <c r="R1877" i="20" s="1"/>
  <c r="S1877" i="20"/>
  <c r="Q1878" i="20" a="1"/>
  <c r="Q1878" i="20" s="1"/>
  <c r="R1878" i="20" a="1"/>
  <c r="R1878" i="20" s="1"/>
  <c r="S1878" i="20"/>
  <c r="S1879" i="20"/>
  <c r="Q1879" i="20" a="1"/>
  <c r="Q1879" i="20" s="1"/>
  <c r="R1879" i="20" a="1"/>
  <c r="R1879" i="20" s="1"/>
  <c r="Q1880" i="20" a="1"/>
  <c r="Q1880" i="20" s="1"/>
  <c r="R1880" i="20" a="1"/>
  <c r="R1880" i="20" s="1"/>
  <c r="S1880" i="20"/>
  <c r="Q1881" i="20" a="1"/>
  <c r="Q1881" i="20" s="1"/>
  <c r="R1881" i="20" a="1"/>
  <c r="R1881" i="20" s="1"/>
  <c r="S1881" i="20"/>
  <c r="Q1882" i="20" a="1"/>
  <c r="Q1882" i="20" s="1"/>
  <c r="R1882" i="20" a="1"/>
  <c r="R1882" i="20" s="1"/>
  <c r="S1882" i="20"/>
  <c r="Q1883" i="20" a="1"/>
  <c r="Q1883" i="20" s="1"/>
  <c r="R1883" i="20" a="1"/>
  <c r="R1883" i="20" s="1"/>
  <c r="S1883" i="20"/>
  <c r="Q1884" i="20" a="1"/>
  <c r="Q1884" i="20" s="1"/>
  <c r="R1884" i="20" a="1"/>
  <c r="R1884" i="20" s="1"/>
  <c r="S1884" i="20"/>
  <c r="Q1885" i="20" a="1"/>
  <c r="Q1885" i="20" s="1"/>
  <c r="R1885" i="20" a="1"/>
  <c r="R1885" i="20" s="1"/>
  <c r="S1885" i="20"/>
  <c r="Q1886" i="20" a="1"/>
  <c r="Q1886" i="20" s="1"/>
  <c r="R1886" i="20" a="1"/>
  <c r="R1886" i="20" s="1"/>
  <c r="S1886" i="20"/>
  <c r="R1887" i="20" a="1"/>
  <c r="R1887" i="20" s="1"/>
  <c r="S1887" i="20"/>
  <c r="Q1887" i="20" a="1"/>
  <c r="Q1887" i="20" s="1"/>
  <c r="Q1888" i="20" a="1"/>
  <c r="Q1888" i="20" s="1"/>
  <c r="R1888" i="20" a="1"/>
  <c r="R1888" i="20" s="1"/>
  <c r="S1888" i="20"/>
  <c r="Q1889" i="20" a="1"/>
  <c r="Q1889" i="20" s="1"/>
  <c r="R1889" i="20" a="1"/>
  <c r="R1889" i="20" s="1"/>
  <c r="S1889" i="20"/>
  <c r="S1890" i="20"/>
  <c r="Q1890" i="20" a="1"/>
  <c r="Q1890" i="20" s="1"/>
  <c r="R1890" i="20" a="1"/>
  <c r="R1890" i="20" s="1"/>
  <c r="Q1891" i="20" a="1"/>
  <c r="Q1891" i="20" s="1"/>
  <c r="R1891" i="20" a="1"/>
  <c r="R1891" i="20" s="1"/>
  <c r="S1891" i="20"/>
  <c r="Q1892" i="20" a="1"/>
  <c r="Q1892" i="20" s="1"/>
  <c r="R1892" i="20" a="1"/>
  <c r="R1892" i="20" s="1"/>
  <c r="S1892" i="20"/>
  <c r="Q1893" i="20" a="1"/>
  <c r="Q1893" i="20" s="1"/>
  <c r="R1893" i="20" a="1"/>
  <c r="R1893" i="20" s="1"/>
  <c r="S1893" i="20"/>
  <c r="Q1894" i="20" a="1"/>
  <c r="Q1894" i="20" s="1"/>
  <c r="R1894" i="20" a="1"/>
  <c r="R1894" i="20" s="1"/>
  <c r="S1894" i="20"/>
  <c r="Q1895" i="20" a="1"/>
  <c r="Q1895" i="20" s="1"/>
  <c r="R1895" i="20" a="1"/>
  <c r="R1895" i="20" s="1"/>
  <c r="S1895" i="20"/>
  <c r="Q1896" i="20" a="1"/>
  <c r="Q1896" i="20" s="1"/>
  <c r="R1896" i="20" a="1"/>
  <c r="R1896" i="20" s="1"/>
  <c r="S1896" i="20"/>
  <c r="Q1897" i="20" a="1"/>
  <c r="Q1897" i="20" s="1"/>
  <c r="R1897" i="20" a="1"/>
  <c r="R1897" i="20" s="1"/>
  <c r="S1897" i="20"/>
  <c r="R1898" i="20" a="1"/>
  <c r="R1898" i="20" s="1"/>
  <c r="S1898" i="20"/>
  <c r="Q1898" i="20" a="1"/>
  <c r="Q1898" i="20" s="1"/>
  <c r="Q1899" i="20" a="1"/>
  <c r="Q1899" i="20" s="1"/>
  <c r="R1899" i="20" a="1"/>
  <c r="R1899" i="20" s="1"/>
  <c r="S1899" i="20"/>
  <c r="Q1900" i="20" a="1"/>
  <c r="Q1900" i="20" s="1"/>
  <c r="R1900" i="20" a="1"/>
  <c r="R1900" i="20" s="1"/>
  <c r="S1900" i="20"/>
  <c r="Q1901" i="20" a="1"/>
  <c r="Q1901" i="20" s="1"/>
  <c r="R1901" i="20" a="1"/>
  <c r="R1901" i="20" s="1"/>
  <c r="S1901" i="20"/>
  <c r="S1902" i="20"/>
  <c r="Q1902" i="20" a="1"/>
  <c r="Q1902" i="20" s="1"/>
  <c r="R1902" i="20" a="1"/>
  <c r="R1902" i="20" s="1"/>
  <c r="Q1903" i="20" a="1"/>
  <c r="Q1903" i="20" s="1"/>
  <c r="R1903" i="20" a="1"/>
  <c r="R1903" i="20" s="1"/>
  <c r="S1903" i="20"/>
  <c r="Q1904" i="20" a="1"/>
  <c r="Q1904" i="20" s="1"/>
  <c r="R1904" i="20" a="1"/>
  <c r="R1904" i="20" s="1"/>
  <c r="S1904" i="20"/>
  <c r="Q1905" i="20" a="1"/>
  <c r="Q1905" i="20" s="1"/>
  <c r="R1905" i="20" a="1"/>
  <c r="R1905" i="20" s="1"/>
  <c r="S1905" i="20"/>
  <c r="Q1906" i="20" a="1"/>
  <c r="Q1906" i="20" s="1"/>
  <c r="R1906" i="20" a="1"/>
  <c r="R1906" i="20" s="1"/>
  <c r="S1906" i="20"/>
  <c r="Q1907" i="20" a="1"/>
  <c r="Q1907" i="20" s="1"/>
  <c r="R1907" i="20" a="1"/>
  <c r="R1907" i="20" s="1"/>
  <c r="S1907" i="20"/>
  <c r="Q1908" i="20" a="1"/>
  <c r="Q1908" i="20" s="1"/>
  <c r="R1908" i="20" a="1"/>
  <c r="R1908" i="20" s="1"/>
  <c r="S1908" i="20"/>
  <c r="R1909" i="20" a="1"/>
  <c r="R1909" i="20" s="1"/>
  <c r="S1909" i="20"/>
  <c r="Q1909" i="20" a="1"/>
  <c r="Q1909" i="20" s="1"/>
  <c r="Q1910" i="20" a="1"/>
  <c r="Q1910" i="20" s="1"/>
  <c r="R1910" i="20" a="1"/>
  <c r="R1910" i="20" s="1"/>
  <c r="S1910" i="20"/>
  <c r="Q1911" i="20" a="1"/>
  <c r="Q1911" i="20" s="1"/>
  <c r="R1911" i="20" a="1"/>
  <c r="R1911" i="20" s="1"/>
  <c r="S1911" i="20"/>
  <c r="Q1912" i="20" a="1"/>
  <c r="Q1912" i="20" s="1"/>
  <c r="R1912" i="20" a="1"/>
  <c r="R1912" i="20" s="1"/>
  <c r="S1912" i="20"/>
  <c r="Q1913" i="20" a="1"/>
  <c r="Q1913" i="20" s="1"/>
  <c r="R1913" i="20" a="1"/>
  <c r="R1913" i="20" s="1"/>
  <c r="S1913" i="20"/>
  <c r="Q1914" i="20" a="1"/>
  <c r="Q1914" i="20" s="1"/>
  <c r="R1914" i="20" a="1"/>
  <c r="R1914" i="20" s="1"/>
  <c r="S1914" i="20"/>
  <c r="Q1915" i="20" a="1"/>
  <c r="Q1915" i="20" s="1"/>
  <c r="R1915" i="20" a="1"/>
  <c r="R1915" i="20" s="1"/>
  <c r="S1915" i="20"/>
  <c r="S1916" i="20"/>
  <c r="Q1916" i="20" a="1"/>
  <c r="Q1916" i="20" s="1"/>
  <c r="R1916" i="20" a="1"/>
  <c r="R1916" i="20" s="1"/>
  <c r="Q1917" i="20" a="1"/>
  <c r="Q1917" i="20" s="1"/>
  <c r="R1917" i="20" a="1"/>
  <c r="R1917" i="20" s="1"/>
  <c r="S1917" i="20"/>
  <c r="Q1918" i="20" a="1"/>
  <c r="Q1918" i="20" s="1"/>
  <c r="R1918" i="20" a="1"/>
  <c r="R1918" i="20" s="1"/>
  <c r="S1918" i="20"/>
  <c r="R1919" i="20" a="1"/>
  <c r="R1919" i="20" s="1"/>
  <c r="S1919" i="20"/>
  <c r="Q1919" i="20" a="1"/>
  <c r="Q1919" i="20" s="1"/>
  <c r="Q1920" i="20" a="1"/>
  <c r="Q1920" i="20" s="1"/>
  <c r="R1920" i="20" a="1"/>
  <c r="R1920" i="20" s="1"/>
  <c r="S1920" i="20"/>
  <c r="Q1921" i="20" a="1"/>
  <c r="Q1921" i="20" s="1"/>
  <c r="R1921" i="20" a="1"/>
  <c r="R1921" i="20" s="1"/>
  <c r="S1921" i="20"/>
  <c r="Q1922" i="20" a="1"/>
  <c r="Q1922" i="20" s="1"/>
  <c r="R1922" i="20" a="1"/>
  <c r="R1922" i="20" s="1"/>
  <c r="S1922" i="20"/>
  <c r="Q1923" i="20" a="1"/>
  <c r="Q1923" i="20" s="1"/>
  <c r="R1923" i="20" a="1"/>
  <c r="R1923" i="20" s="1"/>
  <c r="S1923" i="20"/>
  <c r="Q1924" i="20" a="1"/>
  <c r="Q1924" i="20" s="1"/>
  <c r="R1924" i="20" a="1"/>
  <c r="R1924" i="20" s="1"/>
  <c r="S1924" i="20"/>
  <c r="Q1925" i="20" a="1"/>
  <c r="Q1925" i="20" s="1"/>
  <c r="R1925" i="20" a="1"/>
  <c r="R1925" i="20" s="1"/>
  <c r="S1925" i="20"/>
  <c r="Q1926" i="20" a="1"/>
  <c r="Q1926" i="20" s="1"/>
  <c r="R1926" i="20" a="1"/>
  <c r="R1926" i="20" s="1"/>
  <c r="S1926" i="20"/>
  <c r="Q1927" i="20" a="1"/>
  <c r="Q1927" i="20" s="1"/>
  <c r="R1927" i="20" a="1"/>
  <c r="R1927" i="20" s="1"/>
  <c r="S1927" i="20"/>
  <c r="Q1928" i="20" a="1"/>
  <c r="Q1928" i="20" s="1"/>
  <c r="R1928" i="20" a="1"/>
  <c r="R1928" i="20" s="1"/>
  <c r="S1928" i="20"/>
  <c r="Q1929" i="20" a="1"/>
  <c r="Q1929" i="20" s="1"/>
  <c r="R1929" i="20" a="1"/>
  <c r="R1929" i="20" s="1"/>
  <c r="S1929" i="20"/>
  <c r="S1930" i="20"/>
  <c r="Q1930" i="20" a="1"/>
  <c r="Q1930" i="20" s="1"/>
  <c r="R1930" i="20" a="1"/>
  <c r="R1930" i="20" s="1"/>
  <c r="Q1931" i="20" a="1"/>
  <c r="Q1931" i="20" s="1"/>
  <c r="R1931" i="20" a="1"/>
  <c r="R1931" i="20" s="1"/>
  <c r="S1931" i="20"/>
  <c r="R1932" i="20" a="1"/>
  <c r="R1932" i="20" s="1"/>
  <c r="S1932" i="20"/>
  <c r="Q1932" i="20" a="1"/>
  <c r="Q1932" i="20" s="1"/>
  <c r="Q1933" i="20" a="1"/>
  <c r="Q1933" i="20" s="1"/>
  <c r="R1933" i="20" a="1"/>
  <c r="R1933" i="20" s="1"/>
  <c r="S1933" i="20"/>
  <c r="Q1934" i="20" a="1"/>
  <c r="Q1934" i="20" s="1"/>
  <c r="R1934" i="20" a="1"/>
  <c r="R1934" i="20" s="1"/>
  <c r="S1934" i="20"/>
  <c r="Q1935" i="20" a="1"/>
  <c r="Q1935" i="20" s="1"/>
  <c r="R1935" i="20" a="1"/>
  <c r="R1935" i="20" s="1"/>
  <c r="S1935" i="20"/>
  <c r="Q1936" i="20" a="1"/>
  <c r="Q1936" i="20" s="1"/>
  <c r="R1936" i="20" a="1"/>
  <c r="R1936" i="20" s="1"/>
  <c r="S1936" i="20"/>
  <c r="Q1937" i="20" a="1"/>
  <c r="Q1937" i="20" s="1"/>
  <c r="R1937" i="20" a="1"/>
  <c r="R1937" i="20" s="1"/>
  <c r="S1937" i="20"/>
  <c r="Q1938" i="20" a="1"/>
  <c r="Q1938" i="20" s="1"/>
  <c r="R1938" i="20" a="1"/>
  <c r="R1938" i="20" s="1"/>
  <c r="S1938" i="20"/>
  <c r="Q1939" i="20" a="1"/>
  <c r="Q1939" i="20" s="1"/>
  <c r="R1939" i="20" a="1"/>
  <c r="R1939" i="20" s="1"/>
  <c r="S1939" i="20"/>
  <c r="Q1940" i="20" a="1"/>
  <c r="Q1940" i="20" s="1"/>
  <c r="R1940" i="20" a="1"/>
  <c r="R1940" i="20" s="1"/>
  <c r="S1940" i="20"/>
  <c r="S1941" i="20"/>
  <c r="Q1941" i="20" a="1"/>
  <c r="Q1941" i="20" s="1"/>
  <c r="R1941" i="20" a="1"/>
  <c r="R1941" i="20" s="1"/>
  <c r="Q1942" i="20" a="1"/>
  <c r="Q1942" i="20" s="1"/>
  <c r="R1942" i="20" a="1"/>
  <c r="R1942" i="20" s="1"/>
  <c r="S1942" i="20"/>
  <c r="Q1943" i="20" a="1"/>
  <c r="Q1943" i="20" s="1"/>
  <c r="R1943" i="20" a="1"/>
  <c r="R1943" i="20" s="1"/>
  <c r="S1943" i="20"/>
  <c r="Q1944" i="20" a="1"/>
  <c r="Q1944" i="20" s="1"/>
  <c r="R1944" i="20" a="1"/>
  <c r="R1944" i="20" s="1"/>
  <c r="S1944" i="20"/>
  <c r="Q1945" i="20" a="1"/>
  <c r="Q1945" i="20" s="1"/>
  <c r="R1945" i="20" a="1"/>
  <c r="R1945" i="20" s="1"/>
  <c r="S1945" i="20"/>
  <c r="Q1946" i="20" a="1"/>
  <c r="Q1946" i="20" s="1"/>
  <c r="R1946" i="20" a="1"/>
  <c r="R1946" i="20" s="1"/>
  <c r="S1946" i="20"/>
  <c r="Q1947" i="20" a="1"/>
  <c r="Q1947" i="20" s="1"/>
  <c r="R1947" i="20" a="1"/>
  <c r="R1947" i="20" s="1"/>
  <c r="S1947" i="20"/>
  <c r="Q1948" i="20" a="1"/>
  <c r="Q1948" i="20" s="1"/>
  <c r="R1948" i="20" a="1"/>
  <c r="R1948" i="20" s="1"/>
  <c r="S1948" i="20"/>
  <c r="Q1949" i="20" a="1"/>
  <c r="Q1949" i="20" s="1"/>
  <c r="R1949" i="20" a="1"/>
  <c r="R1949" i="20" s="1"/>
  <c r="S1949" i="20"/>
  <c r="Q1950" i="20" a="1"/>
  <c r="Q1950" i="20" s="1"/>
  <c r="R1950" i="20" a="1"/>
  <c r="R1950" i="20" s="1"/>
  <c r="S1950" i="20"/>
  <c r="S1951" i="20"/>
  <c r="Q1951" i="20" a="1"/>
  <c r="Q1951" i="20" s="1"/>
  <c r="R1951" i="20" a="1"/>
  <c r="R1951" i="20" s="1"/>
  <c r="Q1952" i="20" a="1"/>
  <c r="Q1952" i="20" s="1"/>
  <c r="R1952" i="20" a="1"/>
  <c r="R1952" i="20" s="1"/>
  <c r="S1952" i="20"/>
  <c r="Q1953" i="20" a="1"/>
  <c r="Q1953" i="20" s="1"/>
  <c r="R1953" i="20" a="1"/>
  <c r="R1953" i="20" s="1"/>
  <c r="S1953" i="20"/>
  <c r="R1954" i="20" a="1"/>
  <c r="R1954" i="20" s="1"/>
  <c r="S1954" i="20"/>
  <c r="Q1954" i="20" a="1"/>
  <c r="Q1954" i="20" s="1"/>
  <c r="Q1955" i="20" a="1"/>
  <c r="Q1955" i="20" s="1"/>
  <c r="R1955" i="20" a="1"/>
  <c r="R1955" i="20" s="1"/>
  <c r="S1955" i="20"/>
  <c r="Q1956" i="20" a="1"/>
  <c r="Q1956" i="20" s="1"/>
  <c r="R1956" i="20" a="1"/>
  <c r="R1956" i="20" s="1"/>
  <c r="S1956" i="20"/>
  <c r="Q1957" i="20" a="1"/>
  <c r="Q1957" i="20" s="1"/>
  <c r="R1957" i="20" a="1"/>
  <c r="R1957" i="20" s="1"/>
  <c r="S1957" i="20"/>
  <c r="Q1958" i="20" a="1"/>
  <c r="Q1958" i="20" s="1"/>
  <c r="R1958" i="20" a="1"/>
  <c r="R1958" i="20" s="1"/>
  <c r="S1958" i="20"/>
  <c r="Q1959" i="20" a="1"/>
  <c r="Q1959" i="20" s="1"/>
  <c r="R1959" i="20" a="1"/>
  <c r="R1959" i="20" s="1"/>
  <c r="S1959" i="20"/>
  <c r="S1960" i="20"/>
  <c r="Q1960" i="20" a="1"/>
  <c r="Q1960" i="20" s="1"/>
  <c r="R1960" i="20" a="1"/>
  <c r="R1960" i="20" s="1"/>
  <c r="Q1961" i="20" a="1"/>
  <c r="Q1961" i="20" s="1"/>
  <c r="R1961" i="20" a="1"/>
  <c r="R1961" i="20" s="1"/>
  <c r="S1961" i="20"/>
  <c r="Q1962" i="20" a="1"/>
  <c r="Q1962" i="20" s="1"/>
  <c r="R1962" i="20" a="1"/>
  <c r="R1962" i="20" s="1"/>
  <c r="S1962" i="20"/>
  <c r="Q1963" i="20" a="1"/>
  <c r="Q1963" i="20" s="1"/>
  <c r="R1963" i="20" a="1"/>
  <c r="R1963" i="20" s="1"/>
  <c r="S1963" i="20"/>
  <c r="Q1964" i="20" a="1"/>
  <c r="Q1964" i="20" s="1"/>
  <c r="R1964" i="20" a="1"/>
  <c r="R1964" i="20" s="1"/>
  <c r="S1964" i="20"/>
  <c r="R1965" i="20" a="1"/>
  <c r="R1965" i="20" s="1"/>
  <c r="S1965" i="20"/>
  <c r="Q1965" i="20" a="1"/>
  <c r="Q1965" i="20" s="1"/>
  <c r="Q1966" i="20" a="1"/>
  <c r="Q1966" i="20" s="1"/>
  <c r="R1966" i="20" a="1"/>
  <c r="R1966" i="20" s="1"/>
  <c r="S1966" i="20"/>
  <c r="Q1967" i="20" a="1"/>
  <c r="Q1967" i="20" s="1"/>
  <c r="R1967" i="20" a="1"/>
  <c r="R1967" i="20" s="1"/>
  <c r="S1967" i="20"/>
  <c r="Q1968" i="20" a="1"/>
  <c r="Q1968" i="20" s="1"/>
  <c r="R1968" i="20" a="1"/>
  <c r="R1968" i="20" s="1"/>
  <c r="S1968" i="20"/>
  <c r="Q1969" i="20" a="1"/>
  <c r="Q1969" i="20" s="1"/>
  <c r="R1969" i="20" a="1"/>
  <c r="R1969" i="20" s="1"/>
  <c r="S1969" i="20"/>
  <c r="Q1970" i="20" a="1"/>
  <c r="Q1970" i="20" s="1"/>
  <c r="R1970" i="20" a="1"/>
  <c r="R1970" i="20" s="1"/>
  <c r="S1970" i="20"/>
  <c r="Q1971" i="20" a="1"/>
  <c r="Q1971" i="20" s="1"/>
  <c r="R1971" i="20" a="1"/>
  <c r="R1971" i="20" s="1"/>
  <c r="S1971" i="20"/>
  <c r="S1972" i="20"/>
  <c r="Q1972" i="20" a="1"/>
  <c r="Q1972" i="20" s="1"/>
  <c r="R1972" i="20" a="1"/>
  <c r="R1972" i="20" s="1"/>
  <c r="Q1973" i="20" a="1"/>
  <c r="Q1973" i="20" s="1"/>
  <c r="R1973" i="20" a="1"/>
  <c r="R1973" i="20" s="1"/>
  <c r="S1973" i="20"/>
  <c r="Q1974" i="20" a="1"/>
  <c r="Q1974" i="20" s="1"/>
  <c r="R1974" i="20" a="1"/>
  <c r="R1974" i="20" s="1"/>
  <c r="S1974" i="20"/>
  <c r="Q1975" i="20" a="1"/>
  <c r="Q1975" i="20" s="1"/>
  <c r="R1975" i="20" a="1"/>
  <c r="R1975" i="20" s="1"/>
  <c r="S1975" i="20"/>
  <c r="Q1976" i="20" a="1"/>
  <c r="Q1976" i="20" s="1"/>
  <c r="R1976" i="20" a="1"/>
  <c r="R1976" i="20" s="1"/>
  <c r="S1976" i="20"/>
  <c r="Q1977" i="20" a="1"/>
  <c r="Q1977" i="20" s="1"/>
  <c r="R1977" i="20" a="1"/>
  <c r="R1977" i="20" s="1"/>
  <c r="S1977" i="20"/>
  <c r="Q1978" i="20" a="1"/>
  <c r="Q1978" i="20" s="1"/>
  <c r="R1978" i="20" a="1"/>
  <c r="R1978" i="20" s="1"/>
  <c r="S1978" i="20"/>
  <c r="R1979" i="20" a="1"/>
  <c r="R1979" i="20" s="1"/>
  <c r="S1979" i="20"/>
  <c r="Q1979" i="20" a="1"/>
  <c r="Q1979" i="20" s="1"/>
  <c r="Q1980" i="20" a="1"/>
  <c r="Q1980" i="20" s="1"/>
  <c r="R1980" i="20" a="1"/>
  <c r="R1980" i="20" s="1"/>
  <c r="S1980" i="20"/>
  <c r="Q1981" i="20" a="1"/>
  <c r="Q1981" i="20" s="1"/>
  <c r="R1981" i="20" a="1"/>
  <c r="R1981" i="20" s="1"/>
  <c r="S1981" i="20"/>
  <c r="Q1982" i="20" a="1"/>
  <c r="Q1982" i="20" s="1"/>
  <c r="R1982" i="20" a="1"/>
  <c r="R1982" i="20" s="1"/>
  <c r="S1982" i="20"/>
  <c r="Q1983" i="20" a="1"/>
  <c r="Q1983" i="20" s="1"/>
  <c r="R1983" i="20" a="1"/>
  <c r="R1983" i="20" s="1"/>
  <c r="S1983" i="20"/>
  <c r="Q1984" i="20" a="1"/>
  <c r="Q1984" i="20" s="1"/>
  <c r="R1984" i="20" a="1"/>
  <c r="R1984" i="20" s="1"/>
  <c r="S1984" i="20"/>
  <c r="Q1985" i="20" a="1"/>
  <c r="Q1985" i="20" s="1"/>
  <c r="R1985" i="20" a="1"/>
  <c r="R1985" i="20" s="1"/>
  <c r="S1985" i="20"/>
  <c r="Q1986" i="20" a="1"/>
  <c r="Q1986" i="20" s="1"/>
  <c r="R1986" i="20" a="1"/>
  <c r="R1986" i="20" s="1"/>
  <c r="S1986" i="20"/>
  <c r="S1987" i="20"/>
  <c r="Q1987" i="20" a="1"/>
  <c r="Q1987" i="20" s="1"/>
  <c r="R1987" i="20" a="1"/>
  <c r="R1987" i="20" s="1"/>
  <c r="Q1988" i="20" a="1"/>
  <c r="Q1988" i="20" s="1"/>
  <c r="R1988" i="20" a="1"/>
  <c r="R1988" i="20" s="1"/>
  <c r="S1988" i="20"/>
  <c r="Q1989" i="20" a="1"/>
  <c r="Q1989" i="20" s="1"/>
  <c r="R1989" i="20" a="1"/>
  <c r="R1989" i="20" s="1"/>
  <c r="S1989" i="20"/>
  <c r="Q1990" i="20" a="1"/>
  <c r="Q1990" i="20" s="1"/>
  <c r="R1990" i="20" a="1"/>
  <c r="R1990" i="20" s="1"/>
  <c r="S1990" i="20"/>
  <c r="R1991" i="20" a="1"/>
  <c r="R1991" i="20" s="1"/>
  <c r="S1991" i="20"/>
  <c r="Q1991" i="20" a="1"/>
  <c r="Q1991" i="20" s="1"/>
  <c r="Q1992" i="20" a="1"/>
  <c r="Q1992" i="20" s="1"/>
  <c r="R1992" i="20" a="1"/>
  <c r="R1992" i="20" s="1"/>
  <c r="S1992" i="20"/>
  <c r="Q1993" i="20" a="1"/>
  <c r="Q1993" i="20" s="1"/>
  <c r="R1993" i="20" a="1"/>
  <c r="R1993" i="20" s="1"/>
  <c r="S1993" i="20"/>
  <c r="Q1994" i="20" a="1"/>
  <c r="Q1994" i="20" s="1"/>
  <c r="R1994" i="20" a="1"/>
  <c r="R1994" i="20" s="1"/>
  <c r="S1994" i="20"/>
  <c r="Q1995" i="20" a="1"/>
  <c r="Q1995" i="20" s="1"/>
  <c r="R1995" i="20" a="1"/>
  <c r="R1995" i="20" s="1"/>
  <c r="S1995" i="20"/>
  <c r="Q1996" i="20" a="1"/>
  <c r="Q1996" i="20" s="1"/>
  <c r="R1996" i="20" a="1"/>
  <c r="R1996" i="20" s="1"/>
  <c r="S1996" i="20"/>
  <c r="Q1997" i="20" a="1"/>
  <c r="Q1997" i="20" s="1"/>
  <c r="R1997" i="20" a="1"/>
  <c r="R1997" i="20" s="1"/>
  <c r="S1997" i="20"/>
  <c r="Q1998" i="20" a="1"/>
  <c r="Q1998" i="20" s="1"/>
  <c r="R1998" i="20" a="1"/>
  <c r="R1998" i="20" s="1"/>
  <c r="S1998" i="20"/>
  <c r="Q1999" i="20" a="1"/>
  <c r="Q1999" i="20" s="1"/>
  <c r="R1999" i="20" a="1"/>
  <c r="R1999" i="20" s="1"/>
  <c r="S1999" i="20"/>
  <c r="Q2000" i="20" a="1"/>
  <c r="Q2000" i="20" s="1"/>
  <c r="R2000" i="20" a="1"/>
  <c r="R2000" i="20" s="1"/>
  <c r="S2000" i="20"/>
  <c r="S2001" i="20"/>
  <c r="Q2001" i="20" a="1"/>
  <c r="Q2001" i="20" s="1"/>
  <c r="R2001" i="20" a="1"/>
  <c r="R2001" i="20" s="1"/>
  <c r="R2002" i="20" a="1"/>
  <c r="R2002" i="20" s="1"/>
  <c r="S2002" i="20"/>
  <c r="Q2002" i="20" a="1"/>
  <c r="Q2002" i="20" s="1"/>
  <c r="Q2003" i="20" a="1"/>
  <c r="Q2003" i="20" s="1"/>
  <c r="R2003" i="20" a="1"/>
  <c r="R2003" i="20" s="1"/>
  <c r="S2003" i="20"/>
  <c r="Q2004" i="20" a="1"/>
  <c r="Q2004" i="20" s="1"/>
  <c r="R2004" i="20" a="1"/>
  <c r="R2004" i="20" s="1"/>
  <c r="S2004" i="20"/>
  <c r="Q2005" i="20" a="1"/>
  <c r="Q2005" i="20" s="1"/>
  <c r="R2005" i="20" a="1"/>
  <c r="R2005" i="20" s="1"/>
  <c r="S2005" i="20"/>
  <c r="Q2006" i="20" a="1"/>
  <c r="Q2006" i="20" s="1"/>
  <c r="R2006" i="20" a="1"/>
  <c r="R2006" i="20" s="1"/>
  <c r="S2006" i="20"/>
  <c r="Q2007" i="20" a="1"/>
  <c r="Q2007" i="20" s="1"/>
  <c r="R2007" i="20" a="1"/>
  <c r="R2007" i="20" s="1"/>
  <c r="S2007" i="20"/>
  <c r="Q2008" i="20" a="1"/>
  <c r="Q2008" i="20" s="1"/>
  <c r="R2008" i="20" a="1"/>
  <c r="R2008" i="20" s="1"/>
  <c r="S2008" i="20"/>
  <c r="Q2009" i="20" a="1"/>
  <c r="Q2009" i="20" s="1"/>
  <c r="R2009" i="20" a="1"/>
  <c r="R2009" i="20" s="1"/>
  <c r="S2009" i="20"/>
  <c r="Q2010" i="20" a="1"/>
  <c r="Q2010" i="20" s="1"/>
  <c r="R2010" i="20" a="1"/>
  <c r="R2010" i="20" s="1"/>
  <c r="S2010" i="20"/>
  <c r="R2011" i="20" a="1"/>
  <c r="R2011" i="20" s="1"/>
  <c r="S2011" i="20"/>
  <c r="Q2011" i="20" a="1"/>
  <c r="Q2011" i="20" s="1"/>
  <c r="Q2012" i="20" a="1"/>
  <c r="Q2012" i="20" s="1"/>
  <c r="R2012" i="20" a="1"/>
  <c r="R2012" i="20" s="1"/>
  <c r="S2012" i="20"/>
  <c r="Q2013" i="20" a="1"/>
  <c r="Q2013" i="20" s="1"/>
  <c r="R2013" i="20" a="1"/>
  <c r="R2013" i="20" s="1"/>
  <c r="S2013" i="20"/>
  <c r="Q2014" i="20" a="1"/>
  <c r="Q2014" i="20" s="1"/>
  <c r="R2014" i="20" a="1"/>
  <c r="R2014" i="20" s="1"/>
  <c r="S2014" i="20"/>
  <c r="Q2015" i="20" a="1"/>
  <c r="Q2015" i="20" s="1"/>
  <c r="R2015" i="20" a="1"/>
  <c r="R2015" i="20" s="1"/>
  <c r="S2015" i="20"/>
  <c r="S2016" i="20"/>
  <c r="Q2016" i="20" a="1"/>
  <c r="Q2016" i="20" s="1"/>
  <c r="R2016" i="20" a="1"/>
  <c r="R2016" i="20" s="1"/>
  <c r="Q2017" i="20" a="1"/>
  <c r="Q2017" i="20" s="1"/>
  <c r="R2017" i="20" a="1"/>
  <c r="R2017" i="20" s="1"/>
  <c r="S2017" i="20"/>
  <c r="Q2018" i="20" a="1"/>
  <c r="Q2018" i="20" s="1"/>
  <c r="R2018" i="20" a="1"/>
  <c r="R2018" i="20" s="1"/>
  <c r="S2018" i="20"/>
  <c r="Q2019" i="20" a="1"/>
  <c r="Q2019" i="20" s="1"/>
  <c r="R2019" i="20" a="1"/>
  <c r="R2019" i="20" s="1"/>
  <c r="S2019" i="20"/>
  <c r="Q2020" i="20" a="1"/>
  <c r="Q2020" i="20" s="1"/>
  <c r="R2020" i="20" a="1"/>
  <c r="R2020" i="20" s="1"/>
  <c r="S2020" i="20"/>
  <c r="Q2021" i="20" a="1"/>
  <c r="Q2021" i="20" s="1"/>
  <c r="R2021" i="20" a="1"/>
  <c r="R2021" i="20" s="1"/>
  <c r="S2021" i="20"/>
  <c r="Q2022" i="20" a="1"/>
  <c r="Q2022" i="20" s="1"/>
  <c r="R2022" i="20" a="1"/>
  <c r="R2022" i="20" s="1"/>
  <c r="S2022" i="20"/>
  <c r="R2023" i="20" a="1"/>
  <c r="R2023" i="20" s="1"/>
  <c r="S2023" i="20"/>
  <c r="Q2023" i="20" a="1"/>
  <c r="Q2023" i="20" s="1"/>
  <c r="Q2024" i="20" a="1"/>
  <c r="Q2024" i="20" s="1"/>
  <c r="R2024" i="20" a="1"/>
  <c r="R2024" i="20" s="1"/>
  <c r="S2024" i="20"/>
  <c r="Q2025" i="20" a="1"/>
  <c r="Q2025" i="20" s="1"/>
  <c r="R2025" i="20" a="1"/>
  <c r="R2025" i="20" s="1"/>
  <c r="S2025" i="20"/>
  <c r="Q2026" i="20" a="1"/>
  <c r="Q2026" i="20" s="1"/>
  <c r="R2026" i="20" a="1"/>
  <c r="R2026" i="20" s="1"/>
  <c r="S2026" i="20"/>
  <c r="Q2027" i="20" a="1"/>
  <c r="Q2027" i="20" s="1"/>
  <c r="R2027" i="20" a="1"/>
  <c r="R2027" i="20" s="1"/>
  <c r="S2027" i="20"/>
  <c r="Q2028" i="20" a="1"/>
  <c r="Q2028" i="20" s="1"/>
  <c r="R2028" i="20" a="1"/>
  <c r="R2028" i="20" s="1"/>
  <c r="S2028" i="20"/>
  <c r="Q2029" i="20" a="1"/>
  <c r="Q2029" i="20" s="1"/>
  <c r="R2029" i="20" a="1"/>
  <c r="R2029" i="20" s="1"/>
  <c r="S2029" i="20"/>
  <c r="Q2030" i="20" a="1"/>
  <c r="Q2030" i="20" s="1"/>
  <c r="R2030" i="20" a="1"/>
  <c r="R2030" i="20" s="1"/>
  <c r="S2030" i="20"/>
  <c r="S2031" i="20"/>
  <c r="Q2031" i="20" a="1"/>
  <c r="Q2031" i="20" s="1"/>
  <c r="R2031" i="20" a="1"/>
  <c r="R2031" i="20" s="1"/>
  <c r="Q2032" i="20" a="1"/>
  <c r="Q2032" i="20" s="1"/>
  <c r="R2032" i="20" a="1"/>
  <c r="R2032" i="20" s="1"/>
  <c r="S2032" i="20"/>
  <c r="Q2033" i="20" a="1"/>
  <c r="Q2033" i="20" s="1"/>
  <c r="R2033" i="20" a="1"/>
  <c r="R2033" i="20" s="1"/>
  <c r="S2033" i="20"/>
  <c r="R2034" i="20" a="1"/>
  <c r="R2034" i="20" s="1"/>
  <c r="S2034" i="20"/>
  <c r="Q2034" i="20" a="1"/>
  <c r="Q2034" i="20" s="1"/>
  <c r="Q2035" i="20" a="1"/>
  <c r="Q2035" i="20" s="1"/>
  <c r="R2035" i="20" a="1"/>
  <c r="R2035" i="20" s="1"/>
  <c r="S2035" i="20"/>
  <c r="Q2036" i="20" a="1"/>
  <c r="Q2036" i="20" s="1"/>
  <c r="R2036" i="20" a="1"/>
  <c r="R2036" i="20" s="1"/>
  <c r="S2036" i="20"/>
  <c r="Q2037" i="20" a="1"/>
  <c r="Q2037" i="20" s="1"/>
  <c r="R2037" i="20" a="1"/>
  <c r="R2037" i="20" s="1"/>
  <c r="S2037" i="20"/>
  <c r="Q2038" i="20" a="1"/>
  <c r="Q2038" i="20" s="1"/>
  <c r="R2038" i="20" a="1"/>
  <c r="R2038" i="20" s="1"/>
  <c r="S2038" i="20"/>
  <c r="Q2039" i="20" a="1"/>
  <c r="Q2039" i="20" s="1"/>
  <c r="R2039" i="20" a="1"/>
  <c r="R2039" i="20" s="1"/>
  <c r="S2039" i="20"/>
  <c r="Q2040" i="20" a="1"/>
  <c r="Q2040" i="20" s="1"/>
  <c r="R2040" i="20" a="1"/>
  <c r="R2040" i="20" s="1"/>
  <c r="S2040" i="20"/>
  <c r="Q2041" i="20" a="1"/>
  <c r="Q2041" i="20" s="1"/>
  <c r="R2041" i="20" a="1"/>
  <c r="R2041" i="20" s="1"/>
  <c r="S2041" i="20"/>
  <c r="Q2042" i="20" a="1"/>
  <c r="Q2042" i="20" s="1"/>
  <c r="R2042" i="20" a="1"/>
  <c r="R2042" i="20" s="1"/>
  <c r="S2042" i="20"/>
  <c r="S2043" i="20"/>
  <c r="Q2043" i="20" a="1"/>
  <c r="Q2043" i="20" s="1"/>
  <c r="R2043" i="20" a="1"/>
  <c r="R2043" i="20" s="1"/>
  <c r="R2044" i="20" a="1"/>
  <c r="R2044" i="20" s="1"/>
  <c r="S2044" i="20"/>
  <c r="Q2044" i="20" a="1"/>
  <c r="Q2044" i="20" s="1"/>
  <c r="Q2045" i="20" a="1"/>
  <c r="Q2045" i="20" s="1"/>
  <c r="R2045" i="20" a="1"/>
  <c r="R2045" i="20" s="1"/>
  <c r="S2045" i="20"/>
  <c r="Q2046" i="20" a="1"/>
  <c r="Q2046" i="20" s="1"/>
  <c r="R2046" i="20" a="1"/>
  <c r="R2046" i="20" s="1"/>
  <c r="S2046" i="20"/>
  <c r="Q2047" i="20" a="1"/>
  <c r="Q2047" i="20" s="1"/>
  <c r="R2047" i="20" a="1"/>
  <c r="R2047" i="20" s="1"/>
  <c r="S2047" i="20"/>
  <c r="Q2048" i="20" a="1"/>
  <c r="Q2048" i="20" s="1"/>
  <c r="R2048" i="20" a="1"/>
  <c r="R2048" i="20" s="1"/>
  <c r="S2048" i="20"/>
  <c r="Q2049" i="20" a="1"/>
  <c r="Q2049" i="20" s="1"/>
  <c r="R2049" i="20" a="1"/>
  <c r="R2049" i="20" s="1"/>
  <c r="S2049" i="20"/>
  <c r="Q2050" i="20" a="1"/>
  <c r="Q2050" i="20" s="1"/>
  <c r="R2050" i="20" a="1"/>
  <c r="R2050" i="20" s="1"/>
  <c r="S2050" i="20"/>
  <c r="Q2051" i="20" a="1"/>
  <c r="Q2051" i="20" s="1"/>
  <c r="R2051" i="20" a="1"/>
  <c r="R2051" i="20" s="1"/>
  <c r="S2051" i="20"/>
  <c r="S2052" i="20"/>
  <c r="Q2052" i="20" a="1"/>
  <c r="Q2052" i="20" s="1"/>
  <c r="R2052" i="20" a="1"/>
  <c r="R2052" i="20" s="1"/>
  <c r="Q2053" i="20" a="1"/>
  <c r="Q2053" i="20" s="1"/>
  <c r="R2053" i="20" a="1"/>
  <c r="R2053" i="20" s="1"/>
  <c r="S2053" i="20"/>
  <c r="R2054" i="20" a="1"/>
  <c r="R2054" i="20" s="1"/>
  <c r="S2054" i="20"/>
  <c r="Q2054" i="20" a="1"/>
  <c r="Q2054" i="20" s="1"/>
  <c r="Q2055" i="20" a="1"/>
  <c r="Q2055" i="20" s="1"/>
  <c r="R2055" i="20" a="1"/>
  <c r="R2055" i="20" s="1"/>
  <c r="S2055" i="20"/>
  <c r="Q2056" i="20" a="1"/>
  <c r="Q2056" i="20" s="1"/>
  <c r="R2056" i="20" a="1"/>
  <c r="R2056" i="20" s="1"/>
  <c r="S2056" i="20"/>
  <c r="Q2057" i="20" a="1"/>
  <c r="Q2057" i="20" s="1"/>
  <c r="R2057" i="20" a="1"/>
  <c r="R2057" i="20" s="1"/>
  <c r="S2057" i="20"/>
  <c r="Q2058" i="20" a="1"/>
  <c r="Q2058" i="20" s="1"/>
  <c r="R2058" i="20" a="1"/>
  <c r="R2058" i="20" s="1"/>
  <c r="S2058" i="20"/>
  <c r="Q2059" i="20" a="1"/>
  <c r="Q2059" i="20" s="1"/>
  <c r="R2059" i="20" a="1"/>
  <c r="R2059" i="20" s="1"/>
  <c r="S2059" i="20"/>
  <c r="Q2060" i="20" a="1"/>
  <c r="Q2060" i="20" s="1"/>
  <c r="R2060" i="20" a="1"/>
  <c r="R2060" i="20" s="1"/>
  <c r="S2060" i="20"/>
  <c r="Q2061" i="20" a="1"/>
  <c r="Q2061" i="20" s="1"/>
  <c r="R2061" i="20" a="1"/>
  <c r="R2061" i="20" s="1"/>
  <c r="S2061" i="20"/>
  <c r="S2062" i="20"/>
  <c r="Q2062" i="20" a="1"/>
  <c r="Q2062" i="20" s="1"/>
  <c r="R2062" i="20" a="1"/>
  <c r="R2062" i="20" s="1"/>
  <c r="Q2063" i="20" a="1"/>
  <c r="Q2063" i="20" s="1"/>
  <c r="R2063" i="20" a="1"/>
  <c r="R2063" i="20" s="1"/>
  <c r="S2063" i="20"/>
  <c r="Q2064" i="20" a="1"/>
  <c r="Q2064" i="20" s="1"/>
  <c r="R2064" i="20" a="1"/>
  <c r="R2064" i="20" s="1"/>
  <c r="S2064" i="20"/>
  <c r="Q2065" i="20" a="1"/>
  <c r="Q2065" i="20" s="1"/>
  <c r="R2065" i="20" a="1"/>
  <c r="R2065" i="20" s="1"/>
  <c r="S2065" i="20"/>
  <c r="Q2066" i="20" a="1"/>
  <c r="Q2066" i="20" s="1"/>
  <c r="R2066" i="20" a="1"/>
  <c r="R2066" i="20" s="1"/>
  <c r="S2066" i="20"/>
  <c r="Q2067" i="20" a="1"/>
  <c r="Q2067" i="20" s="1"/>
  <c r="R2067" i="20" a="1"/>
  <c r="R2067" i="20" s="1"/>
  <c r="S2067" i="20"/>
  <c r="Q2068" i="20" a="1"/>
  <c r="Q2068" i="20" s="1"/>
  <c r="R2068" i="20" a="1"/>
  <c r="R2068" i="20" s="1"/>
  <c r="S2068" i="20"/>
  <c r="Q2069" i="20" a="1"/>
  <c r="Q2069" i="20" s="1"/>
  <c r="R2069" i="20" a="1"/>
  <c r="R2069" i="20" s="1"/>
  <c r="S2069" i="20"/>
  <c r="Q2070" i="20" a="1"/>
  <c r="Q2070" i="20" s="1"/>
  <c r="R2070" i="20" a="1"/>
  <c r="R2070" i="20" s="1"/>
  <c r="S2070" i="20"/>
  <c r="S2071" i="20"/>
  <c r="Q2071" i="20" a="1"/>
  <c r="Q2071" i="20" s="1"/>
  <c r="R2071" i="20" a="1"/>
  <c r="R2071" i="20" s="1"/>
  <c r="R2072" i="20" a="1"/>
  <c r="R2072" i="20" s="1"/>
  <c r="S2072" i="20"/>
  <c r="Q2072" i="20" a="1"/>
  <c r="Q2072" i="20" s="1"/>
  <c r="Q2073" i="20" a="1"/>
  <c r="Q2073" i="20" s="1"/>
  <c r="R2073" i="20" a="1"/>
  <c r="R2073" i="20" s="1"/>
  <c r="S2073" i="20"/>
  <c r="Q2074" i="20" a="1"/>
  <c r="Q2074" i="20" s="1"/>
  <c r="R2074" i="20" a="1"/>
  <c r="R2074" i="20" s="1"/>
  <c r="S2074" i="20"/>
  <c r="Q2075" i="20" a="1"/>
  <c r="Q2075" i="20" s="1"/>
  <c r="R2075" i="20" a="1"/>
  <c r="R2075" i="20" s="1"/>
  <c r="S2075" i="20"/>
  <c r="Q2076" i="20" a="1"/>
  <c r="Q2076" i="20" s="1"/>
  <c r="R2076" i="20" a="1"/>
  <c r="R2076" i="20" s="1"/>
  <c r="S2076" i="20"/>
  <c r="Q2077" i="20" a="1"/>
  <c r="Q2077" i="20" s="1"/>
  <c r="R2077" i="20" a="1"/>
  <c r="R2077" i="20" s="1"/>
  <c r="S2077" i="20"/>
  <c r="Q2078" i="20" a="1"/>
  <c r="Q2078" i="20" s="1"/>
  <c r="R2078" i="20" a="1"/>
  <c r="R2078" i="20" s="1"/>
  <c r="S2078" i="20"/>
  <c r="Q2079" i="20" a="1"/>
  <c r="Q2079" i="20" s="1"/>
  <c r="R2079" i="20" a="1"/>
  <c r="R2079" i="20" s="1"/>
  <c r="S2079" i="20"/>
  <c r="Q2080" i="20" a="1"/>
  <c r="Q2080" i="20" s="1"/>
  <c r="R2080" i="20" a="1"/>
  <c r="R2080" i="20" s="1"/>
  <c r="S2080" i="20"/>
  <c r="Q2081" i="20" a="1"/>
  <c r="Q2081" i="20" s="1"/>
  <c r="R2081" i="20" a="1"/>
  <c r="R2081" i="20" s="1"/>
  <c r="S2081" i="20"/>
  <c r="Q2082" i="20" a="1"/>
  <c r="Q2082" i="20" s="1"/>
  <c r="R2082" i="20" a="1"/>
  <c r="R2082" i="20" s="1"/>
  <c r="S2082" i="20"/>
  <c r="S2083" i="20"/>
  <c r="Q2083" i="20" a="1"/>
  <c r="Q2083" i="20" s="1"/>
  <c r="R2083" i="20" a="1"/>
  <c r="R2083" i="20" s="1"/>
  <c r="R2084" i="20" a="1"/>
  <c r="R2084" i="20" s="1"/>
  <c r="S2084" i="20"/>
  <c r="Q2084" i="20" a="1"/>
  <c r="Q2084" i="20" s="1"/>
  <c r="Q2085" i="20" a="1"/>
  <c r="Q2085" i="20" s="1"/>
  <c r="R2085" i="20" a="1"/>
  <c r="R2085" i="20" s="1"/>
  <c r="S2085" i="20"/>
  <c r="Q2086" i="20" a="1"/>
  <c r="Q2086" i="20" s="1"/>
  <c r="R2086" i="20" a="1"/>
  <c r="R2086" i="20" s="1"/>
  <c r="S2086" i="20"/>
  <c r="Q2087" i="20" a="1"/>
  <c r="Q2087" i="20" s="1"/>
  <c r="R2087" i="20" a="1"/>
  <c r="R2087" i="20" s="1"/>
  <c r="S2087" i="20"/>
  <c r="Q2088" i="20" a="1"/>
  <c r="Q2088" i="20" s="1"/>
  <c r="R2088" i="20" a="1"/>
  <c r="R2088" i="20" s="1"/>
  <c r="S2088" i="20"/>
  <c r="Q2089" i="20" a="1"/>
  <c r="Q2089" i="20" s="1"/>
  <c r="R2089" i="20" a="1"/>
  <c r="R2089" i="20" s="1"/>
  <c r="S2089" i="20"/>
  <c r="Q2090" i="20" a="1"/>
  <c r="Q2090" i="20" s="1"/>
  <c r="R2090" i="20" a="1"/>
  <c r="R2090" i="20" s="1"/>
  <c r="S2090" i="20"/>
  <c r="Q2091" i="20" a="1"/>
  <c r="Q2091" i="20" s="1"/>
  <c r="R2091" i="20" a="1"/>
  <c r="R2091" i="20" s="1"/>
  <c r="S2091" i="20"/>
  <c r="Q2092" i="20" a="1"/>
  <c r="Q2092" i="20" s="1"/>
  <c r="R2092" i="20" a="1"/>
  <c r="R2092" i="20" s="1"/>
  <c r="S2092" i="20"/>
  <c r="Q2093" i="20" a="1"/>
  <c r="Q2093" i="20" s="1"/>
  <c r="R2093" i="20" a="1"/>
  <c r="R2093" i="20" s="1"/>
  <c r="S2093" i="20"/>
  <c r="Q2094" i="20" a="1"/>
  <c r="Q2094" i="20" s="1"/>
  <c r="R2094" i="20" a="1"/>
  <c r="R2094" i="20" s="1"/>
  <c r="S2094" i="20"/>
  <c r="Q2095" i="20" a="1"/>
  <c r="Q2095" i="20" s="1"/>
  <c r="R2095" i="20" a="1"/>
  <c r="R2095" i="20" s="1"/>
  <c r="S2095" i="20"/>
  <c r="S2096" i="20"/>
  <c r="Q2096" i="20" a="1"/>
  <c r="Q2096" i="20" s="1"/>
  <c r="R2096" i="20" a="1"/>
  <c r="R2096" i="20" s="1"/>
  <c r="R2097" i="20" a="1"/>
  <c r="R2097" i="20" s="1"/>
  <c r="S2097" i="20"/>
  <c r="Q2097" i="20" a="1"/>
  <c r="Q2097" i="20" s="1"/>
  <c r="Q2098" i="20" a="1"/>
  <c r="Q2098" i="20" s="1"/>
  <c r="R2098" i="20" a="1"/>
  <c r="R2098" i="20" s="1"/>
  <c r="S2098" i="20"/>
  <c r="Q2099" i="20" a="1"/>
  <c r="Q2099" i="20" s="1"/>
  <c r="R2099" i="20" a="1"/>
  <c r="R2099" i="20" s="1"/>
  <c r="S2099" i="20"/>
  <c r="Q2100" i="20" a="1"/>
  <c r="Q2100" i="20" s="1"/>
  <c r="R2100" i="20" a="1"/>
  <c r="R2100" i="20" s="1"/>
  <c r="S2100" i="20"/>
  <c r="Q2101" i="20" a="1"/>
  <c r="Q2101" i="20" s="1"/>
  <c r="R2101" i="20" a="1"/>
  <c r="R2101" i="20" s="1"/>
  <c r="S2101" i="20"/>
  <c r="Q2102" i="20" a="1"/>
  <c r="Q2102" i="20" s="1"/>
  <c r="R2102" i="20" a="1"/>
  <c r="R2102" i="20" s="1"/>
  <c r="S2102" i="20"/>
  <c r="Q2103" i="20" a="1"/>
  <c r="Q2103" i="20" s="1"/>
  <c r="R2103" i="20" a="1"/>
  <c r="R2103" i="20" s="1"/>
  <c r="S2103" i="20"/>
  <c r="Q2104" i="20" a="1"/>
  <c r="Q2104" i="20" s="1"/>
  <c r="R2104" i="20" a="1"/>
  <c r="R2104" i="20" s="1"/>
  <c r="S2104" i="20"/>
  <c r="Q2105" i="20" a="1"/>
  <c r="Q2105" i="20" s="1"/>
  <c r="R2105" i="20" a="1"/>
  <c r="R2105" i="20" s="1"/>
  <c r="S2105" i="20"/>
  <c r="Q2106" i="20" a="1"/>
  <c r="Q2106" i="20" s="1"/>
  <c r="R2106" i="20" a="1"/>
  <c r="R2106" i="20" s="1"/>
  <c r="S2106" i="20"/>
  <c r="Q2107" i="20" a="1"/>
  <c r="Q2107" i="20" s="1"/>
  <c r="R2107" i="20" a="1"/>
  <c r="R2107" i="20" s="1"/>
  <c r="S2107" i="20"/>
  <c r="R2108" i="20" a="1"/>
  <c r="R2108" i="20" s="1"/>
  <c r="S2108" i="20"/>
  <c r="Q2108" i="20" a="1"/>
  <c r="Q2108" i="20" s="1"/>
  <c r="Q2109" i="20" a="1"/>
  <c r="Q2109" i="20" s="1"/>
  <c r="R2109" i="20" a="1"/>
  <c r="R2109" i="20" s="1"/>
  <c r="S2109" i="20"/>
  <c r="Q2110" i="20" a="1"/>
  <c r="Q2110" i="20" s="1"/>
  <c r="R2110" i="20" a="1"/>
  <c r="R2110" i="20" s="1"/>
  <c r="S2110" i="20"/>
  <c r="Q2111" i="20" a="1"/>
  <c r="Q2111" i="20" s="1"/>
  <c r="R2111" i="20" a="1"/>
  <c r="R2111" i="20" s="1"/>
  <c r="S2111" i="20"/>
  <c r="Q2112" i="20" a="1"/>
  <c r="Q2112" i="20" s="1"/>
  <c r="R2112" i="20" a="1"/>
  <c r="R2112" i="20" s="1"/>
  <c r="S2112" i="20"/>
  <c r="S2113" i="20"/>
  <c r="Q2113" i="20" a="1"/>
  <c r="Q2113" i="20" s="1"/>
  <c r="R2113" i="20" a="1"/>
  <c r="R2113" i="20" s="1"/>
  <c r="Q2114" i="20" a="1"/>
  <c r="Q2114" i="20" s="1"/>
  <c r="R2114" i="20" a="1"/>
  <c r="R2114" i="20" s="1"/>
  <c r="S2114" i="20"/>
  <c r="Q2115" i="20" a="1"/>
  <c r="Q2115" i="20" s="1"/>
  <c r="R2115" i="20" a="1"/>
  <c r="R2115" i="20" s="1"/>
  <c r="S2115" i="20"/>
  <c r="Q2116" i="20" a="1"/>
  <c r="Q2116" i="20" s="1"/>
  <c r="R2116" i="20" a="1"/>
  <c r="R2116" i="20" s="1"/>
  <c r="S2116" i="20"/>
  <c r="Q2117" i="20" a="1"/>
  <c r="Q2117" i="20" s="1"/>
  <c r="R2117" i="20" a="1"/>
  <c r="R2117" i="20" s="1"/>
  <c r="S2117" i="20"/>
  <c r="Q2118" i="20" a="1"/>
  <c r="Q2118" i="20" s="1"/>
  <c r="R2118" i="20" a="1"/>
  <c r="R2118" i="20" s="1"/>
  <c r="S2118" i="20"/>
  <c r="Q2119" i="20" a="1"/>
  <c r="Q2119" i="20" s="1"/>
  <c r="R2119" i="20" a="1"/>
  <c r="R2119" i="20" s="1"/>
  <c r="S2119" i="20"/>
  <c r="R2120" i="20" a="1"/>
  <c r="R2120" i="20" s="1"/>
  <c r="S2120" i="20"/>
  <c r="Q2120" i="20" a="1"/>
  <c r="Q2120" i="20" s="1"/>
  <c r="Q2121" i="20" a="1"/>
  <c r="Q2121" i="20" s="1"/>
  <c r="R2121" i="20" a="1"/>
  <c r="R2121" i="20" s="1"/>
  <c r="S2121" i="20"/>
  <c r="Q2122" i="20" a="1"/>
  <c r="Q2122" i="20" s="1"/>
  <c r="R2122" i="20" a="1"/>
  <c r="R2122" i="20" s="1"/>
  <c r="S2122" i="20"/>
  <c r="Q2123" i="20" a="1"/>
  <c r="Q2123" i="20" s="1"/>
  <c r="R2123" i="20" a="1"/>
  <c r="R2123" i="20" s="1"/>
  <c r="S2123" i="20"/>
  <c r="Q2124" i="20" a="1"/>
  <c r="Q2124" i="20" s="1"/>
  <c r="R2124" i="20" a="1"/>
  <c r="R2124" i="20" s="1"/>
  <c r="S2124" i="20"/>
  <c r="S2125" i="20"/>
  <c r="Q2125" i="20" a="1"/>
  <c r="Q2125" i="20" s="1"/>
  <c r="R2125" i="20" a="1"/>
  <c r="R2125" i="20" s="1"/>
  <c r="Q2126" i="20" a="1"/>
  <c r="Q2126" i="20" s="1"/>
  <c r="R2126" i="20" a="1"/>
  <c r="R2126" i="20" s="1"/>
  <c r="S2126" i="20"/>
  <c r="Q2127" i="20" a="1"/>
  <c r="Q2127" i="20" s="1"/>
  <c r="R2127" i="20" a="1"/>
  <c r="R2127" i="20" s="1"/>
  <c r="S2127" i="20"/>
  <c r="Q2128" i="20" a="1"/>
  <c r="Q2128" i="20" s="1"/>
  <c r="R2128" i="20" a="1"/>
  <c r="R2128" i="20" s="1"/>
  <c r="S2128" i="20"/>
  <c r="Q2129" i="20" a="1"/>
  <c r="Q2129" i="20" s="1"/>
  <c r="R2129" i="20" a="1"/>
  <c r="R2129" i="20" s="1"/>
  <c r="S2129" i="20"/>
  <c r="Q2130" i="20" a="1"/>
  <c r="Q2130" i="20" s="1"/>
  <c r="R2130" i="20" a="1"/>
  <c r="R2130" i="20" s="1"/>
  <c r="S2130" i="20"/>
  <c r="Q2131" i="20" a="1"/>
  <c r="Q2131" i="20" s="1"/>
  <c r="R2131" i="20" a="1"/>
  <c r="R2131" i="20" s="1"/>
  <c r="S2131" i="20"/>
  <c r="R2132" i="20" a="1"/>
  <c r="R2132" i="20" s="1"/>
  <c r="S2132" i="20"/>
  <c r="Q2132" i="20" a="1"/>
  <c r="Q2132" i="20" s="1"/>
  <c r="Q2133" i="20" a="1"/>
  <c r="Q2133" i="20" s="1"/>
  <c r="R2133" i="20" a="1"/>
  <c r="R2133" i="20" s="1"/>
  <c r="S2133" i="20"/>
  <c r="Q2134" i="20" a="1"/>
  <c r="Q2134" i="20" s="1"/>
  <c r="R2134" i="20" a="1"/>
  <c r="R2134" i="20" s="1"/>
  <c r="S2134" i="20"/>
  <c r="Q2135" i="20" a="1"/>
  <c r="Q2135" i="20" s="1"/>
  <c r="R2135" i="20" a="1"/>
  <c r="R2135" i="20" s="1"/>
  <c r="S2135" i="20"/>
  <c r="Q2136" i="20" a="1"/>
  <c r="Q2136" i="20" s="1"/>
  <c r="R2136" i="20" a="1"/>
  <c r="R2136" i="20" s="1"/>
  <c r="S2136" i="20"/>
  <c r="S2137" i="20"/>
  <c r="Q2137" i="20" a="1"/>
  <c r="Q2137" i="20" s="1"/>
  <c r="R2137" i="20" a="1"/>
  <c r="R2137" i="20" s="1"/>
  <c r="Q2138" i="20" a="1"/>
  <c r="Q2138" i="20" s="1"/>
  <c r="R2138" i="20" a="1"/>
  <c r="R2138" i="20" s="1"/>
  <c r="S2138" i="20"/>
  <c r="Q2139" i="20" a="1"/>
  <c r="Q2139" i="20" s="1"/>
  <c r="R2139" i="20" a="1"/>
  <c r="R2139" i="20" s="1"/>
  <c r="S2139" i="20"/>
  <c r="Q2140" i="20" a="1"/>
  <c r="Q2140" i="20" s="1"/>
  <c r="R2140" i="20" a="1"/>
  <c r="R2140" i="20" s="1"/>
  <c r="S2140" i="20"/>
  <c r="Q2141" i="20" a="1"/>
  <c r="Q2141" i="20" s="1"/>
  <c r="R2141" i="20" a="1"/>
  <c r="R2141" i="20" s="1"/>
  <c r="S2141" i="20"/>
  <c r="Q2142" i="20" a="1"/>
  <c r="Q2142" i="20" s="1"/>
  <c r="R2142" i="20" a="1"/>
  <c r="R2142" i="20" s="1"/>
  <c r="S2142" i="20"/>
  <c r="R2143" i="20" a="1"/>
  <c r="R2143" i="20" s="1"/>
  <c r="S2143" i="20"/>
  <c r="Q2143" i="20" a="1"/>
  <c r="Q2143" i="20" s="1"/>
  <c r="Q2144" i="20" a="1"/>
  <c r="Q2144" i="20" s="1"/>
  <c r="R2144" i="20" a="1"/>
  <c r="R2144" i="20" s="1"/>
  <c r="S2144" i="20"/>
  <c r="Q2145" i="20" a="1"/>
  <c r="Q2145" i="20" s="1"/>
  <c r="R2145" i="20" a="1"/>
  <c r="R2145" i="20" s="1"/>
  <c r="S2145" i="20"/>
  <c r="Q2146" i="20" a="1"/>
  <c r="Q2146" i="20" s="1"/>
  <c r="R2146" i="20" a="1"/>
  <c r="R2146" i="20" s="1"/>
  <c r="S2146" i="20"/>
  <c r="Q2147" i="20" a="1"/>
  <c r="Q2147" i="20" s="1"/>
  <c r="R2147" i="20" a="1"/>
  <c r="R2147" i="20" s="1"/>
  <c r="S2147" i="20"/>
  <c r="Q2148" i="20" a="1"/>
  <c r="Q2148" i="20" s="1"/>
  <c r="R2148" i="20" a="1"/>
  <c r="R2148" i="20" s="1"/>
  <c r="S2148" i="20"/>
  <c r="Q2149" i="20" a="1"/>
  <c r="Q2149" i="20" s="1"/>
  <c r="R2149" i="20" a="1"/>
  <c r="R2149" i="20" s="1"/>
  <c r="S2149" i="20"/>
  <c r="S2150" i="20"/>
  <c r="Q2150" i="20" a="1"/>
  <c r="Q2150" i="20" s="1"/>
  <c r="R2150" i="20" a="1"/>
  <c r="R2150" i="20" s="1"/>
  <c r="Q2151" i="20" a="1"/>
  <c r="Q2151" i="20" s="1"/>
  <c r="R2151" i="20" a="1"/>
  <c r="R2151" i="20" s="1"/>
  <c r="S2151" i="20"/>
  <c r="Q2152" i="20" a="1"/>
  <c r="Q2152" i="20" s="1"/>
  <c r="R2152" i="20" a="1"/>
  <c r="R2152" i="20" s="1"/>
  <c r="S2152" i="20"/>
  <c r="Q2153" i="20" a="1"/>
  <c r="Q2153" i="20" s="1"/>
  <c r="R2153" i="20" a="1"/>
  <c r="R2153" i="20" s="1"/>
  <c r="S2153" i="20"/>
  <c r="Q2154" i="20" a="1"/>
  <c r="Q2154" i="20" s="1"/>
  <c r="R2154" i="20" a="1"/>
  <c r="R2154" i="20" s="1"/>
  <c r="S2154" i="20"/>
  <c r="Q2155" i="20" a="1"/>
  <c r="Q2155" i="20" s="1"/>
  <c r="R2155" i="20" a="1"/>
  <c r="R2155" i="20" s="1"/>
  <c r="S2155" i="20"/>
  <c r="R2156" i="20" a="1"/>
  <c r="R2156" i="20" s="1"/>
  <c r="S2156" i="20"/>
  <c r="Q2156" i="20" a="1"/>
  <c r="Q2156" i="20" s="1"/>
  <c r="Q2157" i="20" a="1"/>
  <c r="Q2157" i="20" s="1"/>
  <c r="R2157" i="20" a="1"/>
  <c r="R2157" i="20" s="1"/>
  <c r="S2157" i="20"/>
  <c r="Q2158" i="20" a="1"/>
  <c r="Q2158" i="20" s="1"/>
  <c r="R2158" i="20" a="1"/>
  <c r="R2158" i="20" s="1"/>
  <c r="S2158" i="20"/>
  <c r="Q2159" i="20" a="1"/>
  <c r="Q2159" i="20" s="1"/>
  <c r="R2159" i="20" a="1"/>
  <c r="R2159" i="20" s="1"/>
  <c r="S2159" i="20"/>
  <c r="Q2160" i="20" a="1"/>
  <c r="Q2160" i="20" s="1"/>
  <c r="R2160" i="20" a="1"/>
  <c r="R2160" i="20" s="1"/>
  <c r="S2160" i="20"/>
  <c r="Q2161" i="20" a="1"/>
  <c r="Q2161" i="20" s="1"/>
  <c r="R2161" i="20" a="1"/>
  <c r="R2161" i="20" s="1"/>
  <c r="S2161" i="20"/>
  <c r="Q2162" i="20" a="1"/>
  <c r="Q2162" i="20" s="1"/>
  <c r="R2162" i="20" a="1"/>
  <c r="R2162" i="20" s="1"/>
  <c r="S2162" i="20"/>
  <c r="S2163" i="20"/>
  <c r="Q2163" i="20" a="1"/>
  <c r="Q2163" i="20" s="1"/>
  <c r="R2163" i="20" a="1"/>
  <c r="R2163" i="20" s="1"/>
  <c r="Q2164" i="20" a="1"/>
  <c r="Q2164" i="20" s="1"/>
  <c r="R2164" i="20" a="1"/>
  <c r="R2164" i="20" s="1"/>
  <c r="S2164" i="20"/>
  <c r="Q2165" i="20" a="1"/>
  <c r="Q2165" i="20" s="1"/>
  <c r="R2165" i="20" a="1"/>
  <c r="R2165" i="20" s="1"/>
  <c r="S2165" i="20"/>
  <c r="Q2166" i="20" a="1"/>
  <c r="Q2166" i="20" s="1"/>
  <c r="R2166" i="20" a="1"/>
  <c r="R2166" i="20" s="1"/>
  <c r="S2166" i="20"/>
  <c r="R2167" i="20" a="1"/>
  <c r="R2167" i="20" s="1"/>
  <c r="S2167" i="20"/>
  <c r="Q2167" i="20" a="1"/>
  <c r="Q2167" i="20" s="1"/>
  <c r="Q2168" i="20" a="1"/>
  <c r="Q2168" i="20" s="1"/>
  <c r="R2168" i="20" a="1"/>
  <c r="R2168" i="20" s="1"/>
  <c r="S2168" i="20"/>
  <c r="Q2169" i="20" a="1"/>
  <c r="Q2169" i="20" s="1"/>
  <c r="R2169" i="20" a="1"/>
  <c r="R2169" i="20" s="1"/>
  <c r="S2169" i="20"/>
  <c r="Q2170" i="20" a="1"/>
  <c r="Q2170" i="20" s="1"/>
  <c r="R2170" i="20" a="1"/>
  <c r="R2170" i="20" s="1"/>
  <c r="S2170" i="20"/>
  <c r="Q2171" i="20" a="1"/>
  <c r="Q2171" i="20" s="1"/>
  <c r="R2171" i="20" a="1"/>
  <c r="R2171" i="20" s="1"/>
  <c r="S2171" i="20"/>
  <c r="Q2172" i="20" a="1"/>
  <c r="Q2172" i="20" s="1"/>
  <c r="R2172" i="20" a="1"/>
  <c r="R2172" i="20" s="1"/>
  <c r="S2172" i="20"/>
  <c r="Q2173" i="20" a="1"/>
  <c r="Q2173" i="20" s="1"/>
  <c r="R2173" i="20" a="1"/>
  <c r="R2173" i="20" s="1"/>
  <c r="S2173" i="20"/>
  <c r="S2174" i="20"/>
  <c r="Q2174" i="20" a="1"/>
  <c r="Q2174" i="20" s="1"/>
  <c r="R2174" i="20" a="1"/>
  <c r="R2174" i="20" s="1"/>
  <c r="Q2175" i="20" a="1"/>
  <c r="Q2175" i="20" s="1"/>
  <c r="R2175" i="20" a="1"/>
  <c r="R2175" i="20" s="1"/>
  <c r="S2175" i="20"/>
  <c r="Q2176" i="20" a="1"/>
  <c r="Q2176" i="20" s="1"/>
  <c r="R2176" i="20" a="1"/>
  <c r="R2176" i="20" s="1"/>
  <c r="S2176" i="20"/>
  <c r="R2177" i="20" a="1"/>
  <c r="R2177" i="20" s="1"/>
  <c r="S2177" i="20"/>
  <c r="Q2177" i="20" a="1"/>
  <c r="Q2177" i="20" s="1"/>
  <c r="Q2178" i="20" a="1"/>
  <c r="Q2178" i="20" s="1"/>
  <c r="R2178" i="20" a="1"/>
  <c r="R2178" i="20" s="1"/>
  <c r="S2178" i="20"/>
  <c r="Q2179" i="20" a="1"/>
  <c r="Q2179" i="20" s="1"/>
  <c r="R2179" i="20" a="1"/>
  <c r="R2179" i="20" s="1"/>
  <c r="S2179" i="20"/>
  <c r="Q2180" i="20" a="1"/>
  <c r="Q2180" i="20" s="1"/>
  <c r="R2180" i="20" a="1"/>
  <c r="R2180" i="20" s="1"/>
  <c r="S2180" i="20"/>
  <c r="Q2181" i="20" a="1"/>
  <c r="Q2181" i="20" s="1"/>
  <c r="R2181" i="20" a="1"/>
  <c r="R2181" i="20" s="1"/>
  <c r="S2181" i="20"/>
  <c r="Q2182" i="20" a="1"/>
  <c r="Q2182" i="20" s="1"/>
  <c r="R2182" i="20" a="1"/>
  <c r="R2182" i="20" s="1"/>
  <c r="S2182" i="20"/>
  <c r="Q2183" i="20" a="1"/>
  <c r="Q2183" i="20" s="1"/>
  <c r="R2183" i="20" a="1"/>
  <c r="R2183" i="20" s="1"/>
  <c r="S2183" i="20"/>
  <c r="Q2184" i="20" a="1"/>
  <c r="Q2184" i="20" s="1"/>
  <c r="R2184" i="20" a="1"/>
  <c r="R2184" i="20" s="1"/>
  <c r="S2184" i="20"/>
  <c r="Q2185" i="20" a="1"/>
  <c r="Q2185" i="20" s="1"/>
  <c r="R2185" i="20" a="1"/>
  <c r="R2185" i="20" s="1"/>
  <c r="S2185" i="20"/>
  <c r="Q2186" i="20" a="1"/>
  <c r="Q2186" i="20" s="1"/>
  <c r="R2186" i="20" a="1"/>
  <c r="R2186" i="20" s="1"/>
  <c r="S2186" i="20"/>
  <c r="S2187" i="20"/>
  <c r="Q2187" i="20" a="1"/>
  <c r="Q2187" i="20" s="1"/>
  <c r="R2187" i="20" a="1"/>
  <c r="R2187" i="20" s="1"/>
  <c r="Q2188" i="20" a="1"/>
  <c r="Q2188" i="20" s="1"/>
  <c r="R2188" i="20" a="1"/>
  <c r="R2188" i="20" s="1"/>
  <c r="S2188" i="20"/>
  <c r="R2189" i="20" a="1"/>
  <c r="R2189" i="20" s="1"/>
  <c r="S2189" i="20"/>
  <c r="Q2189" i="20" a="1"/>
  <c r="Q2189" i="20" s="1"/>
  <c r="Q2190" i="20" a="1"/>
  <c r="Q2190" i="20" s="1"/>
  <c r="R2190" i="20" a="1"/>
  <c r="R2190" i="20" s="1"/>
  <c r="S2190" i="20"/>
  <c r="Q2191" i="20" a="1"/>
  <c r="Q2191" i="20" s="1"/>
  <c r="R2191" i="20" a="1"/>
  <c r="R2191" i="20" s="1"/>
  <c r="S2191" i="20"/>
  <c r="Q2192" i="20" a="1"/>
  <c r="Q2192" i="20" s="1"/>
  <c r="R2192" i="20" a="1"/>
  <c r="R2192" i="20" s="1"/>
  <c r="S2192" i="20"/>
  <c r="Q2193" i="20" a="1"/>
  <c r="Q2193" i="20" s="1"/>
  <c r="R2193" i="20" a="1"/>
  <c r="R2193" i="20" s="1"/>
  <c r="S2193" i="20"/>
  <c r="Q2194" i="20" a="1"/>
  <c r="Q2194" i="20" s="1"/>
  <c r="R2194" i="20" a="1"/>
  <c r="R2194" i="20" s="1"/>
  <c r="S2194" i="20"/>
  <c r="Q2195" i="20" a="1"/>
  <c r="Q2195" i="20" s="1"/>
  <c r="R2195" i="20" a="1"/>
  <c r="R2195" i="20" s="1"/>
  <c r="S2195" i="20"/>
  <c r="Q2196" i="20" a="1"/>
  <c r="Q2196" i="20" s="1"/>
  <c r="R2196" i="20" a="1"/>
  <c r="R2196" i="20" s="1"/>
  <c r="S2196" i="20"/>
  <c r="Q2197" i="20" a="1"/>
  <c r="Q2197" i="20" s="1"/>
  <c r="R2197" i="20" a="1"/>
  <c r="R2197" i="20" s="1"/>
  <c r="S2197" i="20"/>
  <c r="R2198" i="20" a="1"/>
  <c r="R2198" i="20" s="1"/>
  <c r="S2198" i="20"/>
  <c r="Q2198" i="20" a="1"/>
  <c r="Q2198" i="20" s="1"/>
  <c r="Q2199" i="20" a="1"/>
  <c r="Q2199" i="20" s="1"/>
  <c r="R2199" i="20" a="1"/>
  <c r="R2199" i="20" s="1"/>
  <c r="S2199" i="20"/>
  <c r="Q2200" i="20" a="1"/>
  <c r="Q2200" i="20" s="1"/>
  <c r="R2200" i="20" a="1"/>
  <c r="R2200" i="20" s="1"/>
  <c r="S2200" i="20"/>
  <c r="Q2201" i="20" a="1"/>
  <c r="Q2201" i="20" s="1"/>
  <c r="R2201" i="20" a="1"/>
  <c r="R2201" i="20" s="1"/>
  <c r="S2201" i="20"/>
  <c r="Q2202" i="20" a="1"/>
  <c r="Q2202" i="20" s="1"/>
  <c r="R2202" i="20" a="1"/>
  <c r="R2202" i="20" s="1"/>
  <c r="S2202" i="20"/>
  <c r="Q2203" i="20" a="1"/>
  <c r="Q2203" i="20" s="1"/>
  <c r="R2203" i="20" a="1"/>
  <c r="R2203" i="20" s="1"/>
  <c r="S2203" i="20"/>
  <c r="Q2204" i="20" a="1"/>
  <c r="Q2204" i="20" s="1"/>
  <c r="R2204" i="20" a="1"/>
  <c r="R2204" i="20" s="1"/>
  <c r="S2204" i="20"/>
  <c r="Q2205" i="20" a="1"/>
  <c r="Q2205" i="20" s="1"/>
  <c r="R2205" i="20" a="1"/>
  <c r="R2205" i="20" s="1"/>
  <c r="S2205" i="20"/>
  <c r="Q2206" i="20" a="1"/>
  <c r="Q2206" i="20" s="1"/>
  <c r="R2206" i="20" a="1"/>
  <c r="R2206" i="20" s="1"/>
  <c r="S2206" i="20"/>
  <c r="Q2207" i="20" a="1"/>
  <c r="Q2207" i="20" s="1"/>
  <c r="R2207" i="20" a="1"/>
  <c r="R2207" i="20" s="1"/>
  <c r="S2207" i="20"/>
  <c r="R2208" i="20" a="1"/>
  <c r="R2208" i="20" s="1"/>
  <c r="S2208" i="20"/>
  <c r="Q2208" i="20" a="1"/>
  <c r="Q2208" i="20" s="1"/>
  <c r="S2209" i="20"/>
  <c r="Q2209" i="20" a="1"/>
  <c r="Q2209" i="20" s="1"/>
  <c r="R2209" i="20" a="1"/>
  <c r="R2209" i="20" s="1"/>
  <c r="Q2210" i="20" a="1"/>
  <c r="Q2210" i="20" s="1"/>
  <c r="R2210" i="20" a="1"/>
  <c r="R2210" i="20" s="1"/>
  <c r="S2210" i="20"/>
  <c r="Q2211" i="20" a="1"/>
  <c r="Q2211" i="20" s="1"/>
  <c r="R2211" i="20" a="1"/>
  <c r="R2211" i="20" s="1"/>
  <c r="S2211" i="20"/>
  <c r="Q2212" i="20" a="1"/>
  <c r="Q2212" i="20" s="1"/>
  <c r="R2212" i="20" a="1"/>
  <c r="R2212" i="20" s="1"/>
  <c r="S2212" i="20"/>
  <c r="Q2213" i="20" a="1"/>
  <c r="Q2213" i="20" s="1"/>
  <c r="R2213" i="20" a="1"/>
  <c r="R2213" i="20" s="1"/>
  <c r="S2213" i="20"/>
  <c r="Q2214" i="20" a="1"/>
  <c r="Q2214" i="20" s="1"/>
  <c r="R2214" i="20" a="1"/>
  <c r="R2214" i="20" s="1"/>
  <c r="S2214" i="20"/>
  <c r="Q2215" i="20" a="1"/>
  <c r="Q2215" i="20" s="1"/>
  <c r="R2215" i="20" a="1"/>
  <c r="R2215" i="20" s="1"/>
  <c r="S2215" i="20"/>
  <c r="Q2216" i="20" a="1"/>
  <c r="Q2216" i="20" s="1"/>
  <c r="R2216" i="20" a="1"/>
  <c r="R2216" i="20" s="1"/>
  <c r="S2216" i="20"/>
  <c r="Q2217" i="20" a="1"/>
  <c r="Q2217" i="20" s="1"/>
  <c r="R2217" i="20" a="1"/>
  <c r="R2217" i="20" s="1"/>
  <c r="S2217" i="20"/>
  <c r="Q2218" i="20" a="1"/>
  <c r="Q2218" i="20" s="1"/>
  <c r="R2218" i="20" a="1"/>
  <c r="R2218" i="20" s="1"/>
  <c r="S2218" i="20"/>
  <c r="R2219" i="20" a="1"/>
  <c r="R2219" i="20" s="1"/>
  <c r="S2219" i="20"/>
  <c r="Q2219" i="20" a="1"/>
  <c r="Q2219" i="20" s="1"/>
  <c r="Q2220" i="20" a="1"/>
  <c r="Q2220" i="20" s="1"/>
  <c r="R2220" i="20" a="1"/>
  <c r="R2220" i="20" s="1"/>
  <c r="S2220" i="20"/>
  <c r="Q2221" i="20" a="1"/>
  <c r="Q2221" i="20" s="1"/>
  <c r="R2221" i="20" a="1"/>
  <c r="R2221" i="20" s="1"/>
  <c r="S2221" i="20"/>
  <c r="S2222" i="20"/>
  <c r="Q2222" i="20" a="1"/>
  <c r="Q2222" i="20" s="1"/>
  <c r="R2222" i="20" a="1"/>
  <c r="R2222" i="20" s="1"/>
  <c r="Q2223" i="20" a="1"/>
  <c r="Q2223" i="20" s="1"/>
  <c r="R2223" i="20" a="1"/>
  <c r="R2223" i="20" s="1"/>
  <c r="S2223" i="20"/>
  <c r="Q2224" i="20" a="1"/>
  <c r="Q2224" i="20" s="1"/>
  <c r="R2224" i="20" a="1"/>
  <c r="R2224" i="20" s="1"/>
  <c r="S2224" i="20"/>
  <c r="Q2225" i="20" a="1"/>
  <c r="Q2225" i="20" s="1"/>
  <c r="R2225" i="20" a="1"/>
  <c r="R2225" i="20" s="1"/>
  <c r="S2225" i="20"/>
  <c r="Q2226" i="20" a="1"/>
  <c r="Q2226" i="20" s="1"/>
  <c r="R2226" i="20" a="1"/>
  <c r="R2226" i="20" s="1"/>
  <c r="S2226" i="20"/>
  <c r="Q2227" i="20" a="1"/>
  <c r="Q2227" i="20" s="1"/>
  <c r="R2227" i="20" a="1"/>
  <c r="R2227" i="20" s="1"/>
  <c r="S2227" i="20"/>
  <c r="Q2228" i="20" a="1"/>
  <c r="Q2228" i="20" s="1"/>
  <c r="R2228" i="20" a="1"/>
  <c r="R2228" i="20" s="1"/>
  <c r="S2228" i="20"/>
  <c r="Q2229" i="20" a="1"/>
  <c r="Q2229" i="20" s="1"/>
  <c r="R2229" i="20" a="1"/>
  <c r="R2229" i="20" s="1"/>
  <c r="S2229" i="20"/>
  <c r="Q2230" i="20" a="1"/>
  <c r="Q2230" i="20" s="1"/>
  <c r="R2230" i="20" a="1"/>
  <c r="R2230" i="20" s="1"/>
  <c r="S2230" i="20"/>
  <c r="R2231" i="20" a="1"/>
  <c r="R2231" i="20" s="1"/>
  <c r="S2231" i="20"/>
  <c r="Q2231" i="20" a="1"/>
  <c r="Q2231" i="20" s="1"/>
  <c r="Q2232" i="20" a="1"/>
  <c r="Q2232" i="20" s="1"/>
  <c r="R2232" i="20" a="1"/>
  <c r="R2232" i="20" s="1"/>
  <c r="S2232" i="20"/>
  <c r="Q2233" i="20" a="1"/>
  <c r="Q2233" i="20" s="1"/>
  <c r="R2233" i="20" a="1"/>
  <c r="R2233" i="20" s="1"/>
  <c r="S2233" i="20"/>
  <c r="Q2234" i="20" a="1"/>
  <c r="Q2234" i="20" s="1"/>
  <c r="R2234" i="20" a="1"/>
  <c r="R2234" i="20" s="1"/>
  <c r="S2234" i="20"/>
  <c r="Q2235" i="20" a="1"/>
  <c r="Q2235" i="20" s="1"/>
  <c r="R2235" i="20" a="1"/>
  <c r="R2235" i="20" s="1"/>
  <c r="S2235" i="20"/>
  <c r="Q2236" i="20" a="1"/>
  <c r="Q2236" i="20" s="1"/>
  <c r="R2236" i="20" a="1"/>
  <c r="R2236" i="20" s="1"/>
  <c r="S2236" i="20"/>
  <c r="Q2237" i="20" a="1"/>
  <c r="Q2237" i="20" s="1"/>
  <c r="R2237" i="20" a="1"/>
  <c r="R2237" i="20" s="1"/>
  <c r="S2237" i="20"/>
  <c r="Q2238" i="20" a="1"/>
  <c r="Q2238" i="20" s="1"/>
  <c r="R2238" i="20" a="1"/>
  <c r="R2238" i="20" s="1"/>
  <c r="S2238" i="20"/>
  <c r="Q2239" i="20" a="1"/>
  <c r="Q2239" i="20" s="1"/>
  <c r="R2239" i="20" a="1"/>
  <c r="R2239" i="20" s="1"/>
  <c r="S2239" i="20"/>
  <c r="R2240" i="20" a="1"/>
  <c r="R2240" i="20" s="1"/>
  <c r="S2240" i="20"/>
  <c r="Q2240" i="20" a="1"/>
  <c r="Q2240" i="20" s="1"/>
  <c r="Q2241" i="20" a="1"/>
  <c r="Q2241" i="20" s="1"/>
  <c r="R2241" i="20" a="1"/>
  <c r="R2241" i="20" s="1"/>
  <c r="S2241" i="20"/>
  <c r="Q2242" i="20" a="1"/>
  <c r="Q2242" i="20" s="1"/>
  <c r="R2242" i="20" a="1"/>
  <c r="R2242" i="20" s="1"/>
  <c r="S2242" i="20"/>
  <c r="Q2243" i="20" a="1"/>
  <c r="Q2243" i="20" s="1"/>
  <c r="R2243" i="20" a="1"/>
  <c r="R2243" i="20" s="1"/>
  <c r="S2243" i="20"/>
  <c r="Q2244" i="20" a="1"/>
  <c r="Q2244" i="20" s="1"/>
  <c r="R2244" i="20" a="1"/>
  <c r="R2244" i="20" s="1"/>
  <c r="S2244" i="20"/>
  <c r="Q2245" i="20" a="1"/>
  <c r="Q2245" i="20" s="1"/>
  <c r="R2245" i="20" a="1"/>
  <c r="R2245" i="20" s="1"/>
  <c r="S2245" i="20"/>
  <c r="Q2246" i="20" a="1"/>
  <c r="Q2246" i="20" s="1"/>
  <c r="R2246" i="20" a="1"/>
  <c r="R2246" i="20" s="1"/>
  <c r="S2246" i="20"/>
  <c r="Q2247" i="20" a="1"/>
  <c r="Q2247" i="20" s="1"/>
  <c r="R2247" i="20" a="1"/>
  <c r="R2247" i="20" s="1"/>
  <c r="S2247" i="20"/>
  <c r="S2248" i="20"/>
  <c r="Q2248" i="20" a="1"/>
  <c r="Q2248" i="20" s="1"/>
  <c r="R2248" i="20" a="1"/>
  <c r="R2248" i="20" s="1"/>
  <c r="Q2249" i="20" a="1"/>
  <c r="Q2249" i="20" s="1"/>
  <c r="R2249" i="20" a="1"/>
  <c r="R2249" i="20" s="1"/>
  <c r="S2249" i="20"/>
  <c r="Q2250" i="20" a="1"/>
  <c r="Q2250" i="20" s="1"/>
  <c r="R2250" i="20" a="1"/>
  <c r="R2250" i="20" s="1"/>
  <c r="S2250" i="20"/>
  <c r="Q2251" i="20" a="1"/>
  <c r="Q2251" i="20" s="1"/>
  <c r="R2251" i="20" a="1"/>
  <c r="R2251" i="20" s="1"/>
  <c r="S2251" i="20"/>
  <c r="R2252" i="20" a="1"/>
  <c r="R2252" i="20" s="1"/>
  <c r="S2252" i="20"/>
  <c r="Q2252" i="20" a="1"/>
  <c r="Q2252" i="20" s="1"/>
  <c r="Q2253" i="20" a="1"/>
  <c r="Q2253" i="20" s="1"/>
  <c r="R2253" i="20" a="1"/>
  <c r="R2253" i="20" s="1"/>
  <c r="S2253" i="20"/>
  <c r="Q2254" i="20" a="1"/>
  <c r="Q2254" i="20" s="1"/>
  <c r="R2254" i="20" a="1"/>
  <c r="R2254" i="20" s="1"/>
  <c r="S2254" i="20"/>
  <c r="Q2255" i="20" a="1"/>
  <c r="Q2255" i="20" s="1"/>
  <c r="R2255" i="20" a="1"/>
  <c r="R2255" i="20" s="1"/>
  <c r="S2255" i="20"/>
  <c r="Q2256" i="20" a="1"/>
  <c r="Q2256" i="20" s="1"/>
  <c r="R2256" i="20" a="1"/>
  <c r="R2256" i="20" s="1"/>
  <c r="S2256" i="20"/>
  <c r="Q2257" i="20" a="1"/>
  <c r="Q2257" i="20" s="1"/>
  <c r="R2257" i="20" a="1"/>
  <c r="R2257" i="20" s="1"/>
  <c r="S2257" i="20"/>
  <c r="Q2258" i="20" a="1"/>
  <c r="Q2258" i="20" s="1"/>
  <c r="R2258" i="20" a="1"/>
  <c r="R2258" i="20" s="1"/>
  <c r="S2258" i="20"/>
  <c r="S2259" i="20"/>
  <c r="Q2259" i="20" a="1"/>
  <c r="Q2259" i="20" s="1"/>
  <c r="R2259" i="20" a="1"/>
  <c r="R2259" i="20" s="1"/>
  <c r="Q2260" i="20" a="1"/>
  <c r="Q2260" i="20" s="1"/>
  <c r="R2260" i="20" a="1"/>
  <c r="R2260" i="20" s="1"/>
  <c r="S2260" i="20"/>
  <c r="Q2261" i="20" a="1"/>
  <c r="Q2261" i="20" s="1"/>
  <c r="R2261" i="20" a="1"/>
  <c r="R2261" i="20" s="1"/>
  <c r="S2261" i="20"/>
  <c r="Q2262" i="20" a="1"/>
  <c r="Q2262" i="20" s="1"/>
  <c r="R2262" i="20" a="1"/>
  <c r="R2262" i="20" s="1"/>
  <c r="S2262" i="20"/>
  <c r="Q2263" i="20" a="1"/>
  <c r="Q2263" i="20" s="1"/>
  <c r="R2263" i="20" a="1"/>
  <c r="R2263" i="20" s="1"/>
  <c r="S2263" i="20"/>
  <c r="Q2264" i="20" a="1"/>
  <c r="Q2264" i="20" s="1"/>
  <c r="R2264" i="20" a="1"/>
  <c r="R2264" i="20" s="1"/>
  <c r="S2264" i="20"/>
  <c r="Q2265" i="20" a="1"/>
  <c r="Q2265" i="20" s="1"/>
  <c r="R2265" i="20" a="1"/>
  <c r="R2265" i="20" s="1"/>
  <c r="S2265" i="20"/>
  <c r="Q2266" i="20" a="1"/>
  <c r="Q2266" i="20" s="1"/>
  <c r="R2266" i="20" a="1"/>
  <c r="R2266" i="20" s="1"/>
  <c r="S2266" i="20"/>
  <c r="R2267" i="20" a="1"/>
  <c r="R2267" i="20" s="1"/>
  <c r="S2267" i="20"/>
  <c r="Q2267" i="20" a="1"/>
  <c r="Q2267" i="20" s="1"/>
  <c r="Q2268" i="20" a="1"/>
  <c r="Q2268" i="20" s="1"/>
  <c r="R2268" i="20" a="1"/>
  <c r="R2268" i="20" s="1"/>
  <c r="S2268" i="20"/>
  <c r="Q2269" i="20" a="1"/>
  <c r="Q2269" i="20" s="1"/>
  <c r="R2269" i="20" a="1"/>
  <c r="R2269" i="20" s="1"/>
  <c r="S2269" i="20"/>
  <c r="Q2270" i="20" a="1"/>
  <c r="Q2270" i="20" s="1"/>
  <c r="R2270" i="20" a="1"/>
  <c r="R2270" i="20" s="1"/>
  <c r="S2270" i="20"/>
  <c r="S2271" i="20"/>
  <c r="Q2271" i="20" a="1"/>
  <c r="Q2271" i="20" s="1"/>
  <c r="R2271" i="20" a="1"/>
  <c r="R2271" i="20" s="1"/>
  <c r="Q2272" i="20" a="1"/>
  <c r="Q2272" i="20" s="1"/>
  <c r="R2272" i="20" a="1"/>
  <c r="R2272" i="20" s="1"/>
  <c r="S2272" i="20"/>
  <c r="Q2273" i="20" a="1"/>
  <c r="Q2273" i="20" s="1"/>
  <c r="R2273" i="20" a="1"/>
  <c r="R2273" i="20" s="1"/>
  <c r="S2273" i="20"/>
  <c r="Q2274" i="20" a="1"/>
  <c r="Q2274" i="20" s="1"/>
  <c r="R2274" i="20" a="1"/>
  <c r="R2274" i="20" s="1"/>
  <c r="S2274" i="20"/>
  <c r="Q2275" i="20" a="1"/>
  <c r="Q2275" i="20" s="1"/>
  <c r="R2275" i="20" a="1"/>
  <c r="R2275" i="20" s="1"/>
  <c r="S2275" i="20"/>
  <c r="Q2276" i="20" a="1"/>
  <c r="Q2276" i="20" s="1"/>
  <c r="R2276" i="20" a="1"/>
  <c r="R2276" i="20" s="1"/>
  <c r="S2276" i="20"/>
  <c r="Q2277" i="20" a="1"/>
  <c r="Q2277" i="20" s="1"/>
  <c r="R2277" i="20" a="1"/>
  <c r="R2277" i="20" s="1"/>
  <c r="S2277" i="20"/>
  <c r="Q2278" i="20" a="1"/>
  <c r="Q2278" i="20" s="1"/>
  <c r="R2278" i="20" a="1"/>
  <c r="R2278" i="20" s="1"/>
  <c r="S2278" i="20"/>
  <c r="Q2279" i="20" a="1"/>
  <c r="Q2279" i="20" s="1"/>
  <c r="R2279" i="20" a="1"/>
  <c r="R2279" i="20" s="1"/>
  <c r="S2279" i="20"/>
  <c r="R2280" i="20" a="1"/>
  <c r="R2280" i="20" s="1"/>
  <c r="S2280" i="20"/>
  <c r="Q2280" i="20" a="1"/>
  <c r="Q2280" i="20" s="1"/>
  <c r="Q2281" i="20" a="1"/>
  <c r="Q2281" i="20" s="1"/>
  <c r="R2281" i="20" a="1"/>
  <c r="R2281" i="20" s="1"/>
  <c r="S2281" i="20"/>
  <c r="Q2282" i="20" a="1"/>
  <c r="Q2282" i="20" s="1"/>
  <c r="R2282" i="20" a="1"/>
  <c r="R2282" i="20" s="1"/>
  <c r="S2282" i="20"/>
  <c r="Q2283" i="20" a="1"/>
  <c r="Q2283" i="20" s="1"/>
  <c r="R2283" i="20" a="1"/>
  <c r="R2283" i="20" s="1"/>
  <c r="S2283" i="20"/>
  <c r="Q2284" i="20" a="1"/>
  <c r="Q2284" i="20" s="1"/>
  <c r="R2284" i="20" a="1"/>
  <c r="R2284" i="20" s="1"/>
  <c r="S2284" i="20"/>
  <c r="R2285" i="20" a="1"/>
  <c r="R2285" i="20" s="1"/>
  <c r="S2285" i="20"/>
  <c r="Q2285" i="20" a="1"/>
  <c r="Q2285" i="20" s="1"/>
  <c r="Q2286" i="20" a="1"/>
  <c r="Q2286" i="20" s="1"/>
  <c r="R2286" i="20" a="1"/>
  <c r="R2286" i="20" s="1"/>
  <c r="S2286" i="20"/>
  <c r="Q2287" i="20" a="1"/>
  <c r="Q2287" i="20" s="1"/>
  <c r="R2287" i="20" a="1"/>
  <c r="R2287" i="20" s="1"/>
  <c r="S2287" i="20"/>
  <c r="Q2288" i="20" a="1"/>
  <c r="Q2288" i="20" s="1"/>
  <c r="R2288" i="20" a="1"/>
  <c r="R2288" i="20" s="1"/>
  <c r="S2288" i="20"/>
  <c r="Q2289" i="20" a="1"/>
  <c r="Q2289" i="20" s="1"/>
  <c r="R2289" i="20" a="1"/>
  <c r="R2289" i="20" s="1"/>
  <c r="S2289" i="20"/>
  <c r="Q2290" i="20" a="1"/>
  <c r="Q2290" i="20" s="1"/>
  <c r="R2290" i="20" a="1"/>
  <c r="R2290" i="20" s="1"/>
  <c r="S2290" i="20"/>
  <c r="Q2291" i="20" a="1"/>
  <c r="Q2291" i="20" s="1"/>
  <c r="R2291" i="20" a="1"/>
  <c r="R2291" i="20" s="1"/>
  <c r="S2291" i="20"/>
  <c r="Q2292" i="20" a="1"/>
  <c r="Q2292" i="20" s="1"/>
  <c r="R2292" i="20" a="1"/>
  <c r="R2292" i="20" s="1"/>
  <c r="S2292" i="20"/>
  <c r="Q2293" i="20" a="1"/>
  <c r="Q2293" i="20" s="1"/>
  <c r="R2293" i="20" a="1"/>
  <c r="R2293" i="20" s="1"/>
  <c r="S2293" i="20"/>
  <c r="R2294" i="20" a="1"/>
  <c r="R2294" i="20" s="1"/>
  <c r="S2294" i="20"/>
  <c r="Q2294" i="20" a="1"/>
  <c r="Q2294" i="20" s="1"/>
  <c r="Q2295" i="20" a="1"/>
  <c r="Q2295" i="20" s="1"/>
  <c r="R2295" i="20" a="1"/>
  <c r="R2295" i="20" s="1"/>
  <c r="S2295" i="20"/>
  <c r="Q2296" i="20" a="1"/>
  <c r="Q2296" i="20" s="1"/>
  <c r="R2296" i="20" a="1"/>
  <c r="R2296" i="20" s="1"/>
  <c r="S2296" i="20"/>
  <c r="Q2297" i="20" a="1"/>
  <c r="Q2297" i="20" s="1"/>
  <c r="R2297" i="20" a="1"/>
  <c r="R2297" i="20" s="1"/>
  <c r="S2297" i="20"/>
  <c r="Q2298" i="20" a="1"/>
  <c r="Q2298" i="20" s="1"/>
  <c r="R2298" i="20" a="1"/>
  <c r="R2298" i="20" s="1"/>
  <c r="S2298" i="20"/>
  <c r="Q2299" i="20" a="1"/>
  <c r="Q2299" i="20" s="1"/>
  <c r="R2299" i="20" a="1"/>
  <c r="R2299" i="20" s="1"/>
  <c r="S2299" i="20"/>
  <c r="Q2300" i="20" a="1"/>
  <c r="Q2300" i="20" s="1"/>
  <c r="R2300" i="20" a="1"/>
  <c r="R2300" i="20" s="1"/>
  <c r="S2300" i="20"/>
  <c r="Q2301" i="20" a="1"/>
  <c r="Q2301" i="20" s="1"/>
  <c r="R2301" i="20" a="1"/>
  <c r="R2301" i="20" s="1"/>
  <c r="S2301" i="20"/>
  <c r="Q2302" i="20" a="1"/>
  <c r="Q2302" i="20" s="1"/>
  <c r="R2302" i="20" a="1"/>
  <c r="R2302" i="20" s="1"/>
  <c r="S2302" i="20"/>
  <c r="Q2303" i="20" a="1"/>
  <c r="Q2303" i="20" s="1"/>
  <c r="R2303" i="20" a="1"/>
  <c r="R2303" i="20" s="1"/>
  <c r="S2303" i="20"/>
  <c r="R2304" i="20" a="1"/>
  <c r="R2304" i="20" s="1"/>
  <c r="S2304" i="20"/>
  <c r="Q2304" i="20" a="1"/>
  <c r="Q2304" i="20" s="1"/>
  <c r="Q2305" i="20" a="1"/>
  <c r="Q2305" i="20" s="1"/>
  <c r="R2305" i="20" a="1"/>
  <c r="R2305" i="20" s="1"/>
  <c r="S2305" i="20"/>
  <c r="Q2306" i="20" a="1"/>
  <c r="Q2306" i="20" s="1"/>
  <c r="R2306" i="20" a="1"/>
  <c r="R2306" i="20" s="1"/>
  <c r="S2306" i="20"/>
  <c r="Q2307" i="20" a="1"/>
  <c r="Q2307" i="20" s="1"/>
  <c r="R2307" i="20" a="1"/>
  <c r="R2307" i="20" s="1"/>
  <c r="S2307" i="20"/>
  <c r="S2308" i="20"/>
  <c r="Q2308" i="20" a="1"/>
  <c r="Q2308" i="20" s="1"/>
  <c r="R2308" i="20" a="1"/>
  <c r="R2308" i="20" s="1"/>
  <c r="Q2309" i="20" a="1"/>
  <c r="Q2309" i="20" s="1"/>
  <c r="R2309" i="20" a="1"/>
  <c r="R2309" i="20" s="1"/>
  <c r="S2309" i="20"/>
  <c r="Q2310" i="20" a="1"/>
  <c r="Q2310" i="20" s="1"/>
  <c r="R2310" i="20" a="1"/>
  <c r="R2310" i="20" s="1"/>
  <c r="S2310" i="20"/>
  <c r="Q2311" i="20" a="1"/>
  <c r="Q2311" i="20" s="1"/>
  <c r="R2311" i="20" a="1"/>
  <c r="R2311" i="20" s="1"/>
  <c r="S2311" i="20"/>
  <c r="Q2312" i="20" a="1"/>
  <c r="Q2312" i="20" s="1"/>
  <c r="R2312" i="20" a="1"/>
  <c r="R2312" i="20" s="1"/>
  <c r="S2312" i="20"/>
  <c r="Q2313" i="20" a="1"/>
  <c r="Q2313" i="20" s="1"/>
  <c r="R2313" i="20" a="1"/>
  <c r="R2313" i="20" s="1"/>
  <c r="S2313" i="20"/>
  <c r="Q2314" i="20" a="1"/>
  <c r="Q2314" i="20" s="1"/>
  <c r="R2314" i="20" a="1"/>
  <c r="R2314" i="20" s="1"/>
  <c r="S2314" i="20"/>
  <c r="R2315" i="20" a="1"/>
  <c r="R2315" i="20" s="1"/>
  <c r="S2315" i="20"/>
  <c r="Q2315" i="20" a="1"/>
  <c r="Q2315" i="20" s="1"/>
  <c r="Q2316" i="20" a="1"/>
  <c r="Q2316" i="20" s="1"/>
  <c r="R2316" i="20" a="1"/>
  <c r="R2316" i="20" s="1"/>
  <c r="S2316" i="20"/>
  <c r="Q2317" i="20" a="1"/>
  <c r="Q2317" i="20" s="1"/>
  <c r="R2317" i="20" a="1"/>
  <c r="R2317" i="20" s="1"/>
  <c r="S2317" i="20"/>
  <c r="Q2318" i="20" a="1"/>
  <c r="Q2318" i="20" s="1"/>
  <c r="R2318" i="20" a="1"/>
  <c r="R2318" i="20" s="1"/>
  <c r="S2318" i="20"/>
  <c r="Q2319" i="20" a="1"/>
  <c r="Q2319" i="20" s="1"/>
  <c r="R2319" i="20" a="1"/>
  <c r="R2319" i="20" s="1"/>
  <c r="S2319" i="20"/>
  <c r="Q2320" i="20" a="1"/>
  <c r="Q2320" i="20" s="1"/>
  <c r="R2320" i="20" a="1"/>
  <c r="R2320" i="20" s="1"/>
  <c r="S2320" i="20"/>
  <c r="Q2321" i="20" a="1"/>
  <c r="Q2321" i="20" s="1"/>
  <c r="R2321" i="20" a="1"/>
  <c r="R2321" i="20" s="1"/>
  <c r="S2321" i="20"/>
  <c r="S2322" i="20"/>
  <c r="Q2322" i="20" a="1"/>
  <c r="Q2322" i="20" s="1"/>
  <c r="R2322" i="20" a="1"/>
  <c r="R2322" i="20" s="1"/>
  <c r="Q2323" i="20" a="1"/>
  <c r="Q2323" i="20" s="1"/>
  <c r="R2323" i="20" a="1"/>
  <c r="R2323" i="20" s="1"/>
  <c r="S2323" i="20"/>
  <c r="Q2324" i="20" a="1"/>
  <c r="Q2324" i="20" s="1"/>
  <c r="R2324" i="20" a="1"/>
  <c r="R2324" i="20" s="1"/>
  <c r="S2324" i="20"/>
  <c r="Q2325" i="20" a="1"/>
  <c r="Q2325" i="20" s="1"/>
  <c r="R2325" i="20" a="1"/>
  <c r="R2325" i="20" s="1"/>
  <c r="S2325" i="20"/>
  <c r="R2326" i="20" a="1"/>
  <c r="R2326" i="20" s="1"/>
  <c r="S2326" i="20"/>
  <c r="Q2326" i="20" a="1"/>
  <c r="Q2326" i="20" s="1"/>
  <c r="Q2327" i="20" a="1"/>
  <c r="Q2327" i="20" s="1"/>
  <c r="R2327" i="20" a="1"/>
  <c r="R2327" i="20" s="1"/>
  <c r="S2327" i="20"/>
  <c r="Q2328" i="20" a="1"/>
  <c r="Q2328" i="20" s="1"/>
  <c r="R2328" i="20" a="1"/>
  <c r="R2328" i="20" s="1"/>
  <c r="S2328" i="20"/>
  <c r="Q2329" i="20" a="1"/>
  <c r="Q2329" i="20" s="1"/>
  <c r="R2329" i="20" a="1"/>
  <c r="R2329" i="20" s="1"/>
  <c r="S2329" i="20"/>
  <c r="Q2330" i="20" a="1"/>
  <c r="Q2330" i="20" s="1"/>
  <c r="R2330" i="20" a="1"/>
  <c r="R2330" i="20" s="1"/>
  <c r="S2330" i="20"/>
  <c r="Q2331" i="20" a="1"/>
  <c r="Q2331" i="20" s="1"/>
  <c r="R2331" i="20" a="1"/>
  <c r="R2331" i="20" s="1"/>
  <c r="S2331" i="20"/>
  <c r="Q2332" i="20" a="1"/>
  <c r="Q2332" i="20" s="1"/>
  <c r="R2332" i="20" a="1"/>
  <c r="R2332" i="20" s="1"/>
  <c r="S2332" i="20"/>
  <c r="Q2333" i="20" a="1"/>
  <c r="Q2333" i="20" s="1"/>
  <c r="R2333" i="20" a="1"/>
  <c r="R2333" i="20" s="1"/>
  <c r="S2333" i="20"/>
  <c r="Q2334" i="20" a="1"/>
  <c r="Q2334" i="20" s="1"/>
  <c r="R2334" i="20" a="1"/>
  <c r="R2334" i="20" s="1"/>
  <c r="S2334" i="20"/>
  <c r="S2335" i="20"/>
  <c r="Q2335" i="20" a="1"/>
  <c r="Q2335" i="20" s="1"/>
  <c r="R2335" i="20" a="1"/>
  <c r="R2335" i="20" s="1"/>
  <c r="Q2336" i="20" a="1"/>
  <c r="Q2336" i="20" s="1"/>
  <c r="R2336" i="20" a="1"/>
  <c r="R2336" i="20" s="1"/>
  <c r="S2336" i="20"/>
  <c r="Q2337" i="20" a="1"/>
  <c r="Q2337" i="20" s="1"/>
  <c r="R2337" i="20" a="1"/>
  <c r="R2337" i="20" s="1"/>
  <c r="S2337" i="20"/>
  <c r="Q2338" i="20" a="1"/>
  <c r="Q2338" i="20" s="1"/>
  <c r="R2338" i="20" a="1"/>
  <c r="R2338" i="20" s="1"/>
  <c r="S2338" i="20"/>
  <c r="R2339" i="20" a="1"/>
  <c r="R2339" i="20" s="1"/>
  <c r="S2339" i="20"/>
  <c r="Q2339" i="20" a="1"/>
  <c r="Q2339" i="20" s="1"/>
  <c r="Q2340" i="20" a="1"/>
  <c r="Q2340" i="20" s="1"/>
  <c r="R2340" i="20" a="1"/>
  <c r="R2340" i="20" s="1"/>
  <c r="S2340" i="20"/>
  <c r="Q2341" i="20" a="1"/>
  <c r="Q2341" i="20" s="1"/>
  <c r="R2341" i="20" a="1"/>
  <c r="R2341" i="20" s="1"/>
  <c r="S2341" i="20"/>
  <c r="Q2342" i="20" a="1"/>
  <c r="Q2342" i="20" s="1"/>
  <c r="R2342" i="20" a="1"/>
  <c r="R2342" i="20" s="1"/>
  <c r="S2342" i="20"/>
  <c r="Q2343" i="20" a="1"/>
  <c r="Q2343" i="20" s="1"/>
  <c r="R2343" i="20" a="1"/>
  <c r="R2343" i="20" s="1"/>
  <c r="S2343" i="20"/>
  <c r="Q2344" i="20" a="1"/>
  <c r="Q2344" i="20" s="1"/>
  <c r="R2344" i="20" a="1"/>
  <c r="R2344" i="20" s="1"/>
  <c r="S2344" i="20"/>
  <c r="Q2345" i="20" a="1"/>
  <c r="Q2345" i="20" s="1"/>
  <c r="R2345" i="20" a="1"/>
  <c r="R2345" i="20" s="1"/>
  <c r="S2345" i="20"/>
  <c r="S2346" i="20"/>
  <c r="Q2346" i="20" a="1"/>
  <c r="Q2346" i="20" s="1"/>
  <c r="R2346" i="20" a="1"/>
  <c r="R2346" i="20" s="1"/>
  <c r="Q2347" i="20" a="1"/>
  <c r="Q2347" i="20" s="1"/>
  <c r="R2347" i="20" a="1"/>
  <c r="R2347" i="20" s="1"/>
  <c r="S2347" i="20"/>
  <c r="Q2348" i="20" a="1"/>
  <c r="Q2348" i="20" s="1"/>
  <c r="R2348" i="20" a="1"/>
  <c r="R2348" i="20" s="1"/>
  <c r="S2348" i="20"/>
  <c r="Q2349" i="20" a="1"/>
  <c r="Q2349" i="20" s="1"/>
  <c r="R2349" i="20" a="1"/>
  <c r="R2349" i="20" s="1"/>
  <c r="S2349" i="20"/>
  <c r="Q2350" i="20" a="1"/>
  <c r="Q2350" i="20" s="1"/>
  <c r="R2350" i="20" a="1"/>
  <c r="R2350" i="20" s="1"/>
  <c r="S2350" i="20"/>
  <c r="Q2351" i="20" a="1"/>
  <c r="Q2351" i="20" s="1"/>
  <c r="R2351" i="20" a="1"/>
  <c r="R2351" i="20" s="1"/>
  <c r="S2351" i="20"/>
  <c r="R2352" i="20" a="1"/>
  <c r="R2352" i="20" s="1"/>
  <c r="S2352" i="20"/>
  <c r="Q2352" i="20" a="1"/>
  <c r="Q2352" i="20" s="1"/>
  <c r="Q2353" i="20" a="1"/>
  <c r="Q2353" i="20" s="1"/>
  <c r="R2353" i="20" a="1"/>
  <c r="R2353" i="20" s="1"/>
  <c r="S2353" i="20"/>
  <c r="Q2354" i="20" a="1"/>
  <c r="Q2354" i="20" s="1"/>
  <c r="R2354" i="20" a="1"/>
  <c r="R2354" i="20" s="1"/>
  <c r="S2354" i="20"/>
  <c r="Q2355" i="20" a="1"/>
  <c r="Q2355" i="20" s="1"/>
  <c r="R2355" i="20" a="1"/>
  <c r="R2355" i="20" s="1"/>
  <c r="S2355" i="20"/>
  <c r="Q2356" i="20" a="1"/>
  <c r="Q2356" i="20" s="1"/>
  <c r="R2356" i="20" a="1"/>
  <c r="R2356" i="20" s="1"/>
  <c r="S2356" i="20"/>
  <c r="Q2357" i="20" a="1"/>
  <c r="Q2357" i="20" s="1"/>
  <c r="R2357" i="20" a="1"/>
  <c r="R2357" i="20" s="1"/>
  <c r="S2357" i="20"/>
  <c r="Q2358" i="20" a="1"/>
  <c r="Q2358" i="20" s="1"/>
  <c r="R2358" i="20" a="1"/>
  <c r="R2358" i="20" s="1"/>
  <c r="S2358" i="20"/>
  <c r="S2359" i="20"/>
  <c r="Q2359" i="20" a="1"/>
  <c r="Q2359" i="20" s="1"/>
  <c r="R2359" i="20" a="1"/>
  <c r="R2359" i="20" s="1"/>
  <c r="Q2360" i="20" a="1"/>
  <c r="Q2360" i="20" s="1"/>
  <c r="R2360" i="20" a="1"/>
  <c r="R2360" i="20" s="1"/>
  <c r="S2360" i="20"/>
  <c r="Q2361" i="20" a="1"/>
  <c r="Q2361" i="20" s="1"/>
  <c r="R2361" i="20" a="1"/>
  <c r="R2361" i="20" s="1"/>
  <c r="S2361" i="20"/>
  <c r="Q2362" i="20" a="1"/>
  <c r="Q2362" i="20" s="1"/>
  <c r="R2362" i="20" a="1"/>
  <c r="R2362" i="20" s="1"/>
  <c r="S2362" i="20"/>
  <c r="R2363" i="20" a="1"/>
  <c r="R2363" i="20" s="1"/>
  <c r="S2363" i="20"/>
  <c r="Q2363" i="20" a="1"/>
  <c r="Q2363" i="20" s="1"/>
  <c r="Q2364" i="20" a="1"/>
  <c r="Q2364" i="20" s="1"/>
  <c r="R2364" i="20" a="1"/>
  <c r="R2364" i="20" s="1"/>
  <c r="S2364" i="20"/>
  <c r="Q2365" i="20" a="1"/>
  <c r="Q2365" i="20" s="1"/>
  <c r="R2365" i="20" a="1"/>
  <c r="R2365" i="20" s="1"/>
  <c r="S2365" i="20"/>
  <c r="Q2366" i="20" a="1"/>
  <c r="Q2366" i="20" s="1"/>
  <c r="R2366" i="20" a="1"/>
  <c r="R2366" i="20" s="1"/>
  <c r="S2366" i="20"/>
  <c r="Q2367" i="20" a="1"/>
  <c r="Q2367" i="20" s="1"/>
  <c r="R2367" i="20" a="1"/>
  <c r="R2367" i="20" s="1"/>
  <c r="S2367" i="20"/>
  <c r="Q2368" i="20" a="1"/>
  <c r="Q2368" i="20" s="1"/>
  <c r="R2368" i="20" a="1"/>
  <c r="R2368" i="20" s="1"/>
  <c r="S2368" i="20"/>
  <c r="Q2369" i="20" a="1"/>
  <c r="Q2369" i="20" s="1"/>
  <c r="R2369" i="20" a="1"/>
  <c r="R2369" i="20" s="1"/>
  <c r="S2369" i="20"/>
  <c r="Q2370" i="20" a="1"/>
  <c r="Q2370" i="20" s="1"/>
  <c r="R2370" i="20" a="1"/>
  <c r="R2370" i="20" s="1"/>
  <c r="S2370" i="20"/>
  <c r="Q2371" i="20" a="1"/>
  <c r="Q2371" i="20" s="1"/>
  <c r="R2371" i="20" a="1"/>
  <c r="R2371" i="20" s="1"/>
  <c r="S2371" i="20"/>
  <c r="S2372" i="20"/>
  <c r="Q2372" i="20" a="1"/>
  <c r="Q2372" i="20" s="1"/>
  <c r="R2372" i="20" a="1"/>
  <c r="R2372" i="20" s="1"/>
  <c r="Q2373" i="20" a="1"/>
  <c r="Q2373" i="20" s="1"/>
  <c r="R2373" i="20" a="1"/>
  <c r="R2373" i="20" s="1"/>
  <c r="S2373" i="20"/>
  <c r="Q2374" i="20" a="1"/>
  <c r="Q2374" i="20" s="1"/>
  <c r="R2374" i="20" a="1"/>
  <c r="R2374" i="20" s="1"/>
  <c r="S2374" i="20"/>
  <c r="R2375" i="20" a="1"/>
  <c r="R2375" i="20" s="1"/>
  <c r="S2375" i="20"/>
  <c r="Q2375" i="20" a="1"/>
  <c r="Q2375" i="20" s="1"/>
  <c r="Q2376" i="20" a="1"/>
  <c r="Q2376" i="20" s="1"/>
  <c r="R2376" i="20" a="1"/>
  <c r="R2376" i="20" s="1"/>
  <c r="S2376" i="20"/>
  <c r="Q2377" i="20" a="1"/>
  <c r="Q2377" i="20" s="1"/>
  <c r="R2377" i="20" a="1"/>
  <c r="R2377" i="20" s="1"/>
  <c r="S2377" i="20"/>
  <c r="Q2378" i="20" a="1"/>
  <c r="Q2378" i="20" s="1"/>
  <c r="R2378" i="20" a="1"/>
  <c r="R2378" i="20" s="1"/>
  <c r="S2378" i="20"/>
  <c r="Q2379" i="20" a="1"/>
  <c r="Q2379" i="20" s="1"/>
  <c r="R2379" i="20" a="1"/>
  <c r="R2379" i="20" s="1"/>
  <c r="S2379" i="20"/>
  <c r="Q2380" i="20" a="1"/>
  <c r="Q2380" i="20" s="1"/>
  <c r="R2380" i="20" a="1"/>
  <c r="R2380" i="20" s="1"/>
  <c r="S2380" i="20"/>
  <c r="Q2381" i="20" a="1"/>
  <c r="Q2381" i="20" s="1"/>
  <c r="R2381" i="20" a="1"/>
  <c r="R2381" i="20" s="1"/>
  <c r="S2381" i="20"/>
  <c r="Q2382" i="20" a="1"/>
  <c r="Q2382" i="20" s="1"/>
  <c r="R2382" i="20" a="1"/>
  <c r="R2382" i="20" s="1"/>
  <c r="S2382" i="20"/>
  <c r="Q2383" i="20" a="1"/>
  <c r="Q2383" i="20" s="1"/>
  <c r="R2383" i="20" a="1"/>
  <c r="R2383" i="20" s="1"/>
  <c r="S2383" i="20"/>
  <c r="Q2384" i="20" a="1"/>
  <c r="Q2384" i="20" s="1"/>
  <c r="R2384" i="20" a="1"/>
  <c r="R2384" i="20" s="1"/>
  <c r="S2384" i="20"/>
  <c r="S2385" i="20"/>
  <c r="Q2385" i="20" a="1"/>
  <c r="Q2385" i="20" s="1"/>
  <c r="R2385" i="20" a="1"/>
  <c r="R2385" i="20" s="1"/>
  <c r="Q2386" i="20" a="1"/>
  <c r="Q2386" i="20" s="1"/>
  <c r="R2386" i="20" a="1"/>
  <c r="R2386" i="20" s="1"/>
  <c r="S2386" i="20"/>
  <c r="R2387" i="20" a="1"/>
  <c r="R2387" i="20" s="1"/>
  <c r="S2387" i="20"/>
  <c r="Q2387" i="20" a="1"/>
  <c r="Q2387" i="20" s="1"/>
  <c r="Q2388" i="20" a="1"/>
  <c r="Q2388" i="20" s="1"/>
  <c r="R2388" i="20" a="1"/>
  <c r="R2388" i="20" s="1"/>
  <c r="S2388" i="20"/>
  <c r="Q2389" i="20" a="1"/>
  <c r="Q2389" i="20" s="1"/>
  <c r="R2389" i="20" a="1"/>
  <c r="R2389" i="20" s="1"/>
  <c r="S2389" i="20"/>
  <c r="Q2390" i="20" a="1"/>
  <c r="Q2390" i="20" s="1"/>
  <c r="R2390" i="20" a="1"/>
  <c r="R2390" i="20" s="1"/>
  <c r="S2390" i="20"/>
  <c r="Q2391" i="20" a="1"/>
  <c r="Q2391" i="20" s="1"/>
  <c r="R2391" i="20" a="1"/>
  <c r="R2391" i="20" s="1"/>
  <c r="S2391" i="20"/>
  <c r="Q2392" i="20" a="1"/>
  <c r="Q2392" i="20" s="1"/>
  <c r="R2392" i="20" a="1"/>
  <c r="R2392" i="20" s="1"/>
  <c r="S2392" i="20"/>
  <c r="Q2393" i="20" a="1"/>
  <c r="Q2393" i="20" s="1"/>
  <c r="R2393" i="20" a="1"/>
  <c r="R2393" i="20" s="1"/>
  <c r="S2393" i="20"/>
  <c r="Q2394" i="20" a="1"/>
  <c r="Q2394" i="20" s="1"/>
  <c r="R2394" i="20" a="1"/>
  <c r="R2394" i="20" s="1"/>
  <c r="S2394" i="20"/>
  <c r="Q2395" i="20" a="1"/>
  <c r="Q2395" i="20" s="1"/>
  <c r="R2395" i="20" a="1"/>
  <c r="R2395" i="20" s="1"/>
  <c r="S2395" i="20"/>
  <c r="Q2396" i="20" a="1"/>
  <c r="Q2396" i="20" s="1"/>
  <c r="R2396" i="20" a="1"/>
  <c r="R2396" i="20" s="1"/>
  <c r="S2396" i="20"/>
  <c r="Q2397" i="20" a="1"/>
  <c r="Q2397" i="20" s="1"/>
  <c r="R2397" i="20" a="1"/>
  <c r="R2397" i="20" s="1"/>
  <c r="S2397" i="20"/>
  <c r="S2398" i="20"/>
  <c r="Q2398" i="20" a="1"/>
  <c r="Q2398" i="20" s="1"/>
  <c r="R2398" i="20" a="1"/>
  <c r="R2398" i="20" s="1"/>
  <c r="R2399" i="20" a="1"/>
  <c r="R2399" i="20" s="1"/>
  <c r="S2399" i="20"/>
  <c r="Q2399" i="20" a="1"/>
  <c r="Q2399" i="20" s="1"/>
  <c r="Q2400" i="20" a="1"/>
  <c r="Q2400" i="20" s="1"/>
  <c r="R2400" i="20" a="1"/>
  <c r="R2400" i="20" s="1"/>
  <c r="S2400" i="20"/>
  <c r="Q2401" i="20" a="1"/>
  <c r="Q2401" i="20" s="1"/>
  <c r="R2401" i="20" a="1"/>
  <c r="R2401" i="20" s="1"/>
  <c r="S2401" i="20"/>
  <c r="Q2402" i="20" a="1"/>
  <c r="Q2402" i="20" s="1"/>
  <c r="R2402" i="20" a="1"/>
  <c r="R2402" i="20" s="1"/>
  <c r="S2402" i="20"/>
  <c r="Q2403" i="20" a="1"/>
  <c r="Q2403" i="20" s="1"/>
  <c r="R2403" i="20" a="1"/>
  <c r="R2403" i="20" s="1"/>
  <c r="S2403" i="20"/>
  <c r="Q2404" i="20" a="1"/>
  <c r="Q2404" i="20" s="1"/>
  <c r="R2404" i="20" a="1"/>
  <c r="R2404" i="20" s="1"/>
  <c r="S2404" i="20"/>
  <c r="Q2405" i="20" a="1"/>
  <c r="Q2405" i="20" s="1"/>
  <c r="R2405" i="20" a="1"/>
  <c r="R2405" i="20" s="1"/>
  <c r="S2405" i="20"/>
  <c r="Q2406" i="20" a="1"/>
  <c r="Q2406" i="20" s="1"/>
  <c r="R2406" i="20" a="1"/>
  <c r="R2406" i="20" s="1"/>
  <c r="S2406" i="20"/>
  <c r="Q2407" i="20" a="1"/>
  <c r="Q2407" i="20" s="1"/>
  <c r="R2407" i="20" a="1"/>
  <c r="R2407" i="20" s="1"/>
  <c r="S2407" i="20"/>
  <c r="Q2408" i="20" a="1"/>
  <c r="Q2408" i="20" s="1"/>
  <c r="R2408" i="20" a="1"/>
  <c r="R2408" i="20" s="1"/>
  <c r="S2408" i="20"/>
  <c r="Q2409" i="20" a="1"/>
  <c r="Q2409" i="20" s="1"/>
  <c r="R2409" i="20" a="1"/>
  <c r="R2409" i="20" s="1"/>
  <c r="S2409" i="20"/>
  <c r="Q2410" i="20" a="1"/>
  <c r="Q2410" i="20" s="1"/>
  <c r="R2410" i="20" a="1"/>
  <c r="R2410" i="20" s="1"/>
  <c r="S2410" i="20"/>
  <c r="R2411" i="20" a="1"/>
  <c r="R2411" i="20" s="1"/>
  <c r="S2411" i="20"/>
  <c r="Q2411" i="20" a="1"/>
  <c r="Q2411" i="20" s="1"/>
  <c r="Q2412" i="20" a="1"/>
  <c r="Q2412" i="20" s="1"/>
  <c r="R2412" i="20" a="1"/>
  <c r="R2412" i="20" s="1"/>
  <c r="S2412" i="20"/>
  <c r="S2413" i="20"/>
  <c r="Q2413" i="20" a="1"/>
  <c r="Q2413" i="20" s="1"/>
  <c r="R2413" i="20" a="1"/>
  <c r="R2413" i="20" s="1"/>
  <c r="Q2414" i="20" a="1"/>
  <c r="Q2414" i="20" s="1"/>
  <c r="R2414" i="20" a="1"/>
  <c r="R2414" i="20" s="1"/>
  <c r="S2414" i="20"/>
  <c r="Q2415" i="20" a="1"/>
  <c r="Q2415" i="20" s="1"/>
  <c r="R2415" i="20" a="1"/>
  <c r="R2415" i="20" s="1"/>
  <c r="S2415" i="20"/>
  <c r="Q2416" i="20" a="1"/>
  <c r="Q2416" i="20" s="1"/>
  <c r="R2416" i="20" a="1"/>
  <c r="R2416" i="20" s="1"/>
  <c r="S2416" i="20"/>
  <c r="Q2417" i="20" a="1"/>
  <c r="Q2417" i="20" s="1"/>
  <c r="R2417" i="20" a="1"/>
  <c r="R2417" i="20" s="1"/>
  <c r="S2417" i="20"/>
  <c r="Q2418" i="20" a="1"/>
  <c r="Q2418" i="20" s="1"/>
  <c r="R2418" i="20" a="1"/>
  <c r="R2418" i="20" s="1"/>
  <c r="S2418" i="20"/>
  <c r="Q2419" i="20" a="1"/>
  <c r="Q2419" i="20" s="1"/>
  <c r="R2419" i="20" a="1"/>
  <c r="R2419" i="20" s="1"/>
  <c r="S2419" i="20"/>
  <c r="Q2420" i="20" a="1"/>
  <c r="Q2420" i="20" s="1"/>
  <c r="R2420" i="20" a="1"/>
  <c r="R2420" i="20" s="1"/>
  <c r="S2420" i="20"/>
  <c r="Q2421" i="20" a="1"/>
  <c r="Q2421" i="20" s="1"/>
  <c r="R2421" i="20" a="1"/>
  <c r="R2421" i="20" s="1"/>
  <c r="S2421" i="20"/>
  <c r="Q2422" i="20" a="1"/>
  <c r="Q2422" i="20" s="1"/>
  <c r="R2422" i="20" a="1"/>
  <c r="R2422" i="20" s="1"/>
  <c r="S2422" i="20"/>
  <c r="Q2423" i="20" a="1"/>
  <c r="Q2423" i="20" s="1"/>
  <c r="R2423" i="20" a="1"/>
  <c r="R2423" i="20" s="1"/>
  <c r="S2423" i="20"/>
  <c r="S2424" i="20"/>
  <c r="Q2424" i="20" a="1"/>
  <c r="Q2424" i="20" s="1"/>
  <c r="R2424" i="20" a="1"/>
  <c r="R2424" i="20" s="1"/>
  <c r="Q2425" i="20" a="1"/>
  <c r="Q2425" i="20" s="1"/>
  <c r="R2425" i="20" a="1"/>
  <c r="R2425" i="20" s="1"/>
  <c r="S2425" i="20"/>
  <c r="Q2426" i="20" a="1"/>
  <c r="Q2426" i="20" s="1"/>
  <c r="R2426" i="20" a="1"/>
  <c r="R2426" i="20" s="1"/>
  <c r="S2426" i="20"/>
  <c r="Q2427" i="20" a="1"/>
  <c r="Q2427" i="20" s="1"/>
  <c r="R2427" i="20" a="1"/>
  <c r="R2427" i="20" s="1"/>
  <c r="S2427" i="20"/>
  <c r="Q2428" i="20" a="1"/>
  <c r="Q2428" i="20" s="1"/>
  <c r="R2428" i="20" a="1"/>
  <c r="R2428" i="20" s="1"/>
  <c r="S2428" i="20"/>
  <c r="Q2429" i="20" a="1"/>
  <c r="Q2429" i="20" s="1"/>
  <c r="R2429" i="20" a="1"/>
  <c r="R2429" i="20" s="1"/>
  <c r="S2429" i="20"/>
  <c r="Q2430" i="20" a="1"/>
  <c r="Q2430" i="20" s="1"/>
  <c r="R2430" i="20" a="1"/>
  <c r="R2430" i="20" s="1"/>
  <c r="S2430" i="20"/>
  <c r="Q2431" i="20" a="1"/>
  <c r="Q2431" i="20" s="1"/>
  <c r="R2431" i="20" a="1"/>
  <c r="R2431" i="20" s="1"/>
  <c r="S2431" i="20"/>
  <c r="R2432" i="20" a="1"/>
  <c r="R2432" i="20" s="1"/>
  <c r="S2432" i="20"/>
  <c r="Q2432" i="20" a="1"/>
  <c r="Q2432" i="20" s="1"/>
  <c r="Q2433" i="20" a="1"/>
  <c r="Q2433" i="20" s="1"/>
  <c r="R2433" i="20" a="1"/>
  <c r="R2433" i="20" s="1"/>
  <c r="S2433" i="20"/>
  <c r="Q2434" i="20" a="1"/>
  <c r="Q2434" i="20" s="1"/>
  <c r="R2434" i="20" a="1"/>
  <c r="R2434" i="20" s="1"/>
  <c r="S2434" i="20"/>
  <c r="Q2435" i="20" a="1"/>
  <c r="Q2435" i="20" s="1"/>
  <c r="R2435" i="20" a="1"/>
  <c r="R2435" i="20" s="1"/>
  <c r="S2435" i="20"/>
  <c r="S2436" i="20"/>
  <c r="Q2436" i="20" a="1"/>
  <c r="Q2436" i="20" s="1"/>
  <c r="R2436" i="20" a="1"/>
  <c r="R2436" i="20" s="1"/>
  <c r="Q2437" i="20" a="1"/>
  <c r="Q2437" i="20" s="1"/>
  <c r="R2437" i="20" a="1"/>
  <c r="R2437" i="20" s="1"/>
  <c r="S2437" i="20"/>
  <c r="Q2438" i="20" a="1"/>
  <c r="Q2438" i="20" s="1"/>
  <c r="R2438" i="20" a="1"/>
  <c r="R2438" i="20" s="1"/>
  <c r="S2438" i="20"/>
  <c r="Q2439" i="20" a="1"/>
  <c r="Q2439" i="20" s="1"/>
  <c r="R2439" i="20" a="1"/>
  <c r="R2439" i="20" s="1"/>
  <c r="S2439" i="20"/>
  <c r="Q2440" i="20" a="1"/>
  <c r="Q2440" i="20" s="1"/>
  <c r="R2440" i="20" a="1"/>
  <c r="R2440" i="20" s="1"/>
  <c r="S2440" i="20"/>
  <c r="R2441" i="20" a="1"/>
  <c r="R2441" i="20" s="1"/>
  <c r="S2441" i="20"/>
  <c r="Q2441" i="20" a="1"/>
  <c r="Q2441" i="20" s="1"/>
  <c r="Q2442" i="20" a="1"/>
  <c r="Q2442" i="20" s="1"/>
  <c r="R2442" i="20" a="1"/>
  <c r="R2442" i="20" s="1"/>
  <c r="S2442" i="20"/>
  <c r="Q2443" i="20" a="1"/>
  <c r="Q2443" i="20" s="1"/>
  <c r="R2443" i="20" a="1"/>
  <c r="R2443" i="20" s="1"/>
  <c r="S2443" i="20"/>
  <c r="Q2444" i="20" a="1"/>
  <c r="Q2444" i="20" s="1"/>
  <c r="R2444" i="20" a="1"/>
  <c r="R2444" i="20" s="1"/>
  <c r="S2444" i="20"/>
  <c r="Q2445" i="20" a="1"/>
  <c r="Q2445" i="20" s="1"/>
  <c r="R2445" i="20" a="1"/>
  <c r="R2445" i="20" s="1"/>
  <c r="S2445" i="20"/>
  <c r="Q2446" i="20" a="1"/>
  <c r="Q2446" i="20" s="1"/>
  <c r="R2446" i="20" a="1"/>
  <c r="R2446" i="20" s="1"/>
  <c r="S2446" i="20"/>
  <c r="Q2447" i="20" a="1"/>
  <c r="Q2447" i="20" s="1"/>
  <c r="R2447" i="20" a="1"/>
  <c r="R2447" i="20" s="1"/>
  <c r="S2447" i="20"/>
  <c r="Q2448" i="20" a="1"/>
  <c r="Q2448" i="20" s="1"/>
  <c r="R2448" i="20" a="1"/>
  <c r="R2448" i="20" s="1"/>
  <c r="S2448" i="20"/>
  <c r="Q2449" i="20" a="1"/>
  <c r="Q2449" i="20" s="1"/>
  <c r="R2449" i="20" a="1"/>
  <c r="R2449" i="20" s="1"/>
  <c r="S2449" i="20"/>
  <c r="S2450" i="20"/>
  <c r="Q2450" i="20" a="1"/>
  <c r="Q2450" i="20" s="1"/>
  <c r="R2450" i="20" a="1"/>
  <c r="R2450" i="20" s="1"/>
  <c r="Q2451" i="20" a="1"/>
  <c r="Q2451" i="20" s="1"/>
  <c r="R2451" i="20" a="1"/>
  <c r="R2451" i="20" s="1"/>
  <c r="S2451" i="20"/>
  <c r="Q2452" i="20" a="1"/>
  <c r="Q2452" i="20" s="1"/>
  <c r="R2452" i="20" a="1"/>
  <c r="R2452" i="20" s="1"/>
  <c r="S2452" i="20"/>
  <c r="Q2453" i="20" a="1"/>
  <c r="Q2453" i="20" s="1"/>
  <c r="R2453" i="20" a="1"/>
  <c r="R2453" i="20" s="1"/>
  <c r="S2453" i="20"/>
  <c r="R2454" i="20" a="1"/>
  <c r="R2454" i="20" s="1"/>
  <c r="S2454" i="20"/>
  <c r="Q2454" i="20" a="1"/>
  <c r="Q2454" i="20" s="1"/>
  <c r="Q2455" i="20" a="1"/>
  <c r="Q2455" i="20" s="1"/>
  <c r="R2455" i="20" a="1"/>
  <c r="R2455" i="20" s="1"/>
  <c r="S2455" i="20"/>
  <c r="Q2456" i="20" a="1"/>
  <c r="Q2456" i="20" s="1"/>
  <c r="R2456" i="20" a="1"/>
  <c r="R2456" i="20" s="1"/>
  <c r="S2456" i="20"/>
  <c r="Q2457" i="20" a="1"/>
  <c r="Q2457" i="20" s="1"/>
  <c r="R2457" i="20" a="1"/>
  <c r="R2457" i="20" s="1"/>
  <c r="S2457" i="20"/>
  <c r="Q2458" i="20" a="1"/>
  <c r="Q2458" i="20" s="1"/>
  <c r="R2458" i="20" a="1"/>
  <c r="R2458" i="20" s="1"/>
  <c r="S2458" i="20"/>
  <c r="Q2459" i="20" a="1"/>
  <c r="Q2459" i="20" s="1"/>
  <c r="R2459" i="20" a="1"/>
  <c r="R2459" i="20" s="1"/>
  <c r="S2459" i="20"/>
  <c r="Q2460" i="20" a="1"/>
  <c r="Q2460" i="20" s="1"/>
  <c r="R2460" i="20" a="1"/>
  <c r="R2460" i="20" s="1"/>
  <c r="S2460" i="20"/>
  <c r="Q2461" i="20" a="1"/>
  <c r="Q2461" i="20" s="1"/>
  <c r="R2461" i="20" a="1"/>
  <c r="R2461" i="20" s="1"/>
  <c r="S2461" i="20"/>
  <c r="S2462" i="20"/>
  <c r="Q2462" i="20" a="1"/>
  <c r="Q2462" i="20" s="1"/>
  <c r="R2462" i="20" a="1"/>
  <c r="R2462" i="20" s="1"/>
  <c r="Q2463" i="20" a="1"/>
  <c r="Q2463" i="20" s="1"/>
  <c r="R2463" i="20" a="1"/>
  <c r="R2463" i="20" s="1"/>
  <c r="S2463" i="20"/>
  <c r="R2464" i="20" a="1"/>
  <c r="R2464" i="20" s="1"/>
  <c r="S2464" i="20"/>
  <c r="Q2464" i="20" a="1"/>
  <c r="Q2464" i="20" s="1"/>
  <c r="Q2465" i="20" a="1"/>
  <c r="Q2465" i="20" s="1"/>
  <c r="R2465" i="20" a="1"/>
  <c r="R2465" i="20" s="1"/>
  <c r="S2465" i="20"/>
  <c r="Q2466" i="20" a="1"/>
  <c r="Q2466" i="20" s="1"/>
  <c r="R2466" i="20" a="1"/>
  <c r="R2466" i="20" s="1"/>
  <c r="S2466" i="20"/>
  <c r="Q2467" i="20" a="1"/>
  <c r="Q2467" i="20" s="1"/>
  <c r="R2467" i="20" a="1"/>
  <c r="R2467" i="20" s="1"/>
  <c r="S2467" i="20"/>
  <c r="Q2468" i="20" a="1"/>
  <c r="Q2468" i="20" s="1"/>
  <c r="R2468" i="20" a="1"/>
  <c r="R2468" i="20" s="1"/>
  <c r="S2468" i="20"/>
  <c r="Q2469" i="20" a="1"/>
  <c r="Q2469" i="20" s="1"/>
  <c r="R2469" i="20" a="1"/>
  <c r="R2469" i="20" s="1"/>
  <c r="S2469" i="20"/>
  <c r="Q2470" i="20" a="1"/>
  <c r="Q2470" i="20" s="1"/>
  <c r="R2470" i="20" a="1"/>
  <c r="R2470" i="20" s="1"/>
  <c r="S2470" i="20"/>
  <c r="Q2471" i="20" a="1"/>
  <c r="Q2471" i="20" s="1"/>
  <c r="R2471" i="20" a="1"/>
  <c r="R2471" i="20" s="1"/>
  <c r="S2471" i="20"/>
  <c r="Q2472" i="20" a="1"/>
  <c r="Q2472" i="20" s="1"/>
  <c r="R2472" i="20" a="1"/>
  <c r="R2472" i="20" s="1"/>
  <c r="S2472" i="20"/>
  <c r="Q2473" i="20" a="1"/>
  <c r="Q2473" i="20" s="1"/>
  <c r="R2473" i="20" a="1"/>
  <c r="R2473" i="20" s="1"/>
  <c r="S2473" i="20"/>
  <c r="S2474" i="20"/>
  <c r="Q2474" i="20" a="1"/>
  <c r="Q2474" i="20" s="1"/>
  <c r="R2474" i="20" a="1"/>
  <c r="R2474" i="20" s="1"/>
  <c r="Q2475" i="20" a="1"/>
  <c r="Q2475" i="20" s="1"/>
  <c r="R2475" i="20" a="1"/>
  <c r="R2475" i="20" s="1"/>
  <c r="S2475" i="20"/>
  <c r="Q2476" i="20" a="1"/>
  <c r="Q2476" i="20" s="1"/>
  <c r="R2476" i="20" a="1"/>
  <c r="R2476" i="20" s="1"/>
  <c r="S2476" i="20"/>
  <c r="R2477" i="20" a="1"/>
  <c r="R2477" i="20" s="1"/>
  <c r="S2477" i="20"/>
  <c r="Q2477" i="20" a="1"/>
  <c r="Q2477" i="20" s="1"/>
  <c r="Q2478" i="20" a="1"/>
  <c r="Q2478" i="20" s="1"/>
  <c r="R2478" i="20" a="1"/>
  <c r="R2478" i="20" s="1"/>
  <c r="S2478" i="20"/>
  <c r="Q2479" i="20" a="1"/>
  <c r="Q2479" i="20" s="1"/>
  <c r="R2479" i="20" a="1"/>
  <c r="R2479" i="20" s="1"/>
  <c r="S2479" i="20"/>
  <c r="Q2480" i="20" a="1"/>
  <c r="Q2480" i="20" s="1"/>
  <c r="R2480" i="20" a="1"/>
  <c r="R2480" i="20" s="1"/>
  <c r="S2480" i="20"/>
  <c r="Q2481" i="20" a="1"/>
  <c r="Q2481" i="20" s="1"/>
  <c r="R2481" i="20" a="1"/>
  <c r="R2481" i="20" s="1"/>
  <c r="S2481" i="20"/>
  <c r="Q2482" i="20" a="1"/>
  <c r="Q2482" i="20" s="1"/>
  <c r="R2482" i="20" a="1"/>
  <c r="R2482" i="20" s="1"/>
  <c r="S2482" i="20"/>
  <c r="Q2483" i="20" a="1"/>
  <c r="Q2483" i="20" s="1"/>
  <c r="R2483" i="20" a="1"/>
  <c r="R2483" i="20" s="1"/>
  <c r="S2483" i="20"/>
  <c r="Q2484" i="20" a="1"/>
  <c r="Q2484" i="20" s="1"/>
  <c r="R2484" i="20" a="1"/>
  <c r="R2484" i="20" s="1"/>
  <c r="S2484" i="20"/>
  <c r="Q2485" i="20" a="1"/>
  <c r="Q2485" i="20" s="1"/>
  <c r="R2485" i="20" a="1"/>
  <c r="R2485" i="20" s="1"/>
  <c r="S2485" i="20"/>
  <c r="Q2486" i="20" a="1"/>
  <c r="Q2486" i="20" s="1"/>
  <c r="R2486" i="20" a="1"/>
  <c r="R2486" i="20" s="1"/>
  <c r="S2486" i="20"/>
  <c r="S2487" i="20"/>
  <c r="Q2487" i="20" a="1"/>
  <c r="Q2487" i="20" s="1"/>
  <c r="R2487" i="20" a="1"/>
  <c r="R2487" i="20" s="1"/>
  <c r="Q2488" i="20" a="1"/>
  <c r="Q2488" i="20" s="1"/>
  <c r="R2488" i="20" a="1"/>
  <c r="R2488" i="20" s="1"/>
  <c r="S2488" i="20"/>
  <c r="Q2489" i="20" a="1"/>
  <c r="Q2489" i="20" s="1"/>
  <c r="R2489" i="20" a="1"/>
  <c r="R2489" i="20" s="1"/>
  <c r="S2489" i="20"/>
  <c r="R2490" i="20" a="1"/>
  <c r="R2490" i="20" s="1"/>
  <c r="S2490" i="20"/>
  <c r="Q2490" i="20" a="1"/>
  <c r="Q2490" i="20" s="1"/>
  <c r="Q2491" i="20" a="1"/>
  <c r="Q2491" i="20" s="1"/>
  <c r="R2491" i="20" a="1"/>
  <c r="R2491" i="20" s="1"/>
  <c r="S2491" i="20"/>
  <c r="Q2492" i="20" a="1"/>
  <c r="Q2492" i="20" s="1"/>
  <c r="R2492" i="20" a="1"/>
  <c r="R2492" i="20" s="1"/>
  <c r="S2492" i="20"/>
  <c r="Q2493" i="20" a="1"/>
  <c r="Q2493" i="20" s="1"/>
  <c r="R2493" i="20" a="1"/>
  <c r="R2493" i="20" s="1"/>
  <c r="S2493" i="20"/>
  <c r="Q2494" i="20" a="1"/>
  <c r="Q2494" i="20" s="1"/>
  <c r="R2494" i="20" a="1"/>
  <c r="R2494" i="20" s="1"/>
  <c r="S2494" i="20"/>
  <c r="Q2495" i="20" a="1"/>
  <c r="Q2495" i="20" s="1"/>
  <c r="R2495" i="20" a="1"/>
  <c r="R2495" i="20" s="1"/>
  <c r="S2495" i="20"/>
  <c r="Q2496" i="20" a="1"/>
  <c r="Q2496" i="20" s="1"/>
  <c r="R2496" i="20" a="1"/>
  <c r="R2496" i="20" s="1"/>
  <c r="S2496" i="20"/>
  <c r="Q2497" i="20" a="1"/>
  <c r="Q2497" i="20" s="1"/>
  <c r="R2497" i="20" a="1"/>
  <c r="R2497" i="20" s="1"/>
  <c r="S2497" i="20"/>
  <c r="Q2498" i="20" a="1"/>
  <c r="Q2498" i="20" s="1"/>
  <c r="R2498" i="20" a="1"/>
  <c r="R2498" i="20" s="1"/>
  <c r="S2498" i="20"/>
  <c r="S2499" i="20"/>
  <c r="Q2499" i="20" a="1"/>
  <c r="Q2499" i="20" s="1"/>
  <c r="R2499" i="20" a="1"/>
  <c r="R2499" i="20" s="1"/>
  <c r="Q2500" i="20" a="1"/>
  <c r="Q2500" i="20" s="1"/>
  <c r="R2500" i="20" a="1"/>
  <c r="R2500" i="20" s="1"/>
  <c r="S2500" i="20"/>
  <c r="Q2501" i="20" a="1"/>
  <c r="Q2501" i="20" s="1"/>
  <c r="R2501" i="20" a="1"/>
  <c r="R2501" i="20" s="1"/>
  <c r="S2501" i="20"/>
  <c r="R2502" i="20" a="1"/>
  <c r="R2502" i="20" s="1"/>
  <c r="S2502" i="20"/>
  <c r="Q2502" i="20" a="1"/>
  <c r="Q2502" i="20" s="1"/>
  <c r="Q2503" i="20" a="1"/>
  <c r="Q2503" i="20" s="1"/>
  <c r="R2503" i="20" a="1"/>
  <c r="R2503" i="20" s="1"/>
  <c r="S2503" i="20"/>
  <c r="Q2504" i="20" a="1"/>
  <c r="Q2504" i="20" s="1"/>
  <c r="R2504" i="20" a="1"/>
  <c r="R2504" i="20" s="1"/>
  <c r="S2504" i="20"/>
  <c r="Q2505" i="20" a="1"/>
  <c r="Q2505" i="20" s="1"/>
  <c r="R2505" i="20" a="1"/>
  <c r="R2505" i="20" s="1"/>
  <c r="S2505" i="20"/>
  <c r="Q2506" i="20" a="1"/>
  <c r="Q2506" i="20" s="1"/>
  <c r="R2506" i="20" a="1"/>
  <c r="R2506" i="20" s="1"/>
  <c r="S2506" i="20"/>
  <c r="Q2507" i="20" a="1"/>
  <c r="Q2507" i="20" s="1"/>
  <c r="R2507" i="20" a="1"/>
  <c r="R2507" i="20" s="1"/>
  <c r="S2507" i="20"/>
  <c r="Q2508" i="20" a="1"/>
  <c r="Q2508" i="20" s="1"/>
  <c r="R2508" i="20" a="1"/>
  <c r="R2508" i="20" s="1"/>
  <c r="S2508" i="20"/>
  <c r="Q2509" i="20" a="1"/>
  <c r="Q2509" i="20" s="1"/>
  <c r="R2509" i="20" a="1"/>
  <c r="R2509" i="20" s="1"/>
  <c r="S2509" i="20"/>
  <c r="Q2510" i="20" a="1"/>
  <c r="Q2510" i="20" s="1"/>
  <c r="R2510" i="20" a="1"/>
  <c r="R2510" i="20" s="1"/>
  <c r="S2510" i="20"/>
  <c r="Q2511" i="20" a="1"/>
  <c r="Q2511" i="20" s="1"/>
  <c r="R2511" i="20" a="1"/>
  <c r="R2511" i="20" s="1"/>
  <c r="S2511" i="20"/>
  <c r="S2512" i="20"/>
  <c r="Q2512" i="20" a="1"/>
  <c r="Q2512" i="20" s="1"/>
  <c r="R2512" i="20" a="1"/>
  <c r="R2512" i="20" s="1"/>
  <c r="Q2513" i="20" a="1"/>
  <c r="Q2513" i="20" s="1"/>
  <c r="R2513" i="20" a="1"/>
  <c r="R2513" i="20" s="1"/>
  <c r="S2513" i="20"/>
  <c r="Q2514" i="20" a="1"/>
  <c r="Q2514" i="20" s="1"/>
  <c r="R2514" i="20" a="1"/>
  <c r="R2514" i="20" s="1"/>
  <c r="S2514" i="20"/>
  <c r="Q2515" i="20" a="1"/>
  <c r="Q2515" i="20" s="1"/>
  <c r="R2515" i="20" a="1"/>
  <c r="R2515" i="20" s="1"/>
  <c r="S2515" i="20"/>
  <c r="R2516" i="20" a="1"/>
  <c r="R2516" i="20" s="1"/>
  <c r="S2516" i="20"/>
  <c r="Q2516" i="20" a="1"/>
  <c r="Q2516" i="20" s="1"/>
  <c r="Q2517" i="20" a="1"/>
  <c r="Q2517" i="20" s="1"/>
  <c r="R2517" i="20" a="1"/>
  <c r="R2517" i="20" s="1"/>
  <c r="S2517" i="20"/>
  <c r="Q2518" i="20" a="1"/>
  <c r="Q2518" i="20" s="1"/>
  <c r="R2518" i="20" a="1"/>
  <c r="R2518" i="20" s="1"/>
  <c r="S2518" i="20"/>
  <c r="Q2519" i="20" a="1"/>
  <c r="Q2519" i="20" s="1"/>
  <c r="R2519" i="20" a="1"/>
  <c r="R2519" i="20" s="1"/>
  <c r="S2519" i="20"/>
  <c r="Q2520" i="20" a="1"/>
  <c r="Q2520" i="20" s="1"/>
  <c r="R2520" i="20" a="1"/>
  <c r="R2520" i="20" s="1"/>
  <c r="S2520" i="20"/>
  <c r="Q2521" i="20" a="1"/>
  <c r="Q2521" i="20" s="1"/>
  <c r="R2521" i="20" a="1"/>
  <c r="R2521" i="20" s="1"/>
  <c r="S2521" i="20"/>
  <c r="Q2522" i="20" a="1"/>
  <c r="Q2522" i="20" s="1"/>
  <c r="R2522" i="20" a="1"/>
  <c r="R2522" i="20" s="1"/>
  <c r="S2522" i="20"/>
  <c r="S2523" i="20"/>
  <c r="Q2523" i="20" a="1"/>
  <c r="Q2523" i="20" s="1"/>
  <c r="R2523" i="20" a="1"/>
  <c r="R2523" i="20" s="1"/>
  <c r="Q2524" i="20" a="1"/>
  <c r="Q2524" i="20" s="1"/>
  <c r="R2524" i="20" a="1"/>
  <c r="R2524" i="20" s="1"/>
  <c r="S2524" i="20"/>
  <c r="Q2525" i="20" a="1"/>
  <c r="Q2525" i="20" s="1"/>
  <c r="R2525" i="20" a="1"/>
  <c r="R2525" i="20" s="1"/>
  <c r="S2525" i="20"/>
  <c r="Q2526" i="20" a="1"/>
  <c r="Q2526" i="20" s="1"/>
  <c r="R2526" i="20" a="1"/>
  <c r="R2526" i="20" s="1"/>
  <c r="S2526" i="20"/>
  <c r="R2527" i="20" a="1"/>
  <c r="R2527" i="20" s="1"/>
  <c r="S2527" i="20"/>
  <c r="Q2527" i="20" a="1"/>
  <c r="Q2527" i="20" s="1"/>
  <c r="Q2528" i="20" a="1"/>
  <c r="Q2528" i="20" s="1"/>
  <c r="R2528" i="20" a="1"/>
  <c r="R2528" i="20" s="1"/>
  <c r="S2528" i="20"/>
  <c r="Q2529" i="20" a="1"/>
  <c r="Q2529" i="20" s="1"/>
  <c r="R2529" i="20" a="1"/>
  <c r="R2529" i="20" s="1"/>
  <c r="S2529" i="20"/>
  <c r="Q2530" i="20" a="1"/>
  <c r="Q2530" i="20" s="1"/>
  <c r="R2530" i="20" a="1"/>
  <c r="R2530" i="20" s="1"/>
  <c r="S2530" i="20"/>
  <c r="Q2531" i="20" a="1"/>
  <c r="Q2531" i="20" s="1"/>
  <c r="R2531" i="20" a="1"/>
  <c r="R2531" i="20" s="1"/>
  <c r="S2531" i="20"/>
  <c r="Q2532" i="20" a="1"/>
  <c r="Q2532" i="20" s="1"/>
  <c r="R2532" i="20" a="1"/>
  <c r="R2532" i="20" s="1"/>
  <c r="S2532" i="20"/>
  <c r="Q2533" i="20" a="1"/>
  <c r="Q2533" i="20" s="1"/>
  <c r="R2533" i="20" a="1"/>
  <c r="R2533" i="20" s="1"/>
  <c r="S2533" i="20"/>
  <c r="Q2534" i="20" a="1"/>
  <c r="Q2534" i="20" s="1"/>
  <c r="R2534" i="20" a="1"/>
  <c r="R2534" i="20" s="1"/>
  <c r="S2534" i="20"/>
  <c r="S2535" i="20"/>
  <c r="Q2535" i="20" a="1"/>
  <c r="Q2535" i="20" s="1"/>
  <c r="R2535" i="20" a="1"/>
  <c r="R2535" i="20" s="1"/>
  <c r="R2536" i="20" a="1"/>
  <c r="R2536" i="20" s="1"/>
  <c r="S2536" i="20"/>
  <c r="Q2536" i="20" a="1"/>
  <c r="Q2536" i="20" s="1"/>
  <c r="Q2537" i="20" a="1"/>
  <c r="Q2537" i="20" s="1"/>
  <c r="R2537" i="20" a="1"/>
  <c r="R2537" i="20" s="1"/>
  <c r="S2537" i="20"/>
  <c r="Q2538" i="20" a="1"/>
  <c r="Q2538" i="20" s="1"/>
  <c r="R2538" i="20" a="1"/>
  <c r="R2538" i="20" s="1"/>
  <c r="S2538" i="20"/>
  <c r="Q2539" i="20" a="1"/>
  <c r="Q2539" i="20" s="1"/>
  <c r="R2539" i="20" a="1"/>
  <c r="R2539" i="20" s="1"/>
  <c r="S2539" i="20"/>
  <c r="Q2540" i="20" a="1"/>
  <c r="Q2540" i="20" s="1"/>
  <c r="R2540" i="20" a="1"/>
  <c r="R2540" i="20" s="1"/>
  <c r="S2540" i="20"/>
  <c r="Q2541" i="20" a="1"/>
  <c r="Q2541" i="20" s="1"/>
  <c r="R2541" i="20" a="1"/>
  <c r="R2541" i="20" s="1"/>
  <c r="S2541" i="20"/>
  <c r="Q2542" i="20" a="1"/>
  <c r="Q2542" i="20" s="1"/>
  <c r="R2542" i="20" a="1"/>
  <c r="R2542" i="20" s="1"/>
  <c r="S2542" i="20"/>
  <c r="Q2543" i="20" a="1"/>
  <c r="Q2543" i="20" s="1"/>
  <c r="R2543" i="20" a="1"/>
  <c r="R2543" i="20" s="1"/>
  <c r="S2543" i="20"/>
  <c r="Q2544" i="20" a="1"/>
  <c r="Q2544" i="20" s="1"/>
  <c r="R2544" i="20" a="1"/>
  <c r="R2544" i="20" s="1"/>
  <c r="S2544" i="20"/>
  <c r="Q2545" i="20" a="1"/>
  <c r="Q2545" i="20" s="1"/>
  <c r="R2545" i="20" a="1"/>
  <c r="R2545" i="20" s="1"/>
  <c r="S2545" i="20"/>
  <c r="S2546" i="20"/>
  <c r="Q2546" i="20" a="1"/>
  <c r="Q2546" i="20" s="1"/>
  <c r="R2546" i="20" a="1"/>
  <c r="R2546" i="20" s="1"/>
  <c r="Q2547" i="20" a="1"/>
  <c r="Q2547" i="20" s="1"/>
  <c r="R2547" i="20" a="1"/>
  <c r="R2547" i="20" s="1"/>
  <c r="S2547" i="20"/>
  <c r="Q2548" i="20" a="1"/>
  <c r="Q2548" i="20" s="1"/>
  <c r="R2548" i="20" a="1"/>
  <c r="R2548" i="20" s="1"/>
  <c r="S2548" i="20"/>
  <c r="Q2549" i="20" a="1"/>
  <c r="Q2549" i="20" s="1"/>
  <c r="R2549" i="20" a="1"/>
  <c r="R2549" i="20" s="1"/>
  <c r="S2549" i="20"/>
  <c r="Q2550" i="20" a="1"/>
  <c r="Q2550" i="20" s="1"/>
  <c r="R2550" i="20" a="1"/>
  <c r="R2550" i="20" s="1"/>
  <c r="S2550" i="20"/>
  <c r="Q2551" i="20" a="1"/>
  <c r="Q2551" i="20" s="1"/>
  <c r="R2551" i="20" a="1"/>
  <c r="R2551" i="20" s="1"/>
  <c r="S2551" i="20"/>
  <c r="Q2552" i="20" a="1"/>
  <c r="Q2552" i="20" s="1"/>
  <c r="R2552" i="20" a="1"/>
  <c r="R2552" i="20" s="1"/>
  <c r="S2552" i="20"/>
  <c r="Q2553" i="20" a="1"/>
  <c r="Q2553" i="20" s="1"/>
  <c r="R2553" i="20" a="1"/>
  <c r="R2553" i="20" s="1"/>
  <c r="S2553" i="20"/>
  <c r="Q2554" i="20" a="1"/>
  <c r="Q2554" i="20" s="1"/>
  <c r="R2554" i="20" a="1"/>
  <c r="R2554" i="20" s="1"/>
  <c r="S2554" i="20"/>
  <c r="R2555" i="20" a="1"/>
  <c r="R2555" i="20" s="1"/>
  <c r="S2555" i="20"/>
  <c r="Q2555" i="20" a="1"/>
  <c r="Q2555" i="20" s="1"/>
  <c r="Q2556" i="20" a="1"/>
  <c r="Q2556" i="20" s="1"/>
  <c r="R2556" i="20" a="1"/>
  <c r="R2556" i="20" s="1"/>
  <c r="S2556" i="20"/>
  <c r="S2557" i="20"/>
  <c r="Q2557" i="20" a="1"/>
  <c r="Q2557" i="20" s="1"/>
  <c r="R2557" i="20" a="1"/>
  <c r="R2557" i="20" s="1"/>
  <c r="Q2558" i="20" a="1"/>
  <c r="Q2558" i="20" s="1"/>
  <c r="R2558" i="20" a="1"/>
  <c r="R2558" i="20" s="1"/>
  <c r="S2558" i="20"/>
  <c r="Q2559" i="20" a="1"/>
  <c r="Q2559" i="20" s="1"/>
  <c r="R2559" i="20" a="1"/>
  <c r="R2559" i="20" s="1"/>
  <c r="S2559" i="20"/>
  <c r="Q2560" i="20" a="1"/>
  <c r="Q2560" i="20" s="1"/>
  <c r="R2560" i="20" a="1"/>
  <c r="R2560" i="20" s="1"/>
  <c r="S2560" i="20"/>
  <c r="Q2561" i="20" a="1"/>
  <c r="Q2561" i="20" s="1"/>
  <c r="R2561" i="20" a="1"/>
  <c r="R2561" i="20" s="1"/>
  <c r="S2561" i="20"/>
  <c r="Q2562" i="20" a="1"/>
  <c r="Q2562" i="20" s="1"/>
  <c r="R2562" i="20" a="1"/>
  <c r="R2562" i="20" s="1"/>
  <c r="S2562" i="20"/>
  <c r="Q2563" i="20" a="1"/>
  <c r="Q2563" i="20" s="1"/>
  <c r="R2563" i="20" a="1"/>
  <c r="R2563" i="20" s="1"/>
  <c r="S2563" i="20"/>
  <c r="Q2564" i="20" a="1"/>
  <c r="Q2564" i="20" s="1"/>
  <c r="R2564" i="20" a="1"/>
  <c r="R2564" i="20" s="1"/>
  <c r="S2564" i="20"/>
  <c r="R2565" i="20" a="1"/>
  <c r="R2565" i="20" s="1"/>
  <c r="S2565" i="20"/>
  <c r="Q2565" i="20" a="1"/>
  <c r="Q2565" i="20" s="1"/>
  <c r="Q2566" i="20" a="1"/>
  <c r="Q2566" i="20" s="1"/>
  <c r="R2566" i="20" a="1"/>
  <c r="R2566" i="20" s="1"/>
  <c r="S2566" i="20"/>
  <c r="Q2567" i="20" a="1"/>
  <c r="Q2567" i="20" s="1"/>
  <c r="R2567" i="20" a="1"/>
  <c r="R2567" i="20" s="1"/>
  <c r="S2567" i="20"/>
  <c r="S2568" i="20"/>
  <c r="Q2568" i="20" a="1"/>
  <c r="Q2568" i="20" s="1"/>
  <c r="R2568" i="20" a="1"/>
  <c r="R2568" i="20" s="1"/>
  <c r="Q2569" i="20" a="1"/>
  <c r="Q2569" i="20" s="1"/>
  <c r="R2569" i="20" a="1"/>
  <c r="R2569" i="20" s="1"/>
  <c r="S2569" i="20"/>
  <c r="S2570" i="20"/>
  <c r="R2570" i="20" a="1"/>
  <c r="R2570" i="20" s="1"/>
  <c r="Q2570" i="20" a="1"/>
  <c r="Q2570" i="20" s="1"/>
  <c r="S2571" i="20"/>
  <c r="R2571" i="20" a="1"/>
  <c r="R2571" i="20" s="1"/>
  <c r="Q2571" i="20" a="1"/>
  <c r="Q2571" i="20" s="1"/>
  <c r="S2572" i="20"/>
  <c r="R2572" i="20" a="1"/>
  <c r="R2572" i="20" s="1"/>
  <c r="Q2572" i="20" a="1"/>
  <c r="Q2572" i="20" s="1"/>
  <c r="S2573" i="20"/>
  <c r="R2573" i="20" a="1"/>
  <c r="R2573" i="20" s="1"/>
  <c r="Q2573" i="20" a="1"/>
  <c r="Q2573" i="20" s="1"/>
  <c r="Q2574" i="20" a="1"/>
  <c r="Q2574" i="20" s="1"/>
  <c r="S2574" i="20"/>
  <c r="R2574" i="20" a="1"/>
  <c r="R2574" i="20" s="1"/>
  <c r="R2575" i="20" a="1"/>
  <c r="R2575" i="20" s="1"/>
  <c r="Q2575" i="20" a="1"/>
  <c r="Q2575" i="20" s="1"/>
  <c r="S2575" i="20"/>
  <c r="R2576" i="20" a="1"/>
  <c r="R2576" i="20" s="1"/>
  <c r="Q2576" i="20" a="1"/>
  <c r="Q2576" i="20" s="1"/>
  <c r="S2576" i="20"/>
  <c r="R2577" i="20" a="1"/>
  <c r="R2577" i="20" s="1"/>
  <c r="Q2577" i="20" a="1"/>
  <c r="Q2577" i="20" s="1"/>
  <c r="S2577" i="20"/>
  <c r="Q2578" i="20" a="1"/>
  <c r="Q2578" i="20" s="1"/>
  <c r="R2578" i="20" a="1"/>
  <c r="R2578" i="20" s="1"/>
  <c r="S2578" i="20"/>
  <c r="Q2579" i="20" a="1"/>
  <c r="Q2579" i="20" s="1"/>
  <c r="S2579" i="20"/>
  <c r="R2579" i="20" a="1"/>
  <c r="R2579" i="20" s="1"/>
  <c r="S2580" i="20"/>
  <c r="Q2580" i="20" a="1"/>
  <c r="Q2580" i="20" s="1"/>
  <c r="R2580" i="20" a="1"/>
  <c r="R2580" i="20" s="1"/>
  <c r="Q2581" i="20" a="1"/>
  <c r="Q2581" i="20" s="1"/>
  <c r="R2581" i="20" a="1"/>
  <c r="R2581" i="20" s="1"/>
  <c r="S2581" i="20"/>
  <c r="R2582" i="20" a="1"/>
  <c r="R2582" i="20" s="1"/>
  <c r="Q2582" i="20" a="1"/>
  <c r="Q2582" i="20" s="1"/>
  <c r="S2582" i="20"/>
  <c r="Q2583" i="20" a="1"/>
  <c r="Q2583" i="20" s="1"/>
  <c r="R2583" i="20" a="1"/>
  <c r="R2583" i="20" s="1"/>
  <c r="S2583" i="20"/>
  <c r="Q2584" i="20" a="1"/>
  <c r="Q2584" i="20" s="1"/>
  <c r="R2584" i="20" a="1"/>
  <c r="R2584" i="20" s="1"/>
  <c r="S2584" i="20"/>
  <c r="Q2585" i="20" a="1"/>
  <c r="Q2585" i="20" s="1"/>
  <c r="R2585" i="20" a="1"/>
  <c r="R2585" i="20" s="1"/>
  <c r="S2585" i="20"/>
  <c r="R2586" i="20" a="1"/>
  <c r="R2586" i="20" s="1"/>
  <c r="Q2586" i="20" a="1"/>
  <c r="Q2586" i="20" s="1"/>
  <c r="S2586" i="20"/>
  <c r="R2587" i="20" a="1"/>
  <c r="R2587" i="20" s="1"/>
  <c r="Q2587" i="20" a="1"/>
  <c r="Q2587" i="20" s="1"/>
  <c r="S2587" i="20"/>
  <c r="U216" i="21" a="1"/>
  <c r="U216" i="21" s="1"/>
  <c r="V216" i="21" a="1"/>
  <c r="V216" i="21" s="1"/>
  <c r="U215" i="21" a="1"/>
  <c r="U215" i="21" s="1"/>
  <c r="V215" i="21" a="1"/>
  <c r="V215" i="21" s="1"/>
  <c r="U214" i="21" a="1"/>
  <c r="U214" i="21" s="1"/>
  <c r="V214" i="21" a="1"/>
  <c r="V214" i="21" s="1"/>
  <c r="U213" i="21" a="1"/>
  <c r="U213" i="21" s="1"/>
  <c r="V213" i="21" a="1"/>
  <c r="V213" i="21" s="1"/>
  <c r="U212" i="21" a="1"/>
  <c r="U212" i="21" s="1"/>
  <c r="V212" i="21" a="1"/>
  <c r="V212" i="21" s="1"/>
  <c r="U211" i="21" a="1"/>
  <c r="U211" i="21" s="1"/>
  <c r="V211" i="21" a="1"/>
  <c r="V211" i="21" s="1"/>
  <c r="U210" i="21" a="1"/>
  <c r="U210" i="21" s="1"/>
  <c r="V210" i="21" a="1"/>
  <c r="V210" i="21" s="1"/>
  <c r="U209" i="21" a="1"/>
  <c r="U209" i="21" s="1"/>
  <c r="V209" i="21" a="1"/>
  <c r="V209" i="21" s="1"/>
  <c r="U208" i="21" a="1"/>
  <c r="U208" i="21" s="1"/>
  <c r="V208" i="21" a="1"/>
  <c r="V208" i="21" s="1"/>
  <c r="U207" i="21" a="1"/>
  <c r="U207" i="21" s="1"/>
  <c r="V207" i="21" a="1"/>
  <c r="V207" i="21" s="1"/>
  <c r="U206" i="21" a="1"/>
  <c r="U206" i="21" s="1"/>
  <c r="V206" i="21" a="1"/>
  <c r="V206" i="21" s="1"/>
  <c r="U205" i="21" a="1"/>
  <c r="U205" i="21" s="1"/>
  <c r="V205" i="21" a="1"/>
  <c r="V205" i="21" s="1"/>
  <c r="U204" i="21" a="1"/>
  <c r="U204" i="21" s="1"/>
  <c r="V204" i="21" a="1"/>
  <c r="V204" i="21" s="1"/>
  <c r="U203" i="21" a="1"/>
  <c r="U203" i="21" s="1"/>
  <c r="V203" i="21" a="1"/>
  <c r="V203" i="21" s="1"/>
  <c r="U202" i="21" a="1"/>
  <c r="U202" i="21" s="1"/>
  <c r="V202" i="21" a="1"/>
  <c r="V202" i="21" s="1"/>
  <c r="U201" i="21" a="1"/>
  <c r="U201" i="21" s="1"/>
  <c r="V201" i="21" a="1"/>
  <c r="V201" i="21" s="1"/>
  <c r="U200" i="21" a="1"/>
  <c r="U200" i="21" s="1"/>
  <c r="V200" i="21" a="1"/>
  <c r="V200" i="21" s="1"/>
  <c r="U199" i="21" a="1"/>
  <c r="U199" i="21" s="1"/>
  <c r="V199" i="21" a="1"/>
  <c r="V199" i="21" s="1"/>
  <c r="U198" i="21" a="1"/>
  <c r="U198" i="21" s="1"/>
  <c r="V198" i="21" a="1"/>
  <c r="V198" i="21" s="1"/>
  <c r="U197" i="21" a="1"/>
  <c r="U197" i="21" s="1"/>
  <c r="V197" i="21" a="1"/>
  <c r="V197" i="21" s="1"/>
  <c r="U196" i="21" a="1"/>
  <c r="U196" i="21" s="1"/>
  <c r="V196" i="21" a="1"/>
  <c r="V196" i="21" s="1"/>
  <c r="U195" i="21" a="1"/>
  <c r="U195" i="21" s="1"/>
  <c r="V195" i="21" a="1"/>
  <c r="V195" i="21" s="1"/>
  <c r="U194" i="21" a="1"/>
  <c r="U194" i="21" s="1"/>
  <c r="V194" i="21" a="1"/>
  <c r="V194" i="21" s="1"/>
  <c r="U193" i="21" a="1"/>
  <c r="U193" i="21" s="1"/>
  <c r="V193" i="21" a="1"/>
  <c r="V193" i="21" s="1"/>
  <c r="U192" i="21" a="1"/>
  <c r="U192" i="21" s="1"/>
  <c r="V192" i="21" a="1"/>
  <c r="V192" i="21" s="1"/>
  <c r="U191" i="21" a="1"/>
  <c r="U191" i="21" s="1"/>
  <c r="V191" i="21" a="1"/>
  <c r="V191" i="21" s="1"/>
  <c r="U190" i="21" a="1"/>
  <c r="U190" i="21" s="1"/>
  <c r="V190" i="21" a="1"/>
  <c r="V190" i="21" s="1"/>
  <c r="U189" i="21" a="1"/>
  <c r="U189" i="21" s="1"/>
  <c r="V189" i="21" a="1"/>
  <c r="V189" i="21" s="1"/>
  <c r="U188" i="21" a="1"/>
  <c r="U188" i="21" s="1"/>
  <c r="V188" i="21" a="1"/>
  <c r="V188" i="21" s="1"/>
  <c r="U187" i="21" a="1"/>
  <c r="U187" i="21" s="1"/>
  <c r="V187" i="21" a="1"/>
  <c r="V187" i="21" s="1"/>
  <c r="U186" i="21" a="1"/>
  <c r="U186" i="21" s="1"/>
  <c r="V186" i="21" a="1"/>
  <c r="V186" i="21" s="1"/>
  <c r="U185" i="21" a="1"/>
  <c r="U185" i="21" s="1"/>
  <c r="V185" i="21" a="1"/>
  <c r="V185" i="21" s="1"/>
  <c r="U184" i="21" a="1"/>
  <c r="U184" i="21" s="1"/>
  <c r="V184" i="21" a="1"/>
  <c r="V184" i="21" s="1"/>
  <c r="U183" i="21" a="1"/>
  <c r="U183" i="21" s="1"/>
  <c r="V183" i="21" a="1"/>
  <c r="V183" i="21" s="1"/>
  <c r="U182" i="21" a="1"/>
  <c r="U182" i="21" s="1"/>
  <c r="V182" i="21" a="1"/>
  <c r="V182" i="21" s="1"/>
  <c r="U181" i="21" a="1"/>
  <c r="U181" i="21" s="1"/>
  <c r="V181" i="21" a="1"/>
  <c r="V181" i="21" s="1"/>
  <c r="U180" i="21" a="1"/>
  <c r="U180" i="21" s="1"/>
  <c r="V180" i="21" a="1"/>
  <c r="V180" i="21" s="1"/>
  <c r="U179" i="21" a="1"/>
  <c r="U179" i="21" s="1"/>
  <c r="V179" i="21" a="1"/>
  <c r="V179" i="21" s="1"/>
  <c r="U178" i="21" a="1"/>
  <c r="U178" i="21" s="1"/>
  <c r="V178" i="21" a="1"/>
  <c r="V178" i="21" s="1"/>
  <c r="U177" i="21" a="1"/>
  <c r="U177" i="21" s="1"/>
  <c r="V177" i="21" a="1"/>
  <c r="V177" i="21" s="1"/>
  <c r="U176" i="21" a="1"/>
  <c r="U176" i="21" s="1"/>
  <c r="V176" i="21" a="1"/>
  <c r="V176" i="21" s="1"/>
  <c r="U175" i="21" a="1"/>
  <c r="U175" i="21" s="1"/>
  <c r="V175" i="21" a="1"/>
  <c r="V175" i="21" s="1"/>
  <c r="U174" i="21" a="1"/>
  <c r="U174" i="21" s="1"/>
  <c r="V174" i="21" a="1"/>
  <c r="V174" i="21" s="1"/>
  <c r="U173" i="21" a="1"/>
  <c r="U173" i="21" s="1"/>
  <c r="V173" i="21" a="1"/>
  <c r="V173" i="21" s="1"/>
  <c r="U172" i="21" a="1"/>
  <c r="U172" i="21" s="1"/>
  <c r="V172" i="21" a="1"/>
  <c r="V172" i="21" s="1"/>
  <c r="U171" i="21" a="1"/>
  <c r="U171" i="21" s="1"/>
  <c r="V171" i="21" a="1"/>
  <c r="V171" i="21" s="1"/>
  <c r="U170" i="21" a="1"/>
  <c r="U170" i="21" s="1"/>
  <c r="V170" i="21" a="1"/>
  <c r="V170" i="21" s="1"/>
  <c r="U169" i="21" a="1"/>
  <c r="U169" i="21" s="1"/>
  <c r="V169" i="21" a="1"/>
  <c r="V169" i="21" s="1"/>
  <c r="U168" i="21" a="1"/>
  <c r="U168" i="21" s="1"/>
  <c r="V168" i="21" a="1"/>
  <c r="V168" i="21" s="1"/>
  <c r="U167" i="21" a="1"/>
  <c r="U167" i="21" s="1"/>
  <c r="V167" i="21" a="1"/>
  <c r="V167" i="21" s="1"/>
  <c r="U166" i="21" a="1"/>
  <c r="U166" i="21" s="1"/>
  <c r="V166" i="21" a="1"/>
  <c r="V166" i="21" s="1"/>
  <c r="U165" i="21" a="1"/>
  <c r="U165" i="21" s="1"/>
  <c r="V165" i="21" a="1"/>
  <c r="V165" i="21" s="1"/>
  <c r="U164" i="21" a="1"/>
  <c r="U164" i="21" s="1"/>
  <c r="V164" i="21" a="1"/>
  <c r="V164" i="21" s="1"/>
  <c r="U163" i="21" a="1"/>
  <c r="U163" i="21" s="1"/>
  <c r="V163" i="21" a="1"/>
  <c r="V163" i="21" s="1"/>
  <c r="U162" i="21" a="1"/>
  <c r="U162" i="21" s="1"/>
  <c r="V162" i="21" a="1"/>
  <c r="V162" i="21" s="1"/>
  <c r="U161" i="21" a="1"/>
  <c r="U161" i="21" s="1"/>
  <c r="V161" i="21" a="1"/>
  <c r="V161" i="21" s="1"/>
  <c r="U160" i="21" a="1"/>
  <c r="U160" i="21" s="1"/>
  <c r="V160" i="21" a="1"/>
  <c r="V160" i="21" s="1"/>
  <c r="U159" i="21" a="1"/>
  <c r="U159" i="21" s="1"/>
  <c r="V159" i="21" a="1"/>
  <c r="V159" i="21" s="1"/>
  <c r="U158" i="21" a="1"/>
  <c r="U158" i="21" s="1"/>
  <c r="V158" i="21" a="1"/>
  <c r="V158" i="21" s="1"/>
  <c r="U157" i="21" a="1"/>
  <c r="U157" i="21" s="1"/>
  <c r="V157" i="21" a="1"/>
  <c r="V157" i="21" s="1"/>
  <c r="V156" i="21" a="1"/>
  <c r="V156" i="21" s="1"/>
  <c r="U156" i="21" a="1"/>
  <c r="U156" i="21" s="1"/>
  <c r="U155" i="21" a="1"/>
  <c r="U155" i="21" s="1"/>
  <c r="V155" i="21" a="1"/>
  <c r="V155" i="21" s="1"/>
  <c r="U154" i="21" a="1"/>
  <c r="U154" i="21" s="1"/>
  <c r="V154" i="21" a="1"/>
  <c r="V154" i="21" s="1"/>
  <c r="U153" i="21" a="1"/>
  <c r="U153" i="21" s="1"/>
  <c r="V153" i="21" a="1"/>
  <c r="V153" i="21" s="1"/>
  <c r="U152" i="21" a="1"/>
  <c r="U152" i="21" s="1"/>
  <c r="V152" i="21" a="1"/>
  <c r="V152" i="21" s="1"/>
  <c r="U151" i="21" a="1"/>
  <c r="U151" i="21" s="1"/>
  <c r="V151" i="21" a="1"/>
  <c r="V151" i="21" s="1"/>
  <c r="U150" i="21" a="1"/>
  <c r="U150" i="21" s="1"/>
  <c r="V150" i="21" a="1"/>
  <c r="V150" i="21" s="1"/>
  <c r="V149" i="21" a="1"/>
  <c r="V149" i="21" s="1"/>
  <c r="U149" i="21" a="1"/>
  <c r="U149" i="21" s="1"/>
  <c r="U148" i="21" a="1"/>
  <c r="U148" i="21" s="1"/>
  <c r="V148" i="21" a="1"/>
  <c r="V148" i="21" s="1"/>
  <c r="U147" i="21" a="1"/>
  <c r="U147" i="21" s="1"/>
  <c r="V147" i="21" a="1"/>
  <c r="V147" i="21" s="1"/>
  <c r="V146" i="21" a="1"/>
  <c r="V146" i="21" s="1"/>
  <c r="U146" i="21" a="1"/>
  <c r="U146" i="21" s="1"/>
  <c r="U145" i="21" a="1"/>
  <c r="U145" i="21" s="1"/>
  <c r="V145" i="21" a="1"/>
  <c r="V145" i="21" s="1"/>
  <c r="U144" i="21" a="1"/>
  <c r="U144" i="21" s="1"/>
  <c r="V144" i="21" a="1"/>
  <c r="V144" i="21" s="1"/>
  <c r="U143" i="21" a="1"/>
  <c r="U143" i="21" s="1"/>
  <c r="V143" i="21" a="1"/>
  <c r="V143" i="21" s="1"/>
  <c r="V142" i="21" a="1"/>
  <c r="V142" i="21" s="1"/>
  <c r="U142" i="21" a="1"/>
  <c r="U142" i="21" s="1"/>
  <c r="V141" i="21" a="1"/>
  <c r="V141" i="21" s="1"/>
  <c r="U141" i="21" a="1"/>
  <c r="U141" i="21" s="1"/>
  <c r="U140" i="21" a="1"/>
  <c r="U140" i="21" s="1"/>
  <c r="V140" i="21" a="1"/>
  <c r="V140" i="21" s="1"/>
  <c r="U139" i="21" a="1"/>
  <c r="U139" i="21" s="1"/>
  <c r="V139" i="21" a="1"/>
  <c r="V139" i="21" s="1"/>
  <c r="U138" i="21" a="1"/>
  <c r="U138" i="21" s="1"/>
  <c r="V138" i="21" a="1"/>
  <c r="V138" i="21" s="1"/>
  <c r="U137" i="21" a="1"/>
  <c r="U137" i="21" s="1"/>
  <c r="V137" i="21" a="1"/>
  <c r="V137" i="21" s="1"/>
  <c r="U136" i="21" a="1"/>
  <c r="U136" i="21" s="1"/>
  <c r="V136" i="21" a="1"/>
  <c r="V136" i="21" s="1"/>
  <c r="U135" i="21" a="1"/>
  <c r="U135" i="21" s="1"/>
  <c r="V135" i="21" a="1"/>
  <c r="V135" i="21" s="1"/>
  <c r="U134" i="21" a="1"/>
  <c r="U134" i="21" s="1"/>
  <c r="V134" i="21" a="1"/>
  <c r="V134" i="21" s="1"/>
  <c r="U133" i="21" a="1"/>
  <c r="U133" i="21" s="1"/>
  <c r="V133" i="21" a="1"/>
  <c r="V133" i="21" s="1"/>
  <c r="U132" i="21" a="1"/>
  <c r="U132" i="21" s="1"/>
  <c r="V132" i="21" a="1"/>
  <c r="V132" i="21" s="1"/>
  <c r="U131" i="21" a="1"/>
  <c r="U131" i="21" s="1"/>
  <c r="V131" i="21" a="1"/>
  <c r="V131" i="21" s="1"/>
  <c r="U130" i="21" a="1"/>
  <c r="U130" i="21" s="1"/>
  <c r="V130" i="21" a="1"/>
  <c r="V130" i="21" s="1"/>
  <c r="U129" i="21" a="1"/>
  <c r="U129" i="21" s="1"/>
  <c r="V129" i="21" a="1"/>
  <c r="V129" i="21" s="1"/>
  <c r="U128" i="21" a="1"/>
  <c r="U128" i="21" s="1"/>
  <c r="V128" i="21" a="1"/>
  <c r="V128" i="21" s="1"/>
  <c r="U127" i="21" a="1"/>
  <c r="U127" i="21" s="1"/>
  <c r="V127" i="21" a="1"/>
  <c r="V127" i="21" s="1"/>
  <c r="U126" i="21" a="1"/>
  <c r="U126" i="21" s="1"/>
  <c r="V126" i="21" a="1"/>
  <c r="V126" i="21" s="1"/>
  <c r="U125" i="21" a="1"/>
  <c r="U125" i="21" s="1"/>
  <c r="V125" i="21" a="1"/>
  <c r="V125" i="21" s="1"/>
  <c r="U124" i="21" a="1"/>
  <c r="U124" i="21" s="1"/>
  <c r="V124" i="21" a="1"/>
  <c r="V124" i="21" s="1"/>
  <c r="U123" i="21" a="1"/>
  <c r="U123" i="21" s="1"/>
  <c r="V123" i="21" a="1"/>
  <c r="V123" i="21" s="1"/>
  <c r="V122" i="21" a="1"/>
  <c r="V122" i="21" s="1"/>
  <c r="U122" i="21" a="1"/>
  <c r="U122" i="21" s="1"/>
  <c r="V121" i="21" a="1"/>
  <c r="V121" i="21" s="1"/>
  <c r="U121" i="21" a="1"/>
  <c r="U121" i="21" s="1"/>
  <c r="V120" i="21" a="1"/>
  <c r="V120" i="21" s="1"/>
  <c r="U120" i="21" a="1"/>
  <c r="U120" i="21" s="1"/>
  <c r="V119" i="21" a="1"/>
  <c r="V119" i="21" s="1"/>
  <c r="U119" i="21" a="1"/>
  <c r="U119" i="21" s="1"/>
  <c r="V118" i="21" a="1"/>
  <c r="V118" i="21" s="1"/>
  <c r="U118" i="21" a="1"/>
  <c r="U118" i="21" s="1"/>
  <c r="V117" i="21" a="1"/>
  <c r="V117" i="21" s="1"/>
  <c r="U117" i="21" a="1"/>
  <c r="U117" i="21" s="1"/>
  <c r="V116" i="21" a="1"/>
  <c r="V116" i="21" s="1"/>
  <c r="U116" i="21" a="1"/>
  <c r="U116" i="21" s="1"/>
  <c r="U115" i="21" a="1"/>
  <c r="U115" i="21" s="1"/>
  <c r="V115" i="21" a="1"/>
  <c r="V115" i="21" s="1"/>
  <c r="U114" i="21" a="1"/>
  <c r="U114" i="21" s="1"/>
  <c r="V114" i="21" a="1"/>
  <c r="V114" i="21" s="1"/>
  <c r="U113" i="21" a="1"/>
  <c r="U113" i="21" s="1"/>
  <c r="V113" i="21" a="1"/>
  <c r="V113" i="21" s="1"/>
  <c r="V112" i="21" a="1"/>
  <c r="V112" i="21" s="1"/>
  <c r="U112" i="21" a="1"/>
  <c r="U112" i="21" s="1"/>
  <c r="V111" i="21" a="1"/>
  <c r="V111" i="21" s="1"/>
  <c r="U111" i="21" a="1"/>
  <c r="U111" i="21" s="1"/>
  <c r="V110" i="21" a="1"/>
  <c r="V110" i="21" s="1"/>
  <c r="U110" i="21" a="1"/>
  <c r="U110" i="21" s="1"/>
  <c r="V109" i="21" a="1"/>
  <c r="V109" i="21" s="1"/>
  <c r="U109" i="21" a="1"/>
  <c r="U109" i="21" s="1"/>
  <c r="V108" i="21" a="1"/>
  <c r="V108" i="21" s="1"/>
  <c r="U108" i="21" a="1"/>
  <c r="U108" i="21" s="1"/>
  <c r="V107" i="21" a="1"/>
  <c r="V107" i="21" s="1"/>
  <c r="U107" i="21" a="1"/>
  <c r="U107" i="21" s="1"/>
  <c r="U106" i="21" a="1"/>
  <c r="U106" i="21" s="1"/>
  <c r="V106" i="21" a="1"/>
  <c r="V106" i="21" s="1"/>
  <c r="V105" i="21" a="1"/>
  <c r="V105" i="21" s="1"/>
  <c r="U105" i="21" a="1"/>
  <c r="U105" i="21" s="1"/>
  <c r="V104" i="21" a="1"/>
  <c r="V104" i="21" s="1"/>
  <c r="U104" i="21" a="1"/>
  <c r="U104" i="21" s="1"/>
  <c r="U103" i="21" a="1"/>
  <c r="U103" i="21" s="1"/>
  <c r="V103" i="21" a="1"/>
  <c r="V103" i="21" s="1"/>
  <c r="U102" i="21" a="1"/>
  <c r="U102" i="21" s="1"/>
  <c r="V102" i="21" a="1"/>
  <c r="V102" i="21" s="1"/>
  <c r="U101" i="21" a="1"/>
  <c r="U101" i="21" s="1"/>
  <c r="V101" i="21" a="1"/>
  <c r="V101" i="21" s="1"/>
  <c r="U100" i="21" a="1"/>
  <c r="U100" i="21" s="1"/>
  <c r="V100" i="21" a="1"/>
  <c r="V100" i="21" s="1"/>
  <c r="U99" i="21" a="1"/>
  <c r="U99" i="21" s="1"/>
  <c r="V99" i="21" a="1"/>
  <c r="V99" i="21" s="1"/>
  <c r="V98" i="21" a="1"/>
  <c r="V98" i="21" s="1"/>
  <c r="U98" i="21" a="1"/>
  <c r="U98" i="21" s="1"/>
  <c r="V97" i="21" a="1"/>
  <c r="V97" i="21" s="1"/>
  <c r="U97" i="21" a="1"/>
  <c r="U97" i="21" s="1"/>
  <c r="U96" i="21" a="1"/>
  <c r="U96" i="21" s="1"/>
  <c r="V96" i="21" a="1"/>
  <c r="V96" i="21" s="1"/>
  <c r="U95" i="21" a="1"/>
  <c r="U95" i="21" s="1"/>
  <c r="V95" i="21" a="1"/>
  <c r="V95" i="21" s="1"/>
  <c r="V94" i="21" a="1"/>
  <c r="V94" i="21" s="1"/>
  <c r="U94" i="21" a="1"/>
  <c r="U94" i="21" s="1"/>
  <c r="V93" i="21" a="1"/>
  <c r="V93" i="21" s="1"/>
  <c r="U93" i="21" a="1"/>
  <c r="U93" i="21" s="1"/>
  <c r="U92" i="21" a="1"/>
  <c r="U92" i="21" s="1"/>
  <c r="V92" i="21" a="1"/>
  <c r="V92" i="21" s="1"/>
  <c r="U91" i="21" a="1"/>
  <c r="U91" i="21" s="1"/>
  <c r="V91" i="21" a="1"/>
  <c r="V91" i="21" s="1"/>
  <c r="U90" i="21" a="1"/>
  <c r="U90" i="21" s="1"/>
  <c r="V90" i="21" a="1"/>
  <c r="V90" i="21" s="1"/>
  <c r="V89" i="21" a="1"/>
  <c r="V89" i="21" s="1"/>
  <c r="U89" i="21" a="1"/>
  <c r="U89" i="21" s="1"/>
  <c r="U88" i="21" a="1"/>
  <c r="U88" i="21" s="1"/>
  <c r="V88" i="21" a="1"/>
  <c r="V88" i="21" s="1"/>
  <c r="V87" i="21" a="1"/>
  <c r="V87" i="21" s="1"/>
  <c r="U87" i="21" a="1"/>
  <c r="U87" i="21" s="1"/>
  <c r="V86" i="21" a="1"/>
  <c r="V86" i="21" s="1"/>
  <c r="U86" i="21" a="1"/>
  <c r="U86" i="21" s="1"/>
  <c r="U85" i="21" a="1"/>
  <c r="U85" i="21" s="1"/>
  <c r="V85" i="21" a="1"/>
  <c r="V85" i="21" s="1"/>
  <c r="U84" i="21" a="1"/>
  <c r="U84" i="21" s="1"/>
  <c r="V84" i="21" a="1"/>
  <c r="V84" i="21" s="1"/>
  <c r="U83" i="21" a="1"/>
  <c r="U83" i="21" s="1"/>
  <c r="V83" i="21" a="1"/>
  <c r="V83" i="21" s="1"/>
  <c r="U82" i="21" a="1"/>
  <c r="U82" i="21" s="1"/>
  <c r="V82" i="21" a="1"/>
  <c r="V82" i="21" s="1"/>
  <c r="U81" i="21" a="1"/>
  <c r="U81" i="21" s="1"/>
  <c r="V81" i="21" a="1"/>
  <c r="V81" i="21" s="1"/>
  <c r="U80" i="21" a="1"/>
  <c r="U80" i="21" s="1"/>
  <c r="V80" i="21" a="1"/>
  <c r="V80" i="21" s="1"/>
  <c r="U79" i="21" a="1"/>
  <c r="U79" i="21" s="1"/>
  <c r="V79" i="21" a="1"/>
  <c r="V79" i="21" s="1"/>
  <c r="U78" i="21" a="1"/>
  <c r="U78" i="21" s="1"/>
  <c r="V78" i="21" a="1"/>
  <c r="V78" i="21" s="1"/>
  <c r="U77" i="21" a="1"/>
  <c r="U77" i="21" s="1"/>
  <c r="V77" i="21" a="1"/>
  <c r="V77" i="21" s="1"/>
  <c r="U76" i="21" a="1"/>
  <c r="U76" i="21" s="1"/>
  <c r="V76" i="21" a="1"/>
  <c r="V76" i="21" s="1"/>
  <c r="U75" i="21" a="1"/>
  <c r="U75" i="21" s="1"/>
  <c r="V75" i="21" a="1"/>
  <c r="V75" i="21" s="1"/>
  <c r="U74" i="21" a="1"/>
  <c r="U74" i="21" s="1"/>
  <c r="V74" i="21" a="1"/>
  <c r="V74" i="21" s="1"/>
  <c r="U73" i="21" a="1"/>
  <c r="U73" i="21" s="1"/>
  <c r="V73" i="21" a="1"/>
  <c r="V73" i="21" s="1"/>
  <c r="U72" i="21" a="1"/>
  <c r="U72" i="21" s="1"/>
  <c r="V72" i="21" a="1"/>
  <c r="V72" i="21" s="1"/>
  <c r="U71" i="21" a="1"/>
  <c r="U71" i="21" s="1"/>
  <c r="V71" i="21" a="1"/>
  <c r="V71" i="21" s="1"/>
  <c r="U70" i="21" a="1"/>
  <c r="U70" i="21" s="1"/>
  <c r="V70" i="21" a="1"/>
  <c r="V70" i="21" s="1"/>
  <c r="U69" i="21" a="1"/>
  <c r="U69" i="21" s="1"/>
  <c r="V69" i="21" a="1"/>
  <c r="V69" i="21" s="1"/>
  <c r="U68" i="21" a="1"/>
  <c r="U68" i="21" s="1"/>
  <c r="V68" i="21" a="1"/>
  <c r="V68" i="21" s="1"/>
  <c r="U67" i="21" a="1"/>
  <c r="U67" i="21" s="1"/>
  <c r="V67" i="21" a="1"/>
  <c r="V67" i="21" s="1"/>
  <c r="AM18" i="21" a="1"/>
  <c r="AM18" i="21" s="1"/>
  <c r="AI18" i="21" a="1"/>
  <c r="AI18" i="21" s="1"/>
  <c r="AN17" i="21" a="1"/>
  <c r="AN17" i="21" s="1"/>
  <c r="AJ17" i="21" a="1"/>
  <c r="AJ17" i="21" s="1"/>
  <c r="AK18" i="21" a="1"/>
  <c r="AK18" i="21" s="1"/>
  <c r="AL17" i="21" a="1"/>
  <c r="AL17" i="21" s="1"/>
  <c r="AH17" i="21" a="1"/>
  <c r="AH17" i="21" s="1"/>
  <c r="V17" i="21" a="1"/>
  <c r="V17" i="21" s="1"/>
  <c r="U17" i="21" a="1"/>
  <c r="U17" i="21" s="1"/>
  <c r="U66" i="21" a="1"/>
  <c r="U66" i="21" s="1"/>
  <c r="V66" i="21" a="1"/>
  <c r="V66" i="21" s="1"/>
  <c r="U65" i="21" a="1"/>
  <c r="U65" i="21" s="1"/>
  <c r="V65" i="21" a="1"/>
  <c r="V65" i="21" s="1"/>
  <c r="U64" i="21" a="1"/>
  <c r="U64" i="21" s="1"/>
  <c r="V64" i="21" a="1"/>
  <c r="V64" i="21" s="1"/>
  <c r="U63" i="21" a="1"/>
  <c r="U63" i="21" s="1"/>
  <c r="V63" i="21" a="1"/>
  <c r="V63" i="21" s="1"/>
  <c r="U62" i="21" a="1"/>
  <c r="U62" i="21" s="1"/>
  <c r="V62" i="21" a="1"/>
  <c r="V62" i="21" s="1"/>
  <c r="U61" i="21" a="1"/>
  <c r="U61" i="21" s="1"/>
  <c r="V61" i="21" a="1"/>
  <c r="V61" i="21" s="1"/>
  <c r="U60" i="21" a="1"/>
  <c r="U60" i="21" s="1"/>
  <c r="V60" i="21" a="1"/>
  <c r="V60" i="21" s="1"/>
  <c r="U59" i="21" a="1"/>
  <c r="U59" i="21" s="1"/>
  <c r="V59" i="21" a="1"/>
  <c r="V59" i="21" s="1"/>
  <c r="U58" i="21" a="1"/>
  <c r="U58" i="21" s="1"/>
  <c r="V58" i="21" a="1"/>
  <c r="V58" i="21" s="1"/>
  <c r="U57" i="21" a="1"/>
  <c r="U57" i="21" s="1"/>
  <c r="V57" i="21" a="1"/>
  <c r="V57" i="21" s="1"/>
  <c r="U56" i="21" a="1"/>
  <c r="U56" i="21" s="1"/>
  <c r="V56" i="21" a="1"/>
  <c r="V56" i="21" s="1"/>
  <c r="U55" i="21" a="1"/>
  <c r="U55" i="21" s="1"/>
  <c r="V55" i="21" a="1"/>
  <c r="V55" i="21" s="1"/>
  <c r="U54" i="21" a="1"/>
  <c r="U54" i="21" s="1"/>
  <c r="V54" i="21" a="1"/>
  <c r="V54" i="21" s="1"/>
  <c r="U53" i="21" a="1"/>
  <c r="U53" i="21" s="1"/>
  <c r="V53" i="21" a="1"/>
  <c r="V53" i="21" s="1"/>
  <c r="U52" i="21" a="1"/>
  <c r="U52" i="21" s="1"/>
  <c r="V52" i="21" a="1"/>
  <c r="V52" i="21" s="1"/>
  <c r="U51" i="21" a="1"/>
  <c r="U51" i="21" s="1"/>
  <c r="V51" i="21" a="1"/>
  <c r="V51" i="21" s="1"/>
  <c r="U50" i="21" a="1"/>
  <c r="U50" i="21" s="1"/>
  <c r="V50" i="21" a="1"/>
  <c r="V50" i="21" s="1"/>
  <c r="U49" i="21" a="1"/>
  <c r="U49" i="21" s="1"/>
  <c r="V49" i="21" a="1"/>
  <c r="V49" i="21" s="1"/>
  <c r="U48" i="21" a="1"/>
  <c r="U48" i="21" s="1"/>
  <c r="V48" i="21" a="1"/>
  <c r="V48" i="21" s="1"/>
  <c r="U47" i="21" a="1"/>
  <c r="U47" i="21" s="1"/>
  <c r="V47" i="21" a="1"/>
  <c r="V47" i="21" s="1"/>
  <c r="U46" i="21" a="1"/>
  <c r="U46" i="21" s="1"/>
  <c r="V46" i="21" a="1"/>
  <c r="V46" i="21" s="1"/>
  <c r="U45" i="21" a="1"/>
  <c r="U45" i="21" s="1"/>
  <c r="V45" i="21" a="1"/>
  <c r="V45" i="21" s="1"/>
  <c r="U44" i="21" a="1"/>
  <c r="U44" i="21" s="1"/>
  <c r="V44" i="21" a="1"/>
  <c r="V44" i="21" s="1"/>
  <c r="U43" i="21" a="1"/>
  <c r="U43" i="21" s="1"/>
  <c r="V43" i="21" a="1"/>
  <c r="V43" i="21" s="1"/>
  <c r="U42" i="21" a="1"/>
  <c r="U42" i="21" s="1"/>
  <c r="V42" i="21" a="1"/>
  <c r="V42" i="21" s="1"/>
  <c r="U41" i="21" a="1"/>
  <c r="U41" i="21" s="1"/>
  <c r="V41" i="21" a="1"/>
  <c r="V41" i="21" s="1"/>
  <c r="U40" i="21" a="1"/>
  <c r="U40" i="21" s="1"/>
  <c r="V40" i="21" a="1"/>
  <c r="V40" i="21" s="1"/>
  <c r="U39" i="21" a="1"/>
  <c r="U39" i="21" s="1"/>
  <c r="V39" i="21" a="1"/>
  <c r="V39" i="21" s="1"/>
  <c r="U38" i="21" a="1"/>
  <c r="U38" i="21" s="1"/>
  <c r="V38" i="21" a="1"/>
  <c r="V38" i="21" s="1"/>
  <c r="U37" i="21" a="1"/>
  <c r="U37" i="21" s="1"/>
  <c r="V37" i="21" a="1"/>
  <c r="V37" i="21" s="1"/>
  <c r="U36" i="21" a="1"/>
  <c r="U36" i="21" s="1"/>
  <c r="V36" i="21" a="1"/>
  <c r="V36" i="21" s="1"/>
  <c r="U35" i="21" a="1"/>
  <c r="U35" i="21" s="1"/>
  <c r="V35" i="21" a="1"/>
  <c r="V35" i="21" s="1"/>
  <c r="U34" i="21" a="1"/>
  <c r="U34" i="21" s="1"/>
  <c r="V34" i="21" a="1"/>
  <c r="V34" i="21" s="1"/>
  <c r="U33" i="21" a="1"/>
  <c r="U33" i="21" s="1"/>
  <c r="V33" i="21" a="1"/>
  <c r="V33" i="21" s="1"/>
  <c r="U32" i="21" a="1"/>
  <c r="U32" i="21" s="1"/>
  <c r="V32" i="21" a="1"/>
  <c r="V32" i="21" s="1"/>
  <c r="U31" i="21" a="1"/>
  <c r="U31" i="21" s="1"/>
  <c r="V31" i="21" a="1"/>
  <c r="V31" i="21" s="1"/>
  <c r="V30" i="21" a="1"/>
  <c r="V30" i="21" s="1"/>
  <c r="U30" i="21" a="1"/>
  <c r="U30" i="21" s="1"/>
  <c r="U29" i="21" a="1"/>
  <c r="U29" i="21" s="1"/>
  <c r="V29" i="21" a="1"/>
  <c r="V29" i="21" s="1"/>
  <c r="U28" i="21" a="1"/>
  <c r="U28" i="21" s="1"/>
  <c r="V28" i="21" a="1"/>
  <c r="V28" i="21" s="1"/>
  <c r="U27" i="21" a="1"/>
  <c r="U27" i="21" s="1"/>
  <c r="V27" i="21" a="1"/>
  <c r="V27" i="21" s="1"/>
  <c r="U26" i="21" a="1"/>
  <c r="U26" i="21" s="1"/>
  <c r="V26" i="21" a="1"/>
  <c r="V26" i="21" s="1"/>
  <c r="U25" i="21" a="1"/>
  <c r="U25" i="21" s="1"/>
  <c r="V25" i="21" a="1"/>
  <c r="V25" i="21" s="1"/>
  <c r="U24" i="21" a="1"/>
  <c r="U24" i="21" s="1"/>
  <c r="V24" i="21" a="1"/>
  <c r="V24" i="21" s="1"/>
  <c r="U23" i="21" a="1"/>
  <c r="U23" i="21" s="1"/>
  <c r="V23" i="21" a="1"/>
  <c r="V23" i="21" s="1"/>
  <c r="U22" i="21" a="1"/>
  <c r="U22" i="21" s="1"/>
  <c r="V22" i="21" a="1"/>
  <c r="V22" i="21" s="1"/>
  <c r="U21" i="21" a="1"/>
  <c r="U21" i="21" s="1"/>
  <c r="V21" i="21" a="1"/>
  <c r="V21" i="21" s="1"/>
  <c r="U20" i="21" a="1"/>
  <c r="U20" i="21" s="1"/>
  <c r="V20" i="21" a="1"/>
  <c r="V20" i="21" s="1"/>
  <c r="U19" i="21" a="1"/>
  <c r="U19" i="21" s="1"/>
  <c r="V19" i="21" a="1"/>
  <c r="V19" i="21" s="1"/>
  <c r="U18" i="21" a="1"/>
  <c r="U18" i="21" s="1"/>
  <c r="V18" i="21" a="1"/>
  <c r="V18" i="21" s="1"/>
  <c r="R14" i="20" a="1"/>
  <c r="R14" i="20" s="1"/>
  <c r="Q14" i="20" a="1"/>
  <c r="Q14" i="20" s="1"/>
  <c r="S479" i="20" l="1"/>
  <c r="S484" i="20"/>
  <c r="S489" i="20"/>
  <c r="S495" i="20"/>
  <c r="S499" i="20"/>
  <c r="S507" i="20"/>
  <c r="S510" i="20"/>
  <c r="S516" i="20"/>
  <c r="S517" i="20"/>
  <c r="S518" i="20"/>
  <c r="S519" i="20"/>
  <c r="S520" i="20"/>
  <c r="S522" i="20"/>
  <c r="S523" i="20"/>
  <c r="S526" i="20"/>
  <c r="S529" i="20"/>
  <c r="S532" i="20"/>
  <c r="S533" i="20"/>
  <c r="S534" i="20"/>
  <c r="S535" i="20"/>
  <c r="S536" i="20"/>
  <c r="S539" i="20"/>
  <c r="S545" i="20"/>
  <c r="S547" i="20"/>
  <c r="S548" i="20"/>
  <c r="S761" i="20"/>
  <c r="S549" i="20"/>
  <c r="S550" i="20"/>
  <c r="S553" i="20"/>
  <c r="S557" i="20"/>
  <c r="S558" i="20"/>
  <c r="S559" i="20"/>
  <c r="S560" i="20"/>
  <c r="S561" i="20"/>
  <c r="S562" i="20"/>
  <c r="S563" i="20"/>
  <c r="S564" i="20"/>
  <c r="S565" i="20"/>
  <c r="S566" i="20"/>
  <c r="S567" i="20"/>
  <c r="S568" i="20"/>
  <c r="S569" i="20"/>
  <c r="S570" i="20"/>
  <c r="S574" i="20"/>
  <c r="S577" i="20"/>
  <c r="S578" i="20"/>
  <c r="S579" i="20"/>
  <c r="S582" i="20"/>
  <c r="S583" i="20"/>
  <c r="S584" i="20"/>
  <c r="S585" i="20"/>
  <c r="S586" i="20"/>
  <c r="S594" i="20"/>
  <c r="S599" i="20"/>
  <c r="S602" i="20"/>
  <c r="S612" i="20"/>
  <c r="S614" i="20"/>
  <c r="S624" i="20"/>
  <c r="S626" i="20"/>
  <c r="S635" i="20"/>
  <c r="S638" i="20"/>
  <c r="S647" i="20"/>
  <c r="S650" i="20"/>
  <c r="S658" i="20"/>
  <c r="S666" i="20"/>
  <c r="S670" i="20"/>
  <c r="S677" i="20"/>
  <c r="S682" i="20"/>
  <c r="S689" i="20"/>
  <c r="S693" i="20"/>
  <c r="S701" i="20"/>
  <c r="S707" i="20"/>
  <c r="S712" i="20"/>
  <c r="S721" i="20"/>
  <c r="S724" i="20"/>
  <c r="S733" i="20"/>
  <c r="S738" i="20"/>
  <c r="S746" i="20"/>
  <c r="S749" i="20"/>
  <c r="S751" i="20"/>
  <c r="AB15" i="20" a="1"/>
  <c r="AB15" i="20" s="1"/>
  <c r="AA16" i="20" a="1"/>
  <c r="AA16" i="20" s="1"/>
  <c r="AE15" i="20" a="1"/>
  <c r="AE15" i="20" s="1"/>
  <c r="AD17" i="20" a="1"/>
  <c r="AD17" i="20" s="1"/>
  <c r="AD18" i="20" s="1" a="1"/>
  <c r="AD18" i="20" s="1"/>
  <c r="AE16" i="20" a="1"/>
  <c r="AE16" i="20" s="1"/>
  <c r="S358" i="20"/>
  <c r="S383" i="20"/>
  <c r="S395" i="20"/>
  <c r="S418" i="20"/>
  <c r="S421" i="20"/>
  <c r="S355" i="20"/>
  <c r="S366" i="20"/>
  <c r="S370" i="20"/>
  <c r="S377" i="20"/>
  <c r="S385" i="20"/>
  <c r="S397" i="20"/>
  <c r="S407" i="20"/>
  <c r="S408" i="20"/>
  <c r="S429" i="20"/>
  <c r="S432" i="20"/>
  <c r="S439" i="20"/>
  <c r="S443" i="20"/>
  <c r="S449" i="20"/>
  <c r="S457" i="20"/>
  <c r="S460" i="20"/>
  <c r="S468" i="20"/>
  <c r="S472" i="20"/>
  <c r="S514" i="20"/>
  <c r="S764" i="20"/>
  <c r="S719" i="20"/>
  <c r="S713" i="20"/>
  <c r="S725" i="20"/>
  <c r="S728" i="20"/>
  <c r="S730" i="20"/>
  <c r="S708" i="20"/>
  <c r="S734" i="20"/>
  <c r="S736" i="20"/>
  <c r="S705" i="20"/>
  <c r="S739" i="20"/>
  <c r="S350" i="20"/>
  <c r="S351" i="20"/>
  <c r="S353" i="20"/>
  <c r="S354" i="20"/>
  <c r="S694" i="20"/>
  <c r="S356" i="20"/>
  <c r="S360" i="20"/>
  <c r="S361" i="20"/>
  <c r="S362" i="20"/>
  <c r="S363" i="20"/>
  <c r="S364" i="20"/>
  <c r="S380" i="20"/>
  <c r="S382" i="20"/>
  <c r="S685" i="20"/>
  <c r="S386" i="20"/>
  <c r="S387" i="20"/>
  <c r="S388" i="20"/>
  <c r="S389" i="20"/>
  <c r="S390" i="20"/>
  <c r="S392" i="20"/>
  <c r="S393" i="20"/>
  <c r="S394" i="20"/>
  <c r="S683" i="20"/>
  <c r="S396" i="20"/>
  <c r="S680" i="20"/>
  <c r="S398" i="20"/>
  <c r="S399" i="20"/>
  <c r="S400" i="20"/>
  <c r="S401" i="20"/>
  <c r="S402" i="20"/>
  <c r="S403" i="20"/>
  <c r="S404" i="20"/>
  <c r="S405" i="20"/>
  <c r="S406" i="20"/>
  <c r="S679" i="20"/>
  <c r="S678" i="20"/>
  <c r="S409" i="20"/>
  <c r="S410" i="20"/>
  <c r="S411" i="20"/>
  <c r="S412" i="20"/>
  <c r="S413" i="20"/>
  <c r="S416" i="20"/>
  <c r="S674" i="20"/>
  <c r="S419" i="20"/>
  <c r="S671" i="20"/>
  <c r="S422" i="20"/>
  <c r="S426" i="20"/>
  <c r="S427" i="20"/>
  <c r="S428" i="20"/>
  <c r="S628" i="20"/>
  <c r="S430" i="20"/>
  <c r="S431" i="20"/>
  <c r="S627" i="20"/>
  <c r="S433" i="20"/>
  <c r="S434" i="20"/>
  <c r="S437" i="20"/>
  <c r="S623" i="20"/>
  <c r="S440" i="20"/>
  <c r="S441" i="20"/>
  <c r="S442" i="20"/>
  <c r="S620" i="20"/>
  <c r="S444" i="20"/>
  <c r="S445" i="20"/>
  <c r="S446" i="20"/>
  <c r="S447" i="20"/>
  <c r="S448" i="20"/>
  <c r="S525" i="20"/>
  <c r="S450" i="20"/>
  <c r="S451" i="20"/>
  <c r="S453" i="20"/>
  <c r="S455" i="20"/>
  <c r="S456" i="20"/>
  <c r="S465" i="20"/>
  <c r="S467" i="20"/>
  <c r="S470" i="20"/>
  <c r="S524" i="20"/>
  <c r="S473" i="20"/>
  <c r="S475" i="20"/>
  <c r="S477" i="20"/>
  <c r="S521" i="20"/>
  <c r="S480" i="20"/>
  <c r="S482" i="20"/>
  <c r="S486" i="20"/>
  <c r="S488" i="20"/>
  <c r="S491" i="20"/>
  <c r="S493" i="20"/>
  <c r="S512" i="20"/>
  <c r="S496" i="20"/>
  <c r="S497" i="20"/>
  <c r="S503" i="20"/>
  <c r="S504" i="20"/>
  <c r="S505" i="20"/>
  <c r="S513" i="20"/>
  <c r="S352" i="20"/>
  <c r="S515" i="20"/>
  <c r="S619" i="20"/>
  <c r="S621" i="20"/>
  <c r="S511" i="20"/>
  <c r="S625" i="20"/>
  <c r="S632" i="20"/>
  <c r="S509" i="20"/>
  <c r="S636" i="20"/>
  <c r="S508" i="20"/>
  <c r="S640" i="20"/>
  <c r="S641" i="20"/>
  <c r="S642" i="20"/>
  <c r="S649" i="20"/>
  <c r="S652" i="20"/>
  <c r="S657" i="20"/>
  <c r="S673" i="20"/>
  <c r="S675" i="20"/>
  <c r="S681" i="20"/>
  <c r="S684" i="20"/>
  <c r="S686" i="20"/>
  <c r="S695" i="20"/>
  <c r="S696" i="20"/>
  <c r="S697" i="20"/>
  <c r="S698" i="20"/>
  <c r="S699" i="20"/>
  <c r="S700" i="20"/>
  <c r="S506" i="20"/>
  <c r="S702" i="20"/>
  <c r="S703" i="20"/>
  <c r="S706" i="20"/>
  <c r="S709" i="20"/>
  <c r="S711" i="20"/>
  <c r="S714" i="20"/>
  <c r="S715" i="20"/>
  <c r="S717" i="20"/>
  <c r="S502" i="20"/>
  <c r="S722" i="20"/>
  <c r="S723" i="20"/>
  <c r="S726" i="20"/>
  <c r="S729" i="20"/>
  <c r="S731" i="20"/>
  <c r="S742" i="20"/>
  <c r="S743" i="20"/>
  <c r="S745" i="20"/>
  <c r="S501" i="20"/>
  <c r="S527" i="20"/>
  <c r="S528" i="20"/>
  <c r="S500" i="20"/>
  <c r="S530" i="20"/>
  <c r="S531" i="20"/>
  <c r="S498" i="20"/>
  <c r="S716" i="20"/>
  <c r="S492" i="20"/>
  <c r="S490" i="20"/>
  <c r="S487" i="20"/>
  <c r="S537" i="20"/>
  <c r="S538" i="20"/>
  <c r="S485" i="20"/>
  <c r="S540" i="20"/>
  <c r="S541" i="20"/>
  <c r="S542" i="20"/>
  <c r="S543" i="20"/>
  <c r="S544" i="20"/>
  <c r="S483" i="20"/>
  <c r="S546" i="20"/>
  <c r="S481" i="20"/>
  <c r="S478" i="20"/>
  <c r="S476" i="20"/>
  <c r="S474" i="20"/>
  <c r="S551" i="20"/>
  <c r="S552" i="20"/>
  <c r="S471" i="20"/>
  <c r="S554" i="20"/>
  <c r="S555" i="20"/>
  <c r="S556" i="20"/>
  <c r="S469" i="20"/>
  <c r="S466" i="20"/>
  <c r="S464" i="20"/>
  <c r="S463" i="20"/>
  <c r="S462" i="20"/>
  <c r="S461" i="20"/>
  <c r="S459" i="20"/>
  <c r="S458" i="20"/>
  <c r="S454" i="20"/>
  <c r="S452" i="20"/>
  <c r="S438" i="20"/>
  <c r="S436" i="20"/>
  <c r="S435" i="20"/>
  <c r="S425" i="20"/>
  <c r="S571" i="20"/>
  <c r="S572" i="20"/>
  <c r="S573" i="20"/>
  <c r="S424" i="20"/>
  <c r="S575" i="20"/>
  <c r="S576" i="20"/>
  <c r="S423" i="20"/>
  <c r="S420" i="20"/>
  <c r="S417" i="20"/>
  <c r="S580" i="20"/>
  <c r="S581" i="20"/>
  <c r="S415" i="20"/>
  <c r="S414" i="20"/>
  <c r="S391" i="20"/>
  <c r="S384" i="20"/>
  <c r="S381" i="20"/>
  <c r="S587" i="20"/>
  <c r="S588" i="20"/>
  <c r="S589" i="20"/>
  <c r="S590" i="20"/>
  <c r="S591" i="20"/>
  <c r="S592" i="20"/>
  <c r="S593" i="20"/>
  <c r="S379" i="20"/>
  <c r="S595" i="20"/>
  <c r="S596" i="20"/>
  <c r="S597" i="20"/>
  <c r="S598" i="20"/>
  <c r="S378" i="20"/>
  <c r="S600" i="20"/>
  <c r="S601" i="20"/>
  <c r="S376" i="20"/>
  <c r="S603" i="20"/>
  <c r="S604" i="20"/>
  <c r="S605" i="20"/>
  <c r="S606" i="20"/>
  <c r="S607" i="20"/>
  <c r="S608" i="20"/>
  <c r="S609" i="20"/>
  <c r="S610" i="20"/>
  <c r="S611" i="20"/>
  <c r="S375" i="20"/>
  <c r="S613" i="20"/>
  <c r="S374" i="20"/>
  <c r="S615" i="20"/>
  <c r="S616" i="20"/>
  <c r="S617" i="20"/>
  <c r="S618" i="20"/>
  <c r="S622" i="20"/>
  <c r="S629" i="20"/>
  <c r="S630" i="20"/>
  <c r="S631" i="20"/>
  <c r="S633" i="20"/>
  <c r="S634" i="20"/>
  <c r="S637" i="20"/>
  <c r="S639" i="20"/>
  <c r="S643" i="20"/>
  <c r="S644" i="20"/>
  <c r="S645" i="20"/>
  <c r="S646" i="20"/>
  <c r="S373" i="20"/>
  <c r="S648" i="20"/>
  <c r="S372" i="20"/>
  <c r="S651" i="20"/>
  <c r="S653" i="20"/>
  <c r="S654" i="20"/>
  <c r="S655" i="20"/>
  <c r="S656" i="20"/>
  <c r="S371" i="20"/>
  <c r="S659" i="20"/>
  <c r="S660" i="20"/>
  <c r="S661" i="20"/>
  <c r="S662" i="20"/>
  <c r="S663" i="20"/>
  <c r="S664" i="20"/>
  <c r="S665" i="20"/>
  <c r="S369" i="20"/>
  <c r="S667" i="20"/>
  <c r="S668" i="20"/>
  <c r="S669" i="20"/>
  <c r="S672" i="20"/>
  <c r="S676" i="20"/>
  <c r="S687" i="20"/>
  <c r="S688" i="20"/>
  <c r="S368" i="20"/>
  <c r="S690" i="20"/>
  <c r="S691" i="20"/>
  <c r="S692" i="20"/>
  <c r="S704" i="20"/>
  <c r="S710" i="20"/>
  <c r="S718" i="20"/>
  <c r="S720" i="20"/>
  <c r="S727" i="20"/>
  <c r="S732" i="20"/>
  <c r="S735" i="20"/>
  <c r="S737" i="20"/>
  <c r="S740" i="20"/>
  <c r="S741" i="20"/>
  <c r="S744" i="20"/>
  <c r="S367" i="20"/>
  <c r="S747" i="20"/>
  <c r="S748" i="20"/>
  <c r="S365" i="20"/>
  <c r="S750" i="20"/>
  <c r="S359" i="20"/>
  <c r="S752" i="20"/>
  <c r="S753" i="20"/>
  <c r="S754" i="20"/>
  <c r="S755" i="20"/>
  <c r="S756" i="20"/>
  <c r="S757" i="20"/>
  <c r="S758" i="20"/>
  <c r="S759" i="20"/>
  <c r="S760" i="20"/>
  <c r="S357" i="20"/>
  <c r="S762" i="20"/>
  <c r="S763" i="20"/>
  <c r="S494" i="20"/>
  <c r="S194" i="20"/>
  <c r="S197" i="20"/>
  <c r="S198" i="20"/>
  <c r="S201" i="20"/>
  <c r="S202" i="20"/>
  <c r="S205" i="20"/>
  <c r="S206" i="20"/>
  <c r="S208" i="20"/>
  <c r="S211" i="20"/>
  <c r="S212" i="20"/>
  <c r="S215" i="20"/>
  <c r="S216" i="20"/>
  <c r="S219" i="20"/>
  <c r="S220" i="20"/>
  <c r="S223" i="20"/>
  <c r="S225" i="20"/>
  <c r="S227" i="20"/>
  <c r="S229" i="20"/>
  <c r="S231" i="20"/>
  <c r="S233" i="20"/>
  <c r="S235" i="20"/>
  <c r="S237" i="20"/>
  <c r="S239" i="20"/>
  <c r="S241" i="20"/>
  <c r="S242" i="20"/>
  <c r="S245" i="20"/>
  <c r="S247" i="20"/>
  <c r="S249" i="20"/>
  <c r="S252" i="20"/>
  <c r="S253" i="20"/>
  <c r="S256" i="20"/>
  <c r="S257" i="20"/>
  <c r="S259" i="20"/>
  <c r="S261" i="20"/>
  <c r="S264" i="20"/>
  <c r="S265" i="20"/>
  <c r="S268" i="20"/>
  <c r="S269" i="20"/>
  <c r="S275" i="20"/>
  <c r="S276" i="20"/>
  <c r="S277" i="20"/>
  <c r="S284" i="20"/>
  <c r="S285" i="20"/>
  <c r="S292" i="20"/>
  <c r="S295" i="20"/>
  <c r="S302" i="20"/>
  <c r="S304" i="20"/>
  <c r="S310" i="20"/>
  <c r="S311" i="20"/>
  <c r="S317" i="20"/>
  <c r="S320" i="20"/>
  <c r="S325" i="20"/>
  <c r="S329" i="20"/>
  <c r="S332" i="20"/>
  <c r="S336" i="20"/>
  <c r="S340" i="20"/>
  <c r="S345" i="20"/>
  <c r="S348" i="20"/>
  <c r="S272" i="20"/>
  <c r="S349" i="20"/>
  <c r="S254" i="20"/>
  <c r="S255" i="20"/>
  <c r="S250" i="20"/>
  <c r="S248" i="20"/>
  <c r="S258" i="20"/>
  <c r="S246" i="20"/>
  <c r="S260" i="20"/>
  <c r="S244" i="20"/>
  <c r="S262" i="20"/>
  <c r="S263" i="20"/>
  <c r="S243" i="20"/>
  <c r="S240" i="20"/>
  <c r="S266" i="20"/>
  <c r="S267" i="20"/>
  <c r="S238" i="20"/>
  <c r="S236" i="20"/>
  <c r="S270" i="20"/>
  <c r="S195" i="20"/>
  <c r="S234" i="20"/>
  <c r="S273" i="20"/>
  <c r="S274" i="20"/>
  <c r="S232" i="20"/>
  <c r="S337" i="20"/>
  <c r="S339" i="20"/>
  <c r="S230" i="20"/>
  <c r="S341" i="20"/>
  <c r="S342" i="20"/>
  <c r="S343" i="20"/>
  <c r="S344" i="20"/>
  <c r="S228" i="20"/>
  <c r="S346" i="20"/>
  <c r="S226" i="20"/>
  <c r="S224" i="20"/>
  <c r="S222" i="20"/>
  <c r="S278" i="20"/>
  <c r="S279" i="20"/>
  <c r="S280" i="20"/>
  <c r="S281" i="20"/>
  <c r="S282" i="20"/>
  <c r="S283" i="20"/>
  <c r="S221" i="20"/>
  <c r="S218" i="20"/>
  <c r="S286" i="20"/>
  <c r="S287" i="20"/>
  <c r="S288" i="20"/>
  <c r="S289" i="20"/>
  <c r="S290" i="20"/>
  <c r="S291" i="20"/>
  <c r="S217" i="20"/>
  <c r="S293" i="20"/>
  <c r="S294" i="20"/>
  <c r="S214" i="20"/>
  <c r="S296" i="20"/>
  <c r="S297" i="20"/>
  <c r="S298" i="20"/>
  <c r="S299" i="20"/>
  <c r="S300" i="20"/>
  <c r="S301" i="20"/>
  <c r="S213" i="20"/>
  <c r="S303" i="20"/>
  <c r="S210" i="20"/>
  <c r="S305" i="20"/>
  <c r="S306" i="20"/>
  <c r="S307" i="20"/>
  <c r="S308" i="20"/>
  <c r="S309" i="20"/>
  <c r="S209" i="20"/>
  <c r="S207" i="20"/>
  <c r="S312" i="20"/>
  <c r="S313" i="20"/>
  <c r="S314" i="20"/>
  <c r="S315" i="20"/>
  <c r="S316" i="20"/>
  <c r="S204" i="20"/>
  <c r="S318" i="20"/>
  <c r="S319" i="20"/>
  <c r="S203" i="20"/>
  <c r="S321" i="20"/>
  <c r="S322" i="20"/>
  <c r="S323" i="20"/>
  <c r="S324" i="20"/>
  <c r="S200" i="20"/>
  <c r="S326" i="20"/>
  <c r="S327" i="20"/>
  <c r="S328" i="20"/>
  <c r="S199" i="20"/>
  <c r="S330" i="20"/>
  <c r="S331" i="20"/>
  <c r="S196" i="20"/>
  <c r="S333" i="20"/>
  <c r="S334" i="20"/>
  <c r="S335" i="20"/>
  <c r="S338" i="20"/>
  <c r="S347" i="20"/>
  <c r="S271" i="20"/>
  <c r="S251" i="20"/>
  <c r="S146" i="20"/>
  <c r="S147" i="20"/>
  <c r="S150" i="20"/>
  <c r="S151" i="20"/>
  <c r="S154" i="20"/>
  <c r="S155" i="20"/>
  <c r="S157" i="20"/>
  <c r="S159" i="20"/>
  <c r="S161" i="20"/>
  <c r="S163" i="20"/>
  <c r="S165" i="20"/>
  <c r="S167" i="20"/>
  <c r="S169" i="20"/>
  <c r="S171" i="20"/>
  <c r="S172" i="20"/>
  <c r="S177" i="20"/>
  <c r="S178" i="20"/>
  <c r="S181" i="20"/>
  <c r="S182" i="20"/>
  <c r="S185" i="20"/>
  <c r="S186" i="20"/>
  <c r="S189" i="20"/>
  <c r="S190" i="20"/>
  <c r="S193" i="20"/>
  <c r="S168" i="20"/>
  <c r="S170" i="20"/>
  <c r="S166" i="20"/>
  <c r="S164" i="20"/>
  <c r="S173" i="20"/>
  <c r="S174" i="20"/>
  <c r="S175" i="20"/>
  <c r="S176" i="20"/>
  <c r="S162" i="20"/>
  <c r="S160" i="20"/>
  <c r="S179" i="20"/>
  <c r="S180" i="20"/>
  <c r="S158" i="20"/>
  <c r="S156" i="20"/>
  <c r="S183" i="20"/>
  <c r="S184" i="20"/>
  <c r="S153" i="20"/>
  <c r="S152" i="20"/>
  <c r="S187" i="20"/>
  <c r="S188" i="20"/>
  <c r="S149" i="20"/>
  <c r="S148" i="20"/>
  <c r="S191" i="20"/>
  <c r="S192" i="20"/>
  <c r="S145" i="20"/>
  <c r="S36" i="20"/>
  <c r="S38" i="20"/>
  <c r="S39" i="20"/>
  <c r="S41" i="20"/>
  <c r="S42" i="20"/>
  <c r="S45" i="20"/>
  <c r="S47" i="20"/>
  <c r="S49" i="20"/>
  <c r="S52" i="20"/>
  <c r="S53" i="20"/>
  <c r="S55" i="20"/>
  <c r="S58" i="20"/>
  <c r="S61" i="20"/>
  <c r="S64" i="20"/>
  <c r="S67" i="20"/>
  <c r="S69" i="20"/>
  <c r="S70" i="20"/>
  <c r="S73" i="20"/>
  <c r="S74" i="20"/>
  <c r="S77" i="20"/>
  <c r="S78" i="20"/>
  <c r="S80" i="20"/>
  <c r="S82" i="20"/>
  <c r="S84" i="20"/>
  <c r="S86" i="20"/>
  <c r="S87" i="20"/>
  <c r="S89" i="20"/>
  <c r="S90" i="20"/>
  <c r="S92" i="20"/>
  <c r="S94" i="20"/>
  <c r="S96" i="20"/>
  <c r="S98" i="20"/>
  <c r="S101" i="20"/>
  <c r="S104" i="20"/>
  <c r="S105" i="20"/>
  <c r="S108" i="20"/>
  <c r="S110" i="20"/>
  <c r="S112" i="20"/>
  <c r="S114" i="20"/>
  <c r="S116" i="20"/>
  <c r="S119" i="20"/>
  <c r="S120" i="20"/>
  <c r="S123" i="20"/>
  <c r="S128" i="20"/>
  <c r="S130" i="20"/>
  <c r="S131" i="20"/>
  <c r="S134" i="20"/>
  <c r="S139" i="20"/>
  <c r="S140" i="20"/>
  <c r="S142" i="20"/>
  <c r="S124" i="20"/>
  <c r="S127" i="20"/>
  <c r="S136" i="20"/>
  <c r="S16" i="20"/>
  <c r="S17" i="20"/>
  <c r="S20" i="20"/>
  <c r="S23" i="20"/>
  <c r="S26" i="20"/>
  <c r="S29" i="20"/>
  <c r="S30" i="20"/>
  <c r="S32" i="20"/>
  <c r="S34" i="20"/>
  <c r="S15" i="20"/>
  <c r="S14" i="20"/>
  <c r="S79" i="20"/>
  <c r="S75" i="20"/>
  <c r="S81" i="20"/>
  <c r="S72" i="20"/>
  <c r="S83" i="20"/>
  <c r="S71" i="20"/>
  <c r="S85" i="20"/>
  <c r="S68" i="20"/>
  <c r="S66" i="20"/>
  <c r="S88" i="20"/>
  <c r="S65" i="20"/>
  <c r="S63" i="20"/>
  <c r="S91" i="20"/>
  <c r="S62" i="20"/>
  <c r="S93" i="20"/>
  <c r="S60" i="20"/>
  <c r="S95" i="20"/>
  <c r="S59" i="20"/>
  <c r="S97" i="20"/>
  <c r="S57" i="20"/>
  <c r="S99" i="20"/>
  <c r="S100" i="20"/>
  <c r="S56" i="20"/>
  <c r="S102" i="20"/>
  <c r="S103" i="20"/>
  <c r="S54" i="20"/>
  <c r="S51" i="20"/>
  <c r="S106" i="20"/>
  <c r="S107" i="20"/>
  <c r="S50" i="20"/>
  <c r="S109" i="20"/>
  <c r="S48" i="20"/>
  <c r="S111" i="20"/>
  <c r="S46" i="20"/>
  <c r="S113" i="20"/>
  <c r="S44" i="20"/>
  <c r="S115" i="20"/>
  <c r="S43" i="20"/>
  <c r="S117" i="20"/>
  <c r="S118" i="20"/>
  <c r="S40" i="20"/>
  <c r="S37" i="20"/>
  <c r="S121" i="20"/>
  <c r="S122" i="20"/>
  <c r="S35" i="20"/>
  <c r="S33" i="20"/>
  <c r="S125" i="20"/>
  <c r="S126" i="20"/>
  <c r="S31" i="20"/>
  <c r="S28" i="20"/>
  <c r="S129" i="20"/>
  <c r="S27" i="20"/>
  <c r="S25" i="20"/>
  <c r="S132" i="20"/>
  <c r="S133" i="20"/>
  <c r="S24" i="20"/>
  <c r="S135" i="20"/>
  <c r="S22" i="20"/>
  <c r="S137" i="20"/>
  <c r="S138" i="20"/>
  <c r="S21" i="20"/>
  <c r="S19" i="20"/>
  <c r="S141" i="20"/>
  <c r="S18" i="20"/>
  <c r="S143" i="20"/>
  <c r="S144" i="20"/>
  <c r="S76" i="20"/>
  <c r="W57" i="21"/>
  <c r="W55" i="21"/>
  <c r="W64" i="21"/>
  <c r="W54" i="21"/>
  <c r="W215" i="21"/>
  <c r="W179" i="21"/>
  <c r="W178" i="21"/>
  <c r="W140" i="21"/>
  <c r="W136" i="21"/>
  <c r="W133" i="21"/>
  <c r="W131" i="21"/>
  <c r="W129" i="21"/>
  <c r="W125" i="21"/>
  <c r="W122" i="21"/>
  <c r="W120" i="21"/>
  <c r="W106" i="21"/>
  <c r="W104" i="21"/>
  <c r="W87" i="21"/>
  <c r="W82" i="21"/>
  <c r="W79" i="21"/>
  <c r="W196" i="21"/>
  <c r="W66" i="21"/>
  <c r="W176" i="21"/>
  <c r="W175" i="21"/>
  <c r="W174" i="21"/>
  <c r="W173" i="21"/>
  <c r="W172" i="21"/>
  <c r="W171" i="21"/>
  <c r="W170" i="21"/>
  <c r="W169" i="21"/>
  <c r="W168" i="21"/>
  <c r="W167" i="21"/>
  <c r="W166" i="21"/>
  <c r="W165" i="21"/>
  <c r="W164" i="21"/>
  <c r="W163" i="21"/>
  <c r="W162" i="21"/>
  <c r="W161" i="21"/>
  <c r="W160" i="21"/>
  <c r="W159" i="21"/>
  <c r="W144" i="21"/>
  <c r="W143" i="21"/>
  <c r="W141" i="21"/>
  <c r="W138" i="21"/>
  <c r="W134" i="21"/>
  <c r="W124" i="21"/>
  <c r="W102" i="21"/>
  <c r="W99" i="21"/>
  <c r="W90" i="21"/>
  <c r="W157" i="21"/>
  <c r="W156" i="21"/>
  <c r="W155" i="21"/>
  <c r="W154" i="21"/>
  <c r="W153" i="21"/>
  <c r="W152" i="21"/>
  <c r="W151" i="21"/>
  <c r="W150" i="21"/>
  <c r="W149" i="21"/>
  <c r="W148" i="21"/>
  <c r="W147" i="21"/>
  <c r="W146" i="21"/>
  <c r="W145" i="21"/>
  <c r="W84" i="21"/>
  <c r="W65" i="21"/>
  <c r="W63" i="21"/>
  <c r="W137" i="21"/>
  <c r="W118" i="21"/>
  <c r="W117" i="21"/>
  <c r="W116" i="21"/>
  <c r="W115" i="21"/>
  <c r="W114" i="21"/>
  <c r="W113" i="21"/>
  <c r="W112" i="21"/>
  <c r="W111" i="21"/>
  <c r="W110" i="21"/>
  <c r="W109" i="21"/>
  <c r="W107" i="21"/>
  <c r="W92" i="21"/>
  <c r="W85" i="21"/>
  <c r="W98" i="21"/>
  <c r="W97" i="21"/>
  <c r="W96" i="21"/>
  <c r="W95" i="21"/>
  <c r="W94" i="21"/>
  <c r="W93" i="21"/>
  <c r="W88" i="21"/>
  <c r="W83" i="21"/>
  <c r="W80" i="21"/>
  <c r="W78" i="21"/>
  <c r="W77" i="21"/>
  <c r="W76" i="21"/>
  <c r="W75" i="21"/>
  <c r="W74" i="21"/>
  <c r="W73" i="21"/>
  <c r="W72" i="21"/>
  <c r="W71" i="21"/>
  <c r="W70" i="21"/>
  <c r="W69" i="21"/>
  <c r="W68" i="21"/>
  <c r="W67" i="21"/>
  <c r="W62" i="21"/>
  <c r="W61" i="21"/>
  <c r="W60" i="21"/>
  <c r="W59" i="21"/>
  <c r="W58" i="21"/>
  <c r="W213" i="21"/>
  <c r="W210" i="21"/>
  <c r="W209" i="21"/>
  <c r="W207" i="21"/>
  <c r="W206" i="21"/>
  <c r="W204" i="21"/>
  <c r="W201" i="21"/>
  <c r="W195" i="21"/>
  <c r="W194" i="21"/>
  <c r="W191" i="21"/>
  <c r="W189" i="21"/>
  <c r="W188" i="21"/>
  <c r="W186" i="21"/>
  <c r="W183" i="21"/>
  <c r="W177" i="21"/>
  <c r="W158" i="21"/>
  <c r="W130" i="21"/>
  <c r="W128" i="21"/>
  <c r="W126" i="21"/>
  <c r="W101" i="21"/>
  <c r="W100" i="21"/>
  <c r="W91" i="21"/>
  <c r="W214" i="21"/>
  <c r="W212" i="21"/>
  <c r="W208" i="21"/>
  <c r="W200" i="21"/>
  <c r="W198" i="21"/>
  <c r="W192" i="21"/>
  <c r="W190" i="21"/>
  <c r="W185" i="21"/>
  <c r="W184" i="21"/>
  <c r="W181" i="21"/>
  <c r="W56" i="21"/>
  <c r="W216" i="21"/>
  <c r="W211" i="21"/>
  <c r="W205" i="21"/>
  <c r="W203" i="21"/>
  <c r="W202" i="21"/>
  <c r="W199" i="21"/>
  <c r="W197" i="21"/>
  <c r="W193" i="21"/>
  <c r="W187" i="21"/>
  <c r="W182" i="21"/>
  <c r="W180" i="21"/>
  <c r="W142" i="21"/>
  <c r="W139" i="21"/>
  <c r="W135" i="21"/>
  <c r="W132" i="21"/>
  <c r="W127" i="21"/>
  <c r="W123" i="21"/>
  <c r="W121" i="21"/>
  <c r="W119" i="21"/>
  <c r="W108" i="21"/>
  <c r="W105" i="21"/>
  <c r="W103" i="21"/>
  <c r="W89" i="21"/>
  <c r="W86" i="21"/>
  <c r="W81" i="21"/>
  <c r="W49" i="21"/>
  <c r="W48" i="21"/>
  <c r="W47" i="21"/>
  <c r="W53" i="21"/>
  <c r="W52" i="21"/>
  <c r="W51" i="21"/>
  <c r="W50" i="21"/>
  <c r="W46" i="21"/>
  <c r="W45" i="21"/>
  <c r="W44" i="21"/>
  <c r="W43" i="21"/>
  <c r="W42" i="21"/>
  <c r="W41" i="21"/>
  <c r="W40" i="21"/>
  <c r="W39" i="21"/>
  <c r="W38" i="21"/>
  <c r="W37" i="21"/>
  <c r="W36" i="21"/>
  <c r="W35" i="21"/>
  <c r="W34" i="21"/>
  <c r="W33" i="21"/>
  <c r="W32" i="21"/>
  <c r="W31" i="21"/>
  <c r="W30" i="21"/>
  <c r="W29" i="21"/>
  <c r="W28" i="21"/>
  <c r="W27" i="21"/>
  <c r="W26" i="21"/>
  <c r="W25" i="21"/>
  <c r="W24" i="21"/>
  <c r="W23" i="21"/>
  <c r="W22" i="21"/>
  <c r="W21" i="21"/>
  <c r="W20" i="21"/>
  <c r="W19" i="21"/>
  <c r="W18" i="21"/>
  <c r="W17" i="21"/>
  <c r="AM19" i="21" a="1"/>
  <c r="AM19" i="21" s="1"/>
  <c r="AM20" i="21" s="1" a="1"/>
  <c r="AM20" i="21" s="1"/>
  <c r="AI19" i="21" a="1"/>
  <c r="AI19" i="21" s="1"/>
  <c r="AJ18" i="21" a="1"/>
  <c r="AJ18" i="21" s="1"/>
  <c r="AN18" i="21" a="1"/>
  <c r="AN18" i="21" s="1"/>
  <c r="AL18" i="21" a="1"/>
  <c r="AL18" i="21" s="1"/>
  <c r="AH18" i="21" a="1"/>
  <c r="AH18" i="21" s="1"/>
  <c r="AK19" i="21" a="1"/>
  <c r="AK19" i="21" s="1"/>
  <c r="AH19" i="21" a="1"/>
  <c r="AH19" i="21" s="1"/>
  <c r="AA17" i="20" l="1" a="1"/>
  <c r="AA17" i="20" s="1"/>
  <c r="AB16" i="20" a="1"/>
  <c r="AB16" i="20" s="1"/>
  <c r="AD19" i="20" a="1"/>
  <c r="AD19" i="20" s="1"/>
  <c r="AD20" i="20" s="1" a="1"/>
  <c r="AD20" i="20" s="1"/>
  <c r="AE17" i="20" a="1"/>
  <c r="AE17" i="20" s="1"/>
  <c r="AE18" i="20" a="1"/>
  <c r="AE18" i="20" s="1"/>
  <c r="T14" i="20"/>
  <c r="B14" i="20" s="1"/>
  <c r="T15" i="20"/>
  <c r="T16" i="20"/>
  <c r="T17" i="20"/>
  <c r="T18" i="20"/>
  <c r="T19" i="20"/>
  <c r="T20" i="20"/>
  <c r="T21" i="20"/>
  <c r="T22" i="20"/>
  <c r="T23" i="20"/>
  <c r="T24" i="20"/>
  <c r="T25" i="20"/>
  <c r="T26" i="20"/>
  <c r="T27" i="20"/>
  <c r="T28" i="20"/>
  <c r="T29" i="20"/>
  <c r="T30" i="20"/>
  <c r="T31" i="20"/>
  <c r="T32" i="20"/>
  <c r="T33" i="20"/>
  <c r="T34" i="20"/>
  <c r="T35" i="20"/>
  <c r="T36" i="20"/>
  <c r="T37" i="20"/>
  <c r="T38" i="20"/>
  <c r="T39" i="20"/>
  <c r="T40" i="20"/>
  <c r="T41" i="20"/>
  <c r="T42" i="20"/>
  <c r="T43" i="20"/>
  <c r="T44" i="20"/>
  <c r="T45" i="20"/>
  <c r="T46" i="20"/>
  <c r="T47" i="20"/>
  <c r="T48" i="20"/>
  <c r="T49" i="20"/>
  <c r="T50" i="20"/>
  <c r="T51" i="20"/>
  <c r="T52" i="20"/>
  <c r="T53" i="20"/>
  <c r="T54" i="20"/>
  <c r="T55" i="20"/>
  <c r="T56" i="20"/>
  <c r="T57" i="20"/>
  <c r="T58" i="20"/>
  <c r="T59" i="20"/>
  <c r="T60" i="20"/>
  <c r="T61" i="20"/>
  <c r="T62" i="20"/>
  <c r="T63" i="20"/>
  <c r="T64" i="20"/>
  <c r="T65" i="20"/>
  <c r="T66" i="20"/>
  <c r="T67" i="20"/>
  <c r="T68" i="20"/>
  <c r="T69" i="20"/>
  <c r="T70" i="20"/>
  <c r="T71" i="20"/>
  <c r="T72" i="20"/>
  <c r="T73" i="20"/>
  <c r="T74" i="20"/>
  <c r="T75" i="20"/>
  <c r="T76" i="20"/>
  <c r="T77" i="20"/>
  <c r="T78" i="20"/>
  <c r="T79" i="20"/>
  <c r="T80" i="20"/>
  <c r="T81" i="20"/>
  <c r="T82" i="20"/>
  <c r="T83" i="20"/>
  <c r="T84" i="20"/>
  <c r="T85" i="20"/>
  <c r="T86" i="20"/>
  <c r="T87" i="20"/>
  <c r="T88" i="20"/>
  <c r="T89" i="20"/>
  <c r="T90" i="20"/>
  <c r="T91" i="20"/>
  <c r="T92" i="20"/>
  <c r="T93" i="20"/>
  <c r="T94" i="20"/>
  <c r="T95" i="20"/>
  <c r="T96" i="20"/>
  <c r="T97" i="20"/>
  <c r="T98" i="20"/>
  <c r="T99" i="20"/>
  <c r="T100" i="20"/>
  <c r="T101" i="20"/>
  <c r="T102" i="20"/>
  <c r="T103" i="20"/>
  <c r="T104" i="20"/>
  <c r="T105" i="20"/>
  <c r="T106" i="20"/>
  <c r="T107" i="20"/>
  <c r="T108" i="20"/>
  <c r="T109" i="20"/>
  <c r="T110" i="20"/>
  <c r="T111" i="20"/>
  <c r="T112" i="20"/>
  <c r="T113" i="20"/>
  <c r="T114" i="20"/>
  <c r="T115" i="20"/>
  <c r="T116" i="20"/>
  <c r="T117" i="20"/>
  <c r="T118" i="20"/>
  <c r="T119" i="20"/>
  <c r="T120" i="20"/>
  <c r="T121" i="20"/>
  <c r="T122" i="20"/>
  <c r="T123" i="20"/>
  <c r="T124" i="20"/>
  <c r="T125" i="20"/>
  <c r="T126" i="20"/>
  <c r="T127" i="20"/>
  <c r="T128" i="20"/>
  <c r="T129" i="20"/>
  <c r="T130" i="20"/>
  <c r="T131" i="20"/>
  <c r="T132" i="20"/>
  <c r="T133" i="20"/>
  <c r="T134" i="20"/>
  <c r="T135" i="20"/>
  <c r="T136" i="20"/>
  <c r="T137" i="20"/>
  <c r="T138" i="20"/>
  <c r="T139" i="20"/>
  <c r="T140" i="20"/>
  <c r="T141" i="20"/>
  <c r="T142" i="20"/>
  <c r="T143" i="20"/>
  <c r="T144" i="20"/>
  <c r="T145" i="20"/>
  <c r="T146" i="20"/>
  <c r="T147" i="20"/>
  <c r="T148" i="20"/>
  <c r="T149" i="20"/>
  <c r="T150" i="20"/>
  <c r="T151" i="20"/>
  <c r="T152" i="20"/>
  <c r="T153" i="20"/>
  <c r="T154" i="20"/>
  <c r="T155" i="20"/>
  <c r="T156" i="20"/>
  <c r="T157" i="20"/>
  <c r="T158" i="20"/>
  <c r="T159" i="20"/>
  <c r="T160" i="20"/>
  <c r="T161" i="20"/>
  <c r="T162" i="20"/>
  <c r="T163" i="20"/>
  <c r="T164" i="20"/>
  <c r="T165" i="20"/>
  <c r="T166" i="20"/>
  <c r="T167" i="20"/>
  <c r="T168" i="20"/>
  <c r="T169" i="20"/>
  <c r="T170" i="20"/>
  <c r="T171" i="20"/>
  <c r="T172" i="20"/>
  <c r="T173" i="20"/>
  <c r="T174" i="20"/>
  <c r="T175" i="20"/>
  <c r="T176" i="20"/>
  <c r="T177" i="20"/>
  <c r="T178" i="20"/>
  <c r="T179" i="20"/>
  <c r="T180" i="20"/>
  <c r="T181" i="20"/>
  <c r="T182" i="20"/>
  <c r="T183" i="20"/>
  <c r="T184" i="20"/>
  <c r="T185" i="20"/>
  <c r="T186" i="20"/>
  <c r="T187" i="20"/>
  <c r="T188" i="20"/>
  <c r="T189" i="20"/>
  <c r="T190" i="20"/>
  <c r="T191" i="20"/>
  <c r="T192" i="20"/>
  <c r="T193" i="20"/>
  <c r="T194" i="20"/>
  <c r="T195" i="20"/>
  <c r="T196" i="20"/>
  <c r="T197" i="20"/>
  <c r="T198" i="20"/>
  <c r="T199" i="20"/>
  <c r="T200" i="20"/>
  <c r="T201" i="20"/>
  <c r="T202" i="20"/>
  <c r="T203" i="20"/>
  <c r="T204" i="20"/>
  <c r="T205" i="20"/>
  <c r="T206" i="20"/>
  <c r="T207" i="20"/>
  <c r="T208" i="20"/>
  <c r="T209" i="20"/>
  <c r="T210" i="20"/>
  <c r="T211" i="20"/>
  <c r="T212" i="20"/>
  <c r="T213" i="20"/>
  <c r="T214" i="20"/>
  <c r="T215" i="20"/>
  <c r="T216" i="20"/>
  <c r="T217" i="20"/>
  <c r="T218" i="20"/>
  <c r="T219" i="20"/>
  <c r="T220" i="20"/>
  <c r="T221" i="20"/>
  <c r="T222" i="20"/>
  <c r="T223" i="20"/>
  <c r="T224" i="20"/>
  <c r="T225" i="20"/>
  <c r="T226" i="20"/>
  <c r="T227" i="20"/>
  <c r="T228" i="20"/>
  <c r="T229" i="20"/>
  <c r="T230" i="20"/>
  <c r="T231" i="20"/>
  <c r="T232" i="20"/>
  <c r="T233" i="20"/>
  <c r="T234" i="20"/>
  <c r="T235" i="20"/>
  <c r="T236" i="20"/>
  <c r="T237" i="20"/>
  <c r="T238" i="20"/>
  <c r="T239" i="20"/>
  <c r="T240" i="20"/>
  <c r="T241" i="20"/>
  <c r="T242" i="20"/>
  <c r="T243" i="20"/>
  <c r="T244" i="20"/>
  <c r="T245" i="20"/>
  <c r="T246" i="20"/>
  <c r="T247" i="20"/>
  <c r="T248" i="20"/>
  <c r="T249" i="20"/>
  <c r="T250" i="20"/>
  <c r="T251" i="20"/>
  <c r="T252" i="20"/>
  <c r="T253" i="20"/>
  <c r="T254" i="20"/>
  <c r="T255" i="20"/>
  <c r="T256" i="20"/>
  <c r="T257" i="20"/>
  <c r="T258" i="20"/>
  <c r="T259" i="20"/>
  <c r="T260" i="20"/>
  <c r="T261" i="20"/>
  <c r="T262" i="20"/>
  <c r="T263" i="20"/>
  <c r="T264" i="20"/>
  <c r="T265" i="20"/>
  <c r="T266" i="20"/>
  <c r="T267" i="20"/>
  <c r="T268" i="20"/>
  <c r="T269" i="20"/>
  <c r="T270" i="20"/>
  <c r="T271" i="20"/>
  <c r="T272" i="20"/>
  <c r="T273" i="20"/>
  <c r="T274" i="20"/>
  <c r="T275" i="20"/>
  <c r="T276" i="20"/>
  <c r="T277" i="20"/>
  <c r="T278" i="20"/>
  <c r="T279" i="20"/>
  <c r="T280" i="20"/>
  <c r="T281" i="20"/>
  <c r="T282" i="20"/>
  <c r="T283" i="20"/>
  <c r="T284" i="20"/>
  <c r="T285" i="20"/>
  <c r="T286" i="20"/>
  <c r="T287" i="20"/>
  <c r="T288" i="20"/>
  <c r="T289" i="20"/>
  <c r="T290" i="20"/>
  <c r="T291" i="20"/>
  <c r="T292" i="20"/>
  <c r="T293" i="20"/>
  <c r="T294" i="20"/>
  <c r="T295" i="20"/>
  <c r="T296" i="20"/>
  <c r="T297" i="20"/>
  <c r="T298" i="20"/>
  <c r="T299" i="20"/>
  <c r="T300" i="20"/>
  <c r="T301" i="20"/>
  <c r="T302" i="20"/>
  <c r="T303" i="20"/>
  <c r="T304" i="20"/>
  <c r="T305" i="20"/>
  <c r="T306" i="20"/>
  <c r="T307" i="20"/>
  <c r="T308" i="20"/>
  <c r="T309" i="20"/>
  <c r="T310" i="20"/>
  <c r="T311" i="20"/>
  <c r="T312" i="20"/>
  <c r="T313" i="20"/>
  <c r="T314" i="20"/>
  <c r="T315" i="20"/>
  <c r="T316" i="20"/>
  <c r="T317" i="20"/>
  <c r="T318" i="20"/>
  <c r="T319" i="20"/>
  <c r="T320" i="20"/>
  <c r="T321" i="20"/>
  <c r="T322" i="20"/>
  <c r="T323" i="20"/>
  <c r="T324" i="20"/>
  <c r="T325" i="20"/>
  <c r="T326" i="20"/>
  <c r="T327" i="20"/>
  <c r="T328" i="20"/>
  <c r="T329" i="20"/>
  <c r="T330" i="20"/>
  <c r="T331" i="20"/>
  <c r="T332" i="20"/>
  <c r="T333" i="20"/>
  <c r="T334" i="20"/>
  <c r="T335" i="20"/>
  <c r="T336" i="20"/>
  <c r="T337" i="20"/>
  <c r="T338" i="20"/>
  <c r="T339" i="20"/>
  <c r="T340" i="20"/>
  <c r="T341" i="20"/>
  <c r="T342" i="20"/>
  <c r="T343" i="20"/>
  <c r="T344" i="20"/>
  <c r="T345" i="20"/>
  <c r="T346" i="20"/>
  <c r="T347" i="20"/>
  <c r="T348" i="20"/>
  <c r="T349" i="20"/>
  <c r="T350" i="20"/>
  <c r="T351" i="20"/>
  <c r="T352" i="20"/>
  <c r="T353" i="20"/>
  <c r="T354" i="20"/>
  <c r="T355" i="20"/>
  <c r="T356" i="20"/>
  <c r="T357" i="20"/>
  <c r="T358" i="20"/>
  <c r="T359" i="20"/>
  <c r="T360" i="20"/>
  <c r="T361" i="20"/>
  <c r="T362" i="20"/>
  <c r="T363" i="20"/>
  <c r="T364" i="20"/>
  <c r="T365" i="20"/>
  <c r="T366" i="20"/>
  <c r="T367" i="20"/>
  <c r="T368" i="20"/>
  <c r="T369" i="20"/>
  <c r="T370" i="20"/>
  <c r="T371" i="20"/>
  <c r="T372" i="20"/>
  <c r="T373" i="20"/>
  <c r="T374" i="20"/>
  <c r="T375" i="20"/>
  <c r="T376" i="20"/>
  <c r="T377" i="20"/>
  <c r="T378" i="20"/>
  <c r="T379" i="20"/>
  <c r="T380" i="20"/>
  <c r="T381" i="20"/>
  <c r="T382" i="20"/>
  <c r="T383" i="20"/>
  <c r="T384" i="20"/>
  <c r="T385" i="20"/>
  <c r="T386" i="20"/>
  <c r="T387" i="20"/>
  <c r="T388" i="20"/>
  <c r="T389" i="20"/>
  <c r="T390" i="20"/>
  <c r="T391" i="20"/>
  <c r="T392" i="20"/>
  <c r="T393" i="20"/>
  <c r="T394" i="20"/>
  <c r="T395" i="20"/>
  <c r="T396" i="20"/>
  <c r="T397" i="20"/>
  <c r="T398" i="20"/>
  <c r="T399" i="20"/>
  <c r="T400" i="20"/>
  <c r="T401" i="20"/>
  <c r="T402" i="20"/>
  <c r="T403" i="20"/>
  <c r="T404" i="20"/>
  <c r="T405" i="20"/>
  <c r="T406" i="20"/>
  <c r="T407" i="20"/>
  <c r="T408" i="20"/>
  <c r="T409" i="20"/>
  <c r="T410" i="20"/>
  <c r="T411" i="20"/>
  <c r="T412" i="20"/>
  <c r="T413" i="20"/>
  <c r="T414" i="20"/>
  <c r="T415" i="20"/>
  <c r="T416" i="20"/>
  <c r="T417" i="20"/>
  <c r="T418" i="20"/>
  <c r="T419" i="20"/>
  <c r="T420" i="20"/>
  <c r="T421" i="20"/>
  <c r="T422" i="20"/>
  <c r="T423" i="20"/>
  <c r="T424" i="20"/>
  <c r="T425" i="20"/>
  <c r="T426" i="20"/>
  <c r="T427" i="20"/>
  <c r="T428" i="20"/>
  <c r="T429" i="20"/>
  <c r="T430" i="20"/>
  <c r="T431" i="20"/>
  <c r="T432" i="20"/>
  <c r="T433" i="20"/>
  <c r="T434" i="20"/>
  <c r="T435" i="20"/>
  <c r="T436" i="20"/>
  <c r="T437" i="20"/>
  <c r="T438" i="20"/>
  <c r="T439" i="20"/>
  <c r="T440" i="20"/>
  <c r="T441" i="20"/>
  <c r="T442" i="20"/>
  <c r="T443" i="20"/>
  <c r="T444" i="20"/>
  <c r="T445" i="20"/>
  <c r="T446" i="20"/>
  <c r="T447" i="20"/>
  <c r="T448" i="20"/>
  <c r="T449" i="20"/>
  <c r="T450" i="20"/>
  <c r="T451" i="20"/>
  <c r="T452" i="20"/>
  <c r="T453" i="20"/>
  <c r="T454" i="20"/>
  <c r="T455" i="20"/>
  <c r="T456" i="20"/>
  <c r="T457" i="20"/>
  <c r="T458" i="20"/>
  <c r="T459" i="20"/>
  <c r="T460" i="20"/>
  <c r="T461" i="20"/>
  <c r="T462" i="20"/>
  <c r="T463" i="20"/>
  <c r="T464" i="20"/>
  <c r="T465" i="20"/>
  <c r="T466" i="20"/>
  <c r="T467" i="20"/>
  <c r="T468" i="20"/>
  <c r="T469" i="20"/>
  <c r="T470" i="20"/>
  <c r="T471" i="20"/>
  <c r="T472" i="20"/>
  <c r="T473" i="20"/>
  <c r="T474" i="20"/>
  <c r="T475" i="20"/>
  <c r="T476" i="20"/>
  <c r="T477" i="20"/>
  <c r="T478" i="20"/>
  <c r="T479" i="20"/>
  <c r="T480" i="20"/>
  <c r="T481" i="20"/>
  <c r="T482" i="20"/>
  <c r="T483" i="20"/>
  <c r="T484" i="20"/>
  <c r="T485" i="20"/>
  <c r="T486" i="20"/>
  <c r="T487" i="20"/>
  <c r="T488" i="20"/>
  <c r="T489" i="20"/>
  <c r="T490" i="20"/>
  <c r="T491" i="20"/>
  <c r="T492" i="20"/>
  <c r="T493" i="20"/>
  <c r="T494" i="20"/>
  <c r="T495" i="20"/>
  <c r="T496" i="20"/>
  <c r="T497" i="20"/>
  <c r="T498" i="20"/>
  <c r="T499" i="20"/>
  <c r="T500" i="20"/>
  <c r="T501" i="20"/>
  <c r="T502" i="20"/>
  <c r="T503" i="20"/>
  <c r="T504" i="20"/>
  <c r="T505" i="20"/>
  <c r="T506" i="20"/>
  <c r="T507" i="20"/>
  <c r="T508" i="20"/>
  <c r="T509" i="20"/>
  <c r="T510" i="20"/>
  <c r="T511" i="20"/>
  <c r="T512" i="20"/>
  <c r="T513" i="20"/>
  <c r="T514" i="20"/>
  <c r="T515" i="20"/>
  <c r="T516" i="20"/>
  <c r="T517" i="20"/>
  <c r="T518" i="20"/>
  <c r="T519" i="20"/>
  <c r="T520" i="20"/>
  <c r="T521" i="20"/>
  <c r="T522" i="20"/>
  <c r="T523" i="20"/>
  <c r="T524" i="20"/>
  <c r="T525" i="20"/>
  <c r="T526" i="20"/>
  <c r="T527" i="20"/>
  <c r="T528" i="20"/>
  <c r="T529" i="20"/>
  <c r="T530" i="20"/>
  <c r="T531" i="20"/>
  <c r="T532" i="20"/>
  <c r="T533" i="20"/>
  <c r="T534" i="20"/>
  <c r="T535" i="20"/>
  <c r="T536" i="20"/>
  <c r="T537" i="20"/>
  <c r="T538" i="20"/>
  <c r="T539" i="20"/>
  <c r="T540" i="20"/>
  <c r="T541" i="20"/>
  <c r="T542" i="20"/>
  <c r="T543" i="20"/>
  <c r="T544" i="20"/>
  <c r="T545" i="20"/>
  <c r="T546" i="20"/>
  <c r="T547" i="20"/>
  <c r="T548" i="20"/>
  <c r="T549" i="20"/>
  <c r="T550" i="20"/>
  <c r="T551" i="20"/>
  <c r="T552" i="20"/>
  <c r="T553" i="20"/>
  <c r="T554" i="20"/>
  <c r="T555" i="20"/>
  <c r="T556" i="20"/>
  <c r="T557" i="20"/>
  <c r="T558" i="20"/>
  <c r="T559" i="20"/>
  <c r="T560" i="20"/>
  <c r="T561" i="20"/>
  <c r="T562" i="20"/>
  <c r="T563" i="20"/>
  <c r="T564" i="20"/>
  <c r="T565" i="20"/>
  <c r="T566" i="20"/>
  <c r="T567" i="20"/>
  <c r="T568" i="20"/>
  <c r="T569" i="20"/>
  <c r="T570" i="20"/>
  <c r="T571" i="20"/>
  <c r="T572" i="20"/>
  <c r="T573" i="20"/>
  <c r="T574" i="20"/>
  <c r="T575" i="20"/>
  <c r="T576" i="20"/>
  <c r="T577" i="20"/>
  <c r="T578" i="20"/>
  <c r="T579" i="20"/>
  <c r="T580" i="20"/>
  <c r="T581" i="20"/>
  <c r="T582" i="20"/>
  <c r="T583" i="20"/>
  <c r="T584" i="20"/>
  <c r="T585" i="20"/>
  <c r="T586" i="20"/>
  <c r="T587" i="20"/>
  <c r="T588" i="20"/>
  <c r="T589" i="20"/>
  <c r="T590" i="20"/>
  <c r="T591" i="20"/>
  <c r="T592" i="20"/>
  <c r="T593" i="20"/>
  <c r="T594" i="20"/>
  <c r="T595" i="20"/>
  <c r="T596" i="20"/>
  <c r="T597" i="20"/>
  <c r="T598" i="20"/>
  <c r="T599" i="20"/>
  <c r="T600" i="20"/>
  <c r="T601" i="20"/>
  <c r="T602" i="20"/>
  <c r="T603" i="20"/>
  <c r="T604" i="20"/>
  <c r="T605" i="20"/>
  <c r="T606" i="20"/>
  <c r="T607" i="20"/>
  <c r="T608" i="20"/>
  <c r="T609" i="20"/>
  <c r="T610" i="20"/>
  <c r="T611" i="20"/>
  <c r="T612" i="20"/>
  <c r="T613" i="20"/>
  <c r="T614" i="20"/>
  <c r="T615" i="20"/>
  <c r="T616" i="20"/>
  <c r="T617" i="20"/>
  <c r="T618" i="20"/>
  <c r="T619" i="20"/>
  <c r="T620" i="20"/>
  <c r="T621" i="20"/>
  <c r="T622" i="20"/>
  <c r="T623" i="20"/>
  <c r="T624" i="20"/>
  <c r="T625" i="20"/>
  <c r="T626" i="20"/>
  <c r="T627" i="20"/>
  <c r="T628" i="20"/>
  <c r="T629" i="20"/>
  <c r="T630" i="20"/>
  <c r="T631" i="20"/>
  <c r="T632" i="20"/>
  <c r="T633" i="20"/>
  <c r="T634" i="20"/>
  <c r="T635" i="20"/>
  <c r="T636" i="20"/>
  <c r="T637" i="20"/>
  <c r="T638" i="20"/>
  <c r="T639" i="20"/>
  <c r="T640" i="20"/>
  <c r="T641" i="20"/>
  <c r="T642" i="20"/>
  <c r="T643" i="20"/>
  <c r="T644" i="20"/>
  <c r="T645" i="20"/>
  <c r="T646" i="20"/>
  <c r="T647" i="20"/>
  <c r="T648" i="20"/>
  <c r="T649" i="20"/>
  <c r="T650" i="20"/>
  <c r="T651" i="20"/>
  <c r="T652" i="20"/>
  <c r="T653" i="20"/>
  <c r="T654" i="20"/>
  <c r="T655" i="20"/>
  <c r="T656" i="20"/>
  <c r="T657" i="20"/>
  <c r="T658" i="20"/>
  <c r="T659" i="20"/>
  <c r="T660" i="20"/>
  <c r="T661" i="20"/>
  <c r="T662" i="20"/>
  <c r="T663" i="20"/>
  <c r="T664" i="20"/>
  <c r="T665" i="20"/>
  <c r="T666" i="20"/>
  <c r="T667" i="20"/>
  <c r="T668" i="20"/>
  <c r="T669" i="20"/>
  <c r="T670" i="20"/>
  <c r="T671" i="20"/>
  <c r="T672" i="20"/>
  <c r="T673" i="20"/>
  <c r="T674" i="20"/>
  <c r="T675" i="20"/>
  <c r="T676" i="20"/>
  <c r="T677" i="20"/>
  <c r="T678" i="20"/>
  <c r="T679" i="20"/>
  <c r="T680" i="20"/>
  <c r="T681" i="20"/>
  <c r="T682" i="20"/>
  <c r="T683" i="20"/>
  <c r="T684" i="20"/>
  <c r="T685" i="20"/>
  <c r="T686" i="20"/>
  <c r="T687" i="20"/>
  <c r="T688" i="20"/>
  <c r="T689" i="20"/>
  <c r="T690" i="20"/>
  <c r="T691" i="20"/>
  <c r="T692" i="20"/>
  <c r="T693" i="20"/>
  <c r="T694" i="20"/>
  <c r="T695" i="20"/>
  <c r="T696" i="20"/>
  <c r="T697" i="20"/>
  <c r="T698" i="20"/>
  <c r="T699" i="20"/>
  <c r="T700" i="20"/>
  <c r="T701" i="20"/>
  <c r="T702" i="20"/>
  <c r="T703" i="20"/>
  <c r="T704" i="20"/>
  <c r="T705" i="20"/>
  <c r="T706" i="20"/>
  <c r="T707" i="20"/>
  <c r="T708" i="20"/>
  <c r="T709" i="20"/>
  <c r="T710" i="20"/>
  <c r="T711" i="20"/>
  <c r="T712" i="20"/>
  <c r="T713" i="20"/>
  <c r="T714" i="20"/>
  <c r="T715" i="20"/>
  <c r="T716" i="20"/>
  <c r="T717" i="20"/>
  <c r="T718" i="20"/>
  <c r="T719" i="20"/>
  <c r="T720" i="20"/>
  <c r="T721" i="20"/>
  <c r="T722" i="20"/>
  <c r="T723" i="20"/>
  <c r="T724" i="20"/>
  <c r="T725" i="20"/>
  <c r="T726" i="20"/>
  <c r="T727" i="20"/>
  <c r="T728" i="20"/>
  <c r="T729" i="20"/>
  <c r="T730" i="20"/>
  <c r="T731" i="20"/>
  <c r="T732" i="20"/>
  <c r="T733" i="20"/>
  <c r="T734" i="20"/>
  <c r="T735" i="20"/>
  <c r="T736" i="20"/>
  <c r="T737" i="20"/>
  <c r="T738" i="20"/>
  <c r="T739" i="20"/>
  <c r="T740" i="20"/>
  <c r="T741" i="20"/>
  <c r="T742" i="20"/>
  <c r="T743" i="20"/>
  <c r="T744" i="20"/>
  <c r="T745" i="20"/>
  <c r="T746" i="20"/>
  <c r="T747" i="20"/>
  <c r="T748" i="20"/>
  <c r="T749" i="20"/>
  <c r="T750" i="20"/>
  <c r="T751" i="20"/>
  <c r="T752" i="20"/>
  <c r="T753" i="20"/>
  <c r="T754" i="20"/>
  <c r="T755" i="20"/>
  <c r="T756" i="20"/>
  <c r="T757" i="20"/>
  <c r="T758" i="20"/>
  <c r="T759" i="20"/>
  <c r="T760" i="20"/>
  <c r="T761" i="20"/>
  <c r="T762" i="20"/>
  <c r="T763" i="20"/>
  <c r="T764" i="20"/>
  <c r="T765" i="20"/>
  <c r="T766" i="20"/>
  <c r="T767" i="20"/>
  <c r="T768" i="20"/>
  <c r="T769" i="20"/>
  <c r="T770" i="20"/>
  <c r="T771" i="20"/>
  <c r="T772" i="20"/>
  <c r="T773" i="20"/>
  <c r="T774" i="20"/>
  <c r="T775" i="20"/>
  <c r="T776" i="20"/>
  <c r="T777" i="20"/>
  <c r="T778" i="20"/>
  <c r="T779" i="20"/>
  <c r="T780" i="20"/>
  <c r="T781" i="20"/>
  <c r="T782" i="20"/>
  <c r="T783" i="20"/>
  <c r="T784" i="20"/>
  <c r="T785" i="20"/>
  <c r="T786" i="20"/>
  <c r="T787" i="20"/>
  <c r="T788" i="20"/>
  <c r="T789" i="20"/>
  <c r="T790" i="20"/>
  <c r="T791" i="20"/>
  <c r="T792" i="20"/>
  <c r="T793" i="20"/>
  <c r="T794" i="20"/>
  <c r="T795" i="20"/>
  <c r="T796" i="20"/>
  <c r="T797" i="20"/>
  <c r="T798" i="20"/>
  <c r="T799" i="20"/>
  <c r="T800" i="20"/>
  <c r="T801" i="20"/>
  <c r="T802" i="20"/>
  <c r="T803" i="20"/>
  <c r="T804" i="20"/>
  <c r="T805" i="20"/>
  <c r="T806" i="20"/>
  <c r="T807" i="20"/>
  <c r="T808" i="20"/>
  <c r="T809" i="20"/>
  <c r="T810" i="20"/>
  <c r="T811" i="20"/>
  <c r="T812" i="20"/>
  <c r="T813" i="20"/>
  <c r="T814" i="20"/>
  <c r="T815" i="20"/>
  <c r="T816" i="20"/>
  <c r="T817" i="20"/>
  <c r="T818" i="20"/>
  <c r="T819" i="20"/>
  <c r="T820" i="20"/>
  <c r="T821" i="20"/>
  <c r="T822" i="20"/>
  <c r="T823" i="20"/>
  <c r="T824" i="20"/>
  <c r="T825" i="20"/>
  <c r="T826" i="20"/>
  <c r="T827" i="20"/>
  <c r="T828" i="20"/>
  <c r="T829" i="20"/>
  <c r="T830" i="20"/>
  <c r="T831" i="20"/>
  <c r="T832" i="20"/>
  <c r="T833" i="20"/>
  <c r="T834" i="20"/>
  <c r="T835" i="20"/>
  <c r="T836" i="20"/>
  <c r="T837" i="20"/>
  <c r="T838" i="20"/>
  <c r="T839" i="20"/>
  <c r="T840" i="20"/>
  <c r="T841" i="20"/>
  <c r="T842" i="20"/>
  <c r="T843" i="20"/>
  <c r="T844" i="20"/>
  <c r="T845" i="20"/>
  <c r="T846" i="20"/>
  <c r="T847" i="20"/>
  <c r="T848" i="20"/>
  <c r="T849" i="20"/>
  <c r="T850" i="20"/>
  <c r="T851" i="20"/>
  <c r="T852" i="20"/>
  <c r="T853" i="20"/>
  <c r="T854" i="20"/>
  <c r="T855" i="20"/>
  <c r="T856" i="20"/>
  <c r="T857" i="20"/>
  <c r="T858" i="20"/>
  <c r="T859" i="20"/>
  <c r="T860" i="20"/>
  <c r="T861" i="20"/>
  <c r="T862" i="20"/>
  <c r="T863" i="20"/>
  <c r="T864" i="20"/>
  <c r="T865" i="20"/>
  <c r="T866" i="20"/>
  <c r="T867" i="20"/>
  <c r="T868" i="20"/>
  <c r="T869" i="20"/>
  <c r="T870" i="20"/>
  <c r="T871" i="20"/>
  <c r="T872" i="20"/>
  <c r="T873" i="20"/>
  <c r="T874" i="20"/>
  <c r="T875" i="20"/>
  <c r="T876" i="20"/>
  <c r="T877" i="20"/>
  <c r="T878" i="20"/>
  <c r="T879" i="20"/>
  <c r="T880" i="20"/>
  <c r="T881" i="20"/>
  <c r="T882" i="20"/>
  <c r="T883" i="20"/>
  <c r="T884" i="20"/>
  <c r="T885" i="20"/>
  <c r="T886" i="20"/>
  <c r="T887" i="20"/>
  <c r="T888" i="20"/>
  <c r="T889" i="20"/>
  <c r="T890" i="20"/>
  <c r="T891" i="20"/>
  <c r="T892" i="20"/>
  <c r="T893" i="20"/>
  <c r="T894" i="20"/>
  <c r="T895" i="20"/>
  <c r="T896" i="20"/>
  <c r="T897" i="20"/>
  <c r="T898" i="20"/>
  <c r="T899" i="20"/>
  <c r="T900" i="20"/>
  <c r="T901" i="20"/>
  <c r="T902" i="20"/>
  <c r="T903" i="20"/>
  <c r="T904" i="20"/>
  <c r="T905" i="20"/>
  <c r="T906" i="20"/>
  <c r="T907" i="20"/>
  <c r="T908" i="20"/>
  <c r="T909" i="20"/>
  <c r="T910" i="20"/>
  <c r="T911" i="20"/>
  <c r="T912" i="20"/>
  <c r="T913" i="20"/>
  <c r="T914" i="20"/>
  <c r="T915" i="20"/>
  <c r="T916" i="20"/>
  <c r="T917" i="20"/>
  <c r="T918" i="20"/>
  <c r="T919" i="20"/>
  <c r="T920" i="20"/>
  <c r="T921" i="20"/>
  <c r="T922" i="20"/>
  <c r="T923" i="20"/>
  <c r="T924" i="20"/>
  <c r="T925" i="20"/>
  <c r="T926" i="20"/>
  <c r="T927" i="20"/>
  <c r="T928" i="20"/>
  <c r="T929" i="20"/>
  <c r="T930" i="20"/>
  <c r="T931" i="20"/>
  <c r="T932" i="20"/>
  <c r="T933" i="20"/>
  <c r="T934" i="20"/>
  <c r="T935" i="20"/>
  <c r="T936" i="20"/>
  <c r="T937" i="20"/>
  <c r="T938" i="20"/>
  <c r="T939" i="20"/>
  <c r="T940" i="20"/>
  <c r="T941" i="20"/>
  <c r="T942" i="20"/>
  <c r="T943" i="20"/>
  <c r="T944" i="20"/>
  <c r="T945" i="20"/>
  <c r="T946" i="20"/>
  <c r="T947" i="20"/>
  <c r="T948" i="20"/>
  <c r="T949" i="20"/>
  <c r="T950" i="20"/>
  <c r="T951" i="20"/>
  <c r="T952" i="20"/>
  <c r="T953" i="20"/>
  <c r="T954" i="20"/>
  <c r="T955" i="20"/>
  <c r="T956" i="20"/>
  <c r="T957" i="20"/>
  <c r="T958" i="20"/>
  <c r="T959" i="20"/>
  <c r="T960" i="20"/>
  <c r="T961" i="20"/>
  <c r="T962" i="20"/>
  <c r="T963" i="20"/>
  <c r="T964" i="20"/>
  <c r="T965" i="20"/>
  <c r="T966" i="20"/>
  <c r="T967" i="20"/>
  <c r="T968" i="20"/>
  <c r="T969" i="20"/>
  <c r="T970" i="20"/>
  <c r="T971" i="20"/>
  <c r="T972" i="20"/>
  <c r="T973" i="20"/>
  <c r="T974" i="20"/>
  <c r="T975" i="20"/>
  <c r="T976" i="20"/>
  <c r="T977" i="20"/>
  <c r="T978" i="20"/>
  <c r="T979" i="20"/>
  <c r="T980" i="20"/>
  <c r="T981" i="20"/>
  <c r="T982" i="20"/>
  <c r="T983" i="20"/>
  <c r="T984" i="20"/>
  <c r="T985" i="20"/>
  <c r="T986" i="20"/>
  <c r="T987" i="20"/>
  <c r="T988" i="20"/>
  <c r="T989" i="20"/>
  <c r="T990" i="20"/>
  <c r="T991" i="20"/>
  <c r="T992" i="20"/>
  <c r="T993" i="20"/>
  <c r="T994" i="20"/>
  <c r="T995" i="20"/>
  <c r="T996" i="20"/>
  <c r="T997" i="20"/>
  <c r="T998" i="20"/>
  <c r="T999" i="20"/>
  <c r="T1000" i="20"/>
  <c r="T1001" i="20"/>
  <c r="T1002" i="20"/>
  <c r="T1003" i="20"/>
  <c r="T1004" i="20"/>
  <c r="T1005" i="20"/>
  <c r="T1006" i="20"/>
  <c r="T1007" i="20"/>
  <c r="T1008" i="20"/>
  <c r="T1009" i="20"/>
  <c r="T1010" i="20"/>
  <c r="T1011" i="20"/>
  <c r="T1012" i="20"/>
  <c r="T1013" i="20"/>
  <c r="T1014" i="20"/>
  <c r="T1015" i="20"/>
  <c r="T1016" i="20"/>
  <c r="T1017" i="20"/>
  <c r="T1018" i="20"/>
  <c r="T1019" i="20"/>
  <c r="T1020" i="20"/>
  <c r="T1021" i="20"/>
  <c r="T1022" i="20"/>
  <c r="T1023" i="20"/>
  <c r="T1024" i="20"/>
  <c r="T1025" i="20"/>
  <c r="T1026" i="20"/>
  <c r="T1027" i="20"/>
  <c r="T1028" i="20"/>
  <c r="T1029" i="20"/>
  <c r="T1030" i="20"/>
  <c r="T1031" i="20"/>
  <c r="T1032" i="20"/>
  <c r="T1033" i="20"/>
  <c r="T1034" i="20"/>
  <c r="T1035" i="20"/>
  <c r="T1036" i="20"/>
  <c r="T1037" i="20"/>
  <c r="T1038" i="20"/>
  <c r="T1039" i="20"/>
  <c r="T1040" i="20"/>
  <c r="T1041" i="20"/>
  <c r="T1042" i="20"/>
  <c r="T1043" i="20"/>
  <c r="T1044" i="20"/>
  <c r="T1045" i="20"/>
  <c r="T1046" i="20"/>
  <c r="T1047" i="20"/>
  <c r="T1048" i="20"/>
  <c r="T1049" i="20"/>
  <c r="T1050" i="20"/>
  <c r="T1051" i="20"/>
  <c r="T1052" i="20"/>
  <c r="T1053" i="20"/>
  <c r="T1054" i="20"/>
  <c r="T1055" i="20"/>
  <c r="T1056" i="20"/>
  <c r="T1057" i="20"/>
  <c r="T1058" i="20"/>
  <c r="T1059" i="20"/>
  <c r="T1060" i="20"/>
  <c r="T1061" i="20"/>
  <c r="T1062" i="20"/>
  <c r="T1063" i="20"/>
  <c r="T1064" i="20"/>
  <c r="T1065" i="20"/>
  <c r="T1066" i="20"/>
  <c r="T1067" i="20"/>
  <c r="T1068" i="20"/>
  <c r="T1069" i="20"/>
  <c r="T1070" i="20"/>
  <c r="T1071" i="20"/>
  <c r="T1072" i="20"/>
  <c r="T1073" i="20"/>
  <c r="T1074" i="20"/>
  <c r="T1075" i="20"/>
  <c r="T1076" i="20"/>
  <c r="T1077" i="20"/>
  <c r="T1078" i="20"/>
  <c r="T1079" i="20"/>
  <c r="T1080" i="20"/>
  <c r="T1081" i="20"/>
  <c r="T1082" i="20"/>
  <c r="T1083" i="20"/>
  <c r="T1084" i="20"/>
  <c r="T1085" i="20"/>
  <c r="T1086" i="20"/>
  <c r="T1087" i="20"/>
  <c r="T1088" i="20"/>
  <c r="T1089" i="20"/>
  <c r="T1090" i="20"/>
  <c r="T1091" i="20"/>
  <c r="T1092" i="20"/>
  <c r="T1093" i="20"/>
  <c r="T1094" i="20"/>
  <c r="T1095" i="20"/>
  <c r="T1096" i="20"/>
  <c r="T1097" i="20"/>
  <c r="T1098" i="20"/>
  <c r="T1099" i="20"/>
  <c r="T1100" i="20"/>
  <c r="T1101" i="20"/>
  <c r="T1102" i="20"/>
  <c r="T1103" i="20"/>
  <c r="T1104" i="20"/>
  <c r="T1105" i="20"/>
  <c r="T1106" i="20"/>
  <c r="T1107" i="20"/>
  <c r="T1108" i="20"/>
  <c r="T1109" i="20"/>
  <c r="T1110" i="20"/>
  <c r="T1111" i="20"/>
  <c r="T1112" i="20"/>
  <c r="T1113" i="20"/>
  <c r="T1114" i="20"/>
  <c r="T1115" i="20"/>
  <c r="T1116" i="20"/>
  <c r="T1117" i="20"/>
  <c r="T1118" i="20"/>
  <c r="T1119" i="20"/>
  <c r="T1120" i="20"/>
  <c r="T1121" i="20"/>
  <c r="T1122" i="20"/>
  <c r="T1123" i="20"/>
  <c r="T1124" i="20"/>
  <c r="T1125" i="20"/>
  <c r="T1126" i="20"/>
  <c r="T1127" i="20"/>
  <c r="T1128" i="20"/>
  <c r="T1129" i="20"/>
  <c r="T1130" i="20"/>
  <c r="T1131" i="20"/>
  <c r="T1132" i="20"/>
  <c r="T1133" i="20"/>
  <c r="T1134" i="20"/>
  <c r="T1135" i="20"/>
  <c r="T1136" i="20"/>
  <c r="T1137" i="20"/>
  <c r="T1138" i="20"/>
  <c r="T1139" i="20"/>
  <c r="T1140" i="20"/>
  <c r="T1141" i="20"/>
  <c r="T1142" i="20"/>
  <c r="T1143" i="20"/>
  <c r="T1144" i="20"/>
  <c r="T1145" i="20"/>
  <c r="T1146" i="20"/>
  <c r="T1147" i="20"/>
  <c r="T1148" i="20"/>
  <c r="T1149" i="20"/>
  <c r="T1150" i="20"/>
  <c r="T1151" i="20"/>
  <c r="T1152" i="20"/>
  <c r="T1153" i="20"/>
  <c r="T1154" i="20"/>
  <c r="T1155" i="20"/>
  <c r="T1156" i="20"/>
  <c r="T1157" i="20"/>
  <c r="T1158" i="20"/>
  <c r="T1159" i="20"/>
  <c r="T1160" i="20"/>
  <c r="T1161" i="20"/>
  <c r="T1162" i="20"/>
  <c r="T1163" i="20"/>
  <c r="T1164" i="20"/>
  <c r="T1165" i="20"/>
  <c r="T1166" i="20"/>
  <c r="T1167" i="20"/>
  <c r="T1168" i="20"/>
  <c r="T1169" i="20"/>
  <c r="T1170" i="20"/>
  <c r="T1171" i="20"/>
  <c r="T1172" i="20"/>
  <c r="T1173" i="20"/>
  <c r="T1174" i="20"/>
  <c r="T1175" i="20"/>
  <c r="T1176" i="20"/>
  <c r="T1177" i="20"/>
  <c r="T1178" i="20"/>
  <c r="T1179" i="20"/>
  <c r="T1180" i="20"/>
  <c r="T1181" i="20"/>
  <c r="T1182" i="20"/>
  <c r="T1183" i="20"/>
  <c r="T1184" i="20"/>
  <c r="T1185" i="20"/>
  <c r="T1186" i="20"/>
  <c r="T1187" i="20"/>
  <c r="T1188" i="20"/>
  <c r="T1189" i="20"/>
  <c r="T1190" i="20"/>
  <c r="T1191" i="20"/>
  <c r="T1192" i="20"/>
  <c r="T1193" i="20"/>
  <c r="T1194" i="20"/>
  <c r="T1195" i="20"/>
  <c r="T1196" i="20"/>
  <c r="T1197" i="20"/>
  <c r="T1198" i="20"/>
  <c r="T1199" i="20"/>
  <c r="T1200" i="20"/>
  <c r="T1201" i="20"/>
  <c r="T1202" i="20"/>
  <c r="T1203" i="20"/>
  <c r="T1204" i="20"/>
  <c r="T1205" i="20"/>
  <c r="T1206" i="20"/>
  <c r="T1207" i="20"/>
  <c r="T1208" i="20"/>
  <c r="T1209" i="20"/>
  <c r="T1210" i="20"/>
  <c r="T1211" i="20"/>
  <c r="T1212" i="20"/>
  <c r="T1213" i="20"/>
  <c r="T1214" i="20"/>
  <c r="T1215" i="20"/>
  <c r="T1216" i="20"/>
  <c r="T1217" i="20"/>
  <c r="T1218" i="20"/>
  <c r="T1219" i="20"/>
  <c r="T1220" i="20"/>
  <c r="T1221" i="20"/>
  <c r="T1222" i="20"/>
  <c r="T1223" i="20"/>
  <c r="T1224" i="20"/>
  <c r="T1225" i="20"/>
  <c r="T1226" i="20"/>
  <c r="T1227" i="20"/>
  <c r="T1228" i="20"/>
  <c r="T1229" i="20"/>
  <c r="T1230" i="20"/>
  <c r="T1231" i="20"/>
  <c r="T1232" i="20"/>
  <c r="T1233" i="20"/>
  <c r="T1234" i="20"/>
  <c r="T1235" i="20"/>
  <c r="T1236" i="20"/>
  <c r="T1237" i="20"/>
  <c r="T1238" i="20"/>
  <c r="T1239" i="20"/>
  <c r="T1240" i="20"/>
  <c r="T1241" i="20"/>
  <c r="T1242" i="20"/>
  <c r="T1243" i="20"/>
  <c r="T1244" i="20"/>
  <c r="T1245" i="20"/>
  <c r="T1246" i="20"/>
  <c r="T1247" i="20"/>
  <c r="T1248" i="20"/>
  <c r="T1249" i="20"/>
  <c r="T1250" i="20"/>
  <c r="T1251" i="20"/>
  <c r="T1252" i="20"/>
  <c r="T1253" i="20"/>
  <c r="T1254" i="20"/>
  <c r="T1255" i="20"/>
  <c r="T1256" i="20"/>
  <c r="T1257" i="20"/>
  <c r="T1258" i="20"/>
  <c r="T1259" i="20"/>
  <c r="T1260" i="20"/>
  <c r="T1261" i="20"/>
  <c r="T1262" i="20"/>
  <c r="T1263" i="20"/>
  <c r="T1264" i="20"/>
  <c r="T1265" i="20"/>
  <c r="T1266" i="20"/>
  <c r="T1267" i="20"/>
  <c r="T1268" i="20"/>
  <c r="T1269" i="20"/>
  <c r="T1270" i="20"/>
  <c r="T1271" i="20"/>
  <c r="T1272" i="20"/>
  <c r="T1273" i="20"/>
  <c r="T1274" i="20"/>
  <c r="T1275" i="20"/>
  <c r="T1276" i="20"/>
  <c r="T1277" i="20"/>
  <c r="T1278" i="20"/>
  <c r="T1279" i="20"/>
  <c r="T1280" i="20"/>
  <c r="T1281" i="20"/>
  <c r="T1282" i="20"/>
  <c r="T1283" i="20"/>
  <c r="T1284" i="20"/>
  <c r="T1285" i="20"/>
  <c r="T1286" i="20"/>
  <c r="T1287" i="20"/>
  <c r="T1288" i="20"/>
  <c r="T1289" i="20"/>
  <c r="T1290" i="20"/>
  <c r="T1291" i="20"/>
  <c r="T1292" i="20"/>
  <c r="T1293" i="20"/>
  <c r="T1294" i="20"/>
  <c r="T1295" i="20"/>
  <c r="T1296" i="20"/>
  <c r="T1297" i="20"/>
  <c r="T1298" i="20"/>
  <c r="T1299" i="20"/>
  <c r="T1300" i="20"/>
  <c r="T1301" i="20"/>
  <c r="T1302" i="20"/>
  <c r="T1303" i="20"/>
  <c r="T1304" i="20"/>
  <c r="T1305" i="20"/>
  <c r="T1306" i="20"/>
  <c r="T1307" i="20"/>
  <c r="T1308" i="20"/>
  <c r="T1309" i="20"/>
  <c r="T1310" i="20"/>
  <c r="T1311" i="20"/>
  <c r="T1312" i="20"/>
  <c r="T1313" i="20"/>
  <c r="T1314" i="20"/>
  <c r="T1315" i="20"/>
  <c r="T1316" i="20"/>
  <c r="T1317" i="20"/>
  <c r="T1318" i="20"/>
  <c r="T1319" i="20"/>
  <c r="T1320" i="20"/>
  <c r="T1321" i="20"/>
  <c r="T1322" i="20"/>
  <c r="T1323" i="20"/>
  <c r="T1324" i="20"/>
  <c r="T1325" i="20"/>
  <c r="T1326" i="20"/>
  <c r="T1327" i="20"/>
  <c r="T1328" i="20"/>
  <c r="T1329" i="20"/>
  <c r="T1330" i="20"/>
  <c r="T1331" i="20"/>
  <c r="T1332" i="20"/>
  <c r="T1333" i="20"/>
  <c r="T1334" i="20"/>
  <c r="T1335" i="20"/>
  <c r="T1336" i="20"/>
  <c r="T1337" i="20"/>
  <c r="T1338" i="20"/>
  <c r="T1339" i="20"/>
  <c r="T1340" i="20"/>
  <c r="T1341" i="20"/>
  <c r="T1342" i="20"/>
  <c r="T1343" i="20"/>
  <c r="T1344" i="20"/>
  <c r="T1345" i="20"/>
  <c r="T1346" i="20"/>
  <c r="T1347" i="20"/>
  <c r="T1348" i="20"/>
  <c r="T1349" i="20"/>
  <c r="T1350" i="20"/>
  <c r="T1351" i="20"/>
  <c r="T1352" i="20"/>
  <c r="T1353" i="20"/>
  <c r="T1354" i="20"/>
  <c r="T1355" i="20"/>
  <c r="T1356" i="20"/>
  <c r="T1357" i="20"/>
  <c r="T1358" i="20"/>
  <c r="T1359" i="20"/>
  <c r="T1360" i="20"/>
  <c r="T1361" i="20"/>
  <c r="T1362" i="20"/>
  <c r="T1363" i="20"/>
  <c r="T1364" i="20"/>
  <c r="T1365" i="20"/>
  <c r="T1366" i="20"/>
  <c r="T1367" i="20"/>
  <c r="T1368" i="20"/>
  <c r="T1369" i="20"/>
  <c r="T1370" i="20"/>
  <c r="T1371" i="20"/>
  <c r="T1372" i="20"/>
  <c r="T1373" i="20"/>
  <c r="T1374" i="20"/>
  <c r="T1375" i="20"/>
  <c r="T1376" i="20"/>
  <c r="T1377" i="20"/>
  <c r="T1378" i="20"/>
  <c r="T1379" i="20"/>
  <c r="T1380" i="20"/>
  <c r="T1381" i="20"/>
  <c r="T1382" i="20"/>
  <c r="T1383" i="20"/>
  <c r="T1384" i="20"/>
  <c r="T1385" i="20"/>
  <c r="T1386" i="20"/>
  <c r="T1387" i="20"/>
  <c r="T1388" i="20"/>
  <c r="T1389" i="20"/>
  <c r="T1390" i="20"/>
  <c r="T1391" i="20"/>
  <c r="T1392" i="20"/>
  <c r="T1393" i="20"/>
  <c r="T1394" i="20"/>
  <c r="T1395" i="20"/>
  <c r="T1396" i="20"/>
  <c r="T1397" i="20"/>
  <c r="T1398" i="20"/>
  <c r="T1399" i="20"/>
  <c r="T1400" i="20"/>
  <c r="T1401" i="20"/>
  <c r="T1402" i="20"/>
  <c r="T1403" i="20"/>
  <c r="T1404" i="20"/>
  <c r="T1405" i="20"/>
  <c r="T1406" i="20"/>
  <c r="T1407" i="20"/>
  <c r="T1408" i="20"/>
  <c r="T1409" i="20"/>
  <c r="T1410" i="20"/>
  <c r="T1411" i="20"/>
  <c r="T1412" i="20"/>
  <c r="T1413" i="20"/>
  <c r="T1414" i="20"/>
  <c r="T1415" i="20"/>
  <c r="T1416" i="20"/>
  <c r="T1417" i="20"/>
  <c r="T1418" i="20"/>
  <c r="T1419" i="20"/>
  <c r="T1420" i="20"/>
  <c r="T1421" i="20"/>
  <c r="T1422" i="20"/>
  <c r="T1423" i="20"/>
  <c r="T1424" i="20"/>
  <c r="T1425" i="20"/>
  <c r="T1426" i="20"/>
  <c r="T1427" i="20"/>
  <c r="T1428" i="20"/>
  <c r="T1429" i="20"/>
  <c r="T1430" i="20"/>
  <c r="T1431" i="20"/>
  <c r="T1432" i="20"/>
  <c r="T1433" i="20"/>
  <c r="T1434" i="20"/>
  <c r="T1435" i="20"/>
  <c r="T1436" i="20"/>
  <c r="T1437" i="20"/>
  <c r="T1438" i="20"/>
  <c r="T1439" i="20"/>
  <c r="T1440" i="20"/>
  <c r="T1441" i="20"/>
  <c r="T1442" i="20"/>
  <c r="T1443" i="20"/>
  <c r="T1444" i="20"/>
  <c r="T1445" i="20"/>
  <c r="T1446" i="20"/>
  <c r="T1447" i="20"/>
  <c r="T1448" i="20"/>
  <c r="T1449" i="20"/>
  <c r="T1450" i="20"/>
  <c r="T1451" i="20"/>
  <c r="T1452" i="20"/>
  <c r="T1453" i="20"/>
  <c r="T1454" i="20"/>
  <c r="T1455" i="20"/>
  <c r="T1456" i="20"/>
  <c r="T1457" i="20"/>
  <c r="T1458" i="20"/>
  <c r="T1459" i="20"/>
  <c r="T1460" i="20"/>
  <c r="T1461" i="20"/>
  <c r="T1462" i="20"/>
  <c r="T1463" i="20"/>
  <c r="T1464" i="20"/>
  <c r="T1465" i="20"/>
  <c r="T1466" i="20"/>
  <c r="T1467" i="20"/>
  <c r="T1468" i="20"/>
  <c r="T1469" i="20"/>
  <c r="T1470" i="20"/>
  <c r="T1471" i="20"/>
  <c r="T1472" i="20"/>
  <c r="T1473" i="20"/>
  <c r="T1474" i="20"/>
  <c r="T1475" i="20"/>
  <c r="T1476" i="20"/>
  <c r="T1477" i="20"/>
  <c r="T1478" i="20"/>
  <c r="T1479" i="20"/>
  <c r="T1480" i="20"/>
  <c r="T1481" i="20"/>
  <c r="T1482" i="20"/>
  <c r="T1483" i="20"/>
  <c r="T1484" i="20"/>
  <c r="T1485" i="20"/>
  <c r="T1486" i="20"/>
  <c r="T1487" i="20"/>
  <c r="T1488" i="20"/>
  <c r="T1489" i="20"/>
  <c r="T1490" i="20"/>
  <c r="T1491" i="20"/>
  <c r="T1492" i="20"/>
  <c r="T1493" i="20"/>
  <c r="T1494" i="20"/>
  <c r="T1495" i="20"/>
  <c r="T1496" i="20"/>
  <c r="T1497" i="20"/>
  <c r="T1498" i="20"/>
  <c r="T1499" i="20"/>
  <c r="T1500" i="20"/>
  <c r="T1501" i="20"/>
  <c r="T1502" i="20"/>
  <c r="T1503" i="20"/>
  <c r="T1504" i="20"/>
  <c r="T1505" i="20"/>
  <c r="T1506" i="20"/>
  <c r="T1507" i="20"/>
  <c r="T1508" i="20"/>
  <c r="T1509" i="20"/>
  <c r="T1510" i="20"/>
  <c r="T1511" i="20"/>
  <c r="T1512" i="20"/>
  <c r="T1513" i="20"/>
  <c r="T1514" i="20"/>
  <c r="T1515" i="20"/>
  <c r="T1516" i="20"/>
  <c r="T1517" i="20"/>
  <c r="T1518" i="20"/>
  <c r="T1519" i="20"/>
  <c r="T1520" i="20"/>
  <c r="T1521" i="20"/>
  <c r="T1522" i="20"/>
  <c r="T1523" i="20"/>
  <c r="T1524" i="20"/>
  <c r="T1525" i="20"/>
  <c r="T1526" i="20"/>
  <c r="T1527" i="20"/>
  <c r="T1528" i="20"/>
  <c r="T1529" i="20"/>
  <c r="T1530" i="20"/>
  <c r="T1531" i="20"/>
  <c r="T1532" i="20"/>
  <c r="T1533" i="20"/>
  <c r="T1534" i="20"/>
  <c r="T1535" i="20"/>
  <c r="T1536" i="20"/>
  <c r="T1537" i="20"/>
  <c r="T1538" i="20"/>
  <c r="T1539" i="20"/>
  <c r="T1540" i="20"/>
  <c r="T1541" i="20"/>
  <c r="T1542" i="20"/>
  <c r="T1543" i="20"/>
  <c r="T1544" i="20"/>
  <c r="T1545" i="20"/>
  <c r="T1546" i="20"/>
  <c r="T1547" i="20"/>
  <c r="T1548" i="20"/>
  <c r="T1549" i="20"/>
  <c r="T1550" i="20"/>
  <c r="T1551" i="20"/>
  <c r="T1552" i="20"/>
  <c r="T1553" i="20"/>
  <c r="T1554" i="20"/>
  <c r="T1555" i="20"/>
  <c r="T1556" i="20"/>
  <c r="T1557" i="20"/>
  <c r="T1558" i="20"/>
  <c r="T1559" i="20"/>
  <c r="T1560" i="20"/>
  <c r="T1561" i="20"/>
  <c r="T1562" i="20"/>
  <c r="T1563" i="20"/>
  <c r="T1564" i="20"/>
  <c r="T1565" i="20"/>
  <c r="T1566" i="20"/>
  <c r="T1567" i="20"/>
  <c r="T1568" i="20"/>
  <c r="T1569" i="20"/>
  <c r="T1570" i="20"/>
  <c r="T1571" i="20"/>
  <c r="T1572" i="20"/>
  <c r="T1573" i="20"/>
  <c r="T1574" i="20"/>
  <c r="T1575" i="20"/>
  <c r="T1576" i="20"/>
  <c r="T1577" i="20"/>
  <c r="T1578" i="20"/>
  <c r="T1579" i="20"/>
  <c r="T1580" i="20"/>
  <c r="T1581" i="20"/>
  <c r="T1582" i="20"/>
  <c r="T1583" i="20"/>
  <c r="T1584" i="20"/>
  <c r="T1585" i="20"/>
  <c r="T1586" i="20"/>
  <c r="T1587" i="20"/>
  <c r="T1588" i="20"/>
  <c r="T1589" i="20"/>
  <c r="T1590" i="20"/>
  <c r="T1591" i="20"/>
  <c r="T1592" i="20"/>
  <c r="T1593" i="20"/>
  <c r="T1594" i="20"/>
  <c r="T1595" i="20"/>
  <c r="T1596" i="20"/>
  <c r="T1597" i="20"/>
  <c r="T1598" i="20"/>
  <c r="T1599" i="20"/>
  <c r="T1600" i="20"/>
  <c r="T1601" i="20"/>
  <c r="T1602" i="20"/>
  <c r="T1603" i="20"/>
  <c r="T1604" i="20"/>
  <c r="T1605" i="20"/>
  <c r="T1606" i="20"/>
  <c r="T1607" i="20"/>
  <c r="T1608" i="20"/>
  <c r="T1609" i="20"/>
  <c r="T1610" i="20"/>
  <c r="T1611" i="20"/>
  <c r="T1612" i="20"/>
  <c r="T1613" i="20"/>
  <c r="T1614" i="20"/>
  <c r="T1615" i="20"/>
  <c r="T1616" i="20"/>
  <c r="T1617" i="20"/>
  <c r="T1618" i="20"/>
  <c r="T1619" i="20"/>
  <c r="T1620" i="20"/>
  <c r="T1621" i="20"/>
  <c r="T1622" i="20"/>
  <c r="T1623" i="20"/>
  <c r="T1624" i="20"/>
  <c r="T1625" i="20"/>
  <c r="T1626" i="20"/>
  <c r="T1627" i="20"/>
  <c r="T1628" i="20"/>
  <c r="T1629" i="20"/>
  <c r="T1630" i="20"/>
  <c r="T1631" i="20"/>
  <c r="T1632" i="20"/>
  <c r="T1633" i="20"/>
  <c r="T1634" i="20"/>
  <c r="T1635" i="20"/>
  <c r="T1636" i="20"/>
  <c r="T1637" i="20"/>
  <c r="T1638" i="20"/>
  <c r="T1639" i="20"/>
  <c r="T1640" i="20"/>
  <c r="T1641" i="20"/>
  <c r="T1642" i="20"/>
  <c r="T1643" i="20"/>
  <c r="T1644" i="20"/>
  <c r="T1645" i="20"/>
  <c r="T1646" i="20"/>
  <c r="T1647" i="20"/>
  <c r="T1648" i="20"/>
  <c r="T1649" i="20"/>
  <c r="T1650" i="20"/>
  <c r="T1651" i="20"/>
  <c r="T1652" i="20"/>
  <c r="T1653" i="20"/>
  <c r="T1654" i="20"/>
  <c r="T1655" i="20"/>
  <c r="T1656" i="20"/>
  <c r="T1657" i="20"/>
  <c r="T1658" i="20"/>
  <c r="T1659" i="20"/>
  <c r="T1660" i="20"/>
  <c r="T1661" i="20"/>
  <c r="T1662" i="20"/>
  <c r="T1663" i="20"/>
  <c r="T1664" i="20"/>
  <c r="T1665" i="20"/>
  <c r="T1666" i="20"/>
  <c r="T1667" i="20"/>
  <c r="T1668" i="20"/>
  <c r="T1669" i="20"/>
  <c r="T1670" i="20"/>
  <c r="T1671" i="20"/>
  <c r="T1672" i="20"/>
  <c r="T1673" i="20"/>
  <c r="T1674" i="20"/>
  <c r="T1675" i="20"/>
  <c r="T1676" i="20"/>
  <c r="T1677" i="20"/>
  <c r="T1678" i="20"/>
  <c r="T1679" i="20"/>
  <c r="T1680" i="20"/>
  <c r="T1681" i="20"/>
  <c r="T1682" i="20"/>
  <c r="T1683" i="20"/>
  <c r="T1684" i="20"/>
  <c r="T1685" i="20"/>
  <c r="T1686" i="20"/>
  <c r="T1687" i="20"/>
  <c r="T1688" i="20"/>
  <c r="T1689" i="20"/>
  <c r="T1690" i="20"/>
  <c r="T1691" i="20"/>
  <c r="T1692" i="20"/>
  <c r="T1693" i="20"/>
  <c r="T1694" i="20"/>
  <c r="T1695" i="20"/>
  <c r="T1696" i="20"/>
  <c r="T1697" i="20"/>
  <c r="T1698" i="20"/>
  <c r="T1699" i="20"/>
  <c r="T1700" i="20"/>
  <c r="T1701" i="20"/>
  <c r="T1702" i="20"/>
  <c r="T1703" i="20"/>
  <c r="T1704" i="20"/>
  <c r="T1705" i="20"/>
  <c r="T1706" i="20"/>
  <c r="T1707" i="20"/>
  <c r="T1708" i="20"/>
  <c r="T1709" i="20"/>
  <c r="T1710" i="20"/>
  <c r="T1711" i="20"/>
  <c r="T1712" i="20"/>
  <c r="T1713" i="20"/>
  <c r="T1714" i="20"/>
  <c r="T1715" i="20"/>
  <c r="T1716" i="20"/>
  <c r="T1717" i="20"/>
  <c r="T1718" i="20"/>
  <c r="T1719" i="20"/>
  <c r="T1720" i="20"/>
  <c r="T1721" i="20"/>
  <c r="T1722" i="20"/>
  <c r="T1723" i="20"/>
  <c r="T1724" i="20"/>
  <c r="T1725" i="20"/>
  <c r="T1726" i="20"/>
  <c r="T1727" i="20"/>
  <c r="T1728" i="20"/>
  <c r="T1729" i="20"/>
  <c r="T1730" i="20"/>
  <c r="T1731" i="20"/>
  <c r="T1732" i="20"/>
  <c r="T1733" i="20"/>
  <c r="T1734" i="20"/>
  <c r="T1735" i="20"/>
  <c r="T1736" i="20"/>
  <c r="T1737" i="20"/>
  <c r="T1738" i="20"/>
  <c r="T1739" i="20"/>
  <c r="T1740" i="20"/>
  <c r="T1741" i="20"/>
  <c r="T1742" i="20"/>
  <c r="T1743" i="20"/>
  <c r="T1744" i="20"/>
  <c r="T1745" i="20"/>
  <c r="T1746" i="20"/>
  <c r="T1747" i="20"/>
  <c r="T1748" i="20"/>
  <c r="T1749" i="20"/>
  <c r="T1750" i="20"/>
  <c r="T1751" i="20"/>
  <c r="T1752" i="20"/>
  <c r="T1753" i="20"/>
  <c r="T1754" i="20"/>
  <c r="T1755" i="20"/>
  <c r="T1756" i="20"/>
  <c r="T1757" i="20"/>
  <c r="T1758" i="20"/>
  <c r="T1759" i="20"/>
  <c r="T1760" i="20"/>
  <c r="T1761" i="20"/>
  <c r="T1762" i="20"/>
  <c r="T1763" i="20"/>
  <c r="T1764" i="20"/>
  <c r="T1765" i="20"/>
  <c r="T1766" i="20"/>
  <c r="T1767" i="20"/>
  <c r="T1768" i="20"/>
  <c r="T1769" i="20"/>
  <c r="T1770" i="20"/>
  <c r="T1771" i="20"/>
  <c r="T1772" i="20"/>
  <c r="T1773" i="20"/>
  <c r="T1774" i="20"/>
  <c r="T1775" i="20"/>
  <c r="T1776" i="20"/>
  <c r="T1777" i="20"/>
  <c r="T1778" i="20"/>
  <c r="T1779" i="20"/>
  <c r="T1780" i="20"/>
  <c r="T1781" i="20"/>
  <c r="T1782" i="20"/>
  <c r="T1783" i="20"/>
  <c r="T1784" i="20"/>
  <c r="T1785" i="20"/>
  <c r="T1786" i="20"/>
  <c r="T1787" i="20"/>
  <c r="T1788" i="20"/>
  <c r="T1789" i="20"/>
  <c r="T1790" i="20"/>
  <c r="T1791" i="20"/>
  <c r="T1792" i="20"/>
  <c r="T1793" i="20"/>
  <c r="T1794" i="20"/>
  <c r="T1795" i="20"/>
  <c r="T1796" i="20"/>
  <c r="T1797" i="20"/>
  <c r="T1798" i="20"/>
  <c r="T1799" i="20"/>
  <c r="T1800" i="20"/>
  <c r="T1801" i="20"/>
  <c r="T1802" i="20"/>
  <c r="T1803" i="20"/>
  <c r="T1804" i="20"/>
  <c r="T1805" i="20"/>
  <c r="T1806" i="20"/>
  <c r="T1807" i="20"/>
  <c r="T1808" i="20"/>
  <c r="T1809" i="20"/>
  <c r="T1810" i="20"/>
  <c r="T1811" i="20"/>
  <c r="T1812" i="20"/>
  <c r="T1813" i="20"/>
  <c r="T1814" i="20"/>
  <c r="T1815" i="20"/>
  <c r="T1816" i="20"/>
  <c r="T1817" i="20"/>
  <c r="T1818" i="20"/>
  <c r="T1819" i="20"/>
  <c r="T1820" i="20"/>
  <c r="T1821" i="20"/>
  <c r="T1822" i="20"/>
  <c r="T1823" i="20"/>
  <c r="T1824" i="20"/>
  <c r="T1825" i="20"/>
  <c r="T1826" i="20"/>
  <c r="T1827" i="20"/>
  <c r="T1828" i="20"/>
  <c r="T1829" i="20"/>
  <c r="T1830" i="20"/>
  <c r="T1831" i="20"/>
  <c r="T1832" i="20"/>
  <c r="T1833" i="20"/>
  <c r="T1834" i="20"/>
  <c r="T1835" i="20"/>
  <c r="T1836" i="20"/>
  <c r="T1837" i="20"/>
  <c r="T1838" i="20"/>
  <c r="T1839" i="20"/>
  <c r="T1840" i="20"/>
  <c r="T1841" i="20"/>
  <c r="T1842" i="20"/>
  <c r="T1843" i="20"/>
  <c r="T1844" i="20"/>
  <c r="T1845" i="20"/>
  <c r="T1846" i="20"/>
  <c r="T1847" i="20"/>
  <c r="T1848" i="20"/>
  <c r="T1849" i="20"/>
  <c r="T1850" i="20"/>
  <c r="T1851" i="20"/>
  <c r="T1852" i="20"/>
  <c r="T1853" i="20"/>
  <c r="T1854" i="20"/>
  <c r="T1855" i="20"/>
  <c r="T1856" i="20"/>
  <c r="T1857" i="20"/>
  <c r="T1858" i="20"/>
  <c r="T1859" i="20"/>
  <c r="T1860" i="20"/>
  <c r="T1861" i="20"/>
  <c r="T1862" i="20"/>
  <c r="T1863" i="20"/>
  <c r="T1864" i="20"/>
  <c r="T1865" i="20"/>
  <c r="T1866" i="20"/>
  <c r="T1867" i="20"/>
  <c r="T1868" i="20"/>
  <c r="T1869" i="20"/>
  <c r="T1870" i="20"/>
  <c r="T1871" i="20"/>
  <c r="T1872" i="20"/>
  <c r="T1873" i="20"/>
  <c r="T1874" i="20"/>
  <c r="T1875" i="20"/>
  <c r="T1876" i="20"/>
  <c r="T1877" i="20"/>
  <c r="T1878" i="20"/>
  <c r="T1879" i="20"/>
  <c r="T1880" i="20"/>
  <c r="T1881" i="20"/>
  <c r="T1882" i="20"/>
  <c r="T1883" i="20"/>
  <c r="T1884" i="20"/>
  <c r="T1885" i="20"/>
  <c r="T1886" i="20"/>
  <c r="T1887" i="20"/>
  <c r="T1888" i="20"/>
  <c r="T1889" i="20"/>
  <c r="T1890" i="20"/>
  <c r="T1891" i="20"/>
  <c r="T1892" i="20"/>
  <c r="T1893" i="20"/>
  <c r="T1894" i="20"/>
  <c r="T1895" i="20"/>
  <c r="T1896" i="20"/>
  <c r="T1897" i="20"/>
  <c r="T1898" i="20"/>
  <c r="T1899" i="20"/>
  <c r="T1900" i="20"/>
  <c r="T1901" i="20"/>
  <c r="T1902" i="20"/>
  <c r="T1903" i="20"/>
  <c r="T1904" i="20"/>
  <c r="T1905" i="20"/>
  <c r="T1906" i="20"/>
  <c r="T1907" i="20"/>
  <c r="T1908" i="20"/>
  <c r="T1909" i="20"/>
  <c r="T1910" i="20"/>
  <c r="T1911" i="20"/>
  <c r="T1912" i="20"/>
  <c r="T1913" i="20"/>
  <c r="T1914" i="20"/>
  <c r="T1915" i="20"/>
  <c r="T1916" i="20"/>
  <c r="T1917" i="20"/>
  <c r="T1918" i="20"/>
  <c r="T1919" i="20"/>
  <c r="T1920" i="20"/>
  <c r="T1921" i="20"/>
  <c r="T1922" i="20"/>
  <c r="T1923" i="20"/>
  <c r="T1924" i="20"/>
  <c r="T1925" i="20"/>
  <c r="T1926" i="20"/>
  <c r="T1927" i="20"/>
  <c r="T1928" i="20"/>
  <c r="T1929" i="20"/>
  <c r="T1930" i="20"/>
  <c r="T1931" i="20"/>
  <c r="T1932" i="20"/>
  <c r="T1933" i="20"/>
  <c r="T1934" i="20"/>
  <c r="T1935" i="20"/>
  <c r="T1936" i="20"/>
  <c r="T1937" i="20"/>
  <c r="T1938" i="20"/>
  <c r="T1939" i="20"/>
  <c r="T1940" i="20"/>
  <c r="T1941" i="20"/>
  <c r="T1942" i="20"/>
  <c r="T1943" i="20"/>
  <c r="T1944" i="20"/>
  <c r="T1945" i="20"/>
  <c r="T1946" i="20"/>
  <c r="T1947" i="20"/>
  <c r="T1948" i="20"/>
  <c r="T1949" i="20"/>
  <c r="T1950" i="20"/>
  <c r="T1951" i="20"/>
  <c r="T1952" i="20"/>
  <c r="T1953" i="20"/>
  <c r="T1954" i="20"/>
  <c r="T1955" i="20"/>
  <c r="T1956" i="20"/>
  <c r="T1957" i="20"/>
  <c r="T1958" i="20"/>
  <c r="T1959" i="20"/>
  <c r="T1960" i="20"/>
  <c r="T1961" i="20"/>
  <c r="T1962" i="20"/>
  <c r="T1963" i="20"/>
  <c r="T1964" i="20"/>
  <c r="T1965" i="20"/>
  <c r="T1966" i="20"/>
  <c r="T1967" i="20"/>
  <c r="T1968" i="20"/>
  <c r="T1969" i="20"/>
  <c r="T1970" i="20"/>
  <c r="T1971" i="20"/>
  <c r="T1972" i="20"/>
  <c r="T1973" i="20"/>
  <c r="T1974" i="20"/>
  <c r="T1975" i="20"/>
  <c r="T1976" i="20"/>
  <c r="T1977" i="20"/>
  <c r="T1978" i="20"/>
  <c r="T1979" i="20"/>
  <c r="T1980" i="20"/>
  <c r="T1981" i="20"/>
  <c r="T1982" i="20"/>
  <c r="T1983" i="20"/>
  <c r="T1984" i="20"/>
  <c r="T1985" i="20"/>
  <c r="T1986" i="20"/>
  <c r="T1987" i="20"/>
  <c r="T1988" i="20"/>
  <c r="T1989" i="20"/>
  <c r="T1990" i="20"/>
  <c r="T1991" i="20"/>
  <c r="T1992" i="20"/>
  <c r="T1993" i="20"/>
  <c r="T1994" i="20"/>
  <c r="T1995" i="20"/>
  <c r="T1996" i="20"/>
  <c r="T1997" i="20"/>
  <c r="T1998" i="20"/>
  <c r="T1999" i="20"/>
  <c r="T2000" i="20"/>
  <c r="T2001" i="20"/>
  <c r="T2002" i="20"/>
  <c r="T2003" i="20"/>
  <c r="T2004" i="20"/>
  <c r="T2005" i="20"/>
  <c r="T2006" i="20"/>
  <c r="T2007" i="20"/>
  <c r="T2008" i="20"/>
  <c r="T2009" i="20"/>
  <c r="T2010" i="20"/>
  <c r="T2011" i="20"/>
  <c r="T2012" i="20"/>
  <c r="T2013" i="20"/>
  <c r="T2014" i="20"/>
  <c r="T2015" i="20"/>
  <c r="T2016" i="20"/>
  <c r="T2017" i="20"/>
  <c r="T2018" i="20"/>
  <c r="T2019" i="20"/>
  <c r="T2020" i="20"/>
  <c r="T2021" i="20"/>
  <c r="T2022" i="20"/>
  <c r="T2023" i="20"/>
  <c r="T2024" i="20"/>
  <c r="T2025" i="20"/>
  <c r="T2026" i="20"/>
  <c r="T2027" i="20"/>
  <c r="T2028" i="20"/>
  <c r="T2029" i="20"/>
  <c r="T2030" i="20"/>
  <c r="T2031" i="20"/>
  <c r="T2032" i="20"/>
  <c r="T2033" i="20"/>
  <c r="T2034" i="20"/>
  <c r="T2035" i="20"/>
  <c r="T2036" i="20"/>
  <c r="T2037" i="20"/>
  <c r="T2038" i="20"/>
  <c r="T2039" i="20"/>
  <c r="T2040" i="20"/>
  <c r="T2041" i="20"/>
  <c r="T2042" i="20"/>
  <c r="T2043" i="20"/>
  <c r="T2044" i="20"/>
  <c r="T2045" i="20"/>
  <c r="T2046" i="20"/>
  <c r="T2047" i="20"/>
  <c r="T2048" i="20"/>
  <c r="T2049" i="20"/>
  <c r="T2050" i="20"/>
  <c r="T2051" i="20"/>
  <c r="T2052" i="20"/>
  <c r="T2053" i="20"/>
  <c r="T2054" i="20"/>
  <c r="T2055" i="20"/>
  <c r="T2056" i="20"/>
  <c r="T2057" i="20"/>
  <c r="T2058" i="20"/>
  <c r="T2059" i="20"/>
  <c r="T2060" i="20"/>
  <c r="T2061" i="20"/>
  <c r="T2062" i="20"/>
  <c r="T2063" i="20"/>
  <c r="T2064" i="20"/>
  <c r="T2065" i="20"/>
  <c r="T2066" i="20"/>
  <c r="T2067" i="20"/>
  <c r="T2068" i="20"/>
  <c r="T2069" i="20"/>
  <c r="T2070" i="20"/>
  <c r="T2071" i="20"/>
  <c r="T2072" i="20"/>
  <c r="T2073" i="20"/>
  <c r="T2074" i="20"/>
  <c r="T2075" i="20"/>
  <c r="T2076" i="20"/>
  <c r="T2077" i="20"/>
  <c r="T2078" i="20"/>
  <c r="T2079" i="20"/>
  <c r="T2080" i="20"/>
  <c r="T2081" i="20"/>
  <c r="T2082" i="20"/>
  <c r="T2083" i="20"/>
  <c r="T2084" i="20"/>
  <c r="T2085" i="20"/>
  <c r="T2086" i="20"/>
  <c r="T2087" i="20"/>
  <c r="T2088" i="20"/>
  <c r="T2089" i="20"/>
  <c r="T2090" i="20"/>
  <c r="T2091" i="20"/>
  <c r="T2092" i="20"/>
  <c r="T2093" i="20"/>
  <c r="T2094" i="20"/>
  <c r="T2095" i="20"/>
  <c r="T2096" i="20"/>
  <c r="T2097" i="20"/>
  <c r="T2098" i="20"/>
  <c r="T2099" i="20"/>
  <c r="T2100" i="20"/>
  <c r="T2101" i="20"/>
  <c r="T2102" i="20"/>
  <c r="T2103" i="20"/>
  <c r="T2104" i="20"/>
  <c r="T2105" i="20"/>
  <c r="T2106" i="20"/>
  <c r="T2107" i="20"/>
  <c r="T2108" i="20"/>
  <c r="T2109" i="20"/>
  <c r="T2110" i="20"/>
  <c r="T2111" i="20"/>
  <c r="T2112" i="20"/>
  <c r="T2113" i="20"/>
  <c r="T2114" i="20"/>
  <c r="T2115" i="20"/>
  <c r="T2116" i="20"/>
  <c r="T2117" i="20"/>
  <c r="T2118" i="20"/>
  <c r="T2119" i="20"/>
  <c r="T2120" i="20"/>
  <c r="T2121" i="20"/>
  <c r="T2122" i="20"/>
  <c r="T2123" i="20"/>
  <c r="T2124" i="20"/>
  <c r="T2125" i="20"/>
  <c r="T2126" i="20"/>
  <c r="T2127" i="20"/>
  <c r="T2128" i="20"/>
  <c r="T2129" i="20"/>
  <c r="T2130" i="20"/>
  <c r="T2131" i="20"/>
  <c r="T2132" i="20"/>
  <c r="T2133" i="20"/>
  <c r="T2134" i="20"/>
  <c r="T2135" i="20"/>
  <c r="T2136" i="20"/>
  <c r="T2137" i="20"/>
  <c r="T2138" i="20"/>
  <c r="T2139" i="20"/>
  <c r="T2140" i="20"/>
  <c r="T2141" i="20"/>
  <c r="T2142" i="20"/>
  <c r="T2143" i="20"/>
  <c r="T2144" i="20"/>
  <c r="T2145" i="20"/>
  <c r="T2146" i="20"/>
  <c r="T2147" i="20"/>
  <c r="T2148" i="20"/>
  <c r="T2149" i="20"/>
  <c r="T2150" i="20"/>
  <c r="T2151" i="20"/>
  <c r="T2152" i="20"/>
  <c r="T2153" i="20"/>
  <c r="T2154" i="20"/>
  <c r="T2155" i="20"/>
  <c r="T2156" i="20"/>
  <c r="T2157" i="20"/>
  <c r="T2158" i="20"/>
  <c r="T2159" i="20"/>
  <c r="T2160" i="20"/>
  <c r="T2161" i="20"/>
  <c r="T2162" i="20"/>
  <c r="T2163" i="20"/>
  <c r="T2164" i="20"/>
  <c r="T2165" i="20"/>
  <c r="T2166" i="20"/>
  <c r="T2167" i="20"/>
  <c r="T2168" i="20"/>
  <c r="T2169" i="20"/>
  <c r="T2170" i="20"/>
  <c r="T2171" i="20"/>
  <c r="T2172" i="20"/>
  <c r="T2173" i="20"/>
  <c r="T2174" i="20"/>
  <c r="T2175" i="20"/>
  <c r="T2176" i="20"/>
  <c r="T2177" i="20"/>
  <c r="T2178" i="20"/>
  <c r="T2179" i="20"/>
  <c r="T2180" i="20"/>
  <c r="T2181" i="20"/>
  <c r="T2182" i="20"/>
  <c r="T2183" i="20"/>
  <c r="T2184" i="20"/>
  <c r="T2185" i="20"/>
  <c r="T2186" i="20"/>
  <c r="T2187" i="20"/>
  <c r="T2188" i="20"/>
  <c r="T2189" i="20"/>
  <c r="T2190" i="20"/>
  <c r="T2191" i="20"/>
  <c r="T2192" i="20"/>
  <c r="T2193" i="20"/>
  <c r="T2194" i="20"/>
  <c r="T2195" i="20"/>
  <c r="T2196" i="20"/>
  <c r="T2197" i="20"/>
  <c r="T2198" i="20"/>
  <c r="T2199" i="20"/>
  <c r="T2200" i="20"/>
  <c r="T2201" i="20"/>
  <c r="T2202" i="20"/>
  <c r="T2203" i="20"/>
  <c r="T2204" i="20"/>
  <c r="T2205" i="20"/>
  <c r="T2206" i="20"/>
  <c r="T2207" i="20"/>
  <c r="T2208" i="20"/>
  <c r="T2209" i="20"/>
  <c r="T2210" i="20"/>
  <c r="T2211" i="20"/>
  <c r="T2212" i="20"/>
  <c r="T2213" i="20"/>
  <c r="T2214" i="20"/>
  <c r="T2215" i="20"/>
  <c r="T2216" i="20"/>
  <c r="T2217" i="20"/>
  <c r="T2218" i="20"/>
  <c r="T2219" i="20"/>
  <c r="T2220" i="20"/>
  <c r="T2221" i="20"/>
  <c r="T2222" i="20"/>
  <c r="T2223" i="20"/>
  <c r="T2224" i="20"/>
  <c r="T2225" i="20"/>
  <c r="T2226" i="20"/>
  <c r="T2227" i="20"/>
  <c r="T2228" i="20"/>
  <c r="T2229" i="20"/>
  <c r="T2230" i="20"/>
  <c r="T2231" i="20"/>
  <c r="T2232" i="20"/>
  <c r="T2233" i="20"/>
  <c r="T2234" i="20"/>
  <c r="T2235" i="20"/>
  <c r="T2236" i="20"/>
  <c r="T2237" i="20"/>
  <c r="T2238" i="20"/>
  <c r="T2239" i="20"/>
  <c r="T2240" i="20"/>
  <c r="T2241" i="20"/>
  <c r="T2242" i="20"/>
  <c r="T2243" i="20"/>
  <c r="T2244" i="20"/>
  <c r="T2245" i="20"/>
  <c r="T2246" i="20"/>
  <c r="T2247" i="20"/>
  <c r="T2248" i="20"/>
  <c r="T2249" i="20"/>
  <c r="T2250" i="20"/>
  <c r="T2251" i="20"/>
  <c r="T2252" i="20"/>
  <c r="T2253" i="20"/>
  <c r="T2254" i="20"/>
  <c r="T2255" i="20"/>
  <c r="T2256" i="20"/>
  <c r="T2257" i="20"/>
  <c r="T2258" i="20"/>
  <c r="T2259" i="20"/>
  <c r="T2260" i="20"/>
  <c r="T2261" i="20"/>
  <c r="T2262" i="20"/>
  <c r="T2263" i="20"/>
  <c r="T2264" i="20"/>
  <c r="T2265" i="20"/>
  <c r="T2266" i="20"/>
  <c r="T2267" i="20"/>
  <c r="T2268" i="20"/>
  <c r="T2269" i="20"/>
  <c r="T2270" i="20"/>
  <c r="T2271" i="20"/>
  <c r="T2272" i="20"/>
  <c r="T2273" i="20"/>
  <c r="T2274" i="20"/>
  <c r="T2275" i="20"/>
  <c r="T2276" i="20"/>
  <c r="T2277" i="20"/>
  <c r="T2278" i="20"/>
  <c r="T2279" i="20"/>
  <c r="T2280" i="20"/>
  <c r="T2281" i="20"/>
  <c r="T2282" i="20"/>
  <c r="T2283" i="20"/>
  <c r="T2284" i="20"/>
  <c r="T2285" i="20"/>
  <c r="T2286" i="20"/>
  <c r="T2287" i="20"/>
  <c r="T2288" i="20"/>
  <c r="T2289" i="20"/>
  <c r="T2290" i="20"/>
  <c r="T2291" i="20"/>
  <c r="T2292" i="20"/>
  <c r="T2293" i="20"/>
  <c r="T2294" i="20"/>
  <c r="T2295" i="20"/>
  <c r="T2296" i="20"/>
  <c r="T2297" i="20"/>
  <c r="T2298" i="20"/>
  <c r="T2299" i="20"/>
  <c r="T2300" i="20"/>
  <c r="T2301" i="20"/>
  <c r="T2302" i="20"/>
  <c r="T2303" i="20"/>
  <c r="T2304" i="20"/>
  <c r="T2305" i="20"/>
  <c r="T2306" i="20"/>
  <c r="T2307" i="20"/>
  <c r="T2308" i="20"/>
  <c r="T2309" i="20"/>
  <c r="T2310" i="20"/>
  <c r="T2311" i="20"/>
  <c r="T2312" i="20"/>
  <c r="T2313" i="20"/>
  <c r="T2314" i="20"/>
  <c r="T2315" i="20"/>
  <c r="T2316" i="20"/>
  <c r="T2317" i="20"/>
  <c r="T2318" i="20"/>
  <c r="T2319" i="20"/>
  <c r="T2320" i="20"/>
  <c r="T2321" i="20"/>
  <c r="T2322" i="20"/>
  <c r="T2323" i="20"/>
  <c r="T2324" i="20"/>
  <c r="T2325" i="20"/>
  <c r="T2326" i="20"/>
  <c r="T2327" i="20"/>
  <c r="T2328" i="20"/>
  <c r="T2329" i="20"/>
  <c r="T2330" i="20"/>
  <c r="T2331" i="20"/>
  <c r="T2332" i="20"/>
  <c r="T2333" i="20"/>
  <c r="T2334" i="20"/>
  <c r="T2335" i="20"/>
  <c r="T2336" i="20"/>
  <c r="T2337" i="20"/>
  <c r="T2338" i="20"/>
  <c r="T2339" i="20"/>
  <c r="T2340" i="20"/>
  <c r="T2341" i="20"/>
  <c r="T2342" i="20"/>
  <c r="T2343" i="20"/>
  <c r="T2344" i="20"/>
  <c r="T2345" i="20"/>
  <c r="T2346" i="20"/>
  <c r="T2347" i="20"/>
  <c r="T2348" i="20"/>
  <c r="T2349" i="20"/>
  <c r="T2350" i="20"/>
  <c r="T2351" i="20"/>
  <c r="T2352" i="20"/>
  <c r="T2353" i="20"/>
  <c r="T2354" i="20"/>
  <c r="T2355" i="20"/>
  <c r="T2356" i="20"/>
  <c r="T2357" i="20"/>
  <c r="T2358" i="20"/>
  <c r="T2359" i="20"/>
  <c r="T2360" i="20"/>
  <c r="T2361" i="20"/>
  <c r="T2362" i="20"/>
  <c r="T2363" i="20"/>
  <c r="T2364" i="20"/>
  <c r="T2365" i="20"/>
  <c r="T2366" i="20"/>
  <c r="T2367" i="20"/>
  <c r="T2368" i="20"/>
  <c r="T2369" i="20"/>
  <c r="T2370" i="20"/>
  <c r="T2371" i="20"/>
  <c r="T2372" i="20"/>
  <c r="T2373" i="20"/>
  <c r="T2374" i="20"/>
  <c r="T2375" i="20"/>
  <c r="T2376" i="20"/>
  <c r="T2377" i="20"/>
  <c r="T2378" i="20"/>
  <c r="T2379" i="20"/>
  <c r="T2380" i="20"/>
  <c r="T2381" i="20"/>
  <c r="T2382" i="20"/>
  <c r="T2383" i="20"/>
  <c r="T2384" i="20"/>
  <c r="T2385" i="20"/>
  <c r="T2386" i="20"/>
  <c r="T2387" i="20"/>
  <c r="T2388" i="20"/>
  <c r="T2389" i="20"/>
  <c r="T2390" i="20"/>
  <c r="T2391" i="20"/>
  <c r="T2392" i="20"/>
  <c r="T2393" i="20"/>
  <c r="T2394" i="20"/>
  <c r="T2395" i="20"/>
  <c r="T2396" i="20"/>
  <c r="T2397" i="20"/>
  <c r="T2398" i="20"/>
  <c r="T2399" i="20"/>
  <c r="T2400" i="20"/>
  <c r="T2401" i="20"/>
  <c r="T2402" i="20"/>
  <c r="T2403" i="20"/>
  <c r="T2404" i="20"/>
  <c r="T2405" i="20"/>
  <c r="T2406" i="20"/>
  <c r="T2407" i="20"/>
  <c r="T2408" i="20"/>
  <c r="T2409" i="20"/>
  <c r="T2410" i="20"/>
  <c r="T2411" i="20"/>
  <c r="T2412" i="20"/>
  <c r="T2413" i="20"/>
  <c r="T2414" i="20"/>
  <c r="T2415" i="20"/>
  <c r="T2416" i="20"/>
  <c r="T2417" i="20"/>
  <c r="T2418" i="20"/>
  <c r="T2419" i="20"/>
  <c r="T2420" i="20"/>
  <c r="T2421" i="20"/>
  <c r="T2422" i="20"/>
  <c r="T2423" i="20"/>
  <c r="T2424" i="20"/>
  <c r="T2425" i="20"/>
  <c r="T2426" i="20"/>
  <c r="T2427" i="20"/>
  <c r="T2428" i="20"/>
  <c r="T2429" i="20"/>
  <c r="T2430" i="20"/>
  <c r="T2431" i="20"/>
  <c r="T2432" i="20"/>
  <c r="T2433" i="20"/>
  <c r="T2434" i="20"/>
  <c r="T2435" i="20"/>
  <c r="T2436" i="20"/>
  <c r="T2437" i="20"/>
  <c r="T2438" i="20"/>
  <c r="T2439" i="20"/>
  <c r="T2440" i="20"/>
  <c r="T2441" i="20"/>
  <c r="T2442" i="20"/>
  <c r="T2443" i="20"/>
  <c r="T2444" i="20"/>
  <c r="T2445" i="20"/>
  <c r="T2446" i="20"/>
  <c r="T2447" i="20"/>
  <c r="T2448" i="20"/>
  <c r="T2449" i="20"/>
  <c r="T2450" i="20"/>
  <c r="T2451" i="20"/>
  <c r="T2452" i="20"/>
  <c r="T2453" i="20"/>
  <c r="T2454" i="20"/>
  <c r="T2455" i="20"/>
  <c r="T2456" i="20"/>
  <c r="T2457" i="20"/>
  <c r="T2458" i="20"/>
  <c r="T2459" i="20"/>
  <c r="T2460" i="20"/>
  <c r="T2461" i="20"/>
  <c r="T2462" i="20"/>
  <c r="T2463" i="20"/>
  <c r="T2464" i="20"/>
  <c r="T2465" i="20"/>
  <c r="T2466" i="20"/>
  <c r="T2467" i="20"/>
  <c r="T2468" i="20"/>
  <c r="T2469" i="20"/>
  <c r="T2470" i="20"/>
  <c r="T2471" i="20"/>
  <c r="T2472" i="20"/>
  <c r="T2473" i="20"/>
  <c r="T2474" i="20"/>
  <c r="T2475" i="20"/>
  <c r="T2476" i="20"/>
  <c r="T2477" i="20"/>
  <c r="T2478" i="20"/>
  <c r="T2479" i="20"/>
  <c r="T2480" i="20"/>
  <c r="T2481" i="20"/>
  <c r="T2482" i="20"/>
  <c r="T2483" i="20"/>
  <c r="T2484" i="20"/>
  <c r="T2485" i="20"/>
  <c r="T2486" i="20"/>
  <c r="T2487" i="20"/>
  <c r="T2488" i="20"/>
  <c r="T2489" i="20"/>
  <c r="T2490" i="20"/>
  <c r="T2491" i="20"/>
  <c r="T2492" i="20"/>
  <c r="T2493" i="20"/>
  <c r="T2494" i="20"/>
  <c r="T2495" i="20"/>
  <c r="T2496" i="20"/>
  <c r="T2497" i="20"/>
  <c r="T2498" i="20"/>
  <c r="T2499" i="20"/>
  <c r="T2500" i="20"/>
  <c r="T2501" i="20"/>
  <c r="T2502" i="20"/>
  <c r="T2503" i="20"/>
  <c r="T2504" i="20"/>
  <c r="T2505" i="20"/>
  <c r="T2506" i="20"/>
  <c r="T2507" i="20"/>
  <c r="T2508" i="20"/>
  <c r="T2509" i="20"/>
  <c r="T2510" i="20"/>
  <c r="T2511" i="20"/>
  <c r="T2512" i="20"/>
  <c r="T2513" i="20"/>
  <c r="T2514" i="20"/>
  <c r="T2515" i="20"/>
  <c r="T2516" i="20"/>
  <c r="T2517" i="20"/>
  <c r="T2518" i="20"/>
  <c r="T2519" i="20"/>
  <c r="T2520" i="20"/>
  <c r="T2521" i="20"/>
  <c r="T2522" i="20"/>
  <c r="T2523" i="20"/>
  <c r="T2524" i="20"/>
  <c r="T2525" i="20"/>
  <c r="T2526" i="20"/>
  <c r="T2527" i="20"/>
  <c r="T2528" i="20"/>
  <c r="T2529" i="20"/>
  <c r="T2530" i="20"/>
  <c r="T2531" i="20"/>
  <c r="T2532" i="20"/>
  <c r="T2533" i="20"/>
  <c r="T2534" i="20"/>
  <c r="T2535" i="20"/>
  <c r="T2536" i="20"/>
  <c r="T2537" i="20"/>
  <c r="T2538" i="20"/>
  <c r="T2539" i="20"/>
  <c r="T2540" i="20"/>
  <c r="T2541" i="20"/>
  <c r="T2542" i="20"/>
  <c r="T2543" i="20"/>
  <c r="T2544" i="20"/>
  <c r="T2545" i="20"/>
  <c r="T2546" i="20"/>
  <c r="T2547" i="20"/>
  <c r="T2548" i="20"/>
  <c r="T2549" i="20"/>
  <c r="T2550" i="20"/>
  <c r="T2551" i="20"/>
  <c r="T2552" i="20"/>
  <c r="T2553" i="20"/>
  <c r="T2554" i="20"/>
  <c r="T2555" i="20"/>
  <c r="T2556" i="20"/>
  <c r="T2557" i="20"/>
  <c r="T2558" i="20"/>
  <c r="T2559" i="20"/>
  <c r="T2560" i="20"/>
  <c r="T2561" i="20"/>
  <c r="T2562" i="20"/>
  <c r="T2563" i="20"/>
  <c r="T2564" i="20"/>
  <c r="T2565" i="20"/>
  <c r="T2566" i="20"/>
  <c r="T2567" i="20"/>
  <c r="T2568" i="20"/>
  <c r="T2569" i="20"/>
  <c r="T2570" i="20"/>
  <c r="T2571" i="20"/>
  <c r="T2572" i="20"/>
  <c r="T2573" i="20"/>
  <c r="T2574" i="20"/>
  <c r="T2575" i="20"/>
  <c r="T2576" i="20"/>
  <c r="T2577" i="20"/>
  <c r="T2578" i="20"/>
  <c r="T2579" i="20"/>
  <c r="T2580" i="20"/>
  <c r="T2581" i="20"/>
  <c r="T2582" i="20"/>
  <c r="T2583" i="20"/>
  <c r="T2584" i="20"/>
  <c r="T2585" i="20"/>
  <c r="T2586" i="20"/>
  <c r="T2587" i="20"/>
  <c r="X149" i="21"/>
  <c r="B149" i="21" s="1"/>
  <c r="X49" i="21"/>
  <c r="X45" i="21"/>
  <c r="X182" i="21"/>
  <c r="B182" i="21" s="1"/>
  <c r="X170" i="21"/>
  <c r="B170" i="21" s="1"/>
  <c r="X166" i="21"/>
  <c r="B166" i="21" s="1"/>
  <c r="X163" i="21"/>
  <c r="B163" i="21" s="1"/>
  <c r="X160" i="21"/>
  <c r="B160" i="21" s="1"/>
  <c r="X157" i="21"/>
  <c r="B157" i="21" s="1"/>
  <c r="X154" i="21"/>
  <c r="B154" i="21" s="1"/>
  <c r="X151" i="21"/>
  <c r="B151" i="21" s="1"/>
  <c r="X148" i="21"/>
  <c r="B148" i="21" s="1"/>
  <c r="X145" i="21"/>
  <c r="B145" i="21" s="1"/>
  <c r="X142" i="21"/>
  <c r="B142" i="21" s="1"/>
  <c r="X139" i="21"/>
  <c r="B139" i="21" s="1"/>
  <c r="X136" i="21"/>
  <c r="B136" i="21" s="1"/>
  <c r="X74" i="21"/>
  <c r="B74" i="21" s="1"/>
  <c r="X71" i="21"/>
  <c r="B71" i="21" s="1"/>
  <c r="X67" i="21"/>
  <c r="B67" i="21" s="1"/>
  <c r="X63" i="21"/>
  <c r="X55" i="21"/>
  <c r="X51" i="21"/>
  <c r="X47" i="21"/>
  <c r="X43" i="21"/>
  <c r="X216" i="21"/>
  <c r="B216" i="21" s="1"/>
  <c r="X214" i="21"/>
  <c r="B214" i="21" s="1"/>
  <c r="X212" i="21"/>
  <c r="B212" i="21" s="1"/>
  <c r="X210" i="21"/>
  <c r="B210" i="21" s="1"/>
  <c r="X208" i="21"/>
  <c r="B208" i="21" s="1"/>
  <c r="X206" i="21"/>
  <c r="B206" i="21" s="1"/>
  <c r="X204" i="21"/>
  <c r="B204" i="21" s="1"/>
  <c r="X59" i="21"/>
  <c r="X215" i="21"/>
  <c r="B215" i="21" s="1"/>
  <c r="X213" i="21"/>
  <c r="B213" i="21" s="1"/>
  <c r="X211" i="21"/>
  <c r="B211" i="21" s="1"/>
  <c r="X209" i="21"/>
  <c r="B209" i="21" s="1"/>
  <c r="X207" i="21"/>
  <c r="B207" i="21" s="1"/>
  <c r="X205" i="21"/>
  <c r="B205" i="21" s="1"/>
  <c r="X203" i="21"/>
  <c r="B203" i="21" s="1"/>
  <c r="X62" i="21"/>
  <c r="X54" i="21"/>
  <c r="X28" i="21"/>
  <c r="X172" i="21"/>
  <c r="B172" i="21" s="1"/>
  <c r="X161" i="21"/>
  <c r="B161" i="21" s="1"/>
  <c r="X143" i="21"/>
  <c r="B143" i="21" s="1"/>
  <c r="X69" i="21"/>
  <c r="B69" i="21" s="1"/>
  <c r="X57" i="21"/>
  <c r="X202" i="21"/>
  <c r="B202" i="21" s="1"/>
  <c r="X201" i="21"/>
  <c r="B201" i="21" s="1"/>
  <c r="X200" i="21"/>
  <c r="B200" i="21" s="1"/>
  <c r="X199" i="21"/>
  <c r="B199" i="21" s="1"/>
  <c r="X198" i="21"/>
  <c r="B198" i="21" s="1"/>
  <c r="X197" i="21"/>
  <c r="B197" i="21" s="1"/>
  <c r="X196" i="21"/>
  <c r="B196" i="21" s="1"/>
  <c r="X195" i="21"/>
  <c r="B195" i="21" s="1"/>
  <c r="X194" i="21"/>
  <c r="B194" i="21" s="1"/>
  <c r="X193" i="21"/>
  <c r="B193" i="21" s="1"/>
  <c r="X192" i="21"/>
  <c r="B192" i="21" s="1"/>
  <c r="X191" i="21"/>
  <c r="B191" i="21" s="1"/>
  <c r="X190" i="21"/>
  <c r="B190" i="21" s="1"/>
  <c r="X189" i="21"/>
  <c r="B189" i="21" s="1"/>
  <c r="X188" i="21"/>
  <c r="B188" i="21" s="1"/>
  <c r="X187" i="21"/>
  <c r="B187" i="21" s="1"/>
  <c r="X186" i="21"/>
  <c r="B186" i="21" s="1"/>
  <c r="X185" i="21"/>
  <c r="B185" i="21" s="1"/>
  <c r="X184" i="21"/>
  <c r="B184" i="21" s="1"/>
  <c r="X181" i="21"/>
  <c r="B181" i="21" s="1"/>
  <c r="X80" i="21"/>
  <c r="B80" i="21" s="1"/>
  <c r="X180" i="21"/>
  <c r="B180" i="21" s="1"/>
  <c r="X179" i="21"/>
  <c r="B179" i="21" s="1"/>
  <c r="X178" i="21"/>
  <c r="B178" i="21" s="1"/>
  <c r="X177" i="21"/>
  <c r="B177" i="21" s="1"/>
  <c r="X176" i="21"/>
  <c r="B176" i="21" s="1"/>
  <c r="X175" i="21"/>
  <c r="B175" i="21" s="1"/>
  <c r="X174" i="21"/>
  <c r="B174" i="21" s="1"/>
  <c r="X173" i="21"/>
  <c r="B173" i="21" s="1"/>
  <c r="X171" i="21"/>
  <c r="B171" i="21" s="1"/>
  <c r="X169" i="21"/>
  <c r="B169" i="21" s="1"/>
  <c r="X167" i="21"/>
  <c r="B167" i="21" s="1"/>
  <c r="X164" i="21"/>
  <c r="B164" i="21" s="1"/>
  <c r="X162" i="21"/>
  <c r="B162" i="21" s="1"/>
  <c r="X159" i="21"/>
  <c r="B159" i="21" s="1"/>
  <c r="X156" i="21"/>
  <c r="B156" i="21" s="1"/>
  <c r="X153" i="21"/>
  <c r="B153" i="21" s="1"/>
  <c r="X150" i="21"/>
  <c r="B150" i="21" s="1"/>
  <c r="X147" i="21"/>
  <c r="B147" i="21" s="1"/>
  <c r="X144" i="21"/>
  <c r="B144" i="21" s="1"/>
  <c r="X131" i="21"/>
  <c r="B131" i="21" s="1"/>
  <c r="X130" i="21"/>
  <c r="B130" i="21" s="1"/>
  <c r="X128" i="21"/>
  <c r="B128" i="21" s="1"/>
  <c r="X98" i="21"/>
  <c r="B98" i="21" s="1"/>
  <c r="X97" i="21"/>
  <c r="B97" i="21" s="1"/>
  <c r="X95" i="21"/>
  <c r="B95" i="21" s="1"/>
  <c r="X93" i="21"/>
  <c r="B93" i="21" s="1"/>
  <c r="X91" i="21"/>
  <c r="B91" i="21" s="1"/>
  <c r="X84" i="21"/>
  <c r="B84" i="21" s="1"/>
  <c r="X46" i="21"/>
  <c r="X29" i="21"/>
  <c r="X165" i="21"/>
  <c r="B165" i="21" s="1"/>
  <c r="X155" i="21"/>
  <c r="B155" i="21" s="1"/>
  <c r="X53" i="21"/>
  <c r="X140" i="21"/>
  <c r="B140" i="21" s="1"/>
  <c r="X141" i="21"/>
  <c r="B141" i="21" s="1"/>
  <c r="X138" i="21"/>
  <c r="B138" i="21" s="1"/>
  <c r="X183" i="21"/>
  <c r="B183" i="21" s="1"/>
  <c r="X72" i="21"/>
  <c r="B72" i="21" s="1"/>
  <c r="X68" i="21"/>
  <c r="B68" i="21" s="1"/>
  <c r="X64" i="21"/>
  <c r="X60" i="21"/>
  <c r="X56" i="21"/>
  <c r="X52" i="21"/>
  <c r="X48" i="21"/>
  <c r="X44" i="21"/>
  <c r="X18" i="21"/>
  <c r="X134" i="21"/>
  <c r="B134" i="21" s="1"/>
  <c r="X133" i="21"/>
  <c r="B133" i="21" s="1"/>
  <c r="X132" i="21"/>
  <c r="B132" i="21" s="1"/>
  <c r="X129" i="21"/>
  <c r="B129" i="21" s="1"/>
  <c r="X127" i="21"/>
  <c r="B127" i="21" s="1"/>
  <c r="X92" i="21"/>
  <c r="B92" i="21" s="1"/>
  <c r="X88" i="21"/>
  <c r="B88" i="21" s="1"/>
  <c r="X79" i="21"/>
  <c r="B79" i="21" s="1"/>
  <c r="X70" i="21"/>
  <c r="B70" i="21" s="1"/>
  <c r="X168" i="21"/>
  <c r="B168" i="21" s="1"/>
  <c r="X158" i="21"/>
  <c r="B158" i="21" s="1"/>
  <c r="X61" i="21"/>
  <c r="X126" i="21"/>
  <c r="B126" i="21" s="1"/>
  <c r="X125" i="21"/>
  <c r="B125" i="21" s="1"/>
  <c r="X124" i="21"/>
  <c r="B124" i="21" s="1"/>
  <c r="X123" i="21"/>
  <c r="B123" i="21" s="1"/>
  <c r="X122" i="21"/>
  <c r="B122" i="21" s="1"/>
  <c r="X121" i="21"/>
  <c r="B121" i="21" s="1"/>
  <c r="X120" i="21"/>
  <c r="B120" i="21" s="1"/>
  <c r="X119" i="21"/>
  <c r="B119" i="21" s="1"/>
  <c r="X118" i="21"/>
  <c r="B118" i="21" s="1"/>
  <c r="X117" i="21"/>
  <c r="B117" i="21" s="1"/>
  <c r="X116" i="21"/>
  <c r="B116" i="21" s="1"/>
  <c r="X115" i="21"/>
  <c r="B115" i="21" s="1"/>
  <c r="X114" i="21"/>
  <c r="B114" i="21" s="1"/>
  <c r="X113" i="21"/>
  <c r="B113" i="21" s="1"/>
  <c r="X112" i="21"/>
  <c r="B112" i="21" s="1"/>
  <c r="X111" i="21"/>
  <c r="B111" i="21" s="1"/>
  <c r="X110" i="21"/>
  <c r="B110" i="21" s="1"/>
  <c r="X109" i="21"/>
  <c r="B109" i="21" s="1"/>
  <c r="X108" i="21"/>
  <c r="B108" i="21" s="1"/>
  <c r="X107" i="21"/>
  <c r="B107" i="21" s="1"/>
  <c r="X105" i="21"/>
  <c r="B105" i="21" s="1"/>
  <c r="X104" i="21"/>
  <c r="B104" i="21" s="1"/>
  <c r="X103" i="21"/>
  <c r="B103" i="21" s="1"/>
  <c r="X101" i="21"/>
  <c r="B101" i="21" s="1"/>
  <c r="X100" i="21"/>
  <c r="B100" i="21" s="1"/>
  <c r="X94" i="21"/>
  <c r="B94" i="21" s="1"/>
  <c r="X89" i="21"/>
  <c r="B89" i="21" s="1"/>
  <c r="X85" i="21"/>
  <c r="B85" i="21" s="1"/>
  <c r="X83" i="21"/>
  <c r="B83" i="21" s="1"/>
  <c r="X78" i="21"/>
  <c r="B78" i="21" s="1"/>
  <c r="X42" i="21"/>
  <c r="X25" i="21"/>
  <c r="X146" i="21"/>
  <c r="B146" i="21" s="1"/>
  <c r="X137" i="21"/>
  <c r="B137" i="21" s="1"/>
  <c r="X73" i="21"/>
  <c r="B73" i="21" s="1"/>
  <c r="X65" i="21"/>
  <c r="X106" i="21"/>
  <c r="B106" i="21" s="1"/>
  <c r="X102" i="21"/>
  <c r="B102" i="21" s="1"/>
  <c r="X99" i="21"/>
  <c r="B99" i="21" s="1"/>
  <c r="X96" i="21"/>
  <c r="B96" i="21" s="1"/>
  <c r="X90" i="21"/>
  <c r="B90" i="21" s="1"/>
  <c r="X82" i="21"/>
  <c r="B82" i="21" s="1"/>
  <c r="X75" i="21"/>
  <c r="B75" i="21" s="1"/>
  <c r="X87" i="21"/>
  <c r="B87" i="21" s="1"/>
  <c r="X86" i="21"/>
  <c r="B86" i="21" s="1"/>
  <c r="X81" i="21"/>
  <c r="B81" i="21" s="1"/>
  <c r="X77" i="21"/>
  <c r="B77" i="21" s="1"/>
  <c r="X66" i="21"/>
  <c r="X58" i="21"/>
  <c r="X50" i="21"/>
  <c r="X27" i="21"/>
  <c r="X24" i="21"/>
  <c r="X19" i="21"/>
  <c r="X41" i="21"/>
  <c r="X40" i="21"/>
  <c r="X39" i="21"/>
  <c r="X38" i="21"/>
  <c r="X37" i="21"/>
  <c r="X36" i="21"/>
  <c r="X35" i="21"/>
  <c r="X34" i="21"/>
  <c r="X33" i="21"/>
  <c r="X32" i="21"/>
  <c r="X31" i="21"/>
  <c r="X30" i="21"/>
  <c r="X26" i="21"/>
  <c r="X23" i="21"/>
  <c r="X22" i="21"/>
  <c r="X21" i="21"/>
  <c r="X20" i="21"/>
  <c r="X17" i="21"/>
  <c r="B17" i="21" s="1"/>
  <c r="X76" i="21"/>
  <c r="B76" i="21" s="1"/>
  <c r="X152" i="21"/>
  <c r="B152" i="21" s="1"/>
  <c r="X135" i="21"/>
  <c r="B135" i="21" s="1"/>
  <c r="AI20" i="21" a="1"/>
  <c r="AI20" i="21" s="1"/>
  <c r="AI21" i="21" s="1" a="1"/>
  <c r="AI21" i="21" s="1"/>
  <c r="AM21" i="21" a="1"/>
  <c r="AM21" i="21" s="1"/>
  <c r="AM22" i="21" s="1" a="1"/>
  <c r="AM22" i="21" s="1"/>
  <c r="AJ19" i="21" a="1"/>
  <c r="AJ19" i="21" s="1"/>
  <c r="AN19" i="21" a="1"/>
  <c r="AN19" i="21" s="1"/>
  <c r="AL19" i="21" a="1"/>
  <c r="AL19" i="21" s="1"/>
  <c r="AK20" i="21" a="1"/>
  <c r="AK20" i="21" s="1"/>
  <c r="AH20" i="21" a="1"/>
  <c r="AH20" i="21" s="1"/>
  <c r="AB17" i="20" l="1" a="1"/>
  <c r="AB17" i="20" s="1"/>
  <c r="AA18" i="20" a="1"/>
  <c r="AA18" i="20" s="1"/>
  <c r="AE19" i="20" a="1"/>
  <c r="AE19" i="20" s="1"/>
  <c r="AE20" i="20" a="1"/>
  <c r="AE20" i="20" s="1"/>
  <c r="AD21" i="20" a="1"/>
  <c r="AD21" i="20" s="1"/>
  <c r="B15" i="20"/>
  <c r="D15" i="20" a="1"/>
  <c r="D15" i="20" s="1"/>
  <c r="F15" i="20" a="1"/>
  <c r="F15" i="20" s="1"/>
  <c r="H15" i="20" a="1"/>
  <c r="H15" i="20" s="1"/>
  <c r="J15" i="20" a="1"/>
  <c r="J15" i="20" s="1"/>
  <c r="L15" i="20" a="1"/>
  <c r="L15" i="20" s="1"/>
  <c r="B16" i="20"/>
  <c r="D16" i="20" a="1"/>
  <c r="D16" i="20" s="1"/>
  <c r="F16" i="20" a="1"/>
  <c r="F16" i="20" s="1"/>
  <c r="H16" i="20" a="1"/>
  <c r="H16" i="20" s="1"/>
  <c r="J16" i="20" a="1"/>
  <c r="J16" i="20" s="1"/>
  <c r="L16" i="20" a="1"/>
  <c r="L16" i="20" s="1"/>
  <c r="B17" i="20"/>
  <c r="D17" i="20" a="1"/>
  <c r="D17" i="20" s="1"/>
  <c r="F17" i="20" a="1"/>
  <c r="F17" i="20" s="1"/>
  <c r="H17" i="20" a="1"/>
  <c r="H17" i="20" s="1"/>
  <c r="J17" i="20" a="1"/>
  <c r="J17" i="20" s="1"/>
  <c r="L17" i="20" a="1"/>
  <c r="L17" i="20" s="1"/>
  <c r="B18" i="20"/>
  <c r="D18" i="20" a="1"/>
  <c r="D18" i="20" s="1"/>
  <c r="F18" i="20" a="1"/>
  <c r="F18" i="20" s="1"/>
  <c r="H18" i="20" a="1"/>
  <c r="H18" i="20" s="1"/>
  <c r="J18" i="20" a="1"/>
  <c r="J18" i="20" s="1"/>
  <c r="L18" i="20" a="1"/>
  <c r="L18" i="20" s="1"/>
  <c r="B19" i="20"/>
  <c r="D19" i="20" a="1"/>
  <c r="D19" i="20" s="1"/>
  <c r="F19" i="20" a="1"/>
  <c r="F19" i="20" s="1"/>
  <c r="H19" i="20" a="1"/>
  <c r="H19" i="20" s="1"/>
  <c r="J19" i="20" a="1"/>
  <c r="J19" i="20" s="1"/>
  <c r="L19" i="20" a="1"/>
  <c r="L19" i="20" s="1"/>
  <c r="B20" i="20"/>
  <c r="D20" i="20" a="1"/>
  <c r="D20" i="20" s="1"/>
  <c r="F20" i="20" a="1"/>
  <c r="F20" i="20" s="1"/>
  <c r="H20" i="20" a="1"/>
  <c r="H20" i="20" s="1"/>
  <c r="J20" i="20" a="1"/>
  <c r="J20" i="20" s="1"/>
  <c r="L20" i="20" a="1"/>
  <c r="L20" i="20" s="1"/>
  <c r="B21" i="20"/>
  <c r="D21" i="20" a="1"/>
  <c r="D21" i="20" s="1"/>
  <c r="F21" i="20" a="1"/>
  <c r="F21" i="20" s="1"/>
  <c r="H21" i="20" a="1"/>
  <c r="H21" i="20" s="1"/>
  <c r="J21" i="20" a="1"/>
  <c r="J21" i="20" s="1"/>
  <c r="L21" i="20" a="1"/>
  <c r="L21" i="20" s="1"/>
  <c r="B22" i="20"/>
  <c r="D22" i="20" a="1"/>
  <c r="D22" i="20" s="1"/>
  <c r="F22" i="20" a="1"/>
  <c r="F22" i="20" s="1"/>
  <c r="H22" i="20" a="1"/>
  <c r="H22" i="20" s="1"/>
  <c r="J22" i="20" a="1"/>
  <c r="J22" i="20" s="1"/>
  <c r="L22" i="20" a="1"/>
  <c r="L22" i="20" s="1"/>
  <c r="B23" i="20"/>
  <c r="D23" i="20" a="1"/>
  <c r="D23" i="20" s="1"/>
  <c r="F23" i="20" a="1"/>
  <c r="F23" i="20" s="1"/>
  <c r="H23" i="20" a="1"/>
  <c r="H23" i="20" s="1"/>
  <c r="J23" i="20" a="1"/>
  <c r="J23" i="20" s="1"/>
  <c r="L23" i="20" a="1"/>
  <c r="L23" i="20" s="1"/>
  <c r="B24" i="20"/>
  <c r="D24" i="20" a="1"/>
  <c r="D24" i="20" s="1"/>
  <c r="F24" i="20" a="1"/>
  <c r="F24" i="20" s="1"/>
  <c r="H24" i="20" a="1"/>
  <c r="H24" i="20" s="1"/>
  <c r="J24" i="20" a="1"/>
  <c r="J24" i="20" s="1"/>
  <c r="L24" i="20" a="1"/>
  <c r="L24" i="20" s="1"/>
  <c r="B25" i="20"/>
  <c r="D25" i="20" a="1"/>
  <c r="D25" i="20" s="1"/>
  <c r="F25" i="20" a="1"/>
  <c r="F25" i="20" s="1"/>
  <c r="H25" i="20" a="1"/>
  <c r="H25" i="20" s="1"/>
  <c r="J25" i="20" a="1"/>
  <c r="J25" i="20" s="1"/>
  <c r="L25" i="20" a="1"/>
  <c r="L25" i="20" s="1"/>
  <c r="B26" i="20"/>
  <c r="D26" i="20" a="1"/>
  <c r="D26" i="20" s="1"/>
  <c r="F26" i="20" a="1"/>
  <c r="F26" i="20" s="1"/>
  <c r="H26" i="20" a="1"/>
  <c r="H26" i="20" s="1"/>
  <c r="J26" i="20" a="1"/>
  <c r="J26" i="20" s="1"/>
  <c r="L26" i="20" a="1"/>
  <c r="L26" i="20" s="1"/>
  <c r="B27" i="20"/>
  <c r="D27" i="20" a="1"/>
  <c r="D27" i="20" s="1"/>
  <c r="F27" i="20" a="1"/>
  <c r="F27" i="20" s="1"/>
  <c r="H27" i="20" a="1"/>
  <c r="H27" i="20" s="1"/>
  <c r="J27" i="20" a="1"/>
  <c r="J27" i="20" s="1"/>
  <c r="L27" i="20" a="1"/>
  <c r="L27" i="20" s="1"/>
  <c r="B28" i="20"/>
  <c r="D28" i="20" a="1"/>
  <c r="D28" i="20" s="1"/>
  <c r="F28" i="20" a="1"/>
  <c r="F28" i="20" s="1"/>
  <c r="H28" i="20" a="1"/>
  <c r="H28" i="20" s="1"/>
  <c r="J28" i="20" a="1"/>
  <c r="J28" i="20" s="1"/>
  <c r="L28" i="20" a="1"/>
  <c r="L28" i="20" s="1"/>
  <c r="B29" i="20"/>
  <c r="D29" i="20" a="1"/>
  <c r="D29" i="20" s="1"/>
  <c r="F29" i="20" a="1"/>
  <c r="F29" i="20" s="1"/>
  <c r="H29" i="20" a="1"/>
  <c r="H29" i="20" s="1"/>
  <c r="J29" i="20" a="1"/>
  <c r="J29" i="20" s="1"/>
  <c r="L29" i="20" a="1"/>
  <c r="L29" i="20" s="1"/>
  <c r="B30" i="20"/>
  <c r="D30" i="20" a="1"/>
  <c r="D30" i="20" s="1"/>
  <c r="F30" i="20" a="1"/>
  <c r="F30" i="20" s="1"/>
  <c r="H30" i="20" a="1"/>
  <c r="H30" i="20" s="1"/>
  <c r="J30" i="20" a="1"/>
  <c r="J30" i="20" s="1"/>
  <c r="L30" i="20" a="1"/>
  <c r="L30" i="20" s="1"/>
  <c r="B31" i="20"/>
  <c r="D31" i="20" a="1"/>
  <c r="D31" i="20" s="1"/>
  <c r="F31" i="20" a="1"/>
  <c r="F31" i="20" s="1"/>
  <c r="H31" i="20" a="1"/>
  <c r="H31" i="20" s="1"/>
  <c r="J31" i="20" a="1"/>
  <c r="J31" i="20" s="1"/>
  <c r="L31" i="20" a="1"/>
  <c r="L31" i="20" s="1"/>
  <c r="B32" i="20"/>
  <c r="D32" i="20" a="1"/>
  <c r="D32" i="20" s="1"/>
  <c r="F32" i="20" a="1"/>
  <c r="F32" i="20" s="1"/>
  <c r="H32" i="20" a="1"/>
  <c r="H32" i="20" s="1"/>
  <c r="J32" i="20" a="1"/>
  <c r="J32" i="20" s="1"/>
  <c r="L32" i="20" a="1"/>
  <c r="L32" i="20" s="1"/>
  <c r="B33" i="20"/>
  <c r="D33" i="20" a="1"/>
  <c r="D33" i="20" s="1"/>
  <c r="F33" i="20" a="1"/>
  <c r="F33" i="20" s="1"/>
  <c r="H33" i="20" a="1"/>
  <c r="H33" i="20" s="1"/>
  <c r="J33" i="20" a="1"/>
  <c r="J33" i="20" s="1"/>
  <c r="L33" i="20" a="1"/>
  <c r="L33" i="20" s="1"/>
  <c r="B34" i="20"/>
  <c r="D34" i="20" a="1"/>
  <c r="D34" i="20" s="1"/>
  <c r="F34" i="20" a="1"/>
  <c r="F34" i="20" s="1"/>
  <c r="H34" i="20" a="1"/>
  <c r="H34" i="20" s="1"/>
  <c r="J34" i="20" a="1"/>
  <c r="J34" i="20" s="1"/>
  <c r="L34" i="20" a="1"/>
  <c r="L34" i="20" s="1"/>
  <c r="B35" i="20"/>
  <c r="D35" i="20" a="1"/>
  <c r="D35" i="20" s="1"/>
  <c r="F35" i="20" a="1"/>
  <c r="F35" i="20" s="1"/>
  <c r="H35" i="20" a="1"/>
  <c r="H35" i="20" s="1"/>
  <c r="J35" i="20" a="1"/>
  <c r="J35" i="20" s="1"/>
  <c r="L35" i="20" a="1"/>
  <c r="L35" i="20" s="1"/>
  <c r="B36" i="20"/>
  <c r="D36" i="20" a="1"/>
  <c r="D36" i="20" s="1"/>
  <c r="F36" i="20" a="1"/>
  <c r="F36" i="20" s="1"/>
  <c r="H36" i="20" a="1"/>
  <c r="H36" i="20" s="1"/>
  <c r="J36" i="20" a="1"/>
  <c r="J36" i="20" s="1"/>
  <c r="L36" i="20" a="1"/>
  <c r="L36" i="20" s="1"/>
  <c r="B37" i="20"/>
  <c r="D37" i="20" a="1"/>
  <c r="D37" i="20" s="1"/>
  <c r="F37" i="20" a="1"/>
  <c r="F37" i="20" s="1"/>
  <c r="H37" i="20" a="1"/>
  <c r="H37" i="20" s="1"/>
  <c r="J37" i="20" a="1"/>
  <c r="J37" i="20" s="1"/>
  <c r="L37" i="20" a="1"/>
  <c r="L37" i="20" s="1"/>
  <c r="B38" i="20"/>
  <c r="D38" i="20" a="1"/>
  <c r="D38" i="20" s="1"/>
  <c r="F38" i="20" a="1"/>
  <c r="F38" i="20" s="1"/>
  <c r="H38" i="20" a="1"/>
  <c r="H38" i="20" s="1"/>
  <c r="J38" i="20" a="1"/>
  <c r="J38" i="20" s="1"/>
  <c r="L38" i="20" a="1"/>
  <c r="L38" i="20" s="1"/>
  <c r="B39" i="20"/>
  <c r="D39" i="20" a="1"/>
  <c r="D39" i="20" s="1"/>
  <c r="F39" i="20" a="1"/>
  <c r="F39" i="20" s="1"/>
  <c r="H39" i="20" a="1"/>
  <c r="H39" i="20" s="1"/>
  <c r="J39" i="20" a="1"/>
  <c r="J39" i="20" s="1"/>
  <c r="L39" i="20" a="1"/>
  <c r="L39" i="20" s="1"/>
  <c r="B40" i="20"/>
  <c r="D40" i="20" a="1"/>
  <c r="D40" i="20" s="1"/>
  <c r="F40" i="20" a="1"/>
  <c r="F40" i="20" s="1"/>
  <c r="H40" i="20" a="1"/>
  <c r="H40" i="20" s="1"/>
  <c r="J40" i="20" a="1"/>
  <c r="J40" i="20" s="1"/>
  <c r="L40" i="20" a="1"/>
  <c r="L40" i="20" s="1"/>
  <c r="B41" i="20"/>
  <c r="D41" i="20" a="1"/>
  <c r="D41" i="20" s="1"/>
  <c r="F41" i="20" a="1"/>
  <c r="F41" i="20" s="1"/>
  <c r="H41" i="20" a="1"/>
  <c r="H41" i="20" s="1"/>
  <c r="J41" i="20" a="1"/>
  <c r="J41" i="20" s="1"/>
  <c r="L41" i="20" a="1"/>
  <c r="L41" i="20" s="1"/>
  <c r="B42" i="20"/>
  <c r="D42" i="20" a="1"/>
  <c r="D42" i="20" s="1"/>
  <c r="F42" i="20" a="1"/>
  <c r="F42" i="20" s="1"/>
  <c r="H42" i="20" a="1"/>
  <c r="H42" i="20" s="1"/>
  <c r="J42" i="20" a="1"/>
  <c r="J42" i="20" s="1"/>
  <c r="L42" i="20" a="1"/>
  <c r="L42" i="20" s="1"/>
  <c r="B43" i="20"/>
  <c r="D43" i="20" a="1"/>
  <c r="D43" i="20" s="1"/>
  <c r="F43" i="20" a="1"/>
  <c r="F43" i="20" s="1"/>
  <c r="H43" i="20" a="1"/>
  <c r="H43" i="20" s="1"/>
  <c r="J43" i="20" a="1"/>
  <c r="J43" i="20" s="1"/>
  <c r="L43" i="20" a="1"/>
  <c r="L43" i="20" s="1"/>
  <c r="B44" i="20"/>
  <c r="D44" i="20" a="1"/>
  <c r="D44" i="20" s="1"/>
  <c r="F44" i="20" a="1"/>
  <c r="F44" i="20" s="1"/>
  <c r="H44" i="20" a="1"/>
  <c r="H44" i="20" s="1"/>
  <c r="J44" i="20" a="1"/>
  <c r="J44" i="20" s="1"/>
  <c r="L44" i="20" a="1"/>
  <c r="L44" i="20" s="1"/>
  <c r="B45" i="20"/>
  <c r="D45" i="20" a="1"/>
  <c r="D45" i="20" s="1"/>
  <c r="F45" i="20" a="1"/>
  <c r="F45" i="20" s="1"/>
  <c r="H45" i="20" a="1"/>
  <c r="H45" i="20" s="1"/>
  <c r="J45" i="20" a="1"/>
  <c r="J45" i="20" s="1"/>
  <c r="L45" i="20" a="1"/>
  <c r="L45" i="20" s="1"/>
  <c r="B46" i="20"/>
  <c r="D46" i="20" a="1"/>
  <c r="D46" i="20" s="1"/>
  <c r="F46" i="20" a="1"/>
  <c r="F46" i="20" s="1"/>
  <c r="H46" i="20" a="1"/>
  <c r="H46" i="20" s="1"/>
  <c r="J46" i="20" a="1"/>
  <c r="J46" i="20" s="1"/>
  <c r="L46" i="20" a="1"/>
  <c r="L46" i="20" s="1"/>
  <c r="B47" i="20"/>
  <c r="D47" i="20" a="1"/>
  <c r="D47" i="20" s="1"/>
  <c r="F47" i="20" a="1"/>
  <c r="F47" i="20" s="1"/>
  <c r="H47" i="20" a="1"/>
  <c r="H47" i="20" s="1"/>
  <c r="J47" i="20" a="1"/>
  <c r="J47" i="20" s="1"/>
  <c r="L47" i="20" a="1"/>
  <c r="L47" i="20" s="1"/>
  <c r="B48" i="20"/>
  <c r="D48" i="20" a="1"/>
  <c r="D48" i="20" s="1"/>
  <c r="F48" i="20" a="1"/>
  <c r="F48" i="20" s="1"/>
  <c r="H48" i="20" a="1"/>
  <c r="H48" i="20" s="1"/>
  <c r="J48" i="20" a="1"/>
  <c r="J48" i="20" s="1"/>
  <c r="L48" i="20" a="1"/>
  <c r="L48" i="20" s="1"/>
  <c r="B49" i="20"/>
  <c r="D49" i="20" a="1"/>
  <c r="D49" i="20" s="1"/>
  <c r="F49" i="20" a="1"/>
  <c r="F49" i="20" s="1"/>
  <c r="H49" i="20" a="1"/>
  <c r="H49" i="20" s="1"/>
  <c r="J49" i="20" a="1"/>
  <c r="J49" i="20" s="1"/>
  <c r="L49" i="20" a="1"/>
  <c r="L49" i="20" s="1"/>
  <c r="B50" i="20"/>
  <c r="D50" i="20" a="1"/>
  <c r="D50" i="20" s="1"/>
  <c r="F50" i="20" a="1"/>
  <c r="F50" i="20" s="1"/>
  <c r="H50" i="20" a="1"/>
  <c r="H50" i="20" s="1"/>
  <c r="J50" i="20" a="1"/>
  <c r="J50" i="20" s="1"/>
  <c r="L50" i="20" a="1"/>
  <c r="L50" i="20" s="1"/>
  <c r="B51" i="20"/>
  <c r="D51" i="20" a="1"/>
  <c r="D51" i="20" s="1"/>
  <c r="F51" i="20" a="1"/>
  <c r="F51" i="20" s="1"/>
  <c r="H51" i="20" a="1"/>
  <c r="H51" i="20" s="1"/>
  <c r="J51" i="20" a="1"/>
  <c r="J51" i="20" s="1"/>
  <c r="L51" i="20" a="1"/>
  <c r="L51" i="20" s="1"/>
  <c r="B52" i="20"/>
  <c r="D52" i="20" a="1"/>
  <c r="D52" i="20" s="1"/>
  <c r="F52" i="20" a="1"/>
  <c r="F52" i="20" s="1"/>
  <c r="H52" i="20" a="1"/>
  <c r="H52" i="20" s="1"/>
  <c r="J52" i="20" a="1"/>
  <c r="J52" i="20" s="1"/>
  <c r="L52" i="20" a="1"/>
  <c r="L52" i="20" s="1"/>
  <c r="B53" i="20"/>
  <c r="D53" i="20" a="1"/>
  <c r="D53" i="20" s="1"/>
  <c r="F53" i="20" a="1"/>
  <c r="F53" i="20" s="1"/>
  <c r="H53" i="20" a="1"/>
  <c r="H53" i="20" s="1"/>
  <c r="J53" i="20" a="1"/>
  <c r="J53" i="20" s="1"/>
  <c r="L53" i="20" a="1"/>
  <c r="L53" i="20" s="1"/>
  <c r="B54" i="20"/>
  <c r="D54" i="20" a="1"/>
  <c r="D54" i="20" s="1"/>
  <c r="F54" i="20" a="1"/>
  <c r="F54" i="20" s="1"/>
  <c r="H54" i="20" a="1"/>
  <c r="H54" i="20" s="1"/>
  <c r="J54" i="20" a="1"/>
  <c r="J54" i="20" s="1"/>
  <c r="L54" i="20" a="1"/>
  <c r="L54" i="20" s="1"/>
  <c r="B55" i="20"/>
  <c r="D55" i="20" a="1"/>
  <c r="D55" i="20" s="1"/>
  <c r="F55" i="20" a="1"/>
  <c r="F55" i="20" s="1"/>
  <c r="H55" i="20" a="1"/>
  <c r="H55" i="20" s="1"/>
  <c r="J55" i="20" a="1"/>
  <c r="J55" i="20" s="1"/>
  <c r="L55" i="20" a="1"/>
  <c r="L55" i="20" s="1"/>
  <c r="B56" i="20"/>
  <c r="D56" i="20" a="1"/>
  <c r="D56" i="20" s="1"/>
  <c r="F56" i="20" a="1"/>
  <c r="F56" i="20" s="1"/>
  <c r="H56" i="20" a="1"/>
  <c r="H56" i="20" s="1"/>
  <c r="J56" i="20" a="1"/>
  <c r="J56" i="20" s="1"/>
  <c r="L56" i="20" a="1"/>
  <c r="L56" i="20" s="1"/>
  <c r="B57" i="20"/>
  <c r="D57" i="20" a="1"/>
  <c r="D57" i="20" s="1"/>
  <c r="F57" i="20" a="1"/>
  <c r="F57" i="20" s="1"/>
  <c r="H57" i="20" a="1"/>
  <c r="H57" i="20" s="1"/>
  <c r="J57" i="20" a="1"/>
  <c r="J57" i="20" s="1"/>
  <c r="L57" i="20" a="1"/>
  <c r="L57" i="20" s="1"/>
  <c r="B58" i="20"/>
  <c r="D58" i="20" a="1"/>
  <c r="D58" i="20" s="1"/>
  <c r="F58" i="20" a="1"/>
  <c r="F58" i="20" s="1"/>
  <c r="H58" i="20" a="1"/>
  <c r="H58" i="20" s="1"/>
  <c r="J58" i="20" a="1"/>
  <c r="J58" i="20" s="1"/>
  <c r="L58" i="20" a="1"/>
  <c r="L58" i="20" s="1"/>
  <c r="B59" i="20"/>
  <c r="D59" i="20" a="1"/>
  <c r="D59" i="20" s="1"/>
  <c r="F59" i="20" a="1"/>
  <c r="F59" i="20" s="1"/>
  <c r="H59" i="20" a="1"/>
  <c r="H59" i="20" s="1"/>
  <c r="J59" i="20" a="1"/>
  <c r="J59" i="20" s="1"/>
  <c r="L59" i="20" a="1"/>
  <c r="L59" i="20" s="1"/>
  <c r="B60" i="20"/>
  <c r="D60" i="20" a="1"/>
  <c r="D60" i="20" s="1"/>
  <c r="F60" i="20" a="1"/>
  <c r="F60" i="20" s="1"/>
  <c r="H60" i="20" a="1"/>
  <c r="H60" i="20" s="1"/>
  <c r="J60" i="20" a="1"/>
  <c r="J60" i="20" s="1"/>
  <c r="L60" i="20" a="1"/>
  <c r="L60" i="20" s="1"/>
  <c r="B61" i="20"/>
  <c r="D61" i="20" a="1"/>
  <c r="D61" i="20" s="1"/>
  <c r="F61" i="20" a="1"/>
  <c r="F61" i="20" s="1"/>
  <c r="H61" i="20" a="1"/>
  <c r="H61" i="20" s="1"/>
  <c r="J61" i="20" a="1"/>
  <c r="J61" i="20" s="1"/>
  <c r="L61" i="20" a="1"/>
  <c r="L61" i="20" s="1"/>
  <c r="B62" i="20"/>
  <c r="D62" i="20" a="1"/>
  <c r="D62" i="20" s="1"/>
  <c r="F62" i="20" a="1"/>
  <c r="F62" i="20" s="1"/>
  <c r="H62" i="20" a="1"/>
  <c r="H62" i="20" s="1"/>
  <c r="J62" i="20" a="1"/>
  <c r="J62" i="20" s="1"/>
  <c r="L62" i="20" a="1"/>
  <c r="L62" i="20" s="1"/>
  <c r="B63" i="20"/>
  <c r="D63" i="20" a="1"/>
  <c r="D63" i="20" s="1"/>
  <c r="F63" i="20" a="1"/>
  <c r="F63" i="20" s="1"/>
  <c r="H63" i="20" a="1"/>
  <c r="H63" i="20" s="1"/>
  <c r="J63" i="20" a="1"/>
  <c r="J63" i="20" s="1"/>
  <c r="L63" i="20" a="1"/>
  <c r="L63" i="20" s="1"/>
  <c r="B64" i="20"/>
  <c r="D64" i="20" a="1"/>
  <c r="D64" i="20" s="1"/>
  <c r="F64" i="20" a="1"/>
  <c r="F64" i="20" s="1"/>
  <c r="H64" i="20" a="1"/>
  <c r="H64" i="20" s="1"/>
  <c r="J64" i="20" a="1"/>
  <c r="J64" i="20" s="1"/>
  <c r="L64" i="20" a="1"/>
  <c r="L64" i="20" s="1"/>
  <c r="B65" i="20"/>
  <c r="D65" i="20" a="1"/>
  <c r="D65" i="20" s="1"/>
  <c r="F65" i="20" a="1"/>
  <c r="F65" i="20" s="1"/>
  <c r="H65" i="20" a="1"/>
  <c r="H65" i="20" s="1"/>
  <c r="J65" i="20" a="1"/>
  <c r="J65" i="20" s="1"/>
  <c r="L65" i="20" a="1"/>
  <c r="L65" i="20" s="1"/>
  <c r="B66" i="20"/>
  <c r="D66" i="20" a="1"/>
  <c r="D66" i="20" s="1"/>
  <c r="F66" i="20" a="1"/>
  <c r="F66" i="20" s="1"/>
  <c r="H66" i="20" a="1"/>
  <c r="H66" i="20" s="1"/>
  <c r="J66" i="20" a="1"/>
  <c r="J66" i="20" s="1"/>
  <c r="L66" i="20" a="1"/>
  <c r="L66" i="20" s="1"/>
  <c r="B67" i="20"/>
  <c r="D67" i="20" a="1"/>
  <c r="D67" i="20" s="1"/>
  <c r="F67" i="20" a="1"/>
  <c r="F67" i="20" s="1"/>
  <c r="H67" i="20" a="1"/>
  <c r="H67" i="20" s="1"/>
  <c r="J67" i="20" a="1"/>
  <c r="J67" i="20" s="1"/>
  <c r="L67" i="20" a="1"/>
  <c r="L67" i="20" s="1"/>
  <c r="B68" i="20"/>
  <c r="D68" i="20" a="1"/>
  <c r="D68" i="20" s="1"/>
  <c r="F68" i="20" a="1"/>
  <c r="F68" i="20" s="1"/>
  <c r="H68" i="20" a="1"/>
  <c r="H68" i="20" s="1"/>
  <c r="J68" i="20" a="1"/>
  <c r="J68" i="20" s="1"/>
  <c r="L68" i="20" a="1"/>
  <c r="L68" i="20" s="1"/>
  <c r="B69" i="20"/>
  <c r="D69" i="20" a="1"/>
  <c r="D69" i="20" s="1"/>
  <c r="F69" i="20" a="1"/>
  <c r="F69" i="20" s="1"/>
  <c r="H69" i="20" a="1"/>
  <c r="H69" i="20" s="1"/>
  <c r="J69" i="20" a="1"/>
  <c r="J69" i="20" s="1"/>
  <c r="L69" i="20" a="1"/>
  <c r="L69" i="20" s="1"/>
  <c r="B70" i="20"/>
  <c r="D70" i="20" a="1"/>
  <c r="D70" i="20" s="1"/>
  <c r="F70" i="20" a="1"/>
  <c r="F70" i="20" s="1"/>
  <c r="H70" i="20" a="1"/>
  <c r="H70" i="20" s="1"/>
  <c r="J70" i="20" a="1"/>
  <c r="J70" i="20" s="1"/>
  <c r="L70" i="20" a="1"/>
  <c r="L70" i="20" s="1"/>
  <c r="B71" i="20"/>
  <c r="D71" i="20" a="1"/>
  <c r="D71" i="20" s="1"/>
  <c r="F71" i="20" a="1"/>
  <c r="F71" i="20" s="1"/>
  <c r="H71" i="20" a="1"/>
  <c r="H71" i="20" s="1"/>
  <c r="J71" i="20" a="1"/>
  <c r="J71" i="20" s="1"/>
  <c r="L71" i="20" a="1"/>
  <c r="L71" i="20" s="1"/>
  <c r="B72" i="20"/>
  <c r="D72" i="20" a="1"/>
  <c r="D72" i="20" s="1"/>
  <c r="F72" i="20" a="1"/>
  <c r="F72" i="20" s="1"/>
  <c r="H72" i="20" a="1"/>
  <c r="H72" i="20" s="1"/>
  <c r="J72" i="20" a="1"/>
  <c r="J72" i="20" s="1"/>
  <c r="L72" i="20" a="1"/>
  <c r="L72" i="20" s="1"/>
  <c r="B73" i="20"/>
  <c r="D73" i="20" a="1"/>
  <c r="D73" i="20" s="1"/>
  <c r="F73" i="20" a="1"/>
  <c r="F73" i="20" s="1"/>
  <c r="H73" i="20" a="1"/>
  <c r="H73" i="20" s="1"/>
  <c r="J73" i="20" a="1"/>
  <c r="J73" i="20" s="1"/>
  <c r="L73" i="20" a="1"/>
  <c r="L73" i="20" s="1"/>
  <c r="B74" i="20"/>
  <c r="D74" i="20" a="1"/>
  <c r="D74" i="20" s="1"/>
  <c r="F74" i="20" a="1"/>
  <c r="F74" i="20" s="1"/>
  <c r="H74" i="20" a="1"/>
  <c r="H74" i="20" s="1"/>
  <c r="J74" i="20" a="1"/>
  <c r="J74" i="20" s="1"/>
  <c r="L74" i="20" a="1"/>
  <c r="L74" i="20" s="1"/>
  <c r="B75" i="20"/>
  <c r="D75" i="20" a="1"/>
  <c r="D75" i="20" s="1"/>
  <c r="F75" i="20" a="1"/>
  <c r="F75" i="20" s="1"/>
  <c r="H75" i="20" a="1"/>
  <c r="H75" i="20" s="1"/>
  <c r="J75" i="20" a="1"/>
  <c r="J75" i="20" s="1"/>
  <c r="L75" i="20" a="1"/>
  <c r="L75" i="20" s="1"/>
  <c r="B76" i="20"/>
  <c r="D76" i="20" a="1"/>
  <c r="D76" i="20" s="1"/>
  <c r="F76" i="20" a="1"/>
  <c r="F76" i="20" s="1"/>
  <c r="H76" i="20" a="1"/>
  <c r="H76" i="20" s="1"/>
  <c r="J76" i="20" a="1"/>
  <c r="J76" i="20" s="1"/>
  <c r="L76" i="20" a="1"/>
  <c r="L76" i="20" s="1"/>
  <c r="B77" i="20"/>
  <c r="D77" i="20" a="1"/>
  <c r="D77" i="20" s="1"/>
  <c r="F77" i="20" a="1"/>
  <c r="F77" i="20" s="1"/>
  <c r="H77" i="20" a="1"/>
  <c r="H77" i="20" s="1"/>
  <c r="J77" i="20" a="1"/>
  <c r="J77" i="20" s="1"/>
  <c r="L77" i="20" a="1"/>
  <c r="L77" i="20" s="1"/>
  <c r="B78" i="20"/>
  <c r="D78" i="20" a="1"/>
  <c r="D78" i="20" s="1"/>
  <c r="F78" i="20" a="1"/>
  <c r="F78" i="20" s="1"/>
  <c r="H78" i="20" a="1"/>
  <c r="H78" i="20" s="1"/>
  <c r="J78" i="20" a="1"/>
  <c r="J78" i="20" s="1"/>
  <c r="L78" i="20" a="1"/>
  <c r="L78" i="20" s="1"/>
  <c r="B79" i="20"/>
  <c r="D79" i="20" a="1"/>
  <c r="D79" i="20" s="1"/>
  <c r="F79" i="20" a="1"/>
  <c r="F79" i="20" s="1"/>
  <c r="H79" i="20" a="1"/>
  <c r="H79" i="20" s="1"/>
  <c r="J79" i="20" a="1"/>
  <c r="J79" i="20" s="1"/>
  <c r="L79" i="20" a="1"/>
  <c r="L79" i="20" s="1"/>
  <c r="B80" i="20"/>
  <c r="D80" i="20" a="1"/>
  <c r="D80" i="20" s="1"/>
  <c r="F80" i="20" a="1"/>
  <c r="F80" i="20" s="1"/>
  <c r="H80" i="20" a="1"/>
  <c r="H80" i="20" s="1"/>
  <c r="J80" i="20" a="1"/>
  <c r="J80" i="20" s="1"/>
  <c r="L80" i="20" a="1"/>
  <c r="L80" i="20" s="1"/>
  <c r="B81" i="20"/>
  <c r="D81" i="20" a="1"/>
  <c r="D81" i="20" s="1"/>
  <c r="F81" i="20" a="1"/>
  <c r="F81" i="20" s="1"/>
  <c r="H81" i="20" a="1"/>
  <c r="H81" i="20" s="1"/>
  <c r="J81" i="20" a="1"/>
  <c r="J81" i="20" s="1"/>
  <c r="L81" i="20" a="1"/>
  <c r="L81" i="20" s="1"/>
  <c r="B82" i="20"/>
  <c r="D82" i="20" a="1"/>
  <c r="D82" i="20" s="1"/>
  <c r="F82" i="20" a="1"/>
  <c r="F82" i="20" s="1"/>
  <c r="H82" i="20" a="1"/>
  <c r="H82" i="20" s="1"/>
  <c r="J82" i="20" a="1"/>
  <c r="J82" i="20" s="1"/>
  <c r="L82" i="20" a="1"/>
  <c r="L82" i="20" s="1"/>
  <c r="B83" i="20"/>
  <c r="D83" i="20" a="1"/>
  <c r="D83" i="20" s="1"/>
  <c r="F83" i="20" a="1"/>
  <c r="F83" i="20" s="1"/>
  <c r="H83" i="20" a="1"/>
  <c r="H83" i="20" s="1"/>
  <c r="J83" i="20" a="1"/>
  <c r="J83" i="20" s="1"/>
  <c r="L83" i="20" a="1"/>
  <c r="L83" i="20" s="1"/>
  <c r="B84" i="20"/>
  <c r="D84" i="20" a="1"/>
  <c r="D84" i="20" s="1"/>
  <c r="F84" i="20" a="1"/>
  <c r="F84" i="20" s="1"/>
  <c r="H84" i="20" a="1"/>
  <c r="H84" i="20" s="1"/>
  <c r="J84" i="20" a="1"/>
  <c r="J84" i="20" s="1"/>
  <c r="L84" i="20" a="1"/>
  <c r="L84" i="20" s="1"/>
  <c r="B85" i="20"/>
  <c r="D85" i="20" a="1"/>
  <c r="D85" i="20" s="1"/>
  <c r="F85" i="20" a="1"/>
  <c r="F85" i="20" s="1"/>
  <c r="H85" i="20" a="1"/>
  <c r="H85" i="20" s="1"/>
  <c r="J85" i="20" a="1"/>
  <c r="J85" i="20" s="1"/>
  <c r="L85" i="20" a="1"/>
  <c r="L85" i="20" s="1"/>
  <c r="B86" i="20"/>
  <c r="D86" i="20" a="1"/>
  <c r="D86" i="20" s="1"/>
  <c r="F86" i="20" a="1"/>
  <c r="F86" i="20" s="1"/>
  <c r="H86" i="20" a="1"/>
  <c r="H86" i="20" s="1"/>
  <c r="J86" i="20" a="1"/>
  <c r="J86" i="20" s="1"/>
  <c r="L86" i="20" a="1"/>
  <c r="L86" i="20" s="1"/>
  <c r="B87" i="20"/>
  <c r="D87" i="20" a="1"/>
  <c r="D87" i="20" s="1"/>
  <c r="F87" i="20" a="1"/>
  <c r="F87" i="20" s="1"/>
  <c r="H87" i="20" a="1"/>
  <c r="H87" i="20" s="1"/>
  <c r="J87" i="20" a="1"/>
  <c r="J87" i="20" s="1"/>
  <c r="L87" i="20" a="1"/>
  <c r="L87" i="20" s="1"/>
  <c r="B88" i="20"/>
  <c r="D88" i="20" a="1"/>
  <c r="D88" i="20" s="1"/>
  <c r="F88" i="20" a="1"/>
  <c r="F88" i="20" s="1"/>
  <c r="H88" i="20" a="1"/>
  <c r="H88" i="20" s="1"/>
  <c r="J88" i="20" a="1"/>
  <c r="J88" i="20" s="1"/>
  <c r="L88" i="20" a="1"/>
  <c r="L88" i="20" s="1"/>
  <c r="B89" i="20"/>
  <c r="D89" i="20" a="1"/>
  <c r="D89" i="20" s="1"/>
  <c r="F89" i="20" a="1"/>
  <c r="F89" i="20" s="1"/>
  <c r="H89" i="20" a="1"/>
  <c r="H89" i="20" s="1"/>
  <c r="J89" i="20" a="1"/>
  <c r="J89" i="20" s="1"/>
  <c r="L89" i="20" a="1"/>
  <c r="L89" i="20" s="1"/>
  <c r="B90" i="20"/>
  <c r="D90" i="20" a="1"/>
  <c r="D90" i="20" s="1"/>
  <c r="F90" i="20" a="1"/>
  <c r="F90" i="20" s="1"/>
  <c r="H90" i="20" a="1"/>
  <c r="H90" i="20" s="1"/>
  <c r="J90" i="20" a="1"/>
  <c r="J90" i="20" s="1"/>
  <c r="L90" i="20" a="1"/>
  <c r="L90" i="20" s="1"/>
  <c r="B91" i="20"/>
  <c r="D91" i="20" a="1"/>
  <c r="D91" i="20" s="1"/>
  <c r="F91" i="20" a="1"/>
  <c r="F91" i="20" s="1"/>
  <c r="H91" i="20" a="1"/>
  <c r="H91" i="20" s="1"/>
  <c r="J91" i="20" a="1"/>
  <c r="J91" i="20" s="1"/>
  <c r="L91" i="20" a="1"/>
  <c r="L91" i="20" s="1"/>
  <c r="B92" i="20"/>
  <c r="D92" i="20" a="1"/>
  <c r="D92" i="20" s="1"/>
  <c r="F92" i="20" a="1"/>
  <c r="F92" i="20" s="1"/>
  <c r="H92" i="20" a="1"/>
  <c r="H92" i="20" s="1"/>
  <c r="J92" i="20" a="1"/>
  <c r="J92" i="20" s="1"/>
  <c r="L92" i="20" a="1"/>
  <c r="L92" i="20" s="1"/>
  <c r="B93" i="20"/>
  <c r="D93" i="20" a="1"/>
  <c r="D93" i="20" s="1"/>
  <c r="F93" i="20" a="1"/>
  <c r="F93" i="20" s="1"/>
  <c r="H93" i="20" a="1"/>
  <c r="H93" i="20" s="1"/>
  <c r="J93" i="20" a="1"/>
  <c r="J93" i="20" s="1"/>
  <c r="L93" i="20" a="1"/>
  <c r="L93" i="20" s="1"/>
  <c r="B94" i="20"/>
  <c r="D94" i="20" a="1"/>
  <c r="D94" i="20" s="1"/>
  <c r="F94" i="20" a="1"/>
  <c r="F94" i="20" s="1"/>
  <c r="H94" i="20" a="1"/>
  <c r="H94" i="20" s="1"/>
  <c r="J94" i="20" a="1"/>
  <c r="J94" i="20" s="1"/>
  <c r="L94" i="20" a="1"/>
  <c r="L94" i="20" s="1"/>
  <c r="B95" i="20"/>
  <c r="D95" i="20" a="1"/>
  <c r="D95" i="20" s="1"/>
  <c r="F95" i="20" a="1"/>
  <c r="F95" i="20" s="1"/>
  <c r="H95" i="20" a="1"/>
  <c r="H95" i="20" s="1"/>
  <c r="J95" i="20" a="1"/>
  <c r="J95" i="20" s="1"/>
  <c r="L95" i="20" a="1"/>
  <c r="L95" i="20" s="1"/>
  <c r="B96" i="20"/>
  <c r="D96" i="20" a="1"/>
  <c r="D96" i="20" s="1"/>
  <c r="F96" i="20" a="1"/>
  <c r="F96" i="20" s="1"/>
  <c r="H96" i="20" a="1"/>
  <c r="H96" i="20" s="1"/>
  <c r="J96" i="20" a="1"/>
  <c r="J96" i="20" s="1"/>
  <c r="L96" i="20" a="1"/>
  <c r="L96" i="20" s="1"/>
  <c r="B97" i="20"/>
  <c r="D97" i="20" a="1"/>
  <c r="D97" i="20" s="1"/>
  <c r="F97" i="20" a="1"/>
  <c r="F97" i="20" s="1"/>
  <c r="H97" i="20" a="1"/>
  <c r="H97" i="20" s="1"/>
  <c r="J97" i="20" a="1"/>
  <c r="J97" i="20" s="1"/>
  <c r="L97" i="20" a="1"/>
  <c r="L97" i="20" s="1"/>
  <c r="B98" i="20"/>
  <c r="D98" i="20" a="1"/>
  <c r="D98" i="20" s="1"/>
  <c r="F98" i="20" a="1"/>
  <c r="F98" i="20" s="1"/>
  <c r="H98" i="20" a="1"/>
  <c r="H98" i="20" s="1"/>
  <c r="J98" i="20" a="1"/>
  <c r="J98" i="20" s="1"/>
  <c r="L98" i="20" a="1"/>
  <c r="L98" i="20" s="1"/>
  <c r="B99" i="20"/>
  <c r="D99" i="20" a="1"/>
  <c r="D99" i="20" s="1"/>
  <c r="F99" i="20" a="1"/>
  <c r="F99" i="20" s="1"/>
  <c r="H99" i="20" a="1"/>
  <c r="H99" i="20" s="1"/>
  <c r="J99" i="20" a="1"/>
  <c r="J99" i="20" s="1"/>
  <c r="L99" i="20" a="1"/>
  <c r="L99" i="20" s="1"/>
  <c r="B100" i="20"/>
  <c r="D100" i="20" a="1"/>
  <c r="D100" i="20" s="1"/>
  <c r="F100" i="20" a="1"/>
  <c r="F100" i="20" s="1"/>
  <c r="H100" i="20" a="1"/>
  <c r="H100" i="20" s="1"/>
  <c r="J100" i="20" a="1"/>
  <c r="J100" i="20" s="1"/>
  <c r="L100" i="20" a="1"/>
  <c r="L100" i="20" s="1"/>
  <c r="B101" i="20"/>
  <c r="D101" i="20" a="1"/>
  <c r="D101" i="20" s="1"/>
  <c r="F101" i="20" a="1"/>
  <c r="F101" i="20" s="1"/>
  <c r="H101" i="20" a="1"/>
  <c r="H101" i="20" s="1"/>
  <c r="J101" i="20" a="1"/>
  <c r="J101" i="20" s="1"/>
  <c r="L101" i="20" a="1"/>
  <c r="L101" i="20" s="1"/>
  <c r="B102" i="20"/>
  <c r="D102" i="20" a="1"/>
  <c r="D102" i="20" s="1"/>
  <c r="F102" i="20" a="1"/>
  <c r="F102" i="20" s="1"/>
  <c r="H102" i="20" a="1"/>
  <c r="H102" i="20" s="1"/>
  <c r="J102" i="20" a="1"/>
  <c r="J102" i="20" s="1"/>
  <c r="L102" i="20" a="1"/>
  <c r="L102" i="20" s="1"/>
  <c r="B103" i="20"/>
  <c r="D103" i="20" a="1"/>
  <c r="D103" i="20" s="1"/>
  <c r="F103" i="20" a="1"/>
  <c r="F103" i="20" s="1"/>
  <c r="H103" i="20" a="1"/>
  <c r="H103" i="20" s="1"/>
  <c r="J103" i="20" a="1"/>
  <c r="J103" i="20" s="1"/>
  <c r="L103" i="20" a="1"/>
  <c r="L103" i="20" s="1"/>
  <c r="B104" i="20"/>
  <c r="D104" i="20" a="1"/>
  <c r="D104" i="20" s="1"/>
  <c r="F104" i="20" a="1"/>
  <c r="F104" i="20" s="1"/>
  <c r="H104" i="20" a="1"/>
  <c r="H104" i="20" s="1"/>
  <c r="J104" i="20" a="1"/>
  <c r="J104" i="20" s="1"/>
  <c r="L104" i="20" a="1"/>
  <c r="L104" i="20" s="1"/>
  <c r="B105" i="20"/>
  <c r="D105" i="20" a="1"/>
  <c r="D105" i="20" s="1"/>
  <c r="F105" i="20" a="1"/>
  <c r="F105" i="20" s="1"/>
  <c r="H105" i="20" a="1"/>
  <c r="H105" i="20" s="1"/>
  <c r="J105" i="20" a="1"/>
  <c r="J105" i="20" s="1"/>
  <c r="L105" i="20" a="1"/>
  <c r="L105" i="20" s="1"/>
  <c r="B106" i="20"/>
  <c r="D106" i="20" a="1"/>
  <c r="D106" i="20" s="1"/>
  <c r="F106" i="20" a="1"/>
  <c r="F106" i="20" s="1"/>
  <c r="H106" i="20" a="1"/>
  <c r="H106" i="20" s="1"/>
  <c r="J106" i="20" a="1"/>
  <c r="J106" i="20" s="1"/>
  <c r="L106" i="20" a="1"/>
  <c r="L106" i="20" s="1"/>
  <c r="B107" i="20"/>
  <c r="D107" i="20" a="1"/>
  <c r="D107" i="20" s="1"/>
  <c r="F107" i="20" a="1"/>
  <c r="F107" i="20" s="1"/>
  <c r="H107" i="20" a="1"/>
  <c r="H107" i="20" s="1"/>
  <c r="J107" i="20" a="1"/>
  <c r="J107" i="20" s="1"/>
  <c r="L107" i="20" a="1"/>
  <c r="L107" i="20" s="1"/>
  <c r="B108" i="20"/>
  <c r="D108" i="20" a="1"/>
  <c r="D108" i="20" s="1"/>
  <c r="F108" i="20" a="1"/>
  <c r="F108" i="20" s="1"/>
  <c r="H108" i="20" a="1"/>
  <c r="H108" i="20" s="1"/>
  <c r="J108" i="20" a="1"/>
  <c r="J108" i="20" s="1"/>
  <c r="L108" i="20" a="1"/>
  <c r="L108" i="20" s="1"/>
  <c r="B109" i="20"/>
  <c r="D109" i="20" a="1"/>
  <c r="D109" i="20" s="1"/>
  <c r="F109" i="20" a="1"/>
  <c r="F109" i="20" s="1"/>
  <c r="H109" i="20" a="1"/>
  <c r="H109" i="20" s="1"/>
  <c r="J109" i="20" a="1"/>
  <c r="J109" i="20" s="1"/>
  <c r="L109" i="20" a="1"/>
  <c r="L109" i="20" s="1"/>
  <c r="B110" i="20"/>
  <c r="D110" i="20" a="1"/>
  <c r="D110" i="20" s="1"/>
  <c r="F110" i="20" a="1"/>
  <c r="F110" i="20" s="1"/>
  <c r="H110" i="20" a="1"/>
  <c r="H110" i="20" s="1"/>
  <c r="J110" i="20" a="1"/>
  <c r="J110" i="20" s="1"/>
  <c r="L110" i="20" a="1"/>
  <c r="L110" i="20" s="1"/>
  <c r="B111" i="20"/>
  <c r="D111" i="20" a="1"/>
  <c r="D111" i="20" s="1"/>
  <c r="F111" i="20" a="1"/>
  <c r="F111" i="20" s="1"/>
  <c r="H111" i="20" a="1"/>
  <c r="H111" i="20" s="1"/>
  <c r="J111" i="20" a="1"/>
  <c r="J111" i="20" s="1"/>
  <c r="L111" i="20" a="1"/>
  <c r="L111" i="20" s="1"/>
  <c r="B112" i="20"/>
  <c r="D112" i="20" a="1"/>
  <c r="D112" i="20" s="1"/>
  <c r="F112" i="20" a="1"/>
  <c r="F112" i="20" s="1"/>
  <c r="H112" i="20" a="1"/>
  <c r="H112" i="20" s="1"/>
  <c r="J112" i="20" a="1"/>
  <c r="J112" i="20" s="1"/>
  <c r="L112" i="20" a="1"/>
  <c r="L112" i="20" s="1"/>
  <c r="B113" i="20"/>
  <c r="D113" i="20" a="1"/>
  <c r="D113" i="20" s="1"/>
  <c r="F113" i="20" a="1"/>
  <c r="F113" i="20" s="1"/>
  <c r="H113" i="20" a="1"/>
  <c r="H113" i="20" s="1"/>
  <c r="J113" i="20" a="1"/>
  <c r="J113" i="20" s="1"/>
  <c r="L113" i="20" a="1"/>
  <c r="L113" i="20" s="1"/>
  <c r="B114" i="20"/>
  <c r="D114" i="20" a="1"/>
  <c r="D114" i="20" s="1"/>
  <c r="F114" i="20" a="1"/>
  <c r="F114" i="20" s="1"/>
  <c r="H114" i="20" a="1"/>
  <c r="H114" i="20" s="1"/>
  <c r="J114" i="20" a="1"/>
  <c r="J114" i="20" s="1"/>
  <c r="L114" i="20" a="1"/>
  <c r="L114" i="20" s="1"/>
  <c r="B115" i="20"/>
  <c r="D115" i="20" a="1"/>
  <c r="D115" i="20" s="1"/>
  <c r="F115" i="20" a="1"/>
  <c r="F115" i="20" s="1"/>
  <c r="H115" i="20" a="1"/>
  <c r="H115" i="20" s="1"/>
  <c r="J115" i="20" a="1"/>
  <c r="J115" i="20" s="1"/>
  <c r="L115" i="20" a="1"/>
  <c r="L115" i="20" s="1"/>
  <c r="B116" i="20"/>
  <c r="D116" i="20" a="1"/>
  <c r="D116" i="20" s="1"/>
  <c r="F116" i="20" a="1"/>
  <c r="F116" i="20" s="1"/>
  <c r="H116" i="20" a="1"/>
  <c r="H116" i="20" s="1"/>
  <c r="J116" i="20" a="1"/>
  <c r="J116" i="20" s="1"/>
  <c r="L116" i="20" a="1"/>
  <c r="L116" i="20" s="1"/>
  <c r="B117" i="20"/>
  <c r="D117" i="20" a="1"/>
  <c r="D117" i="20" s="1"/>
  <c r="F117" i="20" a="1"/>
  <c r="F117" i="20" s="1"/>
  <c r="H117" i="20" a="1"/>
  <c r="H117" i="20" s="1"/>
  <c r="J117" i="20" a="1"/>
  <c r="J117" i="20" s="1"/>
  <c r="L117" i="20" a="1"/>
  <c r="L117" i="20" s="1"/>
  <c r="B118" i="20"/>
  <c r="D118" i="20" a="1"/>
  <c r="D118" i="20" s="1"/>
  <c r="F118" i="20" a="1"/>
  <c r="F118" i="20" s="1"/>
  <c r="H118" i="20" a="1"/>
  <c r="H118" i="20" s="1"/>
  <c r="J118" i="20" a="1"/>
  <c r="J118" i="20" s="1"/>
  <c r="L118" i="20" a="1"/>
  <c r="L118" i="20" s="1"/>
  <c r="B119" i="20"/>
  <c r="D119" i="20" a="1"/>
  <c r="D119" i="20" s="1"/>
  <c r="F119" i="20" a="1"/>
  <c r="F119" i="20" s="1"/>
  <c r="H119" i="20" a="1"/>
  <c r="H119" i="20" s="1"/>
  <c r="J119" i="20" a="1"/>
  <c r="J119" i="20" s="1"/>
  <c r="L119" i="20" a="1"/>
  <c r="L119" i="20" s="1"/>
  <c r="B120" i="20"/>
  <c r="D120" i="20" a="1"/>
  <c r="D120" i="20" s="1"/>
  <c r="F120" i="20" a="1"/>
  <c r="F120" i="20" s="1"/>
  <c r="H120" i="20" a="1"/>
  <c r="H120" i="20" s="1"/>
  <c r="J120" i="20" a="1"/>
  <c r="J120" i="20" s="1"/>
  <c r="L120" i="20" a="1"/>
  <c r="L120" i="20" s="1"/>
  <c r="B121" i="20"/>
  <c r="D121" i="20" a="1"/>
  <c r="D121" i="20" s="1"/>
  <c r="F121" i="20" a="1"/>
  <c r="F121" i="20" s="1"/>
  <c r="H121" i="20" a="1"/>
  <c r="H121" i="20" s="1"/>
  <c r="J121" i="20" a="1"/>
  <c r="J121" i="20" s="1"/>
  <c r="L121" i="20" a="1"/>
  <c r="L121" i="20" s="1"/>
  <c r="B122" i="20"/>
  <c r="D122" i="20" a="1"/>
  <c r="D122" i="20" s="1"/>
  <c r="F122" i="20" a="1"/>
  <c r="F122" i="20" s="1"/>
  <c r="H122" i="20" a="1"/>
  <c r="H122" i="20" s="1"/>
  <c r="J122" i="20" a="1"/>
  <c r="J122" i="20" s="1"/>
  <c r="L122" i="20" a="1"/>
  <c r="L122" i="20" s="1"/>
  <c r="B123" i="20"/>
  <c r="D123" i="20" a="1"/>
  <c r="D123" i="20" s="1"/>
  <c r="F123" i="20" a="1"/>
  <c r="F123" i="20" s="1"/>
  <c r="H123" i="20" a="1"/>
  <c r="H123" i="20" s="1"/>
  <c r="J123" i="20" a="1"/>
  <c r="J123" i="20" s="1"/>
  <c r="L123" i="20" a="1"/>
  <c r="L123" i="20" s="1"/>
  <c r="B124" i="20"/>
  <c r="D124" i="20" a="1"/>
  <c r="D124" i="20" s="1"/>
  <c r="F124" i="20" a="1"/>
  <c r="F124" i="20" s="1"/>
  <c r="H124" i="20" a="1"/>
  <c r="H124" i="20" s="1"/>
  <c r="J124" i="20" a="1"/>
  <c r="J124" i="20" s="1"/>
  <c r="L124" i="20" a="1"/>
  <c r="L124" i="20" s="1"/>
  <c r="B125" i="20"/>
  <c r="D125" i="20" a="1"/>
  <c r="D125" i="20" s="1"/>
  <c r="F125" i="20" a="1"/>
  <c r="F125" i="20" s="1"/>
  <c r="H125" i="20" a="1"/>
  <c r="H125" i="20" s="1"/>
  <c r="J125" i="20" a="1"/>
  <c r="J125" i="20" s="1"/>
  <c r="L125" i="20" a="1"/>
  <c r="L125" i="20" s="1"/>
  <c r="B126" i="20"/>
  <c r="D126" i="20" a="1"/>
  <c r="D126" i="20" s="1"/>
  <c r="F126" i="20" a="1"/>
  <c r="F126" i="20" s="1"/>
  <c r="H126" i="20" a="1"/>
  <c r="H126" i="20" s="1"/>
  <c r="J126" i="20" a="1"/>
  <c r="J126" i="20" s="1"/>
  <c r="L126" i="20" a="1"/>
  <c r="L126" i="20" s="1"/>
  <c r="B127" i="20"/>
  <c r="D127" i="20" a="1"/>
  <c r="D127" i="20" s="1"/>
  <c r="F127" i="20" a="1"/>
  <c r="F127" i="20" s="1"/>
  <c r="H127" i="20" a="1"/>
  <c r="H127" i="20" s="1"/>
  <c r="J127" i="20" a="1"/>
  <c r="J127" i="20" s="1"/>
  <c r="L127" i="20" a="1"/>
  <c r="L127" i="20" s="1"/>
  <c r="B128" i="20"/>
  <c r="D128" i="20" a="1"/>
  <c r="D128" i="20" s="1"/>
  <c r="F128" i="20" a="1"/>
  <c r="F128" i="20" s="1"/>
  <c r="H128" i="20" a="1"/>
  <c r="H128" i="20" s="1"/>
  <c r="J128" i="20" a="1"/>
  <c r="J128" i="20" s="1"/>
  <c r="L128" i="20" a="1"/>
  <c r="L128" i="20" s="1"/>
  <c r="B129" i="20"/>
  <c r="D129" i="20" a="1"/>
  <c r="D129" i="20" s="1"/>
  <c r="F129" i="20" a="1"/>
  <c r="F129" i="20" s="1"/>
  <c r="H129" i="20" a="1"/>
  <c r="H129" i="20" s="1"/>
  <c r="J129" i="20" a="1"/>
  <c r="J129" i="20" s="1"/>
  <c r="L129" i="20" a="1"/>
  <c r="L129" i="20" s="1"/>
  <c r="B130" i="20"/>
  <c r="D130" i="20" a="1"/>
  <c r="D130" i="20" s="1"/>
  <c r="F130" i="20" a="1"/>
  <c r="F130" i="20" s="1"/>
  <c r="H130" i="20" a="1"/>
  <c r="H130" i="20" s="1"/>
  <c r="J130" i="20" a="1"/>
  <c r="J130" i="20" s="1"/>
  <c r="L130" i="20" a="1"/>
  <c r="L130" i="20" s="1"/>
  <c r="B131" i="20"/>
  <c r="D131" i="20" a="1"/>
  <c r="D131" i="20" s="1"/>
  <c r="F131" i="20" a="1"/>
  <c r="F131" i="20" s="1"/>
  <c r="H131" i="20" a="1"/>
  <c r="H131" i="20" s="1"/>
  <c r="J131" i="20" a="1"/>
  <c r="J131" i="20" s="1"/>
  <c r="L131" i="20" a="1"/>
  <c r="L131" i="20" s="1"/>
  <c r="B132" i="20"/>
  <c r="D132" i="20" a="1"/>
  <c r="D132" i="20" s="1"/>
  <c r="F132" i="20" a="1"/>
  <c r="F132" i="20" s="1"/>
  <c r="H132" i="20" a="1"/>
  <c r="H132" i="20" s="1"/>
  <c r="J132" i="20" a="1"/>
  <c r="J132" i="20" s="1"/>
  <c r="L132" i="20" a="1"/>
  <c r="L132" i="20" s="1"/>
  <c r="B133" i="20"/>
  <c r="D133" i="20" a="1"/>
  <c r="D133" i="20" s="1"/>
  <c r="F133" i="20" a="1"/>
  <c r="F133" i="20" s="1"/>
  <c r="H133" i="20" a="1"/>
  <c r="H133" i="20" s="1"/>
  <c r="J133" i="20" a="1"/>
  <c r="J133" i="20" s="1"/>
  <c r="L133" i="20" a="1"/>
  <c r="L133" i="20" s="1"/>
  <c r="B134" i="20"/>
  <c r="D134" i="20" a="1"/>
  <c r="D134" i="20" s="1"/>
  <c r="F134" i="20" a="1"/>
  <c r="F134" i="20" s="1"/>
  <c r="H134" i="20" a="1"/>
  <c r="H134" i="20" s="1"/>
  <c r="J134" i="20" a="1"/>
  <c r="J134" i="20" s="1"/>
  <c r="L134" i="20" a="1"/>
  <c r="L134" i="20" s="1"/>
  <c r="B135" i="20"/>
  <c r="D135" i="20" a="1"/>
  <c r="D135" i="20" s="1"/>
  <c r="F135" i="20" a="1"/>
  <c r="F135" i="20" s="1"/>
  <c r="H135" i="20" a="1"/>
  <c r="H135" i="20" s="1"/>
  <c r="J135" i="20" a="1"/>
  <c r="J135" i="20" s="1"/>
  <c r="L135" i="20" a="1"/>
  <c r="L135" i="20" s="1"/>
  <c r="B136" i="20"/>
  <c r="D136" i="20" a="1"/>
  <c r="D136" i="20" s="1"/>
  <c r="F136" i="20" a="1"/>
  <c r="F136" i="20" s="1"/>
  <c r="H136" i="20" a="1"/>
  <c r="H136" i="20" s="1"/>
  <c r="J136" i="20" a="1"/>
  <c r="J136" i="20" s="1"/>
  <c r="L136" i="20" a="1"/>
  <c r="L136" i="20" s="1"/>
  <c r="D137" i="20" a="1"/>
  <c r="D137" i="20" s="1"/>
  <c r="F137" i="20" a="1"/>
  <c r="F137" i="20" s="1"/>
  <c r="B137" i="20"/>
  <c r="H137" i="20" a="1"/>
  <c r="H137" i="20" s="1"/>
  <c r="J137" i="20" a="1"/>
  <c r="J137" i="20" s="1"/>
  <c r="L137" i="20" a="1"/>
  <c r="L137" i="20" s="1"/>
  <c r="D138" i="20" a="1"/>
  <c r="D138" i="20" s="1"/>
  <c r="B138" i="20"/>
  <c r="F138" i="20" a="1"/>
  <c r="F138" i="20" s="1"/>
  <c r="H138" i="20" a="1"/>
  <c r="H138" i="20" s="1"/>
  <c r="J138" i="20" a="1"/>
  <c r="J138" i="20" s="1"/>
  <c r="L138" i="20" a="1"/>
  <c r="L138" i="20" s="1"/>
  <c r="B139" i="20"/>
  <c r="D139" i="20" a="1"/>
  <c r="D139" i="20" s="1"/>
  <c r="F139" i="20" a="1"/>
  <c r="F139" i="20" s="1"/>
  <c r="H139" i="20" a="1"/>
  <c r="H139" i="20" s="1"/>
  <c r="J139" i="20" a="1"/>
  <c r="J139" i="20" s="1"/>
  <c r="L139" i="20" a="1"/>
  <c r="L139" i="20" s="1"/>
  <c r="B140" i="20"/>
  <c r="D140" i="20" a="1"/>
  <c r="D140" i="20" s="1"/>
  <c r="F140" i="20" a="1"/>
  <c r="F140" i="20" s="1"/>
  <c r="H140" i="20" a="1"/>
  <c r="H140" i="20" s="1"/>
  <c r="J140" i="20" a="1"/>
  <c r="J140" i="20" s="1"/>
  <c r="L140" i="20" a="1"/>
  <c r="L140" i="20" s="1"/>
  <c r="B141" i="20"/>
  <c r="D141" i="20" a="1"/>
  <c r="D141" i="20" s="1"/>
  <c r="F141" i="20" a="1"/>
  <c r="F141" i="20" s="1"/>
  <c r="H141" i="20" a="1"/>
  <c r="H141" i="20" s="1"/>
  <c r="J141" i="20" a="1"/>
  <c r="J141" i="20" s="1"/>
  <c r="L141" i="20" a="1"/>
  <c r="L141" i="20" s="1"/>
  <c r="B142" i="20"/>
  <c r="D142" i="20" a="1"/>
  <c r="D142" i="20" s="1"/>
  <c r="F142" i="20" a="1"/>
  <c r="F142" i="20" s="1"/>
  <c r="H142" i="20" a="1"/>
  <c r="H142" i="20" s="1"/>
  <c r="J142" i="20" a="1"/>
  <c r="J142" i="20" s="1"/>
  <c r="L142" i="20" a="1"/>
  <c r="L142" i="20" s="1"/>
  <c r="B143" i="20"/>
  <c r="D143" i="20" a="1"/>
  <c r="D143" i="20" s="1"/>
  <c r="F143" i="20" a="1"/>
  <c r="F143" i="20" s="1"/>
  <c r="H143" i="20" a="1"/>
  <c r="H143" i="20" s="1"/>
  <c r="J143" i="20" a="1"/>
  <c r="J143" i="20" s="1"/>
  <c r="L143" i="20" a="1"/>
  <c r="L143" i="20" s="1"/>
  <c r="B144" i="20"/>
  <c r="D144" i="20" a="1"/>
  <c r="D144" i="20" s="1"/>
  <c r="F144" i="20" a="1"/>
  <c r="F144" i="20" s="1"/>
  <c r="H144" i="20" a="1"/>
  <c r="H144" i="20" s="1"/>
  <c r="J144" i="20" a="1"/>
  <c r="J144" i="20" s="1"/>
  <c r="L144" i="20" a="1"/>
  <c r="L144" i="20" s="1"/>
  <c r="B145" i="20"/>
  <c r="D145" i="20" a="1"/>
  <c r="D145" i="20" s="1"/>
  <c r="F145" i="20" a="1"/>
  <c r="F145" i="20" s="1"/>
  <c r="H145" i="20" a="1"/>
  <c r="H145" i="20" s="1"/>
  <c r="J145" i="20" a="1"/>
  <c r="J145" i="20" s="1"/>
  <c r="L145" i="20" a="1"/>
  <c r="L145" i="20" s="1"/>
  <c r="B146" i="20"/>
  <c r="D146" i="20" a="1"/>
  <c r="D146" i="20" s="1"/>
  <c r="F146" i="20" a="1"/>
  <c r="F146" i="20" s="1"/>
  <c r="H146" i="20" a="1"/>
  <c r="H146" i="20" s="1"/>
  <c r="J146" i="20" a="1"/>
  <c r="J146" i="20" s="1"/>
  <c r="L146" i="20" a="1"/>
  <c r="L146" i="20" s="1"/>
  <c r="D147" i="20" a="1"/>
  <c r="D147" i="20" s="1"/>
  <c r="B147" i="20"/>
  <c r="F147" i="20" a="1"/>
  <c r="F147" i="20" s="1"/>
  <c r="H147" i="20" a="1"/>
  <c r="H147" i="20" s="1"/>
  <c r="J147" i="20" a="1"/>
  <c r="J147" i="20" s="1"/>
  <c r="L147" i="20" a="1"/>
  <c r="L147" i="20" s="1"/>
  <c r="D148" i="20" a="1"/>
  <c r="D148" i="20" s="1"/>
  <c r="F148" i="20" a="1"/>
  <c r="F148" i="20" s="1"/>
  <c r="B148" i="20"/>
  <c r="H148" i="20" a="1"/>
  <c r="H148" i="20" s="1"/>
  <c r="J148" i="20" a="1"/>
  <c r="J148" i="20" s="1"/>
  <c r="L148" i="20" a="1"/>
  <c r="L148" i="20" s="1"/>
  <c r="B149" i="20"/>
  <c r="D149" i="20" a="1"/>
  <c r="D149" i="20" s="1"/>
  <c r="F149" i="20" a="1"/>
  <c r="F149" i="20" s="1"/>
  <c r="H149" i="20" a="1"/>
  <c r="H149" i="20" s="1"/>
  <c r="J149" i="20" a="1"/>
  <c r="J149" i="20" s="1"/>
  <c r="L149" i="20" a="1"/>
  <c r="L149" i="20" s="1"/>
  <c r="B150" i="20"/>
  <c r="D150" i="20" a="1"/>
  <c r="D150" i="20" s="1"/>
  <c r="F150" i="20" a="1"/>
  <c r="F150" i="20" s="1"/>
  <c r="H150" i="20" a="1"/>
  <c r="H150" i="20" s="1"/>
  <c r="J150" i="20" a="1"/>
  <c r="J150" i="20" s="1"/>
  <c r="L150" i="20" a="1"/>
  <c r="L150" i="20" s="1"/>
  <c r="B151" i="20"/>
  <c r="D151" i="20" a="1"/>
  <c r="D151" i="20" s="1"/>
  <c r="F151" i="20" a="1"/>
  <c r="F151" i="20" s="1"/>
  <c r="H151" i="20" a="1"/>
  <c r="H151" i="20" s="1"/>
  <c r="J151" i="20" a="1"/>
  <c r="J151" i="20" s="1"/>
  <c r="L151" i="20" a="1"/>
  <c r="L151" i="20" s="1"/>
  <c r="D152" i="20" a="1"/>
  <c r="D152" i="20" s="1"/>
  <c r="B152" i="20"/>
  <c r="F152" i="20" a="1"/>
  <c r="F152" i="20" s="1"/>
  <c r="H152" i="20" a="1"/>
  <c r="H152" i="20" s="1"/>
  <c r="J152" i="20" a="1"/>
  <c r="J152" i="20" s="1"/>
  <c r="L152" i="20" a="1"/>
  <c r="L152" i="20" s="1"/>
  <c r="D153" i="20" a="1"/>
  <c r="D153" i="20" s="1"/>
  <c r="B153" i="20"/>
  <c r="F153" i="20" a="1"/>
  <c r="F153" i="20" s="1"/>
  <c r="H153" i="20" a="1"/>
  <c r="H153" i="20" s="1"/>
  <c r="J153" i="20" a="1"/>
  <c r="J153" i="20" s="1"/>
  <c r="L153" i="20" a="1"/>
  <c r="L153" i="20" s="1"/>
  <c r="B154" i="20"/>
  <c r="D154" i="20" a="1"/>
  <c r="D154" i="20" s="1"/>
  <c r="F154" i="20" a="1"/>
  <c r="F154" i="20" s="1"/>
  <c r="H154" i="20" a="1"/>
  <c r="H154" i="20" s="1"/>
  <c r="J154" i="20" a="1"/>
  <c r="J154" i="20" s="1"/>
  <c r="L154" i="20" a="1"/>
  <c r="L154" i="20" s="1"/>
  <c r="D155" i="20" a="1"/>
  <c r="D155" i="20" s="1"/>
  <c r="B155" i="20"/>
  <c r="F155" i="20" a="1"/>
  <c r="F155" i="20" s="1"/>
  <c r="H155" i="20" a="1"/>
  <c r="H155" i="20" s="1"/>
  <c r="J155" i="20" a="1"/>
  <c r="J155" i="20" s="1"/>
  <c r="L155" i="20" a="1"/>
  <c r="L155" i="20" s="1"/>
  <c r="D156" i="20" a="1"/>
  <c r="D156" i="20" s="1"/>
  <c r="B156" i="20"/>
  <c r="F156" i="20" a="1"/>
  <c r="F156" i="20" s="1"/>
  <c r="H156" i="20" a="1"/>
  <c r="H156" i="20" s="1"/>
  <c r="J156" i="20" a="1"/>
  <c r="J156" i="20" s="1"/>
  <c r="L156" i="20" a="1"/>
  <c r="L156" i="20" s="1"/>
  <c r="D157" i="20" a="1"/>
  <c r="D157" i="20" s="1"/>
  <c r="B157" i="20"/>
  <c r="F157" i="20" a="1"/>
  <c r="F157" i="20" s="1"/>
  <c r="H157" i="20" a="1"/>
  <c r="H157" i="20" s="1"/>
  <c r="J157" i="20" a="1"/>
  <c r="J157" i="20" s="1"/>
  <c r="L157" i="20" a="1"/>
  <c r="L157" i="20" s="1"/>
  <c r="B158" i="20"/>
  <c r="D158" i="20" a="1"/>
  <c r="D158" i="20" s="1"/>
  <c r="F158" i="20" a="1"/>
  <c r="F158" i="20" s="1"/>
  <c r="H158" i="20" a="1"/>
  <c r="H158" i="20" s="1"/>
  <c r="J158" i="20" a="1"/>
  <c r="J158" i="20" s="1"/>
  <c r="L158" i="20" a="1"/>
  <c r="L158" i="20" s="1"/>
  <c r="B159" i="20"/>
  <c r="D159" i="20" a="1"/>
  <c r="D159" i="20" s="1"/>
  <c r="F159" i="20" a="1"/>
  <c r="F159" i="20" s="1"/>
  <c r="H159" i="20" a="1"/>
  <c r="H159" i="20" s="1"/>
  <c r="J159" i="20" a="1"/>
  <c r="J159" i="20" s="1"/>
  <c r="L159" i="20" a="1"/>
  <c r="L159" i="20" s="1"/>
  <c r="D160" i="20" a="1"/>
  <c r="D160" i="20" s="1"/>
  <c r="F160" i="20" a="1"/>
  <c r="F160" i="20" s="1"/>
  <c r="B160" i="20"/>
  <c r="H160" i="20" a="1"/>
  <c r="H160" i="20" s="1"/>
  <c r="J160" i="20" a="1"/>
  <c r="J160" i="20" s="1"/>
  <c r="L160" i="20" a="1"/>
  <c r="L160" i="20" s="1"/>
  <c r="D161" i="20" a="1"/>
  <c r="D161" i="20" s="1"/>
  <c r="B161" i="20"/>
  <c r="F161" i="20" a="1"/>
  <c r="F161" i="20" s="1"/>
  <c r="H161" i="20" a="1"/>
  <c r="H161" i="20" s="1"/>
  <c r="J161" i="20" a="1"/>
  <c r="J161" i="20" s="1"/>
  <c r="L161" i="20" a="1"/>
  <c r="L161" i="20" s="1"/>
  <c r="D162" i="20" a="1"/>
  <c r="D162" i="20" s="1"/>
  <c r="F162" i="20" a="1"/>
  <c r="F162" i="20" s="1"/>
  <c r="B162" i="20"/>
  <c r="H162" i="20" a="1"/>
  <c r="H162" i="20" s="1"/>
  <c r="J162" i="20" a="1"/>
  <c r="J162" i="20" s="1"/>
  <c r="L162" i="20" a="1"/>
  <c r="L162" i="20" s="1"/>
  <c r="D163" i="20" a="1"/>
  <c r="D163" i="20" s="1"/>
  <c r="F163" i="20" a="1"/>
  <c r="F163" i="20" s="1"/>
  <c r="B163" i="20"/>
  <c r="H163" i="20" a="1"/>
  <c r="H163" i="20" s="1"/>
  <c r="J163" i="20" a="1"/>
  <c r="J163" i="20" s="1"/>
  <c r="L163" i="20" a="1"/>
  <c r="L163" i="20" s="1"/>
  <c r="D164" i="20" a="1"/>
  <c r="D164" i="20" s="1"/>
  <c r="F164" i="20" a="1"/>
  <c r="F164" i="20" s="1"/>
  <c r="B164" i="20"/>
  <c r="H164" i="20" a="1"/>
  <c r="H164" i="20" s="1"/>
  <c r="J164" i="20" a="1"/>
  <c r="J164" i="20" s="1"/>
  <c r="L164" i="20" a="1"/>
  <c r="L164" i="20" s="1"/>
  <c r="D165" i="20" a="1"/>
  <c r="D165" i="20" s="1"/>
  <c r="F165" i="20" a="1"/>
  <c r="F165" i="20" s="1"/>
  <c r="B165" i="20"/>
  <c r="H165" i="20" a="1"/>
  <c r="H165" i="20" s="1"/>
  <c r="J165" i="20" a="1"/>
  <c r="J165" i="20" s="1"/>
  <c r="L165" i="20" a="1"/>
  <c r="L165" i="20" s="1"/>
  <c r="D166" i="20" a="1"/>
  <c r="D166" i="20" s="1"/>
  <c r="B166" i="20"/>
  <c r="F166" i="20" a="1"/>
  <c r="F166" i="20" s="1"/>
  <c r="H166" i="20" a="1"/>
  <c r="H166" i="20" s="1"/>
  <c r="J166" i="20" a="1"/>
  <c r="J166" i="20" s="1"/>
  <c r="L166" i="20" a="1"/>
  <c r="L166" i="20" s="1"/>
  <c r="D167" i="20" a="1"/>
  <c r="D167" i="20" s="1"/>
  <c r="B167" i="20"/>
  <c r="F167" i="20" a="1"/>
  <c r="F167" i="20" s="1"/>
  <c r="H167" i="20" a="1"/>
  <c r="H167" i="20" s="1"/>
  <c r="J167" i="20" a="1"/>
  <c r="J167" i="20" s="1"/>
  <c r="L167" i="20" a="1"/>
  <c r="L167" i="20" s="1"/>
  <c r="B168" i="20"/>
  <c r="D168" i="20" a="1"/>
  <c r="D168" i="20" s="1"/>
  <c r="F168" i="20" a="1"/>
  <c r="F168" i="20" s="1"/>
  <c r="H168" i="20" a="1"/>
  <c r="H168" i="20" s="1"/>
  <c r="J168" i="20" a="1"/>
  <c r="J168" i="20" s="1"/>
  <c r="L168" i="20" a="1"/>
  <c r="L168" i="20" s="1"/>
  <c r="D169" i="20" a="1"/>
  <c r="D169" i="20" s="1"/>
  <c r="F169" i="20" a="1"/>
  <c r="F169" i="20" s="1"/>
  <c r="B169" i="20"/>
  <c r="H169" i="20" a="1"/>
  <c r="H169" i="20" s="1"/>
  <c r="J169" i="20" a="1"/>
  <c r="J169" i="20" s="1"/>
  <c r="L169" i="20" a="1"/>
  <c r="L169" i="20" s="1"/>
  <c r="D170" i="20" a="1"/>
  <c r="D170" i="20" s="1"/>
  <c r="F170" i="20" a="1"/>
  <c r="F170" i="20" s="1"/>
  <c r="B170" i="20"/>
  <c r="H170" i="20" a="1"/>
  <c r="H170" i="20" s="1"/>
  <c r="J170" i="20" a="1"/>
  <c r="J170" i="20" s="1"/>
  <c r="L170" i="20" a="1"/>
  <c r="L170" i="20" s="1"/>
  <c r="B171" i="20"/>
  <c r="D171" i="20" a="1"/>
  <c r="D171" i="20" s="1"/>
  <c r="F171" i="20" a="1"/>
  <c r="F171" i="20" s="1"/>
  <c r="H171" i="20" a="1"/>
  <c r="H171" i="20" s="1"/>
  <c r="J171" i="20" a="1"/>
  <c r="J171" i="20" s="1"/>
  <c r="L171" i="20" a="1"/>
  <c r="L171" i="20" s="1"/>
  <c r="B172" i="20"/>
  <c r="D172" i="20" a="1"/>
  <c r="D172" i="20" s="1"/>
  <c r="F172" i="20" a="1"/>
  <c r="F172" i="20" s="1"/>
  <c r="H172" i="20" a="1"/>
  <c r="H172" i="20" s="1"/>
  <c r="J172" i="20" a="1"/>
  <c r="J172" i="20" s="1"/>
  <c r="L172" i="20" a="1"/>
  <c r="L172" i="20" s="1"/>
  <c r="B173" i="20"/>
  <c r="D173" i="20" a="1"/>
  <c r="D173" i="20" s="1"/>
  <c r="F173" i="20" a="1"/>
  <c r="F173" i="20" s="1"/>
  <c r="H173" i="20" a="1"/>
  <c r="H173" i="20" s="1"/>
  <c r="J173" i="20" a="1"/>
  <c r="J173" i="20" s="1"/>
  <c r="L173" i="20" a="1"/>
  <c r="L173" i="20" s="1"/>
  <c r="D174" i="20" a="1"/>
  <c r="D174" i="20" s="1"/>
  <c r="B174" i="20"/>
  <c r="F174" i="20" a="1"/>
  <c r="F174" i="20" s="1"/>
  <c r="H174" i="20" a="1"/>
  <c r="H174" i="20" s="1"/>
  <c r="J174" i="20" a="1"/>
  <c r="J174" i="20" s="1"/>
  <c r="L174" i="20" a="1"/>
  <c r="L174" i="20" s="1"/>
  <c r="D175" i="20" a="1"/>
  <c r="D175" i="20" s="1"/>
  <c r="B175" i="20"/>
  <c r="F175" i="20" a="1"/>
  <c r="F175" i="20" s="1"/>
  <c r="H175" i="20" a="1"/>
  <c r="H175" i="20" s="1"/>
  <c r="J175" i="20" a="1"/>
  <c r="J175" i="20" s="1"/>
  <c r="L175" i="20" a="1"/>
  <c r="L175" i="20" s="1"/>
  <c r="B176" i="20"/>
  <c r="D176" i="20" a="1"/>
  <c r="D176" i="20" s="1"/>
  <c r="F176" i="20" a="1"/>
  <c r="F176" i="20" s="1"/>
  <c r="H176" i="20" a="1"/>
  <c r="H176" i="20" s="1"/>
  <c r="J176" i="20" a="1"/>
  <c r="J176" i="20" s="1"/>
  <c r="L176" i="20" a="1"/>
  <c r="L176" i="20" s="1"/>
  <c r="B177" i="20"/>
  <c r="D177" i="20" a="1"/>
  <c r="D177" i="20" s="1"/>
  <c r="F177" i="20" a="1"/>
  <c r="F177" i="20" s="1"/>
  <c r="H177" i="20" a="1"/>
  <c r="H177" i="20" s="1"/>
  <c r="J177" i="20" a="1"/>
  <c r="J177" i="20" s="1"/>
  <c r="L177" i="20" a="1"/>
  <c r="L177" i="20" s="1"/>
  <c r="D178" i="20" a="1"/>
  <c r="D178" i="20" s="1"/>
  <c r="B178" i="20"/>
  <c r="F178" i="20" a="1"/>
  <c r="F178" i="20" s="1"/>
  <c r="H178" i="20" a="1"/>
  <c r="H178" i="20" s="1"/>
  <c r="J178" i="20" a="1"/>
  <c r="J178" i="20" s="1"/>
  <c r="L178" i="20" a="1"/>
  <c r="L178" i="20" s="1"/>
  <c r="D179" i="20" a="1"/>
  <c r="D179" i="20" s="1"/>
  <c r="F179" i="20" a="1"/>
  <c r="F179" i="20" s="1"/>
  <c r="B179" i="20"/>
  <c r="H179" i="20" a="1"/>
  <c r="H179" i="20" s="1"/>
  <c r="J179" i="20" a="1"/>
  <c r="J179" i="20" s="1"/>
  <c r="L179" i="20" a="1"/>
  <c r="L179" i="20" s="1"/>
  <c r="B180" i="20"/>
  <c r="D180" i="20" a="1"/>
  <c r="D180" i="20" s="1"/>
  <c r="F180" i="20" a="1"/>
  <c r="F180" i="20" s="1"/>
  <c r="H180" i="20" a="1"/>
  <c r="H180" i="20" s="1"/>
  <c r="J180" i="20" a="1"/>
  <c r="J180" i="20" s="1"/>
  <c r="L180" i="20" a="1"/>
  <c r="L180" i="20" s="1"/>
  <c r="B181" i="20"/>
  <c r="D181" i="20" a="1"/>
  <c r="D181" i="20" s="1"/>
  <c r="F181" i="20" a="1"/>
  <c r="F181" i="20" s="1"/>
  <c r="H181" i="20" a="1"/>
  <c r="H181" i="20" s="1"/>
  <c r="J181" i="20" a="1"/>
  <c r="J181" i="20" s="1"/>
  <c r="L181" i="20" a="1"/>
  <c r="L181" i="20" s="1"/>
  <c r="D182" i="20" a="1"/>
  <c r="D182" i="20" s="1"/>
  <c r="F182" i="20" a="1"/>
  <c r="F182" i="20" s="1"/>
  <c r="B182" i="20"/>
  <c r="H182" i="20" a="1"/>
  <c r="H182" i="20" s="1"/>
  <c r="J182" i="20" a="1"/>
  <c r="J182" i="20" s="1"/>
  <c r="L182" i="20" a="1"/>
  <c r="L182" i="20" s="1"/>
  <c r="D183" i="20" a="1"/>
  <c r="D183" i="20" s="1"/>
  <c r="F183" i="20" a="1"/>
  <c r="F183" i="20" s="1"/>
  <c r="B183" i="20"/>
  <c r="H183" i="20" a="1"/>
  <c r="H183" i="20" s="1"/>
  <c r="J183" i="20" a="1"/>
  <c r="J183" i="20" s="1"/>
  <c r="L183" i="20" a="1"/>
  <c r="L183" i="20" s="1"/>
  <c r="B184" i="20"/>
  <c r="D184" i="20" a="1"/>
  <c r="D184" i="20" s="1"/>
  <c r="F184" i="20" a="1"/>
  <c r="F184" i="20" s="1"/>
  <c r="H184" i="20" a="1"/>
  <c r="H184" i="20" s="1"/>
  <c r="J184" i="20" a="1"/>
  <c r="J184" i="20" s="1"/>
  <c r="L184" i="20" a="1"/>
  <c r="L184" i="20" s="1"/>
  <c r="D185" i="20" a="1"/>
  <c r="D185" i="20" s="1"/>
  <c r="B185" i="20"/>
  <c r="F185" i="20" a="1"/>
  <c r="F185" i="20" s="1"/>
  <c r="H185" i="20" a="1"/>
  <c r="H185" i="20" s="1"/>
  <c r="J185" i="20" a="1"/>
  <c r="J185" i="20" s="1"/>
  <c r="L185" i="20" a="1"/>
  <c r="L185" i="20" s="1"/>
  <c r="B186" i="20"/>
  <c r="D186" i="20" a="1"/>
  <c r="D186" i="20" s="1"/>
  <c r="F186" i="20" a="1"/>
  <c r="F186" i="20" s="1"/>
  <c r="H186" i="20" a="1"/>
  <c r="H186" i="20" s="1"/>
  <c r="J186" i="20" a="1"/>
  <c r="J186" i="20" s="1"/>
  <c r="L186" i="20" a="1"/>
  <c r="L186" i="20" s="1"/>
  <c r="D187" i="20" a="1"/>
  <c r="D187" i="20" s="1"/>
  <c r="F187" i="20" a="1"/>
  <c r="F187" i="20" s="1"/>
  <c r="B187" i="20"/>
  <c r="H187" i="20" a="1"/>
  <c r="H187" i="20" s="1"/>
  <c r="J187" i="20" a="1"/>
  <c r="J187" i="20" s="1"/>
  <c r="L187" i="20" a="1"/>
  <c r="L187" i="20" s="1"/>
  <c r="D188" i="20" a="1"/>
  <c r="D188" i="20" s="1"/>
  <c r="F188" i="20" a="1"/>
  <c r="F188" i="20" s="1"/>
  <c r="B188" i="20"/>
  <c r="H188" i="20" a="1"/>
  <c r="H188" i="20" s="1"/>
  <c r="J188" i="20" a="1"/>
  <c r="J188" i="20" s="1"/>
  <c r="L188" i="20" a="1"/>
  <c r="L188" i="20" s="1"/>
  <c r="D189" i="20" a="1"/>
  <c r="D189" i="20" s="1"/>
  <c r="F189" i="20" a="1"/>
  <c r="F189" i="20" s="1"/>
  <c r="B189" i="20"/>
  <c r="H189" i="20" a="1"/>
  <c r="H189" i="20" s="1"/>
  <c r="J189" i="20" a="1"/>
  <c r="J189" i="20" s="1"/>
  <c r="L189" i="20" a="1"/>
  <c r="L189" i="20" s="1"/>
  <c r="D190" i="20" a="1"/>
  <c r="D190" i="20" s="1"/>
  <c r="F190" i="20" a="1"/>
  <c r="F190" i="20" s="1"/>
  <c r="B190" i="20"/>
  <c r="H190" i="20" a="1"/>
  <c r="H190" i="20" s="1"/>
  <c r="J190" i="20" a="1"/>
  <c r="J190" i="20" s="1"/>
  <c r="L190" i="20" a="1"/>
  <c r="L190" i="20" s="1"/>
  <c r="D191" i="20" a="1"/>
  <c r="D191" i="20" s="1"/>
  <c r="F191" i="20" a="1"/>
  <c r="F191" i="20" s="1"/>
  <c r="B191" i="20"/>
  <c r="H191" i="20" a="1"/>
  <c r="H191" i="20" s="1"/>
  <c r="J191" i="20" a="1"/>
  <c r="J191" i="20" s="1"/>
  <c r="L191" i="20" a="1"/>
  <c r="L191" i="20" s="1"/>
  <c r="B192" i="20"/>
  <c r="D192" i="20" a="1"/>
  <c r="D192" i="20" s="1"/>
  <c r="F192" i="20" a="1"/>
  <c r="F192" i="20" s="1"/>
  <c r="H192" i="20" a="1"/>
  <c r="H192" i="20" s="1"/>
  <c r="J192" i="20" a="1"/>
  <c r="J192" i="20" s="1"/>
  <c r="L192" i="20" a="1"/>
  <c r="L192" i="20" s="1"/>
  <c r="B193" i="20"/>
  <c r="D193" i="20" a="1"/>
  <c r="D193" i="20" s="1"/>
  <c r="F193" i="20" a="1"/>
  <c r="F193" i="20" s="1"/>
  <c r="H193" i="20" a="1"/>
  <c r="H193" i="20" s="1"/>
  <c r="J193" i="20" a="1"/>
  <c r="J193" i="20" s="1"/>
  <c r="L193" i="20" a="1"/>
  <c r="L193" i="20" s="1"/>
  <c r="B194" i="20"/>
  <c r="D194" i="20" a="1"/>
  <c r="D194" i="20" s="1"/>
  <c r="F194" i="20" a="1"/>
  <c r="F194" i="20" s="1"/>
  <c r="H194" i="20" a="1"/>
  <c r="H194" i="20" s="1"/>
  <c r="J194" i="20" a="1"/>
  <c r="J194" i="20" s="1"/>
  <c r="L194" i="20" a="1"/>
  <c r="L194" i="20" s="1"/>
  <c r="D195" i="20" a="1"/>
  <c r="D195" i="20" s="1"/>
  <c r="F195" i="20" a="1"/>
  <c r="F195" i="20" s="1"/>
  <c r="B195" i="20"/>
  <c r="H195" i="20" a="1"/>
  <c r="H195" i="20" s="1"/>
  <c r="J195" i="20" a="1"/>
  <c r="J195" i="20" s="1"/>
  <c r="L195" i="20" a="1"/>
  <c r="L195" i="20" s="1"/>
  <c r="D196" i="20" a="1"/>
  <c r="D196" i="20" s="1"/>
  <c r="B196" i="20"/>
  <c r="F196" i="20" a="1"/>
  <c r="F196" i="20" s="1"/>
  <c r="H196" i="20" a="1"/>
  <c r="H196" i="20" s="1"/>
  <c r="J196" i="20" a="1"/>
  <c r="J196" i="20" s="1"/>
  <c r="L196" i="20" a="1"/>
  <c r="L196" i="20" s="1"/>
  <c r="D197" i="20" a="1"/>
  <c r="D197" i="20" s="1"/>
  <c r="F197" i="20" a="1"/>
  <c r="F197" i="20" s="1"/>
  <c r="B197" i="20"/>
  <c r="H197" i="20" a="1"/>
  <c r="H197" i="20" s="1"/>
  <c r="J197" i="20" a="1"/>
  <c r="J197" i="20" s="1"/>
  <c r="L197" i="20" a="1"/>
  <c r="L197" i="20" s="1"/>
  <c r="D198" i="20" a="1"/>
  <c r="D198" i="20" s="1"/>
  <c r="F198" i="20" a="1"/>
  <c r="F198" i="20" s="1"/>
  <c r="B198" i="20"/>
  <c r="H198" i="20" a="1"/>
  <c r="H198" i="20" s="1"/>
  <c r="J198" i="20" a="1"/>
  <c r="J198" i="20" s="1"/>
  <c r="L198" i="20" a="1"/>
  <c r="L198" i="20" s="1"/>
  <c r="B199" i="20"/>
  <c r="D199" i="20" a="1"/>
  <c r="D199" i="20" s="1"/>
  <c r="F199" i="20" a="1"/>
  <c r="F199" i="20" s="1"/>
  <c r="H199" i="20" a="1"/>
  <c r="H199" i="20" s="1"/>
  <c r="J199" i="20" a="1"/>
  <c r="J199" i="20" s="1"/>
  <c r="L199" i="20" a="1"/>
  <c r="L199" i="20" s="1"/>
  <c r="B200" i="20"/>
  <c r="D200" i="20" a="1"/>
  <c r="D200" i="20" s="1"/>
  <c r="F200" i="20" a="1"/>
  <c r="F200" i="20" s="1"/>
  <c r="H200" i="20" a="1"/>
  <c r="H200" i="20" s="1"/>
  <c r="J200" i="20" a="1"/>
  <c r="J200" i="20" s="1"/>
  <c r="L200" i="20" a="1"/>
  <c r="L200" i="20" s="1"/>
  <c r="B201" i="20"/>
  <c r="D201" i="20" a="1"/>
  <c r="D201" i="20" s="1"/>
  <c r="F201" i="20" a="1"/>
  <c r="F201" i="20" s="1"/>
  <c r="H201" i="20" a="1"/>
  <c r="H201" i="20" s="1"/>
  <c r="J201" i="20" a="1"/>
  <c r="J201" i="20" s="1"/>
  <c r="L201" i="20" a="1"/>
  <c r="L201" i="20" s="1"/>
  <c r="B202" i="20"/>
  <c r="D202" i="20" a="1"/>
  <c r="D202" i="20" s="1"/>
  <c r="F202" i="20" a="1"/>
  <c r="F202" i="20" s="1"/>
  <c r="H202" i="20" a="1"/>
  <c r="H202" i="20" s="1"/>
  <c r="J202" i="20" a="1"/>
  <c r="J202" i="20" s="1"/>
  <c r="L202" i="20" a="1"/>
  <c r="L202" i="20" s="1"/>
  <c r="D203" i="20" a="1"/>
  <c r="D203" i="20" s="1"/>
  <c r="F203" i="20" a="1"/>
  <c r="F203" i="20" s="1"/>
  <c r="B203" i="20"/>
  <c r="H203" i="20" a="1"/>
  <c r="H203" i="20" s="1"/>
  <c r="J203" i="20" a="1"/>
  <c r="J203" i="20" s="1"/>
  <c r="L203" i="20" a="1"/>
  <c r="L203" i="20" s="1"/>
  <c r="D204" i="20" a="1"/>
  <c r="D204" i="20" s="1"/>
  <c r="B204" i="20"/>
  <c r="F204" i="20" a="1"/>
  <c r="F204" i="20" s="1"/>
  <c r="H204" i="20" a="1"/>
  <c r="H204" i="20" s="1"/>
  <c r="J204" i="20" a="1"/>
  <c r="J204" i="20" s="1"/>
  <c r="L204" i="20" a="1"/>
  <c r="L204" i="20" s="1"/>
  <c r="D205" i="20" a="1"/>
  <c r="D205" i="20" s="1"/>
  <c r="B205" i="20"/>
  <c r="F205" i="20" a="1"/>
  <c r="F205" i="20" s="1"/>
  <c r="H205" i="20" a="1"/>
  <c r="H205" i="20" s="1"/>
  <c r="J205" i="20" a="1"/>
  <c r="J205" i="20" s="1"/>
  <c r="L205" i="20" a="1"/>
  <c r="L205" i="20" s="1"/>
  <c r="D206" i="20" a="1"/>
  <c r="D206" i="20" s="1"/>
  <c r="F206" i="20" a="1"/>
  <c r="F206" i="20" s="1"/>
  <c r="B206" i="20"/>
  <c r="H206" i="20" a="1"/>
  <c r="H206" i="20" s="1"/>
  <c r="J206" i="20" a="1"/>
  <c r="J206" i="20" s="1"/>
  <c r="L206" i="20" a="1"/>
  <c r="L206" i="20" s="1"/>
  <c r="D207" i="20" a="1"/>
  <c r="D207" i="20" s="1"/>
  <c r="F207" i="20" a="1"/>
  <c r="F207" i="20" s="1"/>
  <c r="B207" i="20"/>
  <c r="H207" i="20" a="1"/>
  <c r="H207" i="20" s="1"/>
  <c r="J207" i="20" a="1"/>
  <c r="J207" i="20" s="1"/>
  <c r="L207" i="20" a="1"/>
  <c r="L207" i="20" s="1"/>
  <c r="B208" i="20"/>
  <c r="D208" i="20" a="1"/>
  <c r="D208" i="20" s="1"/>
  <c r="F208" i="20" a="1"/>
  <c r="F208" i="20" s="1"/>
  <c r="H208" i="20" a="1"/>
  <c r="H208" i="20" s="1"/>
  <c r="J208" i="20" a="1"/>
  <c r="J208" i="20" s="1"/>
  <c r="L208" i="20" a="1"/>
  <c r="L208" i="20" s="1"/>
  <c r="B209" i="20"/>
  <c r="D209" i="20" a="1"/>
  <c r="D209" i="20" s="1"/>
  <c r="F209" i="20" a="1"/>
  <c r="F209" i="20" s="1"/>
  <c r="H209" i="20" a="1"/>
  <c r="H209" i="20" s="1"/>
  <c r="J209" i="20" a="1"/>
  <c r="J209" i="20" s="1"/>
  <c r="L209" i="20" a="1"/>
  <c r="L209" i="20" s="1"/>
  <c r="B210" i="20"/>
  <c r="D210" i="20" a="1"/>
  <c r="D210" i="20" s="1"/>
  <c r="F210" i="20" a="1"/>
  <c r="F210" i="20" s="1"/>
  <c r="H210" i="20" a="1"/>
  <c r="H210" i="20" s="1"/>
  <c r="J210" i="20" a="1"/>
  <c r="J210" i="20" s="1"/>
  <c r="L210" i="20" a="1"/>
  <c r="L210" i="20" s="1"/>
  <c r="B211" i="20"/>
  <c r="D211" i="20" a="1"/>
  <c r="D211" i="20" s="1"/>
  <c r="F211" i="20" a="1"/>
  <c r="F211" i="20" s="1"/>
  <c r="H211" i="20" a="1"/>
  <c r="H211" i="20" s="1"/>
  <c r="J211" i="20" a="1"/>
  <c r="J211" i="20" s="1"/>
  <c r="L211" i="20" a="1"/>
  <c r="L211" i="20" s="1"/>
  <c r="D212" i="20" a="1"/>
  <c r="D212" i="20" s="1"/>
  <c r="F212" i="20" a="1"/>
  <c r="F212" i="20" s="1"/>
  <c r="B212" i="20"/>
  <c r="H212" i="20" a="1"/>
  <c r="H212" i="20" s="1"/>
  <c r="J212" i="20" a="1"/>
  <c r="J212" i="20" s="1"/>
  <c r="L212" i="20" a="1"/>
  <c r="L212" i="20" s="1"/>
  <c r="D213" i="20" a="1"/>
  <c r="D213" i="20" s="1"/>
  <c r="F213" i="20" a="1"/>
  <c r="F213" i="20" s="1"/>
  <c r="B213" i="20"/>
  <c r="H213" i="20" a="1"/>
  <c r="H213" i="20" s="1"/>
  <c r="J213" i="20" a="1"/>
  <c r="J213" i="20" s="1"/>
  <c r="L213" i="20" a="1"/>
  <c r="L213" i="20" s="1"/>
  <c r="B214" i="20"/>
  <c r="D214" i="20" a="1"/>
  <c r="D214" i="20" s="1"/>
  <c r="F214" i="20" a="1"/>
  <c r="F214" i="20" s="1"/>
  <c r="H214" i="20" a="1"/>
  <c r="H214" i="20" s="1"/>
  <c r="J214" i="20" a="1"/>
  <c r="J214" i="20" s="1"/>
  <c r="L214" i="20" a="1"/>
  <c r="L214" i="20" s="1"/>
  <c r="D215" i="20" a="1"/>
  <c r="D215" i="20" s="1"/>
  <c r="B215" i="20"/>
  <c r="F215" i="20" a="1"/>
  <c r="F215" i="20" s="1"/>
  <c r="H215" i="20" a="1"/>
  <c r="H215" i="20" s="1"/>
  <c r="J215" i="20" a="1"/>
  <c r="J215" i="20" s="1"/>
  <c r="L215" i="20" a="1"/>
  <c r="L215" i="20" s="1"/>
  <c r="D216" i="20" a="1"/>
  <c r="D216" i="20" s="1"/>
  <c r="B216" i="20"/>
  <c r="F216" i="20" a="1"/>
  <c r="F216" i="20" s="1"/>
  <c r="H216" i="20" a="1"/>
  <c r="H216" i="20" s="1"/>
  <c r="J216" i="20" a="1"/>
  <c r="J216" i="20" s="1"/>
  <c r="L216" i="20" a="1"/>
  <c r="L216" i="20" s="1"/>
  <c r="D217" i="20" a="1"/>
  <c r="D217" i="20" s="1"/>
  <c r="B217" i="20"/>
  <c r="F217" i="20" a="1"/>
  <c r="F217" i="20" s="1"/>
  <c r="H217" i="20" a="1"/>
  <c r="H217" i="20" s="1"/>
  <c r="J217" i="20" a="1"/>
  <c r="J217" i="20" s="1"/>
  <c r="L217" i="20" a="1"/>
  <c r="L217" i="20" s="1"/>
  <c r="D218" i="20" a="1"/>
  <c r="D218" i="20" s="1"/>
  <c r="B218" i="20"/>
  <c r="F218" i="20" a="1"/>
  <c r="F218" i="20" s="1"/>
  <c r="H218" i="20" a="1"/>
  <c r="H218" i="20" s="1"/>
  <c r="J218" i="20" a="1"/>
  <c r="J218" i="20" s="1"/>
  <c r="L218" i="20" a="1"/>
  <c r="L218" i="20" s="1"/>
  <c r="D219" i="20" a="1"/>
  <c r="D219" i="20" s="1"/>
  <c r="F219" i="20" a="1"/>
  <c r="F219" i="20" s="1"/>
  <c r="B219" i="20"/>
  <c r="H219" i="20" a="1"/>
  <c r="H219" i="20" s="1"/>
  <c r="J219" i="20" a="1"/>
  <c r="J219" i="20" s="1"/>
  <c r="L219" i="20" a="1"/>
  <c r="L219" i="20" s="1"/>
  <c r="B220" i="20"/>
  <c r="D220" i="20" a="1"/>
  <c r="D220" i="20" s="1"/>
  <c r="F220" i="20" a="1"/>
  <c r="F220" i="20" s="1"/>
  <c r="H220" i="20" a="1"/>
  <c r="H220" i="20" s="1"/>
  <c r="J220" i="20" a="1"/>
  <c r="J220" i="20" s="1"/>
  <c r="L220" i="20" a="1"/>
  <c r="L220" i="20" s="1"/>
  <c r="B221" i="20"/>
  <c r="D221" i="20" a="1"/>
  <c r="D221" i="20" s="1"/>
  <c r="F221" i="20" a="1"/>
  <c r="F221" i="20" s="1"/>
  <c r="H221" i="20" a="1"/>
  <c r="H221" i="20" s="1"/>
  <c r="J221" i="20" a="1"/>
  <c r="J221" i="20" s="1"/>
  <c r="L221" i="20" a="1"/>
  <c r="L221" i="20" s="1"/>
  <c r="D222" i="20" a="1"/>
  <c r="D222" i="20" s="1"/>
  <c r="B222" i="20"/>
  <c r="F222" i="20" a="1"/>
  <c r="F222" i="20" s="1"/>
  <c r="H222" i="20" a="1"/>
  <c r="H222" i="20" s="1"/>
  <c r="J222" i="20" a="1"/>
  <c r="J222" i="20" s="1"/>
  <c r="L222" i="20" a="1"/>
  <c r="L222" i="20" s="1"/>
  <c r="D223" i="20" a="1"/>
  <c r="D223" i="20" s="1"/>
  <c r="F223" i="20" a="1"/>
  <c r="F223" i="20" s="1"/>
  <c r="B223" i="20"/>
  <c r="H223" i="20" a="1"/>
  <c r="H223" i="20" s="1"/>
  <c r="J223" i="20" a="1"/>
  <c r="J223" i="20" s="1"/>
  <c r="L223" i="20" a="1"/>
  <c r="L223" i="20" s="1"/>
  <c r="D224" i="20" a="1"/>
  <c r="D224" i="20" s="1"/>
  <c r="F224" i="20" a="1"/>
  <c r="F224" i="20" s="1"/>
  <c r="B224" i="20"/>
  <c r="H224" i="20" a="1"/>
  <c r="H224" i="20" s="1"/>
  <c r="J224" i="20" a="1"/>
  <c r="J224" i="20" s="1"/>
  <c r="L224" i="20" a="1"/>
  <c r="L224" i="20" s="1"/>
  <c r="D225" i="20" a="1"/>
  <c r="D225" i="20" s="1"/>
  <c r="F225" i="20" a="1"/>
  <c r="F225" i="20" s="1"/>
  <c r="B225" i="20"/>
  <c r="H225" i="20" a="1"/>
  <c r="H225" i="20" s="1"/>
  <c r="J225" i="20" a="1"/>
  <c r="J225" i="20" s="1"/>
  <c r="L225" i="20" a="1"/>
  <c r="L225" i="20" s="1"/>
  <c r="D226" i="20" a="1"/>
  <c r="D226" i="20" s="1"/>
  <c r="F226" i="20" a="1"/>
  <c r="F226" i="20" s="1"/>
  <c r="B226" i="20"/>
  <c r="H226" i="20" a="1"/>
  <c r="H226" i="20" s="1"/>
  <c r="J226" i="20" a="1"/>
  <c r="J226" i="20" s="1"/>
  <c r="L226" i="20" a="1"/>
  <c r="L226" i="20" s="1"/>
  <c r="D227" i="20" a="1"/>
  <c r="D227" i="20" s="1"/>
  <c r="B227" i="20"/>
  <c r="F227" i="20" a="1"/>
  <c r="F227" i="20" s="1"/>
  <c r="H227" i="20" a="1"/>
  <c r="H227" i="20" s="1"/>
  <c r="J227" i="20" a="1"/>
  <c r="J227" i="20" s="1"/>
  <c r="L227" i="20" a="1"/>
  <c r="L227" i="20" s="1"/>
  <c r="D228" i="20" a="1"/>
  <c r="D228" i="20" s="1"/>
  <c r="B228" i="20"/>
  <c r="F228" i="20" a="1"/>
  <c r="F228" i="20" s="1"/>
  <c r="H228" i="20" a="1"/>
  <c r="H228" i="20" s="1"/>
  <c r="J228" i="20" a="1"/>
  <c r="J228" i="20" s="1"/>
  <c r="L228" i="20" a="1"/>
  <c r="L228" i="20" s="1"/>
  <c r="D229" i="20" a="1"/>
  <c r="D229" i="20" s="1"/>
  <c r="B229" i="20"/>
  <c r="F229" i="20" a="1"/>
  <c r="F229" i="20" s="1"/>
  <c r="H229" i="20" a="1"/>
  <c r="H229" i="20" s="1"/>
  <c r="J229" i="20" a="1"/>
  <c r="J229" i="20" s="1"/>
  <c r="L229" i="20" a="1"/>
  <c r="L229" i="20" s="1"/>
  <c r="B230" i="20"/>
  <c r="D230" i="20" a="1"/>
  <c r="D230" i="20" s="1"/>
  <c r="F230" i="20" a="1"/>
  <c r="F230" i="20" s="1"/>
  <c r="H230" i="20" a="1"/>
  <c r="H230" i="20" s="1"/>
  <c r="J230" i="20" a="1"/>
  <c r="J230" i="20" s="1"/>
  <c r="L230" i="20" a="1"/>
  <c r="L230" i="20" s="1"/>
  <c r="B231" i="20"/>
  <c r="D231" i="20" a="1"/>
  <c r="D231" i="20" s="1"/>
  <c r="F231" i="20" a="1"/>
  <c r="F231" i="20" s="1"/>
  <c r="H231" i="20" a="1"/>
  <c r="H231" i="20" s="1"/>
  <c r="J231" i="20" a="1"/>
  <c r="J231" i="20" s="1"/>
  <c r="L231" i="20" a="1"/>
  <c r="L231" i="20" s="1"/>
  <c r="D232" i="20" a="1"/>
  <c r="D232" i="20" s="1"/>
  <c r="F232" i="20" a="1"/>
  <c r="F232" i="20" s="1"/>
  <c r="B232" i="20"/>
  <c r="H232" i="20" a="1"/>
  <c r="H232" i="20" s="1"/>
  <c r="J232" i="20" a="1"/>
  <c r="J232" i="20" s="1"/>
  <c r="L232" i="20" a="1"/>
  <c r="L232" i="20" s="1"/>
  <c r="D233" i="20" a="1"/>
  <c r="D233" i="20" s="1"/>
  <c r="F233" i="20" a="1"/>
  <c r="F233" i="20" s="1"/>
  <c r="B233" i="20"/>
  <c r="H233" i="20" a="1"/>
  <c r="H233" i="20" s="1"/>
  <c r="J233" i="20" a="1"/>
  <c r="J233" i="20" s="1"/>
  <c r="L233" i="20" a="1"/>
  <c r="L233" i="20" s="1"/>
  <c r="D234" i="20" a="1"/>
  <c r="D234" i="20" s="1"/>
  <c r="F234" i="20" a="1"/>
  <c r="F234" i="20" s="1"/>
  <c r="B234" i="20"/>
  <c r="H234" i="20" a="1"/>
  <c r="H234" i="20" s="1"/>
  <c r="J234" i="20" a="1"/>
  <c r="J234" i="20" s="1"/>
  <c r="L234" i="20" a="1"/>
  <c r="L234" i="20" s="1"/>
  <c r="D235" i="20" a="1"/>
  <c r="D235" i="20" s="1"/>
  <c r="F235" i="20" a="1"/>
  <c r="F235" i="20" s="1"/>
  <c r="B235" i="20"/>
  <c r="H235" i="20" a="1"/>
  <c r="H235" i="20" s="1"/>
  <c r="J235" i="20" a="1"/>
  <c r="J235" i="20" s="1"/>
  <c r="L235" i="20" a="1"/>
  <c r="L235" i="20" s="1"/>
  <c r="B236" i="20"/>
  <c r="D236" i="20" a="1"/>
  <c r="D236" i="20" s="1"/>
  <c r="F236" i="20" a="1"/>
  <c r="F236" i="20" s="1"/>
  <c r="H236" i="20" a="1"/>
  <c r="H236" i="20" s="1"/>
  <c r="J236" i="20" a="1"/>
  <c r="J236" i="20" s="1"/>
  <c r="L236" i="20" a="1"/>
  <c r="L236" i="20" s="1"/>
  <c r="B237" i="20"/>
  <c r="D237" i="20" a="1"/>
  <c r="D237" i="20" s="1"/>
  <c r="F237" i="20" a="1"/>
  <c r="F237" i="20" s="1"/>
  <c r="H237" i="20" a="1"/>
  <c r="H237" i="20" s="1"/>
  <c r="J237" i="20" a="1"/>
  <c r="J237" i="20" s="1"/>
  <c r="L237" i="20" a="1"/>
  <c r="L237" i="20" s="1"/>
  <c r="D238" i="20" a="1"/>
  <c r="D238" i="20" s="1"/>
  <c r="B238" i="20"/>
  <c r="F238" i="20" a="1"/>
  <c r="F238" i="20" s="1"/>
  <c r="H238" i="20" a="1"/>
  <c r="H238" i="20" s="1"/>
  <c r="J238" i="20" a="1"/>
  <c r="J238" i="20" s="1"/>
  <c r="L238" i="20" a="1"/>
  <c r="L238" i="20" s="1"/>
  <c r="D239" i="20" a="1"/>
  <c r="D239" i="20" s="1"/>
  <c r="B239" i="20"/>
  <c r="F239" i="20" a="1"/>
  <c r="F239" i="20" s="1"/>
  <c r="H239" i="20" a="1"/>
  <c r="H239" i="20" s="1"/>
  <c r="J239" i="20" a="1"/>
  <c r="J239" i="20" s="1"/>
  <c r="L239" i="20" a="1"/>
  <c r="L239" i="20" s="1"/>
  <c r="D240" i="20" a="1"/>
  <c r="D240" i="20" s="1"/>
  <c r="F240" i="20" a="1"/>
  <c r="F240" i="20" s="1"/>
  <c r="B240" i="20"/>
  <c r="H240" i="20" a="1"/>
  <c r="H240" i="20" s="1"/>
  <c r="J240" i="20" a="1"/>
  <c r="J240" i="20" s="1"/>
  <c r="L240" i="20" a="1"/>
  <c r="L240" i="20" s="1"/>
  <c r="D241" i="20" a="1"/>
  <c r="D241" i="20" s="1"/>
  <c r="F241" i="20" a="1"/>
  <c r="F241" i="20" s="1"/>
  <c r="B241" i="20"/>
  <c r="H241" i="20" a="1"/>
  <c r="H241" i="20" s="1"/>
  <c r="J241" i="20" a="1"/>
  <c r="J241" i="20" s="1"/>
  <c r="L241" i="20" a="1"/>
  <c r="L241" i="20" s="1"/>
  <c r="B242" i="20"/>
  <c r="D242" i="20" a="1"/>
  <c r="D242" i="20" s="1"/>
  <c r="F242" i="20" a="1"/>
  <c r="F242" i="20" s="1"/>
  <c r="H242" i="20" a="1"/>
  <c r="H242" i="20" s="1"/>
  <c r="J242" i="20" a="1"/>
  <c r="J242" i="20" s="1"/>
  <c r="L242" i="20" a="1"/>
  <c r="L242" i="20" s="1"/>
  <c r="D243" i="20" a="1"/>
  <c r="D243" i="20" s="1"/>
  <c r="B243" i="20"/>
  <c r="F243" i="20" a="1"/>
  <c r="F243" i="20" s="1"/>
  <c r="H243" i="20" a="1"/>
  <c r="H243" i="20" s="1"/>
  <c r="J243" i="20" a="1"/>
  <c r="J243" i="20" s="1"/>
  <c r="L243" i="20" a="1"/>
  <c r="L243" i="20" s="1"/>
  <c r="D244" i="20" a="1"/>
  <c r="D244" i="20" s="1"/>
  <c r="B244" i="20"/>
  <c r="F244" i="20" a="1"/>
  <c r="F244" i="20" s="1"/>
  <c r="H244" i="20" a="1"/>
  <c r="H244" i="20" s="1"/>
  <c r="J244" i="20" a="1"/>
  <c r="J244" i="20" s="1"/>
  <c r="L244" i="20" a="1"/>
  <c r="L244" i="20" s="1"/>
  <c r="D245" i="20" a="1"/>
  <c r="D245" i="20" s="1"/>
  <c r="B245" i="20"/>
  <c r="F245" i="20" a="1"/>
  <c r="F245" i="20" s="1"/>
  <c r="H245" i="20" a="1"/>
  <c r="H245" i="20" s="1"/>
  <c r="J245" i="20" a="1"/>
  <c r="J245" i="20" s="1"/>
  <c r="L245" i="20" a="1"/>
  <c r="L245" i="20" s="1"/>
  <c r="B246" i="20"/>
  <c r="D246" i="20" a="1"/>
  <c r="D246" i="20" s="1"/>
  <c r="F246" i="20" a="1"/>
  <c r="F246" i="20" s="1"/>
  <c r="H246" i="20" a="1"/>
  <c r="H246" i="20" s="1"/>
  <c r="J246" i="20" a="1"/>
  <c r="J246" i="20" s="1"/>
  <c r="L246" i="20" a="1"/>
  <c r="L246" i="20" s="1"/>
  <c r="B247" i="20"/>
  <c r="D247" i="20" a="1"/>
  <c r="D247" i="20" s="1"/>
  <c r="F247" i="20" a="1"/>
  <c r="F247" i="20" s="1"/>
  <c r="H247" i="20" a="1"/>
  <c r="H247" i="20" s="1"/>
  <c r="J247" i="20" a="1"/>
  <c r="J247" i="20" s="1"/>
  <c r="L247" i="20" a="1"/>
  <c r="L247" i="20" s="1"/>
  <c r="D248" i="20" a="1"/>
  <c r="D248" i="20" s="1"/>
  <c r="B248" i="20"/>
  <c r="F248" i="20" a="1"/>
  <c r="F248" i="20" s="1"/>
  <c r="H248" i="20" a="1"/>
  <c r="H248" i="20" s="1"/>
  <c r="J248" i="20" a="1"/>
  <c r="J248" i="20" s="1"/>
  <c r="L248" i="20" a="1"/>
  <c r="L248" i="20" s="1"/>
  <c r="D249" i="20" a="1"/>
  <c r="D249" i="20" s="1"/>
  <c r="B249" i="20"/>
  <c r="F249" i="20" a="1"/>
  <c r="F249" i="20" s="1"/>
  <c r="H249" i="20" a="1"/>
  <c r="H249" i="20" s="1"/>
  <c r="J249" i="20" a="1"/>
  <c r="J249" i="20" s="1"/>
  <c r="L249" i="20" a="1"/>
  <c r="L249" i="20" s="1"/>
  <c r="B250" i="20"/>
  <c r="D250" i="20" a="1"/>
  <c r="D250" i="20" s="1"/>
  <c r="F250" i="20" a="1"/>
  <c r="F250" i="20" s="1"/>
  <c r="H250" i="20" a="1"/>
  <c r="H250" i="20" s="1"/>
  <c r="J250" i="20" a="1"/>
  <c r="J250" i="20" s="1"/>
  <c r="L250" i="20" a="1"/>
  <c r="L250" i="20" s="1"/>
  <c r="B251" i="20"/>
  <c r="D251" i="20" a="1"/>
  <c r="D251" i="20" s="1"/>
  <c r="F251" i="20" a="1"/>
  <c r="F251" i="20" s="1"/>
  <c r="H251" i="20" a="1"/>
  <c r="H251" i="20" s="1"/>
  <c r="J251" i="20" a="1"/>
  <c r="J251" i="20" s="1"/>
  <c r="L251" i="20" a="1"/>
  <c r="L251" i="20" s="1"/>
  <c r="D252" i="20" a="1"/>
  <c r="D252" i="20" s="1"/>
  <c r="B252" i="20"/>
  <c r="F252" i="20" a="1"/>
  <c r="F252" i="20" s="1"/>
  <c r="H252" i="20" a="1"/>
  <c r="H252" i="20" s="1"/>
  <c r="J252" i="20" a="1"/>
  <c r="J252" i="20" s="1"/>
  <c r="L252" i="20" a="1"/>
  <c r="L252" i="20" s="1"/>
  <c r="D253" i="20" a="1"/>
  <c r="D253" i="20" s="1"/>
  <c r="B253" i="20"/>
  <c r="F253" i="20" a="1"/>
  <c r="F253" i="20" s="1"/>
  <c r="H253" i="20" a="1"/>
  <c r="H253" i="20" s="1"/>
  <c r="J253" i="20" a="1"/>
  <c r="J253" i="20" s="1"/>
  <c r="L253" i="20" a="1"/>
  <c r="L253" i="20" s="1"/>
  <c r="D254" i="20" a="1"/>
  <c r="D254" i="20" s="1"/>
  <c r="F254" i="20" a="1"/>
  <c r="F254" i="20" s="1"/>
  <c r="B254" i="20"/>
  <c r="H254" i="20" a="1"/>
  <c r="H254" i="20" s="1"/>
  <c r="J254" i="20" a="1"/>
  <c r="J254" i="20" s="1"/>
  <c r="L254" i="20" a="1"/>
  <c r="L254" i="20" s="1"/>
  <c r="D255" i="20" a="1"/>
  <c r="D255" i="20" s="1"/>
  <c r="F255" i="20" a="1"/>
  <c r="F255" i="20" s="1"/>
  <c r="B255" i="20"/>
  <c r="H255" i="20" a="1"/>
  <c r="H255" i="20" s="1"/>
  <c r="J255" i="20" a="1"/>
  <c r="J255" i="20" s="1"/>
  <c r="L255" i="20" a="1"/>
  <c r="L255" i="20" s="1"/>
  <c r="D256" i="20" a="1"/>
  <c r="D256" i="20" s="1"/>
  <c r="F256" i="20" a="1"/>
  <c r="F256" i="20" s="1"/>
  <c r="B256" i="20"/>
  <c r="H256" i="20" a="1"/>
  <c r="H256" i="20" s="1"/>
  <c r="J256" i="20" a="1"/>
  <c r="J256" i="20" s="1"/>
  <c r="L256" i="20" a="1"/>
  <c r="L256" i="20" s="1"/>
  <c r="D257" i="20" a="1"/>
  <c r="D257" i="20" s="1"/>
  <c r="F257" i="20" a="1"/>
  <c r="F257" i="20" s="1"/>
  <c r="B257" i="20"/>
  <c r="H257" i="20" a="1"/>
  <c r="H257" i="20" s="1"/>
  <c r="J257" i="20" a="1"/>
  <c r="J257" i="20" s="1"/>
  <c r="L257" i="20" a="1"/>
  <c r="L257" i="20" s="1"/>
  <c r="D258" i="20" a="1"/>
  <c r="D258" i="20" s="1"/>
  <c r="B258" i="20"/>
  <c r="F258" i="20" a="1"/>
  <c r="F258" i="20" s="1"/>
  <c r="H258" i="20" a="1"/>
  <c r="H258" i="20" s="1"/>
  <c r="J258" i="20" a="1"/>
  <c r="J258" i="20" s="1"/>
  <c r="L258" i="20" a="1"/>
  <c r="L258" i="20" s="1"/>
  <c r="D259" i="20" a="1"/>
  <c r="D259" i="20" s="1"/>
  <c r="B259" i="20"/>
  <c r="F259" i="20" a="1"/>
  <c r="F259" i="20" s="1"/>
  <c r="H259" i="20" a="1"/>
  <c r="H259" i="20" s="1"/>
  <c r="J259" i="20" a="1"/>
  <c r="J259" i="20" s="1"/>
  <c r="L259" i="20" a="1"/>
  <c r="L259" i="20" s="1"/>
  <c r="B260" i="20"/>
  <c r="D260" i="20" a="1"/>
  <c r="D260" i="20" s="1"/>
  <c r="F260" i="20" a="1"/>
  <c r="F260" i="20" s="1"/>
  <c r="H260" i="20" a="1"/>
  <c r="H260" i="20" s="1"/>
  <c r="J260" i="20" a="1"/>
  <c r="J260" i="20" s="1"/>
  <c r="L260" i="20" a="1"/>
  <c r="L260" i="20" s="1"/>
  <c r="D261" i="20" a="1"/>
  <c r="D261" i="20" s="1"/>
  <c r="B261" i="20"/>
  <c r="F261" i="20" a="1"/>
  <c r="F261" i="20" s="1"/>
  <c r="H261" i="20" a="1"/>
  <c r="H261" i="20" s="1"/>
  <c r="J261" i="20" a="1"/>
  <c r="J261" i="20" s="1"/>
  <c r="L261" i="20" a="1"/>
  <c r="L261" i="20" s="1"/>
  <c r="D262" i="20" a="1"/>
  <c r="D262" i="20" s="1"/>
  <c r="B262" i="20"/>
  <c r="F262" i="20" a="1"/>
  <c r="F262" i="20" s="1"/>
  <c r="H262" i="20" a="1"/>
  <c r="H262" i="20" s="1"/>
  <c r="J262" i="20" a="1"/>
  <c r="J262" i="20" s="1"/>
  <c r="L262" i="20" a="1"/>
  <c r="L262" i="20" s="1"/>
  <c r="D263" i="20" a="1"/>
  <c r="D263" i="20" s="1"/>
  <c r="B263" i="20"/>
  <c r="F263" i="20" a="1"/>
  <c r="F263" i="20" s="1"/>
  <c r="H263" i="20" a="1"/>
  <c r="H263" i="20" s="1"/>
  <c r="J263" i="20" a="1"/>
  <c r="J263" i="20" s="1"/>
  <c r="L263" i="20" a="1"/>
  <c r="L263" i="20" s="1"/>
  <c r="D264" i="20" a="1"/>
  <c r="D264" i="20" s="1"/>
  <c r="B264" i="20"/>
  <c r="F264" i="20" a="1"/>
  <c r="F264" i="20" s="1"/>
  <c r="H264" i="20" a="1"/>
  <c r="H264" i="20" s="1"/>
  <c r="J264" i="20" a="1"/>
  <c r="J264" i="20" s="1"/>
  <c r="L264" i="20" a="1"/>
  <c r="L264" i="20" s="1"/>
  <c r="D265" i="20" a="1"/>
  <c r="D265" i="20" s="1"/>
  <c r="B265" i="20"/>
  <c r="F265" i="20" a="1"/>
  <c r="F265" i="20" s="1"/>
  <c r="H265" i="20" a="1"/>
  <c r="H265" i="20" s="1"/>
  <c r="J265" i="20" a="1"/>
  <c r="J265" i="20" s="1"/>
  <c r="L265" i="20" a="1"/>
  <c r="L265" i="20" s="1"/>
  <c r="D266" i="20" a="1"/>
  <c r="D266" i="20" s="1"/>
  <c r="B266" i="20"/>
  <c r="F266" i="20" a="1"/>
  <c r="F266" i="20" s="1"/>
  <c r="H266" i="20" a="1"/>
  <c r="H266" i="20" s="1"/>
  <c r="J266" i="20" a="1"/>
  <c r="J266" i="20" s="1"/>
  <c r="L266" i="20" a="1"/>
  <c r="L266" i="20" s="1"/>
  <c r="D267" i="20" a="1"/>
  <c r="D267" i="20" s="1"/>
  <c r="B267" i="20"/>
  <c r="F267" i="20" a="1"/>
  <c r="F267" i="20" s="1"/>
  <c r="H267" i="20" a="1"/>
  <c r="H267" i="20" s="1"/>
  <c r="J267" i="20" a="1"/>
  <c r="J267" i="20" s="1"/>
  <c r="L267" i="20" a="1"/>
  <c r="L267" i="20" s="1"/>
  <c r="D268" i="20" a="1"/>
  <c r="D268" i="20" s="1"/>
  <c r="B268" i="20"/>
  <c r="F268" i="20" a="1"/>
  <c r="F268" i="20" s="1"/>
  <c r="H268" i="20" a="1"/>
  <c r="H268" i="20" s="1"/>
  <c r="J268" i="20" a="1"/>
  <c r="J268" i="20" s="1"/>
  <c r="L268" i="20" a="1"/>
  <c r="L268" i="20" s="1"/>
  <c r="D269" i="20" a="1"/>
  <c r="D269" i="20" s="1"/>
  <c r="B269" i="20"/>
  <c r="F269" i="20" a="1"/>
  <c r="F269" i="20" s="1"/>
  <c r="H269" i="20" a="1"/>
  <c r="H269" i="20" s="1"/>
  <c r="J269" i="20" a="1"/>
  <c r="J269" i="20" s="1"/>
  <c r="L269" i="20" a="1"/>
  <c r="L269" i="20" s="1"/>
  <c r="D270" i="20" a="1"/>
  <c r="D270" i="20" s="1"/>
  <c r="F270" i="20" a="1"/>
  <c r="F270" i="20" s="1"/>
  <c r="B270" i="20"/>
  <c r="H270" i="20" a="1"/>
  <c r="H270" i="20" s="1"/>
  <c r="J270" i="20" a="1"/>
  <c r="J270" i="20" s="1"/>
  <c r="L270" i="20" a="1"/>
  <c r="L270" i="20" s="1"/>
  <c r="D271" i="20" a="1"/>
  <c r="D271" i="20" s="1"/>
  <c r="F271" i="20" a="1"/>
  <c r="F271" i="20" s="1"/>
  <c r="B271" i="20"/>
  <c r="H271" i="20" a="1"/>
  <c r="H271" i="20" s="1"/>
  <c r="J271" i="20" a="1"/>
  <c r="J271" i="20" s="1"/>
  <c r="L271" i="20" a="1"/>
  <c r="L271" i="20" s="1"/>
  <c r="D272" i="20" a="1"/>
  <c r="D272" i="20" s="1"/>
  <c r="B272" i="20"/>
  <c r="F272" i="20" a="1"/>
  <c r="F272" i="20" s="1"/>
  <c r="H272" i="20" a="1"/>
  <c r="H272" i="20" s="1"/>
  <c r="J272" i="20" a="1"/>
  <c r="J272" i="20" s="1"/>
  <c r="L272" i="20" a="1"/>
  <c r="L272" i="20" s="1"/>
  <c r="B273" i="20"/>
  <c r="D273" i="20" a="1"/>
  <c r="D273" i="20" s="1"/>
  <c r="F273" i="20" a="1"/>
  <c r="F273" i="20" s="1"/>
  <c r="H273" i="20" a="1"/>
  <c r="H273" i="20" s="1"/>
  <c r="J273" i="20" a="1"/>
  <c r="J273" i="20" s="1"/>
  <c r="L273" i="20" a="1"/>
  <c r="L273" i="20" s="1"/>
  <c r="D274" i="20" a="1"/>
  <c r="D274" i="20" s="1"/>
  <c r="F274" i="20" a="1"/>
  <c r="F274" i="20" s="1"/>
  <c r="B274" i="20"/>
  <c r="H274" i="20" a="1"/>
  <c r="H274" i="20" s="1"/>
  <c r="J274" i="20" a="1"/>
  <c r="J274" i="20" s="1"/>
  <c r="L274" i="20" a="1"/>
  <c r="L274" i="20" s="1"/>
  <c r="D275" i="20" a="1"/>
  <c r="D275" i="20" s="1"/>
  <c r="F275" i="20" a="1"/>
  <c r="F275" i="20" s="1"/>
  <c r="B275" i="20"/>
  <c r="H275" i="20" a="1"/>
  <c r="H275" i="20" s="1"/>
  <c r="J275" i="20" a="1"/>
  <c r="J275" i="20" s="1"/>
  <c r="L275" i="20" a="1"/>
  <c r="L275" i="20" s="1"/>
  <c r="D276" i="20" a="1"/>
  <c r="D276" i="20" s="1"/>
  <c r="F276" i="20" a="1"/>
  <c r="F276" i="20" s="1"/>
  <c r="B276" i="20"/>
  <c r="H276" i="20" a="1"/>
  <c r="H276" i="20" s="1"/>
  <c r="J276" i="20" a="1"/>
  <c r="J276" i="20" s="1"/>
  <c r="L276" i="20" a="1"/>
  <c r="L276" i="20" s="1"/>
  <c r="D277" i="20" a="1"/>
  <c r="D277" i="20" s="1"/>
  <c r="F277" i="20" a="1"/>
  <c r="F277" i="20" s="1"/>
  <c r="B277" i="20"/>
  <c r="H277" i="20" a="1"/>
  <c r="H277" i="20" s="1"/>
  <c r="J277" i="20" a="1"/>
  <c r="J277" i="20" s="1"/>
  <c r="L277" i="20" a="1"/>
  <c r="L277" i="20" s="1"/>
  <c r="D278" i="20" a="1"/>
  <c r="D278" i="20" s="1"/>
  <c r="B278" i="20"/>
  <c r="F278" i="20" a="1"/>
  <c r="F278" i="20" s="1"/>
  <c r="H278" i="20" a="1"/>
  <c r="H278" i="20" s="1"/>
  <c r="J278" i="20" a="1"/>
  <c r="J278" i="20" s="1"/>
  <c r="L278" i="20" a="1"/>
  <c r="L278" i="20" s="1"/>
  <c r="D279" i="20" a="1"/>
  <c r="D279" i="20" s="1"/>
  <c r="B279" i="20"/>
  <c r="F279" i="20" a="1"/>
  <c r="F279" i="20" s="1"/>
  <c r="H279" i="20" a="1"/>
  <c r="H279" i="20" s="1"/>
  <c r="J279" i="20" a="1"/>
  <c r="J279" i="20" s="1"/>
  <c r="L279" i="20" a="1"/>
  <c r="L279" i="20" s="1"/>
  <c r="B280" i="20"/>
  <c r="D280" i="20" a="1"/>
  <c r="D280" i="20" s="1"/>
  <c r="F280" i="20" a="1"/>
  <c r="F280" i="20" s="1"/>
  <c r="H280" i="20" a="1"/>
  <c r="H280" i="20" s="1"/>
  <c r="J280" i="20" a="1"/>
  <c r="J280" i="20" s="1"/>
  <c r="L280" i="20" a="1"/>
  <c r="L280" i="20" s="1"/>
  <c r="B281" i="20"/>
  <c r="D281" i="20" a="1"/>
  <c r="D281" i="20" s="1"/>
  <c r="F281" i="20" a="1"/>
  <c r="F281" i="20" s="1"/>
  <c r="H281" i="20" a="1"/>
  <c r="H281" i="20" s="1"/>
  <c r="J281" i="20" a="1"/>
  <c r="J281" i="20" s="1"/>
  <c r="L281" i="20" a="1"/>
  <c r="L281" i="20" s="1"/>
  <c r="D282" i="20" a="1"/>
  <c r="D282" i="20" s="1"/>
  <c r="B282" i="20"/>
  <c r="F282" i="20" a="1"/>
  <c r="F282" i="20" s="1"/>
  <c r="H282" i="20" a="1"/>
  <c r="H282" i="20" s="1"/>
  <c r="J282" i="20" a="1"/>
  <c r="J282" i="20" s="1"/>
  <c r="L282" i="20" a="1"/>
  <c r="L282" i="20" s="1"/>
  <c r="D283" i="20" a="1"/>
  <c r="D283" i="20" s="1"/>
  <c r="B283" i="20"/>
  <c r="F283" i="20" a="1"/>
  <c r="F283" i="20" s="1"/>
  <c r="H283" i="20" a="1"/>
  <c r="H283" i="20" s="1"/>
  <c r="J283" i="20" a="1"/>
  <c r="J283" i="20" s="1"/>
  <c r="L283" i="20" a="1"/>
  <c r="L283" i="20" s="1"/>
  <c r="B284" i="20"/>
  <c r="D284" i="20" a="1"/>
  <c r="D284" i="20" s="1"/>
  <c r="F284" i="20" a="1"/>
  <c r="F284" i="20" s="1"/>
  <c r="H284" i="20" a="1"/>
  <c r="H284" i="20" s="1"/>
  <c r="J284" i="20" a="1"/>
  <c r="J284" i="20" s="1"/>
  <c r="L284" i="20" a="1"/>
  <c r="L284" i="20" s="1"/>
  <c r="B285" i="20"/>
  <c r="D285" i="20" a="1"/>
  <c r="D285" i="20" s="1"/>
  <c r="F285" i="20" a="1"/>
  <c r="F285" i="20" s="1"/>
  <c r="H285" i="20" a="1"/>
  <c r="H285" i="20" s="1"/>
  <c r="J285" i="20" a="1"/>
  <c r="J285" i="20" s="1"/>
  <c r="L285" i="20" a="1"/>
  <c r="L285" i="20" s="1"/>
  <c r="D286" i="20" a="1"/>
  <c r="D286" i="20" s="1"/>
  <c r="F286" i="20" a="1"/>
  <c r="F286" i="20" s="1"/>
  <c r="B286" i="20"/>
  <c r="H286" i="20" a="1"/>
  <c r="H286" i="20" s="1"/>
  <c r="J286" i="20" a="1"/>
  <c r="J286" i="20" s="1"/>
  <c r="L286" i="20" a="1"/>
  <c r="L286" i="20" s="1"/>
  <c r="D287" i="20" a="1"/>
  <c r="D287" i="20" s="1"/>
  <c r="B287" i="20"/>
  <c r="F287" i="20" a="1"/>
  <c r="F287" i="20" s="1"/>
  <c r="H287" i="20" a="1"/>
  <c r="H287" i="20" s="1"/>
  <c r="J287" i="20" a="1"/>
  <c r="J287" i="20" s="1"/>
  <c r="L287" i="20" a="1"/>
  <c r="L287" i="20" s="1"/>
  <c r="B288" i="20"/>
  <c r="D288" i="20" a="1"/>
  <c r="D288" i="20" s="1"/>
  <c r="F288" i="20" a="1"/>
  <c r="F288" i="20" s="1"/>
  <c r="H288" i="20" a="1"/>
  <c r="H288" i="20" s="1"/>
  <c r="J288" i="20" a="1"/>
  <c r="J288" i="20" s="1"/>
  <c r="L288" i="20" a="1"/>
  <c r="L288" i="20" s="1"/>
  <c r="B289" i="20"/>
  <c r="D289" i="20" a="1"/>
  <c r="D289" i="20" s="1"/>
  <c r="F289" i="20" a="1"/>
  <c r="F289" i="20" s="1"/>
  <c r="H289" i="20" a="1"/>
  <c r="H289" i="20" s="1"/>
  <c r="J289" i="20" a="1"/>
  <c r="J289" i="20" s="1"/>
  <c r="L289" i="20" a="1"/>
  <c r="L289" i="20" s="1"/>
  <c r="B290" i="20"/>
  <c r="D290" i="20" a="1"/>
  <c r="D290" i="20" s="1"/>
  <c r="F290" i="20" a="1"/>
  <c r="F290" i="20" s="1"/>
  <c r="H290" i="20" a="1"/>
  <c r="H290" i="20" s="1"/>
  <c r="J290" i="20" a="1"/>
  <c r="J290" i="20" s="1"/>
  <c r="L290" i="20" a="1"/>
  <c r="L290" i="20" s="1"/>
  <c r="B291" i="20"/>
  <c r="D291" i="20" a="1"/>
  <c r="D291" i="20" s="1"/>
  <c r="F291" i="20" a="1"/>
  <c r="F291" i="20" s="1"/>
  <c r="H291" i="20" a="1"/>
  <c r="H291" i="20" s="1"/>
  <c r="J291" i="20" a="1"/>
  <c r="J291" i="20" s="1"/>
  <c r="L291" i="20" a="1"/>
  <c r="L291" i="20" s="1"/>
  <c r="D292" i="20" a="1"/>
  <c r="D292" i="20" s="1"/>
  <c r="F292" i="20" a="1"/>
  <c r="F292" i="20" s="1"/>
  <c r="B292" i="20"/>
  <c r="H292" i="20" a="1"/>
  <c r="H292" i="20" s="1"/>
  <c r="J292" i="20" a="1"/>
  <c r="J292" i="20" s="1"/>
  <c r="L292" i="20" a="1"/>
  <c r="L292" i="20" s="1"/>
  <c r="B293" i="20"/>
  <c r="D293" i="20" a="1"/>
  <c r="D293" i="20" s="1"/>
  <c r="F293" i="20" a="1"/>
  <c r="F293" i="20" s="1"/>
  <c r="H293" i="20" a="1"/>
  <c r="H293" i="20" s="1"/>
  <c r="J293" i="20" a="1"/>
  <c r="J293" i="20" s="1"/>
  <c r="L293" i="20" a="1"/>
  <c r="L293" i="20" s="1"/>
  <c r="B294" i="20"/>
  <c r="D294" i="20" a="1"/>
  <c r="D294" i="20" s="1"/>
  <c r="F294" i="20" a="1"/>
  <c r="F294" i="20" s="1"/>
  <c r="H294" i="20" a="1"/>
  <c r="H294" i="20" s="1"/>
  <c r="J294" i="20" a="1"/>
  <c r="J294" i="20" s="1"/>
  <c r="L294" i="20" a="1"/>
  <c r="L294" i="20" s="1"/>
  <c r="D295" i="20" a="1"/>
  <c r="D295" i="20" s="1"/>
  <c r="F295" i="20" a="1"/>
  <c r="F295" i="20" s="1"/>
  <c r="B295" i="20"/>
  <c r="H295" i="20" a="1"/>
  <c r="H295" i="20" s="1"/>
  <c r="J295" i="20" a="1"/>
  <c r="J295" i="20" s="1"/>
  <c r="L295" i="20" a="1"/>
  <c r="L295" i="20" s="1"/>
  <c r="D296" i="20" a="1"/>
  <c r="D296" i="20" s="1"/>
  <c r="F296" i="20" a="1"/>
  <c r="F296" i="20" s="1"/>
  <c r="B296" i="20"/>
  <c r="H296" i="20" a="1"/>
  <c r="H296" i="20" s="1"/>
  <c r="J296" i="20" a="1"/>
  <c r="J296" i="20" s="1"/>
  <c r="L296" i="20" a="1"/>
  <c r="L296" i="20" s="1"/>
  <c r="D297" i="20" a="1"/>
  <c r="D297" i="20" s="1"/>
  <c r="F297" i="20" a="1"/>
  <c r="F297" i="20" s="1"/>
  <c r="B297" i="20"/>
  <c r="H297" i="20" a="1"/>
  <c r="H297" i="20" s="1"/>
  <c r="J297" i="20" a="1"/>
  <c r="J297" i="20" s="1"/>
  <c r="L297" i="20" a="1"/>
  <c r="L297" i="20" s="1"/>
  <c r="D298" i="20" a="1"/>
  <c r="D298" i="20" s="1"/>
  <c r="F298" i="20" a="1"/>
  <c r="F298" i="20" s="1"/>
  <c r="B298" i="20"/>
  <c r="H298" i="20" a="1"/>
  <c r="H298" i="20" s="1"/>
  <c r="J298" i="20" a="1"/>
  <c r="J298" i="20" s="1"/>
  <c r="L298" i="20" a="1"/>
  <c r="L298" i="20" s="1"/>
  <c r="D299" i="20" a="1"/>
  <c r="D299" i="20" s="1"/>
  <c r="B299" i="20"/>
  <c r="F299" i="20" a="1"/>
  <c r="F299" i="20" s="1"/>
  <c r="H299" i="20" a="1"/>
  <c r="H299" i="20" s="1"/>
  <c r="J299" i="20" a="1"/>
  <c r="J299" i="20" s="1"/>
  <c r="L299" i="20" a="1"/>
  <c r="L299" i="20" s="1"/>
  <c r="D300" i="20" a="1"/>
  <c r="D300" i="20" s="1"/>
  <c r="B300" i="20"/>
  <c r="F300" i="20" a="1"/>
  <c r="F300" i="20" s="1"/>
  <c r="H300" i="20" a="1"/>
  <c r="H300" i="20" s="1"/>
  <c r="J300" i="20" a="1"/>
  <c r="J300" i="20" s="1"/>
  <c r="L300" i="20" a="1"/>
  <c r="L300" i="20" s="1"/>
  <c r="D301" i="20" a="1"/>
  <c r="D301" i="20" s="1"/>
  <c r="B301" i="20"/>
  <c r="F301" i="20" a="1"/>
  <c r="F301" i="20" s="1"/>
  <c r="H301" i="20" a="1"/>
  <c r="H301" i="20" s="1"/>
  <c r="J301" i="20" a="1"/>
  <c r="J301" i="20" s="1"/>
  <c r="L301" i="20" a="1"/>
  <c r="L301" i="20" s="1"/>
  <c r="B302" i="20"/>
  <c r="D302" i="20" a="1"/>
  <c r="D302" i="20" s="1"/>
  <c r="F302" i="20" a="1"/>
  <c r="F302" i="20" s="1"/>
  <c r="H302" i="20" a="1"/>
  <c r="H302" i="20" s="1"/>
  <c r="J302" i="20" a="1"/>
  <c r="J302" i="20" s="1"/>
  <c r="L302" i="20" a="1"/>
  <c r="L302" i="20" s="1"/>
  <c r="B303" i="20"/>
  <c r="D303" i="20" a="1"/>
  <c r="D303" i="20" s="1"/>
  <c r="F303" i="20" a="1"/>
  <c r="F303" i="20" s="1"/>
  <c r="H303" i="20" a="1"/>
  <c r="H303" i="20" s="1"/>
  <c r="J303" i="20" a="1"/>
  <c r="J303" i="20" s="1"/>
  <c r="L303" i="20" a="1"/>
  <c r="L303" i="20" s="1"/>
  <c r="D304" i="20" a="1"/>
  <c r="D304" i="20" s="1"/>
  <c r="F304" i="20" a="1"/>
  <c r="F304" i="20" s="1"/>
  <c r="B304" i="20"/>
  <c r="H304" i="20" a="1"/>
  <c r="H304" i="20" s="1"/>
  <c r="J304" i="20" a="1"/>
  <c r="J304" i="20" s="1"/>
  <c r="L304" i="20" a="1"/>
  <c r="L304" i="20" s="1"/>
  <c r="D305" i="20" a="1"/>
  <c r="D305" i="20" s="1"/>
  <c r="F305" i="20" a="1"/>
  <c r="F305" i="20" s="1"/>
  <c r="B305" i="20"/>
  <c r="H305" i="20" a="1"/>
  <c r="H305" i="20" s="1"/>
  <c r="J305" i="20" a="1"/>
  <c r="J305" i="20" s="1"/>
  <c r="L305" i="20" a="1"/>
  <c r="L305" i="20" s="1"/>
  <c r="B306" i="20"/>
  <c r="D306" i="20" a="1"/>
  <c r="D306" i="20" s="1"/>
  <c r="F306" i="20" a="1"/>
  <c r="F306" i="20" s="1"/>
  <c r="H306" i="20" a="1"/>
  <c r="H306" i="20" s="1"/>
  <c r="J306" i="20" a="1"/>
  <c r="J306" i="20" s="1"/>
  <c r="L306" i="20" a="1"/>
  <c r="L306" i="20" s="1"/>
  <c r="D307" i="20" a="1"/>
  <c r="D307" i="20" s="1"/>
  <c r="B307" i="20"/>
  <c r="F307" i="20" a="1"/>
  <c r="F307" i="20" s="1"/>
  <c r="H307" i="20" a="1"/>
  <c r="H307" i="20" s="1"/>
  <c r="J307" i="20" a="1"/>
  <c r="J307" i="20" s="1"/>
  <c r="L307" i="20" a="1"/>
  <c r="L307" i="20" s="1"/>
  <c r="B308" i="20"/>
  <c r="D308" i="20" a="1"/>
  <c r="D308" i="20" s="1"/>
  <c r="F308" i="20" a="1"/>
  <c r="F308" i="20" s="1"/>
  <c r="H308" i="20" a="1"/>
  <c r="H308" i="20" s="1"/>
  <c r="J308" i="20" a="1"/>
  <c r="J308" i="20" s="1"/>
  <c r="L308" i="20" a="1"/>
  <c r="L308" i="20" s="1"/>
  <c r="B309" i="20"/>
  <c r="D309" i="20" a="1"/>
  <c r="D309" i="20" s="1"/>
  <c r="F309" i="20" a="1"/>
  <c r="F309" i="20" s="1"/>
  <c r="H309" i="20" a="1"/>
  <c r="H309" i="20" s="1"/>
  <c r="J309" i="20" a="1"/>
  <c r="J309" i="20" s="1"/>
  <c r="L309" i="20" a="1"/>
  <c r="L309" i="20" s="1"/>
  <c r="D310" i="20" a="1"/>
  <c r="D310" i="20" s="1"/>
  <c r="B310" i="20"/>
  <c r="F310" i="20" a="1"/>
  <c r="F310" i="20" s="1"/>
  <c r="H310" i="20" a="1"/>
  <c r="H310" i="20" s="1"/>
  <c r="J310" i="20" a="1"/>
  <c r="J310" i="20" s="1"/>
  <c r="L310" i="20" a="1"/>
  <c r="L310" i="20" s="1"/>
  <c r="D311" i="20" a="1"/>
  <c r="D311" i="20" s="1"/>
  <c r="B311" i="20"/>
  <c r="F311" i="20" a="1"/>
  <c r="F311" i="20" s="1"/>
  <c r="H311" i="20" a="1"/>
  <c r="H311" i="20" s="1"/>
  <c r="J311" i="20" a="1"/>
  <c r="J311" i="20" s="1"/>
  <c r="L311" i="20" a="1"/>
  <c r="L311" i="20" s="1"/>
  <c r="D312" i="20" a="1"/>
  <c r="D312" i="20" s="1"/>
  <c r="F312" i="20" a="1"/>
  <c r="F312" i="20" s="1"/>
  <c r="B312" i="20"/>
  <c r="H312" i="20" a="1"/>
  <c r="H312" i="20" s="1"/>
  <c r="J312" i="20" a="1"/>
  <c r="J312" i="20" s="1"/>
  <c r="L312" i="20" a="1"/>
  <c r="L312" i="20" s="1"/>
  <c r="D313" i="20" a="1"/>
  <c r="D313" i="20" s="1"/>
  <c r="F313" i="20" a="1"/>
  <c r="F313" i="20" s="1"/>
  <c r="B313" i="20"/>
  <c r="H313" i="20" a="1"/>
  <c r="H313" i="20" s="1"/>
  <c r="J313" i="20" a="1"/>
  <c r="J313" i="20" s="1"/>
  <c r="L313" i="20" a="1"/>
  <c r="L313" i="20" s="1"/>
  <c r="D314" i="20" a="1"/>
  <c r="D314" i="20" s="1"/>
  <c r="F314" i="20" a="1"/>
  <c r="F314" i="20" s="1"/>
  <c r="B314" i="20"/>
  <c r="H314" i="20" a="1"/>
  <c r="H314" i="20" s="1"/>
  <c r="J314" i="20" a="1"/>
  <c r="J314" i="20" s="1"/>
  <c r="L314" i="20" a="1"/>
  <c r="L314" i="20" s="1"/>
  <c r="D315" i="20" a="1"/>
  <c r="D315" i="20" s="1"/>
  <c r="F315" i="20" a="1"/>
  <c r="F315" i="20" s="1"/>
  <c r="B315" i="20"/>
  <c r="H315" i="20" a="1"/>
  <c r="H315" i="20" s="1"/>
  <c r="J315" i="20" a="1"/>
  <c r="J315" i="20" s="1"/>
  <c r="L315" i="20" a="1"/>
  <c r="L315" i="20" s="1"/>
  <c r="D316" i="20" a="1"/>
  <c r="D316" i="20" s="1"/>
  <c r="F316" i="20" a="1"/>
  <c r="F316" i="20" s="1"/>
  <c r="B316" i="20"/>
  <c r="H316" i="20" a="1"/>
  <c r="H316" i="20" s="1"/>
  <c r="J316" i="20" a="1"/>
  <c r="J316" i="20" s="1"/>
  <c r="L316" i="20" a="1"/>
  <c r="L316" i="20" s="1"/>
  <c r="D317" i="20" a="1"/>
  <c r="D317" i="20" s="1"/>
  <c r="F317" i="20" a="1"/>
  <c r="F317" i="20" s="1"/>
  <c r="B317" i="20"/>
  <c r="H317" i="20" a="1"/>
  <c r="H317" i="20" s="1"/>
  <c r="J317" i="20" a="1"/>
  <c r="J317" i="20" s="1"/>
  <c r="L317" i="20" a="1"/>
  <c r="L317" i="20" s="1"/>
  <c r="D318" i="20" a="1"/>
  <c r="D318" i="20" s="1"/>
  <c r="B318" i="20"/>
  <c r="F318" i="20" a="1"/>
  <c r="F318" i="20" s="1"/>
  <c r="H318" i="20" a="1"/>
  <c r="H318" i="20" s="1"/>
  <c r="J318" i="20" a="1"/>
  <c r="J318" i="20" s="1"/>
  <c r="L318" i="20" a="1"/>
  <c r="L318" i="20" s="1"/>
  <c r="D319" i="20" a="1"/>
  <c r="D319" i="20" s="1"/>
  <c r="B319" i="20"/>
  <c r="F319" i="20" a="1"/>
  <c r="F319" i="20" s="1"/>
  <c r="H319" i="20" a="1"/>
  <c r="H319" i="20" s="1"/>
  <c r="J319" i="20" a="1"/>
  <c r="J319" i="20" s="1"/>
  <c r="L319" i="20" a="1"/>
  <c r="L319" i="20" s="1"/>
  <c r="D320" i="20" a="1"/>
  <c r="D320" i="20" s="1"/>
  <c r="F320" i="20" a="1"/>
  <c r="F320" i="20" s="1"/>
  <c r="B320" i="20"/>
  <c r="H320" i="20" a="1"/>
  <c r="H320" i="20" s="1"/>
  <c r="J320" i="20" a="1"/>
  <c r="J320" i="20" s="1"/>
  <c r="L320" i="20" a="1"/>
  <c r="L320" i="20" s="1"/>
  <c r="D321" i="20" a="1"/>
  <c r="D321" i="20" s="1"/>
  <c r="F321" i="20" a="1"/>
  <c r="F321" i="20" s="1"/>
  <c r="B321" i="20"/>
  <c r="H321" i="20" a="1"/>
  <c r="H321" i="20" s="1"/>
  <c r="J321" i="20" a="1"/>
  <c r="J321" i="20" s="1"/>
  <c r="L321" i="20" a="1"/>
  <c r="L321" i="20" s="1"/>
  <c r="D322" i="20" a="1"/>
  <c r="D322" i="20" s="1"/>
  <c r="F322" i="20" a="1"/>
  <c r="F322" i="20" s="1"/>
  <c r="B322" i="20"/>
  <c r="H322" i="20" a="1"/>
  <c r="H322" i="20" s="1"/>
  <c r="J322" i="20" a="1"/>
  <c r="J322" i="20" s="1"/>
  <c r="L322" i="20" a="1"/>
  <c r="L322" i="20" s="1"/>
  <c r="D323" i="20" a="1"/>
  <c r="D323" i="20" s="1"/>
  <c r="F323" i="20" a="1"/>
  <c r="F323" i="20" s="1"/>
  <c r="B323" i="20"/>
  <c r="H323" i="20" a="1"/>
  <c r="H323" i="20" s="1"/>
  <c r="J323" i="20" a="1"/>
  <c r="J323" i="20" s="1"/>
  <c r="L323" i="20" a="1"/>
  <c r="L323" i="20" s="1"/>
  <c r="D324" i="20" a="1"/>
  <c r="D324" i="20" s="1"/>
  <c r="F324" i="20" a="1"/>
  <c r="F324" i="20" s="1"/>
  <c r="B324" i="20"/>
  <c r="H324" i="20" a="1"/>
  <c r="H324" i="20" s="1"/>
  <c r="J324" i="20" a="1"/>
  <c r="J324" i="20" s="1"/>
  <c r="L324" i="20" a="1"/>
  <c r="L324" i="20" s="1"/>
  <c r="D325" i="20" a="1"/>
  <c r="D325" i="20" s="1"/>
  <c r="F325" i="20" a="1"/>
  <c r="F325" i="20" s="1"/>
  <c r="B325" i="20"/>
  <c r="H325" i="20" a="1"/>
  <c r="H325" i="20" s="1"/>
  <c r="J325" i="20" a="1"/>
  <c r="J325" i="20" s="1"/>
  <c r="L325" i="20" a="1"/>
  <c r="L325" i="20" s="1"/>
  <c r="D326" i="20" a="1"/>
  <c r="D326" i="20" s="1"/>
  <c r="F326" i="20" a="1"/>
  <c r="F326" i="20" s="1"/>
  <c r="B326" i="20"/>
  <c r="H326" i="20" a="1"/>
  <c r="H326" i="20" s="1"/>
  <c r="J326" i="20" a="1"/>
  <c r="J326" i="20" s="1"/>
  <c r="L326" i="20" a="1"/>
  <c r="L326" i="20" s="1"/>
  <c r="D327" i="20" a="1"/>
  <c r="D327" i="20" s="1"/>
  <c r="F327" i="20" a="1"/>
  <c r="F327" i="20" s="1"/>
  <c r="B327" i="20"/>
  <c r="H327" i="20" a="1"/>
  <c r="H327" i="20" s="1"/>
  <c r="J327" i="20" a="1"/>
  <c r="J327" i="20" s="1"/>
  <c r="L327" i="20" a="1"/>
  <c r="L327" i="20" s="1"/>
  <c r="D328" i="20" a="1"/>
  <c r="D328" i="20" s="1"/>
  <c r="B328" i="20"/>
  <c r="F328" i="20" a="1"/>
  <c r="F328" i="20" s="1"/>
  <c r="H328" i="20" a="1"/>
  <c r="H328" i="20" s="1"/>
  <c r="J328" i="20" a="1"/>
  <c r="J328" i="20" s="1"/>
  <c r="L328" i="20" a="1"/>
  <c r="L328" i="20" s="1"/>
  <c r="D329" i="20" a="1"/>
  <c r="D329" i="20" s="1"/>
  <c r="F329" i="20" a="1"/>
  <c r="F329" i="20" s="1"/>
  <c r="B329" i="20"/>
  <c r="H329" i="20" a="1"/>
  <c r="H329" i="20" s="1"/>
  <c r="J329" i="20" a="1"/>
  <c r="J329" i="20" s="1"/>
  <c r="L329" i="20" a="1"/>
  <c r="L329" i="20" s="1"/>
  <c r="D330" i="20" a="1"/>
  <c r="D330" i="20" s="1"/>
  <c r="F330" i="20" a="1"/>
  <c r="F330" i="20" s="1"/>
  <c r="B330" i="20"/>
  <c r="H330" i="20" a="1"/>
  <c r="H330" i="20" s="1"/>
  <c r="J330" i="20" a="1"/>
  <c r="J330" i="20" s="1"/>
  <c r="L330" i="20" a="1"/>
  <c r="L330" i="20" s="1"/>
  <c r="D331" i="20" a="1"/>
  <c r="D331" i="20" s="1"/>
  <c r="F331" i="20" a="1"/>
  <c r="F331" i="20" s="1"/>
  <c r="B331" i="20"/>
  <c r="H331" i="20" a="1"/>
  <c r="H331" i="20" s="1"/>
  <c r="J331" i="20" a="1"/>
  <c r="J331" i="20" s="1"/>
  <c r="L331" i="20" a="1"/>
  <c r="L331" i="20" s="1"/>
  <c r="D332" i="20" a="1"/>
  <c r="D332" i="20" s="1"/>
  <c r="F332" i="20" a="1"/>
  <c r="F332" i="20" s="1"/>
  <c r="B332" i="20"/>
  <c r="H332" i="20" a="1"/>
  <c r="H332" i="20" s="1"/>
  <c r="J332" i="20" a="1"/>
  <c r="J332" i="20" s="1"/>
  <c r="L332" i="20" a="1"/>
  <c r="L332" i="20" s="1"/>
  <c r="D333" i="20" a="1"/>
  <c r="D333" i="20" s="1"/>
  <c r="F333" i="20" a="1"/>
  <c r="F333" i="20" s="1"/>
  <c r="B333" i="20"/>
  <c r="H333" i="20" a="1"/>
  <c r="H333" i="20" s="1"/>
  <c r="J333" i="20" a="1"/>
  <c r="J333" i="20" s="1"/>
  <c r="L333" i="20" a="1"/>
  <c r="L333" i="20" s="1"/>
  <c r="D334" i="20" a="1"/>
  <c r="D334" i="20" s="1"/>
  <c r="B334" i="20"/>
  <c r="F334" i="20" a="1"/>
  <c r="F334" i="20" s="1"/>
  <c r="H334" i="20" a="1"/>
  <c r="H334" i="20" s="1"/>
  <c r="J334" i="20" a="1"/>
  <c r="J334" i="20" s="1"/>
  <c r="L334" i="20" a="1"/>
  <c r="L334" i="20" s="1"/>
  <c r="D335" i="20" a="1"/>
  <c r="D335" i="20" s="1"/>
  <c r="B335" i="20"/>
  <c r="F335" i="20" a="1"/>
  <c r="F335" i="20" s="1"/>
  <c r="H335" i="20" a="1"/>
  <c r="H335" i="20" s="1"/>
  <c r="J335" i="20" a="1"/>
  <c r="J335" i="20" s="1"/>
  <c r="L335" i="20" a="1"/>
  <c r="L335" i="20" s="1"/>
  <c r="D336" i="20" a="1"/>
  <c r="D336" i="20" s="1"/>
  <c r="B336" i="20"/>
  <c r="F336" i="20" a="1"/>
  <c r="F336" i="20" s="1"/>
  <c r="H336" i="20" a="1"/>
  <c r="H336" i="20" s="1"/>
  <c r="J336" i="20" a="1"/>
  <c r="J336" i="20" s="1"/>
  <c r="L336" i="20" a="1"/>
  <c r="L336" i="20" s="1"/>
  <c r="D337" i="20" a="1"/>
  <c r="D337" i="20" s="1"/>
  <c r="B337" i="20"/>
  <c r="F337" i="20" a="1"/>
  <c r="F337" i="20" s="1"/>
  <c r="H337" i="20" a="1"/>
  <c r="H337" i="20" s="1"/>
  <c r="J337" i="20" a="1"/>
  <c r="J337" i="20" s="1"/>
  <c r="L337" i="20" a="1"/>
  <c r="L337" i="20" s="1"/>
  <c r="D338" i="20" a="1"/>
  <c r="D338" i="20" s="1"/>
  <c r="B338" i="20"/>
  <c r="F338" i="20" a="1"/>
  <c r="F338" i="20" s="1"/>
  <c r="H338" i="20" a="1"/>
  <c r="H338" i="20" s="1"/>
  <c r="J338" i="20" a="1"/>
  <c r="J338" i="20" s="1"/>
  <c r="L338" i="20" a="1"/>
  <c r="L338" i="20" s="1"/>
  <c r="D339" i="20" a="1"/>
  <c r="D339" i="20" s="1"/>
  <c r="B339" i="20"/>
  <c r="F339" i="20" a="1"/>
  <c r="F339" i="20" s="1"/>
  <c r="H339" i="20" a="1"/>
  <c r="H339" i="20" s="1"/>
  <c r="J339" i="20" a="1"/>
  <c r="J339" i="20" s="1"/>
  <c r="L339" i="20" a="1"/>
  <c r="L339" i="20" s="1"/>
  <c r="D340" i="20" a="1"/>
  <c r="D340" i="20" s="1"/>
  <c r="B340" i="20"/>
  <c r="F340" i="20" a="1"/>
  <c r="F340" i="20" s="1"/>
  <c r="H340" i="20" a="1"/>
  <c r="H340" i="20" s="1"/>
  <c r="J340" i="20" a="1"/>
  <c r="J340" i="20" s="1"/>
  <c r="L340" i="20" a="1"/>
  <c r="L340" i="20" s="1"/>
  <c r="D341" i="20" a="1"/>
  <c r="D341" i="20" s="1"/>
  <c r="B341" i="20"/>
  <c r="F341" i="20" a="1"/>
  <c r="F341" i="20" s="1"/>
  <c r="H341" i="20" a="1"/>
  <c r="H341" i="20" s="1"/>
  <c r="J341" i="20" a="1"/>
  <c r="J341" i="20" s="1"/>
  <c r="L341" i="20" a="1"/>
  <c r="L341" i="20" s="1"/>
  <c r="D342" i="20" a="1"/>
  <c r="D342" i="20" s="1"/>
  <c r="F342" i="20" a="1"/>
  <c r="F342" i="20" s="1"/>
  <c r="B342" i="20"/>
  <c r="H342" i="20" a="1"/>
  <c r="H342" i="20" s="1"/>
  <c r="J342" i="20" a="1"/>
  <c r="J342" i="20" s="1"/>
  <c r="L342" i="20" a="1"/>
  <c r="L342" i="20" s="1"/>
  <c r="D343" i="20" a="1"/>
  <c r="D343" i="20" s="1"/>
  <c r="F343" i="20" a="1"/>
  <c r="F343" i="20" s="1"/>
  <c r="B343" i="20"/>
  <c r="H343" i="20" a="1"/>
  <c r="H343" i="20" s="1"/>
  <c r="J343" i="20" a="1"/>
  <c r="J343" i="20" s="1"/>
  <c r="L343" i="20" a="1"/>
  <c r="L343" i="20" s="1"/>
  <c r="D344" i="20" a="1"/>
  <c r="D344" i="20" s="1"/>
  <c r="F344" i="20" a="1"/>
  <c r="F344" i="20" s="1"/>
  <c r="B344" i="20"/>
  <c r="H344" i="20" a="1"/>
  <c r="H344" i="20" s="1"/>
  <c r="J344" i="20" a="1"/>
  <c r="J344" i="20" s="1"/>
  <c r="L344" i="20" a="1"/>
  <c r="L344" i="20" s="1"/>
  <c r="D345" i="20" a="1"/>
  <c r="D345" i="20" s="1"/>
  <c r="F345" i="20" a="1"/>
  <c r="F345" i="20" s="1"/>
  <c r="B345" i="20"/>
  <c r="H345" i="20" a="1"/>
  <c r="H345" i="20" s="1"/>
  <c r="J345" i="20" a="1"/>
  <c r="J345" i="20" s="1"/>
  <c r="L345" i="20" a="1"/>
  <c r="L345" i="20" s="1"/>
  <c r="D346" i="20" a="1"/>
  <c r="D346" i="20" s="1"/>
  <c r="F346" i="20" a="1"/>
  <c r="F346" i="20" s="1"/>
  <c r="B346" i="20"/>
  <c r="H346" i="20" a="1"/>
  <c r="H346" i="20" s="1"/>
  <c r="J346" i="20" a="1"/>
  <c r="J346" i="20" s="1"/>
  <c r="L346" i="20" a="1"/>
  <c r="L346" i="20" s="1"/>
  <c r="D347" i="20" a="1"/>
  <c r="D347" i="20" s="1"/>
  <c r="F347" i="20" a="1"/>
  <c r="F347" i="20" s="1"/>
  <c r="B347" i="20"/>
  <c r="H347" i="20" a="1"/>
  <c r="H347" i="20" s="1"/>
  <c r="J347" i="20" a="1"/>
  <c r="J347" i="20" s="1"/>
  <c r="L347" i="20" a="1"/>
  <c r="L347" i="20" s="1"/>
  <c r="D348" i="20" a="1"/>
  <c r="D348" i="20" s="1"/>
  <c r="B348" i="20"/>
  <c r="F348" i="20" a="1"/>
  <c r="F348" i="20" s="1"/>
  <c r="H348" i="20" a="1"/>
  <c r="H348" i="20" s="1"/>
  <c r="J348" i="20" a="1"/>
  <c r="J348" i="20" s="1"/>
  <c r="L348" i="20" a="1"/>
  <c r="L348" i="20" s="1"/>
  <c r="D349" i="20" a="1"/>
  <c r="D349" i="20" s="1"/>
  <c r="B349" i="20"/>
  <c r="F349" i="20" a="1"/>
  <c r="F349" i="20" s="1"/>
  <c r="H349" i="20" a="1"/>
  <c r="H349" i="20" s="1"/>
  <c r="J349" i="20" a="1"/>
  <c r="J349" i="20" s="1"/>
  <c r="L349" i="20" a="1"/>
  <c r="L349" i="20" s="1"/>
  <c r="D350" i="20" a="1"/>
  <c r="D350" i="20" s="1"/>
  <c r="F350" i="20" a="1"/>
  <c r="F350" i="20" s="1"/>
  <c r="B350" i="20"/>
  <c r="H350" i="20" a="1"/>
  <c r="H350" i="20" s="1"/>
  <c r="J350" i="20" a="1"/>
  <c r="J350" i="20" s="1"/>
  <c r="L350" i="20" a="1"/>
  <c r="L350" i="20" s="1"/>
  <c r="D351" i="20" a="1"/>
  <c r="D351" i="20" s="1"/>
  <c r="F351" i="20" a="1"/>
  <c r="F351" i="20" s="1"/>
  <c r="B351" i="20"/>
  <c r="H351" i="20" a="1"/>
  <c r="H351" i="20" s="1"/>
  <c r="J351" i="20" a="1"/>
  <c r="J351" i="20" s="1"/>
  <c r="L351" i="20" a="1"/>
  <c r="L351" i="20" s="1"/>
  <c r="D352" i="20" a="1"/>
  <c r="D352" i="20" s="1"/>
  <c r="F352" i="20" a="1"/>
  <c r="F352" i="20" s="1"/>
  <c r="B352" i="20"/>
  <c r="H352" i="20" a="1"/>
  <c r="H352" i="20" s="1"/>
  <c r="J352" i="20" a="1"/>
  <c r="J352" i="20" s="1"/>
  <c r="L352" i="20" a="1"/>
  <c r="L352" i="20" s="1"/>
  <c r="D353" i="20" a="1"/>
  <c r="D353" i="20" s="1"/>
  <c r="F353" i="20" a="1"/>
  <c r="F353" i="20" s="1"/>
  <c r="B353" i="20"/>
  <c r="H353" i="20" a="1"/>
  <c r="H353" i="20" s="1"/>
  <c r="J353" i="20" a="1"/>
  <c r="J353" i="20" s="1"/>
  <c r="L353" i="20" a="1"/>
  <c r="L353" i="20" s="1"/>
  <c r="D354" i="20" a="1"/>
  <c r="D354" i="20" s="1"/>
  <c r="F354" i="20" a="1"/>
  <c r="F354" i="20" s="1"/>
  <c r="B354" i="20"/>
  <c r="H354" i="20" a="1"/>
  <c r="H354" i="20" s="1"/>
  <c r="J354" i="20" a="1"/>
  <c r="J354" i="20" s="1"/>
  <c r="L354" i="20" a="1"/>
  <c r="L354" i="20" s="1"/>
  <c r="D355" i="20" a="1"/>
  <c r="D355" i="20" s="1"/>
  <c r="B355" i="20"/>
  <c r="F355" i="20" a="1"/>
  <c r="F355" i="20" s="1"/>
  <c r="H355" i="20" a="1"/>
  <c r="H355" i="20" s="1"/>
  <c r="J355" i="20" a="1"/>
  <c r="J355" i="20" s="1"/>
  <c r="L355" i="20" a="1"/>
  <c r="L355" i="20" s="1"/>
  <c r="D356" i="20" a="1"/>
  <c r="D356" i="20" s="1"/>
  <c r="B356" i="20"/>
  <c r="F356" i="20" a="1"/>
  <c r="F356" i="20" s="1"/>
  <c r="H356" i="20" a="1"/>
  <c r="H356" i="20" s="1"/>
  <c r="J356" i="20" a="1"/>
  <c r="J356" i="20" s="1"/>
  <c r="L356" i="20" a="1"/>
  <c r="L356" i="20" s="1"/>
  <c r="D357" i="20" a="1"/>
  <c r="D357" i="20" s="1"/>
  <c r="B357" i="20"/>
  <c r="F357" i="20" a="1"/>
  <c r="F357" i="20" s="1"/>
  <c r="H357" i="20" a="1"/>
  <c r="H357" i="20" s="1"/>
  <c r="J357" i="20" a="1"/>
  <c r="J357" i="20" s="1"/>
  <c r="L357" i="20" a="1"/>
  <c r="L357" i="20" s="1"/>
  <c r="D358" i="20" a="1"/>
  <c r="D358" i="20" s="1"/>
  <c r="B358" i="20"/>
  <c r="F358" i="20" a="1"/>
  <c r="F358" i="20" s="1"/>
  <c r="H358" i="20" a="1"/>
  <c r="H358" i="20" s="1"/>
  <c r="J358" i="20" a="1"/>
  <c r="J358" i="20" s="1"/>
  <c r="L358" i="20" a="1"/>
  <c r="L358" i="20" s="1"/>
  <c r="D359" i="20" a="1"/>
  <c r="D359" i="20" s="1"/>
  <c r="F359" i="20" a="1"/>
  <c r="F359" i="20" s="1"/>
  <c r="B359" i="20"/>
  <c r="H359" i="20" a="1"/>
  <c r="H359" i="20" s="1"/>
  <c r="J359" i="20" a="1"/>
  <c r="J359" i="20" s="1"/>
  <c r="L359" i="20" a="1"/>
  <c r="L359" i="20" s="1"/>
  <c r="D360" i="20" a="1"/>
  <c r="D360" i="20" s="1"/>
  <c r="F360" i="20" a="1"/>
  <c r="F360" i="20" s="1"/>
  <c r="B360" i="20"/>
  <c r="H360" i="20" a="1"/>
  <c r="H360" i="20" s="1"/>
  <c r="J360" i="20" a="1"/>
  <c r="J360" i="20" s="1"/>
  <c r="L360" i="20" a="1"/>
  <c r="L360" i="20" s="1"/>
  <c r="D361" i="20" a="1"/>
  <c r="D361" i="20" s="1"/>
  <c r="F361" i="20" a="1"/>
  <c r="F361" i="20" s="1"/>
  <c r="B361" i="20"/>
  <c r="H361" i="20" a="1"/>
  <c r="H361" i="20" s="1"/>
  <c r="J361" i="20" a="1"/>
  <c r="J361" i="20" s="1"/>
  <c r="L361" i="20" a="1"/>
  <c r="L361" i="20" s="1"/>
  <c r="D362" i="20" a="1"/>
  <c r="D362" i="20" s="1"/>
  <c r="F362" i="20" a="1"/>
  <c r="F362" i="20" s="1"/>
  <c r="B362" i="20"/>
  <c r="H362" i="20" a="1"/>
  <c r="H362" i="20" s="1"/>
  <c r="J362" i="20" a="1"/>
  <c r="J362" i="20" s="1"/>
  <c r="L362" i="20" a="1"/>
  <c r="L362" i="20" s="1"/>
  <c r="D363" i="20" a="1"/>
  <c r="D363" i="20" s="1"/>
  <c r="F363" i="20" a="1"/>
  <c r="F363" i="20" s="1"/>
  <c r="B363" i="20"/>
  <c r="H363" i="20" a="1"/>
  <c r="H363" i="20" s="1"/>
  <c r="J363" i="20" a="1"/>
  <c r="J363" i="20" s="1"/>
  <c r="L363" i="20" a="1"/>
  <c r="L363" i="20" s="1"/>
  <c r="D364" i="20" a="1"/>
  <c r="D364" i="20" s="1"/>
  <c r="F364" i="20" a="1"/>
  <c r="F364" i="20" s="1"/>
  <c r="B364" i="20"/>
  <c r="H364" i="20" a="1"/>
  <c r="H364" i="20" s="1"/>
  <c r="J364" i="20" a="1"/>
  <c r="J364" i="20" s="1"/>
  <c r="L364" i="20" a="1"/>
  <c r="L364" i="20" s="1"/>
  <c r="D365" i="20" a="1"/>
  <c r="D365" i="20" s="1"/>
  <c r="F365" i="20" a="1"/>
  <c r="F365" i="20" s="1"/>
  <c r="B365" i="20"/>
  <c r="H365" i="20" a="1"/>
  <c r="H365" i="20" s="1"/>
  <c r="J365" i="20" a="1"/>
  <c r="J365" i="20" s="1"/>
  <c r="L365" i="20" a="1"/>
  <c r="L365" i="20" s="1"/>
  <c r="D366" i="20" a="1"/>
  <c r="D366" i="20" s="1"/>
  <c r="B366" i="20"/>
  <c r="F366" i="20" a="1"/>
  <c r="F366" i="20" s="1"/>
  <c r="H366" i="20" a="1"/>
  <c r="H366" i="20" s="1"/>
  <c r="J366" i="20" a="1"/>
  <c r="J366" i="20" s="1"/>
  <c r="L366" i="20" a="1"/>
  <c r="L366" i="20" s="1"/>
  <c r="D367" i="20" a="1"/>
  <c r="D367" i="20" s="1"/>
  <c r="B367" i="20"/>
  <c r="F367" i="20" a="1"/>
  <c r="F367" i="20" s="1"/>
  <c r="H367" i="20" a="1"/>
  <c r="H367" i="20" s="1"/>
  <c r="J367" i="20" a="1"/>
  <c r="J367" i="20" s="1"/>
  <c r="L367" i="20" a="1"/>
  <c r="L367" i="20" s="1"/>
  <c r="D368" i="20" a="1"/>
  <c r="D368" i="20" s="1"/>
  <c r="B368" i="20"/>
  <c r="F368" i="20" a="1"/>
  <c r="F368" i="20" s="1"/>
  <c r="H368" i="20" a="1"/>
  <c r="H368" i="20" s="1"/>
  <c r="J368" i="20" a="1"/>
  <c r="J368" i="20" s="1"/>
  <c r="L368" i="20" a="1"/>
  <c r="L368" i="20" s="1"/>
  <c r="D369" i="20" a="1"/>
  <c r="D369" i="20" s="1"/>
  <c r="B369" i="20"/>
  <c r="F369" i="20" a="1"/>
  <c r="F369" i="20" s="1"/>
  <c r="H369" i="20" a="1"/>
  <c r="H369" i="20" s="1"/>
  <c r="J369" i="20" a="1"/>
  <c r="J369" i="20" s="1"/>
  <c r="L369" i="20" a="1"/>
  <c r="L369" i="20" s="1"/>
  <c r="D370" i="20" a="1"/>
  <c r="D370" i="20" s="1"/>
  <c r="B370" i="20"/>
  <c r="F370" i="20" a="1"/>
  <c r="F370" i="20" s="1"/>
  <c r="H370" i="20" a="1"/>
  <c r="H370" i="20" s="1"/>
  <c r="J370" i="20" a="1"/>
  <c r="J370" i="20" s="1"/>
  <c r="L370" i="20" a="1"/>
  <c r="L370" i="20" s="1"/>
  <c r="D371" i="20" a="1"/>
  <c r="D371" i="20" s="1"/>
  <c r="B371" i="20"/>
  <c r="F371" i="20" a="1"/>
  <c r="F371" i="20" s="1"/>
  <c r="H371" i="20" a="1"/>
  <c r="H371" i="20" s="1"/>
  <c r="J371" i="20" a="1"/>
  <c r="J371" i="20" s="1"/>
  <c r="L371" i="20" a="1"/>
  <c r="L371" i="20" s="1"/>
  <c r="D372" i="20" a="1"/>
  <c r="D372" i="20" s="1"/>
  <c r="F372" i="20" a="1"/>
  <c r="F372" i="20" s="1"/>
  <c r="B372" i="20"/>
  <c r="H372" i="20" a="1"/>
  <c r="H372" i="20" s="1"/>
  <c r="J372" i="20" a="1"/>
  <c r="J372" i="20" s="1"/>
  <c r="L372" i="20" a="1"/>
  <c r="L372" i="20" s="1"/>
  <c r="D373" i="20" a="1"/>
  <c r="D373" i="20" s="1"/>
  <c r="F373" i="20" a="1"/>
  <c r="F373" i="20" s="1"/>
  <c r="B373" i="20"/>
  <c r="H373" i="20" a="1"/>
  <c r="H373" i="20" s="1"/>
  <c r="J373" i="20" a="1"/>
  <c r="J373" i="20" s="1"/>
  <c r="L373" i="20" a="1"/>
  <c r="L373" i="20" s="1"/>
  <c r="D374" i="20" a="1"/>
  <c r="D374" i="20" s="1"/>
  <c r="F374" i="20" a="1"/>
  <c r="F374" i="20" s="1"/>
  <c r="B374" i="20"/>
  <c r="H374" i="20" a="1"/>
  <c r="H374" i="20" s="1"/>
  <c r="J374" i="20" a="1"/>
  <c r="J374" i="20" s="1"/>
  <c r="L374" i="20" a="1"/>
  <c r="L374" i="20" s="1"/>
  <c r="D375" i="20" a="1"/>
  <c r="D375" i="20" s="1"/>
  <c r="F375" i="20" a="1"/>
  <c r="F375" i="20" s="1"/>
  <c r="B375" i="20"/>
  <c r="H375" i="20" a="1"/>
  <c r="H375" i="20" s="1"/>
  <c r="J375" i="20" a="1"/>
  <c r="J375" i="20" s="1"/>
  <c r="L375" i="20" a="1"/>
  <c r="L375" i="20" s="1"/>
  <c r="D376" i="20" a="1"/>
  <c r="D376" i="20" s="1"/>
  <c r="B376" i="20"/>
  <c r="F376" i="20" a="1"/>
  <c r="F376" i="20" s="1"/>
  <c r="H376" i="20" a="1"/>
  <c r="H376" i="20" s="1"/>
  <c r="J376" i="20" a="1"/>
  <c r="J376" i="20" s="1"/>
  <c r="L376" i="20" a="1"/>
  <c r="L376" i="20" s="1"/>
  <c r="D377" i="20" a="1"/>
  <c r="D377" i="20" s="1"/>
  <c r="B377" i="20"/>
  <c r="F377" i="20" a="1"/>
  <c r="F377" i="20" s="1"/>
  <c r="H377" i="20" a="1"/>
  <c r="H377" i="20" s="1"/>
  <c r="J377" i="20" a="1"/>
  <c r="J377" i="20" s="1"/>
  <c r="L377" i="20" a="1"/>
  <c r="L377" i="20" s="1"/>
  <c r="D378" i="20" a="1"/>
  <c r="D378" i="20" s="1"/>
  <c r="B378" i="20"/>
  <c r="F378" i="20" a="1"/>
  <c r="F378" i="20" s="1"/>
  <c r="H378" i="20" a="1"/>
  <c r="H378" i="20" s="1"/>
  <c r="J378" i="20" a="1"/>
  <c r="J378" i="20" s="1"/>
  <c r="L378" i="20" a="1"/>
  <c r="L378" i="20" s="1"/>
  <c r="D379" i="20" a="1"/>
  <c r="D379" i="20" s="1"/>
  <c r="F379" i="20" a="1"/>
  <c r="F379" i="20" s="1"/>
  <c r="B379" i="20"/>
  <c r="H379" i="20" a="1"/>
  <c r="H379" i="20" s="1"/>
  <c r="J379" i="20" a="1"/>
  <c r="J379" i="20" s="1"/>
  <c r="L379" i="20" a="1"/>
  <c r="L379" i="20" s="1"/>
  <c r="D380" i="20" a="1"/>
  <c r="D380" i="20" s="1"/>
  <c r="F380" i="20" a="1"/>
  <c r="F380" i="20" s="1"/>
  <c r="B380" i="20"/>
  <c r="H380" i="20" a="1"/>
  <c r="H380" i="20" s="1"/>
  <c r="J380" i="20" a="1"/>
  <c r="J380" i="20" s="1"/>
  <c r="L380" i="20" a="1"/>
  <c r="L380" i="20" s="1"/>
  <c r="D381" i="20" a="1"/>
  <c r="D381" i="20" s="1"/>
  <c r="F381" i="20" a="1"/>
  <c r="F381" i="20" s="1"/>
  <c r="B381" i="20"/>
  <c r="H381" i="20" a="1"/>
  <c r="H381" i="20" s="1"/>
  <c r="J381" i="20" a="1"/>
  <c r="J381" i="20" s="1"/>
  <c r="L381" i="20" a="1"/>
  <c r="L381" i="20" s="1"/>
  <c r="D382" i="20" a="1"/>
  <c r="D382" i="20" s="1"/>
  <c r="F382" i="20" a="1"/>
  <c r="F382" i="20" s="1"/>
  <c r="B382" i="20"/>
  <c r="H382" i="20" a="1"/>
  <c r="H382" i="20" s="1"/>
  <c r="J382" i="20" a="1"/>
  <c r="J382" i="20" s="1"/>
  <c r="L382" i="20" a="1"/>
  <c r="L382" i="20" s="1"/>
  <c r="D383" i="20" a="1"/>
  <c r="D383" i="20" s="1"/>
  <c r="B383" i="20"/>
  <c r="F383" i="20" a="1"/>
  <c r="F383" i="20" s="1"/>
  <c r="H383" i="20" a="1"/>
  <c r="H383" i="20" s="1"/>
  <c r="J383" i="20" a="1"/>
  <c r="J383" i="20" s="1"/>
  <c r="L383" i="20" a="1"/>
  <c r="L383" i="20" s="1"/>
  <c r="D384" i="20" a="1"/>
  <c r="D384" i="20" s="1"/>
  <c r="B384" i="20"/>
  <c r="F384" i="20" a="1"/>
  <c r="F384" i="20" s="1"/>
  <c r="H384" i="20" a="1"/>
  <c r="H384" i="20" s="1"/>
  <c r="J384" i="20" a="1"/>
  <c r="J384" i="20" s="1"/>
  <c r="L384" i="20" a="1"/>
  <c r="L384" i="20" s="1"/>
  <c r="D385" i="20" a="1"/>
  <c r="D385" i="20" s="1"/>
  <c r="B385" i="20"/>
  <c r="F385" i="20" a="1"/>
  <c r="F385" i="20" s="1"/>
  <c r="H385" i="20" a="1"/>
  <c r="H385" i="20" s="1"/>
  <c r="J385" i="20" a="1"/>
  <c r="J385" i="20" s="1"/>
  <c r="L385" i="20" a="1"/>
  <c r="L385" i="20" s="1"/>
  <c r="D386" i="20" a="1"/>
  <c r="D386" i="20" s="1"/>
  <c r="F386" i="20" a="1"/>
  <c r="F386" i="20" s="1"/>
  <c r="B386" i="20"/>
  <c r="H386" i="20" a="1"/>
  <c r="H386" i="20" s="1"/>
  <c r="J386" i="20" a="1"/>
  <c r="J386" i="20" s="1"/>
  <c r="L386" i="20" a="1"/>
  <c r="L386" i="20" s="1"/>
  <c r="D387" i="20" a="1"/>
  <c r="D387" i="20" s="1"/>
  <c r="B387" i="20"/>
  <c r="F387" i="20" a="1"/>
  <c r="F387" i="20" s="1"/>
  <c r="H387" i="20" a="1"/>
  <c r="H387" i="20" s="1"/>
  <c r="J387" i="20" a="1"/>
  <c r="J387" i="20" s="1"/>
  <c r="L387" i="20" a="1"/>
  <c r="L387" i="20" s="1"/>
  <c r="D388" i="20" a="1"/>
  <c r="D388" i="20" s="1"/>
  <c r="B388" i="20"/>
  <c r="F388" i="20" a="1"/>
  <c r="F388" i="20" s="1"/>
  <c r="H388" i="20" a="1"/>
  <c r="H388" i="20" s="1"/>
  <c r="J388" i="20" a="1"/>
  <c r="J388" i="20" s="1"/>
  <c r="L388" i="20" a="1"/>
  <c r="L388" i="20" s="1"/>
  <c r="D389" i="20" a="1"/>
  <c r="D389" i="20" s="1"/>
  <c r="B389" i="20"/>
  <c r="F389" i="20" a="1"/>
  <c r="F389" i="20" s="1"/>
  <c r="H389" i="20" a="1"/>
  <c r="H389" i="20" s="1"/>
  <c r="J389" i="20" a="1"/>
  <c r="J389" i="20" s="1"/>
  <c r="L389" i="20" a="1"/>
  <c r="L389" i="20" s="1"/>
  <c r="D390" i="20" a="1"/>
  <c r="D390" i="20" s="1"/>
  <c r="B390" i="20"/>
  <c r="F390" i="20" a="1"/>
  <c r="F390" i="20" s="1"/>
  <c r="H390" i="20" a="1"/>
  <c r="H390" i="20" s="1"/>
  <c r="J390" i="20" a="1"/>
  <c r="J390" i="20" s="1"/>
  <c r="L390" i="20" a="1"/>
  <c r="L390" i="20" s="1"/>
  <c r="D391" i="20" a="1"/>
  <c r="D391" i="20" s="1"/>
  <c r="F391" i="20" a="1"/>
  <c r="F391" i="20" s="1"/>
  <c r="B391" i="20"/>
  <c r="H391" i="20" a="1"/>
  <c r="H391" i="20" s="1"/>
  <c r="J391" i="20" a="1"/>
  <c r="J391" i="20" s="1"/>
  <c r="L391" i="20" a="1"/>
  <c r="L391" i="20" s="1"/>
  <c r="D392" i="20" a="1"/>
  <c r="D392" i="20" s="1"/>
  <c r="F392" i="20" a="1"/>
  <c r="F392" i="20" s="1"/>
  <c r="B392" i="20"/>
  <c r="H392" i="20" a="1"/>
  <c r="H392" i="20" s="1"/>
  <c r="J392" i="20" a="1"/>
  <c r="J392" i="20" s="1"/>
  <c r="L392" i="20" a="1"/>
  <c r="L392" i="20" s="1"/>
  <c r="D393" i="20" a="1"/>
  <c r="D393" i="20" s="1"/>
  <c r="F393" i="20" a="1"/>
  <c r="F393" i="20" s="1"/>
  <c r="B393" i="20"/>
  <c r="H393" i="20" a="1"/>
  <c r="H393" i="20" s="1"/>
  <c r="J393" i="20" a="1"/>
  <c r="J393" i="20" s="1"/>
  <c r="L393" i="20" a="1"/>
  <c r="L393" i="20" s="1"/>
  <c r="D394" i="20" a="1"/>
  <c r="D394" i="20" s="1"/>
  <c r="B394" i="20"/>
  <c r="F394" i="20" a="1"/>
  <c r="F394" i="20" s="1"/>
  <c r="H394" i="20" a="1"/>
  <c r="H394" i="20" s="1"/>
  <c r="J394" i="20" a="1"/>
  <c r="J394" i="20" s="1"/>
  <c r="L394" i="20" a="1"/>
  <c r="L394" i="20" s="1"/>
  <c r="D395" i="20" a="1"/>
  <c r="D395" i="20" s="1"/>
  <c r="B395" i="20"/>
  <c r="F395" i="20" a="1"/>
  <c r="F395" i="20" s="1"/>
  <c r="H395" i="20" a="1"/>
  <c r="H395" i="20" s="1"/>
  <c r="J395" i="20" a="1"/>
  <c r="J395" i="20" s="1"/>
  <c r="L395" i="20" a="1"/>
  <c r="L395" i="20" s="1"/>
  <c r="D396" i="20" a="1"/>
  <c r="D396" i="20" s="1"/>
  <c r="B396" i="20"/>
  <c r="F396" i="20" a="1"/>
  <c r="F396" i="20" s="1"/>
  <c r="H396" i="20" a="1"/>
  <c r="H396" i="20" s="1"/>
  <c r="J396" i="20" a="1"/>
  <c r="J396" i="20" s="1"/>
  <c r="L396" i="20" a="1"/>
  <c r="L396" i="20" s="1"/>
  <c r="D397" i="20" a="1"/>
  <c r="D397" i="20" s="1"/>
  <c r="B397" i="20"/>
  <c r="F397" i="20" a="1"/>
  <c r="F397" i="20" s="1"/>
  <c r="H397" i="20" a="1"/>
  <c r="H397" i="20" s="1"/>
  <c r="J397" i="20" a="1"/>
  <c r="J397" i="20" s="1"/>
  <c r="L397" i="20" a="1"/>
  <c r="L397" i="20" s="1"/>
  <c r="D398" i="20" a="1"/>
  <c r="D398" i="20" s="1"/>
  <c r="B398" i="20"/>
  <c r="F398" i="20" a="1"/>
  <c r="F398" i="20" s="1"/>
  <c r="H398" i="20" a="1"/>
  <c r="H398" i="20" s="1"/>
  <c r="J398" i="20" a="1"/>
  <c r="J398" i="20" s="1"/>
  <c r="L398" i="20" a="1"/>
  <c r="L398" i="20" s="1"/>
  <c r="D399" i="20" a="1"/>
  <c r="D399" i="20" s="1"/>
  <c r="F399" i="20" a="1"/>
  <c r="F399" i="20" s="1"/>
  <c r="B399" i="20"/>
  <c r="H399" i="20" a="1"/>
  <c r="H399" i="20" s="1"/>
  <c r="J399" i="20" a="1"/>
  <c r="J399" i="20" s="1"/>
  <c r="L399" i="20" a="1"/>
  <c r="L399" i="20" s="1"/>
  <c r="D400" i="20" a="1"/>
  <c r="D400" i="20" s="1"/>
  <c r="B400" i="20"/>
  <c r="F400" i="20" a="1"/>
  <c r="F400" i="20" s="1"/>
  <c r="H400" i="20" a="1"/>
  <c r="H400" i="20" s="1"/>
  <c r="J400" i="20" a="1"/>
  <c r="J400" i="20" s="1"/>
  <c r="L400" i="20" a="1"/>
  <c r="L400" i="20" s="1"/>
  <c r="D401" i="20" a="1"/>
  <c r="D401" i="20" s="1"/>
  <c r="B401" i="20"/>
  <c r="F401" i="20" a="1"/>
  <c r="F401" i="20" s="1"/>
  <c r="H401" i="20" a="1"/>
  <c r="H401" i="20" s="1"/>
  <c r="J401" i="20" a="1"/>
  <c r="J401" i="20" s="1"/>
  <c r="L401" i="20" a="1"/>
  <c r="L401" i="20" s="1"/>
  <c r="D402" i="20" a="1"/>
  <c r="D402" i="20" s="1"/>
  <c r="F402" i="20" a="1"/>
  <c r="F402" i="20" s="1"/>
  <c r="B402" i="20"/>
  <c r="H402" i="20" a="1"/>
  <c r="H402" i="20" s="1"/>
  <c r="J402" i="20" a="1"/>
  <c r="J402" i="20" s="1"/>
  <c r="L402" i="20" a="1"/>
  <c r="L402" i="20" s="1"/>
  <c r="D403" i="20" a="1"/>
  <c r="D403" i="20" s="1"/>
  <c r="F403" i="20" a="1"/>
  <c r="F403" i="20" s="1"/>
  <c r="B403" i="20"/>
  <c r="H403" i="20" a="1"/>
  <c r="H403" i="20" s="1"/>
  <c r="J403" i="20" a="1"/>
  <c r="J403" i="20" s="1"/>
  <c r="L403" i="20" a="1"/>
  <c r="L403" i="20" s="1"/>
  <c r="D404" i="20" a="1"/>
  <c r="D404" i="20" s="1"/>
  <c r="F404" i="20" a="1"/>
  <c r="F404" i="20" s="1"/>
  <c r="B404" i="20"/>
  <c r="H404" i="20" a="1"/>
  <c r="H404" i="20" s="1"/>
  <c r="J404" i="20" a="1"/>
  <c r="J404" i="20" s="1"/>
  <c r="L404" i="20" a="1"/>
  <c r="L404" i="20" s="1"/>
  <c r="D405" i="20" a="1"/>
  <c r="D405" i="20" s="1"/>
  <c r="F405" i="20" a="1"/>
  <c r="F405" i="20" s="1"/>
  <c r="B405" i="20"/>
  <c r="H405" i="20" a="1"/>
  <c r="H405" i="20" s="1"/>
  <c r="J405" i="20" a="1"/>
  <c r="J405" i="20" s="1"/>
  <c r="L405" i="20" a="1"/>
  <c r="L405" i="20" s="1"/>
  <c r="D406" i="20" a="1"/>
  <c r="D406" i="20" s="1"/>
  <c r="B406" i="20"/>
  <c r="F406" i="20" a="1"/>
  <c r="F406" i="20" s="1"/>
  <c r="H406" i="20" a="1"/>
  <c r="H406" i="20" s="1"/>
  <c r="J406" i="20" a="1"/>
  <c r="J406" i="20" s="1"/>
  <c r="L406" i="20" a="1"/>
  <c r="L406" i="20" s="1"/>
  <c r="D407" i="20" a="1"/>
  <c r="D407" i="20" s="1"/>
  <c r="B407" i="20"/>
  <c r="F407" i="20" a="1"/>
  <c r="F407" i="20" s="1"/>
  <c r="H407" i="20" a="1"/>
  <c r="H407" i="20" s="1"/>
  <c r="J407" i="20" a="1"/>
  <c r="J407" i="20" s="1"/>
  <c r="L407" i="20" a="1"/>
  <c r="L407" i="20" s="1"/>
  <c r="D408" i="20" a="1"/>
  <c r="D408" i="20" s="1"/>
  <c r="B408" i="20"/>
  <c r="F408" i="20" a="1"/>
  <c r="F408" i="20" s="1"/>
  <c r="H408" i="20" a="1"/>
  <c r="H408" i="20" s="1"/>
  <c r="J408" i="20" a="1"/>
  <c r="J408" i="20" s="1"/>
  <c r="L408" i="20" a="1"/>
  <c r="L408" i="20" s="1"/>
  <c r="D409" i="20" a="1"/>
  <c r="D409" i="20" s="1"/>
  <c r="F409" i="20" a="1"/>
  <c r="F409" i="20" s="1"/>
  <c r="B409" i="20"/>
  <c r="H409" i="20" a="1"/>
  <c r="H409" i="20" s="1"/>
  <c r="J409" i="20" a="1"/>
  <c r="J409" i="20" s="1"/>
  <c r="L409" i="20" a="1"/>
  <c r="L409" i="20" s="1"/>
  <c r="D410" i="20" a="1"/>
  <c r="D410" i="20" s="1"/>
  <c r="F410" i="20" a="1"/>
  <c r="F410" i="20" s="1"/>
  <c r="B410" i="20"/>
  <c r="H410" i="20" a="1"/>
  <c r="H410" i="20" s="1"/>
  <c r="J410" i="20" a="1"/>
  <c r="J410" i="20" s="1"/>
  <c r="L410" i="20" a="1"/>
  <c r="L410" i="20" s="1"/>
  <c r="D411" i="20" a="1"/>
  <c r="D411" i="20" s="1"/>
  <c r="B411" i="20"/>
  <c r="F411" i="20" a="1"/>
  <c r="F411" i="20" s="1"/>
  <c r="H411" i="20" a="1"/>
  <c r="H411" i="20" s="1"/>
  <c r="J411" i="20" a="1"/>
  <c r="J411" i="20" s="1"/>
  <c r="L411" i="20" a="1"/>
  <c r="L411" i="20" s="1"/>
  <c r="D412" i="20" a="1"/>
  <c r="D412" i="20" s="1"/>
  <c r="B412" i="20"/>
  <c r="F412" i="20" a="1"/>
  <c r="F412" i="20" s="1"/>
  <c r="H412" i="20" a="1"/>
  <c r="H412" i="20" s="1"/>
  <c r="J412" i="20" a="1"/>
  <c r="J412" i="20" s="1"/>
  <c r="L412" i="20" a="1"/>
  <c r="L412" i="20" s="1"/>
  <c r="D413" i="20" a="1"/>
  <c r="D413" i="20" s="1"/>
  <c r="B413" i="20"/>
  <c r="F413" i="20" a="1"/>
  <c r="F413" i="20" s="1"/>
  <c r="H413" i="20" a="1"/>
  <c r="H413" i="20" s="1"/>
  <c r="J413" i="20" a="1"/>
  <c r="J413" i="20" s="1"/>
  <c r="L413" i="20" a="1"/>
  <c r="L413" i="20" s="1"/>
  <c r="D414" i="20" a="1"/>
  <c r="D414" i="20" s="1"/>
  <c r="B414" i="20"/>
  <c r="F414" i="20" a="1"/>
  <c r="F414" i="20" s="1"/>
  <c r="H414" i="20" a="1"/>
  <c r="H414" i="20" s="1"/>
  <c r="J414" i="20" a="1"/>
  <c r="J414" i="20" s="1"/>
  <c r="L414" i="20" a="1"/>
  <c r="L414" i="20" s="1"/>
  <c r="D415" i="20" a="1"/>
  <c r="D415" i="20" s="1"/>
  <c r="F415" i="20" a="1"/>
  <c r="F415" i="20" s="1"/>
  <c r="B415" i="20"/>
  <c r="H415" i="20" a="1"/>
  <c r="H415" i="20" s="1"/>
  <c r="J415" i="20" a="1"/>
  <c r="J415" i="20" s="1"/>
  <c r="L415" i="20" a="1"/>
  <c r="L415" i="20" s="1"/>
  <c r="D416" i="20" a="1"/>
  <c r="D416" i="20" s="1"/>
  <c r="F416" i="20" a="1"/>
  <c r="F416" i="20" s="1"/>
  <c r="B416" i="20"/>
  <c r="H416" i="20" a="1"/>
  <c r="H416" i="20" s="1"/>
  <c r="J416" i="20" a="1"/>
  <c r="J416" i="20" s="1"/>
  <c r="L416" i="20" a="1"/>
  <c r="L416" i="20" s="1"/>
  <c r="D417" i="20" a="1"/>
  <c r="D417" i="20" s="1"/>
  <c r="F417" i="20" a="1"/>
  <c r="F417" i="20" s="1"/>
  <c r="B417" i="20"/>
  <c r="H417" i="20" a="1"/>
  <c r="H417" i="20" s="1"/>
  <c r="J417" i="20" a="1"/>
  <c r="J417" i="20" s="1"/>
  <c r="L417" i="20" a="1"/>
  <c r="L417" i="20" s="1"/>
  <c r="D418" i="20" a="1"/>
  <c r="D418" i="20" s="1"/>
  <c r="F418" i="20" a="1"/>
  <c r="F418" i="20" s="1"/>
  <c r="B418" i="20"/>
  <c r="H418" i="20" a="1"/>
  <c r="H418" i="20" s="1"/>
  <c r="J418" i="20" a="1"/>
  <c r="J418" i="20" s="1"/>
  <c r="L418" i="20" a="1"/>
  <c r="L418" i="20" s="1"/>
  <c r="D419" i="20" a="1"/>
  <c r="D419" i="20" s="1"/>
  <c r="F419" i="20" a="1"/>
  <c r="F419" i="20" s="1"/>
  <c r="B419" i="20"/>
  <c r="H419" i="20" a="1"/>
  <c r="H419" i="20" s="1"/>
  <c r="J419" i="20" a="1"/>
  <c r="J419" i="20" s="1"/>
  <c r="L419" i="20" a="1"/>
  <c r="L419" i="20" s="1"/>
  <c r="D420" i="20" a="1"/>
  <c r="D420" i="20" s="1"/>
  <c r="B420" i="20"/>
  <c r="F420" i="20" a="1"/>
  <c r="F420" i="20" s="1"/>
  <c r="H420" i="20" a="1"/>
  <c r="H420" i="20" s="1"/>
  <c r="J420" i="20" a="1"/>
  <c r="J420" i="20" s="1"/>
  <c r="L420" i="20" a="1"/>
  <c r="L420" i="20" s="1"/>
  <c r="D421" i="20" a="1"/>
  <c r="D421" i="20" s="1"/>
  <c r="B421" i="20"/>
  <c r="F421" i="20" a="1"/>
  <c r="F421" i="20" s="1"/>
  <c r="H421" i="20" a="1"/>
  <c r="H421" i="20" s="1"/>
  <c r="J421" i="20" a="1"/>
  <c r="J421" i="20" s="1"/>
  <c r="L421" i="20" a="1"/>
  <c r="L421" i="20" s="1"/>
  <c r="D422" i="20" a="1"/>
  <c r="D422" i="20" s="1"/>
  <c r="F422" i="20" a="1"/>
  <c r="F422" i="20" s="1"/>
  <c r="B422" i="20"/>
  <c r="H422" i="20" a="1"/>
  <c r="H422" i="20" s="1"/>
  <c r="J422" i="20" a="1"/>
  <c r="J422" i="20" s="1"/>
  <c r="L422" i="20" a="1"/>
  <c r="L422" i="20" s="1"/>
  <c r="D423" i="20" a="1"/>
  <c r="D423" i="20" s="1"/>
  <c r="F423" i="20" a="1"/>
  <c r="F423" i="20" s="1"/>
  <c r="B423" i="20"/>
  <c r="H423" i="20" a="1"/>
  <c r="H423" i="20" s="1"/>
  <c r="J423" i="20" a="1"/>
  <c r="J423" i="20" s="1"/>
  <c r="L423" i="20" a="1"/>
  <c r="L423" i="20" s="1"/>
  <c r="D424" i="20" a="1"/>
  <c r="D424" i="20" s="1"/>
  <c r="F424" i="20" a="1"/>
  <c r="F424" i="20" s="1"/>
  <c r="B424" i="20"/>
  <c r="H424" i="20" a="1"/>
  <c r="H424" i="20" s="1"/>
  <c r="J424" i="20" a="1"/>
  <c r="J424" i="20" s="1"/>
  <c r="L424" i="20" a="1"/>
  <c r="L424" i="20" s="1"/>
  <c r="D425" i="20" a="1"/>
  <c r="D425" i="20" s="1"/>
  <c r="F425" i="20" a="1"/>
  <c r="F425" i="20" s="1"/>
  <c r="B425" i="20"/>
  <c r="H425" i="20" a="1"/>
  <c r="H425" i="20" s="1"/>
  <c r="J425" i="20" a="1"/>
  <c r="J425" i="20" s="1"/>
  <c r="L425" i="20" a="1"/>
  <c r="L425" i="20" s="1"/>
  <c r="D426" i="20" a="1"/>
  <c r="D426" i="20" s="1"/>
  <c r="F426" i="20" a="1"/>
  <c r="F426" i="20" s="1"/>
  <c r="B426" i="20"/>
  <c r="H426" i="20" a="1"/>
  <c r="H426" i="20" s="1"/>
  <c r="J426" i="20" a="1"/>
  <c r="J426" i="20" s="1"/>
  <c r="L426" i="20" a="1"/>
  <c r="L426" i="20" s="1"/>
  <c r="D427" i="20" a="1"/>
  <c r="D427" i="20" s="1"/>
  <c r="B427" i="20"/>
  <c r="F427" i="20" a="1"/>
  <c r="F427" i="20" s="1"/>
  <c r="H427" i="20" a="1"/>
  <c r="H427" i="20" s="1"/>
  <c r="J427" i="20" a="1"/>
  <c r="J427" i="20" s="1"/>
  <c r="L427" i="20" a="1"/>
  <c r="L427" i="20" s="1"/>
  <c r="D428" i="20" a="1"/>
  <c r="D428" i="20" s="1"/>
  <c r="B428" i="20"/>
  <c r="F428" i="20" a="1"/>
  <c r="F428" i="20" s="1"/>
  <c r="H428" i="20" a="1"/>
  <c r="H428" i="20" s="1"/>
  <c r="J428" i="20" a="1"/>
  <c r="J428" i="20" s="1"/>
  <c r="L428" i="20" a="1"/>
  <c r="L428" i="20" s="1"/>
  <c r="D429" i="20" a="1"/>
  <c r="D429" i="20" s="1"/>
  <c r="B429" i="20"/>
  <c r="F429" i="20" a="1"/>
  <c r="F429" i="20" s="1"/>
  <c r="H429" i="20" a="1"/>
  <c r="H429" i="20" s="1"/>
  <c r="J429" i="20" a="1"/>
  <c r="J429" i="20" s="1"/>
  <c r="L429" i="20" a="1"/>
  <c r="L429" i="20" s="1"/>
  <c r="D430" i="20" a="1"/>
  <c r="D430" i="20" s="1"/>
  <c r="B430" i="20"/>
  <c r="F430" i="20" a="1"/>
  <c r="F430" i="20" s="1"/>
  <c r="H430" i="20" a="1"/>
  <c r="H430" i="20" s="1"/>
  <c r="J430" i="20" a="1"/>
  <c r="J430" i="20" s="1"/>
  <c r="L430" i="20" a="1"/>
  <c r="L430" i="20" s="1"/>
  <c r="D431" i="20" a="1"/>
  <c r="D431" i="20" s="1"/>
  <c r="F431" i="20" a="1"/>
  <c r="F431" i="20" s="1"/>
  <c r="B431" i="20"/>
  <c r="H431" i="20" a="1"/>
  <c r="H431" i="20" s="1"/>
  <c r="J431" i="20" a="1"/>
  <c r="J431" i="20" s="1"/>
  <c r="L431" i="20" a="1"/>
  <c r="L431" i="20" s="1"/>
  <c r="D432" i="20" a="1"/>
  <c r="D432" i="20" s="1"/>
  <c r="F432" i="20" a="1"/>
  <c r="F432" i="20" s="1"/>
  <c r="B432" i="20"/>
  <c r="H432" i="20" a="1"/>
  <c r="H432" i="20" s="1"/>
  <c r="J432" i="20" a="1"/>
  <c r="J432" i="20" s="1"/>
  <c r="L432" i="20" a="1"/>
  <c r="L432" i="20" s="1"/>
  <c r="D433" i="20" a="1"/>
  <c r="D433" i="20" s="1"/>
  <c r="F433" i="20" a="1"/>
  <c r="F433" i="20" s="1"/>
  <c r="B433" i="20"/>
  <c r="H433" i="20" a="1"/>
  <c r="H433" i="20" s="1"/>
  <c r="J433" i="20" a="1"/>
  <c r="J433" i="20" s="1"/>
  <c r="L433" i="20" a="1"/>
  <c r="L433" i="20" s="1"/>
  <c r="D434" i="20" a="1"/>
  <c r="D434" i="20" s="1"/>
  <c r="F434" i="20" a="1"/>
  <c r="F434" i="20" s="1"/>
  <c r="B434" i="20"/>
  <c r="H434" i="20" a="1"/>
  <c r="H434" i="20" s="1"/>
  <c r="J434" i="20" a="1"/>
  <c r="J434" i="20" s="1"/>
  <c r="L434" i="20" a="1"/>
  <c r="L434" i="20" s="1"/>
  <c r="D435" i="20" a="1"/>
  <c r="D435" i="20" s="1"/>
  <c r="B435" i="20"/>
  <c r="F435" i="20" a="1"/>
  <c r="F435" i="20" s="1"/>
  <c r="H435" i="20" a="1"/>
  <c r="H435" i="20" s="1"/>
  <c r="J435" i="20" a="1"/>
  <c r="J435" i="20" s="1"/>
  <c r="L435" i="20" a="1"/>
  <c r="L435" i="20" s="1"/>
  <c r="D436" i="20" a="1"/>
  <c r="D436" i="20" s="1"/>
  <c r="B436" i="20"/>
  <c r="F436" i="20" a="1"/>
  <c r="F436" i="20" s="1"/>
  <c r="H436" i="20" a="1"/>
  <c r="H436" i="20" s="1"/>
  <c r="J436" i="20" a="1"/>
  <c r="J436" i="20" s="1"/>
  <c r="L436" i="20" a="1"/>
  <c r="L436" i="20" s="1"/>
  <c r="D437" i="20" a="1"/>
  <c r="D437" i="20" s="1"/>
  <c r="B437" i="20"/>
  <c r="F437" i="20" a="1"/>
  <c r="F437" i="20" s="1"/>
  <c r="H437" i="20" a="1"/>
  <c r="H437" i="20" s="1"/>
  <c r="J437" i="20" a="1"/>
  <c r="J437" i="20" s="1"/>
  <c r="L437" i="20" a="1"/>
  <c r="L437" i="20" s="1"/>
  <c r="D438" i="20" a="1"/>
  <c r="D438" i="20" s="1"/>
  <c r="F438" i="20" a="1"/>
  <c r="F438" i="20" s="1"/>
  <c r="B438" i="20"/>
  <c r="H438" i="20" a="1"/>
  <c r="H438" i="20" s="1"/>
  <c r="J438" i="20" a="1"/>
  <c r="J438" i="20" s="1"/>
  <c r="L438" i="20" a="1"/>
  <c r="L438" i="20" s="1"/>
  <c r="D439" i="20" a="1"/>
  <c r="D439" i="20" s="1"/>
  <c r="F439" i="20" a="1"/>
  <c r="F439" i="20" s="1"/>
  <c r="B439" i="20"/>
  <c r="H439" i="20" a="1"/>
  <c r="H439" i="20" s="1"/>
  <c r="J439" i="20" a="1"/>
  <c r="J439" i="20" s="1"/>
  <c r="L439" i="20" a="1"/>
  <c r="L439" i="20" s="1"/>
  <c r="D440" i="20" a="1"/>
  <c r="D440" i="20" s="1"/>
  <c r="F440" i="20" a="1"/>
  <c r="F440" i="20" s="1"/>
  <c r="B440" i="20"/>
  <c r="H440" i="20" a="1"/>
  <c r="H440" i="20" s="1"/>
  <c r="J440" i="20" a="1"/>
  <c r="J440" i="20" s="1"/>
  <c r="L440" i="20" a="1"/>
  <c r="L440" i="20" s="1"/>
  <c r="D441" i="20" a="1"/>
  <c r="D441" i="20" s="1"/>
  <c r="F441" i="20" a="1"/>
  <c r="F441" i="20" s="1"/>
  <c r="B441" i="20"/>
  <c r="H441" i="20" a="1"/>
  <c r="H441" i="20" s="1"/>
  <c r="J441" i="20" a="1"/>
  <c r="J441" i="20" s="1"/>
  <c r="L441" i="20" a="1"/>
  <c r="L441" i="20" s="1"/>
  <c r="D442" i="20" a="1"/>
  <c r="D442" i="20" s="1"/>
  <c r="F442" i="20" a="1"/>
  <c r="F442" i="20" s="1"/>
  <c r="B442" i="20"/>
  <c r="H442" i="20" a="1"/>
  <c r="H442" i="20" s="1"/>
  <c r="J442" i="20" a="1"/>
  <c r="J442" i="20" s="1"/>
  <c r="L442" i="20" a="1"/>
  <c r="L442" i="20" s="1"/>
  <c r="D443" i="20" a="1"/>
  <c r="D443" i="20" s="1"/>
  <c r="B443" i="20"/>
  <c r="F443" i="20" a="1"/>
  <c r="F443" i="20" s="1"/>
  <c r="H443" i="20" a="1"/>
  <c r="H443" i="20" s="1"/>
  <c r="J443" i="20" a="1"/>
  <c r="J443" i="20" s="1"/>
  <c r="L443" i="20" a="1"/>
  <c r="L443" i="20" s="1"/>
  <c r="D444" i="20" a="1"/>
  <c r="D444" i="20" s="1"/>
  <c r="B444" i="20"/>
  <c r="F444" i="20" a="1"/>
  <c r="F444" i="20" s="1"/>
  <c r="H444" i="20" a="1"/>
  <c r="H444" i="20" s="1"/>
  <c r="J444" i="20" a="1"/>
  <c r="J444" i="20" s="1"/>
  <c r="L444" i="20" a="1"/>
  <c r="L444" i="20" s="1"/>
  <c r="D445" i="20" a="1"/>
  <c r="D445" i="20" s="1"/>
  <c r="B445" i="20"/>
  <c r="F445" i="20" a="1"/>
  <c r="F445" i="20" s="1"/>
  <c r="H445" i="20" a="1"/>
  <c r="H445" i="20" s="1"/>
  <c r="J445" i="20" a="1"/>
  <c r="J445" i="20" s="1"/>
  <c r="L445" i="20" a="1"/>
  <c r="L445" i="20" s="1"/>
  <c r="D446" i="20" a="1"/>
  <c r="D446" i="20" s="1"/>
  <c r="B446" i="20"/>
  <c r="F446" i="20" a="1"/>
  <c r="F446" i="20" s="1"/>
  <c r="H446" i="20" a="1"/>
  <c r="H446" i="20" s="1"/>
  <c r="J446" i="20" a="1"/>
  <c r="J446" i="20" s="1"/>
  <c r="L446" i="20" a="1"/>
  <c r="L446" i="20" s="1"/>
  <c r="D447" i="20" a="1"/>
  <c r="D447" i="20" s="1"/>
  <c r="F447" i="20" a="1"/>
  <c r="F447" i="20" s="1"/>
  <c r="B447" i="20"/>
  <c r="H447" i="20" a="1"/>
  <c r="H447" i="20" s="1"/>
  <c r="J447" i="20" a="1"/>
  <c r="J447" i="20" s="1"/>
  <c r="L447" i="20" a="1"/>
  <c r="L447" i="20" s="1"/>
  <c r="D448" i="20" a="1"/>
  <c r="D448" i="20" s="1"/>
  <c r="F448" i="20" a="1"/>
  <c r="F448" i="20" s="1"/>
  <c r="B448" i="20"/>
  <c r="H448" i="20" a="1"/>
  <c r="H448" i="20" s="1"/>
  <c r="J448" i="20" a="1"/>
  <c r="J448" i="20" s="1"/>
  <c r="L448" i="20" a="1"/>
  <c r="L448" i="20" s="1"/>
  <c r="D449" i="20" a="1"/>
  <c r="D449" i="20" s="1"/>
  <c r="F449" i="20" a="1"/>
  <c r="F449" i="20" s="1"/>
  <c r="B449" i="20"/>
  <c r="H449" i="20" a="1"/>
  <c r="H449" i="20" s="1"/>
  <c r="J449" i="20" a="1"/>
  <c r="J449" i="20" s="1"/>
  <c r="L449" i="20" a="1"/>
  <c r="L449" i="20" s="1"/>
  <c r="D450" i="20" a="1"/>
  <c r="D450" i="20" s="1"/>
  <c r="B450" i="20"/>
  <c r="F450" i="20" a="1"/>
  <c r="F450" i="20" s="1"/>
  <c r="H450" i="20" a="1"/>
  <c r="H450" i="20" s="1"/>
  <c r="J450" i="20" a="1"/>
  <c r="J450" i="20" s="1"/>
  <c r="L450" i="20" a="1"/>
  <c r="L450" i="20" s="1"/>
  <c r="D451" i="20" a="1"/>
  <c r="D451" i="20" s="1"/>
  <c r="B451" i="20"/>
  <c r="F451" i="20" a="1"/>
  <c r="F451" i="20" s="1"/>
  <c r="H451" i="20" a="1"/>
  <c r="H451" i="20" s="1"/>
  <c r="J451" i="20" a="1"/>
  <c r="J451" i="20" s="1"/>
  <c r="L451" i="20" a="1"/>
  <c r="L451" i="20" s="1"/>
  <c r="D452" i="20" a="1"/>
  <c r="D452" i="20" s="1"/>
  <c r="F452" i="20" a="1"/>
  <c r="F452" i="20" s="1"/>
  <c r="B452" i="20"/>
  <c r="H452" i="20" a="1"/>
  <c r="H452" i="20" s="1"/>
  <c r="J452" i="20" a="1"/>
  <c r="J452" i="20" s="1"/>
  <c r="L452" i="20" a="1"/>
  <c r="L452" i="20" s="1"/>
  <c r="D453" i="20" a="1"/>
  <c r="D453" i="20" s="1"/>
  <c r="F453" i="20" a="1"/>
  <c r="F453" i="20" s="1"/>
  <c r="B453" i="20"/>
  <c r="H453" i="20" a="1"/>
  <c r="H453" i="20" s="1"/>
  <c r="J453" i="20" a="1"/>
  <c r="J453" i="20" s="1"/>
  <c r="L453" i="20" a="1"/>
  <c r="L453" i="20" s="1"/>
  <c r="D454" i="20" a="1"/>
  <c r="D454" i="20" s="1"/>
  <c r="B454" i="20"/>
  <c r="F454" i="20" a="1"/>
  <c r="F454" i="20" s="1"/>
  <c r="H454" i="20" a="1"/>
  <c r="H454" i="20" s="1"/>
  <c r="J454" i="20" a="1"/>
  <c r="J454" i="20" s="1"/>
  <c r="L454" i="20" a="1"/>
  <c r="L454" i="20" s="1"/>
  <c r="D455" i="20" a="1"/>
  <c r="D455" i="20" s="1"/>
  <c r="B455" i="20"/>
  <c r="F455" i="20" a="1"/>
  <c r="F455" i="20" s="1"/>
  <c r="H455" i="20" a="1"/>
  <c r="H455" i="20" s="1"/>
  <c r="J455" i="20" a="1"/>
  <c r="J455" i="20" s="1"/>
  <c r="L455" i="20" a="1"/>
  <c r="L455" i="20" s="1"/>
  <c r="D456" i="20" a="1"/>
  <c r="D456" i="20" s="1"/>
  <c r="B456" i="20"/>
  <c r="F456" i="20" a="1"/>
  <c r="F456" i="20" s="1"/>
  <c r="H456" i="20" a="1"/>
  <c r="H456" i="20" s="1"/>
  <c r="J456" i="20" a="1"/>
  <c r="J456" i="20" s="1"/>
  <c r="L456" i="20" a="1"/>
  <c r="L456" i="20" s="1"/>
  <c r="D457" i="20" a="1"/>
  <c r="D457" i="20" s="1"/>
  <c r="B457" i="20"/>
  <c r="F457" i="20" a="1"/>
  <c r="F457" i="20" s="1"/>
  <c r="H457" i="20" a="1"/>
  <c r="H457" i="20" s="1"/>
  <c r="J457" i="20" a="1"/>
  <c r="J457" i="20" s="1"/>
  <c r="L457" i="20" a="1"/>
  <c r="L457" i="20" s="1"/>
  <c r="D458" i="20" a="1"/>
  <c r="D458" i="20" s="1"/>
  <c r="B458" i="20"/>
  <c r="F458" i="20" a="1"/>
  <c r="F458" i="20" s="1"/>
  <c r="H458" i="20" a="1"/>
  <c r="H458" i="20" s="1"/>
  <c r="J458" i="20" a="1"/>
  <c r="J458" i="20" s="1"/>
  <c r="L458" i="20" a="1"/>
  <c r="L458" i="20" s="1"/>
  <c r="D459" i="20" a="1"/>
  <c r="D459" i="20" s="1"/>
  <c r="F459" i="20" a="1"/>
  <c r="F459" i="20" s="1"/>
  <c r="B459" i="20"/>
  <c r="H459" i="20" a="1"/>
  <c r="H459" i="20" s="1"/>
  <c r="J459" i="20" a="1"/>
  <c r="J459" i="20" s="1"/>
  <c r="L459" i="20" a="1"/>
  <c r="L459" i="20" s="1"/>
  <c r="D460" i="20" a="1"/>
  <c r="D460" i="20" s="1"/>
  <c r="F460" i="20" a="1"/>
  <c r="F460" i="20" s="1"/>
  <c r="B460" i="20"/>
  <c r="H460" i="20" a="1"/>
  <c r="H460" i="20" s="1"/>
  <c r="J460" i="20" a="1"/>
  <c r="J460" i="20" s="1"/>
  <c r="L460" i="20" a="1"/>
  <c r="L460" i="20" s="1"/>
  <c r="D461" i="20" a="1"/>
  <c r="D461" i="20" s="1"/>
  <c r="F461" i="20" a="1"/>
  <c r="F461" i="20" s="1"/>
  <c r="B461" i="20"/>
  <c r="H461" i="20" a="1"/>
  <c r="H461" i="20" s="1"/>
  <c r="J461" i="20" a="1"/>
  <c r="J461" i="20" s="1"/>
  <c r="L461" i="20" a="1"/>
  <c r="L461" i="20" s="1"/>
  <c r="D462" i="20" a="1"/>
  <c r="D462" i="20" s="1"/>
  <c r="F462" i="20" a="1"/>
  <c r="F462" i="20" s="1"/>
  <c r="B462" i="20"/>
  <c r="H462" i="20" a="1"/>
  <c r="H462" i="20" s="1"/>
  <c r="J462" i="20" a="1"/>
  <c r="J462" i="20" s="1"/>
  <c r="L462" i="20" a="1"/>
  <c r="L462" i="20" s="1"/>
  <c r="D463" i="20" a="1"/>
  <c r="D463" i="20" s="1"/>
  <c r="B463" i="20"/>
  <c r="F463" i="20" a="1"/>
  <c r="F463" i="20" s="1"/>
  <c r="H463" i="20" a="1"/>
  <c r="H463" i="20" s="1"/>
  <c r="J463" i="20" a="1"/>
  <c r="J463" i="20" s="1"/>
  <c r="L463" i="20" a="1"/>
  <c r="L463" i="20" s="1"/>
  <c r="D464" i="20" a="1"/>
  <c r="D464" i="20" s="1"/>
  <c r="B464" i="20"/>
  <c r="F464" i="20" a="1"/>
  <c r="F464" i="20" s="1"/>
  <c r="H464" i="20" a="1"/>
  <c r="H464" i="20" s="1"/>
  <c r="J464" i="20" a="1"/>
  <c r="J464" i="20" s="1"/>
  <c r="L464" i="20" a="1"/>
  <c r="L464" i="20" s="1"/>
  <c r="D465" i="20" a="1"/>
  <c r="D465" i="20" s="1"/>
  <c r="B465" i="20"/>
  <c r="F465" i="20" a="1"/>
  <c r="F465" i="20" s="1"/>
  <c r="H465" i="20" a="1"/>
  <c r="H465" i="20" s="1"/>
  <c r="J465" i="20" a="1"/>
  <c r="J465" i="20" s="1"/>
  <c r="L465" i="20" a="1"/>
  <c r="L465" i="20" s="1"/>
  <c r="D466" i="20" a="1"/>
  <c r="D466" i="20" s="1"/>
  <c r="F466" i="20" a="1"/>
  <c r="F466" i="20" s="1"/>
  <c r="B466" i="20"/>
  <c r="H466" i="20" a="1"/>
  <c r="H466" i="20" s="1"/>
  <c r="J466" i="20" a="1"/>
  <c r="J466" i="20" s="1"/>
  <c r="L466" i="20" a="1"/>
  <c r="L466" i="20" s="1"/>
  <c r="D467" i="20" a="1"/>
  <c r="D467" i="20" s="1"/>
  <c r="F467" i="20" a="1"/>
  <c r="F467" i="20" s="1"/>
  <c r="B467" i="20"/>
  <c r="H467" i="20" a="1"/>
  <c r="H467" i="20" s="1"/>
  <c r="J467" i="20" a="1"/>
  <c r="J467" i="20" s="1"/>
  <c r="L467" i="20" a="1"/>
  <c r="L467" i="20" s="1"/>
  <c r="D468" i="20" a="1"/>
  <c r="D468" i="20" s="1"/>
  <c r="F468" i="20" a="1"/>
  <c r="F468" i="20" s="1"/>
  <c r="B468" i="20"/>
  <c r="H468" i="20" a="1"/>
  <c r="H468" i="20" s="1"/>
  <c r="J468" i="20" a="1"/>
  <c r="J468" i="20" s="1"/>
  <c r="L468" i="20" a="1"/>
  <c r="L468" i="20" s="1"/>
  <c r="D469" i="20" a="1"/>
  <c r="D469" i="20" s="1"/>
  <c r="F469" i="20" a="1"/>
  <c r="F469" i="20" s="1"/>
  <c r="B469" i="20"/>
  <c r="H469" i="20" a="1"/>
  <c r="H469" i="20" s="1"/>
  <c r="J469" i="20" a="1"/>
  <c r="J469" i="20" s="1"/>
  <c r="L469" i="20" a="1"/>
  <c r="L469" i="20" s="1"/>
  <c r="D470" i="20" a="1"/>
  <c r="D470" i="20" s="1"/>
  <c r="F470" i="20" a="1"/>
  <c r="F470" i="20" s="1"/>
  <c r="B470" i="20"/>
  <c r="H470" i="20" a="1"/>
  <c r="H470" i="20" s="1"/>
  <c r="J470" i="20" a="1"/>
  <c r="J470" i="20" s="1"/>
  <c r="L470" i="20" a="1"/>
  <c r="L470" i="20" s="1"/>
  <c r="D471" i="20" a="1"/>
  <c r="D471" i="20" s="1"/>
  <c r="F471" i="20" a="1"/>
  <c r="F471" i="20" s="1"/>
  <c r="B471" i="20"/>
  <c r="H471" i="20" a="1"/>
  <c r="H471" i="20" s="1"/>
  <c r="J471" i="20" a="1"/>
  <c r="J471" i="20" s="1"/>
  <c r="L471" i="20" a="1"/>
  <c r="L471" i="20" s="1"/>
  <c r="D472" i="20" a="1"/>
  <c r="D472" i="20" s="1"/>
  <c r="F472" i="20" a="1"/>
  <c r="F472" i="20" s="1"/>
  <c r="B472" i="20"/>
  <c r="H472" i="20" a="1"/>
  <c r="H472" i="20" s="1"/>
  <c r="J472" i="20" a="1"/>
  <c r="J472" i="20" s="1"/>
  <c r="L472" i="20" a="1"/>
  <c r="L472" i="20" s="1"/>
  <c r="D473" i="20" a="1"/>
  <c r="D473" i="20" s="1"/>
  <c r="F473" i="20" a="1"/>
  <c r="F473" i="20" s="1"/>
  <c r="B473" i="20"/>
  <c r="H473" i="20" a="1"/>
  <c r="H473" i="20" s="1"/>
  <c r="J473" i="20" a="1"/>
  <c r="J473" i="20" s="1"/>
  <c r="L473" i="20" a="1"/>
  <c r="L473" i="20" s="1"/>
  <c r="D474" i="20" a="1"/>
  <c r="D474" i="20" s="1"/>
  <c r="F474" i="20" a="1"/>
  <c r="F474" i="20" s="1"/>
  <c r="B474" i="20"/>
  <c r="H474" i="20" a="1"/>
  <c r="H474" i="20" s="1"/>
  <c r="J474" i="20" a="1"/>
  <c r="J474" i="20" s="1"/>
  <c r="L474" i="20" a="1"/>
  <c r="L474" i="20" s="1"/>
  <c r="D475" i="20" a="1"/>
  <c r="D475" i="20" s="1"/>
  <c r="B475" i="20"/>
  <c r="F475" i="20" a="1"/>
  <c r="F475" i="20" s="1"/>
  <c r="H475" i="20" a="1"/>
  <c r="H475" i="20" s="1"/>
  <c r="J475" i="20" a="1"/>
  <c r="J475" i="20" s="1"/>
  <c r="L475" i="20" a="1"/>
  <c r="L475" i="20" s="1"/>
  <c r="D476" i="20" a="1"/>
  <c r="D476" i="20" s="1"/>
  <c r="B476" i="20"/>
  <c r="F476" i="20" a="1"/>
  <c r="F476" i="20" s="1"/>
  <c r="H476" i="20" a="1"/>
  <c r="H476" i="20" s="1"/>
  <c r="J476" i="20" a="1"/>
  <c r="J476" i="20" s="1"/>
  <c r="L476" i="20" a="1"/>
  <c r="L476" i="20" s="1"/>
  <c r="D477" i="20" a="1"/>
  <c r="D477" i="20" s="1"/>
  <c r="B477" i="20"/>
  <c r="F477" i="20" a="1"/>
  <c r="F477" i="20" s="1"/>
  <c r="H477" i="20" a="1"/>
  <c r="H477" i="20" s="1"/>
  <c r="J477" i="20" a="1"/>
  <c r="J477" i="20" s="1"/>
  <c r="L477" i="20" a="1"/>
  <c r="L477" i="20" s="1"/>
  <c r="D478" i="20" a="1"/>
  <c r="D478" i="20" s="1"/>
  <c r="B478" i="20"/>
  <c r="F478" i="20" a="1"/>
  <c r="F478" i="20" s="1"/>
  <c r="H478" i="20" a="1"/>
  <c r="H478" i="20" s="1"/>
  <c r="J478" i="20" a="1"/>
  <c r="J478" i="20" s="1"/>
  <c r="L478" i="20" a="1"/>
  <c r="L478" i="20" s="1"/>
  <c r="D479" i="20" a="1"/>
  <c r="D479" i="20" s="1"/>
  <c r="B479" i="20"/>
  <c r="F479" i="20" a="1"/>
  <c r="F479" i="20" s="1"/>
  <c r="H479" i="20" a="1"/>
  <c r="H479" i="20" s="1"/>
  <c r="J479" i="20" a="1"/>
  <c r="J479" i="20" s="1"/>
  <c r="L479" i="20" a="1"/>
  <c r="L479" i="20" s="1"/>
  <c r="D480" i="20" a="1"/>
  <c r="D480" i="20" s="1"/>
  <c r="F480" i="20" a="1"/>
  <c r="F480" i="20" s="1"/>
  <c r="B480" i="20"/>
  <c r="H480" i="20" a="1"/>
  <c r="H480" i="20" s="1"/>
  <c r="J480" i="20" a="1"/>
  <c r="J480" i="20" s="1"/>
  <c r="L480" i="20" a="1"/>
  <c r="L480" i="20" s="1"/>
  <c r="D481" i="20" a="1"/>
  <c r="D481" i="20" s="1"/>
  <c r="F481" i="20" a="1"/>
  <c r="F481" i="20" s="1"/>
  <c r="B481" i="20"/>
  <c r="H481" i="20" a="1"/>
  <c r="H481" i="20" s="1"/>
  <c r="J481" i="20" a="1"/>
  <c r="J481" i="20" s="1"/>
  <c r="L481" i="20" a="1"/>
  <c r="L481" i="20" s="1"/>
  <c r="D482" i="20" a="1"/>
  <c r="D482" i="20" s="1"/>
  <c r="F482" i="20" a="1"/>
  <c r="F482" i="20" s="1"/>
  <c r="B482" i="20"/>
  <c r="H482" i="20" a="1"/>
  <c r="H482" i="20" s="1"/>
  <c r="J482" i="20" a="1"/>
  <c r="J482" i="20" s="1"/>
  <c r="L482" i="20" a="1"/>
  <c r="L482" i="20" s="1"/>
  <c r="D483" i="20" a="1"/>
  <c r="D483" i="20" s="1"/>
  <c r="B483" i="20"/>
  <c r="F483" i="20" a="1"/>
  <c r="F483" i="20" s="1"/>
  <c r="H483" i="20" a="1"/>
  <c r="H483" i="20" s="1"/>
  <c r="J483" i="20" a="1"/>
  <c r="J483" i="20" s="1"/>
  <c r="L483" i="20" a="1"/>
  <c r="L483" i="20" s="1"/>
  <c r="D484" i="20" a="1"/>
  <c r="D484" i="20" s="1"/>
  <c r="F484" i="20" a="1"/>
  <c r="F484" i="20" s="1"/>
  <c r="B484" i="20"/>
  <c r="H484" i="20" a="1"/>
  <c r="H484" i="20" s="1"/>
  <c r="J484" i="20" a="1"/>
  <c r="J484" i="20" s="1"/>
  <c r="L484" i="20" a="1"/>
  <c r="L484" i="20" s="1"/>
  <c r="D485" i="20" a="1"/>
  <c r="D485" i="20" s="1"/>
  <c r="B485" i="20"/>
  <c r="F485" i="20" a="1"/>
  <c r="F485" i="20" s="1"/>
  <c r="H485" i="20" a="1"/>
  <c r="H485" i="20" s="1"/>
  <c r="J485" i="20" a="1"/>
  <c r="J485" i="20" s="1"/>
  <c r="L485" i="20" a="1"/>
  <c r="L485" i="20" s="1"/>
  <c r="D486" i="20" a="1"/>
  <c r="D486" i="20" s="1"/>
  <c r="B486" i="20"/>
  <c r="F486" i="20" a="1"/>
  <c r="F486" i="20" s="1"/>
  <c r="H486" i="20" a="1"/>
  <c r="H486" i="20" s="1"/>
  <c r="J486" i="20" a="1"/>
  <c r="J486" i="20" s="1"/>
  <c r="L486" i="20" a="1"/>
  <c r="L486" i="20" s="1"/>
  <c r="D487" i="20" a="1"/>
  <c r="D487" i="20" s="1"/>
  <c r="B487" i="20"/>
  <c r="F487" i="20" a="1"/>
  <c r="F487" i="20" s="1"/>
  <c r="H487" i="20" a="1"/>
  <c r="H487" i="20" s="1"/>
  <c r="J487" i="20" a="1"/>
  <c r="J487" i="20" s="1"/>
  <c r="L487" i="20" a="1"/>
  <c r="L487" i="20" s="1"/>
  <c r="D488" i="20" a="1"/>
  <c r="D488" i="20" s="1"/>
  <c r="F488" i="20" a="1"/>
  <c r="F488" i="20" s="1"/>
  <c r="B488" i="20"/>
  <c r="H488" i="20" a="1"/>
  <c r="H488" i="20" s="1"/>
  <c r="J488" i="20" a="1"/>
  <c r="J488" i="20" s="1"/>
  <c r="L488" i="20" a="1"/>
  <c r="L488" i="20" s="1"/>
  <c r="D489" i="20" a="1"/>
  <c r="D489" i="20" s="1"/>
  <c r="F489" i="20" a="1"/>
  <c r="F489" i="20" s="1"/>
  <c r="B489" i="20"/>
  <c r="H489" i="20" a="1"/>
  <c r="H489" i="20" s="1"/>
  <c r="J489" i="20" a="1"/>
  <c r="J489" i="20" s="1"/>
  <c r="L489" i="20" a="1"/>
  <c r="L489" i="20" s="1"/>
  <c r="D490" i="20" a="1"/>
  <c r="D490" i="20" s="1"/>
  <c r="F490" i="20" a="1"/>
  <c r="F490" i="20" s="1"/>
  <c r="B490" i="20"/>
  <c r="H490" i="20" a="1"/>
  <c r="H490" i="20" s="1"/>
  <c r="J490" i="20" a="1"/>
  <c r="J490" i="20" s="1"/>
  <c r="L490" i="20" a="1"/>
  <c r="L490" i="20" s="1"/>
  <c r="D491" i="20" a="1"/>
  <c r="D491" i="20" s="1"/>
  <c r="B491" i="20"/>
  <c r="F491" i="20" a="1"/>
  <c r="F491" i="20" s="1"/>
  <c r="H491" i="20" a="1"/>
  <c r="H491" i="20" s="1"/>
  <c r="J491" i="20" a="1"/>
  <c r="J491" i="20" s="1"/>
  <c r="L491" i="20" a="1"/>
  <c r="L491" i="20" s="1"/>
  <c r="D492" i="20" a="1"/>
  <c r="D492" i="20" s="1"/>
  <c r="B492" i="20"/>
  <c r="F492" i="20" a="1"/>
  <c r="F492" i="20" s="1"/>
  <c r="H492" i="20" a="1"/>
  <c r="H492" i="20" s="1"/>
  <c r="J492" i="20" a="1"/>
  <c r="J492" i="20" s="1"/>
  <c r="L492" i="20" a="1"/>
  <c r="L492" i="20" s="1"/>
  <c r="D493" i="20" a="1"/>
  <c r="D493" i="20" s="1"/>
  <c r="B493" i="20"/>
  <c r="F493" i="20" a="1"/>
  <c r="F493" i="20" s="1"/>
  <c r="H493" i="20" a="1"/>
  <c r="H493" i="20" s="1"/>
  <c r="J493" i="20" a="1"/>
  <c r="J493" i="20" s="1"/>
  <c r="L493" i="20" a="1"/>
  <c r="L493" i="20" s="1"/>
  <c r="D494" i="20" a="1"/>
  <c r="D494" i="20" s="1"/>
  <c r="F494" i="20" a="1"/>
  <c r="F494" i="20" s="1"/>
  <c r="B494" i="20"/>
  <c r="H494" i="20" a="1"/>
  <c r="H494" i="20" s="1"/>
  <c r="J494" i="20" a="1"/>
  <c r="J494" i="20" s="1"/>
  <c r="L494" i="20" a="1"/>
  <c r="L494" i="20" s="1"/>
  <c r="D495" i="20" a="1"/>
  <c r="D495" i="20" s="1"/>
  <c r="F495" i="20" a="1"/>
  <c r="F495" i="20" s="1"/>
  <c r="B495" i="20"/>
  <c r="H495" i="20" a="1"/>
  <c r="H495" i="20" s="1"/>
  <c r="J495" i="20" a="1"/>
  <c r="J495" i="20" s="1"/>
  <c r="L495" i="20" a="1"/>
  <c r="L495" i="20" s="1"/>
  <c r="D496" i="20" a="1"/>
  <c r="D496" i="20" s="1"/>
  <c r="F496" i="20" a="1"/>
  <c r="F496" i="20" s="1"/>
  <c r="B496" i="20"/>
  <c r="H496" i="20" a="1"/>
  <c r="H496" i="20" s="1"/>
  <c r="J496" i="20" a="1"/>
  <c r="J496" i="20" s="1"/>
  <c r="L496" i="20" a="1"/>
  <c r="L496" i="20" s="1"/>
  <c r="D497" i="20" a="1"/>
  <c r="D497" i="20" s="1"/>
  <c r="F497" i="20" a="1"/>
  <c r="F497" i="20" s="1"/>
  <c r="B497" i="20"/>
  <c r="H497" i="20" a="1"/>
  <c r="H497" i="20" s="1"/>
  <c r="J497" i="20" a="1"/>
  <c r="J497" i="20" s="1"/>
  <c r="L497" i="20" a="1"/>
  <c r="L497" i="20" s="1"/>
  <c r="D498" i="20" a="1"/>
  <c r="D498" i="20" s="1"/>
  <c r="F498" i="20" a="1"/>
  <c r="F498" i="20" s="1"/>
  <c r="B498" i="20"/>
  <c r="H498" i="20" a="1"/>
  <c r="H498" i="20" s="1"/>
  <c r="J498" i="20" a="1"/>
  <c r="J498" i="20" s="1"/>
  <c r="L498" i="20" a="1"/>
  <c r="L498" i="20" s="1"/>
  <c r="D499" i="20" a="1"/>
  <c r="D499" i="20" s="1"/>
  <c r="F499" i="20" a="1"/>
  <c r="F499" i="20" s="1"/>
  <c r="B499" i="20"/>
  <c r="H499" i="20" a="1"/>
  <c r="H499" i="20" s="1"/>
  <c r="J499" i="20" a="1"/>
  <c r="J499" i="20" s="1"/>
  <c r="L499" i="20" a="1"/>
  <c r="L499" i="20" s="1"/>
  <c r="D500" i="20" a="1"/>
  <c r="D500" i="20" s="1"/>
  <c r="F500" i="20" a="1"/>
  <c r="F500" i="20" s="1"/>
  <c r="B500" i="20"/>
  <c r="H500" i="20" a="1"/>
  <c r="H500" i="20" s="1"/>
  <c r="J500" i="20" a="1"/>
  <c r="J500" i="20" s="1"/>
  <c r="L500" i="20" a="1"/>
  <c r="L500" i="20" s="1"/>
  <c r="D501" i="20" a="1"/>
  <c r="D501" i="20" s="1"/>
  <c r="F501" i="20" a="1"/>
  <c r="F501" i="20" s="1"/>
  <c r="B501" i="20"/>
  <c r="H501" i="20" a="1"/>
  <c r="H501" i="20" s="1"/>
  <c r="J501" i="20" a="1"/>
  <c r="J501" i="20" s="1"/>
  <c r="L501" i="20" a="1"/>
  <c r="L501" i="20" s="1"/>
  <c r="D502" i="20" a="1"/>
  <c r="D502" i="20" s="1"/>
  <c r="F502" i="20" a="1"/>
  <c r="F502" i="20" s="1"/>
  <c r="B502" i="20"/>
  <c r="H502" i="20" a="1"/>
  <c r="H502" i="20" s="1"/>
  <c r="J502" i="20" a="1"/>
  <c r="J502" i="20" s="1"/>
  <c r="L502" i="20" a="1"/>
  <c r="L502" i="20" s="1"/>
  <c r="D503" i="20" a="1"/>
  <c r="D503" i="20" s="1"/>
  <c r="F503" i="20" a="1"/>
  <c r="F503" i="20" s="1"/>
  <c r="B503" i="20"/>
  <c r="H503" i="20" a="1"/>
  <c r="H503" i="20" s="1"/>
  <c r="J503" i="20" a="1"/>
  <c r="J503" i="20" s="1"/>
  <c r="L503" i="20" a="1"/>
  <c r="L503" i="20" s="1"/>
  <c r="D504" i="20" a="1"/>
  <c r="D504" i="20" s="1"/>
  <c r="F504" i="20" a="1"/>
  <c r="F504" i="20" s="1"/>
  <c r="B504" i="20"/>
  <c r="H504" i="20" a="1"/>
  <c r="H504" i="20" s="1"/>
  <c r="J504" i="20" a="1"/>
  <c r="J504" i="20" s="1"/>
  <c r="L504" i="20" a="1"/>
  <c r="L504" i="20" s="1"/>
  <c r="D505" i="20" a="1"/>
  <c r="D505" i="20" s="1"/>
  <c r="F505" i="20" a="1"/>
  <c r="F505" i="20" s="1"/>
  <c r="B505" i="20"/>
  <c r="H505" i="20" a="1"/>
  <c r="H505" i="20" s="1"/>
  <c r="J505" i="20" a="1"/>
  <c r="J505" i="20" s="1"/>
  <c r="L505" i="20" a="1"/>
  <c r="L505" i="20" s="1"/>
  <c r="D506" i="20" a="1"/>
  <c r="D506" i="20" s="1"/>
  <c r="F506" i="20" a="1"/>
  <c r="F506" i="20" s="1"/>
  <c r="B506" i="20"/>
  <c r="H506" i="20" a="1"/>
  <c r="H506" i="20" s="1"/>
  <c r="J506" i="20" a="1"/>
  <c r="J506" i="20" s="1"/>
  <c r="L506" i="20" a="1"/>
  <c r="L506" i="20" s="1"/>
  <c r="D507" i="20" a="1"/>
  <c r="D507" i="20" s="1"/>
  <c r="F507" i="20" a="1"/>
  <c r="F507" i="20" s="1"/>
  <c r="B507" i="20"/>
  <c r="H507" i="20" a="1"/>
  <c r="H507" i="20" s="1"/>
  <c r="J507" i="20" a="1"/>
  <c r="J507" i="20" s="1"/>
  <c r="L507" i="20" a="1"/>
  <c r="L507" i="20" s="1"/>
  <c r="D508" i="20" a="1"/>
  <c r="D508" i="20" s="1"/>
  <c r="F508" i="20" a="1"/>
  <c r="F508" i="20" s="1"/>
  <c r="B508" i="20"/>
  <c r="H508" i="20" a="1"/>
  <c r="H508" i="20" s="1"/>
  <c r="J508" i="20" a="1"/>
  <c r="J508" i="20" s="1"/>
  <c r="L508" i="20" a="1"/>
  <c r="L508" i="20" s="1"/>
  <c r="D509" i="20" a="1"/>
  <c r="D509" i="20" s="1"/>
  <c r="F509" i="20" a="1"/>
  <c r="F509" i="20" s="1"/>
  <c r="B509" i="20"/>
  <c r="H509" i="20" a="1"/>
  <c r="H509" i="20" s="1"/>
  <c r="J509" i="20" a="1"/>
  <c r="J509" i="20" s="1"/>
  <c r="L509" i="20" a="1"/>
  <c r="L509" i="20" s="1"/>
  <c r="D510" i="20" a="1"/>
  <c r="D510" i="20" s="1"/>
  <c r="F510" i="20" a="1"/>
  <c r="F510" i="20" s="1"/>
  <c r="B510" i="20"/>
  <c r="H510" i="20" a="1"/>
  <c r="H510" i="20" s="1"/>
  <c r="J510" i="20" a="1"/>
  <c r="J510" i="20" s="1"/>
  <c r="L510" i="20" a="1"/>
  <c r="L510" i="20" s="1"/>
  <c r="D511" i="20" a="1"/>
  <c r="D511" i="20" s="1"/>
  <c r="F511" i="20" a="1"/>
  <c r="F511" i="20" s="1"/>
  <c r="B511" i="20"/>
  <c r="H511" i="20" a="1"/>
  <c r="H511" i="20" s="1"/>
  <c r="J511" i="20" a="1"/>
  <c r="J511" i="20" s="1"/>
  <c r="L511" i="20" a="1"/>
  <c r="L511" i="20" s="1"/>
  <c r="D512" i="20" a="1"/>
  <c r="D512" i="20" s="1"/>
  <c r="F512" i="20" a="1"/>
  <c r="F512" i="20" s="1"/>
  <c r="B512" i="20"/>
  <c r="H512" i="20" a="1"/>
  <c r="H512" i="20" s="1"/>
  <c r="J512" i="20" a="1"/>
  <c r="J512" i="20" s="1"/>
  <c r="L512" i="20" a="1"/>
  <c r="L512" i="20" s="1"/>
  <c r="D513" i="20" a="1"/>
  <c r="D513" i="20" s="1"/>
  <c r="F513" i="20" a="1"/>
  <c r="F513" i="20" s="1"/>
  <c r="B513" i="20"/>
  <c r="H513" i="20" a="1"/>
  <c r="H513" i="20" s="1"/>
  <c r="J513" i="20" a="1"/>
  <c r="J513" i="20" s="1"/>
  <c r="L513" i="20" a="1"/>
  <c r="L513" i="20" s="1"/>
  <c r="D514" i="20" a="1"/>
  <c r="D514" i="20" s="1"/>
  <c r="F514" i="20" a="1"/>
  <c r="F514" i="20" s="1"/>
  <c r="B514" i="20"/>
  <c r="H514" i="20" a="1"/>
  <c r="H514" i="20" s="1"/>
  <c r="J514" i="20" a="1"/>
  <c r="J514" i="20" s="1"/>
  <c r="L514" i="20" a="1"/>
  <c r="L514" i="20" s="1"/>
  <c r="D515" i="20" a="1"/>
  <c r="D515" i="20" s="1"/>
  <c r="F515" i="20" a="1"/>
  <c r="F515" i="20" s="1"/>
  <c r="B515" i="20"/>
  <c r="H515" i="20" a="1"/>
  <c r="H515" i="20" s="1"/>
  <c r="J515" i="20" a="1"/>
  <c r="J515" i="20" s="1"/>
  <c r="L515" i="20" a="1"/>
  <c r="L515" i="20" s="1"/>
  <c r="D516" i="20" a="1"/>
  <c r="D516" i="20" s="1"/>
  <c r="F516" i="20" a="1"/>
  <c r="F516" i="20" s="1"/>
  <c r="B516" i="20"/>
  <c r="H516" i="20" a="1"/>
  <c r="H516" i="20" s="1"/>
  <c r="J516" i="20" a="1"/>
  <c r="J516" i="20" s="1"/>
  <c r="L516" i="20" a="1"/>
  <c r="L516" i="20" s="1"/>
  <c r="D517" i="20" a="1"/>
  <c r="D517" i="20" s="1"/>
  <c r="F517" i="20" a="1"/>
  <c r="F517" i="20" s="1"/>
  <c r="B517" i="20"/>
  <c r="H517" i="20" a="1"/>
  <c r="H517" i="20" s="1"/>
  <c r="J517" i="20" a="1"/>
  <c r="J517" i="20" s="1"/>
  <c r="L517" i="20" a="1"/>
  <c r="L517" i="20" s="1"/>
  <c r="D518" i="20" a="1"/>
  <c r="D518" i="20" s="1"/>
  <c r="F518" i="20" a="1"/>
  <c r="F518" i="20" s="1"/>
  <c r="B518" i="20"/>
  <c r="H518" i="20" a="1"/>
  <c r="H518" i="20" s="1"/>
  <c r="J518" i="20" a="1"/>
  <c r="J518" i="20" s="1"/>
  <c r="L518" i="20" a="1"/>
  <c r="L518" i="20" s="1"/>
  <c r="D519" i="20" a="1"/>
  <c r="D519" i="20" s="1"/>
  <c r="F519" i="20" a="1"/>
  <c r="F519" i="20" s="1"/>
  <c r="B519" i="20"/>
  <c r="H519" i="20" a="1"/>
  <c r="H519" i="20" s="1"/>
  <c r="J519" i="20" a="1"/>
  <c r="J519" i="20" s="1"/>
  <c r="L519" i="20" a="1"/>
  <c r="L519" i="20" s="1"/>
  <c r="D520" i="20" a="1"/>
  <c r="D520" i="20" s="1"/>
  <c r="F520" i="20" a="1"/>
  <c r="F520" i="20" s="1"/>
  <c r="B520" i="20"/>
  <c r="H520" i="20" a="1"/>
  <c r="H520" i="20" s="1"/>
  <c r="J520" i="20" a="1"/>
  <c r="J520" i="20" s="1"/>
  <c r="L520" i="20" a="1"/>
  <c r="L520" i="20" s="1"/>
  <c r="B521" i="20"/>
  <c r="D521" i="20" a="1"/>
  <c r="D521" i="20" s="1"/>
  <c r="F521" i="20" a="1"/>
  <c r="F521" i="20" s="1"/>
  <c r="H521" i="20" a="1"/>
  <c r="H521" i="20" s="1"/>
  <c r="J521" i="20" a="1"/>
  <c r="J521" i="20" s="1"/>
  <c r="L521" i="20" a="1"/>
  <c r="L521" i="20" s="1"/>
  <c r="D522" i="20" a="1"/>
  <c r="D522" i="20" s="1"/>
  <c r="F522" i="20" a="1"/>
  <c r="F522" i="20" s="1"/>
  <c r="B522" i="20"/>
  <c r="H522" i="20" a="1"/>
  <c r="H522" i="20" s="1"/>
  <c r="J522" i="20" a="1"/>
  <c r="J522" i="20" s="1"/>
  <c r="L522" i="20" a="1"/>
  <c r="L522" i="20" s="1"/>
  <c r="D523" i="20" a="1"/>
  <c r="D523" i="20" s="1"/>
  <c r="F523" i="20" a="1"/>
  <c r="F523" i="20" s="1"/>
  <c r="B523" i="20"/>
  <c r="H523" i="20" a="1"/>
  <c r="H523" i="20" s="1"/>
  <c r="J523" i="20" a="1"/>
  <c r="J523" i="20" s="1"/>
  <c r="L523" i="20" a="1"/>
  <c r="L523" i="20" s="1"/>
  <c r="D524" i="20" a="1"/>
  <c r="D524" i="20" s="1"/>
  <c r="F524" i="20" a="1"/>
  <c r="F524" i="20" s="1"/>
  <c r="B524" i="20"/>
  <c r="H524" i="20" a="1"/>
  <c r="H524" i="20" s="1"/>
  <c r="J524" i="20" a="1"/>
  <c r="J524" i="20" s="1"/>
  <c r="L524" i="20" a="1"/>
  <c r="L524" i="20" s="1"/>
  <c r="D525" i="20" a="1"/>
  <c r="D525" i="20" s="1"/>
  <c r="F525" i="20" a="1"/>
  <c r="F525" i="20" s="1"/>
  <c r="B525" i="20"/>
  <c r="H525" i="20" a="1"/>
  <c r="H525" i="20" s="1"/>
  <c r="J525" i="20" a="1"/>
  <c r="J525" i="20" s="1"/>
  <c r="L525" i="20" a="1"/>
  <c r="L525" i="20" s="1"/>
  <c r="D526" i="20" a="1"/>
  <c r="D526" i="20" s="1"/>
  <c r="F526" i="20" a="1"/>
  <c r="F526" i="20" s="1"/>
  <c r="B526" i="20"/>
  <c r="H526" i="20" a="1"/>
  <c r="H526" i="20" s="1"/>
  <c r="J526" i="20" a="1"/>
  <c r="J526" i="20" s="1"/>
  <c r="L526" i="20" a="1"/>
  <c r="L526" i="20" s="1"/>
  <c r="D527" i="20" a="1"/>
  <c r="D527" i="20" s="1"/>
  <c r="F527" i="20" a="1"/>
  <c r="F527" i="20" s="1"/>
  <c r="B527" i="20"/>
  <c r="H527" i="20" a="1"/>
  <c r="H527" i="20" s="1"/>
  <c r="J527" i="20" a="1"/>
  <c r="J527" i="20" s="1"/>
  <c r="L527" i="20" a="1"/>
  <c r="L527" i="20" s="1"/>
  <c r="D528" i="20" a="1"/>
  <c r="D528" i="20" s="1"/>
  <c r="F528" i="20" a="1"/>
  <c r="F528" i="20" s="1"/>
  <c r="B528" i="20"/>
  <c r="H528" i="20" a="1"/>
  <c r="H528" i="20" s="1"/>
  <c r="J528" i="20" a="1"/>
  <c r="J528" i="20" s="1"/>
  <c r="L528" i="20" a="1"/>
  <c r="L528" i="20" s="1"/>
  <c r="D529" i="20" a="1"/>
  <c r="D529" i="20" s="1"/>
  <c r="F529" i="20" a="1"/>
  <c r="F529" i="20" s="1"/>
  <c r="B529" i="20"/>
  <c r="H529" i="20" a="1"/>
  <c r="H529" i="20" s="1"/>
  <c r="J529" i="20" a="1"/>
  <c r="J529" i="20" s="1"/>
  <c r="L529" i="20" a="1"/>
  <c r="L529" i="20" s="1"/>
  <c r="D530" i="20" a="1"/>
  <c r="D530" i="20" s="1"/>
  <c r="F530" i="20" a="1"/>
  <c r="F530" i="20" s="1"/>
  <c r="B530" i="20"/>
  <c r="H530" i="20" a="1"/>
  <c r="H530" i="20" s="1"/>
  <c r="J530" i="20" a="1"/>
  <c r="J530" i="20" s="1"/>
  <c r="L530" i="20" a="1"/>
  <c r="L530" i="20" s="1"/>
  <c r="D531" i="20" a="1"/>
  <c r="D531" i="20" s="1"/>
  <c r="F531" i="20" a="1"/>
  <c r="F531" i="20" s="1"/>
  <c r="B531" i="20"/>
  <c r="H531" i="20" a="1"/>
  <c r="H531" i="20" s="1"/>
  <c r="J531" i="20" a="1"/>
  <c r="J531" i="20" s="1"/>
  <c r="L531" i="20" a="1"/>
  <c r="L531" i="20" s="1"/>
  <c r="D532" i="20" a="1"/>
  <c r="D532" i="20" s="1"/>
  <c r="F532" i="20" a="1"/>
  <c r="F532" i="20" s="1"/>
  <c r="B532" i="20"/>
  <c r="H532" i="20" a="1"/>
  <c r="H532" i="20" s="1"/>
  <c r="J532" i="20" a="1"/>
  <c r="J532" i="20" s="1"/>
  <c r="L532" i="20" a="1"/>
  <c r="L532" i="20" s="1"/>
  <c r="D533" i="20" a="1"/>
  <c r="D533" i="20" s="1"/>
  <c r="F533" i="20" a="1"/>
  <c r="F533" i="20" s="1"/>
  <c r="B533" i="20"/>
  <c r="H533" i="20" a="1"/>
  <c r="H533" i="20" s="1"/>
  <c r="J533" i="20" a="1"/>
  <c r="J533" i="20" s="1"/>
  <c r="L533" i="20" a="1"/>
  <c r="L533" i="20" s="1"/>
  <c r="D534" i="20" a="1"/>
  <c r="D534" i="20" s="1"/>
  <c r="F534" i="20" a="1"/>
  <c r="F534" i="20" s="1"/>
  <c r="B534" i="20"/>
  <c r="H534" i="20" a="1"/>
  <c r="H534" i="20" s="1"/>
  <c r="J534" i="20" a="1"/>
  <c r="J534" i="20" s="1"/>
  <c r="L534" i="20" a="1"/>
  <c r="L534" i="20" s="1"/>
  <c r="D535" i="20" a="1"/>
  <c r="D535" i="20" s="1"/>
  <c r="F535" i="20" a="1"/>
  <c r="F535" i="20" s="1"/>
  <c r="B535" i="20"/>
  <c r="H535" i="20" a="1"/>
  <c r="H535" i="20" s="1"/>
  <c r="J535" i="20" a="1"/>
  <c r="J535" i="20" s="1"/>
  <c r="L535" i="20" a="1"/>
  <c r="L535" i="20" s="1"/>
  <c r="D536" i="20" a="1"/>
  <c r="D536" i="20" s="1"/>
  <c r="F536" i="20" a="1"/>
  <c r="F536" i="20" s="1"/>
  <c r="B536" i="20"/>
  <c r="H536" i="20" a="1"/>
  <c r="H536" i="20" s="1"/>
  <c r="J536" i="20" a="1"/>
  <c r="J536" i="20" s="1"/>
  <c r="L536" i="20" a="1"/>
  <c r="L536" i="20" s="1"/>
  <c r="D537" i="20" a="1"/>
  <c r="D537" i="20" s="1"/>
  <c r="F537" i="20" a="1"/>
  <c r="F537" i="20" s="1"/>
  <c r="B537" i="20"/>
  <c r="H537" i="20" a="1"/>
  <c r="H537" i="20" s="1"/>
  <c r="J537" i="20" a="1"/>
  <c r="J537" i="20" s="1"/>
  <c r="L537" i="20" a="1"/>
  <c r="L537" i="20" s="1"/>
  <c r="D538" i="20" a="1"/>
  <c r="D538" i="20" s="1"/>
  <c r="F538" i="20" a="1"/>
  <c r="F538" i="20" s="1"/>
  <c r="B538" i="20"/>
  <c r="H538" i="20" a="1"/>
  <c r="H538" i="20" s="1"/>
  <c r="J538" i="20" a="1"/>
  <c r="J538" i="20" s="1"/>
  <c r="L538" i="20" a="1"/>
  <c r="L538" i="20" s="1"/>
  <c r="D539" i="20" a="1"/>
  <c r="D539" i="20" s="1"/>
  <c r="F539" i="20" a="1"/>
  <c r="F539" i="20" s="1"/>
  <c r="B539" i="20"/>
  <c r="H539" i="20" a="1"/>
  <c r="H539" i="20" s="1"/>
  <c r="J539" i="20" a="1"/>
  <c r="J539" i="20" s="1"/>
  <c r="L539" i="20" a="1"/>
  <c r="L539" i="20" s="1"/>
  <c r="B540" i="20"/>
  <c r="D540" i="20" a="1"/>
  <c r="D540" i="20" s="1"/>
  <c r="F540" i="20" a="1"/>
  <c r="F540" i="20" s="1"/>
  <c r="H540" i="20" a="1"/>
  <c r="H540" i="20" s="1"/>
  <c r="J540" i="20" a="1"/>
  <c r="J540" i="20" s="1"/>
  <c r="L540" i="20" a="1"/>
  <c r="L540" i="20" s="1"/>
  <c r="D541" i="20" a="1"/>
  <c r="D541" i="20" s="1"/>
  <c r="F541" i="20" a="1"/>
  <c r="F541" i="20" s="1"/>
  <c r="B541" i="20"/>
  <c r="H541" i="20" a="1"/>
  <c r="H541" i="20" s="1"/>
  <c r="J541" i="20" a="1"/>
  <c r="J541" i="20" s="1"/>
  <c r="L541" i="20" a="1"/>
  <c r="L541" i="20" s="1"/>
  <c r="D542" i="20" a="1"/>
  <c r="D542" i="20" s="1"/>
  <c r="F542" i="20" a="1"/>
  <c r="F542" i="20" s="1"/>
  <c r="B542" i="20"/>
  <c r="H542" i="20" a="1"/>
  <c r="H542" i="20" s="1"/>
  <c r="J542" i="20" a="1"/>
  <c r="J542" i="20" s="1"/>
  <c r="L542" i="20" a="1"/>
  <c r="L542" i="20" s="1"/>
  <c r="D543" i="20" a="1"/>
  <c r="D543" i="20" s="1"/>
  <c r="F543" i="20" a="1"/>
  <c r="F543" i="20" s="1"/>
  <c r="B543" i="20"/>
  <c r="H543" i="20" a="1"/>
  <c r="H543" i="20" s="1"/>
  <c r="J543" i="20" a="1"/>
  <c r="J543" i="20" s="1"/>
  <c r="L543" i="20" a="1"/>
  <c r="L543" i="20" s="1"/>
  <c r="D544" i="20" a="1"/>
  <c r="D544" i="20" s="1"/>
  <c r="F544" i="20" a="1"/>
  <c r="F544" i="20" s="1"/>
  <c r="B544" i="20"/>
  <c r="H544" i="20" a="1"/>
  <c r="H544" i="20" s="1"/>
  <c r="J544" i="20" a="1"/>
  <c r="J544" i="20" s="1"/>
  <c r="L544" i="20" a="1"/>
  <c r="L544" i="20" s="1"/>
  <c r="D545" i="20" a="1"/>
  <c r="D545" i="20" s="1"/>
  <c r="F545" i="20" a="1"/>
  <c r="F545" i="20" s="1"/>
  <c r="B545" i="20"/>
  <c r="H545" i="20" a="1"/>
  <c r="H545" i="20" s="1"/>
  <c r="J545" i="20" a="1"/>
  <c r="J545" i="20" s="1"/>
  <c r="L545" i="20" a="1"/>
  <c r="L545" i="20" s="1"/>
  <c r="D546" i="20" a="1"/>
  <c r="D546" i="20" s="1"/>
  <c r="F546" i="20" a="1"/>
  <c r="F546" i="20" s="1"/>
  <c r="B546" i="20"/>
  <c r="H546" i="20" a="1"/>
  <c r="H546" i="20" s="1"/>
  <c r="J546" i="20" a="1"/>
  <c r="J546" i="20" s="1"/>
  <c r="L546" i="20" a="1"/>
  <c r="L546" i="20" s="1"/>
  <c r="D547" i="20" a="1"/>
  <c r="D547" i="20" s="1"/>
  <c r="F547" i="20" a="1"/>
  <c r="F547" i="20" s="1"/>
  <c r="B547" i="20"/>
  <c r="H547" i="20" a="1"/>
  <c r="H547" i="20" s="1"/>
  <c r="J547" i="20" a="1"/>
  <c r="J547" i="20" s="1"/>
  <c r="L547" i="20" a="1"/>
  <c r="L547" i="20" s="1"/>
  <c r="D548" i="20" a="1"/>
  <c r="D548" i="20" s="1"/>
  <c r="F548" i="20" a="1"/>
  <c r="F548" i="20" s="1"/>
  <c r="B548" i="20"/>
  <c r="H548" i="20" a="1"/>
  <c r="H548" i="20" s="1"/>
  <c r="J548" i="20" a="1"/>
  <c r="J548" i="20" s="1"/>
  <c r="L548" i="20" a="1"/>
  <c r="L548" i="20" s="1"/>
  <c r="B549" i="20"/>
  <c r="D549" i="20" a="1"/>
  <c r="D549" i="20" s="1"/>
  <c r="F549" i="20" a="1"/>
  <c r="F549" i="20" s="1"/>
  <c r="H549" i="20" a="1"/>
  <c r="H549" i="20" s="1"/>
  <c r="J549" i="20" a="1"/>
  <c r="J549" i="20" s="1"/>
  <c r="L549" i="20" a="1"/>
  <c r="L549" i="20" s="1"/>
  <c r="D550" i="20" a="1"/>
  <c r="D550" i="20" s="1"/>
  <c r="F550" i="20" a="1"/>
  <c r="F550" i="20" s="1"/>
  <c r="B550" i="20"/>
  <c r="H550" i="20" a="1"/>
  <c r="H550" i="20" s="1"/>
  <c r="J550" i="20" a="1"/>
  <c r="J550" i="20" s="1"/>
  <c r="L550" i="20" a="1"/>
  <c r="L550" i="20" s="1"/>
  <c r="D551" i="20" a="1"/>
  <c r="D551" i="20" s="1"/>
  <c r="F551" i="20" a="1"/>
  <c r="F551" i="20" s="1"/>
  <c r="B551" i="20"/>
  <c r="H551" i="20" a="1"/>
  <c r="H551" i="20" s="1"/>
  <c r="J551" i="20" a="1"/>
  <c r="J551" i="20" s="1"/>
  <c r="L551" i="20" a="1"/>
  <c r="L551" i="20" s="1"/>
  <c r="D552" i="20" a="1"/>
  <c r="D552" i="20" s="1"/>
  <c r="F552" i="20" a="1"/>
  <c r="F552" i="20" s="1"/>
  <c r="B552" i="20"/>
  <c r="H552" i="20" a="1"/>
  <c r="H552" i="20" s="1"/>
  <c r="J552" i="20" a="1"/>
  <c r="J552" i="20" s="1"/>
  <c r="L552" i="20" a="1"/>
  <c r="L552" i="20" s="1"/>
  <c r="B553" i="20"/>
  <c r="D553" i="20" a="1"/>
  <c r="D553" i="20" s="1"/>
  <c r="F553" i="20" a="1"/>
  <c r="F553" i="20" s="1"/>
  <c r="H553" i="20" a="1"/>
  <c r="H553" i="20" s="1"/>
  <c r="J553" i="20" a="1"/>
  <c r="J553" i="20" s="1"/>
  <c r="L553" i="20" a="1"/>
  <c r="L553" i="20" s="1"/>
  <c r="D554" i="20" a="1"/>
  <c r="D554" i="20" s="1"/>
  <c r="F554" i="20" a="1"/>
  <c r="F554" i="20" s="1"/>
  <c r="B554" i="20"/>
  <c r="H554" i="20" a="1"/>
  <c r="H554" i="20" s="1"/>
  <c r="J554" i="20" a="1"/>
  <c r="J554" i="20" s="1"/>
  <c r="L554" i="20" a="1"/>
  <c r="L554" i="20" s="1"/>
  <c r="D555" i="20" a="1"/>
  <c r="D555" i="20" s="1"/>
  <c r="F555" i="20" a="1"/>
  <c r="F555" i="20" s="1"/>
  <c r="B555" i="20"/>
  <c r="H555" i="20" a="1"/>
  <c r="H555" i="20" s="1"/>
  <c r="J555" i="20" a="1"/>
  <c r="J555" i="20" s="1"/>
  <c r="L555" i="20" a="1"/>
  <c r="L555" i="20" s="1"/>
  <c r="D556" i="20" a="1"/>
  <c r="D556" i="20" s="1"/>
  <c r="F556" i="20" a="1"/>
  <c r="F556" i="20" s="1"/>
  <c r="B556" i="20"/>
  <c r="H556" i="20" a="1"/>
  <c r="H556" i="20" s="1"/>
  <c r="J556" i="20" a="1"/>
  <c r="J556" i="20" s="1"/>
  <c r="L556" i="20" a="1"/>
  <c r="L556" i="20" s="1"/>
  <c r="D557" i="20" a="1"/>
  <c r="D557" i="20" s="1"/>
  <c r="F557" i="20" a="1"/>
  <c r="F557" i="20" s="1"/>
  <c r="B557" i="20"/>
  <c r="H557" i="20" a="1"/>
  <c r="H557" i="20" s="1"/>
  <c r="J557" i="20" a="1"/>
  <c r="J557" i="20" s="1"/>
  <c r="L557" i="20" a="1"/>
  <c r="L557" i="20" s="1"/>
  <c r="D558" i="20" a="1"/>
  <c r="D558" i="20" s="1"/>
  <c r="F558" i="20" a="1"/>
  <c r="F558" i="20" s="1"/>
  <c r="B558" i="20"/>
  <c r="H558" i="20" a="1"/>
  <c r="H558" i="20" s="1"/>
  <c r="J558" i="20" a="1"/>
  <c r="J558" i="20" s="1"/>
  <c r="L558" i="20" a="1"/>
  <c r="L558" i="20" s="1"/>
  <c r="D559" i="20" a="1"/>
  <c r="D559" i="20" s="1"/>
  <c r="F559" i="20" a="1"/>
  <c r="F559" i="20" s="1"/>
  <c r="B559" i="20"/>
  <c r="H559" i="20" a="1"/>
  <c r="H559" i="20" s="1"/>
  <c r="J559" i="20" a="1"/>
  <c r="J559" i="20" s="1"/>
  <c r="L559" i="20" a="1"/>
  <c r="L559" i="20" s="1"/>
  <c r="B560" i="20"/>
  <c r="D560" i="20" a="1"/>
  <c r="D560" i="20" s="1"/>
  <c r="F560" i="20" a="1"/>
  <c r="F560" i="20" s="1"/>
  <c r="H560" i="20" a="1"/>
  <c r="H560" i="20" s="1"/>
  <c r="J560" i="20" a="1"/>
  <c r="J560" i="20" s="1"/>
  <c r="L560" i="20" a="1"/>
  <c r="L560" i="20" s="1"/>
  <c r="D561" i="20" a="1"/>
  <c r="D561" i="20" s="1"/>
  <c r="F561" i="20" a="1"/>
  <c r="F561" i="20" s="1"/>
  <c r="B561" i="20"/>
  <c r="H561" i="20" a="1"/>
  <c r="H561" i="20" s="1"/>
  <c r="J561" i="20" a="1"/>
  <c r="J561" i="20" s="1"/>
  <c r="L561" i="20" a="1"/>
  <c r="L561" i="20" s="1"/>
  <c r="B562" i="20"/>
  <c r="D562" i="20" a="1"/>
  <c r="D562" i="20" s="1"/>
  <c r="F562" i="20" a="1"/>
  <c r="F562" i="20" s="1"/>
  <c r="H562" i="20" a="1"/>
  <c r="H562" i="20" s="1"/>
  <c r="J562" i="20" a="1"/>
  <c r="J562" i="20" s="1"/>
  <c r="L562" i="20" a="1"/>
  <c r="L562" i="20" s="1"/>
  <c r="D563" i="20" a="1"/>
  <c r="D563" i="20" s="1"/>
  <c r="F563" i="20" a="1"/>
  <c r="F563" i="20" s="1"/>
  <c r="B563" i="20"/>
  <c r="H563" i="20" a="1"/>
  <c r="H563" i="20" s="1"/>
  <c r="J563" i="20" a="1"/>
  <c r="J563" i="20" s="1"/>
  <c r="L563" i="20" a="1"/>
  <c r="L563" i="20" s="1"/>
  <c r="D564" i="20" a="1"/>
  <c r="D564" i="20" s="1"/>
  <c r="F564" i="20" a="1"/>
  <c r="F564" i="20" s="1"/>
  <c r="B564" i="20"/>
  <c r="H564" i="20" a="1"/>
  <c r="H564" i="20" s="1"/>
  <c r="J564" i="20" a="1"/>
  <c r="J564" i="20" s="1"/>
  <c r="L564" i="20" a="1"/>
  <c r="L564" i="20" s="1"/>
  <c r="D565" i="20" a="1"/>
  <c r="D565" i="20" s="1"/>
  <c r="F565" i="20" a="1"/>
  <c r="F565" i="20" s="1"/>
  <c r="B565" i="20"/>
  <c r="H565" i="20" a="1"/>
  <c r="H565" i="20" s="1"/>
  <c r="J565" i="20" a="1"/>
  <c r="J565" i="20" s="1"/>
  <c r="L565" i="20" a="1"/>
  <c r="L565" i="20" s="1"/>
  <c r="B566" i="20"/>
  <c r="D566" i="20" a="1"/>
  <c r="D566" i="20" s="1"/>
  <c r="F566" i="20" a="1"/>
  <c r="F566" i="20" s="1"/>
  <c r="H566" i="20" a="1"/>
  <c r="H566" i="20" s="1"/>
  <c r="J566" i="20" a="1"/>
  <c r="J566" i="20" s="1"/>
  <c r="L566" i="20" a="1"/>
  <c r="L566" i="20" s="1"/>
  <c r="D567" i="20" a="1"/>
  <c r="D567" i="20" s="1"/>
  <c r="F567" i="20" a="1"/>
  <c r="F567" i="20" s="1"/>
  <c r="B567" i="20"/>
  <c r="H567" i="20" a="1"/>
  <c r="H567" i="20" s="1"/>
  <c r="J567" i="20" a="1"/>
  <c r="J567" i="20" s="1"/>
  <c r="L567" i="20" a="1"/>
  <c r="L567" i="20" s="1"/>
  <c r="D568" i="20" a="1"/>
  <c r="D568" i="20" s="1"/>
  <c r="F568" i="20" a="1"/>
  <c r="F568" i="20" s="1"/>
  <c r="B568" i="20"/>
  <c r="H568" i="20" a="1"/>
  <c r="H568" i="20" s="1"/>
  <c r="J568" i="20" a="1"/>
  <c r="J568" i="20" s="1"/>
  <c r="L568" i="20" a="1"/>
  <c r="L568" i="20" s="1"/>
  <c r="D569" i="20" a="1"/>
  <c r="D569" i="20" s="1"/>
  <c r="F569" i="20" a="1"/>
  <c r="F569" i="20" s="1"/>
  <c r="B569" i="20"/>
  <c r="H569" i="20" a="1"/>
  <c r="H569" i="20" s="1"/>
  <c r="J569" i="20" a="1"/>
  <c r="J569" i="20" s="1"/>
  <c r="L569" i="20" a="1"/>
  <c r="L569" i="20" s="1"/>
  <c r="B570" i="20"/>
  <c r="D570" i="20" a="1"/>
  <c r="D570" i="20" s="1"/>
  <c r="F570" i="20" a="1"/>
  <c r="F570" i="20" s="1"/>
  <c r="H570" i="20" a="1"/>
  <c r="H570" i="20" s="1"/>
  <c r="J570" i="20" a="1"/>
  <c r="J570" i="20" s="1"/>
  <c r="L570" i="20" a="1"/>
  <c r="L570" i="20" s="1"/>
  <c r="D571" i="20" a="1"/>
  <c r="D571" i="20" s="1"/>
  <c r="F571" i="20" a="1"/>
  <c r="F571" i="20" s="1"/>
  <c r="B571" i="20"/>
  <c r="H571" i="20" a="1"/>
  <c r="H571" i="20" s="1"/>
  <c r="J571" i="20" a="1"/>
  <c r="J571" i="20" s="1"/>
  <c r="L571" i="20" a="1"/>
  <c r="L571" i="20" s="1"/>
  <c r="B572" i="20"/>
  <c r="D572" i="20" a="1"/>
  <c r="D572" i="20" s="1"/>
  <c r="F572" i="20" a="1"/>
  <c r="F572" i="20" s="1"/>
  <c r="H572" i="20" a="1"/>
  <c r="H572" i="20" s="1"/>
  <c r="J572" i="20" a="1"/>
  <c r="J572" i="20" s="1"/>
  <c r="L572" i="20" a="1"/>
  <c r="L572" i="20" s="1"/>
  <c r="D573" i="20" a="1"/>
  <c r="D573" i="20" s="1"/>
  <c r="F573" i="20" a="1"/>
  <c r="F573" i="20" s="1"/>
  <c r="B573" i="20"/>
  <c r="H573" i="20" a="1"/>
  <c r="H573" i="20" s="1"/>
  <c r="J573" i="20" a="1"/>
  <c r="J573" i="20" s="1"/>
  <c r="L573" i="20" a="1"/>
  <c r="L573" i="20" s="1"/>
  <c r="D574" i="20" a="1"/>
  <c r="D574" i="20" s="1"/>
  <c r="F574" i="20" a="1"/>
  <c r="F574" i="20" s="1"/>
  <c r="B574" i="20"/>
  <c r="H574" i="20" a="1"/>
  <c r="H574" i="20" s="1"/>
  <c r="J574" i="20" a="1"/>
  <c r="J574" i="20" s="1"/>
  <c r="L574" i="20" a="1"/>
  <c r="L574" i="20" s="1"/>
  <c r="D575" i="20" a="1"/>
  <c r="D575" i="20" s="1"/>
  <c r="F575" i="20" a="1"/>
  <c r="F575" i="20" s="1"/>
  <c r="B575" i="20"/>
  <c r="H575" i="20" a="1"/>
  <c r="H575" i="20" s="1"/>
  <c r="J575" i="20" a="1"/>
  <c r="J575" i="20" s="1"/>
  <c r="L575" i="20" a="1"/>
  <c r="L575" i="20" s="1"/>
  <c r="D576" i="20" a="1"/>
  <c r="D576" i="20" s="1"/>
  <c r="F576" i="20" a="1"/>
  <c r="F576" i="20" s="1"/>
  <c r="B576" i="20"/>
  <c r="H576" i="20" a="1"/>
  <c r="H576" i="20" s="1"/>
  <c r="J576" i="20" a="1"/>
  <c r="J576" i="20" s="1"/>
  <c r="L576" i="20" a="1"/>
  <c r="L576" i="20" s="1"/>
  <c r="B577" i="20"/>
  <c r="D577" i="20" a="1"/>
  <c r="D577" i="20" s="1"/>
  <c r="F577" i="20" a="1"/>
  <c r="F577" i="20" s="1"/>
  <c r="H577" i="20" a="1"/>
  <c r="H577" i="20" s="1"/>
  <c r="J577" i="20" a="1"/>
  <c r="J577" i="20" s="1"/>
  <c r="L577" i="20" a="1"/>
  <c r="L577" i="20" s="1"/>
  <c r="D578" i="20" a="1"/>
  <c r="D578" i="20" s="1"/>
  <c r="F578" i="20" a="1"/>
  <c r="F578" i="20" s="1"/>
  <c r="B578" i="20"/>
  <c r="H578" i="20" a="1"/>
  <c r="H578" i="20" s="1"/>
  <c r="J578" i="20" a="1"/>
  <c r="J578" i="20" s="1"/>
  <c r="L578" i="20" a="1"/>
  <c r="L578" i="20" s="1"/>
  <c r="D579" i="20" a="1"/>
  <c r="D579" i="20" s="1"/>
  <c r="F579" i="20" a="1"/>
  <c r="F579" i="20" s="1"/>
  <c r="B579" i="20"/>
  <c r="H579" i="20" a="1"/>
  <c r="H579" i="20" s="1"/>
  <c r="J579" i="20" a="1"/>
  <c r="J579" i="20" s="1"/>
  <c r="L579" i="20" a="1"/>
  <c r="L579" i="20" s="1"/>
  <c r="B580" i="20"/>
  <c r="D580" i="20" a="1"/>
  <c r="D580" i="20" s="1"/>
  <c r="F580" i="20" a="1"/>
  <c r="F580" i="20" s="1"/>
  <c r="H580" i="20" a="1"/>
  <c r="H580" i="20" s="1"/>
  <c r="J580" i="20" a="1"/>
  <c r="J580" i="20" s="1"/>
  <c r="L580" i="20" a="1"/>
  <c r="L580" i="20" s="1"/>
  <c r="D581" i="20" a="1"/>
  <c r="D581" i="20" s="1"/>
  <c r="F581" i="20" a="1"/>
  <c r="F581" i="20" s="1"/>
  <c r="B581" i="20"/>
  <c r="H581" i="20" a="1"/>
  <c r="H581" i="20" s="1"/>
  <c r="J581" i="20" a="1"/>
  <c r="J581" i="20" s="1"/>
  <c r="L581" i="20" a="1"/>
  <c r="L581" i="20" s="1"/>
  <c r="D582" i="20" a="1"/>
  <c r="D582" i="20" s="1"/>
  <c r="F582" i="20" a="1"/>
  <c r="F582" i="20" s="1"/>
  <c r="B582" i="20"/>
  <c r="H582" i="20" a="1"/>
  <c r="H582" i="20" s="1"/>
  <c r="J582" i="20" a="1"/>
  <c r="J582" i="20" s="1"/>
  <c r="L582" i="20" a="1"/>
  <c r="L582" i="20" s="1"/>
  <c r="B583" i="20"/>
  <c r="D583" i="20" a="1"/>
  <c r="D583" i="20" s="1"/>
  <c r="F583" i="20" a="1"/>
  <c r="F583" i="20" s="1"/>
  <c r="H583" i="20" a="1"/>
  <c r="H583" i="20" s="1"/>
  <c r="J583" i="20" a="1"/>
  <c r="J583" i="20" s="1"/>
  <c r="L583" i="20" a="1"/>
  <c r="L583" i="20" s="1"/>
  <c r="D584" i="20" a="1"/>
  <c r="D584" i="20" s="1"/>
  <c r="F584" i="20" a="1"/>
  <c r="F584" i="20" s="1"/>
  <c r="B584" i="20"/>
  <c r="H584" i="20" a="1"/>
  <c r="H584" i="20" s="1"/>
  <c r="J584" i="20" a="1"/>
  <c r="J584" i="20" s="1"/>
  <c r="L584" i="20" a="1"/>
  <c r="L584" i="20" s="1"/>
  <c r="B585" i="20"/>
  <c r="D585" i="20" a="1"/>
  <c r="D585" i="20" s="1"/>
  <c r="F585" i="20" a="1"/>
  <c r="F585" i="20" s="1"/>
  <c r="H585" i="20" a="1"/>
  <c r="H585" i="20" s="1"/>
  <c r="J585" i="20" a="1"/>
  <c r="J585" i="20" s="1"/>
  <c r="L585" i="20" a="1"/>
  <c r="L585" i="20" s="1"/>
  <c r="D586" i="20" a="1"/>
  <c r="D586" i="20" s="1"/>
  <c r="F586" i="20" a="1"/>
  <c r="F586" i="20" s="1"/>
  <c r="B586" i="20"/>
  <c r="H586" i="20" a="1"/>
  <c r="H586" i="20" s="1"/>
  <c r="J586" i="20" a="1"/>
  <c r="J586" i="20" s="1"/>
  <c r="L586" i="20" a="1"/>
  <c r="L586" i="20" s="1"/>
  <c r="B587" i="20"/>
  <c r="D587" i="20" a="1"/>
  <c r="D587" i="20" s="1"/>
  <c r="F587" i="20" a="1"/>
  <c r="F587" i="20" s="1"/>
  <c r="H587" i="20" a="1"/>
  <c r="H587" i="20" s="1"/>
  <c r="J587" i="20" a="1"/>
  <c r="J587" i="20" s="1"/>
  <c r="L587" i="20" a="1"/>
  <c r="L587" i="20" s="1"/>
  <c r="D588" i="20" a="1"/>
  <c r="D588" i="20" s="1"/>
  <c r="F588" i="20" a="1"/>
  <c r="F588" i="20" s="1"/>
  <c r="B588" i="20"/>
  <c r="H588" i="20" a="1"/>
  <c r="H588" i="20" s="1"/>
  <c r="J588" i="20" a="1"/>
  <c r="J588" i="20" s="1"/>
  <c r="L588" i="20" a="1"/>
  <c r="L588" i="20" s="1"/>
  <c r="B589" i="20"/>
  <c r="D589" i="20" a="1"/>
  <c r="D589" i="20" s="1"/>
  <c r="F589" i="20" a="1"/>
  <c r="F589" i="20" s="1"/>
  <c r="H589" i="20" a="1"/>
  <c r="H589" i="20" s="1"/>
  <c r="J589" i="20" a="1"/>
  <c r="J589" i="20" s="1"/>
  <c r="L589" i="20" a="1"/>
  <c r="L589" i="20" s="1"/>
  <c r="D590" i="20" a="1"/>
  <c r="D590" i="20" s="1"/>
  <c r="F590" i="20" a="1"/>
  <c r="F590" i="20" s="1"/>
  <c r="B590" i="20"/>
  <c r="H590" i="20" a="1"/>
  <c r="H590" i="20" s="1"/>
  <c r="J590" i="20" a="1"/>
  <c r="J590" i="20" s="1"/>
  <c r="L590" i="20" a="1"/>
  <c r="L590" i="20" s="1"/>
  <c r="D591" i="20" a="1"/>
  <c r="D591" i="20" s="1"/>
  <c r="F591" i="20" a="1"/>
  <c r="F591" i="20" s="1"/>
  <c r="B591" i="20"/>
  <c r="H591" i="20" a="1"/>
  <c r="H591" i="20" s="1"/>
  <c r="J591" i="20" a="1"/>
  <c r="J591" i="20" s="1"/>
  <c r="L591" i="20" a="1"/>
  <c r="L591" i="20" s="1"/>
  <c r="D592" i="20" a="1"/>
  <c r="D592" i="20" s="1"/>
  <c r="F592" i="20" a="1"/>
  <c r="F592" i="20" s="1"/>
  <c r="B592" i="20"/>
  <c r="H592" i="20" a="1"/>
  <c r="H592" i="20" s="1"/>
  <c r="J592" i="20" a="1"/>
  <c r="J592" i="20" s="1"/>
  <c r="L592" i="20" a="1"/>
  <c r="L592" i="20" s="1"/>
  <c r="D593" i="20" a="1"/>
  <c r="D593" i="20" s="1"/>
  <c r="F593" i="20" a="1"/>
  <c r="F593" i="20" s="1"/>
  <c r="B593" i="20"/>
  <c r="H593" i="20" a="1"/>
  <c r="H593" i="20" s="1"/>
  <c r="J593" i="20" a="1"/>
  <c r="J593" i="20" s="1"/>
  <c r="L593" i="20" a="1"/>
  <c r="L593" i="20" s="1"/>
  <c r="B594" i="20"/>
  <c r="D594" i="20" a="1"/>
  <c r="D594" i="20" s="1"/>
  <c r="F594" i="20" a="1"/>
  <c r="F594" i="20" s="1"/>
  <c r="H594" i="20" a="1"/>
  <c r="H594" i="20" s="1"/>
  <c r="J594" i="20" a="1"/>
  <c r="J594" i="20" s="1"/>
  <c r="L594" i="20" a="1"/>
  <c r="L594" i="20" s="1"/>
  <c r="D595" i="20" a="1"/>
  <c r="D595" i="20" s="1"/>
  <c r="F595" i="20" a="1"/>
  <c r="F595" i="20" s="1"/>
  <c r="B595" i="20"/>
  <c r="H595" i="20" a="1"/>
  <c r="H595" i="20" s="1"/>
  <c r="J595" i="20" a="1"/>
  <c r="J595" i="20" s="1"/>
  <c r="L595" i="20" a="1"/>
  <c r="L595" i="20" s="1"/>
  <c r="D596" i="20" a="1"/>
  <c r="D596" i="20" s="1"/>
  <c r="F596" i="20" a="1"/>
  <c r="F596" i="20" s="1"/>
  <c r="B596" i="20"/>
  <c r="H596" i="20" a="1"/>
  <c r="H596" i="20" s="1"/>
  <c r="J596" i="20" a="1"/>
  <c r="J596" i="20" s="1"/>
  <c r="L596" i="20" a="1"/>
  <c r="L596" i="20" s="1"/>
  <c r="D597" i="20" a="1"/>
  <c r="D597" i="20" s="1"/>
  <c r="F597" i="20" a="1"/>
  <c r="F597" i="20" s="1"/>
  <c r="B597" i="20"/>
  <c r="H597" i="20" a="1"/>
  <c r="H597" i="20" s="1"/>
  <c r="J597" i="20" a="1"/>
  <c r="J597" i="20" s="1"/>
  <c r="L597" i="20" a="1"/>
  <c r="L597" i="20" s="1"/>
  <c r="B598" i="20"/>
  <c r="D598" i="20" a="1"/>
  <c r="D598" i="20" s="1"/>
  <c r="F598" i="20" a="1"/>
  <c r="F598" i="20" s="1"/>
  <c r="H598" i="20" a="1"/>
  <c r="H598" i="20" s="1"/>
  <c r="J598" i="20" a="1"/>
  <c r="J598" i="20" s="1"/>
  <c r="L598" i="20" a="1"/>
  <c r="L598" i="20" s="1"/>
  <c r="D599" i="20" a="1"/>
  <c r="D599" i="20" s="1"/>
  <c r="F599" i="20" a="1"/>
  <c r="F599" i="20" s="1"/>
  <c r="B599" i="20"/>
  <c r="H599" i="20" a="1"/>
  <c r="H599" i="20" s="1"/>
  <c r="J599" i="20" a="1"/>
  <c r="J599" i="20" s="1"/>
  <c r="L599" i="20" a="1"/>
  <c r="L599" i="20" s="1"/>
  <c r="B600" i="20"/>
  <c r="D600" i="20" a="1"/>
  <c r="D600" i="20" s="1"/>
  <c r="F600" i="20" a="1"/>
  <c r="F600" i="20" s="1"/>
  <c r="H600" i="20" a="1"/>
  <c r="H600" i="20" s="1"/>
  <c r="J600" i="20" a="1"/>
  <c r="J600" i="20" s="1"/>
  <c r="L600" i="20" a="1"/>
  <c r="L600" i="20" s="1"/>
  <c r="D601" i="20" a="1"/>
  <c r="D601" i="20" s="1"/>
  <c r="F601" i="20" a="1"/>
  <c r="F601" i="20" s="1"/>
  <c r="B601" i="20"/>
  <c r="H601" i="20" a="1"/>
  <c r="H601" i="20" s="1"/>
  <c r="J601" i="20" a="1"/>
  <c r="J601" i="20" s="1"/>
  <c r="L601" i="20" a="1"/>
  <c r="L601" i="20" s="1"/>
  <c r="D602" i="20" a="1"/>
  <c r="D602" i="20" s="1"/>
  <c r="F602" i="20" a="1"/>
  <c r="F602" i="20" s="1"/>
  <c r="B602" i="20"/>
  <c r="H602" i="20" a="1"/>
  <c r="H602" i="20" s="1"/>
  <c r="J602" i="20" a="1"/>
  <c r="J602" i="20" s="1"/>
  <c r="L602" i="20" a="1"/>
  <c r="L602" i="20" s="1"/>
  <c r="D603" i="20" a="1"/>
  <c r="D603" i="20" s="1"/>
  <c r="F603" i="20" a="1"/>
  <c r="F603" i="20" s="1"/>
  <c r="B603" i="20"/>
  <c r="H603" i="20" a="1"/>
  <c r="H603" i="20" s="1"/>
  <c r="J603" i="20" a="1"/>
  <c r="J603" i="20" s="1"/>
  <c r="L603" i="20" a="1"/>
  <c r="L603" i="20" s="1"/>
  <c r="B604" i="20"/>
  <c r="D604" i="20" a="1"/>
  <c r="D604" i="20" s="1"/>
  <c r="F604" i="20" a="1"/>
  <c r="F604" i="20" s="1"/>
  <c r="H604" i="20" a="1"/>
  <c r="H604" i="20" s="1"/>
  <c r="J604" i="20" a="1"/>
  <c r="J604" i="20" s="1"/>
  <c r="L604" i="20" a="1"/>
  <c r="L604" i="20" s="1"/>
  <c r="D605" i="20" a="1"/>
  <c r="D605" i="20" s="1"/>
  <c r="F605" i="20" a="1"/>
  <c r="F605" i="20" s="1"/>
  <c r="B605" i="20"/>
  <c r="H605" i="20" a="1"/>
  <c r="H605" i="20" s="1"/>
  <c r="J605" i="20" a="1"/>
  <c r="J605" i="20" s="1"/>
  <c r="L605" i="20" a="1"/>
  <c r="L605" i="20" s="1"/>
  <c r="B606" i="20"/>
  <c r="D606" i="20" a="1"/>
  <c r="D606" i="20" s="1"/>
  <c r="F606" i="20" a="1"/>
  <c r="F606" i="20" s="1"/>
  <c r="H606" i="20" a="1"/>
  <c r="H606" i="20" s="1"/>
  <c r="J606" i="20" a="1"/>
  <c r="J606" i="20" s="1"/>
  <c r="L606" i="20" a="1"/>
  <c r="L606" i="20" s="1"/>
  <c r="D607" i="20" a="1"/>
  <c r="D607" i="20" s="1"/>
  <c r="F607" i="20" a="1"/>
  <c r="F607" i="20" s="1"/>
  <c r="B607" i="20"/>
  <c r="H607" i="20" a="1"/>
  <c r="H607" i="20" s="1"/>
  <c r="J607" i="20" a="1"/>
  <c r="J607" i="20" s="1"/>
  <c r="L607" i="20" a="1"/>
  <c r="L607" i="20" s="1"/>
  <c r="D608" i="20" a="1"/>
  <c r="D608" i="20" s="1"/>
  <c r="F608" i="20" a="1"/>
  <c r="F608" i="20" s="1"/>
  <c r="B608" i="20"/>
  <c r="H608" i="20" a="1"/>
  <c r="H608" i="20" s="1"/>
  <c r="J608" i="20" a="1"/>
  <c r="J608" i="20" s="1"/>
  <c r="L608" i="20" a="1"/>
  <c r="L608" i="20" s="1"/>
  <c r="D609" i="20" a="1"/>
  <c r="D609" i="20" s="1"/>
  <c r="F609" i="20" a="1"/>
  <c r="F609" i="20" s="1"/>
  <c r="B609" i="20"/>
  <c r="H609" i="20" a="1"/>
  <c r="H609" i="20" s="1"/>
  <c r="J609" i="20" a="1"/>
  <c r="J609" i="20" s="1"/>
  <c r="L609" i="20" a="1"/>
  <c r="L609" i="20" s="1"/>
  <c r="B610" i="20"/>
  <c r="D610" i="20" a="1"/>
  <c r="D610" i="20" s="1"/>
  <c r="F610" i="20" a="1"/>
  <c r="F610" i="20" s="1"/>
  <c r="H610" i="20" a="1"/>
  <c r="H610" i="20" s="1"/>
  <c r="J610" i="20" a="1"/>
  <c r="J610" i="20" s="1"/>
  <c r="L610" i="20" a="1"/>
  <c r="L610" i="20" s="1"/>
  <c r="D611" i="20" a="1"/>
  <c r="D611" i="20" s="1"/>
  <c r="F611" i="20" a="1"/>
  <c r="F611" i="20" s="1"/>
  <c r="B611" i="20"/>
  <c r="H611" i="20" a="1"/>
  <c r="H611" i="20" s="1"/>
  <c r="J611" i="20" a="1"/>
  <c r="J611" i="20" s="1"/>
  <c r="L611" i="20" a="1"/>
  <c r="L611" i="20" s="1"/>
  <c r="D612" i="20" a="1"/>
  <c r="D612" i="20" s="1"/>
  <c r="F612" i="20" a="1"/>
  <c r="F612" i="20" s="1"/>
  <c r="B612" i="20"/>
  <c r="H612" i="20" a="1"/>
  <c r="H612" i="20" s="1"/>
  <c r="J612" i="20" a="1"/>
  <c r="J612" i="20" s="1"/>
  <c r="L612" i="20" a="1"/>
  <c r="L612" i="20" s="1"/>
  <c r="D613" i="20" a="1"/>
  <c r="D613" i="20" s="1"/>
  <c r="F613" i="20" a="1"/>
  <c r="F613" i="20" s="1"/>
  <c r="B613" i="20"/>
  <c r="H613" i="20" a="1"/>
  <c r="H613" i="20" s="1"/>
  <c r="J613" i="20" a="1"/>
  <c r="J613" i="20" s="1"/>
  <c r="L613" i="20" a="1"/>
  <c r="L613" i="20" s="1"/>
  <c r="D614" i="20" a="1"/>
  <c r="D614" i="20" s="1"/>
  <c r="F614" i="20" a="1"/>
  <c r="F614" i="20" s="1"/>
  <c r="B614" i="20"/>
  <c r="H614" i="20" a="1"/>
  <c r="H614" i="20" s="1"/>
  <c r="J614" i="20" a="1"/>
  <c r="J614" i="20" s="1"/>
  <c r="L614" i="20" a="1"/>
  <c r="L614" i="20" s="1"/>
  <c r="B615" i="20"/>
  <c r="D615" i="20" a="1"/>
  <c r="D615" i="20" s="1"/>
  <c r="F615" i="20" a="1"/>
  <c r="F615" i="20" s="1"/>
  <c r="H615" i="20" a="1"/>
  <c r="H615" i="20" s="1"/>
  <c r="J615" i="20" a="1"/>
  <c r="J615" i="20" s="1"/>
  <c r="L615" i="20" a="1"/>
  <c r="L615" i="20" s="1"/>
  <c r="D616" i="20" a="1"/>
  <c r="D616" i="20" s="1"/>
  <c r="F616" i="20" a="1"/>
  <c r="F616" i="20" s="1"/>
  <c r="B616" i="20"/>
  <c r="H616" i="20" a="1"/>
  <c r="H616" i="20" s="1"/>
  <c r="J616" i="20" a="1"/>
  <c r="J616" i="20" s="1"/>
  <c r="L616" i="20" a="1"/>
  <c r="L616" i="20" s="1"/>
  <c r="D617" i="20" a="1"/>
  <c r="D617" i="20" s="1"/>
  <c r="F617" i="20" a="1"/>
  <c r="F617" i="20" s="1"/>
  <c r="B617" i="20"/>
  <c r="H617" i="20" a="1"/>
  <c r="H617" i="20" s="1"/>
  <c r="J617" i="20" a="1"/>
  <c r="J617" i="20" s="1"/>
  <c r="L617" i="20" a="1"/>
  <c r="L617" i="20" s="1"/>
  <c r="B618" i="20"/>
  <c r="D618" i="20" a="1"/>
  <c r="D618" i="20" s="1"/>
  <c r="F618" i="20" a="1"/>
  <c r="F618" i="20" s="1"/>
  <c r="H618" i="20" a="1"/>
  <c r="H618" i="20" s="1"/>
  <c r="J618" i="20" a="1"/>
  <c r="J618" i="20" s="1"/>
  <c r="L618" i="20" a="1"/>
  <c r="L618" i="20" s="1"/>
  <c r="D619" i="20" a="1"/>
  <c r="D619" i="20" s="1"/>
  <c r="F619" i="20" a="1"/>
  <c r="F619" i="20" s="1"/>
  <c r="B619" i="20"/>
  <c r="H619" i="20" a="1"/>
  <c r="H619" i="20" s="1"/>
  <c r="J619" i="20" a="1"/>
  <c r="J619" i="20" s="1"/>
  <c r="L619" i="20" a="1"/>
  <c r="L619" i="20" s="1"/>
  <c r="B620" i="20"/>
  <c r="D620" i="20" a="1"/>
  <c r="D620" i="20" s="1"/>
  <c r="F620" i="20" a="1"/>
  <c r="F620" i="20" s="1"/>
  <c r="H620" i="20" a="1"/>
  <c r="H620" i="20" s="1"/>
  <c r="J620" i="20" a="1"/>
  <c r="J620" i="20" s="1"/>
  <c r="L620" i="20" a="1"/>
  <c r="L620" i="20" s="1"/>
  <c r="D621" i="20" a="1"/>
  <c r="D621" i="20" s="1"/>
  <c r="F621" i="20" a="1"/>
  <c r="F621" i="20" s="1"/>
  <c r="B621" i="20"/>
  <c r="H621" i="20" a="1"/>
  <c r="H621" i="20" s="1"/>
  <c r="J621" i="20" a="1"/>
  <c r="J621" i="20" s="1"/>
  <c r="L621" i="20" a="1"/>
  <c r="L621" i="20" s="1"/>
  <c r="B622" i="20"/>
  <c r="D622" i="20" a="1"/>
  <c r="D622" i="20" s="1"/>
  <c r="F622" i="20" a="1"/>
  <c r="F622" i="20" s="1"/>
  <c r="H622" i="20" a="1"/>
  <c r="H622" i="20" s="1"/>
  <c r="J622" i="20" a="1"/>
  <c r="J622" i="20" s="1"/>
  <c r="L622" i="20" a="1"/>
  <c r="L622" i="20" s="1"/>
  <c r="D623" i="20" a="1"/>
  <c r="D623" i="20" s="1"/>
  <c r="F623" i="20" a="1"/>
  <c r="F623" i="20" s="1"/>
  <c r="B623" i="20"/>
  <c r="H623" i="20" a="1"/>
  <c r="H623" i="20" s="1"/>
  <c r="J623" i="20" a="1"/>
  <c r="J623" i="20" s="1"/>
  <c r="L623" i="20" a="1"/>
  <c r="L623" i="20" s="1"/>
  <c r="D624" i="20" a="1"/>
  <c r="D624" i="20" s="1"/>
  <c r="F624" i="20" a="1"/>
  <c r="F624" i="20" s="1"/>
  <c r="B624" i="20"/>
  <c r="H624" i="20" a="1"/>
  <c r="H624" i="20" s="1"/>
  <c r="J624" i="20" a="1"/>
  <c r="J624" i="20" s="1"/>
  <c r="L624" i="20" a="1"/>
  <c r="L624" i="20" s="1"/>
  <c r="D625" i="20" a="1"/>
  <c r="D625" i="20" s="1"/>
  <c r="F625" i="20" a="1"/>
  <c r="F625" i="20" s="1"/>
  <c r="B625" i="20"/>
  <c r="H625" i="20" a="1"/>
  <c r="H625" i="20" s="1"/>
  <c r="J625" i="20" a="1"/>
  <c r="J625" i="20" s="1"/>
  <c r="L625" i="20" a="1"/>
  <c r="L625" i="20" s="1"/>
  <c r="D626" i="20" a="1"/>
  <c r="D626" i="20" s="1"/>
  <c r="F626" i="20" a="1"/>
  <c r="F626" i="20" s="1"/>
  <c r="B626" i="20"/>
  <c r="H626" i="20" a="1"/>
  <c r="H626" i="20" s="1"/>
  <c r="J626" i="20" a="1"/>
  <c r="J626" i="20" s="1"/>
  <c r="L626" i="20" a="1"/>
  <c r="L626" i="20" s="1"/>
  <c r="B627" i="20"/>
  <c r="D627" i="20" a="1"/>
  <c r="D627" i="20" s="1"/>
  <c r="F627" i="20" a="1"/>
  <c r="F627" i="20" s="1"/>
  <c r="H627" i="20" a="1"/>
  <c r="H627" i="20" s="1"/>
  <c r="J627" i="20" a="1"/>
  <c r="J627" i="20" s="1"/>
  <c r="L627" i="20" a="1"/>
  <c r="L627" i="20" s="1"/>
  <c r="D628" i="20" a="1"/>
  <c r="D628" i="20" s="1"/>
  <c r="F628" i="20" a="1"/>
  <c r="F628" i="20" s="1"/>
  <c r="B628" i="20"/>
  <c r="H628" i="20" a="1"/>
  <c r="H628" i="20" s="1"/>
  <c r="J628" i="20" a="1"/>
  <c r="J628" i="20" s="1"/>
  <c r="L628" i="20" a="1"/>
  <c r="L628" i="20" s="1"/>
  <c r="D629" i="20" a="1"/>
  <c r="D629" i="20" s="1"/>
  <c r="F629" i="20" a="1"/>
  <c r="F629" i="20" s="1"/>
  <c r="B629" i="20"/>
  <c r="H629" i="20" a="1"/>
  <c r="H629" i="20" s="1"/>
  <c r="J629" i="20" a="1"/>
  <c r="J629" i="20" s="1"/>
  <c r="L629" i="20" a="1"/>
  <c r="L629" i="20" s="1"/>
  <c r="B630" i="20"/>
  <c r="D630" i="20" a="1"/>
  <c r="D630" i="20" s="1"/>
  <c r="F630" i="20" a="1"/>
  <c r="F630" i="20" s="1"/>
  <c r="H630" i="20" a="1"/>
  <c r="H630" i="20" s="1"/>
  <c r="J630" i="20" a="1"/>
  <c r="J630" i="20" s="1"/>
  <c r="L630" i="20" a="1"/>
  <c r="L630" i="20" s="1"/>
  <c r="D631" i="20" a="1"/>
  <c r="D631" i="20" s="1"/>
  <c r="F631" i="20" a="1"/>
  <c r="F631" i="20" s="1"/>
  <c r="B631" i="20"/>
  <c r="H631" i="20" a="1"/>
  <c r="H631" i="20" s="1"/>
  <c r="J631" i="20" a="1"/>
  <c r="J631" i="20" s="1"/>
  <c r="L631" i="20" a="1"/>
  <c r="L631" i="20" s="1"/>
  <c r="D632" i="20" a="1"/>
  <c r="D632" i="20" s="1"/>
  <c r="F632" i="20" a="1"/>
  <c r="F632" i="20" s="1"/>
  <c r="B632" i="20"/>
  <c r="H632" i="20" a="1"/>
  <c r="H632" i="20" s="1"/>
  <c r="J632" i="20" a="1"/>
  <c r="J632" i="20" s="1"/>
  <c r="L632" i="20" a="1"/>
  <c r="L632" i="20" s="1"/>
  <c r="D633" i="20" a="1"/>
  <c r="D633" i="20" s="1"/>
  <c r="F633" i="20" a="1"/>
  <c r="F633" i="20" s="1"/>
  <c r="B633" i="20"/>
  <c r="H633" i="20" a="1"/>
  <c r="H633" i="20" s="1"/>
  <c r="J633" i="20" a="1"/>
  <c r="J633" i="20" s="1"/>
  <c r="L633" i="20" a="1"/>
  <c r="L633" i="20" s="1"/>
  <c r="D634" i="20" a="1"/>
  <c r="D634" i="20" s="1"/>
  <c r="F634" i="20" a="1"/>
  <c r="F634" i="20" s="1"/>
  <c r="B634" i="20"/>
  <c r="H634" i="20" a="1"/>
  <c r="H634" i="20" s="1"/>
  <c r="J634" i="20" a="1"/>
  <c r="J634" i="20" s="1"/>
  <c r="L634" i="20" a="1"/>
  <c r="L634" i="20" s="1"/>
  <c r="B635" i="20"/>
  <c r="D635" i="20" a="1"/>
  <c r="D635" i="20" s="1"/>
  <c r="F635" i="20" a="1"/>
  <c r="F635" i="20" s="1"/>
  <c r="H635" i="20" a="1"/>
  <c r="H635" i="20" s="1"/>
  <c r="J635" i="20" a="1"/>
  <c r="J635" i="20" s="1"/>
  <c r="L635" i="20" a="1"/>
  <c r="L635" i="20" s="1"/>
  <c r="D636" i="20" a="1"/>
  <c r="D636" i="20" s="1"/>
  <c r="F636" i="20" a="1"/>
  <c r="F636" i="20" s="1"/>
  <c r="B636" i="20"/>
  <c r="H636" i="20" a="1"/>
  <c r="H636" i="20" s="1"/>
  <c r="J636" i="20" a="1"/>
  <c r="J636" i="20" s="1"/>
  <c r="L636" i="20" a="1"/>
  <c r="L636" i="20" s="1"/>
  <c r="D637" i="20" a="1"/>
  <c r="D637" i="20" s="1"/>
  <c r="F637" i="20" a="1"/>
  <c r="F637" i="20" s="1"/>
  <c r="B637" i="20"/>
  <c r="H637" i="20" a="1"/>
  <c r="H637" i="20" s="1"/>
  <c r="J637" i="20" a="1"/>
  <c r="J637" i="20" s="1"/>
  <c r="L637" i="20" a="1"/>
  <c r="L637" i="20" s="1"/>
  <c r="D638" i="20" a="1"/>
  <c r="D638" i="20" s="1"/>
  <c r="F638" i="20" a="1"/>
  <c r="F638" i="20" s="1"/>
  <c r="B638" i="20"/>
  <c r="H638" i="20" a="1"/>
  <c r="H638" i="20" s="1"/>
  <c r="J638" i="20" a="1"/>
  <c r="J638" i="20" s="1"/>
  <c r="L638" i="20" a="1"/>
  <c r="L638" i="20" s="1"/>
  <c r="B639" i="20"/>
  <c r="D639" i="20" a="1"/>
  <c r="D639" i="20" s="1"/>
  <c r="F639" i="20" a="1"/>
  <c r="F639" i="20" s="1"/>
  <c r="H639" i="20" a="1"/>
  <c r="H639" i="20" s="1"/>
  <c r="J639" i="20" a="1"/>
  <c r="J639" i="20" s="1"/>
  <c r="L639" i="20" a="1"/>
  <c r="L639" i="20" s="1"/>
  <c r="D640" i="20" a="1"/>
  <c r="D640" i="20" s="1"/>
  <c r="F640" i="20" a="1"/>
  <c r="F640" i="20" s="1"/>
  <c r="B640" i="20"/>
  <c r="H640" i="20" a="1"/>
  <c r="H640" i="20" s="1"/>
  <c r="J640" i="20" a="1"/>
  <c r="J640" i="20" s="1"/>
  <c r="L640" i="20" a="1"/>
  <c r="L640" i="20" s="1"/>
  <c r="D641" i="20" a="1"/>
  <c r="D641" i="20" s="1"/>
  <c r="F641" i="20" a="1"/>
  <c r="F641" i="20" s="1"/>
  <c r="B641" i="20"/>
  <c r="H641" i="20" a="1"/>
  <c r="H641" i="20" s="1"/>
  <c r="J641" i="20" a="1"/>
  <c r="J641" i="20" s="1"/>
  <c r="L641" i="20" a="1"/>
  <c r="L641" i="20" s="1"/>
  <c r="D642" i="20" a="1"/>
  <c r="D642" i="20" s="1"/>
  <c r="F642" i="20" a="1"/>
  <c r="F642" i="20" s="1"/>
  <c r="B642" i="20"/>
  <c r="H642" i="20" a="1"/>
  <c r="H642" i="20" s="1"/>
  <c r="J642" i="20" a="1"/>
  <c r="J642" i="20" s="1"/>
  <c r="L642" i="20" a="1"/>
  <c r="L642" i="20" s="1"/>
  <c r="B643" i="20"/>
  <c r="D643" i="20" a="1"/>
  <c r="D643" i="20" s="1"/>
  <c r="F643" i="20" a="1"/>
  <c r="F643" i="20" s="1"/>
  <c r="H643" i="20" a="1"/>
  <c r="H643" i="20" s="1"/>
  <c r="J643" i="20" a="1"/>
  <c r="J643" i="20" s="1"/>
  <c r="L643" i="20" a="1"/>
  <c r="L643" i="20" s="1"/>
  <c r="D644" i="20" a="1"/>
  <c r="D644" i="20" s="1"/>
  <c r="F644" i="20" a="1"/>
  <c r="F644" i="20" s="1"/>
  <c r="B644" i="20"/>
  <c r="H644" i="20" a="1"/>
  <c r="H644" i="20" s="1"/>
  <c r="J644" i="20" a="1"/>
  <c r="J644" i="20" s="1"/>
  <c r="L644" i="20" a="1"/>
  <c r="L644" i="20" s="1"/>
  <c r="D645" i="20" a="1"/>
  <c r="D645" i="20" s="1"/>
  <c r="F645" i="20" a="1"/>
  <c r="F645" i="20" s="1"/>
  <c r="B645" i="20"/>
  <c r="H645" i="20" a="1"/>
  <c r="H645" i="20" s="1"/>
  <c r="J645" i="20" a="1"/>
  <c r="J645" i="20" s="1"/>
  <c r="L645" i="20" a="1"/>
  <c r="L645" i="20" s="1"/>
  <c r="D646" i="20" a="1"/>
  <c r="D646" i="20" s="1"/>
  <c r="F646" i="20" a="1"/>
  <c r="F646" i="20" s="1"/>
  <c r="B646" i="20"/>
  <c r="H646" i="20" a="1"/>
  <c r="H646" i="20" s="1"/>
  <c r="J646" i="20" a="1"/>
  <c r="J646" i="20" s="1"/>
  <c r="L646" i="20" a="1"/>
  <c r="L646" i="20" s="1"/>
  <c r="B647" i="20"/>
  <c r="D647" i="20" a="1"/>
  <c r="D647" i="20" s="1"/>
  <c r="F647" i="20" a="1"/>
  <c r="F647" i="20" s="1"/>
  <c r="H647" i="20" a="1"/>
  <c r="H647" i="20" s="1"/>
  <c r="J647" i="20" a="1"/>
  <c r="J647" i="20" s="1"/>
  <c r="L647" i="20" a="1"/>
  <c r="L647" i="20" s="1"/>
  <c r="D648" i="20" a="1"/>
  <c r="D648" i="20" s="1"/>
  <c r="F648" i="20" a="1"/>
  <c r="F648" i="20" s="1"/>
  <c r="B648" i="20"/>
  <c r="H648" i="20" a="1"/>
  <c r="H648" i="20" s="1"/>
  <c r="J648" i="20" a="1"/>
  <c r="J648" i="20" s="1"/>
  <c r="L648" i="20" a="1"/>
  <c r="L648" i="20" s="1"/>
  <c r="B649" i="20"/>
  <c r="D649" i="20" a="1"/>
  <c r="D649" i="20" s="1"/>
  <c r="F649" i="20" a="1"/>
  <c r="F649" i="20" s="1"/>
  <c r="H649" i="20" a="1"/>
  <c r="H649" i="20" s="1"/>
  <c r="J649" i="20" a="1"/>
  <c r="J649" i="20" s="1"/>
  <c r="L649" i="20" a="1"/>
  <c r="L649" i="20" s="1"/>
  <c r="D650" i="20" a="1"/>
  <c r="D650" i="20" s="1"/>
  <c r="F650" i="20" a="1"/>
  <c r="F650" i="20" s="1"/>
  <c r="B650" i="20"/>
  <c r="H650" i="20" a="1"/>
  <c r="H650" i="20" s="1"/>
  <c r="J650" i="20" a="1"/>
  <c r="J650" i="20" s="1"/>
  <c r="L650" i="20" a="1"/>
  <c r="L650" i="20" s="1"/>
  <c r="D651" i="20" a="1"/>
  <c r="D651" i="20" s="1"/>
  <c r="F651" i="20" a="1"/>
  <c r="F651" i="20" s="1"/>
  <c r="B651" i="20"/>
  <c r="H651" i="20" a="1"/>
  <c r="H651" i="20" s="1"/>
  <c r="J651" i="20" a="1"/>
  <c r="J651" i="20" s="1"/>
  <c r="L651" i="20" a="1"/>
  <c r="L651" i="20" s="1"/>
  <c r="B652" i="20"/>
  <c r="D652" i="20" a="1"/>
  <c r="D652" i="20" s="1"/>
  <c r="F652" i="20" a="1"/>
  <c r="F652" i="20" s="1"/>
  <c r="H652" i="20" a="1"/>
  <c r="H652" i="20" s="1"/>
  <c r="J652" i="20" a="1"/>
  <c r="J652" i="20" s="1"/>
  <c r="L652" i="20" a="1"/>
  <c r="L652" i="20" s="1"/>
  <c r="D653" i="20" a="1"/>
  <c r="D653" i="20" s="1"/>
  <c r="F653" i="20" a="1"/>
  <c r="F653" i="20" s="1"/>
  <c r="B653" i="20"/>
  <c r="H653" i="20" a="1"/>
  <c r="H653" i="20" s="1"/>
  <c r="J653" i="20" a="1"/>
  <c r="J653" i="20" s="1"/>
  <c r="L653" i="20" a="1"/>
  <c r="L653" i="20" s="1"/>
  <c r="D654" i="20" a="1"/>
  <c r="D654" i="20" s="1"/>
  <c r="F654" i="20" a="1"/>
  <c r="F654" i="20" s="1"/>
  <c r="B654" i="20"/>
  <c r="H654" i="20" a="1"/>
  <c r="H654" i="20" s="1"/>
  <c r="J654" i="20" a="1"/>
  <c r="J654" i="20" s="1"/>
  <c r="L654" i="20" a="1"/>
  <c r="L654" i="20" s="1"/>
  <c r="B655" i="20"/>
  <c r="D655" i="20" a="1"/>
  <c r="D655" i="20" s="1"/>
  <c r="F655" i="20" a="1"/>
  <c r="F655" i="20" s="1"/>
  <c r="H655" i="20" a="1"/>
  <c r="H655" i="20" s="1"/>
  <c r="J655" i="20" a="1"/>
  <c r="J655" i="20" s="1"/>
  <c r="L655" i="20" a="1"/>
  <c r="L655" i="20" s="1"/>
  <c r="D656" i="20" a="1"/>
  <c r="D656" i="20" s="1"/>
  <c r="F656" i="20" a="1"/>
  <c r="F656" i="20" s="1"/>
  <c r="B656" i="20"/>
  <c r="H656" i="20" a="1"/>
  <c r="H656" i="20" s="1"/>
  <c r="J656" i="20" a="1"/>
  <c r="J656" i="20" s="1"/>
  <c r="L656" i="20" a="1"/>
  <c r="L656" i="20" s="1"/>
  <c r="D657" i="20" a="1"/>
  <c r="D657" i="20" s="1"/>
  <c r="F657" i="20" a="1"/>
  <c r="F657" i="20" s="1"/>
  <c r="B657" i="20"/>
  <c r="H657" i="20" a="1"/>
  <c r="H657" i="20" s="1"/>
  <c r="J657" i="20" a="1"/>
  <c r="J657" i="20" s="1"/>
  <c r="L657" i="20" a="1"/>
  <c r="L657" i="20" s="1"/>
  <c r="D658" i="20" a="1"/>
  <c r="D658" i="20" s="1"/>
  <c r="F658" i="20" a="1"/>
  <c r="F658" i="20" s="1"/>
  <c r="B658" i="20"/>
  <c r="H658" i="20" a="1"/>
  <c r="H658" i="20" s="1"/>
  <c r="J658" i="20" a="1"/>
  <c r="J658" i="20" s="1"/>
  <c r="L658" i="20" a="1"/>
  <c r="L658" i="20" s="1"/>
  <c r="D659" i="20" a="1"/>
  <c r="D659" i="20" s="1"/>
  <c r="F659" i="20" a="1"/>
  <c r="F659" i="20" s="1"/>
  <c r="B659" i="20"/>
  <c r="H659" i="20" a="1"/>
  <c r="H659" i="20" s="1"/>
  <c r="J659" i="20" a="1"/>
  <c r="J659" i="20" s="1"/>
  <c r="L659" i="20" a="1"/>
  <c r="L659" i="20" s="1"/>
  <c r="B660" i="20"/>
  <c r="D660" i="20" a="1"/>
  <c r="D660" i="20" s="1"/>
  <c r="F660" i="20" a="1"/>
  <c r="F660" i="20" s="1"/>
  <c r="H660" i="20" a="1"/>
  <c r="H660" i="20" s="1"/>
  <c r="J660" i="20" a="1"/>
  <c r="J660" i="20" s="1"/>
  <c r="L660" i="20" a="1"/>
  <c r="L660" i="20" s="1"/>
  <c r="D661" i="20" a="1"/>
  <c r="D661" i="20" s="1"/>
  <c r="F661" i="20" a="1"/>
  <c r="F661" i="20" s="1"/>
  <c r="B661" i="20"/>
  <c r="H661" i="20" a="1"/>
  <c r="H661" i="20" s="1"/>
  <c r="J661" i="20" a="1"/>
  <c r="J661" i="20" s="1"/>
  <c r="L661" i="20" a="1"/>
  <c r="L661" i="20" s="1"/>
  <c r="D662" i="20" a="1"/>
  <c r="D662" i="20" s="1"/>
  <c r="F662" i="20" a="1"/>
  <c r="F662" i="20" s="1"/>
  <c r="B662" i="20"/>
  <c r="H662" i="20" a="1"/>
  <c r="H662" i="20" s="1"/>
  <c r="J662" i="20" a="1"/>
  <c r="J662" i="20" s="1"/>
  <c r="L662" i="20" a="1"/>
  <c r="L662" i="20" s="1"/>
  <c r="D663" i="20" a="1"/>
  <c r="D663" i="20" s="1"/>
  <c r="F663" i="20" a="1"/>
  <c r="F663" i="20" s="1"/>
  <c r="B663" i="20"/>
  <c r="H663" i="20" a="1"/>
  <c r="H663" i="20" s="1"/>
  <c r="J663" i="20" a="1"/>
  <c r="J663" i="20" s="1"/>
  <c r="L663" i="20" a="1"/>
  <c r="L663" i="20" s="1"/>
  <c r="D664" i="20" a="1"/>
  <c r="D664" i="20" s="1"/>
  <c r="F664" i="20" a="1"/>
  <c r="F664" i="20" s="1"/>
  <c r="B664" i="20"/>
  <c r="H664" i="20" a="1"/>
  <c r="H664" i="20" s="1"/>
  <c r="J664" i="20" a="1"/>
  <c r="J664" i="20" s="1"/>
  <c r="L664" i="20" a="1"/>
  <c r="L664" i="20" s="1"/>
  <c r="B665" i="20"/>
  <c r="D665" i="20" a="1"/>
  <c r="D665" i="20" s="1"/>
  <c r="F665" i="20" a="1"/>
  <c r="F665" i="20" s="1"/>
  <c r="H665" i="20" a="1"/>
  <c r="H665" i="20" s="1"/>
  <c r="J665" i="20" a="1"/>
  <c r="J665" i="20" s="1"/>
  <c r="L665" i="20" a="1"/>
  <c r="L665" i="20" s="1"/>
  <c r="D666" i="20" a="1"/>
  <c r="D666" i="20" s="1"/>
  <c r="F666" i="20" a="1"/>
  <c r="F666" i="20" s="1"/>
  <c r="B666" i="20"/>
  <c r="H666" i="20" a="1"/>
  <c r="H666" i="20" s="1"/>
  <c r="J666" i="20" a="1"/>
  <c r="J666" i="20" s="1"/>
  <c r="L666" i="20" a="1"/>
  <c r="L666" i="20" s="1"/>
  <c r="D667" i="20" a="1"/>
  <c r="D667" i="20" s="1"/>
  <c r="F667" i="20" a="1"/>
  <c r="F667" i="20" s="1"/>
  <c r="B667" i="20"/>
  <c r="H667" i="20" a="1"/>
  <c r="H667" i="20" s="1"/>
  <c r="J667" i="20" a="1"/>
  <c r="J667" i="20" s="1"/>
  <c r="L667" i="20" a="1"/>
  <c r="L667" i="20" s="1"/>
  <c r="B668" i="20"/>
  <c r="D668" i="20" a="1"/>
  <c r="D668" i="20" s="1"/>
  <c r="F668" i="20" a="1"/>
  <c r="F668" i="20" s="1"/>
  <c r="H668" i="20" a="1"/>
  <c r="H668" i="20" s="1"/>
  <c r="J668" i="20" a="1"/>
  <c r="J668" i="20" s="1"/>
  <c r="L668" i="20" a="1"/>
  <c r="L668" i="20" s="1"/>
  <c r="D669" i="20" a="1"/>
  <c r="D669" i="20" s="1"/>
  <c r="F669" i="20" a="1"/>
  <c r="F669" i="20" s="1"/>
  <c r="B669" i="20"/>
  <c r="H669" i="20" a="1"/>
  <c r="H669" i="20" s="1"/>
  <c r="J669" i="20" a="1"/>
  <c r="J669" i="20" s="1"/>
  <c r="L669" i="20" a="1"/>
  <c r="L669" i="20" s="1"/>
  <c r="D670" i="20" a="1"/>
  <c r="D670" i="20" s="1"/>
  <c r="F670" i="20" a="1"/>
  <c r="F670" i="20" s="1"/>
  <c r="B670" i="20"/>
  <c r="H670" i="20" a="1"/>
  <c r="H670" i="20" s="1"/>
  <c r="J670" i="20" a="1"/>
  <c r="J670" i="20" s="1"/>
  <c r="L670" i="20" a="1"/>
  <c r="L670" i="20" s="1"/>
  <c r="D671" i="20" a="1"/>
  <c r="D671" i="20" s="1"/>
  <c r="F671" i="20" a="1"/>
  <c r="F671" i="20" s="1"/>
  <c r="B671" i="20"/>
  <c r="H671" i="20" a="1"/>
  <c r="H671" i="20" s="1"/>
  <c r="J671" i="20" a="1"/>
  <c r="J671" i="20" s="1"/>
  <c r="L671" i="20" a="1"/>
  <c r="L671" i="20" s="1"/>
  <c r="D672" i="20" a="1"/>
  <c r="D672" i="20" s="1"/>
  <c r="F672" i="20" a="1"/>
  <c r="F672" i="20" s="1"/>
  <c r="B672" i="20"/>
  <c r="H672" i="20" a="1"/>
  <c r="H672" i="20" s="1"/>
  <c r="J672" i="20" a="1"/>
  <c r="J672" i="20" s="1"/>
  <c r="L672" i="20" a="1"/>
  <c r="L672" i="20" s="1"/>
  <c r="B673" i="20"/>
  <c r="D673" i="20" a="1"/>
  <c r="D673" i="20" s="1"/>
  <c r="F673" i="20" a="1"/>
  <c r="F673" i="20" s="1"/>
  <c r="H673" i="20" a="1"/>
  <c r="H673" i="20" s="1"/>
  <c r="J673" i="20" a="1"/>
  <c r="J673" i="20" s="1"/>
  <c r="L673" i="20" a="1"/>
  <c r="L673" i="20" s="1"/>
  <c r="D674" i="20" a="1"/>
  <c r="D674" i="20" s="1"/>
  <c r="F674" i="20" a="1"/>
  <c r="F674" i="20" s="1"/>
  <c r="B674" i="20"/>
  <c r="H674" i="20" a="1"/>
  <c r="H674" i="20" s="1"/>
  <c r="J674" i="20" a="1"/>
  <c r="J674" i="20" s="1"/>
  <c r="L674" i="20" a="1"/>
  <c r="L674" i="20" s="1"/>
  <c r="D675" i="20" a="1"/>
  <c r="D675" i="20" s="1"/>
  <c r="F675" i="20" a="1"/>
  <c r="F675" i="20" s="1"/>
  <c r="B675" i="20"/>
  <c r="H675" i="20" a="1"/>
  <c r="H675" i="20" s="1"/>
  <c r="J675" i="20" a="1"/>
  <c r="J675" i="20" s="1"/>
  <c r="L675" i="20" a="1"/>
  <c r="L675" i="20" s="1"/>
  <c r="B676" i="20"/>
  <c r="D676" i="20" a="1"/>
  <c r="D676" i="20" s="1"/>
  <c r="F676" i="20" a="1"/>
  <c r="F676" i="20" s="1"/>
  <c r="H676" i="20" a="1"/>
  <c r="H676" i="20" s="1"/>
  <c r="J676" i="20" a="1"/>
  <c r="J676" i="20" s="1"/>
  <c r="L676" i="20" a="1"/>
  <c r="L676" i="20" s="1"/>
  <c r="D677" i="20" a="1"/>
  <c r="D677" i="20" s="1"/>
  <c r="F677" i="20" a="1"/>
  <c r="F677" i="20" s="1"/>
  <c r="B677" i="20"/>
  <c r="H677" i="20" a="1"/>
  <c r="H677" i="20" s="1"/>
  <c r="J677" i="20" a="1"/>
  <c r="J677" i="20" s="1"/>
  <c r="L677" i="20" a="1"/>
  <c r="L677" i="20" s="1"/>
  <c r="D678" i="20" a="1"/>
  <c r="D678" i="20" s="1"/>
  <c r="F678" i="20" a="1"/>
  <c r="F678" i="20" s="1"/>
  <c r="B678" i="20"/>
  <c r="H678" i="20" a="1"/>
  <c r="H678" i="20" s="1"/>
  <c r="J678" i="20" a="1"/>
  <c r="J678" i="20" s="1"/>
  <c r="L678" i="20" a="1"/>
  <c r="L678" i="20" s="1"/>
  <c r="B679" i="20"/>
  <c r="D679" i="20" a="1"/>
  <c r="D679" i="20" s="1"/>
  <c r="F679" i="20" a="1"/>
  <c r="F679" i="20" s="1"/>
  <c r="H679" i="20" a="1"/>
  <c r="H679" i="20" s="1"/>
  <c r="J679" i="20" a="1"/>
  <c r="J679" i="20" s="1"/>
  <c r="L679" i="20" a="1"/>
  <c r="L679" i="20" s="1"/>
  <c r="D680" i="20" a="1"/>
  <c r="D680" i="20" s="1"/>
  <c r="F680" i="20" a="1"/>
  <c r="F680" i="20" s="1"/>
  <c r="B680" i="20"/>
  <c r="H680" i="20" a="1"/>
  <c r="H680" i="20" s="1"/>
  <c r="J680" i="20" a="1"/>
  <c r="J680" i="20" s="1"/>
  <c r="L680" i="20" a="1"/>
  <c r="L680" i="20" s="1"/>
  <c r="B681" i="20"/>
  <c r="D681" i="20" a="1"/>
  <c r="D681" i="20" s="1"/>
  <c r="F681" i="20" a="1"/>
  <c r="F681" i="20" s="1"/>
  <c r="H681" i="20" a="1"/>
  <c r="H681" i="20" s="1"/>
  <c r="J681" i="20" a="1"/>
  <c r="J681" i="20" s="1"/>
  <c r="L681" i="20" a="1"/>
  <c r="L681" i="20" s="1"/>
  <c r="D682" i="20" a="1"/>
  <c r="D682" i="20" s="1"/>
  <c r="F682" i="20" a="1"/>
  <c r="F682" i="20" s="1"/>
  <c r="B682" i="20"/>
  <c r="H682" i="20" a="1"/>
  <c r="H682" i="20" s="1"/>
  <c r="J682" i="20" a="1"/>
  <c r="J682" i="20" s="1"/>
  <c r="L682" i="20" a="1"/>
  <c r="L682" i="20" s="1"/>
  <c r="D683" i="20" a="1"/>
  <c r="D683" i="20" s="1"/>
  <c r="F683" i="20" a="1"/>
  <c r="F683" i="20" s="1"/>
  <c r="B683" i="20"/>
  <c r="H683" i="20" a="1"/>
  <c r="H683" i="20" s="1"/>
  <c r="J683" i="20" a="1"/>
  <c r="J683" i="20" s="1"/>
  <c r="L683" i="20" a="1"/>
  <c r="L683" i="20" s="1"/>
  <c r="B684" i="20"/>
  <c r="D684" i="20" a="1"/>
  <c r="D684" i="20" s="1"/>
  <c r="F684" i="20" a="1"/>
  <c r="F684" i="20" s="1"/>
  <c r="H684" i="20" a="1"/>
  <c r="H684" i="20" s="1"/>
  <c r="J684" i="20" a="1"/>
  <c r="J684" i="20" s="1"/>
  <c r="L684" i="20" a="1"/>
  <c r="L684" i="20" s="1"/>
  <c r="D685" i="20" a="1"/>
  <c r="D685" i="20" s="1"/>
  <c r="F685" i="20" a="1"/>
  <c r="F685" i="20" s="1"/>
  <c r="B685" i="20"/>
  <c r="H685" i="20" a="1"/>
  <c r="H685" i="20" s="1"/>
  <c r="J685" i="20" a="1"/>
  <c r="J685" i="20" s="1"/>
  <c r="L685" i="20" a="1"/>
  <c r="L685" i="20" s="1"/>
  <c r="D686" i="20" a="1"/>
  <c r="D686" i="20" s="1"/>
  <c r="F686" i="20" a="1"/>
  <c r="F686" i="20" s="1"/>
  <c r="B686" i="20"/>
  <c r="H686" i="20" a="1"/>
  <c r="H686" i="20" s="1"/>
  <c r="J686" i="20" a="1"/>
  <c r="J686" i="20" s="1"/>
  <c r="L686" i="20" a="1"/>
  <c r="L686" i="20" s="1"/>
  <c r="B687" i="20"/>
  <c r="D687" i="20" a="1"/>
  <c r="D687" i="20" s="1"/>
  <c r="F687" i="20" a="1"/>
  <c r="F687" i="20" s="1"/>
  <c r="H687" i="20" a="1"/>
  <c r="H687" i="20" s="1"/>
  <c r="J687" i="20" a="1"/>
  <c r="J687" i="20" s="1"/>
  <c r="L687" i="20" a="1"/>
  <c r="L687" i="20" s="1"/>
  <c r="D688" i="20" a="1"/>
  <c r="D688" i="20" s="1"/>
  <c r="F688" i="20" a="1"/>
  <c r="F688" i="20" s="1"/>
  <c r="B688" i="20"/>
  <c r="H688" i="20" a="1"/>
  <c r="H688" i="20" s="1"/>
  <c r="J688" i="20" a="1"/>
  <c r="J688" i="20" s="1"/>
  <c r="L688" i="20" a="1"/>
  <c r="L688" i="20" s="1"/>
  <c r="B689" i="20"/>
  <c r="D689" i="20" a="1"/>
  <c r="D689" i="20" s="1"/>
  <c r="F689" i="20" a="1"/>
  <c r="F689" i="20" s="1"/>
  <c r="H689" i="20" a="1"/>
  <c r="H689" i="20" s="1"/>
  <c r="J689" i="20" a="1"/>
  <c r="J689" i="20" s="1"/>
  <c r="L689" i="20" a="1"/>
  <c r="L689" i="20" s="1"/>
  <c r="D690" i="20" a="1"/>
  <c r="D690" i="20" s="1"/>
  <c r="F690" i="20" a="1"/>
  <c r="F690" i="20" s="1"/>
  <c r="B690" i="20"/>
  <c r="H690" i="20" a="1"/>
  <c r="H690" i="20" s="1"/>
  <c r="J690" i="20" a="1"/>
  <c r="J690" i="20" s="1"/>
  <c r="L690" i="20" a="1"/>
  <c r="L690" i="20" s="1"/>
  <c r="B691" i="20"/>
  <c r="D691" i="20" a="1"/>
  <c r="D691" i="20" s="1"/>
  <c r="F691" i="20" a="1"/>
  <c r="F691" i="20" s="1"/>
  <c r="H691" i="20" a="1"/>
  <c r="H691" i="20" s="1"/>
  <c r="J691" i="20" a="1"/>
  <c r="J691" i="20" s="1"/>
  <c r="L691" i="20" a="1"/>
  <c r="L691" i="20" s="1"/>
  <c r="D692" i="20" a="1"/>
  <c r="D692" i="20" s="1"/>
  <c r="F692" i="20" a="1"/>
  <c r="F692" i="20" s="1"/>
  <c r="B692" i="20"/>
  <c r="H692" i="20" a="1"/>
  <c r="H692" i="20" s="1"/>
  <c r="J692" i="20" a="1"/>
  <c r="J692" i="20" s="1"/>
  <c r="L692" i="20" a="1"/>
  <c r="L692" i="20" s="1"/>
  <c r="D693" i="20" a="1"/>
  <c r="D693" i="20" s="1"/>
  <c r="F693" i="20" a="1"/>
  <c r="F693" i="20" s="1"/>
  <c r="B693" i="20"/>
  <c r="H693" i="20" a="1"/>
  <c r="H693" i="20" s="1"/>
  <c r="J693" i="20" a="1"/>
  <c r="J693" i="20" s="1"/>
  <c r="L693" i="20" a="1"/>
  <c r="L693" i="20" s="1"/>
  <c r="B694" i="20"/>
  <c r="D694" i="20" a="1"/>
  <c r="D694" i="20" s="1"/>
  <c r="F694" i="20" a="1"/>
  <c r="F694" i="20" s="1"/>
  <c r="H694" i="20" a="1"/>
  <c r="H694" i="20" s="1"/>
  <c r="J694" i="20" a="1"/>
  <c r="J694" i="20" s="1"/>
  <c r="L694" i="20" a="1"/>
  <c r="L694" i="20" s="1"/>
  <c r="D695" i="20" a="1"/>
  <c r="D695" i="20" s="1"/>
  <c r="F695" i="20" a="1"/>
  <c r="F695" i="20" s="1"/>
  <c r="B695" i="20"/>
  <c r="H695" i="20" a="1"/>
  <c r="H695" i="20" s="1"/>
  <c r="J695" i="20" a="1"/>
  <c r="J695" i="20" s="1"/>
  <c r="L695" i="20" a="1"/>
  <c r="L695" i="20" s="1"/>
  <c r="D696" i="20" a="1"/>
  <c r="D696" i="20" s="1"/>
  <c r="F696" i="20" a="1"/>
  <c r="F696" i="20" s="1"/>
  <c r="B696" i="20"/>
  <c r="H696" i="20" a="1"/>
  <c r="H696" i="20" s="1"/>
  <c r="J696" i="20" a="1"/>
  <c r="J696" i="20" s="1"/>
  <c r="L696" i="20" a="1"/>
  <c r="L696" i="20" s="1"/>
  <c r="B697" i="20"/>
  <c r="D697" i="20" a="1"/>
  <c r="D697" i="20" s="1"/>
  <c r="F697" i="20" a="1"/>
  <c r="F697" i="20" s="1"/>
  <c r="H697" i="20" a="1"/>
  <c r="H697" i="20" s="1"/>
  <c r="J697" i="20" a="1"/>
  <c r="J697" i="20" s="1"/>
  <c r="L697" i="20" a="1"/>
  <c r="L697" i="20" s="1"/>
  <c r="D698" i="20" a="1"/>
  <c r="D698" i="20" s="1"/>
  <c r="F698" i="20" a="1"/>
  <c r="F698" i="20" s="1"/>
  <c r="B698" i="20"/>
  <c r="H698" i="20" a="1"/>
  <c r="H698" i="20" s="1"/>
  <c r="J698" i="20" a="1"/>
  <c r="J698" i="20" s="1"/>
  <c r="L698" i="20" a="1"/>
  <c r="L698" i="20" s="1"/>
  <c r="B699" i="20"/>
  <c r="D699" i="20" a="1"/>
  <c r="D699" i="20" s="1"/>
  <c r="F699" i="20" a="1"/>
  <c r="F699" i="20" s="1"/>
  <c r="H699" i="20" a="1"/>
  <c r="H699" i="20" s="1"/>
  <c r="J699" i="20" a="1"/>
  <c r="J699" i="20" s="1"/>
  <c r="L699" i="20" a="1"/>
  <c r="L699" i="20" s="1"/>
  <c r="D700" i="20" a="1"/>
  <c r="D700" i="20" s="1"/>
  <c r="F700" i="20" a="1"/>
  <c r="F700" i="20" s="1"/>
  <c r="B700" i="20"/>
  <c r="H700" i="20" a="1"/>
  <c r="H700" i="20" s="1"/>
  <c r="J700" i="20" a="1"/>
  <c r="J700" i="20" s="1"/>
  <c r="L700" i="20" a="1"/>
  <c r="L700" i="20" s="1"/>
  <c r="D701" i="20" a="1"/>
  <c r="D701" i="20" s="1"/>
  <c r="F701" i="20" a="1"/>
  <c r="F701" i="20" s="1"/>
  <c r="B701" i="20"/>
  <c r="H701" i="20" a="1"/>
  <c r="H701" i="20" s="1"/>
  <c r="J701" i="20" a="1"/>
  <c r="J701" i="20" s="1"/>
  <c r="L701" i="20" a="1"/>
  <c r="L701" i="20" s="1"/>
  <c r="D702" i="20" a="1"/>
  <c r="D702" i="20" s="1"/>
  <c r="F702" i="20" a="1"/>
  <c r="F702" i="20" s="1"/>
  <c r="B702" i="20"/>
  <c r="H702" i="20" a="1"/>
  <c r="H702" i="20" s="1"/>
  <c r="J702" i="20" a="1"/>
  <c r="J702" i="20" s="1"/>
  <c r="L702" i="20" a="1"/>
  <c r="L702" i="20" s="1"/>
  <c r="D703" i="20" a="1"/>
  <c r="D703" i="20" s="1"/>
  <c r="F703" i="20" a="1"/>
  <c r="F703" i="20" s="1"/>
  <c r="B703" i="20"/>
  <c r="H703" i="20" a="1"/>
  <c r="H703" i="20" s="1"/>
  <c r="J703" i="20" a="1"/>
  <c r="J703" i="20" s="1"/>
  <c r="L703" i="20" a="1"/>
  <c r="L703" i="20" s="1"/>
  <c r="D704" i="20" a="1"/>
  <c r="D704" i="20" s="1"/>
  <c r="F704" i="20" a="1"/>
  <c r="F704" i="20" s="1"/>
  <c r="B704" i="20"/>
  <c r="H704" i="20" a="1"/>
  <c r="H704" i="20" s="1"/>
  <c r="J704" i="20" a="1"/>
  <c r="J704" i="20" s="1"/>
  <c r="L704" i="20" a="1"/>
  <c r="L704" i="20" s="1"/>
  <c r="B705" i="20"/>
  <c r="D705" i="20" a="1"/>
  <c r="D705" i="20" s="1"/>
  <c r="F705" i="20" a="1"/>
  <c r="F705" i="20" s="1"/>
  <c r="H705" i="20" a="1"/>
  <c r="H705" i="20" s="1"/>
  <c r="J705" i="20" a="1"/>
  <c r="J705" i="20" s="1"/>
  <c r="L705" i="20" a="1"/>
  <c r="L705" i="20" s="1"/>
  <c r="D706" i="20" a="1"/>
  <c r="D706" i="20" s="1"/>
  <c r="F706" i="20" a="1"/>
  <c r="F706" i="20" s="1"/>
  <c r="B706" i="20"/>
  <c r="H706" i="20" a="1"/>
  <c r="H706" i="20" s="1"/>
  <c r="J706" i="20" a="1"/>
  <c r="J706" i="20" s="1"/>
  <c r="L706" i="20" a="1"/>
  <c r="L706" i="20" s="1"/>
  <c r="D707" i="20" a="1"/>
  <c r="D707" i="20" s="1"/>
  <c r="F707" i="20" a="1"/>
  <c r="F707" i="20" s="1"/>
  <c r="B707" i="20"/>
  <c r="H707" i="20" a="1"/>
  <c r="H707" i="20" s="1"/>
  <c r="J707" i="20" a="1"/>
  <c r="J707" i="20" s="1"/>
  <c r="L707" i="20" a="1"/>
  <c r="L707" i="20" s="1"/>
  <c r="D708" i="20" a="1"/>
  <c r="D708" i="20" s="1"/>
  <c r="F708" i="20" a="1"/>
  <c r="F708" i="20" s="1"/>
  <c r="B708" i="20"/>
  <c r="H708" i="20" a="1"/>
  <c r="H708" i="20" s="1"/>
  <c r="J708" i="20" a="1"/>
  <c r="J708" i="20" s="1"/>
  <c r="L708" i="20" a="1"/>
  <c r="L708" i="20" s="1"/>
  <c r="B709" i="20"/>
  <c r="D709" i="20" a="1"/>
  <c r="D709" i="20" s="1"/>
  <c r="F709" i="20" a="1"/>
  <c r="F709" i="20" s="1"/>
  <c r="H709" i="20" a="1"/>
  <c r="H709" i="20" s="1"/>
  <c r="J709" i="20" a="1"/>
  <c r="J709" i="20" s="1"/>
  <c r="L709" i="20" a="1"/>
  <c r="L709" i="20" s="1"/>
  <c r="D710" i="20" a="1"/>
  <c r="D710" i="20" s="1"/>
  <c r="F710" i="20" a="1"/>
  <c r="F710" i="20" s="1"/>
  <c r="B710" i="20"/>
  <c r="H710" i="20" a="1"/>
  <c r="H710" i="20" s="1"/>
  <c r="J710" i="20" a="1"/>
  <c r="J710" i="20" s="1"/>
  <c r="L710" i="20" a="1"/>
  <c r="L710" i="20" s="1"/>
  <c r="B711" i="20"/>
  <c r="D711" i="20" a="1"/>
  <c r="D711" i="20" s="1"/>
  <c r="F711" i="20" a="1"/>
  <c r="F711" i="20" s="1"/>
  <c r="H711" i="20" a="1"/>
  <c r="H711" i="20" s="1"/>
  <c r="J711" i="20" a="1"/>
  <c r="J711" i="20" s="1"/>
  <c r="L711" i="20" a="1"/>
  <c r="L711" i="20" s="1"/>
  <c r="D712" i="20" a="1"/>
  <c r="D712" i="20" s="1"/>
  <c r="F712" i="20" a="1"/>
  <c r="F712" i="20" s="1"/>
  <c r="B712" i="20"/>
  <c r="H712" i="20" a="1"/>
  <c r="H712" i="20" s="1"/>
  <c r="J712" i="20" a="1"/>
  <c r="J712" i="20" s="1"/>
  <c r="L712" i="20" a="1"/>
  <c r="L712" i="20" s="1"/>
  <c r="B713" i="20"/>
  <c r="D713" i="20" a="1"/>
  <c r="D713" i="20" s="1"/>
  <c r="F713" i="20" a="1"/>
  <c r="F713" i="20" s="1"/>
  <c r="H713" i="20" a="1"/>
  <c r="H713" i="20" s="1"/>
  <c r="J713" i="20" a="1"/>
  <c r="J713" i="20" s="1"/>
  <c r="L713" i="20" a="1"/>
  <c r="L713" i="20" s="1"/>
  <c r="D714" i="20" a="1"/>
  <c r="D714" i="20" s="1"/>
  <c r="F714" i="20" a="1"/>
  <c r="F714" i="20" s="1"/>
  <c r="B714" i="20"/>
  <c r="H714" i="20" a="1"/>
  <c r="H714" i="20" s="1"/>
  <c r="J714" i="20" a="1"/>
  <c r="J714" i="20" s="1"/>
  <c r="L714" i="20" a="1"/>
  <c r="L714" i="20" s="1"/>
  <c r="B715" i="20"/>
  <c r="D715" i="20" a="1"/>
  <c r="D715" i="20" s="1"/>
  <c r="F715" i="20" a="1"/>
  <c r="F715" i="20" s="1"/>
  <c r="H715" i="20" a="1"/>
  <c r="H715" i="20" s="1"/>
  <c r="J715" i="20" a="1"/>
  <c r="J715" i="20" s="1"/>
  <c r="L715" i="20" a="1"/>
  <c r="L715" i="20" s="1"/>
  <c r="D716" i="20" a="1"/>
  <c r="D716" i="20" s="1"/>
  <c r="F716" i="20" a="1"/>
  <c r="F716" i="20" s="1"/>
  <c r="B716" i="20"/>
  <c r="H716" i="20" a="1"/>
  <c r="H716" i="20" s="1"/>
  <c r="J716" i="20" a="1"/>
  <c r="J716" i="20" s="1"/>
  <c r="L716" i="20" a="1"/>
  <c r="L716" i="20" s="1"/>
  <c r="D717" i="20" a="1"/>
  <c r="D717" i="20" s="1"/>
  <c r="F717" i="20" a="1"/>
  <c r="F717" i="20" s="1"/>
  <c r="B717" i="20"/>
  <c r="H717" i="20" a="1"/>
  <c r="H717" i="20" s="1"/>
  <c r="J717" i="20" a="1"/>
  <c r="J717" i="20" s="1"/>
  <c r="L717" i="20" a="1"/>
  <c r="L717" i="20" s="1"/>
  <c r="B718" i="20"/>
  <c r="D718" i="20" a="1"/>
  <c r="D718" i="20" s="1"/>
  <c r="F718" i="20" a="1"/>
  <c r="F718" i="20" s="1"/>
  <c r="H718" i="20" a="1"/>
  <c r="H718" i="20" s="1"/>
  <c r="J718" i="20" a="1"/>
  <c r="J718" i="20" s="1"/>
  <c r="L718" i="20" a="1"/>
  <c r="L718" i="20" s="1"/>
  <c r="D719" i="20" a="1"/>
  <c r="D719" i="20" s="1"/>
  <c r="F719" i="20" a="1"/>
  <c r="F719" i="20" s="1"/>
  <c r="B719" i="20"/>
  <c r="H719" i="20" a="1"/>
  <c r="H719" i="20" s="1"/>
  <c r="J719" i="20" a="1"/>
  <c r="J719" i="20" s="1"/>
  <c r="L719" i="20" a="1"/>
  <c r="L719" i="20" s="1"/>
  <c r="D720" i="20" a="1"/>
  <c r="D720" i="20" s="1"/>
  <c r="F720" i="20" a="1"/>
  <c r="F720" i="20" s="1"/>
  <c r="B720" i="20"/>
  <c r="H720" i="20" a="1"/>
  <c r="H720" i="20" s="1"/>
  <c r="J720" i="20" a="1"/>
  <c r="J720" i="20" s="1"/>
  <c r="L720" i="20" a="1"/>
  <c r="L720" i="20" s="1"/>
  <c r="B721" i="20"/>
  <c r="D721" i="20" a="1"/>
  <c r="D721" i="20" s="1"/>
  <c r="F721" i="20" a="1"/>
  <c r="F721" i="20" s="1"/>
  <c r="H721" i="20" a="1"/>
  <c r="H721" i="20" s="1"/>
  <c r="J721" i="20" a="1"/>
  <c r="J721" i="20" s="1"/>
  <c r="L721" i="20" a="1"/>
  <c r="L721" i="20" s="1"/>
  <c r="D722" i="20" a="1"/>
  <c r="D722" i="20" s="1"/>
  <c r="F722" i="20" a="1"/>
  <c r="F722" i="20" s="1"/>
  <c r="B722" i="20"/>
  <c r="H722" i="20" a="1"/>
  <c r="H722" i="20" s="1"/>
  <c r="J722" i="20" a="1"/>
  <c r="J722" i="20" s="1"/>
  <c r="L722" i="20" a="1"/>
  <c r="L722" i="20" s="1"/>
  <c r="D723" i="20" a="1"/>
  <c r="D723" i="20" s="1"/>
  <c r="F723" i="20" a="1"/>
  <c r="F723" i="20" s="1"/>
  <c r="B723" i="20"/>
  <c r="H723" i="20" a="1"/>
  <c r="H723" i="20" s="1"/>
  <c r="J723" i="20" a="1"/>
  <c r="J723" i="20" s="1"/>
  <c r="L723" i="20" a="1"/>
  <c r="L723" i="20" s="1"/>
  <c r="B724" i="20"/>
  <c r="D724" i="20" a="1"/>
  <c r="D724" i="20" s="1"/>
  <c r="F724" i="20" a="1"/>
  <c r="F724" i="20" s="1"/>
  <c r="H724" i="20" a="1"/>
  <c r="H724" i="20" s="1"/>
  <c r="J724" i="20" a="1"/>
  <c r="J724" i="20" s="1"/>
  <c r="L724" i="20" a="1"/>
  <c r="L724" i="20" s="1"/>
  <c r="D725" i="20" a="1"/>
  <c r="D725" i="20" s="1"/>
  <c r="F725" i="20" a="1"/>
  <c r="F725" i="20" s="1"/>
  <c r="B725" i="20"/>
  <c r="H725" i="20" a="1"/>
  <c r="H725" i="20" s="1"/>
  <c r="J725" i="20" a="1"/>
  <c r="J725" i="20" s="1"/>
  <c r="L725" i="20" a="1"/>
  <c r="L725" i="20" s="1"/>
  <c r="B726" i="20"/>
  <c r="D726" i="20" a="1"/>
  <c r="D726" i="20" s="1"/>
  <c r="F726" i="20" a="1"/>
  <c r="F726" i="20" s="1"/>
  <c r="H726" i="20" a="1"/>
  <c r="H726" i="20" s="1"/>
  <c r="J726" i="20" a="1"/>
  <c r="J726" i="20" s="1"/>
  <c r="L726" i="20" a="1"/>
  <c r="L726" i="20" s="1"/>
  <c r="D727" i="20" a="1"/>
  <c r="D727" i="20" s="1"/>
  <c r="F727" i="20" a="1"/>
  <c r="F727" i="20" s="1"/>
  <c r="B727" i="20"/>
  <c r="H727" i="20" a="1"/>
  <c r="H727" i="20" s="1"/>
  <c r="J727" i="20" a="1"/>
  <c r="J727" i="20" s="1"/>
  <c r="L727" i="20" a="1"/>
  <c r="L727" i="20" s="1"/>
  <c r="B728" i="20"/>
  <c r="D728" i="20" a="1"/>
  <c r="D728" i="20" s="1"/>
  <c r="F728" i="20" a="1"/>
  <c r="F728" i="20" s="1"/>
  <c r="H728" i="20" a="1"/>
  <c r="H728" i="20" s="1"/>
  <c r="J728" i="20" a="1"/>
  <c r="J728" i="20" s="1"/>
  <c r="L728" i="20" a="1"/>
  <c r="L728" i="20" s="1"/>
  <c r="D729" i="20" a="1"/>
  <c r="D729" i="20" s="1"/>
  <c r="F729" i="20" a="1"/>
  <c r="F729" i="20" s="1"/>
  <c r="B729" i="20"/>
  <c r="H729" i="20" a="1"/>
  <c r="H729" i="20" s="1"/>
  <c r="J729" i="20" a="1"/>
  <c r="J729" i="20" s="1"/>
  <c r="L729" i="20" a="1"/>
  <c r="L729" i="20" s="1"/>
  <c r="D730" i="20" a="1"/>
  <c r="D730" i="20" s="1"/>
  <c r="F730" i="20" a="1"/>
  <c r="F730" i="20" s="1"/>
  <c r="B730" i="20"/>
  <c r="H730" i="20" a="1"/>
  <c r="H730" i="20" s="1"/>
  <c r="J730" i="20" a="1"/>
  <c r="J730" i="20" s="1"/>
  <c r="L730" i="20" a="1"/>
  <c r="L730" i="20" s="1"/>
  <c r="B731" i="20"/>
  <c r="D731" i="20" a="1"/>
  <c r="D731" i="20" s="1"/>
  <c r="F731" i="20" a="1"/>
  <c r="F731" i="20" s="1"/>
  <c r="H731" i="20" a="1"/>
  <c r="H731" i="20" s="1"/>
  <c r="J731" i="20" a="1"/>
  <c r="J731" i="20" s="1"/>
  <c r="L731" i="20" a="1"/>
  <c r="L731" i="20" s="1"/>
  <c r="D732" i="20" a="1"/>
  <c r="D732" i="20" s="1"/>
  <c r="F732" i="20" a="1"/>
  <c r="F732" i="20" s="1"/>
  <c r="B732" i="20"/>
  <c r="H732" i="20" a="1"/>
  <c r="H732" i="20" s="1"/>
  <c r="J732" i="20" a="1"/>
  <c r="J732" i="20" s="1"/>
  <c r="L732" i="20" a="1"/>
  <c r="L732" i="20" s="1"/>
  <c r="D733" i="20" a="1"/>
  <c r="D733" i="20" s="1"/>
  <c r="F733" i="20" a="1"/>
  <c r="F733" i="20" s="1"/>
  <c r="B733" i="20"/>
  <c r="H733" i="20" a="1"/>
  <c r="H733" i="20" s="1"/>
  <c r="J733" i="20" a="1"/>
  <c r="J733" i="20" s="1"/>
  <c r="L733" i="20" a="1"/>
  <c r="L733" i="20" s="1"/>
  <c r="D734" i="20" a="1"/>
  <c r="D734" i="20" s="1"/>
  <c r="F734" i="20" a="1"/>
  <c r="F734" i="20" s="1"/>
  <c r="B734" i="20"/>
  <c r="H734" i="20" a="1"/>
  <c r="H734" i="20" s="1"/>
  <c r="J734" i="20" a="1"/>
  <c r="J734" i="20" s="1"/>
  <c r="L734" i="20" a="1"/>
  <c r="L734" i="20" s="1"/>
  <c r="D735" i="20" a="1"/>
  <c r="D735" i="20" s="1"/>
  <c r="F735" i="20" a="1"/>
  <c r="F735" i="20" s="1"/>
  <c r="B735" i="20"/>
  <c r="H735" i="20" a="1"/>
  <c r="H735" i="20" s="1"/>
  <c r="J735" i="20" a="1"/>
  <c r="J735" i="20" s="1"/>
  <c r="L735" i="20" a="1"/>
  <c r="L735" i="20" s="1"/>
  <c r="D736" i="20" a="1"/>
  <c r="D736" i="20" s="1"/>
  <c r="F736" i="20" a="1"/>
  <c r="F736" i="20" s="1"/>
  <c r="B736" i="20"/>
  <c r="H736" i="20" a="1"/>
  <c r="H736" i="20" s="1"/>
  <c r="J736" i="20" a="1"/>
  <c r="J736" i="20" s="1"/>
  <c r="L736" i="20" a="1"/>
  <c r="L736" i="20" s="1"/>
  <c r="D737" i="20" a="1"/>
  <c r="D737" i="20" s="1"/>
  <c r="F737" i="20" a="1"/>
  <c r="F737" i="20" s="1"/>
  <c r="B737" i="20"/>
  <c r="H737" i="20" a="1"/>
  <c r="H737" i="20" s="1"/>
  <c r="J737" i="20" a="1"/>
  <c r="J737" i="20" s="1"/>
  <c r="L737" i="20" a="1"/>
  <c r="L737" i="20" s="1"/>
  <c r="D738" i="20" a="1"/>
  <c r="D738" i="20" s="1"/>
  <c r="F738" i="20" a="1"/>
  <c r="F738" i="20" s="1"/>
  <c r="B738" i="20"/>
  <c r="H738" i="20" a="1"/>
  <c r="H738" i="20" s="1"/>
  <c r="J738" i="20" a="1"/>
  <c r="J738" i="20" s="1"/>
  <c r="L738" i="20" a="1"/>
  <c r="L738" i="20" s="1"/>
  <c r="D739" i="20" a="1"/>
  <c r="D739" i="20" s="1"/>
  <c r="F739" i="20" a="1"/>
  <c r="F739" i="20" s="1"/>
  <c r="B739" i="20"/>
  <c r="H739" i="20" a="1"/>
  <c r="H739" i="20" s="1"/>
  <c r="J739" i="20" a="1"/>
  <c r="J739" i="20" s="1"/>
  <c r="L739" i="20" a="1"/>
  <c r="L739" i="20" s="1"/>
  <c r="D740" i="20" a="1"/>
  <c r="D740" i="20" s="1"/>
  <c r="F740" i="20" a="1"/>
  <c r="F740" i="20" s="1"/>
  <c r="B740" i="20"/>
  <c r="H740" i="20" a="1"/>
  <c r="H740" i="20" s="1"/>
  <c r="J740" i="20" a="1"/>
  <c r="J740" i="20" s="1"/>
  <c r="L740" i="20" a="1"/>
  <c r="L740" i="20" s="1"/>
  <c r="D741" i="20" a="1"/>
  <c r="D741" i="20" s="1"/>
  <c r="F741" i="20" a="1"/>
  <c r="F741" i="20" s="1"/>
  <c r="B741" i="20"/>
  <c r="H741" i="20" a="1"/>
  <c r="H741" i="20" s="1"/>
  <c r="J741" i="20" a="1"/>
  <c r="J741" i="20" s="1"/>
  <c r="L741" i="20" a="1"/>
  <c r="L741" i="20" s="1"/>
  <c r="D742" i="20" a="1"/>
  <c r="D742" i="20" s="1"/>
  <c r="F742" i="20" a="1"/>
  <c r="F742" i="20" s="1"/>
  <c r="B742" i="20"/>
  <c r="H742" i="20" a="1"/>
  <c r="H742" i="20" s="1"/>
  <c r="J742" i="20" a="1"/>
  <c r="J742" i="20" s="1"/>
  <c r="L742" i="20" a="1"/>
  <c r="L742" i="20" s="1"/>
  <c r="D743" i="20" a="1"/>
  <c r="D743" i="20" s="1"/>
  <c r="F743" i="20" a="1"/>
  <c r="F743" i="20" s="1"/>
  <c r="B743" i="20"/>
  <c r="H743" i="20" a="1"/>
  <c r="H743" i="20" s="1"/>
  <c r="J743" i="20" a="1"/>
  <c r="J743" i="20" s="1"/>
  <c r="L743" i="20" a="1"/>
  <c r="L743" i="20" s="1"/>
  <c r="D744" i="20" a="1"/>
  <c r="D744" i="20" s="1"/>
  <c r="F744" i="20" a="1"/>
  <c r="F744" i="20" s="1"/>
  <c r="B744" i="20"/>
  <c r="H744" i="20" a="1"/>
  <c r="H744" i="20" s="1"/>
  <c r="J744" i="20" a="1"/>
  <c r="J744" i="20" s="1"/>
  <c r="L744" i="20" a="1"/>
  <c r="L744" i="20" s="1"/>
  <c r="D745" i="20" a="1"/>
  <c r="D745" i="20" s="1"/>
  <c r="F745" i="20" a="1"/>
  <c r="F745" i="20" s="1"/>
  <c r="B745" i="20"/>
  <c r="H745" i="20" a="1"/>
  <c r="H745" i="20" s="1"/>
  <c r="J745" i="20" a="1"/>
  <c r="J745" i="20" s="1"/>
  <c r="L745" i="20" a="1"/>
  <c r="L745" i="20" s="1"/>
  <c r="D746" i="20" a="1"/>
  <c r="D746" i="20" s="1"/>
  <c r="F746" i="20" a="1"/>
  <c r="F746" i="20" s="1"/>
  <c r="B746" i="20"/>
  <c r="H746" i="20" a="1"/>
  <c r="H746" i="20" s="1"/>
  <c r="J746" i="20" a="1"/>
  <c r="J746" i="20" s="1"/>
  <c r="L746" i="20" a="1"/>
  <c r="L746" i="20" s="1"/>
  <c r="D747" i="20" a="1"/>
  <c r="D747" i="20" s="1"/>
  <c r="F747" i="20" a="1"/>
  <c r="F747" i="20" s="1"/>
  <c r="B747" i="20"/>
  <c r="H747" i="20" a="1"/>
  <c r="H747" i="20" s="1"/>
  <c r="J747" i="20" a="1"/>
  <c r="J747" i="20" s="1"/>
  <c r="L747" i="20" a="1"/>
  <c r="L747" i="20" s="1"/>
  <c r="D748" i="20" a="1"/>
  <c r="D748" i="20" s="1"/>
  <c r="F748" i="20" a="1"/>
  <c r="F748" i="20" s="1"/>
  <c r="B748" i="20"/>
  <c r="H748" i="20" a="1"/>
  <c r="H748" i="20" s="1"/>
  <c r="J748" i="20" a="1"/>
  <c r="J748" i="20" s="1"/>
  <c r="L748" i="20" a="1"/>
  <c r="L748" i="20" s="1"/>
  <c r="D749" i="20" a="1"/>
  <c r="D749" i="20" s="1"/>
  <c r="F749" i="20" a="1"/>
  <c r="F749" i="20" s="1"/>
  <c r="B749" i="20"/>
  <c r="H749" i="20" a="1"/>
  <c r="H749" i="20" s="1"/>
  <c r="J749" i="20" a="1"/>
  <c r="J749" i="20" s="1"/>
  <c r="L749" i="20" a="1"/>
  <c r="L749" i="20" s="1"/>
  <c r="D750" i="20" a="1"/>
  <c r="D750" i="20" s="1"/>
  <c r="F750" i="20" a="1"/>
  <c r="F750" i="20" s="1"/>
  <c r="B750" i="20"/>
  <c r="H750" i="20" a="1"/>
  <c r="H750" i="20" s="1"/>
  <c r="J750" i="20" a="1"/>
  <c r="J750" i="20" s="1"/>
  <c r="L750" i="20" a="1"/>
  <c r="L750" i="20" s="1"/>
  <c r="D751" i="20" a="1"/>
  <c r="D751" i="20" s="1"/>
  <c r="F751" i="20" a="1"/>
  <c r="F751" i="20" s="1"/>
  <c r="B751" i="20"/>
  <c r="H751" i="20" a="1"/>
  <c r="H751" i="20" s="1"/>
  <c r="J751" i="20" a="1"/>
  <c r="J751" i="20" s="1"/>
  <c r="L751" i="20" a="1"/>
  <c r="L751" i="20" s="1"/>
  <c r="D752" i="20" a="1"/>
  <c r="D752" i="20" s="1"/>
  <c r="F752" i="20" a="1"/>
  <c r="F752" i="20" s="1"/>
  <c r="B752" i="20"/>
  <c r="H752" i="20" a="1"/>
  <c r="H752" i="20" s="1"/>
  <c r="J752" i="20" a="1"/>
  <c r="J752" i="20" s="1"/>
  <c r="L752" i="20" a="1"/>
  <c r="L752" i="20" s="1"/>
  <c r="D753" i="20" a="1"/>
  <c r="D753" i="20" s="1"/>
  <c r="F753" i="20" a="1"/>
  <c r="F753" i="20" s="1"/>
  <c r="B753" i="20"/>
  <c r="H753" i="20" a="1"/>
  <c r="H753" i="20" s="1"/>
  <c r="J753" i="20" a="1"/>
  <c r="J753" i="20" s="1"/>
  <c r="L753" i="20" a="1"/>
  <c r="L753" i="20" s="1"/>
  <c r="D754" i="20" a="1"/>
  <c r="D754" i="20" s="1"/>
  <c r="F754" i="20" a="1"/>
  <c r="F754" i="20" s="1"/>
  <c r="B754" i="20"/>
  <c r="H754" i="20" a="1"/>
  <c r="H754" i="20" s="1"/>
  <c r="J754" i="20" a="1"/>
  <c r="J754" i="20" s="1"/>
  <c r="L754" i="20" a="1"/>
  <c r="L754" i="20" s="1"/>
  <c r="D755" i="20" a="1"/>
  <c r="D755" i="20" s="1"/>
  <c r="F755" i="20" a="1"/>
  <c r="F755" i="20" s="1"/>
  <c r="B755" i="20"/>
  <c r="H755" i="20" a="1"/>
  <c r="H755" i="20" s="1"/>
  <c r="J755" i="20" a="1"/>
  <c r="J755" i="20" s="1"/>
  <c r="L755" i="20" a="1"/>
  <c r="L755" i="20" s="1"/>
  <c r="D756" i="20" a="1"/>
  <c r="D756" i="20" s="1"/>
  <c r="F756" i="20" a="1"/>
  <c r="F756" i="20" s="1"/>
  <c r="B756" i="20"/>
  <c r="H756" i="20" a="1"/>
  <c r="H756" i="20" s="1"/>
  <c r="J756" i="20" a="1"/>
  <c r="J756" i="20" s="1"/>
  <c r="L756" i="20" a="1"/>
  <c r="L756" i="20" s="1"/>
  <c r="D757" i="20" a="1"/>
  <c r="D757" i="20" s="1"/>
  <c r="F757" i="20" a="1"/>
  <c r="F757" i="20" s="1"/>
  <c r="B757" i="20"/>
  <c r="H757" i="20" a="1"/>
  <c r="H757" i="20" s="1"/>
  <c r="J757" i="20" a="1"/>
  <c r="J757" i="20" s="1"/>
  <c r="L757" i="20" a="1"/>
  <c r="L757" i="20" s="1"/>
  <c r="D758" i="20" a="1"/>
  <c r="D758" i="20" s="1"/>
  <c r="F758" i="20" a="1"/>
  <c r="F758" i="20" s="1"/>
  <c r="B758" i="20"/>
  <c r="H758" i="20" a="1"/>
  <c r="H758" i="20" s="1"/>
  <c r="J758" i="20" a="1"/>
  <c r="J758" i="20" s="1"/>
  <c r="L758" i="20" a="1"/>
  <c r="L758" i="20" s="1"/>
  <c r="D759" i="20" a="1"/>
  <c r="D759" i="20" s="1"/>
  <c r="F759" i="20" a="1"/>
  <c r="F759" i="20" s="1"/>
  <c r="B759" i="20"/>
  <c r="H759" i="20" a="1"/>
  <c r="H759" i="20" s="1"/>
  <c r="J759" i="20" a="1"/>
  <c r="J759" i="20" s="1"/>
  <c r="L759" i="20" a="1"/>
  <c r="L759" i="20" s="1"/>
  <c r="D760" i="20" a="1"/>
  <c r="D760" i="20" s="1"/>
  <c r="F760" i="20" a="1"/>
  <c r="F760" i="20" s="1"/>
  <c r="B760" i="20"/>
  <c r="H760" i="20" a="1"/>
  <c r="H760" i="20" s="1"/>
  <c r="J760" i="20" a="1"/>
  <c r="J760" i="20" s="1"/>
  <c r="L760" i="20" a="1"/>
  <c r="L760" i="20" s="1"/>
  <c r="D761" i="20" a="1"/>
  <c r="D761" i="20" s="1"/>
  <c r="F761" i="20" a="1"/>
  <c r="F761" i="20" s="1"/>
  <c r="B761" i="20"/>
  <c r="H761" i="20" a="1"/>
  <c r="H761" i="20" s="1"/>
  <c r="J761" i="20" a="1"/>
  <c r="J761" i="20" s="1"/>
  <c r="L761" i="20" a="1"/>
  <c r="L761" i="20" s="1"/>
  <c r="D762" i="20" a="1"/>
  <c r="D762" i="20" s="1"/>
  <c r="F762" i="20" a="1"/>
  <c r="F762" i="20" s="1"/>
  <c r="B762" i="20"/>
  <c r="H762" i="20" a="1"/>
  <c r="H762" i="20" s="1"/>
  <c r="J762" i="20" a="1"/>
  <c r="J762" i="20" s="1"/>
  <c r="L762" i="20" a="1"/>
  <c r="L762" i="20" s="1"/>
  <c r="D763" i="20" a="1"/>
  <c r="D763" i="20" s="1"/>
  <c r="F763" i="20" a="1"/>
  <c r="F763" i="20" s="1"/>
  <c r="B763" i="20"/>
  <c r="H763" i="20" a="1"/>
  <c r="H763" i="20" s="1"/>
  <c r="J763" i="20" a="1"/>
  <c r="J763" i="20" s="1"/>
  <c r="L763" i="20" a="1"/>
  <c r="L763" i="20" s="1"/>
  <c r="D764" i="20" a="1"/>
  <c r="D764" i="20" s="1"/>
  <c r="F764" i="20" a="1"/>
  <c r="F764" i="20" s="1"/>
  <c r="B764" i="20"/>
  <c r="H764" i="20" a="1"/>
  <c r="H764" i="20" s="1"/>
  <c r="J764" i="20" a="1"/>
  <c r="J764" i="20" s="1"/>
  <c r="L764" i="20" a="1"/>
  <c r="L764" i="20" s="1"/>
  <c r="D765" i="20" a="1"/>
  <c r="D765" i="20" s="1"/>
  <c r="F765" i="20" a="1"/>
  <c r="F765" i="20" s="1"/>
  <c r="B765" i="20"/>
  <c r="H765" i="20" a="1"/>
  <c r="H765" i="20" s="1"/>
  <c r="J765" i="20" a="1"/>
  <c r="J765" i="20" s="1"/>
  <c r="L765" i="20" a="1"/>
  <c r="L765" i="20" s="1"/>
  <c r="D766" i="20" a="1"/>
  <c r="D766" i="20" s="1"/>
  <c r="F766" i="20" a="1"/>
  <c r="F766" i="20" s="1"/>
  <c r="B766" i="20"/>
  <c r="H766" i="20" a="1"/>
  <c r="H766" i="20" s="1"/>
  <c r="J766" i="20" a="1"/>
  <c r="J766" i="20" s="1"/>
  <c r="L766" i="20" a="1"/>
  <c r="L766" i="20" s="1"/>
  <c r="D767" i="20" a="1"/>
  <c r="D767" i="20" s="1"/>
  <c r="F767" i="20" a="1"/>
  <c r="F767" i="20" s="1"/>
  <c r="B767" i="20"/>
  <c r="H767" i="20" a="1"/>
  <c r="H767" i="20" s="1"/>
  <c r="J767" i="20" a="1"/>
  <c r="J767" i="20" s="1"/>
  <c r="L767" i="20" a="1"/>
  <c r="L767" i="20" s="1"/>
  <c r="D768" i="20" a="1"/>
  <c r="D768" i="20" s="1"/>
  <c r="F768" i="20" a="1"/>
  <c r="F768" i="20" s="1"/>
  <c r="B768" i="20"/>
  <c r="H768" i="20" a="1"/>
  <c r="H768" i="20" s="1"/>
  <c r="J768" i="20" a="1"/>
  <c r="J768" i="20" s="1"/>
  <c r="L768" i="20" a="1"/>
  <c r="L768" i="20" s="1"/>
  <c r="D769" i="20" a="1"/>
  <c r="D769" i="20" s="1"/>
  <c r="F769" i="20" a="1"/>
  <c r="F769" i="20" s="1"/>
  <c r="B769" i="20"/>
  <c r="H769" i="20" a="1"/>
  <c r="H769" i="20" s="1"/>
  <c r="J769" i="20" a="1"/>
  <c r="J769" i="20" s="1"/>
  <c r="L769" i="20" a="1"/>
  <c r="L769" i="20" s="1"/>
  <c r="D770" i="20" a="1"/>
  <c r="D770" i="20" s="1"/>
  <c r="F770" i="20" a="1"/>
  <c r="F770" i="20" s="1"/>
  <c r="B770" i="20"/>
  <c r="H770" i="20" a="1"/>
  <c r="H770" i="20" s="1"/>
  <c r="J770" i="20" a="1"/>
  <c r="J770" i="20" s="1"/>
  <c r="L770" i="20" a="1"/>
  <c r="L770" i="20" s="1"/>
  <c r="D771" i="20" a="1"/>
  <c r="D771" i="20" s="1"/>
  <c r="F771" i="20" a="1"/>
  <c r="F771" i="20" s="1"/>
  <c r="B771" i="20"/>
  <c r="H771" i="20" a="1"/>
  <c r="H771" i="20" s="1"/>
  <c r="J771" i="20" a="1"/>
  <c r="J771" i="20" s="1"/>
  <c r="L771" i="20" a="1"/>
  <c r="L771" i="20" s="1"/>
  <c r="D772" i="20" a="1"/>
  <c r="D772" i="20" s="1"/>
  <c r="F772" i="20" a="1"/>
  <c r="F772" i="20" s="1"/>
  <c r="B772" i="20"/>
  <c r="H772" i="20" a="1"/>
  <c r="H772" i="20" s="1"/>
  <c r="J772" i="20" a="1"/>
  <c r="J772" i="20" s="1"/>
  <c r="L772" i="20" a="1"/>
  <c r="L772" i="20" s="1"/>
  <c r="D773" i="20" a="1"/>
  <c r="D773" i="20" s="1"/>
  <c r="F773" i="20" a="1"/>
  <c r="F773" i="20" s="1"/>
  <c r="B773" i="20"/>
  <c r="H773" i="20" a="1"/>
  <c r="H773" i="20" s="1"/>
  <c r="J773" i="20" a="1"/>
  <c r="J773" i="20" s="1"/>
  <c r="L773" i="20" a="1"/>
  <c r="L773" i="20" s="1"/>
  <c r="D774" i="20" a="1"/>
  <c r="D774" i="20" s="1"/>
  <c r="F774" i="20" a="1"/>
  <c r="F774" i="20" s="1"/>
  <c r="B774" i="20"/>
  <c r="H774" i="20" a="1"/>
  <c r="H774" i="20" s="1"/>
  <c r="J774" i="20" a="1"/>
  <c r="J774" i="20" s="1"/>
  <c r="L774" i="20" a="1"/>
  <c r="L774" i="20" s="1"/>
  <c r="D775" i="20" a="1"/>
  <c r="D775" i="20" s="1"/>
  <c r="F775" i="20" a="1"/>
  <c r="F775" i="20" s="1"/>
  <c r="B775" i="20"/>
  <c r="H775" i="20" a="1"/>
  <c r="H775" i="20" s="1"/>
  <c r="J775" i="20" a="1"/>
  <c r="J775" i="20" s="1"/>
  <c r="L775" i="20" a="1"/>
  <c r="L775" i="20" s="1"/>
  <c r="D776" i="20" a="1"/>
  <c r="D776" i="20" s="1"/>
  <c r="F776" i="20" a="1"/>
  <c r="F776" i="20" s="1"/>
  <c r="B776" i="20"/>
  <c r="H776" i="20" a="1"/>
  <c r="H776" i="20" s="1"/>
  <c r="J776" i="20" a="1"/>
  <c r="J776" i="20" s="1"/>
  <c r="L776" i="20" a="1"/>
  <c r="L776" i="20" s="1"/>
  <c r="D777" i="20" a="1"/>
  <c r="D777" i="20" s="1"/>
  <c r="F777" i="20" a="1"/>
  <c r="F777" i="20" s="1"/>
  <c r="B777" i="20"/>
  <c r="H777" i="20" a="1"/>
  <c r="H777" i="20" s="1"/>
  <c r="J777" i="20" a="1"/>
  <c r="J777" i="20" s="1"/>
  <c r="L777" i="20" a="1"/>
  <c r="L777" i="20" s="1"/>
  <c r="D778" i="20" a="1"/>
  <c r="D778" i="20" s="1"/>
  <c r="F778" i="20" a="1"/>
  <c r="F778" i="20" s="1"/>
  <c r="B778" i="20"/>
  <c r="H778" i="20" a="1"/>
  <c r="H778" i="20" s="1"/>
  <c r="J778" i="20" a="1"/>
  <c r="J778" i="20" s="1"/>
  <c r="L778" i="20" a="1"/>
  <c r="L778" i="20" s="1"/>
  <c r="D779" i="20" a="1"/>
  <c r="D779" i="20" s="1"/>
  <c r="F779" i="20" a="1"/>
  <c r="F779" i="20" s="1"/>
  <c r="B779" i="20"/>
  <c r="H779" i="20" a="1"/>
  <c r="H779" i="20" s="1"/>
  <c r="J779" i="20" a="1"/>
  <c r="J779" i="20" s="1"/>
  <c r="L779" i="20" a="1"/>
  <c r="L779" i="20" s="1"/>
  <c r="D780" i="20" a="1"/>
  <c r="D780" i="20" s="1"/>
  <c r="F780" i="20" a="1"/>
  <c r="F780" i="20" s="1"/>
  <c r="B780" i="20"/>
  <c r="H780" i="20" a="1"/>
  <c r="H780" i="20" s="1"/>
  <c r="J780" i="20" a="1"/>
  <c r="J780" i="20" s="1"/>
  <c r="L780" i="20" a="1"/>
  <c r="L780" i="20" s="1"/>
  <c r="D781" i="20" a="1"/>
  <c r="D781" i="20" s="1"/>
  <c r="F781" i="20" a="1"/>
  <c r="F781" i="20" s="1"/>
  <c r="B781" i="20"/>
  <c r="H781" i="20" a="1"/>
  <c r="H781" i="20" s="1"/>
  <c r="J781" i="20" a="1"/>
  <c r="J781" i="20" s="1"/>
  <c r="L781" i="20" a="1"/>
  <c r="L781" i="20" s="1"/>
  <c r="D782" i="20" a="1"/>
  <c r="D782" i="20" s="1"/>
  <c r="F782" i="20" a="1"/>
  <c r="F782" i="20" s="1"/>
  <c r="B782" i="20"/>
  <c r="H782" i="20" a="1"/>
  <c r="H782" i="20" s="1"/>
  <c r="J782" i="20" a="1"/>
  <c r="J782" i="20" s="1"/>
  <c r="L782" i="20" a="1"/>
  <c r="L782" i="20" s="1"/>
  <c r="D783" i="20" a="1"/>
  <c r="D783" i="20" s="1"/>
  <c r="F783" i="20" a="1"/>
  <c r="F783" i="20" s="1"/>
  <c r="B783" i="20"/>
  <c r="H783" i="20" a="1"/>
  <c r="H783" i="20" s="1"/>
  <c r="J783" i="20" a="1"/>
  <c r="J783" i="20" s="1"/>
  <c r="L783" i="20" a="1"/>
  <c r="L783" i="20" s="1"/>
  <c r="D784" i="20" a="1"/>
  <c r="D784" i="20" s="1"/>
  <c r="F784" i="20" a="1"/>
  <c r="F784" i="20" s="1"/>
  <c r="B784" i="20"/>
  <c r="H784" i="20" a="1"/>
  <c r="H784" i="20" s="1"/>
  <c r="J784" i="20" a="1"/>
  <c r="J784" i="20" s="1"/>
  <c r="L784" i="20" a="1"/>
  <c r="L784" i="20" s="1"/>
  <c r="D785" i="20" a="1"/>
  <c r="D785" i="20" s="1"/>
  <c r="F785" i="20" a="1"/>
  <c r="F785" i="20" s="1"/>
  <c r="B785" i="20"/>
  <c r="H785" i="20" a="1"/>
  <c r="H785" i="20" s="1"/>
  <c r="J785" i="20" a="1"/>
  <c r="J785" i="20" s="1"/>
  <c r="L785" i="20" a="1"/>
  <c r="L785" i="20" s="1"/>
  <c r="D786" i="20" a="1"/>
  <c r="D786" i="20" s="1"/>
  <c r="F786" i="20" a="1"/>
  <c r="F786" i="20" s="1"/>
  <c r="B786" i="20"/>
  <c r="H786" i="20" a="1"/>
  <c r="H786" i="20" s="1"/>
  <c r="J786" i="20" a="1"/>
  <c r="J786" i="20" s="1"/>
  <c r="L786" i="20" a="1"/>
  <c r="L786" i="20" s="1"/>
  <c r="D787" i="20" a="1"/>
  <c r="D787" i="20" s="1"/>
  <c r="F787" i="20" a="1"/>
  <c r="F787" i="20" s="1"/>
  <c r="B787" i="20"/>
  <c r="H787" i="20" a="1"/>
  <c r="H787" i="20" s="1"/>
  <c r="J787" i="20" a="1"/>
  <c r="J787" i="20" s="1"/>
  <c r="L787" i="20" a="1"/>
  <c r="L787" i="20" s="1"/>
  <c r="D788" i="20" a="1"/>
  <c r="D788" i="20" s="1"/>
  <c r="F788" i="20" a="1"/>
  <c r="F788" i="20" s="1"/>
  <c r="B788" i="20"/>
  <c r="H788" i="20" a="1"/>
  <c r="H788" i="20" s="1"/>
  <c r="J788" i="20" a="1"/>
  <c r="J788" i="20" s="1"/>
  <c r="L788" i="20" a="1"/>
  <c r="L788" i="20" s="1"/>
  <c r="D789" i="20" a="1"/>
  <c r="D789" i="20" s="1"/>
  <c r="F789" i="20" a="1"/>
  <c r="F789" i="20" s="1"/>
  <c r="B789" i="20"/>
  <c r="H789" i="20" a="1"/>
  <c r="H789" i="20" s="1"/>
  <c r="J789" i="20" a="1"/>
  <c r="J789" i="20" s="1"/>
  <c r="L789" i="20" a="1"/>
  <c r="L789" i="20" s="1"/>
  <c r="D790" i="20" a="1"/>
  <c r="D790" i="20" s="1"/>
  <c r="F790" i="20" a="1"/>
  <c r="F790" i="20" s="1"/>
  <c r="B790" i="20"/>
  <c r="H790" i="20" a="1"/>
  <c r="H790" i="20" s="1"/>
  <c r="J790" i="20" a="1"/>
  <c r="J790" i="20" s="1"/>
  <c r="L790" i="20" a="1"/>
  <c r="L790" i="20" s="1"/>
  <c r="D791" i="20" a="1"/>
  <c r="D791" i="20" s="1"/>
  <c r="F791" i="20" a="1"/>
  <c r="F791" i="20" s="1"/>
  <c r="B791" i="20"/>
  <c r="H791" i="20" a="1"/>
  <c r="H791" i="20" s="1"/>
  <c r="J791" i="20" a="1"/>
  <c r="J791" i="20" s="1"/>
  <c r="L791" i="20" a="1"/>
  <c r="L791" i="20" s="1"/>
  <c r="D792" i="20" a="1"/>
  <c r="D792" i="20" s="1"/>
  <c r="F792" i="20" a="1"/>
  <c r="F792" i="20" s="1"/>
  <c r="B792" i="20"/>
  <c r="H792" i="20" a="1"/>
  <c r="H792" i="20" s="1"/>
  <c r="J792" i="20" a="1"/>
  <c r="J792" i="20" s="1"/>
  <c r="L792" i="20" a="1"/>
  <c r="L792" i="20" s="1"/>
  <c r="D793" i="20" a="1"/>
  <c r="D793" i="20" s="1"/>
  <c r="F793" i="20" a="1"/>
  <c r="F793" i="20" s="1"/>
  <c r="B793" i="20"/>
  <c r="H793" i="20" a="1"/>
  <c r="H793" i="20" s="1"/>
  <c r="J793" i="20" a="1"/>
  <c r="J793" i="20" s="1"/>
  <c r="L793" i="20" a="1"/>
  <c r="L793" i="20" s="1"/>
  <c r="D794" i="20" a="1"/>
  <c r="D794" i="20" s="1"/>
  <c r="F794" i="20" a="1"/>
  <c r="F794" i="20" s="1"/>
  <c r="B794" i="20"/>
  <c r="H794" i="20" a="1"/>
  <c r="H794" i="20" s="1"/>
  <c r="J794" i="20" a="1"/>
  <c r="J794" i="20" s="1"/>
  <c r="L794" i="20" a="1"/>
  <c r="L794" i="20" s="1"/>
  <c r="D795" i="20" a="1"/>
  <c r="D795" i="20" s="1"/>
  <c r="F795" i="20" a="1"/>
  <c r="F795" i="20" s="1"/>
  <c r="B795" i="20"/>
  <c r="H795" i="20" a="1"/>
  <c r="H795" i="20" s="1"/>
  <c r="J795" i="20" a="1"/>
  <c r="J795" i="20" s="1"/>
  <c r="L795" i="20" a="1"/>
  <c r="L795" i="20" s="1"/>
  <c r="D796" i="20" a="1"/>
  <c r="D796" i="20" s="1"/>
  <c r="F796" i="20" a="1"/>
  <c r="F796" i="20" s="1"/>
  <c r="B796" i="20"/>
  <c r="H796" i="20" a="1"/>
  <c r="H796" i="20" s="1"/>
  <c r="J796" i="20" a="1"/>
  <c r="J796" i="20" s="1"/>
  <c r="L796" i="20" a="1"/>
  <c r="L796" i="20" s="1"/>
  <c r="D797" i="20" a="1"/>
  <c r="D797" i="20" s="1"/>
  <c r="F797" i="20" a="1"/>
  <c r="F797" i="20" s="1"/>
  <c r="B797" i="20"/>
  <c r="H797" i="20" a="1"/>
  <c r="H797" i="20" s="1"/>
  <c r="J797" i="20" a="1"/>
  <c r="J797" i="20" s="1"/>
  <c r="L797" i="20" a="1"/>
  <c r="L797" i="20" s="1"/>
  <c r="D798" i="20" a="1"/>
  <c r="D798" i="20" s="1"/>
  <c r="F798" i="20" a="1"/>
  <c r="F798" i="20" s="1"/>
  <c r="B798" i="20"/>
  <c r="H798" i="20" a="1"/>
  <c r="H798" i="20" s="1"/>
  <c r="J798" i="20" a="1"/>
  <c r="J798" i="20" s="1"/>
  <c r="L798" i="20" a="1"/>
  <c r="L798" i="20" s="1"/>
  <c r="D799" i="20" a="1"/>
  <c r="D799" i="20" s="1"/>
  <c r="F799" i="20" a="1"/>
  <c r="F799" i="20" s="1"/>
  <c r="B799" i="20"/>
  <c r="H799" i="20" a="1"/>
  <c r="H799" i="20" s="1"/>
  <c r="J799" i="20" a="1"/>
  <c r="J799" i="20" s="1"/>
  <c r="L799" i="20" a="1"/>
  <c r="L799" i="20" s="1"/>
  <c r="D800" i="20" a="1"/>
  <c r="D800" i="20" s="1"/>
  <c r="F800" i="20" a="1"/>
  <c r="F800" i="20" s="1"/>
  <c r="B800" i="20"/>
  <c r="H800" i="20" a="1"/>
  <c r="H800" i="20" s="1"/>
  <c r="J800" i="20" a="1"/>
  <c r="J800" i="20" s="1"/>
  <c r="L800" i="20" a="1"/>
  <c r="L800" i="20" s="1"/>
  <c r="D801" i="20" a="1"/>
  <c r="D801" i="20" s="1"/>
  <c r="F801" i="20" a="1"/>
  <c r="F801" i="20" s="1"/>
  <c r="B801" i="20"/>
  <c r="H801" i="20" a="1"/>
  <c r="H801" i="20" s="1"/>
  <c r="J801" i="20" a="1"/>
  <c r="J801" i="20" s="1"/>
  <c r="L801" i="20" a="1"/>
  <c r="L801" i="20" s="1"/>
  <c r="D802" i="20" a="1"/>
  <c r="D802" i="20" s="1"/>
  <c r="F802" i="20" a="1"/>
  <c r="F802" i="20" s="1"/>
  <c r="B802" i="20"/>
  <c r="H802" i="20" a="1"/>
  <c r="H802" i="20" s="1"/>
  <c r="J802" i="20" a="1"/>
  <c r="J802" i="20" s="1"/>
  <c r="L802" i="20" a="1"/>
  <c r="L802" i="20" s="1"/>
  <c r="D803" i="20" a="1"/>
  <c r="D803" i="20" s="1"/>
  <c r="F803" i="20" a="1"/>
  <c r="F803" i="20" s="1"/>
  <c r="B803" i="20"/>
  <c r="H803" i="20" a="1"/>
  <c r="H803" i="20" s="1"/>
  <c r="J803" i="20" a="1"/>
  <c r="J803" i="20" s="1"/>
  <c r="L803" i="20" a="1"/>
  <c r="L803" i="20" s="1"/>
  <c r="D804" i="20" a="1"/>
  <c r="D804" i="20" s="1"/>
  <c r="F804" i="20" a="1"/>
  <c r="F804" i="20" s="1"/>
  <c r="B804" i="20"/>
  <c r="H804" i="20" a="1"/>
  <c r="H804" i="20" s="1"/>
  <c r="J804" i="20" a="1"/>
  <c r="J804" i="20" s="1"/>
  <c r="L804" i="20" a="1"/>
  <c r="L804" i="20" s="1"/>
  <c r="D805" i="20" a="1"/>
  <c r="D805" i="20" s="1"/>
  <c r="F805" i="20" a="1"/>
  <c r="F805" i="20" s="1"/>
  <c r="B805" i="20"/>
  <c r="H805" i="20" a="1"/>
  <c r="H805" i="20" s="1"/>
  <c r="J805" i="20" a="1"/>
  <c r="J805" i="20" s="1"/>
  <c r="L805" i="20" a="1"/>
  <c r="L805" i="20" s="1"/>
  <c r="D806" i="20" a="1"/>
  <c r="D806" i="20" s="1"/>
  <c r="F806" i="20" a="1"/>
  <c r="F806" i="20" s="1"/>
  <c r="B806" i="20"/>
  <c r="H806" i="20" a="1"/>
  <c r="H806" i="20" s="1"/>
  <c r="J806" i="20" a="1"/>
  <c r="J806" i="20" s="1"/>
  <c r="L806" i="20" a="1"/>
  <c r="L806" i="20" s="1"/>
  <c r="D807" i="20" a="1"/>
  <c r="D807" i="20" s="1"/>
  <c r="F807" i="20" a="1"/>
  <c r="F807" i="20" s="1"/>
  <c r="B807" i="20"/>
  <c r="H807" i="20" a="1"/>
  <c r="H807" i="20" s="1"/>
  <c r="J807" i="20" a="1"/>
  <c r="J807" i="20" s="1"/>
  <c r="L807" i="20" a="1"/>
  <c r="L807" i="20" s="1"/>
  <c r="D808" i="20" a="1"/>
  <c r="D808" i="20" s="1"/>
  <c r="F808" i="20" a="1"/>
  <c r="F808" i="20" s="1"/>
  <c r="B808" i="20"/>
  <c r="H808" i="20" a="1"/>
  <c r="H808" i="20" s="1"/>
  <c r="J808" i="20" a="1"/>
  <c r="J808" i="20" s="1"/>
  <c r="L808" i="20" a="1"/>
  <c r="L808" i="20" s="1"/>
  <c r="D809" i="20" a="1"/>
  <c r="D809" i="20" s="1"/>
  <c r="F809" i="20" a="1"/>
  <c r="F809" i="20" s="1"/>
  <c r="B809" i="20"/>
  <c r="H809" i="20" a="1"/>
  <c r="H809" i="20" s="1"/>
  <c r="J809" i="20" a="1"/>
  <c r="J809" i="20" s="1"/>
  <c r="L809" i="20" a="1"/>
  <c r="L809" i="20" s="1"/>
  <c r="D810" i="20" a="1"/>
  <c r="D810" i="20" s="1"/>
  <c r="F810" i="20" a="1"/>
  <c r="F810" i="20" s="1"/>
  <c r="B810" i="20"/>
  <c r="H810" i="20" a="1"/>
  <c r="H810" i="20" s="1"/>
  <c r="J810" i="20" a="1"/>
  <c r="J810" i="20" s="1"/>
  <c r="L810" i="20" a="1"/>
  <c r="L810" i="20" s="1"/>
  <c r="D811" i="20" a="1"/>
  <c r="D811" i="20" s="1"/>
  <c r="F811" i="20" a="1"/>
  <c r="F811" i="20" s="1"/>
  <c r="B811" i="20"/>
  <c r="H811" i="20" a="1"/>
  <c r="H811" i="20" s="1"/>
  <c r="J811" i="20" a="1"/>
  <c r="J811" i="20" s="1"/>
  <c r="L811" i="20" a="1"/>
  <c r="L811" i="20" s="1"/>
  <c r="D812" i="20" a="1"/>
  <c r="D812" i="20" s="1"/>
  <c r="F812" i="20" a="1"/>
  <c r="F812" i="20" s="1"/>
  <c r="B812" i="20"/>
  <c r="H812" i="20" a="1"/>
  <c r="H812" i="20" s="1"/>
  <c r="J812" i="20" a="1"/>
  <c r="J812" i="20" s="1"/>
  <c r="L812" i="20" a="1"/>
  <c r="L812" i="20" s="1"/>
  <c r="D813" i="20" a="1"/>
  <c r="D813" i="20" s="1"/>
  <c r="F813" i="20" a="1"/>
  <c r="F813" i="20" s="1"/>
  <c r="B813" i="20"/>
  <c r="H813" i="20" a="1"/>
  <c r="H813" i="20" s="1"/>
  <c r="J813" i="20" a="1"/>
  <c r="J813" i="20" s="1"/>
  <c r="L813" i="20" a="1"/>
  <c r="L813" i="20" s="1"/>
  <c r="D814" i="20" a="1"/>
  <c r="D814" i="20" s="1"/>
  <c r="F814" i="20" a="1"/>
  <c r="F814" i="20" s="1"/>
  <c r="B814" i="20"/>
  <c r="H814" i="20" a="1"/>
  <c r="H814" i="20" s="1"/>
  <c r="J814" i="20" a="1"/>
  <c r="J814" i="20" s="1"/>
  <c r="L814" i="20" a="1"/>
  <c r="L814" i="20" s="1"/>
  <c r="D815" i="20" a="1"/>
  <c r="D815" i="20" s="1"/>
  <c r="F815" i="20" a="1"/>
  <c r="F815" i="20" s="1"/>
  <c r="B815" i="20"/>
  <c r="H815" i="20" a="1"/>
  <c r="H815" i="20" s="1"/>
  <c r="J815" i="20" a="1"/>
  <c r="J815" i="20" s="1"/>
  <c r="L815" i="20" a="1"/>
  <c r="L815" i="20" s="1"/>
  <c r="D816" i="20" a="1"/>
  <c r="D816" i="20" s="1"/>
  <c r="F816" i="20" a="1"/>
  <c r="F816" i="20" s="1"/>
  <c r="B816" i="20"/>
  <c r="H816" i="20" a="1"/>
  <c r="H816" i="20" s="1"/>
  <c r="J816" i="20" a="1"/>
  <c r="J816" i="20" s="1"/>
  <c r="L816" i="20" a="1"/>
  <c r="L816" i="20" s="1"/>
  <c r="D817" i="20" a="1"/>
  <c r="D817" i="20" s="1"/>
  <c r="F817" i="20" a="1"/>
  <c r="F817" i="20" s="1"/>
  <c r="B817" i="20"/>
  <c r="H817" i="20" a="1"/>
  <c r="H817" i="20" s="1"/>
  <c r="J817" i="20" a="1"/>
  <c r="J817" i="20" s="1"/>
  <c r="L817" i="20" a="1"/>
  <c r="L817" i="20" s="1"/>
  <c r="D818" i="20" a="1"/>
  <c r="D818" i="20" s="1"/>
  <c r="F818" i="20" a="1"/>
  <c r="F818" i="20" s="1"/>
  <c r="B818" i="20"/>
  <c r="H818" i="20" a="1"/>
  <c r="H818" i="20" s="1"/>
  <c r="J818" i="20" a="1"/>
  <c r="J818" i="20" s="1"/>
  <c r="L818" i="20" a="1"/>
  <c r="L818" i="20" s="1"/>
  <c r="D819" i="20" a="1"/>
  <c r="D819" i="20" s="1"/>
  <c r="F819" i="20" a="1"/>
  <c r="F819" i="20" s="1"/>
  <c r="B819" i="20"/>
  <c r="H819" i="20" a="1"/>
  <c r="H819" i="20" s="1"/>
  <c r="J819" i="20" a="1"/>
  <c r="J819" i="20" s="1"/>
  <c r="L819" i="20" a="1"/>
  <c r="L819" i="20" s="1"/>
  <c r="D820" i="20" a="1"/>
  <c r="D820" i="20" s="1"/>
  <c r="F820" i="20" a="1"/>
  <c r="F820" i="20" s="1"/>
  <c r="B820" i="20"/>
  <c r="H820" i="20" a="1"/>
  <c r="H820" i="20" s="1"/>
  <c r="J820" i="20" a="1"/>
  <c r="J820" i="20" s="1"/>
  <c r="L820" i="20" a="1"/>
  <c r="L820" i="20" s="1"/>
  <c r="D821" i="20" a="1"/>
  <c r="D821" i="20" s="1"/>
  <c r="F821" i="20" a="1"/>
  <c r="F821" i="20" s="1"/>
  <c r="B821" i="20"/>
  <c r="H821" i="20" a="1"/>
  <c r="H821" i="20" s="1"/>
  <c r="J821" i="20" a="1"/>
  <c r="J821" i="20" s="1"/>
  <c r="L821" i="20" a="1"/>
  <c r="L821" i="20" s="1"/>
  <c r="D822" i="20" a="1"/>
  <c r="D822" i="20" s="1"/>
  <c r="F822" i="20" a="1"/>
  <c r="F822" i="20" s="1"/>
  <c r="B822" i="20"/>
  <c r="H822" i="20" a="1"/>
  <c r="H822" i="20" s="1"/>
  <c r="J822" i="20" a="1"/>
  <c r="J822" i="20" s="1"/>
  <c r="L822" i="20" a="1"/>
  <c r="L822" i="20" s="1"/>
  <c r="D823" i="20" a="1"/>
  <c r="D823" i="20" s="1"/>
  <c r="F823" i="20" a="1"/>
  <c r="F823" i="20" s="1"/>
  <c r="B823" i="20"/>
  <c r="H823" i="20" a="1"/>
  <c r="H823" i="20" s="1"/>
  <c r="J823" i="20" a="1"/>
  <c r="J823" i="20" s="1"/>
  <c r="L823" i="20" a="1"/>
  <c r="L823" i="20" s="1"/>
  <c r="D824" i="20" a="1"/>
  <c r="D824" i="20" s="1"/>
  <c r="F824" i="20" a="1"/>
  <c r="F824" i="20" s="1"/>
  <c r="B824" i="20"/>
  <c r="H824" i="20" a="1"/>
  <c r="H824" i="20" s="1"/>
  <c r="J824" i="20" a="1"/>
  <c r="J824" i="20" s="1"/>
  <c r="L824" i="20" a="1"/>
  <c r="L824" i="20" s="1"/>
  <c r="D825" i="20" a="1"/>
  <c r="D825" i="20" s="1"/>
  <c r="F825" i="20" a="1"/>
  <c r="F825" i="20" s="1"/>
  <c r="B825" i="20"/>
  <c r="H825" i="20" a="1"/>
  <c r="H825" i="20" s="1"/>
  <c r="J825" i="20" a="1"/>
  <c r="J825" i="20" s="1"/>
  <c r="L825" i="20" a="1"/>
  <c r="L825" i="20" s="1"/>
  <c r="D826" i="20" a="1"/>
  <c r="D826" i="20" s="1"/>
  <c r="F826" i="20" a="1"/>
  <c r="F826" i="20" s="1"/>
  <c r="B826" i="20"/>
  <c r="H826" i="20" a="1"/>
  <c r="H826" i="20" s="1"/>
  <c r="J826" i="20" a="1"/>
  <c r="J826" i="20" s="1"/>
  <c r="L826" i="20" a="1"/>
  <c r="L826" i="20" s="1"/>
  <c r="D827" i="20" a="1"/>
  <c r="D827" i="20" s="1"/>
  <c r="F827" i="20" a="1"/>
  <c r="F827" i="20" s="1"/>
  <c r="B827" i="20"/>
  <c r="H827" i="20" a="1"/>
  <c r="H827" i="20" s="1"/>
  <c r="J827" i="20" a="1"/>
  <c r="J827" i="20" s="1"/>
  <c r="L827" i="20" a="1"/>
  <c r="L827" i="20" s="1"/>
  <c r="D828" i="20" a="1"/>
  <c r="D828" i="20" s="1"/>
  <c r="F828" i="20" a="1"/>
  <c r="F828" i="20" s="1"/>
  <c r="B828" i="20"/>
  <c r="H828" i="20" a="1"/>
  <c r="H828" i="20" s="1"/>
  <c r="J828" i="20" a="1"/>
  <c r="J828" i="20" s="1"/>
  <c r="L828" i="20" a="1"/>
  <c r="L828" i="20" s="1"/>
  <c r="D829" i="20" a="1"/>
  <c r="D829" i="20" s="1"/>
  <c r="F829" i="20" a="1"/>
  <c r="F829" i="20" s="1"/>
  <c r="B829" i="20"/>
  <c r="H829" i="20" a="1"/>
  <c r="H829" i="20" s="1"/>
  <c r="J829" i="20" a="1"/>
  <c r="J829" i="20" s="1"/>
  <c r="L829" i="20" a="1"/>
  <c r="L829" i="20" s="1"/>
  <c r="D830" i="20" a="1"/>
  <c r="D830" i="20" s="1"/>
  <c r="F830" i="20" a="1"/>
  <c r="F830" i="20" s="1"/>
  <c r="B830" i="20"/>
  <c r="H830" i="20" a="1"/>
  <c r="H830" i="20" s="1"/>
  <c r="J830" i="20" a="1"/>
  <c r="J830" i="20" s="1"/>
  <c r="L830" i="20" a="1"/>
  <c r="L830" i="20" s="1"/>
  <c r="D831" i="20" a="1"/>
  <c r="D831" i="20" s="1"/>
  <c r="F831" i="20" a="1"/>
  <c r="F831" i="20" s="1"/>
  <c r="B831" i="20"/>
  <c r="H831" i="20" a="1"/>
  <c r="H831" i="20" s="1"/>
  <c r="J831" i="20" a="1"/>
  <c r="J831" i="20" s="1"/>
  <c r="L831" i="20" a="1"/>
  <c r="L831" i="20" s="1"/>
  <c r="D832" i="20" a="1"/>
  <c r="D832" i="20" s="1"/>
  <c r="F832" i="20" a="1"/>
  <c r="F832" i="20" s="1"/>
  <c r="B832" i="20"/>
  <c r="H832" i="20" a="1"/>
  <c r="H832" i="20" s="1"/>
  <c r="J832" i="20" a="1"/>
  <c r="J832" i="20" s="1"/>
  <c r="L832" i="20" a="1"/>
  <c r="L832" i="20" s="1"/>
  <c r="D833" i="20" a="1"/>
  <c r="D833" i="20" s="1"/>
  <c r="F833" i="20" a="1"/>
  <c r="F833" i="20" s="1"/>
  <c r="B833" i="20"/>
  <c r="H833" i="20" a="1"/>
  <c r="H833" i="20" s="1"/>
  <c r="J833" i="20" a="1"/>
  <c r="J833" i="20" s="1"/>
  <c r="L833" i="20" a="1"/>
  <c r="L833" i="20" s="1"/>
  <c r="D834" i="20" a="1"/>
  <c r="D834" i="20" s="1"/>
  <c r="F834" i="20" a="1"/>
  <c r="F834" i="20" s="1"/>
  <c r="B834" i="20"/>
  <c r="H834" i="20" a="1"/>
  <c r="H834" i="20" s="1"/>
  <c r="J834" i="20" a="1"/>
  <c r="J834" i="20" s="1"/>
  <c r="L834" i="20" a="1"/>
  <c r="L834" i="20" s="1"/>
  <c r="D835" i="20" a="1"/>
  <c r="D835" i="20" s="1"/>
  <c r="F835" i="20" a="1"/>
  <c r="F835" i="20" s="1"/>
  <c r="B835" i="20"/>
  <c r="H835" i="20" a="1"/>
  <c r="H835" i="20" s="1"/>
  <c r="J835" i="20" a="1"/>
  <c r="J835" i="20" s="1"/>
  <c r="L835" i="20" a="1"/>
  <c r="L835" i="20" s="1"/>
  <c r="D836" i="20" a="1"/>
  <c r="D836" i="20" s="1"/>
  <c r="F836" i="20" a="1"/>
  <c r="F836" i="20" s="1"/>
  <c r="B836" i="20"/>
  <c r="H836" i="20" a="1"/>
  <c r="H836" i="20" s="1"/>
  <c r="J836" i="20" a="1"/>
  <c r="J836" i="20" s="1"/>
  <c r="L836" i="20" a="1"/>
  <c r="L836" i="20" s="1"/>
  <c r="D837" i="20" a="1"/>
  <c r="D837" i="20" s="1"/>
  <c r="F837" i="20" a="1"/>
  <c r="F837" i="20" s="1"/>
  <c r="B837" i="20"/>
  <c r="H837" i="20" a="1"/>
  <c r="H837" i="20" s="1"/>
  <c r="J837" i="20" a="1"/>
  <c r="J837" i="20" s="1"/>
  <c r="L837" i="20" a="1"/>
  <c r="L837" i="20" s="1"/>
  <c r="D838" i="20" a="1"/>
  <c r="D838" i="20" s="1"/>
  <c r="F838" i="20" a="1"/>
  <c r="F838" i="20" s="1"/>
  <c r="B838" i="20"/>
  <c r="H838" i="20" a="1"/>
  <c r="H838" i="20" s="1"/>
  <c r="J838" i="20" a="1"/>
  <c r="J838" i="20" s="1"/>
  <c r="L838" i="20" a="1"/>
  <c r="L838" i="20" s="1"/>
  <c r="D839" i="20" a="1"/>
  <c r="D839" i="20" s="1"/>
  <c r="F839" i="20" a="1"/>
  <c r="F839" i="20" s="1"/>
  <c r="B839" i="20"/>
  <c r="H839" i="20" a="1"/>
  <c r="H839" i="20" s="1"/>
  <c r="J839" i="20" a="1"/>
  <c r="J839" i="20" s="1"/>
  <c r="L839" i="20" a="1"/>
  <c r="L839" i="20" s="1"/>
  <c r="D840" i="20" a="1"/>
  <c r="D840" i="20" s="1"/>
  <c r="F840" i="20" a="1"/>
  <c r="F840" i="20" s="1"/>
  <c r="B840" i="20"/>
  <c r="H840" i="20" a="1"/>
  <c r="H840" i="20" s="1"/>
  <c r="J840" i="20" a="1"/>
  <c r="J840" i="20" s="1"/>
  <c r="L840" i="20" a="1"/>
  <c r="L840" i="20" s="1"/>
  <c r="D841" i="20" a="1"/>
  <c r="D841" i="20" s="1"/>
  <c r="F841" i="20" a="1"/>
  <c r="F841" i="20" s="1"/>
  <c r="B841" i="20"/>
  <c r="H841" i="20" a="1"/>
  <c r="H841" i="20" s="1"/>
  <c r="J841" i="20" a="1"/>
  <c r="J841" i="20" s="1"/>
  <c r="L841" i="20" a="1"/>
  <c r="L841" i="20" s="1"/>
  <c r="D842" i="20" a="1"/>
  <c r="D842" i="20" s="1"/>
  <c r="F842" i="20" a="1"/>
  <c r="F842" i="20" s="1"/>
  <c r="B842" i="20"/>
  <c r="H842" i="20" a="1"/>
  <c r="H842" i="20" s="1"/>
  <c r="J842" i="20" a="1"/>
  <c r="J842" i="20" s="1"/>
  <c r="L842" i="20" a="1"/>
  <c r="L842" i="20" s="1"/>
  <c r="D843" i="20" a="1"/>
  <c r="D843" i="20" s="1"/>
  <c r="F843" i="20" a="1"/>
  <c r="F843" i="20" s="1"/>
  <c r="B843" i="20"/>
  <c r="H843" i="20" a="1"/>
  <c r="H843" i="20" s="1"/>
  <c r="J843" i="20" a="1"/>
  <c r="J843" i="20" s="1"/>
  <c r="L843" i="20" a="1"/>
  <c r="L843" i="20" s="1"/>
  <c r="D844" i="20" a="1"/>
  <c r="D844" i="20" s="1"/>
  <c r="F844" i="20" a="1"/>
  <c r="F844" i="20" s="1"/>
  <c r="B844" i="20"/>
  <c r="H844" i="20" a="1"/>
  <c r="H844" i="20" s="1"/>
  <c r="J844" i="20" a="1"/>
  <c r="J844" i="20" s="1"/>
  <c r="L844" i="20" a="1"/>
  <c r="L844" i="20" s="1"/>
  <c r="D845" i="20" a="1"/>
  <c r="D845" i="20" s="1"/>
  <c r="F845" i="20" a="1"/>
  <c r="F845" i="20" s="1"/>
  <c r="B845" i="20"/>
  <c r="H845" i="20" a="1"/>
  <c r="H845" i="20" s="1"/>
  <c r="J845" i="20" a="1"/>
  <c r="J845" i="20" s="1"/>
  <c r="L845" i="20" a="1"/>
  <c r="L845" i="20" s="1"/>
  <c r="D846" i="20" a="1"/>
  <c r="D846" i="20" s="1"/>
  <c r="F846" i="20" a="1"/>
  <c r="F846" i="20" s="1"/>
  <c r="B846" i="20"/>
  <c r="H846" i="20" a="1"/>
  <c r="H846" i="20" s="1"/>
  <c r="J846" i="20" a="1"/>
  <c r="J846" i="20" s="1"/>
  <c r="L846" i="20" a="1"/>
  <c r="L846" i="20" s="1"/>
  <c r="D847" i="20" a="1"/>
  <c r="D847" i="20" s="1"/>
  <c r="F847" i="20" a="1"/>
  <c r="F847" i="20" s="1"/>
  <c r="B847" i="20"/>
  <c r="H847" i="20" a="1"/>
  <c r="H847" i="20" s="1"/>
  <c r="J847" i="20" a="1"/>
  <c r="J847" i="20" s="1"/>
  <c r="L847" i="20" a="1"/>
  <c r="L847" i="20" s="1"/>
  <c r="D848" i="20" a="1"/>
  <c r="D848" i="20" s="1"/>
  <c r="F848" i="20" a="1"/>
  <c r="F848" i="20" s="1"/>
  <c r="B848" i="20"/>
  <c r="H848" i="20" a="1"/>
  <c r="H848" i="20" s="1"/>
  <c r="J848" i="20" a="1"/>
  <c r="J848" i="20" s="1"/>
  <c r="L848" i="20" a="1"/>
  <c r="L848" i="20" s="1"/>
  <c r="D849" i="20" a="1"/>
  <c r="D849" i="20" s="1"/>
  <c r="F849" i="20" a="1"/>
  <c r="F849" i="20" s="1"/>
  <c r="B849" i="20"/>
  <c r="H849" i="20" a="1"/>
  <c r="H849" i="20" s="1"/>
  <c r="J849" i="20" a="1"/>
  <c r="J849" i="20" s="1"/>
  <c r="L849" i="20" a="1"/>
  <c r="L849" i="20" s="1"/>
  <c r="D850" i="20" a="1"/>
  <c r="D850" i="20" s="1"/>
  <c r="F850" i="20" a="1"/>
  <c r="F850" i="20" s="1"/>
  <c r="B850" i="20"/>
  <c r="H850" i="20" a="1"/>
  <c r="H850" i="20" s="1"/>
  <c r="J850" i="20" a="1"/>
  <c r="J850" i="20" s="1"/>
  <c r="L850" i="20" a="1"/>
  <c r="L850" i="20" s="1"/>
  <c r="D851" i="20" a="1"/>
  <c r="D851" i="20" s="1"/>
  <c r="F851" i="20" a="1"/>
  <c r="F851" i="20" s="1"/>
  <c r="B851" i="20"/>
  <c r="H851" i="20" a="1"/>
  <c r="H851" i="20" s="1"/>
  <c r="J851" i="20" a="1"/>
  <c r="J851" i="20" s="1"/>
  <c r="L851" i="20" a="1"/>
  <c r="L851" i="20" s="1"/>
  <c r="D852" i="20" a="1"/>
  <c r="D852" i="20" s="1"/>
  <c r="F852" i="20" a="1"/>
  <c r="F852" i="20" s="1"/>
  <c r="B852" i="20"/>
  <c r="H852" i="20" a="1"/>
  <c r="H852" i="20" s="1"/>
  <c r="J852" i="20" a="1"/>
  <c r="J852" i="20" s="1"/>
  <c r="L852" i="20" a="1"/>
  <c r="L852" i="20" s="1"/>
  <c r="D853" i="20" a="1"/>
  <c r="D853" i="20" s="1"/>
  <c r="F853" i="20" a="1"/>
  <c r="F853" i="20" s="1"/>
  <c r="B853" i="20"/>
  <c r="H853" i="20" a="1"/>
  <c r="H853" i="20" s="1"/>
  <c r="J853" i="20" a="1"/>
  <c r="J853" i="20" s="1"/>
  <c r="L853" i="20" a="1"/>
  <c r="L853" i="20" s="1"/>
  <c r="D854" i="20" a="1"/>
  <c r="D854" i="20" s="1"/>
  <c r="F854" i="20" a="1"/>
  <c r="F854" i="20" s="1"/>
  <c r="B854" i="20"/>
  <c r="H854" i="20" a="1"/>
  <c r="H854" i="20" s="1"/>
  <c r="J854" i="20" a="1"/>
  <c r="J854" i="20" s="1"/>
  <c r="L854" i="20" a="1"/>
  <c r="L854" i="20" s="1"/>
  <c r="D855" i="20" a="1"/>
  <c r="D855" i="20" s="1"/>
  <c r="F855" i="20" a="1"/>
  <c r="F855" i="20" s="1"/>
  <c r="B855" i="20"/>
  <c r="H855" i="20" a="1"/>
  <c r="H855" i="20" s="1"/>
  <c r="J855" i="20" a="1"/>
  <c r="J855" i="20" s="1"/>
  <c r="L855" i="20" a="1"/>
  <c r="L855" i="20" s="1"/>
  <c r="D856" i="20" a="1"/>
  <c r="D856" i="20" s="1"/>
  <c r="F856" i="20" a="1"/>
  <c r="F856" i="20" s="1"/>
  <c r="B856" i="20"/>
  <c r="H856" i="20" a="1"/>
  <c r="H856" i="20" s="1"/>
  <c r="J856" i="20" a="1"/>
  <c r="J856" i="20" s="1"/>
  <c r="L856" i="20" a="1"/>
  <c r="L856" i="20" s="1"/>
  <c r="D857" i="20" a="1"/>
  <c r="D857" i="20" s="1"/>
  <c r="F857" i="20" a="1"/>
  <c r="F857" i="20" s="1"/>
  <c r="B857" i="20"/>
  <c r="H857" i="20" a="1"/>
  <c r="H857" i="20" s="1"/>
  <c r="J857" i="20" a="1"/>
  <c r="J857" i="20" s="1"/>
  <c r="L857" i="20" a="1"/>
  <c r="L857" i="20" s="1"/>
  <c r="D858" i="20" a="1"/>
  <c r="D858" i="20" s="1"/>
  <c r="F858" i="20" a="1"/>
  <c r="F858" i="20" s="1"/>
  <c r="B858" i="20"/>
  <c r="H858" i="20" a="1"/>
  <c r="H858" i="20" s="1"/>
  <c r="J858" i="20" a="1"/>
  <c r="J858" i="20" s="1"/>
  <c r="L858" i="20" a="1"/>
  <c r="L858" i="20" s="1"/>
  <c r="D859" i="20" a="1"/>
  <c r="D859" i="20" s="1"/>
  <c r="F859" i="20" a="1"/>
  <c r="F859" i="20" s="1"/>
  <c r="B859" i="20"/>
  <c r="H859" i="20" a="1"/>
  <c r="H859" i="20" s="1"/>
  <c r="J859" i="20" a="1"/>
  <c r="J859" i="20" s="1"/>
  <c r="L859" i="20" a="1"/>
  <c r="L859" i="20" s="1"/>
  <c r="D860" i="20" a="1"/>
  <c r="D860" i="20" s="1"/>
  <c r="F860" i="20" a="1"/>
  <c r="F860" i="20" s="1"/>
  <c r="B860" i="20"/>
  <c r="H860" i="20" a="1"/>
  <c r="H860" i="20" s="1"/>
  <c r="J860" i="20" a="1"/>
  <c r="J860" i="20" s="1"/>
  <c r="L860" i="20" a="1"/>
  <c r="L860" i="20" s="1"/>
  <c r="D861" i="20" a="1"/>
  <c r="D861" i="20" s="1"/>
  <c r="F861" i="20" a="1"/>
  <c r="F861" i="20" s="1"/>
  <c r="B861" i="20"/>
  <c r="H861" i="20" a="1"/>
  <c r="H861" i="20" s="1"/>
  <c r="J861" i="20" a="1"/>
  <c r="J861" i="20" s="1"/>
  <c r="L861" i="20" a="1"/>
  <c r="L861" i="20" s="1"/>
  <c r="D862" i="20" a="1"/>
  <c r="D862" i="20" s="1"/>
  <c r="F862" i="20" a="1"/>
  <c r="F862" i="20" s="1"/>
  <c r="B862" i="20"/>
  <c r="H862" i="20" a="1"/>
  <c r="H862" i="20" s="1"/>
  <c r="J862" i="20" a="1"/>
  <c r="J862" i="20" s="1"/>
  <c r="L862" i="20" a="1"/>
  <c r="L862" i="20" s="1"/>
  <c r="D863" i="20" a="1"/>
  <c r="D863" i="20" s="1"/>
  <c r="F863" i="20" a="1"/>
  <c r="F863" i="20" s="1"/>
  <c r="B863" i="20"/>
  <c r="H863" i="20" a="1"/>
  <c r="H863" i="20" s="1"/>
  <c r="J863" i="20" a="1"/>
  <c r="J863" i="20" s="1"/>
  <c r="L863" i="20" a="1"/>
  <c r="L863" i="20" s="1"/>
  <c r="D864" i="20" a="1"/>
  <c r="D864" i="20" s="1"/>
  <c r="F864" i="20" a="1"/>
  <c r="F864" i="20" s="1"/>
  <c r="B864" i="20"/>
  <c r="H864" i="20" a="1"/>
  <c r="H864" i="20" s="1"/>
  <c r="J864" i="20" a="1"/>
  <c r="J864" i="20" s="1"/>
  <c r="L864" i="20" a="1"/>
  <c r="L864" i="20" s="1"/>
  <c r="D865" i="20" a="1"/>
  <c r="D865" i="20" s="1"/>
  <c r="F865" i="20" a="1"/>
  <c r="F865" i="20" s="1"/>
  <c r="B865" i="20"/>
  <c r="H865" i="20" a="1"/>
  <c r="H865" i="20" s="1"/>
  <c r="J865" i="20" a="1"/>
  <c r="J865" i="20" s="1"/>
  <c r="L865" i="20" a="1"/>
  <c r="L865" i="20" s="1"/>
  <c r="D866" i="20" a="1"/>
  <c r="D866" i="20" s="1"/>
  <c r="F866" i="20" a="1"/>
  <c r="F866" i="20" s="1"/>
  <c r="B866" i="20"/>
  <c r="H866" i="20" a="1"/>
  <c r="H866" i="20" s="1"/>
  <c r="J866" i="20" a="1"/>
  <c r="J866" i="20" s="1"/>
  <c r="L866" i="20" a="1"/>
  <c r="L866" i="20" s="1"/>
  <c r="D867" i="20" a="1"/>
  <c r="D867" i="20" s="1"/>
  <c r="F867" i="20" a="1"/>
  <c r="F867" i="20" s="1"/>
  <c r="B867" i="20"/>
  <c r="H867" i="20" a="1"/>
  <c r="H867" i="20" s="1"/>
  <c r="J867" i="20" a="1"/>
  <c r="J867" i="20" s="1"/>
  <c r="L867" i="20" a="1"/>
  <c r="L867" i="20" s="1"/>
  <c r="D868" i="20" a="1"/>
  <c r="D868" i="20" s="1"/>
  <c r="F868" i="20" a="1"/>
  <c r="F868" i="20" s="1"/>
  <c r="B868" i="20"/>
  <c r="H868" i="20" a="1"/>
  <c r="H868" i="20" s="1"/>
  <c r="J868" i="20" a="1"/>
  <c r="J868" i="20" s="1"/>
  <c r="L868" i="20" a="1"/>
  <c r="L868" i="20" s="1"/>
  <c r="D869" i="20" a="1"/>
  <c r="D869" i="20" s="1"/>
  <c r="F869" i="20" a="1"/>
  <c r="F869" i="20" s="1"/>
  <c r="B869" i="20"/>
  <c r="H869" i="20" a="1"/>
  <c r="H869" i="20" s="1"/>
  <c r="J869" i="20" a="1"/>
  <c r="J869" i="20" s="1"/>
  <c r="L869" i="20" a="1"/>
  <c r="L869" i="20" s="1"/>
  <c r="D870" i="20" a="1"/>
  <c r="D870" i="20" s="1"/>
  <c r="F870" i="20" a="1"/>
  <c r="F870" i="20" s="1"/>
  <c r="B870" i="20"/>
  <c r="H870" i="20" a="1"/>
  <c r="H870" i="20" s="1"/>
  <c r="J870" i="20" a="1"/>
  <c r="J870" i="20" s="1"/>
  <c r="L870" i="20" a="1"/>
  <c r="L870" i="20" s="1"/>
  <c r="D871" i="20" a="1"/>
  <c r="D871" i="20" s="1"/>
  <c r="F871" i="20" a="1"/>
  <c r="F871" i="20" s="1"/>
  <c r="B871" i="20"/>
  <c r="H871" i="20" a="1"/>
  <c r="H871" i="20" s="1"/>
  <c r="J871" i="20" a="1"/>
  <c r="J871" i="20" s="1"/>
  <c r="L871" i="20" a="1"/>
  <c r="L871" i="20" s="1"/>
  <c r="D872" i="20" a="1"/>
  <c r="D872" i="20" s="1"/>
  <c r="F872" i="20" a="1"/>
  <c r="F872" i="20" s="1"/>
  <c r="B872" i="20"/>
  <c r="H872" i="20" a="1"/>
  <c r="H872" i="20" s="1"/>
  <c r="J872" i="20" a="1"/>
  <c r="J872" i="20" s="1"/>
  <c r="L872" i="20" a="1"/>
  <c r="L872" i="20" s="1"/>
  <c r="D873" i="20" a="1"/>
  <c r="D873" i="20" s="1"/>
  <c r="F873" i="20" a="1"/>
  <c r="F873" i="20" s="1"/>
  <c r="B873" i="20"/>
  <c r="H873" i="20" a="1"/>
  <c r="H873" i="20" s="1"/>
  <c r="J873" i="20" a="1"/>
  <c r="J873" i="20" s="1"/>
  <c r="L873" i="20" a="1"/>
  <c r="L873" i="20" s="1"/>
  <c r="D874" i="20" a="1"/>
  <c r="D874" i="20" s="1"/>
  <c r="F874" i="20" a="1"/>
  <c r="F874" i="20" s="1"/>
  <c r="B874" i="20"/>
  <c r="H874" i="20" a="1"/>
  <c r="H874" i="20" s="1"/>
  <c r="J874" i="20" a="1"/>
  <c r="J874" i="20" s="1"/>
  <c r="L874" i="20" a="1"/>
  <c r="L874" i="20" s="1"/>
  <c r="D875" i="20" a="1"/>
  <c r="D875" i="20" s="1"/>
  <c r="F875" i="20" a="1"/>
  <c r="F875" i="20" s="1"/>
  <c r="B875" i="20"/>
  <c r="H875" i="20" a="1"/>
  <c r="H875" i="20" s="1"/>
  <c r="J875" i="20" a="1"/>
  <c r="J875" i="20" s="1"/>
  <c r="L875" i="20" a="1"/>
  <c r="L875" i="20" s="1"/>
  <c r="D876" i="20" a="1"/>
  <c r="D876" i="20" s="1"/>
  <c r="F876" i="20" a="1"/>
  <c r="F876" i="20" s="1"/>
  <c r="B876" i="20"/>
  <c r="H876" i="20" a="1"/>
  <c r="H876" i="20" s="1"/>
  <c r="J876" i="20" a="1"/>
  <c r="J876" i="20" s="1"/>
  <c r="L876" i="20" a="1"/>
  <c r="L876" i="20" s="1"/>
  <c r="D877" i="20" a="1"/>
  <c r="D877" i="20" s="1"/>
  <c r="F877" i="20" a="1"/>
  <c r="F877" i="20" s="1"/>
  <c r="B877" i="20"/>
  <c r="H877" i="20" a="1"/>
  <c r="H877" i="20" s="1"/>
  <c r="J877" i="20" a="1"/>
  <c r="J877" i="20" s="1"/>
  <c r="L877" i="20" a="1"/>
  <c r="L877" i="20" s="1"/>
  <c r="D878" i="20" a="1"/>
  <c r="D878" i="20" s="1"/>
  <c r="F878" i="20" a="1"/>
  <c r="F878" i="20" s="1"/>
  <c r="B878" i="20"/>
  <c r="H878" i="20" a="1"/>
  <c r="H878" i="20" s="1"/>
  <c r="J878" i="20" a="1"/>
  <c r="J878" i="20" s="1"/>
  <c r="L878" i="20" a="1"/>
  <c r="L878" i="20" s="1"/>
  <c r="D879" i="20" a="1"/>
  <c r="D879" i="20" s="1"/>
  <c r="F879" i="20" a="1"/>
  <c r="F879" i="20" s="1"/>
  <c r="B879" i="20"/>
  <c r="H879" i="20" a="1"/>
  <c r="H879" i="20" s="1"/>
  <c r="J879" i="20" a="1"/>
  <c r="J879" i="20" s="1"/>
  <c r="L879" i="20" a="1"/>
  <c r="L879" i="20" s="1"/>
  <c r="D880" i="20" a="1"/>
  <c r="D880" i="20" s="1"/>
  <c r="F880" i="20" a="1"/>
  <c r="F880" i="20" s="1"/>
  <c r="B880" i="20"/>
  <c r="H880" i="20" a="1"/>
  <c r="H880" i="20" s="1"/>
  <c r="J880" i="20" a="1"/>
  <c r="J880" i="20" s="1"/>
  <c r="L880" i="20" a="1"/>
  <c r="L880" i="20" s="1"/>
  <c r="D881" i="20" a="1"/>
  <c r="D881" i="20" s="1"/>
  <c r="F881" i="20" a="1"/>
  <c r="F881" i="20" s="1"/>
  <c r="B881" i="20"/>
  <c r="H881" i="20" a="1"/>
  <c r="H881" i="20" s="1"/>
  <c r="J881" i="20" a="1"/>
  <c r="J881" i="20" s="1"/>
  <c r="L881" i="20" a="1"/>
  <c r="L881" i="20" s="1"/>
  <c r="D882" i="20" a="1"/>
  <c r="D882" i="20" s="1"/>
  <c r="F882" i="20" a="1"/>
  <c r="F882" i="20" s="1"/>
  <c r="B882" i="20"/>
  <c r="H882" i="20" a="1"/>
  <c r="H882" i="20" s="1"/>
  <c r="J882" i="20" a="1"/>
  <c r="J882" i="20" s="1"/>
  <c r="L882" i="20" a="1"/>
  <c r="L882" i="20" s="1"/>
  <c r="D883" i="20" a="1"/>
  <c r="D883" i="20" s="1"/>
  <c r="F883" i="20" a="1"/>
  <c r="F883" i="20" s="1"/>
  <c r="B883" i="20"/>
  <c r="H883" i="20" a="1"/>
  <c r="H883" i="20" s="1"/>
  <c r="J883" i="20" a="1"/>
  <c r="J883" i="20" s="1"/>
  <c r="L883" i="20" a="1"/>
  <c r="L883" i="20" s="1"/>
  <c r="D884" i="20" a="1"/>
  <c r="D884" i="20" s="1"/>
  <c r="F884" i="20" a="1"/>
  <c r="F884" i="20" s="1"/>
  <c r="B884" i="20"/>
  <c r="H884" i="20" a="1"/>
  <c r="H884" i="20" s="1"/>
  <c r="J884" i="20" a="1"/>
  <c r="J884" i="20" s="1"/>
  <c r="L884" i="20" a="1"/>
  <c r="L884" i="20" s="1"/>
  <c r="D885" i="20" a="1"/>
  <c r="D885" i="20" s="1"/>
  <c r="F885" i="20" a="1"/>
  <c r="F885" i="20" s="1"/>
  <c r="B885" i="20"/>
  <c r="H885" i="20" a="1"/>
  <c r="H885" i="20" s="1"/>
  <c r="J885" i="20" a="1"/>
  <c r="J885" i="20" s="1"/>
  <c r="L885" i="20" a="1"/>
  <c r="L885" i="20" s="1"/>
  <c r="D886" i="20" a="1"/>
  <c r="D886" i="20" s="1"/>
  <c r="F886" i="20" a="1"/>
  <c r="F886" i="20" s="1"/>
  <c r="B886" i="20"/>
  <c r="H886" i="20" a="1"/>
  <c r="H886" i="20" s="1"/>
  <c r="J886" i="20" a="1"/>
  <c r="J886" i="20" s="1"/>
  <c r="L886" i="20" a="1"/>
  <c r="L886" i="20" s="1"/>
  <c r="D887" i="20" a="1"/>
  <c r="D887" i="20" s="1"/>
  <c r="F887" i="20" a="1"/>
  <c r="F887" i="20" s="1"/>
  <c r="B887" i="20"/>
  <c r="H887" i="20" a="1"/>
  <c r="H887" i="20" s="1"/>
  <c r="J887" i="20" a="1"/>
  <c r="J887" i="20" s="1"/>
  <c r="L887" i="20" a="1"/>
  <c r="L887" i="20" s="1"/>
  <c r="D888" i="20" a="1"/>
  <c r="D888" i="20" s="1"/>
  <c r="F888" i="20" a="1"/>
  <c r="F888" i="20" s="1"/>
  <c r="B888" i="20"/>
  <c r="H888" i="20" a="1"/>
  <c r="H888" i="20" s="1"/>
  <c r="J888" i="20" a="1"/>
  <c r="J888" i="20" s="1"/>
  <c r="L888" i="20" a="1"/>
  <c r="L888" i="20" s="1"/>
  <c r="D889" i="20" a="1"/>
  <c r="D889" i="20" s="1"/>
  <c r="F889" i="20" a="1"/>
  <c r="F889" i="20" s="1"/>
  <c r="B889" i="20"/>
  <c r="H889" i="20" a="1"/>
  <c r="H889" i="20" s="1"/>
  <c r="J889" i="20" a="1"/>
  <c r="J889" i="20" s="1"/>
  <c r="L889" i="20" a="1"/>
  <c r="L889" i="20" s="1"/>
  <c r="D890" i="20" a="1"/>
  <c r="D890" i="20" s="1"/>
  <c r="F890" i="20" a="1"/>
  <c r="F890" i="20" s="1"/>
  <c r="B890" i="20"/>
  <c r="H890" i="20" a="1"/>
  <c r="H890" i="20" s="1"/>
  <c r="J890" i="20" a="1"/>
  <c r="J890" i="20" s="1"/>
  <c r="L890" i="20" a="1"/>
  <c r="L890" i="20" s="1"/>
  <c r="D891" i="20" a="1"/>
  <c r="D891" i="20" s="1"/>
  <c r="F891" i="20" a="1"/>
  <c r="F891" i="20" s="1"/>
  <c r="B891" i="20"/>
  <c r="H891" i="20" a="1"/>
  <c r="H891" i="20" s="1"/>
  <c r="J891" i="20" a="1"/>
  <c r="J891" i="20" s="1"/>
  <c r="L891" i="20" a="1"/>
  <c r="L891" i="20" s="1"/>
  <c r="D892" i="20" a="1"/>
  <c r="D892" i="20" s="1"/>
  <c r="F892" i="20" a="1"/>
  <c r="F892" i="20" s="1"/>
  <c r="B892" i="20"/>
  <c r="H892" i="20" a="1"/>
  <c r="H892" i="20" s="1"/>
  <c r="J892" i="20" a="1"/>
  <c r="J892" i="20" s="1"/>
  <c r="L892" i="20" a="1"/>
  <c r="L892" i="20" s="1"/>
  <c r="D893" i="20" a="1"/>
  <c r="D893" i="20" s="1"/>
  <c r="F893" i="20" a="1"/>
  <c r="F893" i="20" s="1"/>
  <c r="B893" i="20"/>
  <c r="H893" i="20" a="1"/>
  <c r="H893" i="20" s="1"/>
  <c r="J893" i="20" a="1"/>
  <c r="J893" i="20" s="1"/>
  <c r="L893" i="20" a="1"/>
  <c r="L893" i="20" s="1"/>
  <c r="D894" i="20" a="1"/>
  <c r="D894" i="20" s="1"/>
  <c r="F894" i="20" a="1"/>
  <c r="F894" i="20" s="1"/>
  <c r="B894" i="20"/>
  <c r="H894" i="20" a="1"/>
  <c r="H894" i="20" s="1"/>
  <c r="J894" i="20" a="1"/>
  <c r="J894" i="20" s="1"/>
  <c r="L894" i="20" a="1"/>
  <c r="L894" i="20" s="1"/>
  <c r="D895" i="20" a="1"/>
  <c r="D895" i="20" s="1"/>
  <c r="F895" i="20" a="1"/>
  <c r="F895" i="20" s="1"/>
  <c r="B895" i="20"/>
  <c r="H895" i="20" a="1"/>
  <c r="H895" i="20" s="1"/>
  <c r="J895" i="20" a="1"/>
  <c r="J895" i="20" s="1"/>
  <c r="L895" i="20" a="1"/>
  <c r="L895" i="20" s="1"/>
  <c r="D896" i="20" a="1"/>
  <c r="D896" i="20" s="1"/>
  <c r="F896" i="20" a="1"/>
  <c r="F896" i="20" s="1"/>
  <c r="B896" i="20"/>
  <c r="H896" i="20" a="1"/>
  <c r="H896" i="20" s="1"/>
  <c r="J896" i="20" a="1"/>
  <c r="J896" i="20" s="1"/>
  <c r="L896" i="20" a="1"/>
  <c r="L896" i="20" s="1"/>
  <c r="D897" i="20" a="1"/>
  <c r="D897" i="20" s="1"/>
  <c r="F897" i="20" a="1"/>
  <c r="F897" i="20" s="1"/>
  <c r="B897" i="20"/>
  <c r="H897" i="20" a="1"/>
  <c r="H897" i="20" s="1"/>
  <c r="J897" i="20" a="1"/>
  <c r="J897" i="20" s="1"/>
  <c r="L897" i="20" a="1"/>
  <c r="L897" i="20" s="1"/>
  <c r="D898" i="20" a="1"/>
  <c r="D898" i="20" s="1"/>
  <c r="F898" i="20" a="1"/>
  <c r="F898" i="20" s="1"/>
  <c r="B898" i="20"/>
  <c r="H898" i="20" a="1"/>
  <c r="H898" i="20" s="1"/>
  <c r="J898" i="20" a="1"/>
  <c r="J898" i="20" s="1"/>
  <c r="L898" i="20" a="1"/>
  <c r="L898" i="20" s="1"/>
  <c r="D899" i="20" a="1"/>
  <c r="D899" i="20" s="1"/>
  <c r="F899" i="20" a="1"/>
  <c r="F899" i="20" s="1"/>
  <c r="B899" i="20"/>
  <c r="H899" i="20" a="1"/>
  <c r="H899" i="20" s="1"/>
  <c r="J899" i="20" a="1"/>
  <c r="J899" i="20" s="1"/>
  <c r="L899" i="20" a="1"/>
  <c r="L899" i="20" s="1"/>
  <c r="D900" i="20" a="1"/>
  <c r="D900" i="20" s="1"/>
  <c r="F900" i="20" a="1"/>
  <c r="F900" i="20" s="1"/>
  <c r="B900" i="20"/>
  <c r="H900" i="20" a="1"/>
  <c r="H900" i="20" s="1"/>
  <c r="J900" i="20" a="1"/>
  <c r="J900" i="20" s="1"/>
  <c r="L900" i="20" a="1"/>
  <c r="L900" i="20" s="1"/>
  <c r="D901" i="20" a="1"/>
  <c r="D901" i="20" s="1"/>
  <c r="F901" i="20" a="1"/>
  <c r="F901" i="20" s="1"/>
  <c r="B901" i="20"/>
  <c r="H901" i="20" a="1"/>
  <c r="H901" i="20" s="1"/>
  <c r="J901" i="20" a="1"/>
  <c r="J901" i="20" s="1"/>
  <c r="L901" i="20" a="1"/>
  <c r="L901" i="20" s="1"/>
  <c r="D902" i="20" a="1"/>
  <c r="D902" i="20" s="1"/>
  <c r="F902" i="20" a="1"/>
  <c r="F902" i="20" s="1"/>
  <c r="B902" i="20"/>
  <c r="H902" i="20" a="1"/>
  <c r="H902" i="20" s="1"/>
  <c r="J902" i="20" a="1"/>
  <c r="J902" i="20" s="1"/>
  <c r="L902" i="20" a="1"/>
  <c r="L902" i="20" s="1"/>
  <c r="D903" i="20" a="1"/>
  <c r="D903" i="20" s="1"/>
  <c r="F903" i="20" a="1"/>
  <c r="F903" i="20" s="1"/>
  <c r="B903" i="20"/>
  <c r="H903" i="20" a="1"/>
  <c r="H903" i="20" s="1"/>
  <c r="J903" i="20" a="1"/>
  <c r="J903" i="20" s="1"/>
  <c r="L903" i="20" a="1"/>
  <c r="L903" i="20" s="1"/>
  <c r="D904" i="20" a="1"/>
  <c r="D904" i="20" s="1"/>
  <c r="F904" i="20" a="1"/>
  <c r="F904" i="20" s="1"/>
  <c r="B904" i="20"/>
  <c r="H904" i="20" a="1"/>
  <c r="H904" i="20" s="1"/>
  <c r="J904" i="20" a="1"/>
  <c r="J904" i="20" s="1"/>
  <c r="L904" i="20" a="1"/>
  <c r="L904" i="20" s="1"/>
  <c r="D905" i="20" a="1"/>
  <c r="D905" i="20" s="1"/>
  <c r="F905" i="20" a="1"/>
  <c r="F905" i="20" s="1"/>
  <c r="B905" i="20"/>
  <c r="H905" i="20" a="1"/>
  <c r="H905" i="20" s="1"/>
  <c r="J905" i="20" a="1"/>
  <c r="J905" i="20" s="1"/>
  <c r="L905" i="20" a="1"/>
  <c r="L905" i="20" s="1"/>
  <c r="D906" i="20" a="1"/>
  <c r="D906" i="20" s="1"/>
  <c r="F906" i="20" a="1"/>
  <c r="F906" i="20" s="1"/>
  <c r="B906" i="20"/>
  <c r="H906" i="20" a="1"/>
  <c r="H906" i="20" s="1"/>
  <c r="J906" i="20" a="1"/>
  <c r="J906" i="20" s="1"/>
  <c r="L906" i="20" a="1"/>
  <c r="L906" i="20" s="1"/>
  <c r="D907" i="20" a="1"/>
  <c r="D907" i="20" s="1"/>
  <c r="F907" i="20" a="1"/>
  <c r="F907" i="20" s="1"/>
  <c r="B907" i="20"/>
  <c r="H907" i="20" a="1"/>
  <c r="H907" i="20" s="1"/>
  <c r="J907" i="20" a="1"/>
  <c r="J907" i="20" s="1"/>
  <c r="L907" i="20" a="1"/>
  <c r="L907" i="20" s="1"/>
  <c r="D908" i="20" a="1"/>
  <c r="D908" i="20" s="1"/>
  <c r="F908" i="20" a="1"/>
  <c r="F908" i="20" s="1"/>
  <c r="B908" i="20"/>
  <c r="H908" i="20" a="1"/>
  <c r="H908" i="20" s="1"/>
  <c r="J908" i="20" a="1"/>
  <c r="J908" i="20" s="1"/>
  <c r="L908" i="20" a="1"/>
  <c r="L908" i="20" s="1"/>
  <c r="D909" i="20" a="1"/>
  <c r="D909" i="20" s="1"/>
  <c r="F909" i="20" a="1"/>
  <c r="F909" i="20" s="1"/>
  <c r="B909" i="20"/>
  <c r="H909" i="20" a="1"/>
  <c r="H909" i="20" s="1"/>
  <c r="J909" i="20" a="1"/>
  <c r="J909" i="20" s="1"/>
  <c r="L909" i="20" a="1"/>
  <c r="L909" i="20" s="1"/>
  <c r="D910" i="20" a="1"/>
  <c r="D910" i="20" s="1"/>
  <c r="F910" i="20" a="1"/>
  <c r="F910" i="20" s="1"/>
  <c r="B910" i="20"/>
  <c r="H910" i="20" a="1"/>
  <c r="H910" i="20" s="1"/>
  <c r="J910" i="20" a="1"/>
  <c r="J910" i="20" s="1"/>
  <c r="L910" i="20" a="1"/>
  <c r="L910" i="20" s="1"/>
  <c r="D911" i="20" a="1"/>
  <c r="D911" i="20" s="1"/>
  <c r="F911" i="20" a="1"/>
  <c r="F911" i="20" s="1"/>
  <c r="B911" i="20"/>
  <c r="H911" i="20" a="1"/>
  <c r="H911" i="20" s="1"/>
  <c r="J911" i="20" a="1"/>
  <c r="J911" i="20" s="1"/>
  <c r="L911" i="20" a="1"/>
  <c r="L911" i="20" s="1"/>
  <c r="D912" i="20" a="1"/>
  <c r="D912" i="20" s="1"/>
  <c r="F912" i="20" a="1"/>
  <c r="F912" i="20" s="1"/>
  <c r="B912" i="20"/>
  <c r="H912" i="20" a="1"/>
  <c r="H912" i="20" s="1"/>
  <c r="J912" i="20" a="1"/>
  <c r="J912" i="20" s="1"/>
  <c r="L912" i="20" a="1"/>
  <c r="L912" i="20" s="1"/>
  <c r="D913" i="20" a="1"/>
  <c r="D913" i="20" s="1"/>
  <c r="F913" i="20" a="1"/>
  <c r="F913" i="20" s="1"/>
  <c r="B913" i="20"/>
  <c r="H913" i="20" a="1"/>
  <c r="H913" i="20" s="1"/>
  <c r="J913" i="20" a="1"/>
  <c r="J913" i="20" s="1"/>
  <c r="L913" i="20" a="1"/>
  <c r="L913" i="20" s="1"/>
  <c r="D914" i="20" a="1"/>
  <c r="D914" i="20" s="1"/>
  <c r="F914" i="20" a="1"/>
  <c r="F914" i="20" s="1"/>
  <c r="B914" i="20"/>
  <c r="H914" i="20" a="1"/>
  <c r="H914" i="20" s="1"/>
  <c r="J914" i="20" a="1"/>
  <c r="J914" i="20" s="1"/>
  <c r="L914" i="20" a="1"/>
  <c r="L914" i="20" s="1"/>
  <c r="D915" i="20" a="1"/>
  <c r="D915" i="20" s="1"/>
  <c r="F915" i="20" a="1"/>
  <c r="F915" i="20" s="1"/>
  <c r="B915" i="20"/>
  <c r="H915" i="20" a="1"/>
  <c r="H915" i="20" s="1"/>
  <c r="J915" i="20" a="1"/>
  <c r="J915" i="20" s="1"/>
  <c r="L915" i="20" a="1"/>
  <c r="L915" i="20" s="1"/>
  <c r="D916" i="20" a="1"/>
  <c r="D916" i="20" s="1"/>
  <c r="F916" i="20" a="1"/>
  <c r="F916" i="20" s="1"/>
  <c r="B916" i="20"/>
  <c r="H916" i="20" a="1"/>
  <c r="H916" i="20" s="1"/>
  <c r="J916" i="20" a="1"/>
  <c r="J916" i="20" s="1"/>
  <c r="L916" i="20" a="1"/>
  <c r="L916" i="20" s="1"/>
  <c r="D917" i="20" a="1"/>
  <c r="D917" i="20" s="1"/>
  <c r="F917" i="20" a="1"/>
  <c r="F917" i="20" s="1"/>
  <c r="B917" i="20"/>
  <c r="H917" i="20" a="1"/>
  <c r="H917" i="20" s="1"/>
  <c r="J917" i="20" a="1"/>
  <c r="J917" i="20" s="1"/>
  <c r="L917" i="20" a="1"/>
  <c r="L917" i="20" s="1"/>
  <c r="D918" i="20" a="1"/>
  <c r="D918" i="20" s="1"/>
  <c r="F918" i="20" a="1"/>
  <c r="F918" i="20" s="1"/>
  <c r="B918" i="20"/>
  <c r="H918" i="20" a="1"/>
  <c r="H918" i="20" s="1"/>
  <c r="J918" i="20" a="1"/>
  <c r="J918" i="20" s="1"/>
  <c r="L918" i="20" a="1"/>
  <c r="L918" i="20" s="1"/>
  <c r="D919" i="20" a="1"/>
  <c r="D919" i="20" s="1"/>
  <c r="F919" i="20" a="1"/>
  <c r="F919" i="20" s="1"/>
  <c r="B919" i="20"/>
  <c r="H919" i="20" a="1"/>
  <c r="H919" i="20" s="1"/>
  <c r="J919" i="20" a="1"/>
  <c r="J919" i="20" s="1"/>
  <c r="L919" i="20" a="1"/>
  <c r="L919" i="20" s="1"/>
  <c r="D920" i="20" a="1"/>
  <c r="D920" i="20" s="1"/>
  <c r="F920" i="20" a="1"/>
  <c r="F920" i="20" s="1"/>
  <c r="B920" i="20"/>
  <c r="H920" i="20" a="1"/>
  <c r="H920" i="20" s="1"/>
  <c r="J920" i="20" a="1"/>
  <c r="J920" i="20" s="1"/>
  <c r="L920" i="20" a="1"/>
  <c r="L920" i="20" s="1"/>
  <c r="D921" i="20" a="1"/>
  <c r="D921" i="20" s="1"/>
  <c r="F921" i="20" a="1"/>
  <c r="F921" i="20" s="1"/>
  <c r="B921" i="20"/>
  <c r="H921" i="20" a="1"/>
  <c r="H921" i="20" s="1"/>
  <c r="J921" i="20" a="1"/>
  <c r="J921" i="20" s="1"/>
  <c r="L921" i="20" a="1"/>
  <c r="L921" i="20" s="1"/>
  <c r="D922" i="20" a="1"/>
  <c r="D922" i="20" s="1"/>
  <c r="F922" i="20" a="1"/>
  <c r="F922" i="20" s="1"/>
  <c r="B922" i="20"/>
  <c r="H922" i="20" a="1"/>
  <c r="H922" i="20" s="1"/>
  <c r="J922" i="20" a="1"/>
  <c r="J922" i="20" s="1"/>
  <c r="L922" i="20" a="1"/>
  <c r="L922" i="20" s="1"/>
  <c r="D923" i="20" a="1"/>
  <c r="D923" i="20" s="1"/>
  <c r="F923" i="20" a="1"/>
  <c r="F923" i="20" s="1"/>
  <c r="B923" i="20"/>
  <c r="H923" i="20" a="1"/>
  <c r="H923" i="20" s="1"/>
  <c r="J923" i="20" a="1"/>
  <c r="J923" i="20" s="1"/>
  <c r="L923" i="20" a="1"/>
  <c r="L923" i="20" s="1"/>
  <c r="D924" i="20" a="1"/>
  <c r="D924" i="20" s="1"/>
  <c r="F924" i="20" a="1"/>
  <c r="F924" i="20" s="1"/>
  <c r="B924" i="20"/>
  <c r="H924" i="20" a="1"/>
  <c r="H924" i="20" s="1"/>
  <c r="J924" i="20" a="1"/>
  <c r="J924" i="20" s="1"/>
  <c r="L924" i="20" a="1"/>
  <c r="L924" i="20" s="1"/>
  <c r="D925" i="20" a="1"/>
  <c r="D925" i="20" s="1"/>
  <c r="F925" i="20" a="1"/>
  <c r="F925" i="20" s="1"/>
  <c r="B925" i="20"/>
  <c r="H925" i="20" a="1"/>
  <c r="H925" i="20" s="1"/>
  <c r="J925" i="20" a="1"/>
  <c r="J925" i="20" s="1"/>
  <c r="L925" i="20" a="1"/>
  <c r="L925" i="20" s="1"/>
  <c r="D926" i="20" a="1"/>
  <c r="D926" i="20" s="1"/>
  <c r="F926" i="20" a="1"/>
  <c r="F926" i="20" s="1"/>
  <c r="B926" i="20"/>
  <c r="H926" i="20" a="1"/>
  <c r="H926" i="20" s="1"/>
  <c r="J926" i="20" a="1"/>
  <c r="J926" i="20" s="1"/>
  <c r="L926" i="20" a="1"/>
  <c r="L926" i="20" s="1"/>
  <c r="D927" i="20" a="1"/>
  <c r="D927" i="20" s="1"/>
  <c r="F927" i="20" a="1"/>
  <c r="F927" i="20" s="1"/>
  <c r="B927" i="20"/>
  <c r="H927" i="20" a="1"/>
  <c r="H927" i="20" s="1"/>
  <c r="J927" i="20" a="1"/>
  <c r="J927" i="20" s="1"/>
  <c r="L927" i="20" a="1"/>
  <c r="L927" i="20" s="1"/>
  <c r="D928" i="20" a="1"/>
  <c r="D928" i="20" s="1"/>
  <c r="F928" i="20" a="1"/>
  <c r="F928" i="20" s="1"/>
  <c r="B928" i="20"/>
  <c r="H928" i="20" a="1"/>
  <c r="H928" i="20" s="1"/>
  <c r="J928" i="20" a="1"/>
  <c r="J928" i="20" s="1"/>
  <c r="L928" i="20" a="1"/>
  <c r="L928" i="20" s="1"/>
  <c r="D929" i="20" a="1"/>
  <c r="D929" i="20" s="1"/>
  <c r="F929" i="20" a="1"/>
  <c r="F929" i="20" s="1"/>
  <c r="B929" i="20"/>
  <c r="H929" i="20" a="1"/>
  <c r="H929" i="20" s="1"/>
  <c r="J929" i="20" a="1"/>
  <c r="J929" i="20" s="1"/>
  <c r="L929" i="20" a="1"/>
  <c r="L929" i="20" s="1"/>
  <c r="D930" i="20" a="1"/>
  <c r="D930" i="20" s="1"/>
  <c r="F930" i="20" a="1"/>
  <c r="F930" i="20" s="1"/>
  <c r="B930" i="20"/>
  <c r="H930" i="20" a="1"/>
  <c r="H930" i="20" s="1"/>
  <c r="J930" i="20" a="1"/>
  <c r="J930" i="20" s="1"/>
  <c r="L930" i="20" a="1"/>
  <c r="L930" i="20" s="1"/>
  <c r="D931" i="20" a="1"/>
  <c r="D931" i="20" s="1"/>
  <c r="F931" i="20" a="1"/>
  <c r="F931" i="20" s="1"/>
  <c r="B931" i="20"/>
  <c r="H931" i="20" a="1"/>
  <c r="H931" i="20" s="1"/>
  <c r="J931" i="20" a="1"/>
  <c r="J931" i="20" s="1"/>
  <c r="L931" i="20" a="1"/>
  <c r="L931" i="20" s="1"/>
  <c r="D932" i="20" a="1"/>
  <c r="D932" i="20" s="1"/>
  <c r="F932" i="20" a="1"/>
  <c r="F932" i="20" s="1"/>
  <c r="B932" i="20"/>
  <c r="H932" i="20" a="1"/>
  <c r="H932" i="20" s="1"/>
  <c r="J932" i="20" a="1"/>
  <c r="J932" i="20" s="1"/>
  <c r="L932" i="20" a="1"/>
  <c r="L932" i="20" s="1"/>
  <c r="D933" i="20" a="1"/>
  <c r="D933" i="20" s="1"/>
  <c r="F933" i="20" a="1"/>
  <c r="F933" i="20" s="1"/>
  <c r="B933" i="20"/>
  <c r="H933" i="20" a="1"/>
  <c r="H933" i="20" s="1"/>
  <c r="J933" i="20" a="1"/>
  <c r="J933" i="20" s="1"/>
  <c r="L933" i="20" a="1"/>
  <c r="L933" i="20" s="1"/>
  <c r="D934" i="20" a="1"/>
  <c r="D934" i="20" s="1"/>
  <c r="F934" i="20" a="1"/>
  <c r="F934" i="20" s="1"/>
  <c r="B934" i="20"/>
  <c r="H934" i="20" a="1"/>
  <c r="H934" i="20" s="1"/>
  <c r="J934" i="20" a="1"/>
  <c r="J934" i="20" s="1"/>
  <c r="L934" i="20" a="1"/>
  <c r="L934" i="20" s="1"/>
  <c r="D935" i="20" a="1"/>
  <c r="D935" i="20" s="1"/>
  <c r="F935" i="20" a="1"/>
  <c r="F935" i="20" s="1"/>
  <c r="B935" i="20"/>
  <c r="H935" i="20" a="1"/>
  <c r="H935" i="20" s="1"/>
  <c r="J935" i="20" a="1"/>
  <c r="J935" i="20" s="1"/>
  <c r="L935" i="20" a="1"/>
  <c r="L935" i="20" s="1"/>
  <c r="D936" i="20" a="1"/>
  <c r="D936" i="20" s="1"/>
  <c r="F936" i="20" a="1"/>
  <c r="F936" i="20" s="1"/>
  <c r="B936" i="20"/>
  <c r="H936" i="20" a="1"/>
  <c r="H936" i="20" s="1"/>
  <c r="J936" i="20" a="1"/>
  <c r="J936" i="20" s="1"/>
  <c r="L936" i="20" a="1"/>
  <c r="L936" i="20" s="1"/>
  <c r="D937" i="20" a="1"/>
  <c r="D937" i="20" s="1"/>
  <c r="F937" i="20" a="1"/>
  <c r="F937" i="20" s="1"/>
  <c r="B937" i="20"/>
  <c r="H937" i="20" a="1"/>
  <c r="H937" i="20" s="1"/>
  <c r="J937" i="20" a="1"/>
  <c r="J937" i="20" s="1"/>
  <c r="L937" i="20" a="1"/>
  <c r="L937" i="20" s="1"/>
  <c r="D938" i="20" a="1"/>
  <c r="D938" i="20" s="1"/>
  <c r="F938" i="20" a="1"/>
  <c r="F938" i="20" s="1"/>
  <c r="B938" i="20"/>
  <c r="H938" i="20" a="1"/>
  <c r="H938" i="20" s="1"/>
  <c r="J938" i="20" a="1"/>
  <c r="J938" i="20" s="1"/>
  <c r="L938" i="20" a="1"/>
  <c r="L938" i="20" s="1"/>
  <c r="D939" i="20" a="1"/>
  <c r="D939" i="20" s="1"/>
  <c r="F939" i="20" a="1"/>
  <c r="F939" i="20" s="1"/>
  <c r="B939" i="20"/>
  <c r="H939" i="20" a="1"/>
  <c r="H939" i="20" s="1"/>
  <c r="J939" i="20" a="1"/>
  <c r="J939" i="20" s="1"/>
  <c r="L939" i="20" a="1"/>
  <c r="L939" i="20" s="1"/>
  <c r="D940" i="20" a="1"/>
  <c r="D940" i="20" s="1"/>
  <c r="F940" i="20" a="1"/>
  <c r="F940" i="20" s="1"/>
  <c r="B940" i="20"/>
  <c r="H940" i="20" a="1"/>
  <c r="H940" i="20" s="1"/>
  <c r="J940" i="20" a="1"/>
  <c r="J940" i="20" s="1"/>
  <c r="L940" i="20" a="1"/>
  <c r="L940" i="20" s="1"/>
  <c r="D941" i="20" a="1"/>
  <c r="D941" i="20" s="1"/>
  <c r="F941" i="20" a="1"/>
  <c r="F941" i="20" s="1"/>
  <c r="B941" i="20"/>
  <c r="H941" i="20" a="1"/>
  <c r="H941" i="20" s="1"/>
  <c r="J941" i="20" a="1"/>
  <c r="J941" i="20" s="1"/>
  <c r="L941" i="20" a="1"/>
  <c r="L941" i="20" s="1"/>
  <c r="D942" i="20" a="1"/>
  <c r="D942" i="20" s="1"/>
  <c r="F942" i="20" a="1"/>
  <c r="F942" i="20" s="1"/>
  <c r="B942" i="20"/>
  <c r="H942" i="20" a="1"/>
  <c r="H942" i="20" s="1"/>
  <c r="J942" i="20" a="1"/>
  <c r="J942" i="20" s="1"/>
  <c r="L942" i="20" a="1"/>
  <c r="L942" i="20" s="1"/>
  <c r="D943" i="20" a="1"/>
  <c r="D943" i="20" s="1"/>
  <c r="F943" i="20" a="1"/>
  <c r="F943" i="20" s="1"/>
  <c r="B943" i="20"/>
  <c r="H943" i="20" a="1"/>
  <c r="H943" i="20" s="1"/>
  <c r="J943" i="20" a="1"/>
  <c r="J943" i="20" s="1"/>
  <c r="L943" i="20" a="1"/>
  <c r="L943" i="20" s="1"/>
  <c r="D944" i="20" a="1"/>
  <c r="D944" i="20" s="1"/>
  <c r="F944" i="20" a="1"/>
  <c r="F944" i="20" s="1"/>
  <c r="B944" i="20"/>
  <c r="H944" i="20" a="1"/>
  <c r="H944" i="20" s="1"/>
  <c r="J944" i="20" a="1"/>
  <c r="J944" i="20" s="1"/>
  <c r="L944" i="20" a="1"/>
  <c r="L944" i="20" s="1"/>
  <c r="D945" i="20" a="1"/>
  <c r="D945" i="20" s="1"/>
  <c r="F945" i="20" a="1"/>
  <c r="F945" i="20" s="1"/>
  <c r="B945" i="20"/>
  <c r="H945" i="20" a="1"/>
  <c r="H945" i="20" s="1"/>
  <c r="J945" i="20" a="1"/>
  <c r="J945" i="20" s="1"/>
  <c r="L945" i="20" a="1"/>
  <c r="L945" i="20" s="1"/>
  <c r="D946" i="20" a="1"/>
  <c r="D946" i="20" s="1"/>
  <c r="F946" i="20" a="1"/>
  <c r="F946" i="20" s="1"/>
  <c r="B946" i="20"/>
  <c r="H946" i="20" a="1"/>
  <c r="H946" i="20" s="1"/>
  <c r="J946" i="20" a="1"/>
  <c r="J946" i="20" s="1"/>
  <c r="L946" i="20" a="1"/>
  <c r="L946" i="20" s="1"/>
  <c r="D947" i="20" a="1"/>
  <c r="D947" i="20" s="1"/>
  <c r="F947" i="20" a="1"/>
  <c r="F947" i="20" s="1"/>
  <c r="B947" i="20"/>
  <c r="H947" i="20" a="1"/>
  <c r="H947" i="20" s="1"/>
  <c r="J947" i="20" a="1"/>
  <c r="J947" i="20" s="1"/>
  <c r="L947" i="20" a="1"/>
  <c r="L947" i="20" s="1"/>
  <c r="D948" i="20" a="1"/>
  <c r="D948" i="20" s="1"/>
  <c r="F948" i="20" a="1"/>
  <c r="F948" i="20" s="1"/>
  <c r="B948" i="20"/>
  <c r="H948" i="20" a="1"/>
  <c r="H948" i="20" s="1"/>
  <c r="J948" i="20" a="1"/>
  <c r="J948" i="20" s="1"/>
  <c r="L948" i="20" a="1"/>
  <c r="L948" i="20" s="1"/>
  <c r="D949" i="20" a="1"/>
  <c r="D949" i="20" s="1"/>
  <c r="F949" i="20" a="1"/>
  <c r="F949" i="20" s="1"/>
  <c r="B949" i="20"/>
  <c r="H949" i="20" a="1"/>
  <c r="H949" i="20" s="1"/>
  <c r="J949" i="20" a="1"/>
  <c r="J949" i="20" s="1"/>
  <c r="L949" i="20" a="1"/>
  <c r="L949" i="20" s="1"/>
  <c r="D950" i="20" a="1"/>
  <c r="D950" i="20" s="1"/>
  <c r="F950" i="20" a="1"/>
  <c r="F950" i="20" s="1"/>
  <c r="B950" i="20"/>
  <c r="H950" i="20" a="1"/>
  <c r="H950" i="20" s="1"/>
  <c r="J950" i="20" a="1"/>
  <c r="J950" i="20" s="1"/>
  <c r="L950" i="20" a="1"/>
  <c r="L950" i="20" s="1"/>
  <c r="D951" i="20" a="1"/>
  <c r="D951" i="20" s="1"/>
  <c r="F951" i="20" a="1"/>
  <c r="F951" i="20" s="1"/>
  <c r="B951" i="20"/>
  <c r="H951" i="20" a="1"/>
  <c r="H951" i="20" s="1"/>
  <c r="J951" i="20" a="1"/>
  <c r="J951" i="20" s="1"/>
  <c r="L951" i="20" a="1"/>
  <c r="L951" i="20" s="1"/>
  <c r="D952" i="20" a="1"/>
  <c r="D952" i="20" s="1"/>
  <c r="F952" i="20" a="1"/>
  <c r="F952" i="20" s="1"/>
  <c r="B952" i="20"/>
  <c r="H952" i="20" a="1"/>
  <c r="H952" i="20" s="1"/>
  <c r="J952" i="20" a="1"/>
  <c r="J952" i="20" s="1"/>
  <c r="L952" i="20" a="1"/>
  <c r="L952" i="20" s="1"/>
  <c r="D953" i="20" a="1"/>
  <c r="D953" i="20" s="1"/>
  <c r="F953" i="20" a="1"/>
  <c r="F953" i="20" s="1"/>
  <c r="B953" i="20"/>
  <c r="H953" i="20" a="1"/>
  <c r="H953" i="20" s="1"/>
  <c r="J953" i="20" a="1"/>
  <c r="J953" i="20" s="1"/>
  <c r="L953" i="20" a="1"/>
  <c r="L953" i="20" s="1"/>
  <c r="D954" i="20" a="1"/>
  <c r="D954" i="20" s="1"/>
  <c r="F954" i="20" a="1"/>
  <c r="F954" i="20" s="1"/>
  <c r="B954" i="20"/>
  <c r="H954" i="20" a="1"/>
  <c r="H954" i="20" s="1"/>
  <c r="J954" i="20" a="1"/>
  <c r="J954" i="20" s="1"/>
  <c r="L954" i="20" a="1"/>
  <c r="L954" i="20" s="1"/>
  <c r="D955" i="20" a="1"/>
  <c r="D955" i="20" s="1"/>
  <c r="F955" i="20" a="1"/>
  <c r="F955" i="20" s="1"/>
  <c r="B955" i="20"/>
  <c r="H955" i="20" a="1"/>
  <c r="H955" i="20" s="1"/>
  <c r="J955" i="20" a="1"/>
  <c r="J955" i="20" s="1"/>
  <c r="L955" i="20" a="1"/>
  <c r="L955" i="20" s="1"/>
  <c r="D956" i="20" a="1"/>
  <c r="D956" i="20" s="1"/>
  <c r="F956" i="20" a="1"/>
  <c r="F956" i="20" s="1"/>
  <c r="B956" i="20"/>
  <c r="H956" i="20" a="1"/>
  <c r="H956" i="20" s="1"/>
  <c r="J956" i="20" a="1"/>
  <c r="J956" i="20" s="1"/>
  <c r="L956" i="20" a="1"/>
  <c r="L956" i="20" s="1"/>
  <c r="D957" i="20" a="1"/>
  <c r="D957" i="20" s="1"/>
  <c r="F957" i="20" a="1"/>
  <c r="F957" i="20" s="1"/>
  <c r="B957" i="20"/>
  <c r="H957" i="20" a="1"/>
  <c r="H957" i="20" s="1"/>
  <c r="J957" i="20" a="1"/>
  <c r="J957" i="20" s="1"/>
  <c r="L957" i="20" a="1"/>
  <c r="L957" i="20" s="1"/>
  <c r="D958" i="20" a="1"/>
  <c r="D958" i="20" s="1"/>
  <c r="F958" i="20" a="1"/>
  <c r="F958" i="20" s="1"/>
  <c r="B958" i="20"/>
  <c r="H958" i="20" a="1"/>
  <c r="H958" i="20" s="1"/>
  <c r="J958" i="20" a="1"/>
  <c r="J958" i="20" s="1"/>
  <c r="L958" i="20" a="1"/>
  <c r="L958" i="20" s="1"/>
  <c r="D959" i="20" a="1"/>
  <c r="D959" i="20" s="1"/>
  <c r="F959" i="20" a="1"/>
  <c r="F959" i="20" s="1"/>
  <c r="B959" i="20"/>
  <c r="H959" i="20" a="1"/>
  <c r="H959" i="20" s="1"/>
  <c r="J959" i="20" a="1"/>
  <c r="J959" i="20" s="1"/>
  <c r="L959" i="20" a="1"/>
  <c r="L959" i="20" s="1"/>
  <c r="D960" i="20" a="1"/>
  <c r="D960" i="20" s="1"/>
  <c r="F960" i="20" a="1"/>
  <c r="F960" i="20" s="1"/>
  <c r="B960" i="20"/>
  <c r="H960" i="20" a="1"/>
  <c r="H960" i="20" s="1"/>
  <c r="J960" i="20" a="1"/>
  <c r="J960" i="20" s="1"/>
  <c r="L960" i="20" a="1"/>
  <c r="L960" i="20" s="1"/>
  <c r="D961" i="20" a="1"/>
  <c r="D961" i="20" s="1"/>
  <c r="F961" i="20" a="1"/>
  <c r="F961" i="20" s="1"/>
  <c r="B961" i="20"/>
  <c r="H961" i="20" a="1"/>
  <c r="H961" i="20" s="1"/>
  <c r="J961" i="20" a="1"/>
  <c r="J961" i="20" s="1"/>
  <c r="L961" i="20" a="1"/>
  <c r="L961" i="20" s="1"/>
  <c r="D962" i="20" a="1"/>
  <c r="D962" i="20" s="1"/>
  <c r="F962" i="20" a="1"/>
  <c r="F962" i="20" s="1"/>
  <c r="B962" i="20"/>
  <c r="H962" i="20" a="1"/>
  <c r="H962" i="20" s="1"/>
  <c r="J962" i="20" a="1"/>
  <c r="J962" i="20" s="1"/>
  <c r="L962" i="20" a="1"/>
  <c r="L962" i="20" s="1"/>
  <c r="D963" i="20" a="1"/>
  <c r="D963" i="20" s="1"/>
  <c r="F963" i="20" a="1"/>
  <c r="F963" i="20" s="1"/>
  <c r="B963" i="20"/>
  <c r="H963" i="20" a="1"/>
  <c r="H963" i="20" s="1"/>
  <c r="J963" i="20" a="1"/>
  <c r="J963" i="20" s="1"/>
  <c r="L963" i="20" a="1"/>
  <c r="L963" i="20" s="1"/>
  <c r="D964" i="20" a="1"/>
  <c r="D964" i="20" s="1"/>
  <c r="F964" i="20" a="1"/>
  <c r="F964" i="20" s="1"/>
  <c r="B964" i="20"/>
  <c r="H964" i="20" a="1"/>
  <c r="H964" i="20" s="1"/>
  <c r="J964" i="20" a="1"/>
  <c r="J964" i="20" s="1"/>
  <c r="L964" i="20" a="1"/>
  <c r="L964" i="20" s="1"/>
  <c r="D965" i="20" a="1"/>
  <c r="D965" i="20" s="1"/>
  <c r="F965" i="20" a="1"/>
  <c r="F965" i="20" s="1"/>
  <c r="B965" i="20"/>
  <c r="H965" i="20" a="1"/>
  <c r="H965" i="20" s="1"/>
  <c r="J965" i="20" a="1"/>
  <c r="J965" i="20" s="1"/>
  <c r="L965" i="20" a="1"/>
  <c r="L965" i="20" s="1"/>
  <c r="D966" i="20" a="1"/>
  <c r="D966" i="20" s="1"/>
  <c r="F966" i="20" a="1"/>
  <c r="F966" i="20" s="1"/>
  <c r="B966" i="20"/>
  <c r="H966" i="20" a="1"/>
  <c r="H966" i="20" s="1"/>
  <c r="J966" i="20" a="1"/>
  <c r="J966" i="20" s="1"/>
  <c r="L966" i="20" a="1"/>
  <c r="L966" i="20" s="1"/>
  <c r="D967" i="20" a="1"/>
  <c r="D967" i="20" s="1"/>
  <c r="F967" i="20" a="1"/>
  <c r="F967" i="20" s="1"/>
  <c r="B967" i="20"/>
  <c r="H967" i="20" a="1"/>
  <c r="H967" i="20" s="1"/>
  <c r="J967" i="20" a="1"/>
  <c r="J967" i="20" s="1"/>
  <c r="L967" i="20" a="1"/>
  <c r="L967" i="20" s="1"/>
  <c r="D968" i="20" a="1"/>
  <c r="D968" i="20" s="1"/>
  <c r="F968" i="20" a="1"/>
  <c r="F968" i="20" s="1"/>
  <c r="B968" i="20"/>
  <c r="H968" i="20" a="1"/>
  <c r="H968" i="20" s="1"/>
  <c r="J968" i="20" a="1"/>
  <c r="J968" i="20" s="1"/>
  <c r="L968" i="20" a="1"/>
  <c r="L968" i="20" s="1"/>
  <c r="D969" i="20" a="1"/>
  <c r="D969" i="20" s="1"/>
  <c r="F969" i="20" a="1"/>
  <c r="F969" i="20" s="1"/>
  <c r="B969" i="20"/>
  <c r="H969" i="20" a="1"/>
  <c r="H969" i="20" s="1"/>
  <c r="J969" i="20" a="1"/>
  <c r="J969" i="20" s="1"/>
  <c r="L969" i="20" a="1"/>
  <c r="L969" i="20" s="1"/>
  <c r="D970" i="20" a="1"/>
  <c r="D970" i="20" s="1"/>
  <c r="F970" i="20" a="1"/>
  <c r="F970" i="20" s="1"/>
  <c r="B970" i="20"/>
  <c r="H970" i="20" a="1"/>
  <c r="H970" i="20" s="1"/>
  <c r="J970" i="20" a="1"/>
  <c r="J970" i="20" s="1"/>
  <c r="L970" i="20" a="1"/>
  <c r="L970" i="20" s="1"/>
  <c r="D971" i="20" a="1"/>
  <c r="D971" i="20" s="1"/>
  <c r="F971" i="20" a="1"/>
  <c r="F971" i="20" s="1"/>
  <c r="B971" i="20"/>
  <c r="H971" i="20" a="1"/>
  <c r="H971" i="20" s="1"/>
  <c r="J971" i="20" a="1"/>
  <c r="J971" i="20" s="1"/>
  <c r="L971" i="20" a="1"/>
  <c r="L971" i="20" s="1"/>
  <c r="D972" i="20" a="1"/>
  <c r="D972" i="20" s="1"/>
  <c r="F972" i="20" a="1"/>
  <c r="F972" i="20" s="1"/>
  <c r="B972" i="20"/>
  <c r="H972" i="20" a="1"/>
  <c r="H972" i="20" s="1"/>
  <c r="J972" i="20" a="1"/>
  <c r="J972" i="20" s="1"/>
  <c r="L972" i="20" a="1"/>
  <c r="L972" i="20" s="1"/>
  <c r="D973" i="20" a="1"/>
  <c r="D973" i="20" s="1"/>
  <c r="F973" i="20" a="1"/>
  <c r="F973" i="20" s="1"/>
  <c r="B973" i="20"/>
  <c r="H973" i="20" a="1"/>
  <c r="H973" i="20" s="1"/>
  <c r="J973" i="20" a="1"/>
  <c r="J973" i="20" s="1"/>
  <c r="L973" i="20" a="1"/>
  <c r="L973" i="20" s="1"/>
  <c r="D974" i="20" a="1"/>
  <c r="D974" i="20" s="1"/>
  <c r="F974" i="20" a="1"/>
  <c r="F974" i="20" s="1"/>
  <c r="B974" i="20"/>
  <c r="H974" i="20" a="1"/>
  <c r="H974" i="20" s="1"/>
  <c r="J974" i="20" a="1"/>
  <c r="J974" i="20" s="1"/>
  <c r="L974" i="20" a="1"/>
  <c r="L974" i="20" s="1"/>
  <c r="D975" i="20" a="1"/>
  <c r="D975" i="20" s="1"/>
  <c r="F975" i="20" a="1"/>
  <c r="F975" i="20" s="1"/>
  <c r="B975" i="20"/>
  <c r="H975" i="20" a="1"/>
  <c r="H975" i="20" s="1"/>
  <c r="J975" i="20" a="1"/>
  <c r="J975" i="20" s="1"/>
  <c r="L975" i="20" a="1"/>
  <c r="L975" i="20" s="1"/>
  <c r="D976" i="20" a="1"/>
  <c r="D976" i="20" s="1"/>
  <c r="F976" i="20" a="1"/>
  <c r="F976" i="20" s="1"/>
  <c r="B976" i="20"/>
  <c r="H976" i="20" a="1"/>
  <c r="H976" i="20" s="1"/>
  <c r="J976" i="20" a="1"/>
  <c r="J976" i="20" s="1"/>
  <c r="L976" i="20" a="1"/>
  <c r="L976" i="20" s="1"/>
  <c r="D977" i="20" a="1"/>
  <c r="D977" i="20" s="1"/>
  <c r="F977" i="20" a="1"/>
  <c r="F977" i="20" s="1"/>
  <c r="B977" i="20"/>
  <c r="H977" i="20" a="1"/>
  <c r="H977" i="20" s="1"/>
  <c r="J977" i="20" a="1"/>
  <c r="J977" i="20" s="1"/>
  <c r="L977" i="20" a="1"/>
  <c r="L977" i="20" s="1"/>
  <c r="D978" i="20" a="1"/>
  <c r="D978" i="20" s="1"/>
  <c r="F978" i="20" a="1"/>
  <c r="F978" i="20" s="1"/>
  <c r="B978" i="20"/>
  <c r="H978" i="20" a="1"/>
  <c r="H978" i="20" s="1"/>
  <c r="J978" i="20" a="1"/>
  <c r="J978" i="20" s="1"/>
  <c r="L978" i="20" a="1"/>
  <c r="L978" i="20" s="1"/>
  <c r="D979" i="20" a="1"/>
  <c r="D979" i="20" s="1"/>
  <c r="F979" i="20" a="1"/>
  <c r="F979" i="20" s="1"/>
  <c r="B979" i="20"/>
  <c r="H979" i="20" a="1"/>
  <c r="H979" i="20" s="1"/>
  <c r="J979" i="20" a="1"/>
  <c r="J979" i="20" s="1"/>
  <c r="L979" i="20" a="1"/>
  <c r="L979" i="20" s="1"/>
  <c r="D980" i="20" a="1"/>
  <c r="D980" i="20" s="1"/>
  <c r="F980" i="20" a="1"/>
  <c r="F980" i="20" s="1"/>
  <c r="B980" i="20"/>
  <c r="H980" i="20" a="1"/>
  <c r="H980" i="20" s="1"/>
  <c r="J980" i="20" a="1"/>
  <c r="J980" i="20" s="1"/>
  <c r="L980" i="20" a="1"/>
  <c r="L980" i="20" s="1"/>
  <c r="D981" i="20" a="1"/>
  <c r="D981" i="20" s="1"/>
  <c r="F981" i="20" a="1"/>
  <c r="F981" i="20" s="1"/>
  <c r="B981" i="20"/>
  <c r="H981" i="20" a="1"/>
  <c r="H981" i="20" s="1"/>
  <c r="J981" i="20" a="1"/>
  <c r="J981" i="20" s="1"/>
  <c r="L981" i="20" a="1"/>
  <c r="L981" i="20" s="1"/>
  <c r="D982" i="20" a="1"/>
  <c r="D982" i="20" s="1"/>
  <c r="F982" i="20" a="1"/>
  <c r="F982" i="20" s="1"/>
  <c r="B982" i="20"/>
  <c r="H982" i="20" a="1"/>
  <c r="H982" i="20" s="1"/>
  <c r="J982" i="20" a="1"/>
  <c r="J982" i="20" s="1"/>
  <c r="L982" i="20" a="1"/>
  <c r="L982" i="20" s="1"/>
  <c r="D983" i="20" a="1"/>
  <c r="D983" i="20" s="1"/>
  <c r="F983" i="20" a="1"/>
  <c r="F983" i="20" s="1"/>
  <c r="B983" i="20"/>
  <c r="H983" i="20" a="1"/>
  <c r="H983" i="20" s="1"/>
  <c r="J983" i="20" a="1"/>
  <c r="J983" i="20" s="1"/>
  <c r="L983" i="20" a="1"/>
  <c r="L983" i="20" s="1"/>
  <c r="D984" i="20" a="1"/>
  <c r="D984" i="20" s="1"/>
  <c r="F984" i="20" a="1"/>
  <c r="F984" i="20" s="1"/>
  <c r="B984" i="20"/>
  <c r="H984" i="20" a="1"/>
  <c r="H984" i="20" s="1"/>
  <c r="J984" i="20" a="1"/>
  <c r="J984" i="20" s="1"/>
  <c r="L984" i="20" a="1"/>
  <c r="L984" i="20" s="1"/>
  <c r="D985" i="20" a="1"/>
  <c r="D985" i="20" s="1"/>
  <c r="F985" i="20" a="1"/>
  <c r="F985" i="20" s="1"/>
  <c r="B985" i="20"/>
  <c r="H985" i="20" a="1"/>
  <c r="H985" i="20" s="1"/>
  <c r="J985" i="20" a="1"/>
  <c r="J985" i="20" s="1"/>
  <c r="L985" i="20" a="1"/>
  <c r="L985" i="20" s="1"/>
  <c r="D986" i="20" a="1"/>
  <c r="D986" i="20" s="1"/>
  <c r="F986" i="20" a="1"/>
  <c r="F986" i="20" s="1"/>
  <c r="B986" i="20"/>
  <c r="H986" i="20" a="1"/>
  <c r="H986" i="20" s="1"/>
  <c r="J986" i="20" a="1"/>
  <c r="J986" i="20" s="1"/>
  <c r="L986" i="20" a="1"/>
  <c r="L986" i="20" s="1"/>
  <c r="D987" i="20" a="1"/>
  <c r="D987" i="20" s="1"/>
  <c r="F987" i="20" a="1"/>
  <c r="F987" i="20" s="1"/>
  <c r="B987" i="20"/>
  <c r="H987" i="20" a="1"/>
  <c r="H987" i="20" s="1"/>
  <c r="J987" i="20" a="1"/>
  <c r="J987" i="20" s="1"/>
  <c r="L987" i="20" a="1"/>
  <c r="L987" i="20" s="1"/>
  <c r="D988" i="20" a="1"/>
  <c r="D988" i="20" s="1"/>
  <c r="F988" i="20" a="1"/>
  <c r="F988" i="20" s="1"/>
  <c r="B988" i="20"/>
  <c r="H988" i="20" a="1"/>
  <c r="H988" i="20" s="1"/>
  <c r="J988" i="20" a="1"/>
  <c r="J988" i="20" s="1"/>
  <c r="L988" i="20" a="1"/>
  <c r="L988" i="20" s="1"/>
  <c r="D989" i="20" a="1"/>
  <c r="D989" i="20" s="1"/>
  <c r="F989" i="20" a="1"/>
  <c r="F989" i="20" s="1"/>
  <c r="B989" i="20"/>
  <c r="H989" i="20" a="1"/>
  <c r="H989" i="20" s="1"/>
  <c r="J989" i="20" a="1"/>
  <c r="J989" i="20" s="1"/>
  <c r="L989" i="20" a="1"/>
  <c r="L989" i="20" s="1"/>
  <c r="D990" i="20" a="1"/>
  <c r="D990" i="20" s="1"/>
  <c r="F990" i="20" a="1"/>
  <c r="F990" i="20" s="1"/>
  <c r="B990" i="20"/>
  <c r="H990" i="20" a="1"/>
  <c r="H990" i="20" s="1"/>
  <c r="J990" i="20" a="1"/>
  <c r="J990" i="20" s="1"/>
  <c r="L990" i="20" a="1"/>
  <c r="L990" i="20" s="1"/>
  <c r="D991" i="20" a="1"/>
  <c r="D991" i="20" s="1"/>
  <c r="F991" i="20" a="1"/>
  <c r="F991" i="20" s="1"/>
  <c r="B991" i="20"/>
  <c r="H991" i="20" a="1"/>
  <c r="H991" i="20" s="1"/>
  <c r="J991" i="20" a="1"/>
  <c r="J991" i="20" s="1"/>
  <c r="L991" i="20" a="1"/>
  <c r="L991" i="20" s="1"/>
  <c r="D992" i="20" a="1"/>
  <c r="D992" i="20" s="1"/>
  <c r="F992" i="20" a="1"/>
  <c r="F992" i="20" s="1"/>
  <c r="B992" i="20"/>
  <c r="H992" i="20" a="1"/>
  <c r="H992" i="20" s="1"/>
  <c r="J992" i="20" a="1"/>
  <c r="J992" i="20" s="1"/>
  <c r="L992" i="20" a="1"/>
  <c r="L992" i="20" s="1"/>
  <c r="D993" i="20" a="1"/>
  <c r="D993" i="20" s="1"/>
  <c r="F993" i="20" a="1"/>
  <c r="F993" i="20" s="1"/>
  <c r="B993" i="20"/>
  <c r="H993" i="20" a="1"/>
  <c r="H993" i="20" s="1"/>
  <c r="J993" i="20" a="1"/>
  <c r="J993" i="20" s="1"/>
  <c r="L993" i="20" a="1"/>
  <c r="L993" i="20" s="1"/>
  <c r="D994" i="20" a="1"/>
  <c r="D994" i="20" s="1"/>
  <c r="F994" i="20" a="1"/>
  <c r="F994" i="20" s="1"/>
  <c r="B994" i="20"/>
  <c r="H994" i="20" a="1"/>
  <c r="H994" i="20" s="1"/>
  <c r="J994" i="20" a="1"/>
  <c r="J994" i="20" s="1"/>
  <c r="L994" i="20" a="1"/>
  <c r="L994" i="20" s="1"/>
  <c r="D995" i="20" a="1"/>
  <c r="D995" i="20" s="1"/>
  <c r="F995" i="20" a="1"/>
  <c r="F995" i="20" s="1"/>
  <c r="B995" i="20"/>
  <c r="H995" i="20" a="1"/>
  <c r="H995" i="20" s="1"/>
  <c r="J995" i="20" a="1"/>
  <c r="J995" i="20" s="1"/>
  <c r="L995" i="20" a="1"/>
  <c r="L995" i="20" s="1"/>
  <c r="D996" i="20" a="1"/>
  <c r="D996" i="20" s="1"/>
  <c r="F996" i="20" a="1"/>
  <c r="F996" i="20" s="1"/>
  <c r="B996" i="20"/>
  <c r="H996" i="20" a="1"/>
  <c r="H996" i="20" s="1"/>
  <c r="J996" i="20" a="1"/>
  <c r="J996" i="20" s="1"/>
  <c r="L996" i="20" a="1"/>
  <c r="L996" i="20" s="1"/>
  <c r="D997" i="20" a="1"/>
  <c r="D997" i="20" s="1"/>
  <c r="F997" i="20" a="1"/>
  <c r="F997" i="20" s="1"/>
  <c r="B997" i="20"/>
  <c r="H997" i="20" a="1"/>
  <c r="H997" i="20" s="1"/>
  <c r="J997" i="20" a="1"/>
  <c r="J997" i="20" s="1"/>
  <c r="L997" i="20" a="1"/>
  <c r="L997" i="20" s="1"/>
  <c r="D998" i="20" a="1"/>
  <c r="D998" i="20" s="1"/>
  <c r="F998" i="20" a="1"/>
  <c r="F998" i="20" s="1"/>
  <c r="B998" i="20"/>
  <c r="H998" i="20" a="1"/>
  <c r="H998" i="20" s="1"/>
  <c r="J998" i="20" a="1"/>
  <c r="J998" i="20" s="1"/>
  <c r="L998" i="20" a="1"/>
  <c r="L998" i="20" s="1"/>
  <c r="D999" i="20" a="1"/>
  <c r="D999" i="20" s="1"/>
  <c r="F999" i="20" a="1"/>
  <c r="F999" i="20" s="1"/>
  <c r="B999" i="20"/>
  <c r="H999" i="20" a="1"/>
  <c r="H999" i="20" s="1"/>
  <c r="J999" i="20" a="1"/>
  <c r="J999" i="20" s="1"/>
  <c r="L999" i="20" a="1"/>
  <c r="L999" i="20" s="1"/>
  <c r="D1000" i="20" a="1"/>
  <c r="D1000" i="20" s="1"/>
  <c r="F1000" i="20" a="1"/>
  <c r="F1000" i="20" s="1"/>
  <c r="B1000" i="20"/>
  <c r="H1000" i="20" a="1"/>
  <c r="H1000" i="20" s="1"/>
  <c r="J1000" i="20" a="1"/>
  <c r="J1000" i="20" s="1"/>
  <c r="L1000" i="20" a="1"/>
  <c r="L1000" i="20" s="1"/>
  <c r="D1001" i="20" a="1"/>
  <c r="D1001" i="20" s="1"/>
  <c r="F1001" i="20" a="1"/>
  <c r="F1001" i="20" s="1"/>
  <c r="B1001" i="20"/>
  <c r="H1001" i="20" a="1"/>
  <c r="H1001" i="20" s="1"/>
  <c r="J1001" i="20" a="1"/>
  <c r="J1001" i="20" s="1"/>
  <c r="L1001" i="20" a="1"/>
  <c r="L1001" i="20" s="1"/>
  <c r="D1002" i="20" a="1"/>
  <c r="D1002" i="20" s="1"/>
  <c r="F1002" i="20" a="1"/>
  <c r="F1002" i="20" s="1"/>
  <c r="B1002" i="20"/>
  <c r="H1002" i="20" a="1"/>
  <c r="H1002" i="20" s="1"/>
  <c r="J1002" i="20" a="1"/>
  <c r="J1002" i="20" s="1"/>
  <c r="L1002" i="20" a="1"/>
  <c r="L1002" i="20" s="1"/>
  <c r="B1003" i="20"/>
  <c r="D1003" i="20" a="1"/>
  <c r="D1003" i="20" s="1"/>
  <c r="F1003" i="20" a="1"/>
  <c r="F1003" i="20" s="1"/>
  <c r="H1003" i="20" a="1"/>
  <c r="H1003" i="20" s="1"/>
  <c r="J1003" i="20" a="1"/>
  <c r="J1003" i="20" s="1"/>
  <c r="L1003" i="20" a="1"/>
  <c r="L1003" i="20" s="1"/>
  <c r="D1004" i="20" a="1"/>
  <c r="D1004" i="20" s="1"/>
  <c r="F1004" i="20" a="1"/>
  <c r="F1004" i="20" s="1"/>
  <c r="B1004" i="20"/>
  <c r="H1004" i="20" a="1"/>
  <c r="H1004" i="20" s="1"/>
  <c r="J1004" i="20" a="1"/>
  <c r="J1004" i="20" s="1"/>
  <c r="L1004" i="20" a="1"/>
  <c r="L1004" i="20" s="1"/>
  <c r="D1005" i="20" a="1"/>
  <c r="D1005" i="20" s="1"/>
  <c r="F1005" i="20" a="1"/>
  <c r="F1005" i="20" s="1"/>
  <c r="B1005" i="20"/>
  <c r="H1005" i="20" a="1"/>
  <c r="H1005" i="20" s="1"/>
  <c r="J1005" i="20" a="1"/>
  <c r="J1005" i="20" s="1"/>
  <c r="L1005" i="20" a="1"/>
  <c r="L1005" i="20" s="1"/>
  <c r="D1006" i="20" a="1"/>
  <c r="D1006" i="20" s="1"/>
  <c r="F1006" i="20" a="1"/>
  <c r="F1006" i="20" s="1"/>
  <c r="B1006" i="20"/>
  <c r="H1006" i="20" a="1"/>
  <c r="H1006" i="20" s="1"/>
  <c r="J1006" i="20" a="1"/>
  <c r="J1006" i="20" s="1"/>
  <c r="L1006" i="20" a="1"/>
  <c r="L1006" i="20" s="1"/>
  <c r="B1007" i="20"/>
  <c r="D1007" i="20" a="1"/>
  <c r="D1007" i="20" s="1"/>
  <c r="F1007" i="20" a="1"/>
  <c r="F1007" i="20" s="1"/>
  <c r="H1007" i="20" a="1"/>
  <c r="H1007" i="20" s="1"/>
  <c r="J1007" i="20" a="1"/>
  <c r="J1007" i="20" s="1"/>
  <c r="L1007" i="20" a="1"/>
  <c r="L1007" i="20" s="1"/>
  <c r="D1008" i="20" a="1"/>
  <c r="D1008" i="20" s="1"/>
  <c r="F1008" i="20" a="1"/>
  <c r="F1008" i="20" s="1"/>
  <c r="B1008" i="20"/>
  <c r="H1008" i="20" a="1"/>
  <c r="H1008" i="20" s="1"/>
  <c r="J1008" i="20" a="1"/>
  <c r="J1008" i="20" s="1"/>
  <c r="L1008" i="20" a="1"/>
  <c r="L1008" i="20" s="1"/>
  <c r="D1009" i="20" a="1"/>
  <c r="D1009" i="20" s="1"/>
  <c r="F1009" i="20" a="1"/>
  <c r="F1009" i="20" s="1"/>
  <c r="B1009" i="20"/>
  <c r="H1009" i="20" a="1"/>
  <c r="H1009" i="20" s="1"/>
  <c r="J1009" i="20" a="1"/>
  <c r="J1009" i="20" s="1"/>
  <c r="L1009" i="20" a="1"/>
  <c r="L1009" i="20" s="1"/>
  <c r="B1010" i="20"/>
  <c r="D1010" i="20" a="1"/>
  <c r="D1010" i="20" s="1"/>
  <c r="F1010" i="20" a="1"/>
  <c r="F1010" i="20" s="1"/>
  <c r="H1010" i="20" a="1"/>
  <c r="H1010" i="20" s="1"/>
  <c r="J1010" i="20" a="1"/>
  <c r="J1010" i="20" s="1"/>
  <c r="L1010" i="20" a="1"/>
  <c r="L1010" i="20" s="1"/>
  <c r="D1011" i="20" a="1"/>
  <c r="D1011" i="20" s="1"/>
  <c r="F1011" i="20" a="1"/>
  <c r="F1011" i="20" s="1"/>
  <c r="B1011" i="20"/>
  <c r="H1011" i="20" a="1"/>
  <c r="H1011" i="20" s="1"/>
  <c r="J1011" i="20" a="1"/>
  <c r="J1011" i="20" s="1"/>
  <c r="L1011" i="20" a="1"/>
  <c r="L1011" i="20" s="1"/>
  <c r="D1012" i="20" a="1"/>
  <c r="D1012" i="20" s="1"/>
  <c r="F1012" i="20" a="1"/>
  <c r="F1012" i="20" s="1"/>
  <c r="B1012" i="20"/>
  <c r="H1012" i="20" a="1"/>
  <c r="H1012" i="20" s="1"/>
  <c r="J1012" i="20" a="1"/>
  <c r="J1012" i="20" s="1"/>
  <c r="L1012" i="20" a="1"/>
  <c r="L1012" i="20" s="1"/>
  <c r="B1013" i="20"/>
  <c r="D1013" i="20" a="1"/>
  <c r="D1013" i="20" s="1"/>
  <c r="F1013" i="20" a="1"/>
  <c r="F1013" i="20" s="1"/>
  <c r="H1013" i="20" a="1"/>
  <c r="H1013" i="20" s="1"/>
  <c r="J1013" i="20" a="1"/>
  <c r="J1013" i="20" s="1"/>
  <c r="L1013" i="20" a="1"/>
  <c r="L1013" i="20" s="1"/>
  <c r="D1014" i="20" a="1"/>
  <c r="D1014" i="20" s="1"/>
  <c r="F1014" i="20" a="1"/>
  <c r="F1014" i="20" s="1"/>
  <c r="B1014" i="20"/>
  <c r="H1014" i="20" a="1"/>
  <c r="H1014" i="20" s="1"/>
  <c r="J1014" i="20" a="1"/>
  <c r="J1014" i="20" s="1"/>
  <c r="L1014" i="20" a="1"/>
  <c r="L1014" i="20" s="1"/>
  <c r="B1015" i="20"/>
  <c r="D1015" i="20" a="1"/>
  <c r="D1015" i="20" s="1"/>
  <c r="F1015" i="20" a="1"/>
  <c r="F1015" i="20" s="1"/>
  <c r="H1015" i="20" a="1"/>
  <c r="H1015" i="20" s="1"/>
  <c r="J1015" i="20" a="1"/>
  <c r="J1015" i="20" s="1"/>
  <c r="L1015" i="20" a="1"/>
  <c r="L1015" i="20" s="1"/>
  <c r="D1016" i="20" a="1"/>
  <c r="D1016" i="20" s="1"/>
  <c r="F1016" i="20" a="1"/>
  <c r="F1016" i="20" s="1"/>
  <c r="H1016" i="20" a="1"/>
  <c r="H1016" i="20" s="1"/>
  <c r="B1016" i="20"/>
  <c r="J1016" i="20" a="1"/>
  <c r="J1016" i="20" s="1"/>
  <c r="L1016" i="20" a="1"/>
  <c r="L1016" i="20" s="1"/>
  <c r="B1017" i="20"/>
  <c r="D1017" i="20" a="1"/>
  <c r="D1017" i="20" s="1"/>
  <c r="F1017" i="20" a="1"/>
  <c r="F1017" i="20" s="1"/>
  <c r="H1017" i="20" a="1"/>
  <c r="H1017" i="20" s="1"/>
  <c r="J1017" i="20" a="1"/>
  <c r="J1017" i="20" s="1"/>
  <c r="L1017" i="20" a="1"/>
  <c r="L1017" i="20" s="1"/>
  <c r="D1018" i="20" a="1"/>
  <c r="D1018" i="20" s="1"/>
  <c r="F1018" i="20" a="1"/>
  <c r="F1018" i="20" s="1"/>
  <c r="B1018" i="20"/>
  <c r="H1018" i="20" a="1"/>
  <c r="H1018" i="20" s="1"/>
  <c r="J1018" i="20" a="1"/>
  <c r="J1018" i="20" s="1"/>
  <c r="L1018" i="20" a="1"/>
  <c r="L1018" i="20" s="1"/>
  <c r="B1019" i="20"/>
  <c r="D1019" i="20" a="1"/>
  <c r="D1019" i="20" s="1"/>
  <c r="F1019" i="20" a="1"/>
  <c r="F1019" i="20" s="1"/>
  <c r="H1019" i="20" a="1"/>
  <c r="H1019" i="20" s="1"/>
  <c r="J1019" i="20" a="1"/>
  <c r="J1019" i="20" s="1"/>
  <c r="L1019" i="20" a="1"/>
  <c r="L1019" i="20" s="1"/>
  <c r="D1020" i="20" a="1"/>
  <c r="D1020" i="20" s="1"/>
  <c r="F1020" i="20" a="1"/>
  <c r="F1020" i="20" s="1"/>
  <c r="B1020" i="20"/>
  <c r="H1020" i="20" a="1"/>
  <c r="H1020" i="20" s="1"/>
  <c r="J1020" i="20" a="1"/>
  <c r="J1020" i="20" s="1"/>
  <c r="L1020" i="20" a="1"/>
  <c r="L1020" i="20" s="1"/>
  <c r="D1021" i="20" a="1"/>
  <c r="D1021" i="20" s="1"/>
  <c r="F1021" i="20" a="1"/>
  <c r="F1021" i="20" s="1"/>
  <c r="H1021" i="20" a="1"/>
  <c r="H1021" i="20" s="1"/>
  <c r="B1021" i="20"/>
  <c r="J1021" i="20" a="1"/>
  <c r="J1021" i="20" s="1"/>
  <c r="L1021" i="20" a="1"/>
  <c r="L1021" i="20" s="1"/>
  <c r="B1022" i="20"/>
  <c r="D1022" i="20" a="1"/>
  <c r="D1022" i="20" s="1"/>
  <c r="F1022" i="20" a="1"/>
  <c r="F1022" i="20" s="1"/>
  <c r="H1022" i="20" a="1"/>
  <c r="H1022" i="20" s="1"/>
  <c r="J1022" i="20" a="1"/>
  <c r="J1022" i="20" s="1"/>
  <c r="L1022" i="20" a="1"/>
  <c r="L1022" i="20" s="1"/>
  <c r="D1023" i="20" a="1"/>
  <c r="D1023" i="20" s="1"/>
  <c r="F1023" i="20" a="1"/>
  <c r="F1023" i="20" s="1"/>
  <c r="B1023" i="20"/>
  <c r="H1023" i="20" a="1"/>
  <c r="H1023" i="20" s="1"/>
  <c r="J1023" i="20" a="1"/>
  <c r="J1023" i="20" s="1"/>
  <c r="L1023" i="20" a="1"/>
  <c r="L1023" i="20" s="1"/>
  <c r="D1024" i="20" a="1"/>
  <c r="D1024" i="20" s="1"/>
  <c r="F1024" i="20" a="1"/>
  <c r="F1024" i="20" s="1"/>
  <c r="B1024" i="20"/>
  <c r="H1024" i="20" a="1"/>
  <c r="H1024" i="20" s="1"/>
  <c r="J1024" i="20" a="1"/>
  <c r="J1024" i="20" s="1"/>
  <c r="L1024" i="20" a="1"/>
  <c r="L1024" i="20" s="1"/>
  <c r="B1025" i="20"/>
  <c r="D1025" i="20" a="1"/>
  <c r="D1025" i="20" s="1"/>
  <c r="F1025" i="20" a="1"/>
  <c r="F1025" i="20" s="1"/>
  <c r="H1025" i="20" a="1"/>
  <c r="H1025" i="20" s="1"/>
  <c r="J1025" i="20" a="1"/>
  <c r="J1025" i="20" s="1"/>
  <c r="L1025" i="20" a="1"/>
  <c r="L1025" i="20" s="1"/>
  <c r="B1026" i="20"/>
  <c r="D1026" i="20" a="1"/>
  <c r="D1026" i="20" s="1"/>
  <c r="F1026" i="20" a="1"/>
  <c r="F1026" i="20" s="1"/>
  <c r="H1026" i="20" a="1"/>
  <c r="H1026" i="20" s="1"/>
  <c r="J1026" i="20" a="1"/>
  <c r="J1026" i="20" s="1"/>
  <c r="L1026" i="20" a="1"/>
  <c r="L1026" i="20" s="1"/>
  <c r="D1027" i="20" a="1"/>
  <c r="D1027" i="20" s="1"/>
  <c r="F1027" i="20" a="1"/>
  <c r="F1027" i="20" s="1"/>
  <c r="H1027" i="20" a="1"/>
  <c r="H1027" i="20" s="1"/>
  <c r="B1027" i="20"/>
  <c r="J1027" i="20" a="1"/>
  <c r="J1027" i="20" s="1"/>
  <c r="L1027" i="20" a="1"/>
  <c r="L1027" i="20" s="1"/>
  <c r="B1028" i="20"/>
  <c r="D1028" i="20" a="1"/>
  <c r="D1028" i="20" s="1"/>
  <c r="F1028" i="20" a="1"/>
  <c r="F1028" i="20" s="1"/>
  <c r="H1028" i="20" a="1"/>
  <c r="H1028" i="20" s="1"/>
  <c r="J1028" i="20" a="1"/>
  <c r="J1028" i="20" s="1"/>
  <c r="L1028" i="20" a="1"/>
  <c r="L1028" i="20" s="1"/>
  <c r="D1029" i="20" a="1"/>
  <c r="D1029" i="20" s="1"/>
  <c r="F1029" i="20" a="1"/>
  <c r="F1029" i="20" s="1"/>
  <c r="B1029" i="20"/>
  <c r="H1029" i="20" a="1"/>
  <c r="H1029" i="20" s="1"/>
  <c r="J1029" i="20" a="1"/>
  <c r="J1029" i="20" s="1"/>
  <c r="L1029" i="20" a="1"/>
  <c r="L1029" i="20" s="1"/>
  <c r="B1030" i="20"/>
  <c r="D1030" i="20" a="1"/>
  <c r="D1030" i="20" s="1"/>
  <c r="F1030" i="20" a="1"/>
  <c r="F1030" i="20" s="1"/>
  <c r="H1030" i="20" a="1"/>
  <c r="H1030" i="20" s="1"/>
  <c r="J1030" i="20" a="1"/>
  <c r="J1030" i="20" s="1"/>
  <c r="L1030" i="20" a="1"/>
  <c r="L1030" i="20" s="1"/>
  <c r="D1031" i="20" a="1"/>
  <c r="D1031" i="20" s="1"/>
  <c r="F1031" i="20" a="1"/>
  <c r="F1031" i="20" s="1"/>
  <c r="H1031" i="20" a="1"/>
  <c r="H1031" i="20" s="1"/>
  <c r="B1031" i="20"/>
  <c r="J1031" i="20" a="1"/>
  <c r="J1031" i="20" s="1"/>
  <c r="L1031" i="20" a="1"/>
  <c r="L1031" i="20" s="1"/>
  <c r="B1032" i="20"/>
  <c r="D1032" i="20" a="1"/>
  <c r="D1032" i="20" s="1"/>
  <c r="F1032" i="20" a="1"/>
  <c r="F1032" i="20" s="1"/>
  <c r="H1032" i="20" a="1"/>
  <c r="H1032" i="20" s="1"/>
  <c r="J1032" i="20" a="1"/>
  <c r="J1032" i="20" s="1"/>
  <c r="L1032" i="20" a="1"/>
  <c r="L1032" i="20" s="1"/>
  <c r="D1033" i="20" a="1"/>
  <c r="D1033" i="20" s="1"/>
  <c r="F1033" i="20" a="1"/>
  <c r="F1033" i="20" s="1"/>
  <c r="H1033" i="20" a="1"/>
  <c r="H1033" i="20" s="1"/>
  <c r="B1033" i="20"/>
  <c r="J1033" i="20" a="1"/>
  <c r="J1033" i="20" s="1"/>
  <c r="L1033" i="20" a="1"/>
  <c r="L1033" i="20" s="1"/>
  <c r="B1034" i="20"/>
  <c r="D1034" i="20" a="1"/>
  <c r="D1034" i="20" s="1"/>
  <c r="F1034" i="20" a="1"/>
  <c r="F1034" i="20" s="1"/>
  <c r="H1034" i="20" a="1"/>
  <c r="H1034" i="20" s="1"/>
  <c r="J1034" i="20" a="1"/>
  <c r="J1034" i="20" s="1"/>
  <c r="L1034" i="20" a="1"/>
  <c r="L1034" i="20" s="1"/>
  <c r="D1035" i="20" a="1"/>
  <c r="D1035" i="20" s="1"/>
  <c r="F1035" i="20" a="1"/>
  <c r="F1035" i="20" s="1"/>
  <c r="H1035" i="20" a="1"/>
  <c r="H1035" i="20" s="1"/>
  <c r="B1035" i="20"/>
  <c r="J1035" i="20" a="1"/>
  <c r="J1035" i="20" s="1"/>
  <c r="L1035" i="20" a="1"/>
  <c r="L1035" i="20" s="1"/>
  <c r="B1036" i="20"/>
  <c r="D1036" i="20" a="1"/>
  <c r="D1036" i="20" s="1"/>
  <c r="F1036" i="20" a="1"/>
  <c r="F1036" i="20" s="1"/>
  <c r="H1036" i="20" a="1"/>
  <c r="H1036" i="20" s="1"/>
  <c r="J1036" i="20" a="1"/>
  <c r="J1036" i="20" s="1"/>
  <c r="L1036" i="20" a="1"/>
  <c r="L1036" i="20" s="1"/>
  <c r="B1037" i="20"/>
  <c r="D1037" i="20" a="1"/>
  <c r="D1037" i="20" s="1"/>
  <c r="F1037" i="20" a="1"/>
  <c r="F1037" i="20" s="1"/>
  <c r="H1037" i="20" a="1"/>
  <c r="H1037" i="20" s="1"/>
  <c r="J1037" i="20" a="1"/>
  <c r="J1037" i="20" s="1"/>
  <c r="L1037" i="20" a="1"/>
  <c r="L1037" i="20" s="1"/>
  <c r="D1038" i="20" a="1"/>
  <c r="D1038" i="20" s="1"/>
  <c r="F1038" i="20" a="1"/>
  <c r="F1038" i="20" s="1"/>
  <c r="H1038" i="20" a="1"/>
  <c r="H1038" i="20" s="1"/>
  <c r="B1038" i="20"/>
  <c r="J1038" i="20" a="1"/>
  <c r="J1038" i="20" s="1"/>
  <c r="L1038" i="20" a="1"/>
  <c r="L1038" i="20" s="1"/>
  <c r="B1039" i="20"/>
  <c r="D1039" i="20" a="1"/>
  <c r="D1039" i="20" s="1"/>
  <c r="F1039" i="20" a="1"/>
  <c r="F1039" i="20" s="1"/>
  <c r="H1039" i="20" a="1"/>
  <c r="H1039" i="20" s="1"/>
  <c r="J1039" i="20" a="1"/>
  <c r="J1039" i="20" s="1"/>
  <c r="L1039" i="20" a="1"/>
  <c r="L1039" i="20" s="1"/>
  <c r="D1040" i="20" a="1"/>
  <c r="D1040" i="20" s="1"/>
  <c r="F1040" i="20" a="1"/>
  <c r="F1040" i="20" s="1"/>
  <c r="B1040" i="20"/>
  <c r="H1040" i="20" a="1"/>
  <c r="H1040" i="20" s="1"/>
  <c r="J1040" i="20" a="1"/>
  <c r="J1040" i="20" s="1"/>
  <c r="L1040" i="20" a="1"/>
  <c r="L1040" i="20" s="1"/>
  <c r="D1041" i="20" a="1"/>
  <c r="D1041" i="20" s="1"/>
  <c r="F1041" i="20" a="1"/>
  <c r="F1041" i="20" s="1"/>
  <c r="H1041" i="20" a="1"/>
  <c r="H1041" i="20" s="1"/>
  <c r="B1041" i="20"/>
  <c r="J1041" i="20" a="1"/>
  <c r="J1041" i="20" s="1"/>
  <c r="L1041" i="20" a="1"/>
  <c r="L1041" i="20" s="1"/>
  <c r="B1042" i="20"/>
  <c r="D1042" i="20" a="1"/>
  <c r="D1042" i="20" s="1"/>
  <c r="F1042" i="20" a="1"/>
  <c r="F1042" i="20" s="1"/>
  <c r="H1042" i="20" a="1"/>
  <c r="H1042" i="20" s="1"/>
  <c r="J1042" i="20" a="1"/>
  <c r="J1042" i="20" s="1"/>
  <c r="L1042" i="20" a="1"/>
  <c r="L1042" i="20" s="1"/>
  <c r="D1043" i="20" a="1"/>
  <c r="D1043" i="20" s="1"/>
  <c r="F1043" i="20" a="1"/>
  <c r="F1043" i="20" s="1"/>
  <c r="B1043" i="20"/>
  <c r="H1043" i="20" a="1"/>
  <c r="H1043" i="20" s="1"/>
  <c r="J1043" i="20" a="1"/>
  <c r="J1043" i="20" s="1"/>
  <c r="L1043" i="20" a="1"/>
  <c r="L1043" i="20" s="1"/>
  <c r="D1044" i="20" a="1"/>
  <c r="D1044" i="20" s="1"/>
  <c r="F1044" i="20" a="1"/>
  <c r="F1044" i="20" s="1"/>
  <c r="H1044" i="20" a="1"/>
  <c r="H1044" i="20" s="1"/>
  <c r="B1044" i="20"/>
  <c r="J1044" i="20" a="1"/>
  <c r="J1044" i="20" s="1"/>
  <c r="L1044" i="20" a="1"/>
  <c r="L1044" i="20" s="1"/>
  <c r="B1045" i="20"/>
  <c r="D1045" i="20" a="1"/>
  <c r="D1045" i="20" s="1"/>
  <c r="F1045" i="20" a="1"/>
  <c r="F1045" i="20" s="1"/>
  <c r="H1045" i="20" a="1"/>
  <c r="H1045" i="20" s="1"/>
  <c r="J1045" i="20" a="1"/>
  <c r="J1045" i="20" s="1"/>
  <c r="L1045" i="20" a="1"/>
  <c r="L1045" i="20" s="1"/>
  <c r="D1046" i="20" a="1"/>
  <c r="D1046" i="20" s="1"/>
  <c r="F1046" i="20" a="1"/>
  <c r="F1046" i="20" s="1"/>
  <c r="B1046" i="20"/>
  <c r="H1046" i="20" a="1"/>
  <c r="H1046" i="20" s="1"/>
  <c r="J1046" i="20" a="1"/>
  <c r="J1046" i="20" s="1"/>
  <c r="L1046" i="20" a="1"/>
  <c r="L1046" i="20" s="1"/>
  <c r="D1047" i="20" a="1"/>
  <c r="D1047" i="20" s="1"/>
  <c r="F1047" i="20" a="1"/>
  <c r="F1047" i="20" s="1"/>
  <c r="H1047" i="20" a="1"/>
  <c r="H1047" i="20" s="1"/>
  <c r="B1047" i="20"/>
  <c r="J1047" i="20" a="1"/>
  <c r="J1047" i="20" s="1"/>
  <c r="L1047" i="20" a="1"/>
  <c r="L1047" i="20" s="1"/>
  <c r="D1048" i="20" a="1"/>
  <c r="D1048" i="20" s="1"/>
  <c r="F1048" i="20" a="1"/>
  <c r="F1048" i="20" s="1"/>
  <c r="H1048" i="20" a="1"/>
  <c r="H1048" i="20" s="1"/>
  <c r="B1048" i="20"/>
  <c r="J1048" i="20" a="1"/>
  <c r="J1048" i="20" s="1"/>
  <c r="L1048" i="20" a="1"/>
  <c r="L1048" i="20" s="1"/>
  <c r="D1049" i="20" a="1"/>
  <c r="D1049" i="20" s="1"/>
  <c r="F1049" i="20" a="1"/>
  <c r="F1049" i="20" s="1"/>
  <c r="H1049" i="20" a="1"/>
  <c r="H1049" i="20" s="1"/>
  <c r="B1049" i="20"/>
  <c r="J1049" i="20" a="1"/>
  <c r="J1049" i="20" s="1"/>
  <c r="L1049" i="20" a="1"/>
  <c r="L1049" i="20" s="1"/>
  <c r="D1050" i="20" a="1"/>
  <c r="D1050" i="20" s="1"/>
  <c r="F1050" i="20" a="1"/>
  <c r="F1050" i="20" s="1"/>
  <c r="B1050" i="20"/>
  <c r="H1050" i="20" a="1"/>
  <c r="H1050" i="20" s="1"/>
  <c r="J1050" i="20" a="1"/>
  <c r="J1050" i="20" s="1"/>
  <c r="L1050" i="20" a="1"/>
  <c r="L1050" i="20" s="1"/>
  <c r="B1051" i="20"/>
  <c r="D1051" i="20" a="1"/>
  <c r="D1051" i="20" s="1"/>
  <c r="F1051" i="20" a="1"/>
  <c r="F1051" i="20" s="1"/>
  <c r="H1051" i="20" a="1"/>
  <c r="H1051" i="20" s="1"/>
  <c r="J1051" i="20" a="1"/>
  <c r="J1051" i="20" s="1"/>
  <c r="L1051" i="20" a="1"/>
  <c r="L1051" i="20" s="1"/>
  <c r="D1052" i="20" a="1"/>
  <c r="D1052" i="20" s="1"/>
  <c r="F1052" i="20" a="1"/>
  <c r="F1052" i="20" s="1"/>
  <c r="B1052" i="20"/>
  <c r="H1052" i="20" a="1"/>
  <c r="H1052" i="20" s="1"/>
  <c r="J1052" i="20" a="1"/>
  <c r="J1052" i="20" s="1"/>
  <c r="L1052" i="20" a="1"/>
  <c r="L1052" i="20" s="1"/>
  <c r="B1053" i="20"/>
  <c r="D1053" i="20" a="1"/>
  <c r="D1053" i="20" s="1"/>
  <c r="F1053" i="20" a="1"/>
  <c r="F1053" i="20" s="1"/>
  <c r="H1053" i="20" a="1"/>
  <c r="H1053" i="20" s="1"/>
  <c r="J1053" i="20" a="1"/>
  <c r="J1053" i="20" s="1"/>
  <c r="L1053" i="20" a="1"/>
  <c r="L1053" i="20" s="1"/>
  <c r="D1054" i="20" a="1"/>
  <c r="D1054" i="20" s="1"/>
  <c r="F1054" i="20" a="1"/>
  <c r="F1054" i="20" s="1"/>
  <c r="H1054" i="20" a="1"/>
  <c r="H1054" i="20" s="1"/>
  <c r="B1054" i="20"/>
  <c r="J1054" i="20" a="1"/>
  <c r="J1054" i="20" s="1"/>
  <c r="L1054" i="20" a="1"/>
  <c r="L1054" i="20" s="1"/>
  <c r="D1055" i="20" a="1"/>
  <c r="D1055" i="20" s="1"/>
  <c r="F1055" i="20" a="1"/>
  <c r="F1055" i="20" s="1"/>
  <c r="B1055" i="20"/>
  <c r="H1055" i="20" a="1"/>
  <c r="H1055" i="20" s="1"/>
  <c r="J1055" i="20" a="1"/>
  <c r="J1055" i="20" s="1"/>
  <c r="L1055" i="20" a="1"/>
  <c r="L1055" i="20" s="1"/>
  <c r="D1056" i="20" a="1"/>
  <c r="D1056" i="20" s="1"/>
  <c r="F1056" i="20" a="1"/>
  <c r="F1056" i="20" s="1"/>
  <c r="B1056" i="20"/>
  <c r="H1056" i="20" a="1"/>
  <c r="H1056" i="20" s="1"/>
  <c r="J1056" i="20" a="1"/>
  <c r="J1056" i="20" s="1"/>
  <c r="L1056" i="20" a="1"/>
  <c r="L1056" i="20" s="1"/>
  <c r="B1057" i="20"/>
  <c r="D1057" i="20" a="1"/>
  <c r="D1057" i="20" s="1"/>
  <c r="F1057" i="20" a="1"/>
  <c r="F1057" i="20" s="1"/>
  <c r="H1057" i="20" a="1"/>
  <c r="H1057" i="20" s="1"/>
  <c r="J1057" i="20" a="1"/>
  <c r="J1057" i="20" s="1"/>
  <c r="L1057" i="20" a="1"/>
  <c r="L1057" i="20" s="1"/>
  <c r="D1058" i="20" a="1"/>
  <c r="D1058" i="20" s="1"/>
  <c r="F1058" i="20" a="1"/>
  <c r="F1058" i="20" s="1"/>
  <c r="H1058" i="20" a="1"/>
  <c r="H1058" i="20" s="1"/>
  <c r="B1058" i="20"/>
  <c r="J1058" i="20" a="1"/>
  <c r="J1058" i="20" s="1"/>
  <c r="L1058" i="20" a="1"/>
  <c r="L1058" i="20" s="1"/>
  <c r="B1059" i="20"/>
  <c r="D1059" i="20" a="1"/>
  <c r="D1059" i="20" s="1"/>
  <c r="F1059" i="20" a="1"/>
  <c r="F1059" i="20" s="1"/>
  <c r="H1059" i="20" a="1"/>
  <c r="H1059" i="20" s="1"/>
  <c r="J1059" i="20" a="1"/>
  <c r="J1059" i="20" s="1"/>
  <c r="L1059" i="20" a="1"/>
  <c r="L1059" i="20" s="1"/>
  <c r="D1060" i="20" a="1"/>
  <c r="D1060" i="20" s="1"/>
  <c r="F1060" i="20" a="1"/>
  <c r="F1060" i="20" s="1"/>
  <c r="B1060" i="20"/>
  <c r="H1060" i="20" a="1"/>
  <c r="H1060" i="20" s="1"/>
  <c r="J1060" i="20" a="1"/>
  <c r="J1060" i="20" s="1"/>
  <c r="L1060" i="20" a="1"/>
  <c r="L1060" i="20" s="1"/>
  <c r="D1061" i="20" a="1"/>
  <c r="D1061" i="20" s="1"/>
  <c r="F1061" i="20" a="1"/>
  <c r="F1061" i="20" s="1"/>
  <c r="H1061" i="20" a="1"/>
  <c r="H1061" i="20" s="1"/>
  <c r="B1061" i="20"/>
  <c r="J1061" i="20" a="1"/>
  <c r="J1061" i="20" s="1"/>
  <c r="L1061" i="20" a="1"/>
  <c r="L1061" i="20" s="1"/>
  <c r="B1062" i="20"/>
  <c r="D1062" i="20" a="1"/>
  <c r="D1062" i="20" s="1"/>
  <c r="F1062" i="20" a="1"/>
  <c r="F1062" i="20" s="1"/>
  <c r="H1062" i="20" a="1"/>
  <c r="H1062" i="20" s="1"/>
  <c r="J1062" i="20" a="1"/>
  <c r="J1062" i="20" s="1"/>
  <c r="L1062" i="20" a="1"/>
  <c r="L1062" i="20" s="1"/>
  <c r="D1063" i="20" a="1"/>
  <c r="D1063" i="20" s="1"/>
  <c r="F1063" i="20" a="1"/>
  <c r="F1063" i="20" s="1"/>
  <c r="B1063" i="20"/>
  <c r="H1063" i="20" a="1"/>
  <c r="H1063" i="20" s="1"/>
  <c r="J1063" i="20" a="1"/>
  <c r="J1063" i="20" s="1"/>
  <c r="L1063" i="20" a="1"/>
  <c r="L1063" i="20" s="1"/>
  <c r="D1064" i="20" a="1"/>
  <c r="D1064" i="20" s="1"/>
  <c r="F1064" i="20" a="1"/>
  <c r="F1064" i="20" s="1"/>
  <c r="B1064" i="20"/>
  <c r="H1064" i="20" a="1"/>
  <c r="H1064" i="20" s="1"/>
  <c r="J1064" i="20" a="1"/>
  <c r="J1064" i="20" s="1"/>
  <c r="L1064" i="20" a="1"/>
  <c r="L1064" i="20" s="1"/>
  <c r="B1065" i="20"/>
  <c r="D1065" i="20" a="1"/>
  <c r="D1065" i="20" s="1"/>
  <c r="F1065" i="20" a="1"/>
  <c r="F1065" i="20" s="1"/>
  <c r="H1065" i="20" a="1"/>
  <c r="H1065" i="20" s="1"/>
  <c r="J1065" i="20" a="1"/>
  <c r="J1065" i="20" s="1"/>
  <c r="L1065" i="20" a="1"/>
  <c r="L1065" i="20" s="1"/>
  <c r="D1066" i="20" a="1"/>
  <c r="D1066" i="20" s="1"/>
  <c r="F1066" i="20" a="1"/>
  <c r="F1066" i="20" s="1"/>
  <c r="B1066" i="20"/>
  <c r="H1066" i="20" a="1"/>
  <c r="H1066" i="20" s="1"/>
  <c r="J1066" i="20" a="1"/>
  <c r="J1066" i="20" s="1"/>
  <c r="L1066" i="20" a="1"/>
  <c r="L1066" i="20" s="1"/>
  <c r="B1067" i="20"/>
  <c r="D1067" i="20" a="1"/>
  <c r="D1067" i="20" s="1"/>
  <c r="F1067" i="20" a="1"/>
  <c r="F1067" i="20" s="1"/>
  <c r="H1067" i="20" a="1"/>
  <c r="H1067" i="20" s="1"/>
  <c r="J1067" i="20" a="1"/>
  <c r="J1067" i="20" s="1"/>
  <c r="L1067" i="20" a="1"/>
  <c r="L1067" i="20" s="1"/>
  <c r="D1068" i="20" a="1"/>
  <c r="D1068" i="20" s="1"/>
  <c r="F1068" i="20" a="1"/>
  <c r="F1068" i="20" s="1"/>
  <c r="B1068" i="20"/>
  <c r="H1068" i="20" a="1"/>
  <c r="H1068" i="20" s="1"/>
  <c r="J1068" i="20" a="1"/>
  <c r="J1068" i="20" s="1"/>
  <c r="L1068" i="20" a="1"/>
  <c r="L1068" i="20" s="1"/>
  <c r="D1069" i="20" a="1"/>
  <c r="D1069" i="20" s="1"/>
  <c r="F1069" i="20" a="1"/>
  <c r="F1069" i="20" s="1"/>
  <c r="H1069" i="20" a="1"/>
  <c r="H1069" i="20" s="1"/>
  <c r="B1069" i="20"/>
  <c r="J1069" i="20" a="1"/>
  <c r="J1069" i="20" s="1"/>
  <c r="L1069" i="20" a="1"/>
  <c r="L1069" i="20" s="1"/>
  <c r="B1070" i="20"/>
  <c r="D1070" i="20" a="1"/>
  <c r="D1070" i="20" s="1"/>
  <c r="F1070" i="20" a="1"/>
  <c r="F1070" i="20" s="1"/>
  <c r="H1070" i="20" a="1"/>
  <c r="H1070" i="20" s="1"/>
  <c r="J1070" i="20" a="1"/>
  <c r="J1070" i="20" s="1"/>
  <c r="L1070" i="20" a="1"/>
  <c r="L1070" i="20" s="1"/>
  <c r="D1071" i="20" a="1"/>
  <c r="D1071" i="20" s="1"/>
  <c r="F1071" i="20" a="1"/>
  <c r="F1071" i="20" s="1"/>
  <c r="H1071" i="20" a="1"/>
  <c r="H1071" i="20" s="1"/>
  <c r="B1071" i="20"/>
  <c r="J1071" i="20" a="1"/>
  <c r="J1071" i="20" s="1"/>
  <c r="L1071" i="20" a="1"/>
  <c r="L1071" i="20" s="1"/>
  <c r="D1072" i="20" a="1"/>
  <c r="D1072" i="20" s="1"/>
  <c r="F1072" i="20" a="1"/>
  <c r="F1072" i="20" s="1"/>
  <c r="B1072" i="20"/>
  <c r="H1072" i="20" a="1"/>
  <c r="H1072" i="20" s="1"/>
  <c r="J1072" i="20" a="1"/>
  <c r="J1072" i="20" s="1"/>
  <c r="L1072" i="20" a="1"/>
  <c r="L1072" i="20" s="1"/>
  <c r="B1073" i="20"/>
  <c r="D1073" i="20" a="1"/>
  <c r="D1073" i="20" s="1"/>
  <c r="F1073" i="20" a="1"/>
  <c r="F1073" i="20" s="1"/>
  <c r="H1073" i="20" a="1"/>
  <c r="H1073" i="20" s="1"/>
  <c r="J1073" i="20" a="1"/>
  <c r="J1073" i="20" s="1"/>
  <c r="L1073" i="20" a="1"/>
  <c r="L1073" i="20" s="1"/>
  <c r="D1074" i="20" a="1"/>
  <c r="D1074" i="20" s="1"/>
  <c r="F1074" i="20" a="1"/>
  <c r="F1074" i="20" s="1"/>
  <c r="H1074" i="20" a="1"/>
  <c r="H1074" i="20" s="1"/>
  <c r="B1074" i="20"/>
  <c r="J1074" i="20" a="1"/>
  <c r="J1074" i="20" s="1"/>
  <c r="L1074" i="20" a="1"/>
  <c r="L1074" i="20" s="1"/>
  <c r="D1075" i="20" a="1"/>
  <c r="D1075" i="20" s="1"/>
  <c r="F1075" i="20" a="1"/>
  <c r="F1075" i="20" s="1"/>
  <c r="B1075" i="20"/>
  <c r="H1075" i="20" a="1"/>
  <c r="H1075" i="20" s="1"/>
  <c r="J1075" i="20" a="1"/>
  <c r="J1075" i="20" s="1"/>
  <c r="L1075" i="20" a="1"/>
  <c r="L1075" i="20" s="1"/>
  <c r="B1076" i="20"/>
  <c r="D1076" i="20" a="1"/>
  <c r="D1076" i="20" s="1"/>
  <c r="F1076" i="20" a="1"/>
  <c r="F1076" i="20" s="1"/>
  <c r="H1076" i="20" a="1"/>
  <c r="H1076" i="20" s="1"/>
  <c r="J1076" i="20" a="1"/>
  <c r="J1076" i="20" s="1"/>
  <c r="L1076" i="20" a="1"/>
  <c r="L1076" i="20" s="1"/>
  <c r="D1077" i="20" a="1"/>
  <c r="D1077" i="20" s="1"/>
  <c r="F1077" i="20" a="1"/>
  <c r="F1077" i="20" s="1"/>
  <c r="B1077" i="20"/>
  <c r="H1077" i="20" a="1"/>
  <c r="H1077" i="20" s="1"/>
  <c r="J1077" i="20" a="1"/>
  <c r="J1077" i="20" s="1"/>
  <c r="L1077" i="20" a="1"/>
  <c r="L1077" i="20" s="1"/>
  <c r="D1078" i="20" a="1"/>
  <c r="D1078" i="20" s="1"/>
  <c r="F1078" i="20" a="1"/>
  <c r="F1078" i="20" s="1"/>
  <c r="H1078" i="20" a="1"/>
  <c r="H1078" i="20" s="1"/>
  <c r="B1078" i="20"/>
  <c r="J1078" i="20" a="1"/>
  <c r="J1078" i="20" s="1"/>
  <c r="L1078" i="20" a="1"/>
  <c r="L1078" i="20" s="1"/>
  <c r="B1079" i="20"/>
  <c r="D1079" i="20" a="1"/>
  <c r="D1079" i="20" s="1"/>
  <c r="F1079" i="20" a="1"/>
  <c r="F1079" i="20" s="1"/>
  <c r="H1079" i="20" a="1"/>
  <c r="H1079" i="20" s="1"/>
  <c r="J1079" i="20" a="1"/>
  <c r="J1079" i="20" s="1"/>
  <c r="L1079" i="20" a="1"/>
  <c r="L1079" i="20" s="1"/>
  <c r="B1080" i="20"/>
  <c r="D1080" i="20" a="1"/>
  <c r="D1080" i="20" s="1"/>
  <c r="F1080" i="20" a="1"/>
  <c r="F1080" i="20" s="1"/>
  <c r="H1080" i="20" a="1"/>
  <c r="H1080" i="20" s="1"/>
  <c r="J1080" i="20" a="1"/>
  <c r="J1080" i="20" s="1"/>
  <c r="L1080" i="20" a="1"/>
  <c r="L1080" i="20" s="1"/>
  <c r="D1081" i="20" a="1"/>
  <c r="D1081" i="20" s="1"/>
  <c r="F1081" i="20" a="1"/>
  <c r="F1081" i="20" s="1"/>
  <c r="H1081" i="20" a="1"/>
  <c r="H1081" i="20" s="1"/>
  <c r="B1081" i="20"/>
  <c r="J1081" i="20" a="1"/>
  <c r="J1081" i="20" s="1"/>
  <c r="L1081" i="20" a="1"/>
  <c r="L1081" i="20" s="1"/>
  <c r="B1082" i="20"/>
  <c r="D1082" i="20" a="1"/>
  <c r="D1082" i="20" s="1"/>
  <c r="F1082" i="20" a="1"/>
  <c r="F1082" i="20" s="1"/>
  <c r="H1082" i="20" a="1"/>
  <c r="H1082" i="20" s="1"/>
  <c r="J1082" i="20" a="1"/>
  <c r="J1082" i="20" s="1"/>
  <c r="L1082" i="20" a="1"/>
  <c r="L1082" i="20" s="1"/>
  <c r="D1083" i="20" a="1"/>
  <c r="D1083" i="20" s="1"/>
  <c r="F1083" i="20" a="1"/>
  <c r="F1083" i="20" s="1"/>
  <c r="H1083" i="20" a="1"/>
  <c r="H1083" i="20" s="1"/>
  <c r="B1083" i="20"/>
  <c r="J1083" i="20" a="1"/>
  <c r="J1083" i="20" s="1"/>
  <c r="L1083" i="20" a="1"/>
  <c r="L1083" i="20" s="1"/>
  <c r="B1084" i="20"/>
  <c r="D1084" i="20" a="1"/>
  <c r="D1084" i="20" s="1"/>
  <c r="F1084" i="20" a="1"/>
  <c r="F1084" i="20" s="1"/>
  <c r="H1084" i="20" a="1"/>
  <c r="H1084" i="20" s="1"/>
  <c r="J1084" i="20" a="1"/>
  <c r="J1084" i="20" s="1"/>
  <c r="L1084" i="20" a="1"/>
  <c r="L1084" i="20" s="1"/>
  <c r="D1085" i="20" a="1"/>
  <c r="D1085" i="20" s="1"/>
  <c r="F1085" i="20" a="1"/>
  <c r="F1085" i="20" s="1"/>
  <c r="H1085" i="20" a="1"/>
  <c r="H1085" i="20" s="1"/>
  <c r="B1085" i="20"/>
  <c r="J1085" i="20" a="1"/>
  <c r="J1085" i="20" s="1"/>
  <c r="L1085" i="20" a="1"/>
  <c r="L1085" i="20" s="1"/>
  <c r="B1086" i="20"/>
  <c r="D1086" i="20" a="1"/>
  <c r="D1086" i="20" s="1"/>
  <c r="F1086" i="20" a="1"/>
  <c r="F1086" i="20" s="1"/>
  <c r="H1086" i="20" a="1"/>
  <c r="H1086" i="20" s="1"/>
  <c r="J1086" i="20" a="1"/>
  <c r="J1086" i="20" s="1"/>
  <c r="L1086" i="20" a="1"/>
  <c r="L1086" i="20" s="1"/>
  <c r="D1087" i="20" a="1"/>
  <c r="D1087" i="20" s="1"/>
  <c r="F1087" i="20" a="1"/>
  <c r="F1087" i="20" s="1"/>
  <c r="B1087" i="20"/>
  <c r="H1087" i="20" a="1"/>
  <c r="H1087" i="20" s="1"/>
  <c r="J1087" i="20" a="1"/>
  <c r="J1087" i="20" s="1"/>
  <c r="L1087" i="20" a="1"/>
  <c r="L1087" i="20" s="1"/>
  <c r="D1088" i="20" a="1"/>
  <c r="D1088" i="20" s="1"/>
  <c r="F1088" i="20" a="1"/>
  <c r="F1088" i="20" s="1"/>
  <c r="H1088" i="20" a="1"/>
  <c r="H1088" i="20" s="1"/>
  <c r="B1088" i="20"/>
  <c r="J1088" i="20" a="1"/>
  <c r="J1088" i="20" s="1"/>
  <c r="L1088" i="20" a="1"/>
  <c r="L1088" i="20" s="1"/>
  <c r="B1089" i="20"/>
  <c r="D1089" i="20" a="1"/>
  <c r="D1089" i="20" s="1"/>
  <c r="F1089" i="20" a="1"/>
  <c r="F1089" i="20" s="1"/>
  <c r="H1089" i="20" a="1"/>
  <c r="H1089" i="20" s="1"/>
  <c r="J1089" i="20" a="1"/>
  <c r="J1089" i="20" s="1"/>
  <c r="L1089" i="20" a="1"/>
  <c r="L1089" i="20" s="1"/>
  <c r="D1090" i="20" a="1"/>
  <c r="D1090" i="20" s="1"/>
  <c r="F1090" i="20" a="1"/>
  <c r="F1090" i="20" s="1"/>
  <c r="H1090" i="20" a="1"/>
  <c r="H1090" i="20" s="1"/>
  <c r="B1090" i="20"/>
  <c r="J1090" i="20" a="1"/>
  <c r="J1090" i="20" s="1"/>
  <c r="L1090" i="20" a="1"/>
  <c r="L1090" i="20" s="1"/>
  <c r="B1091" i="20"/>
  <c r="D1091" i="20" a="1"/>
  <c r="D1091" i="20" s="1"/>
  <c r="F1091" i="20" a="1"/>
  <c r="F1091" i="20" s="1"/>
  <c r="H1091" i="20" a="1"/>
  <c r="H1091" i="20" s="1"/>
  <c r="J1091" i="20" a="1"/>
  <c r="J1091" i="20" s="1"/>
  <c r="L1091" i="20" a="1"/>
  <c r="L1091" i="20" s="1"/>
  <c r="D1092" i="20" a="1"/>
  <c r="D1092" i="20" s="1"/>
  <c r="F1092" i="20" a="1"/>
  <c r="F1092" i="20" s="1"/>
  <c r="H1092" i="20" a="1"/>
  <c r="H1092" i="20" s="1"/>
  <c r="B1092" i="20"/>
  <c r="J1092" i="20" a="1"/>
  <c r="J1092" i="20" s="1"/>
  <c r="L1092" i="20" a="1"/>
  <c r="L1092" i="20" s="1"/>
  <c r="B1093" i="20"/>
  <c r="D1093" i="20" a="1"/>
  <c r="D1093" i="20" s="1"/>
  <c r="F1093" i="20" a="1"/>
  <c r="F1093" i="20" s="1"/>
  <c r="H1093" i="20" a="1"/>
  <c r="H1093" i="20" s="1"/>
  <c r="J1093" i="20" a="1"/>
  <c r="J1093" i="20" s="1"/>
  <c r="L1093" i="20" a="1"/>
  <c r="L1093" i="20" s="1"/>
  <c r="D1094" i="20" a="1"/>
  <c r="D1094" i="20" s="1"/>
  <c r="F1094" i="20" a="1"/>
  <c r="F1094" i="20" s="1"/>
  <c r="H1094" i="20" a="1"/>
  <c r="H1094" i="20" s="1"/>
  <c r="B1094" i="20"/>
  <c r="J1094" i="20" a="1"/>
  <c r="J1094" i="20" s="1"/>
  <c r="L1094" i="20" a="1"/>
  <c r="L1094" i="20" s="1"/>
  <c r="B1095" i="20"/>
  <c r="D1095" i="20" a="1"/>
  <c r="D1095" i="20" s="1"/>
  <c r="F1095" i="20" a="1"/>
  <c r="F1095" i="20" s="1"/>
  <c r="H1095" i="20" a="1"/>
  <c r="H1095" i="20" s="1"/>
  <c r="J1095" i="20" a="1"/>
  <c r="J1095" i="20" s="1"/>
  <c r="L1095" i="20" a="1"/>
  <c r="L1095" i="20" s="1"/>
  <c r="D1096" i="20" a="1"/>
  <c r="D1096" i="20" s="1"/>
  <c r="F1096" i="20" a="1"/>
  <c r="F1096" i="20" s="1"/>
  <c r="B1096" i="20"/>
  <c r="H1096" i="20" a="1"/>
  <c r="H1096" i="20" s="1"/>
  <c r="J1096" i="20" a="1"/>
  <c r="J1096" i="20" s="1"/>
  <c r="L1096" i="20" a="1"/>
  <c r="L1096" i="20" s="1"/>
  <c r="B1097" i="20"/>
  <c r="D1097" i="20" a="1"/>
  <c r="D1097" i="20" s="1"/>
  <c r="F1097" i="20" a="1"/>
  <c r="F1097" i="20" s="1"/>
  <c r="H1097" i="20" a="1"/>
  <c r="H1097" i="20" s="1"/>
  <c r="J1097" i="20" a="1"/>
  <c r="J1097" i="20" s="1"/>
  <c r="L1097" i="20" a="1"/>
  <c r="L1097" i="20" s="1"/>
  <c r="D1098" i="20" a="1"/>
  <c r="D1098" i="20" s="1"/>
  <c r="F1098" i="20" a="1"/>
  <c r="F1098" i="20" s="1"/>
  <c r="B1098" i="20"/>
  <c r="H1098" i="20" a="1"/>
  <c r="H1098" i="20" s="1"/>
  <c r="J1098" i="20" a="1"/>
  <c r="J1098" i="20" s="1"/>
  <c r="L1098" i="20" a="1"/>
  <c r="L1098" i="20" s="1"/>
  <c r="B1099" i="20"/>
  <c r="D1099" i="20" a="1"/>
  <c r="D1099" i="20" s="1"/>
  <c r="F1099" i="20" a="1"/>
  <c r="F1099" i="20" s="1"/>
  <c r="H1099" i="20" a="1"/>
  <c r="H1099" i="20" s="1"/>
  <c r="J1099" i="20" a="1"/>
  <c r="J1099" i="20" s="1"/>
  <c r="L1099" i="20" a="1"/>
  <c r="L1099" i="20" s="1"/>
  <c r="D1100" i="20" a="1"/>
  <c r="D1100" i="20" s="1"/>
  <c r="F1100" i="20" a="1"/>
  <c r="F1100" i="20" s="1"/>
  <c r="B1100" i="20"/>
  <c r="H1100" i="20" a="1"/>
  <c r="H1100" i="20" s="1"/>
  <c r="J1100" i="20" a="1"/>
  <c r="J1100" i="20" s="1"/>
  <c r="L1100" i="20" a="1"/>
  <c r="L1100" i="20" s="1"/>
  <c r="D1101" i="20" a="1"/>
  <c r="D1101" i="20" s="1"/>
  <c r="F1101" i="20" a="1"/>
  <c r="F1101" i="20" s="1"/>
  <c r="H1101" i="20" a="1"/>
  <c r="H1101" i="20" s="1"/>
  <c r="B1101" i="20"/>
  <c r="J1101" i="20" a="1"/>
  <c r="J1101" i="20" s="1"/>
  <c r="L1101" i="20" a="1"/>
  <c r="L1101" i="20" s="1"/>
  <c r="B1102" i="20"/>
  <c r="D1102" i="20" a="1"/>
  <c r="D1102" i="20" s="1"/>
  <c r="F1102" i="20" a="1"/>
  <c r="F1102" i="20" s="1"/>
  <c r="H1102" i="20" a="1"/>
  <c r="H1102" i="20" s="1"/>
  <c r="J1102" i="20" a="1"/>
  <c r="J1102" i="20" s="1"/>
  <c r="L1102" i="20" a="1"/>
  <c r="L1102" i="20" s="1"/>
  <c r="D1103" i="20" a="1"/>
  <c r="D1103" i="20" s="1"/>
  <c r="F1103" i="20" a="1"/>
  <c r="F1103" i="20" s="1"/>
  <c r="B1103" i="20"/>
  <c r="H1103" i="20" a="1"/>
  <c r="H1103" i="20" s="1"/>
  <c r="J1103" i="20" a="1"/>
  <c r="J1103" i="20" s="1"/>
  <c r="L1103" i="20" a="1"/>
  <c r="L1103" i="20" s="1"/>
  <c r="D1104" i="20" a="1"/>
  <c r="D1104" i="20" s="1"/>
  <c r="F1104" i="20" a="1"/>
  <c r="F1104" i="20" s="1"/>
  <c r="B1104" i="20"/>
  <c r="H1104" i="20" a="1"/>
  <c r="H1104" i="20" s="1"/>
  <c r="J1104" i="20" a="1"/>
  <c r="J1104" i="20" s="1"/>
  <c r="L1104" i="20" a="1"/>
  <c r="L1104" i="20" s="1"/>
  <c r="B1105" i="20"/>
  <c r="D1105" i="20" a="1"/>
  <c r="D1105" i="20" s="1"/>
  <c r="F1105" i="20" a="1"/>
  <c r="F1105" i="20" s="1"/>
  <c r="H1105" i="20" a="1"/>
  <c r="H1105" i="20" s="1"/>
  <c r="J1105" i="20" a="1"/>
  <c r="J1105" i="20" s="1"/>
  <c r="L1105" i="20" a="1"/>
  <c r="L1105" i="20" s="1"/>
  <c r="D1106" i="20" a="1"/>
  <c r="D1106" i="20" s="1"/>
  <c r="F1106" i="20" a="1"/>
  <c r="F1106" i="20" s="1"/>
  <c r="H1106" i="20" a="1"/>
  <c r="H1106" i="20" s="1"/>
  <c r="B1106" i="20"/>
  <c r="J1106" i="20" a="1"/>
  <c r="J1106" i="20" s="1"/>
  <c r="L1106" i="20" a="1"/>
  <c r="L1106" i="20" s="1"/>
  <c r="B1107" i="20"/>
  <c r="D1107" i="20" a="1"/>
  <c r="D1107" i="20" s="1"/>
  <c r="F1107" i="20" a="1"/>
  <c r="F1107" i="20" s="1"/>
  <c r="H1107" i="20" a="1"/>
  <c r="H1107" i="20" s="1"/>
  <c r="J1107" i="20" a="1"/>
  <c r="J1107" i="20" s="1"/>
  <c r="L1107" i="20" a="1"/>
  <c r="L1107" i="20" s="1"/>
  <c r="D1108" i="20" a="1"/>
  <c r="D1108" i="20" s="1"/>
  <c r="F1108" i="20" a="1"/>
  <c r="F1108" i="20" s="1"/>
  <c r="B1108" i="20"/>
  <c r="H1108" i="20" a="1"/>
  <c r="H1108" i="20" s="1"/>
  <c r="J1108" i="20" a="1"/>
  <c r="J1108" i="20" s="1"/>
  <c r="L1108" i="20" a="1"/>
  <c r="L1108" i="20" s="1"/>
  <c r="D1109" i="20" a="1"/>
  <c r="D1109" i="20" s="1"/>
  <c r="F1109" i="20" a="1"/>
  <c r="F1109" i="20" s="1"/>
  <c r="H1109" i="20" a="1"/>
  <c r="H1109" i="20" s="1"/>
  <c r="B1109" i="20"/>
  <c r="J1109" i="20" a="1"/>
  <c r="J1109" i="20" s="1"/>
  <c r="L1109" i="20" a="1"/>
  <c r="L1109" i="20" s="1"/>
  <c r="B1110" i="20"/>
  <c r="D1110" i="20" a="1"/>
  <c r="D1110" i="20" s="1"/>
  <c r="F1110" i="20" a="1"/>
  <c r="F1110" i="20" s="1"/>
  <c r="H1110" i="20" a="1"/>
  <c r="H1110" i="20" s="1"/>
  <c r="J1110" i="20" a="1"/>
  <c r="J1110" i="20" s="1"/>
  <c r="L1110" i="20" a="1"/>
  <c r="L1110" i="20" s="1"/>
  <c r="D1111" i="20" a="1"/>
  <c r="D1111" i="20" s="1"/>
  <c r="F1111" i="20" a="1"/>
  <c r="F1111" i="20" s="1"/>
  <c r="H1111" i="20" a="1"/>
  <c r="H1111" i="20" s="1"/>
  <c r="B1111" i="20"/>
  <c r="J1111" i="20" a="1"/>
  <c r="J1111" i="20" s="1"/>
  <c r="L1111" i="20" a="1"/>
  <c r="L1111" i="20" s="1"/>
  <c r="D1112" i="20" a="1"/>
  <c r="D1112" i="20" s="1"/>
  <c r="F1112" i="20" a="1"/>
  <c r="F1112" i="20" s="1"/>
  <c r="H1112" i="20" a="1"/>
  <c r="H1112" i="20" s="1"/>
  <c r="B1112" i="20"/>
  <c r="J1112" i="20" a="1"/>
  <c r="J1112" i="20" s="1"/>
  <c r="L1112" i="20" a="1"/>
  <c r="L1112" i="20" s="1"/>
  <c r="D1113" i="20" a="1"/>
  <c r="D1113" i="20" s="1"/>
  <c r="F1113" i="20" a="1"/>
  <c r="F1113" i="20" s="1"/>
  <c r="H1113" i="20" a="1"/>
  <c r="H1113" i="20" s="1"/>
  <c r="B1113" i="20"/>
  <c r="J1113" i="20" a="1"/>
  <c r="J1113" i="20" s="1"/>
  <c r="L1113" i="20" a="1"/>
  <c r="L1113" i="20" s="1"/>
  <c r="B1114" i="20"/>
  <c r="D1114" i="20" a="1"/>
  <c r="D1114" i="20" s="1"/>
  <c r="F1114" i="20" a="1"/>
  <c r="F1114" i="20" s="1"/>
  <c r="H1114" i="20" a="1"/>
  <c r="H1114" i="20" s="1"/>
  <c r="J1114" i="20" a="1"/>
  <c r="J1114" i="20" s="1"/>
  <c r="L1114" i="20" a="1"/>
  <c r="L1114" i="20" s="1"/>
  <c r="D1115" i="20" a="1"/>
  <c r="D1115" i="20" s="1"/>
  <c r="F1115" i="20" a="1"/>
  <c r="F1115" i="20" s="1"/>
  <c r="H1115" i="20" a="1"/>
  <c r="H1115" i="20" s="1"/>
  <c r="B1115" i="20"/>
  <c r="J1115" i="20" a="1"/>
  <c r="J1115" i="20" s="1"/>
  <c r="L1115" i="20" a="1"/>
  <c r="L1115" i="20" s="1"/>
  <c r="D1116" i="20" a="1"/>
  <c r="D1116" i="20" s="1"/>
  <c r="F1116" i="20" a="1"/>
  <c r="F1116" i="20" s="1"/>
  <c r="H1116" i="20" a="1"/>
  <c r="H1116" i="20" s="1"/>
  <c r="B1116" i="20"/>
  <c r="J1116" i="20" a="1"/>
  <c r="J1116" i="20" s="1"/>
  <c r="L1116" i="20" a="1"/>
  <c r="L1116" i="20" s="1"/>
  <c r="B1117" i="20"/>
  <c r="D1117" i="20" a="1"/>
  <c r="D1117" i="20" s="1"/>
  <c r="F1117" i="20" a="1"/>
  <c r="F1117" i="20" s="1"/>
  <c r="H1117" i="20" a="1"/>
  <c r="H1117" i="20" s="1"/>
  <c r="J1117" i="20" a="1"/>
  <c r="J1117" i="20" s="1"/>
  <c r="L1117" i="20" a="1"/>
  <c r="L1117" i="20" s="1"/>
  <c r="D1118" i="20" a="1"/>
  <c r="D1118" i="20" s="1"/>
  <c r="F1118" i="20" a="1"/>
  <c r="F1118" i="20" s="1"/>
  <c r="H1118" i="20" a="1"/>
  <c r="H1118" i="20" s="1"/>
  <c r="B1118" i="20"/>
  <c r="J1118" i="20" a="1"/>
  <c r="J1118" i="20" s="1"/>
  <c r="L1118" i="20" a="1"/>
  <c r="L1118" i="20" s="1"/>
  <c r="D1119" i="20" a="1"/>
  <c r="D1119" i="20" s="1"/>
  <c r="F1119" i="20" a="1"/>
  <c r="F1119" i="20" s="1"/>
  <c r="H1119" i="20" a="1"/>
  <c r="H1119" i="20" s="1"/>
  <c r="B1119" i="20"/>
  <c r="J1119" i="20" a="1"/>
  <c r="J1119" i="20" s="1"/>
  <c r="L1119" i="20" a="1"/>
  <c r="L1119" i="20" s="1"/>
  <c r="B1120" i="20"/>
  <c r="D1120" i="20" a="1"/>
  <c r="D1120" i="20" s="1"/>
  <c r="F1120" i="20" a="1"/>
  <c r="F1120" i="20" s="1"/>
  <c r="H1120" i="20" a="1"/>
  <c r="H1120" i="20" s="1"/>
  <c r="J1120" i="20" a="1"/>
  <c r="J1120" i="20" s="1"/>
  <c r="L1120" i="20" a="1"/>
  <c r="L1120" i="20" s="1"/>
  <c r="D1121" i="20" a="1"/>
  <c r="D1121" i="20" s="1"/>
  <c r="F1121" i="20" a="1"/>
  <c r="F1121" i="20" s="1"/>
  <c r="B1121" i="20"/>
  <c r="H1121" i="20" a="1"/>
  <c r="H1121" i="20" s="1"/>
  <c r="J1121" i="20" a="1"/>
  <c r="J1121" i="20" s="1"/>
  <c r="L1121" i="20" a="1"/>
  <c r="L1121" i="20" s="1"/>
  <c r="B1122" i="20"/>
  <c r="D1122" i="20" a="1"/>
  <c r="D1122" i="20" s="1"/>
  <c r="F1122" i="20" a="1"/>
  <c r="F1122" i="20" s="1"/>
  <c r="H1122" i="20" a="1"/>
  <c r="H1122" i="20" s="1"/>
  <c r="J1122" i="20" a="1"/>
  <c r="J1122" i="20" s="1"/>
  <c r="L1122" i="20" a="1"/>
  <c r="L1122" i="20" s="1"/>
  <c r="D1123" i="20" a="1"/>
  <c r="D1123" i="20" s="1"/>
  <c r="F1123" i="20" a="1"/>
  <c r="F1123" i="20" s="1"/>
  <c r="H1123" i="20" a="1"/>
  <c r="H1123" i="20" s="1"/>
  <c r="B1123" i="20"/>
  <c r="J1123" i="20" a="1"/>
  <c r="J1123" i="20" s="1"/>
  <c r="L1123" i="20" a="1"/>
  <c r="L1123" i="20" s="1"/>
  <c r="D1124" i="20" a="1"/>
  <c r="D1124" i="20" s="1"/>
  <c r="F1124" i="20" a="1"/>
  <c r="F1124" i="20" s="1"/>
  <c r="B1124" i="20"/>
  <c r="H1124" i="20" a="1"/>
  <c r="H1124" i="20" s="1"/>
  <c r="J1124" i="20" a="1"/>
  <c r="J1124" i="20" s="1"/>
  <c r="L1124" i="20" a="1"/>
  <c r="L1124" i="20" s="1"/>
  <c r="B1125" i="20"/>
  <c r="D1125" i="20" a="1"/>
  <c r="D1125" i="20" s="1"/>
  <c r="F1125" i="20" a="1"/>
  <c r="F1125" i="20" s="1"/>
  <c r="H1125" i="20" a="1"/>
  <c r="H1125" i="20" s="1"/>
  <c r="J1125" i="20" a="1"/>
  <c r="J1125" i="20" s="1"/>
  <c r="L1125" i="20" a="1"/>
  <c r="L1125" i="20" s="1"/>
  <c r="D1126" i="20" a="1"/>
  <c r="D1126" i="20" s="1"/>
  <c r="F1126" i="20" a="1"/>
  <c r="F1126" i="20" s="1"/>
  <c r="H1126" i="20" a="1"/>
  <c r="H1126" i="20" s="1"/>
  <c r="B1126" i="20"/>
  <c r="J1126" i="20" a="1"/>
  <c r="J1126" i="20" s="1"/>
  <c r="L1126" i="20" a="1"/>
  <c r="L1126" i="20" s="1"/>
  <c r="D1127" i="20" a="1"/>
  <c r="D1127" i="20" s="1"/>
  <c r="F1127" i="20" a="1"/>
  <c r="F1127" i="20" s="1"/>
  <c r="H1127" i="20" a="1"/>
  <c r="H1127" i="20" s="1"/>
  <c r="B1127" i="20"/>
  <c r="J1127" i="20" a="1"/>
  <c r="J1127" i="20" s="1"/>
  <c r="L1127" i="20" a="1"/>
  <c r="L1127" i="20" s="1"/>
  <c r="D1128" i="20" a="1"/>
  <c r="D1128" i="20" s="1"/>
  <c r="F1128" i="20" a="1"/>
  <c r="F1128" i="20" s="1"/>
  <c r="H1128" i="20" a="1"/>
  <c r="H1128" i="20" s="1"/>
  <c r="B1128" i="20"/>
  <c r="J1128" i="20" a="1"/>
  <c r="J1128" i="20" s="1"/>
  <c r="L1128" i="20" a="1"/>
  <c r="L1128" i="20" s="1"/>
  <c r="B1129" i="20"/>
  <c r="D1129" i="20" a="1"/>
  <c r="D1129" i="20" s="1"/>
  <c r="F1129" i="20" a="1"/>
  <c r="F1129" i="20" s="1"/>
  <c r="H1129" i="20" a="1"/>
  <c r="H1129" i="20" s="1"/>
  <c r="J1129" i="20" a="1"/>
  <c r="J1129" i="20" s="1"/>
  <c r="L1129" i="20" a="1"/>
  <c r="L1129" i="20" s="1"/>
  <c r="D1130" i="20" a="1"/>
  <c r="D1130" i="20" s="1"/>
  <c r="F1130" i="20" a="1"/>
  <c r="F1130" i="20" s="1"/>
  <c r="H1130" i="20" a="1"/>
  <c r="H1130" i="20" s="1"/>
  <c r="B1130" i="20"/>
  <c r="J1130" i="20" a="1"/>
  <c r="J1130" i="20" s="1"/>
  <c r="L1130" i="20" a="1"/>
  <c r="L1130" i="20" s="1"/>
  <c r="D1131" i="20" a="1"/>
  <c r="D1131" i="20" s="1"/>
  <c r="F1131" i="20" a="1"/>
  <c r="F1131" i="20" s="1"/>
  <c r="B1131" i="20"/>
  <c r="H1131" i="20" a="1"/>
  <c r="H1131" i="20" s="1"/>
  <c r="J1131" i="20" a="1"/>
  <c r="J1131" i="20" s="1"/>
  <c r="L1131" i="20" a="1"/>
  <c r="L1131" i="20" s="1"/>
  <c r="B1132" i="20"/>
  <c r="D1132" i="20" a="1"/>
  <c r="D1132" i="20" s="1"/>
  <c r="F1132" i="20" a="1"/>
  <c r="F1132" i="20" s="1"/>
  <c r="H1132" i="20" a="1"/>
  <c r="H1132" i="20" s="1"/>
  <c r="J1132" i="20" a="1"/>
  <c r="J1132" i="20" s="1"/>
  <c r="L1132" i="20" a="1"/>
  <c r="L1132" i="20" s="1"/>
  <c r="D1133" i="20" a="1"/>
  <c r="D1133" i="20" s="1"/>
  <c r="F1133" i="20" a="1"/>
  <c r="F1133" i="20" s="1"/>
  <c r="B1133" i="20"/>
  <c r="H1133" i="20" a="1"/>
  <c r="H1133" i="20" s="1"/>
  <c r="J1133" i="20" a="1"/>
  <c r="J1133" i="20" s="1"/>
  <c r="L1133" i="20" a="1"/>
  <c r="L1133" i="20" s="1"/>
  <c r="D1134" i="20" a="1"/>
  <c r="D1134" i="20" s="1"/>
  <c r="F1134" i="20" a="1"/>
  <c r="F1134" i="20" s="1"/>
  <c r="B1134" i="20"/>
  <c r="H1134" i="20" a="1"/>
  <c r="H1134" i="20" s="1"/>
  <c r="J1134" i="20" a="1"/>
  <c r="J1134" i="20" s="1"/>
  <c r="L1134" i="20" a="1"/>
  <c r="L1134" i="20" s="1"/>
  <c r="D1135" i="20" a="1"/>
  <c r="D1135" i="20" s="1"/>
  <c r="F1135" i="20" a="1"/>
  <c r="F1135" i="20" s="1"/>
  <c r="H1135" i="20" a="1"/>
  <c r="H1135" i="20" s="1"/>
  <c r="B1135" i="20"/>
  <c r="J1135" i="20" a="1"/>
  <c r="J1135" i="20" s="1"/>
  <c r="L1135" i="20" a="1"/>
  <c r="L1135" i="20" s="1"/>
  <c r="D1136" i="20" a="1"/>
  <c r="D1136" i="20" s="1"/>
  <c r="F1136" i="20" a="1"/>
  <c r="F1136" i="20" s="1"/>
  <c r="H1136" i="20" a="1"/>
  <c r="H1136" i="20" s="1"/>
  <c r="B1136" i="20"/>
  <c r="J1136" i="20" a="1"/>
  <c r="J1136" i="20" s="1"/>
  <c r="L1136" i="20" a="1"/>
  <c r="L1136" i="20" s="1"/>
  <c r="B1137" i="20"/>
  <c r="D1137" i="20" a="1"/>
  <c r="D1137" i="20" s="1"/>
  <c r="F1137" i="20" a="1"/>
  <c r="F1137" i="20" s="1"/>
  <c r="H1137" i="20" a="1"/>
  <c r="H1137" i="20" s="1"/>
  <c r="J1137" i="20" a="1"/>
  <c r="J1137" i="20" s="1"/>
  <c r="L1137" i="20" a="1"/>
  <c r="L1137" i="20" s="1"/>
  <c r="D1138" i="20" a="1"/>
  <c r="D1138" i="20" s="1"/>
  <c r="F1138" i="20" a="1"/>
  <c r="F1138" i="20" s="1"/>
  <c r="H1138" i="20" a="1"/>
  <c r="H1138" i="20" s="1"/>
  <c r="B1138" i="20"/>
  <c r="J1138" i="20" a="1"/>
  <c r="J1138" i="20" s="1"/>
  <c r="L1138" i="20" a="1"/>
  <c r="L1138" i="20" s="1"/>
  <c r="B1139" i="20"/>
  <c r="D1139" i="20" a="1"/>
  <c r="D1139" i="20" s="1"/>
  <c r="F1139" i="20" a="1"/>
  <c r="F1139" i="20" s="1"/>
  <c r="H1139" i="20" a="1"/>
  <c r="H1139" i="20" s="1"/>
  <c r="J1139" i="20" a="1"/>
  <c r="J1139" i="20" s="1"/>
  <c r="L1139" i="20" a="1"/>
  <c r="L1139" i="20" s="1"/>
  <c r="B1140" i="20"/>
  <c r="D1140" i="20" a="1"/>
  <c r="D1140" i="20" s="1"/>
  <c r="F1140" i="20" a="1"/>
  <c r="F1140" i="20" s="1"/>
  <c r="H1140" i="20" a="1"/>
  <c r="H1140" i="20" s="1"/>
  <c r="J1140" i="20" a="1"/>
  <c r="J1140" i="20" s="1"/>
  <c r="L1140" i="20" a="1"/>
  <c r="L1140" i="20" s="1"/>
  <c r="D1141" i="20" a="1"/>
  <c r="D1141" i="20" s="1"/>
  <c r="F1141" i="20" a="1"/>
  <c r="F1141" i="20" s="1"/>
  <c r="B1141" i="20"/>
  <c r="H1141" i="20" a="1"/>
  <c r="H1141" i="20" s="1"/>
  <c r="J1141" i="20" a="1"/>
  <c r="J1141" i="20" s="1"/>
  <c r="L1141" i="20" a="1"/>
  <c r="L1141" i="20" s="1"/>
  <c r="B1142" i="20"/>
  <c r="D1142" i="20" a="1"/>
  <c r="D1142" i="20" s="1"/>
  <c r="F1142" i="20" a="1"/>
  <c r="F1142" i="20" s="1"/>
  <c r="H1142" i="20" a="1"/>
  <c r="H1142" i="20" s="1"/>
  <c r="J1142" i="20" a="1"/>
  <c r="J1142" i="20" s="1"/>
  <c r="L1142" i="20" a="1"/>
  <c r="L1142" i="20" s="1"/>
  <c r="D1143" i="20" a="1"/>
  <c r="D1143" i="20" s="1"/>
  <c r="F1143" i="20" a="1"/>
  <c r="F1143" i="20" s="1"/>
  <c r="H1143" i="20" a="1"/>
  <c r="H1143" i="20" s="1"/>
  <c r="B1143" i="20"/>
  <c r="J1143" i="20" a="1"/>
  <c r="J1143" i="20" s="1"/>
  <c r="L1143" i="20" a="1"/>
  <c r="L1143" i="20" s="1"/>
  <c r="B1144" i="20"/>
  <c r="D1144" i="20" a="1"/>
  <c r="D1144" i="20" s="1"/>
  <c r="F1144" i="20" a="1"/>
  <c r="F1144" i="20" s="1"/>
  <c r="H1144" i="20" a="1"/>
  <c r="H1144" i="20" s="1"/>
  <c r="J1144" i="20" a="1"/>
  <c r="J1144" i="20" s="1"/>
  <c r="L1144" i="20" a="1"/>
  <c r="L1144" i="20" s="1"/>
  <c r="D1145" i="20" a="1"/>
  <c r="D1145" i="20" s="1"/>
  <c r="F1145" i="20" a="1"/>
  <c r="F1145" i="20" s="1"/>
  <c r="B1145" i="20"/>
  <c r="H1145" i="20" a="1"/>
  <c r="H1145" i="20" s="1"/>
  <c r="J1145" i="20" a="1"/>
  <c r="J1145" i="20" s="1"/>
  <c r="L1145" i="20" a="1"/>
  <c r="L1145" i="20" s="1"/>
  <c r="B1146" i="20"/>
  <c r="D1146" i="20" a="1"/>
  <c r="D1146" i="20" s="1"/>
  <c r="F1146" i="20" a="1"/>
  <c r="F1146" i="20" s="1"/>
  <c r="H1146" i="20" a="1"/>
  <c r="H1146" i="20" s="1"/>
  <c r="J1146" i="20" a="1"/>
  <c r="J1146" i="20" s="1"/>
  <c r="L1146" i="20" a="1"/>
  <c r="L1146" i="20" s="1"/>
  <c r="D1147" i="20" a="1"/>
  <c r="D1147" i="20" s="1"/>
  <c r="F1147" i="20" a="1"/>
  <c r="F1147" i="20" s="1"/>
  <c r="H1147" i="20" a="1"/>
  <c r="H1147" i="20" s="1"/>
  <c r="B1147" i="20"/>
  <c r="J1147" i="20" a="1"/>
  <c r="J1147" i="20" s="1"/>
  <c r="L1147" i="20" a="1"/>
  <c r="L1147" i="20" s="1"/>
  <c r="D1148" i="20" a="1"/>
  <c r="D1148" i="20" s="1"/>
  <c r="F1148" i="20" a="1"/>
  <c r="F1148" i="20" s="1"/>
  <c r="B1148" i="20"/>
  <c r="H1148" i="20" a="1"/>
  <c r="H1148" i="20" s="1"/>
  <c r="J1148" i="20" a="1"/>
  <c r="J1148" i="20" s="1"/>
  <c r="L1148" i="20" a="1"/>
  <c r="L1148" i="20" s="1"/>
  <c r="B1149" i="20"/>
  <c r="D1149" i="20" a="1"/>
  <c r="D1149" i="20" s="1"/>
  <c r="F1149" i="20" a="1"/>
  <c r="F1149" i="20" s="1"/>
  <c r="H1149" i="20" a="1"/>
  <c r="H1149" i="20" s="1"/>
  <c r="J1149" i="20" a="1"/>
  <c r="J1149" i="20" s="1"/>
  <c r="L1149" i="20" a="1"/>
  <c r="L1149" i="20" s="1"/>
  <c r="D1150" i="20" a="1"/>
  <c r="D1150" i="20" s="1"/>
  <c r="F1150" i="20" a="1"/>
  <c r="F1150" i="20" s="1"/>
  <c r="B1150" i="20"/>
  <c r="H1150" i="20" a="1"/>
  <c r="H1150" i="20" s="1"/>
  <c r="J1150" i="20" a="1"/>
  <c r="J1150" i="20" s="1"/>
  <c r="L1150" i="20" a="1"/>
  <c r="L1150" i="20" s="1"/>
  <c r="B1151" i="20"/>
  <c r="D1151" i="20" a="1"/>
  <c r="D1151" i="20" s="1"/>
  <c r="F1151" i="20" a="1"/>
  <c r="F1151" i="20" s="1"/>
  <c r="H1151" i="20" a="1"/>
  <c r="H1151" i="20" s="1"/>
  <c r="J1151" i="20" a="1"/>
  <c r="J1151" i="20" s="1"/>
  <c r="L1151" i="20" a="1"/>
  <c r="L1151" i="20" s="1"/>
  <c r="B1152" i="20"/>
  <c r="D1152" i="20" a="1"/>
  <c r="D1152" i="20" s="1"/>
  <c r="F1152" i="20" a="1"/>
  <c r="F1152" i="20" s="1"/>
  <c r="H1152" i="20" a="1"/>
  <c r="H1152" i="20" s="1"/>
  <c r="J1152" i="20" a="1"/>
  <c r="J1152" i="20" s="1"/>
  <c r="L1152" i="20" a="1"/>
  <c r="L1152" i="20" s="1"/>
  <c r="D1153" i="20" a="1"/>
  <c r="D1153" i="20" s="1"/>
  <c r="F1153" i="20" a="1"/>
  <c r="F1153" i="20" s="1"/>
  <c r="B1153" i="20"/>
  <c r="H1153" i="20" a="1"/>
  <c r="H1153" i="20" s="1"/>
  <c r="J1153" i="20" a="1"/>
  <c r="J1153" i="20" s="1"/>
  <c r="L1153" i="20" a="1"/>
  <c r="L1153" i="20" s="1"/>
  <c r="B1154" i="20"/>
  <c r="D1154" i="20" a="1"/>
  <c r="D1154" i="20" s="1"/>
  <c r="F1154" i="20" a="1"/>
  <c r="F1154" i="20" s="1"/>
  <c r="H1154" i="20" a="1"/>
  <c r="H1154" i="20" s="1"/>
  <c r="J1154" i="20" a="1"/>
  <c r="J1154" i="20" s="1"/>
  <c r="L1154" i="20" a="1"/>
  <c r="L1154" i="20" s="1"/>
  <c r="D1155" i="20" a="1"/>
  <c r="D1155" i="20" s="1"/>
  <c r="F1155" i="20" a="1"/>
  <c r="F1155" i="20" s="1"/>
  <c r="B1155" i="20"/>
  <c r="H1155" i="20" a="1"/>
  <c r="H1155" i="20" s="1"/>
  <c r="J1155" i="20" a="1"/>
  <c r="J1155" i="20" s="1"/>
  <c r="L1155" i="20" a="1"/>
  <c r="L1155" i="20" s="1"/>
  <c r="D1156" i="20" a="1"/>
  <c r="D1156" i="20" s="1"/>
  <c r="F1156" i="20" a="1"/>
  <c r="F1156" i="20" s="1"/>
  <c r="H1156" i="20" a="1"/>
  <c r="H1156" i="20" s="1"/>
  <c r="B1156" i="20"/>
  <c r="J1156" i="20" a="1"/>
  <c r="J1156" i="20" s="1"/>
  <c r="L1156" i="20" a="1"/>
  <c r="L1156" i="20" s="1"/>
  <c r="B1157" i="20"/>
  <c r="D1157" i="20" a="1"/>
  <c r="D1157" i="20" s="1"/>
  <c r="F1157" i="20" a="1"/>
  <c r="F1157" i="20" s="1"/>
  <c r="H1157" i="20" a="1"/>
  <c r="H1157" i="20" s="1"/>
  <c r="J1157" i="20" a="1"/>
  <c r="J1157" i="20" s="1"/>
  <c r="L1157" i="20" a="1"/>
  <c r="L1157" i="20" s="1"/>
  <c r="D1158" i="20" a="1"/>
  <c r="D1158" i="20" s="1"/>
  <c r="F1158" i="20" a="1"/>
  <c r="F1158" i="20" s="1"/>
  <c r="B1158" i="20"/>
  <c r="H1158" i="20" a="1"/>
  <c r="H1158" i="20" s="1"/>
  <c r="J1158" i="20" a="1"/>
  <c r="J1158" i="20" s="1"/>
  <c r="L1158" i="20" a="1"/>
  <c r="L1158" i="20" s="1"/>
  <c r="D1159" i="20" a="1"/>
  <c r="D1159" i="20" s="1"/>
  <c r="F1159" i="20" a="1"/>
  <c r="F1159" i="20" s="1"/>
  <c r="H1159" i="20" a="1"/>
  <c r="H1159" i="20" s="1"/>
  <c r="B1159" i="20"/>
  <c r="J1159" i="20" a="1"/>
  <c r="J1159" i="20" s="1"/>
  <c r="L1159" i="20" a="1"/>
  <c r="L1159" i="20" s="1"/>
  <c r="D1160" i="20" a="1"/>
  <c r="D1160" i="20" s="1"/>
  <c r="F1160" i="20" a="1"/>
  <c r="F1160" i="20" s="1"/>
  <c r="H1160" i="20" a="1"/>
  <c r="H1160" i="20" s="1"/>
  <c r="B1160" i="20"/>
  <c r="J1160" i="20" a="1"/>
  <c r="J1160" i="20" s="1"/>
  <c r="L1160" i="20" a="1"/>
  <c r="L1160" i="20" s="1"/>
  <c r="B1161" i="20"/>
  <c r="D1161" i="20" a="1"/>
  <c r="D1161" i="20" s="1"/>
  <c r="F1161" i="20" a="1"/>
  <c r="F1161" i="20" s="1"/>
  <c r="H1161" i="20" a="1"/>
  <c r="H1161" i="20" s="1"/>
  <c r="J1161" i="20" a="1"/>
  <c r="J1161" i="20" s="1"/>
  <c r="L1161" i="20" a="1"/>
  <c r="L1161" i="20" s="1"/>
  <c r="D1162" i="20" a="1"/>
  <c r="D1162" i="20" s="1"/>
  <c r="F1162" i="20" a="1"/>
  <c r="F1162" i="20" s="1"/>
  <c r="H1162" i="20" a="1"/>
  <c r="H1162" i="20" s="1"/>
  <c r="B1162" i="20"/>
  <c r="J1162" i="20" a="1"/>
  <c r="J1162" i="20" s="1"/>
  <c r="L1162" i="20" a="1"/>
  <c r="L1162" i="20" s="1"/>
  <c r="B1163" i="20"/>
  <c r="D1163" i="20" a="1"/>
  <c r="D1163" i="20" s="1"/>
  <c r="F1163" i="20" a="1"/>
  <c r="F1163" i="20" s="1"/>
  <c r="H1163" i="20" a="1"/>
  <c r="H1163" i="20" s="1"/>
  <c r="J1163" i="20" a="1"/>
  <c r="J1163" i="20" s="1"/>
  <c r="L1163" i="20" a="1"/>
  <c r="L1163" i="20" s="1"/>
  <c r="D1164" i="20" a="1"/>
  <c r="D1164" i="20" s="1"/>
  <c r="F1164" i="20" a="1"/>
  <c r="F1164" i="20" s="1"/>
  <c r="H1164" i="20" a="1"/>
  <c r="H1164" i="20" s="1"/>
  <c r="B1164" i="20"/>
  <c r="J1164" i="20" a="1"/>
  <c r="J1164" i="20" s="1"/>
  <c r="L1164" i="20" a="1"/>
  <c r="L1164" i="20" s="1"/>
  <c r="D1165" i="20" a="1"/>
  <c r="D1165" i="20" s="1"/>
  <c r="F1165" i="20" a="1"/>
  <c r="F1165" i="20" s="1"/>
  <c r="H1165" i="20" a="1"/>
  <c r="H1165" i="20" s="1"/>
  <c r="B1165" i="20"/>
  <c r="J1165" i="20" a="1"/>
  <c r="J1165" i="20" s="1"/>
  <c r="L1165" i="20" a="1"/>
  <c r="L1165" i="20" s="1"/>
  <c r="B1166" i="20"/>
  <c r="D1166" i="20" a="1"/>
  <c r="D1166" i="20" s="1"/>
  <c r="F1166" i="20" a="1"/>
  <c r="F1166" i="20" s="1"/>
  <c r="H1166" i="20" a="1"/>
  <c r="H1166" i="20" s="1"/>
  <c r="J1166" i="20" a="1"/>
  <c r="J1166" i="20" s="1"/>
  <c r="L1166" i="20" a="1"/>
  <c r="L1166" i="20" s="1"/>
  <c r="D1167" i="20" a="1"/>
  <c r="D1167" i="20" s="1"/>
  <c r="F1167" i="20" a="1"/>
  <c r="F1167" i="20" s="1"/>
  <c r="H1167" i="20" a="1"/>
  <c r="H1167" i="20" s="1"/>
  <c r="B1167" i="20"/>
  <c r="J1167" i="20" a="1"/>
  <c r="J1167" i="20" s="1"/>
  <c r="L1167" i="20" a="1"/>
  <c r="L1167" i="20" s="1"/>
  <c r="D1168" i="20" a="1"/>
  <c r="D1168" i="20" s="1"/>
  <c r="F1168" i="20" a="1"/>
  <c r="F1168" i="20" s="1"/>
  <c r="B1168" i="20"/>
  <c r="H1168" i="20" a="1"/>
  <c r="H1168" i="20" s="1"/>
  <c r="J1168" i="20" a="1"/>
  <c r="J1168" i="20" s="1"/>
  <c r="L1168" i="20" a="1"/>
  <c r="L1168" i="20" s="1"/>
  <c r="B1169" i="20"/>
  <c r="D1169" i="20" a="1"/>
  <c r="D1169" i="20" s="1"/>
  <c r="F1169" i="20" a="1"/>
  <c r="F1169" i="20" s="1"/>
  <c r="H1169" i="20" a="1"/>
  <c r="H1169" i="20" s="1"/>
  <c r="J1169" i="20" a="1"/>
  <c r="J1169" i="20" s="1"/>
  <c r="L1169" i="20" a="1"/>
  <c r="L1169" i="20" s="1"/>
  <c r="D1170" i="20" a="1"/>
  <c r="D1170" i="20" s="1"/>
  <c r="F1170" i="20" a="1"/>
  <c r="F1170" i="20" s="1"/>
  <c r="B1170" i="20"/>
  <c r="H1170" i="20" a="1"/>
  <c r="H1170" i="20" s="1"/>
  <c r="J1170" i="20" a="1"/>
  <c r="J1170" i="20" s="1"/>
  <c r="L1170" i="20" a="1"/>
  <c r="L1170" i="20" s="1"/>
  <c r="B1171" i="20"/>
  <c r="D1171" i="20" a="1"/>
  <c r="D1171" i="20" s="1"/>
  <c r="F1171" i="20" a="1"/>
  <c r="F1171" i="20" s="1"/>
  <c r="H1171" i="20" a="1"/>
  <c r="H1171" i="20" s="1"/>
  <c r="J1171" i="20" a="1"/>
  <c r="J1171" i="20" s="1"/>
  <c r="L1171" i="20" a="1"/>
  <c r="L1171" i="20" s="1"/>
  <c r="D1172" i="20" a="1"/>
  <c r="D1172" i="20" s="1"/>
  <c r="B1172" i="20"/>
  <c r="F1172" i="20" a="1"/>
  <c r="F1172" i="20" s="1"/>
  <c r="H1172" i="20" a="1"/>
  <c r="H1172" i="20" s="1"/>
  <c r="J1172" i="20" a="1"/>
  <c r="J1172" i="20" s="1"/>
  <c r="L1172" i="20" a="1"/>
  <c r="L1172" i="20" s="1"/>
  <c r="D1173" i="20" a="1"/>
  <c r="D1173" i="20" s="1"/>
  <c r="F1173" i="20" a="1"/>
  <c r="F1173" i="20" s="1"/>
  <c r="B1173" i="20"/>
  <c r="H1173" i="20" a="1"/>
  <c r="H1173" i="20" s="1"/>
  <c r="J1173" i="20" a="1"/>
  <c r="J1173" i="20" s="1"/>
  <c r="L1173" i="20" a="1"/>
  <c r="L1173" i="20" s="1"/>
  <c r="D1174" i="20" a="1"/>
  <c r="D1174" i="20" s="1"/>
  <c r="F1174" i="20" a="1"/>
  <c r="F1174" i="20" s="1"/>
  <c r="H1174" i="20" a="1"/>
  <c r="H1174" i="20" s="1"/>
  <c r="B1174" i="20"/>
  <c r="J1174" i="20" a="1"/>
  <c r="J1174" i="20" s="1"/>
  <c r="L1174" i="20" a="1"/>
  <c r="L1174" i="20" s="1"/>
  <c r="B1175" i="20"/>
  <c r="D1175" i="20" a="1"/>
  <c r="D1175" i="20" s="1"/>
  <c r="F1175" i="20" a="1"/>
  <c r="F1175" i="20" s="1"/>
  <c r="H1175" i="20" a="1"/>
  <c r="H1175" i="20" s="1"/>
  <c r="J1175" i="20" a="1"/>
  <c r="J1175" i="20" s="1"/>
  <c r="L1175" i="20" a="1"/>
  <c r="L1175" i="20" s="1"/>
  <c r="D1176" i="20" a="1"/>
  <c r="D1176" i="20" s="1"/>
  <c r="F1176" i="20" a="1"/>
  <c r="F1176" i="20" s="1"/>
  <c r="B1176" i="20"/>
  <c r="H1176" i="20" a="1"/>
  <c r="H1176" i="20" s="1"/>
  <c r="J1176" i="20" a="1"/>
  <c r="J1176" i="20" s="1"/>
  <c r="L1176" i="20" a="1"/>
  <c r="L1176" i="20" s="1"/>
  <c r="D1177" i="20" a="1"/>
  <c r="D1177" i="20" s="1"/>
  <c r="F1177" i="20" a="1"/>
  <c r="F1177" i="20" s="1"/>
  <c r="H1177" i="20" a="1"/>
  <c r="H1177" i="20" s="1"/>
  <c r="B1177" i="20"/>
  <c r="J1177" i="20" a="1"/>
  <c r="J1177" i="20" s="1"/>
  <c r="L1177" i="20" a="1"/>
  <c r="L1177" i="20" s="1"/>
  <c r="B1178" i="20"/>
  <c r="D1178" i="20" a="1"/>
  <c r="D1178" i="20" s="1"/>
  <c r="F1178" i="20" a="1"/>
  <c r="F1178" i="20" s="1"/>
  <c r="H1178" i="20" a="1"/>
  <c r="H1178" i="20" s="1"/>
  <c r="J1178" i="20" a="1"/>
  <c r="J1178" i="20" s="1"/>
  <c r="L1178" i="20" a="1"/>
  <c r="L1178" i="20" s="1"/>
  <c r="D1179" i="20" a="1"/>
  <c r="D1179" i="20" s="1"/>
  <c r="F1179" i="20" a="1"/>
  <c r="F1179" i="20" s="1"/>
  <c r="H1179" i="20" a="1"/>
  <c r="H1179" i="20" s="1"/>
  <c r="B1179" i="20"/>
  <c r="J1179" i="20" a="1"/>
  <c r="J1179" i="20" s="1"/>
  <c r="L1179" i="20" a="1"/>
  <c r="L1179" i="20" s="1"/>
  <c r="D1180" i="20" a="1"/>
  <c r="D1180" i="20" s="1"/>
  <c r="F1180" i="20" a="1"/>
  <c r="F1180" i="20" s="1"/>
  <c r="H1180" i="20" a="1"/>
  <c r="H1180" i="20" s="1"/>
  <c r="B1180" i="20"/>
  <c r="J1180" i="20" a="1"/>
  <c r="J1180" i="20" s="1"/>
  <c r="L1180" i="20" a="1"/>
  <c r="L1180" i="20" s="1"/>
  <c r="D1181" i="20" a="1"/>
  <c r="D1181" i="20" s="1"/>
  <c r="F1181" i="20" a="1"/>
  <c r="F1181" i="20" s="1"/>
  <c r="H1181" i="20" a="1"/>
  <c r="H1181" i="20" s="1"/>
  <c r="B1181" i="20"/>
  <c r="J1181" i="20" a="1"/>
  <c r="J1181" i="20" s="1"/>
  <c r="L1181" i="20" a="1"/>
  <c r="L1181" i="20" s="1"/>
  <c r="B1182" i="20"/>
  <c r="D1182" i="20" a="1"/>
  <c r="D1182" i="20" s="1"/>
  <c r="F1182" i="20" a="1"/>
  <c r="F1182" i="20" s="1"/>
  <c r="H1182" i="20" a="1"/>
  <c r="H1182" i="20" s="1"/>
  <c r="J1182" i="20" a="1"/>
  <c r="J1182" i="20" s="1"/>
  <c r="L1182" i="20" a="1"/>
  <c r="L1182" i="20" s="1"/>
  <c r="D1183" i="20" a="1"/>
  <c r="D1183" i="20" s="1"/>
  <c r="F1183" i="20" a="1"/>
  <c r="F1183" i="20" s="1"/>
  <c r="H1183" i="20" a="1"/>
  <c r="H1183" i="20" s="1"/>
  <c r="B1183" i="20"/>
  <c r="J1183" i="20" a="1"/>
  <c r="J1183" i="20" s="1"/>
  <c r="L1183" i="20" a="1"/>
  <c r="L1183" i="20" s="1"/>
  <c r="D1184" i="20" a="1"/>
  <c r="D1184" i="20" s="1"/>
  <c r="F1184" i="20" a="1"/>
  <c r="F1184" i="20" s="1"/>
  <c r="B1184" i="20"/>
  <c r="H1184" i="20" a="1"/>
  <c r="H1184" i="20" s="1"/>
  <c r="J1184" i="20" a="1"/>
  <c r="J1184" i="20" s="1"/>
  <c r="L1184" i="20" a="1"/>
  <c r="L1184" i="20" s="1"/>
  <c r="B1185" i="20"/>
  <c r="D1185" i="20" a="1"/>
  <c r="D1185" i="20" s="1"/>
  <c r="F1185" i="20" a="1"/>
  <c r="F1185" i="20" s="1"/>
  <c r="H1185" i="20" a="1"/>
  <c r="H1185" i="20" s="1"/>
  <c r="J1185" i="20" a="1"/>
  <c r="J1185" i="20" s="1"/>
  <c r="L1185" i="20" a="1"/>
  <c r="L1185" i="20" s="1"/>
  <c r="D1186" i="20" a="1"/>
  <c r="D1186" i="20" s="1"/>
  <c r="F1186" i="20" a="1"/>
  <c r="F1186" i="20" s="1"/>
  <c r="B1186" i="20"/>
  <c r="H1186" i="20" a="1"/>
  <c r="H1186" i="20" s="1"/>
  <c r="J1186" i="20" a="1"/>
  <c r="J1186" i="20" s="1"/>
  <c r="L1186" i="20" a="1"/>
  <c r="L1186" i="20" s="1"/>
  <c r="B1187" i="20"/>
  <c r="D1187" i="20" a="1"/>
  <c r="D1187" i="20" s="1"/>
  <c r="F1187" i="20" a="1"/>
  <c r="F1187" i="20" s="1"/>
  <c r="H1187" i="20" a="1"/>
  <c r="H1187" i="20" s="1"/>
  <c r="J1187" i="20" a="1"/>
  <c r="J1187" i="20" s="1"/>
  <c r="L1187" i="20" a="1"/>
  <c r="L1187" i="20" s="1"/>
  <c r="D1188" i="20" a="1"/>
  <c r="D1188" i="20" s="1"/>
  <c r="B1188" i="20"/>
  <c r="F1188" i="20" a="1"/>
  <c r="F1188" i="20" s="1"/>
  <c r="H1188" i="20" a="1"/>
  <c r="H1188" i="20" s="1"/>
  <c r="J1188" i="20" a="1"/>
  <c r="J1188" i="20" s="1"/>
  <c r="L1188" i="20" a="1"/>
  <c r="L1188" i="20" s="1"/>
  <c r="D1189" i="20" a="1"/>
  <c r="D1189" i="20" s="1"/>
  <c r="F1189" i="20" a="1"/>
  <c r="F1189" i="20" s="1"/>
  <c r="H1189" i="20" a="1"/>
  <c r="H1189" i="20" s="1"/>
  <c r="B1189" i="20"/>
  <c r="J1189" i="20" a="1"/>
  <c r="J1189" i="20" s="1"/>
  <c r="L1189" i="20" a="1"/>
  <c r="L1189" i="20" s="1"/>
  <c r="B1190" i="20"/>
  <c r="D1190" i="20" a="1"/>
  <c r="D1190" i="20" s="1"/>
  <c r="F1190" i="20" a="1"/>
  <c r="F1190" i="20" s="1"/>
  <c r="H1190" i="20" a="1"/>
  <c r="H1190" i="20" s="1"/>
  <c r="J1190" i="20" a="1"/>
  <c r="J1190" i="20" s="1"/>
  <c r="L1190" i="20" a="1"/>
  <c r="L1190" i="20" s="1"/>
  <c r="D1191" i="20" a="1"/>
  <c r="D1191" i="20" s="1"/>
  <c r="B1191" i="20"/>
  <c r="F1191" i="20" a="1"/>
  <c r="F1191" i="20" s="1"/>
  <c r="H1191" i="20" a="1"/>
  <c r="H1191" i="20" s="1"/>
  <c r="J1191" i="20" a="1"/>
  <c r="J1191" i="20" s="1"/>
  <c r="L1191" i="20" a="1"/>
  <c r="L1191" i="20" s="1"/>
  <c r="D1192" i="20" a="1"/>
  <c r="D1192" i="20" s="1"/>
  <c r="F1192" i="20" a="1"/>
  <c r="F1192" i="20" s="1"/>
  <c r="B1192" i="20"/>
  <c r="H1192" i="20" a="1"/>
  <c r="H1192" i="20" s="1"/>
  <c r="J1192" i="20" a="1"/>
  <c r="J1192" i="20" s="1"/>
  <c r="L1192" i="20" a="1"/>
  <c r="L1192" i="20" s="1"/>
  <c r="B1193" i="20"/>
  <c r="D1193" i="20" a="1"/>
  <c r="D1193" i="20" s="1"/>
  <c r="F1193" i="20" a="1"/>
  <c r="F1193" i="20" s="1"/>
  <c r="H1193" i="20" a="1"/>
  <c r="H1193" i="20" s="1"/>
  <c r="J1193" i="20" a="1"/>
  <c r="J1193" i="20" s="1"/>
  <c r="L1193" i="20" a="1"/>
  <c r="L1193" i="20" s="1"/>
  <c r="B1194" i="20"/>
  <c r="D1194" i="20" a="1"/>
  <c r="D1194" i="20" s="1"/>
  <c r="F1194" i="20" a="1"/>
  <c r="F1194" i="20" s="1"/>
  <c r="H1194" i="20" a="1"/>
  <c r="H1194" i="20" s="1"/>
  <c r="J1194" i="20" a="1"/>
  <c r="J1194" i="20" s="1"/>
  <c r="L1194" i="20" a="1"/>
  <c r="L1194" i="20" s="1"/>
  <c r="D1195" i="20" a="1"/>
  <c r="D1195" i="20" s="1"/>
  <c r="F1195" i="20" a="1"/>
  <c r="F1195" i="20" s="1"/>
  <c r="H1195" i="20" a="1"/>
  <c r="H1195" i="20" s="1"/>
  <c r="B1195" i="20"/>
  <c r="J1195" i="20" a="1"/>
  <c r="J1195" i="20" s="1"/>
  <c r="L1195" i="20" a="1"/>
  <c r="L1195" i="20" s="1"/>
  <c r="B1196" i="20"/>
  <c r="D1196" i="20" a="1"/>
  <c r="D1196" i="20" s="1"/>
  <c r="F1196" i="20" a="1"/>
  <c r="F1196" i="20" s="1"/>
  <c r="H1196" i="20" a="1"/>
  <c r="H1196" i="20" s="1"/>
  <c r="J1196" i="20" a="1"/>
  <c r="J1196" i="20" s="1"/>
  <c r="L1196" i="20" a="1"/>
  <c r="L1196" i="20" s="1"/>
  <c r="D1197" i="20" a="1"/>
  <c r="D1197" i="20" s="1"/>
  <c r="B1197" i="20"/>
  <c r="F1197" i="20" a="1"/>
  <c r="F1197" i="20" s="1"/>
  <c r="H1197" i="20" a="1"/>
  <c r="H1197" i="20" s="1"/>
  <c r="J1197" i="20" a="1"/>
  <c r="J1197" i="20" s="1"/>
  <c r="L1197" i="20" a="1"/>
  <c r="L1197" i="20" s="1"/>
  <c r="D1198" i="20" a="1"/>
  <c r="D1198" i="20" s="1"/>
  <c r="F1198" i="20" a="1"/>
  <c r="F1198" i="20" s="1"/>
  <c r="H1198" i="20" a="1"/>
  <c r="H1198" i="20" s="1"/>
  <c r="B1198" i="20"/>
  <c r="J1198" i="20" a="1"/>
  <c r="J1198" i="20" s="1"/>
  <c r="L1198" i="20" a="1"/>
  <c r="L1198" i="20" s="1"/>
  <c r="B1199" i="20"/>
  <c r="D1199" i="20" a="1"/>
  <c r="D1199" i="20" s="1"/>
  <c r="F1199" i="20" a="1"/>
  <c r="F1199" i="20" s="1"/>
  <c r="H1199" i="20" a="1"/>
  <c r="H1199" i="20" s="1"/>
  <c r="J1199" i="20" a="1"/>
  <c r="J1199" i="20" s="1"/>
  <c r="L1199" i="20" a="1"/>
  <c r="L1199" i="20" s="1"/>
  <c r="D1200" i="20" a="1"/>
  <c r="D1200" i="20" s="1"/>
  <c r="F1200" i="20" a="1"/>
  <c r="F1200" i="20" s="1"/>
  <c r="B1200" i="20"/>
  <c r="H1200" i="20" a="1"/>
  <c r="H1200" i="20" s="1"/>
  <c r="J1200" i="20" a="1"/>
  <c r="J1200" i="20" s="1"/>
  <c r="L1200" i="20" a="1"/>
  <c r="L1200" i="20" s="1"/>
  <c r="D1201" i="20" a="1"/>
  <c r="D1201" i="20" s="1"/>
  <c r="F1201" i="20" a="1"/>
  <c r="F1201" i="20" s="1"/>
  <c r="H1201" i="20" a="1"/>
  <c r="H1201" i="20" s="1"/>
  <c r="B1201" i="20"/>
  <c r="J1201" i="20" a="1"/>
  <c r="J1201" i="20" s="1"/>
  <c r="L1201" i="20" a="1"/>
  <c r="L1201" i="20" s="1"/>
  <c r="B1202" i="20"/>
  <c r="D1202" i="20" a="1"/>
  <c r="D1202" i="20" s="1"/>
  <c r="F1202" i="20" a="1"/>
  <c r="F1202" i="20" s="1"/>
  <c r="H1202" i="20" a="1"/>
  <c r="H1202" i="20" s="1"/>
  <c r="J1202" i="20" a="1"/>
  <c r="J1202" i="20" s="1"/>
  <c r="L1202" i="20" a="1"/>
  <c r="L1202" i="20" s="1"/>
  <c r="D1203" i="20" a="1"/>
  <c r="D1203" i="20" s="1"/>
  <c r="F1203" i="20" a="1"/>
  <c r="F1203" i="20" s="1"/>
  <c r="H1203" i="20" a="1"/>
  <c r="H1203" i="20" s="1"/>
  <c r="B1203" i="20"/>
  <c r="J1203" i="20" a="1"/>
  <c r="J1203" i="20" s="1"/>
  <c r="L1203" i="20" a="1"/>
  <c r="L1203" i="20" s="1"/>
  <c r="D1204" i="20" a="1"/>
  <c r="D1204" i="20" s="1"/>
  <c r="F1204" i="20" a="1"/>
  <c r="F1204" i="20" s="1"/>
  <c r="H1204" i="20" a="1"/>
  <c r="H1204" i="20" s="1"/>
  <c r="B1204" i="20"/>
  <c r="J1204" i="20" a="1"/>
  <c r="J1204" i="20" s="1"/>
  <c r="L1204" i="20" a="1"/>
  <c r="L1204" i="20" s="1"/>
  <c r="D1205" i="20" a="1"/>
  <c r="D1205" i="20" s="1"/>
  <c r="F1205" i="20" a="1"/>
  <c r="F1205" i="20" s="1"/>
  <c r="H1205" i="20" a="1"/>
  <c r="H1205" i="20" s="1"/>
  <c r="B1205" i="20"/>
  <c r="J1205" i="20" a="1"/>
  <c r="J1205" i="20" s="1"/>
  <c r="L1205" i="20" a="1"/>
  <c r="L1205" i="20" s="1"/>
  <c r="D1206" i="20" a="1"/>
  <c r="D1206" i="20" s="1"/>
  <c r="F1206" i="20" a="1"/>
  <c r="F1206" i="20" s="1"/>
  <c r="H1206" i="20" a="1"/>
  <c r="H1206" i="20" s="1"/>
  <c r="B1206" i="20"/>
  <c r="J1206" i="20" a="1"/>
  <c r="J1206" i="20" s="1"/>
  <c r="L1206" i="20" a="1"/>
  <c r="L1206" i="20" s="1"/>
  <c r="B1207" i="20"/>
  <c r="D1207" i="20" a="1"/>
  <c r="D1207" i="20" s="1"/>
  <c r="F1207" i="20" a="1"/>
  <c r="F1207" i="20" s="1"/>
  <c r="H1207" i="20" a="1"/>
  <c r="H1207" i="20" s="1"/>
  <c r="J1207" i="20" a="1"/>
  <c r="J1207" i="20" s="1"/>
  <c r="L1207" i="20" a="1"/>
  <c r="L1207" i="20" s="1"/>
  <c r="D1208" i="20" a="1"/>
  <c r="D1208" i="20" s="1"/>
  <c r="B1208" i="20"/>
  <c r="F1208" i="20" a="1"/>
  <c r="F1208" i="20" s="1"/>
  <c r="H1208" i="20" a="1"/>
  <c r="H1208" i="20" s="1"/>
  <c r="J1208" i="20" a="1"/>
  <c r="J1208" i="20" s="1"/>
  <c r="L1208" i="20" a="1"/>
  <c r="L1208" i="20" s="1"/>
  <c r="B1209" i="20"/>
  <c r="D1209" i="20" a="1"/>
  <c r="D1209" i="20" s="1"/>
  <c r="F1209" i="20" a="1"/>
  <c r="F1209" i="20" s="1"/>
  <c r="H1209" i="20" a="1"/>
  <c r="H1209" i="20" s="1"/>
  <c r="J1209" i="20" a="1"/>
  <c r="J1209" i="20" s="1"/>
  <c r="L1209" i="20" a="1"/>
  <c r="L1209" i="20" s="1"/>
  <c r="D1210" i="20" a="1"/>
  <c r="D1210" i="20" s="1"/>
  <c r="B1210" i="20"/>
  <c r="F1210" i="20" a="1"/>
  <c r="F1210" i="20" s="1"/>
  <c r="H1210" i="20" a="1"/>
  <c r="H1210" i="20" s="1"/>
  <c r="J1210" i="20" a="1"/>
  <c r="J1210" i="20" s="1"/>
  <c r="L1210" i="20" a="1"/>
  <c r="L1210" i="20" s="1"/>
  <c r="B1211" i="20"/>
  <c r="D1211" i="20" a="1"/>
  <c r="D1211" i="20" s="1"/>
  <c r="F1211" i="20" a="1"/>
  <c r="F1211" i="20" s="1"/>
  <c r="H1211" i="20" a="1"/>
  <c r="H1211" i="20" s="1"/>
  <c r="J1211" i="20" a="1"/>
  <c r="J1211" i="20" s="1"/>
  <c r="L1211" i="20" a="1"/>
  <c r="L1211" i="20" s="1"/>
  <c r="D1212" i="20" a="1"/>
  <c r="D1212" i="20" s="1"/>
  <c r="F1212" i="20" a="1"/>
  <c r="F1212" i="20" s="1"/>
  <c r="H1212" i="20" a="1"/>
  <c r="H1212" i="20" s="1"/>
  <c r="B1212" i="20"/>
  <c r="J1212" i="20" a="1"/>
  <c r="J1212" i="20" s="1"/>
  <c r="L1212" i="20" a="1"/>
  <c r="L1212" i="20" s="1"/>
  <c r="D1213" i="20" a="1"/>
  <c r="D1213" i="20" s="1"/>
  <c r="F1213" i="20" a="1"/>
  <c r="F1213" i="20" s="1"/>
  <c r="H1213" i="20" a="1"/>
  <c r="H1213" i="20" s="1"/>
  <c r="B1213" i="20"/>
  <c r="J1213" i="20" a="1"/>
  <c r="J1213" i="20" s="1"/>
  <c r="L1213" i="20" a="1"/>
  <c r="L1213" i="20" s="1"/>
  <c r="B1214" i="20"/>
  <c r="D1214" i="20" a="1"/>
  <c r="D1214" i="20" s="1"/>
  <c r="F1214" i="20" a="1"/>
  <c r="F1214" i="20" s="1"/>
  <c r="H1214" i="20" a="1"/>
  <c r="H1214" i="20" s="1"/>
  <c r="J1214" i="20" a="1"/>
  <c r="J1214" i="20" s="1"/>
  <c r="L1214" i="20" a="1"/>
  <c r="L1214" i="20" s="1"/>
  <c r="D1215" i="20" a="1"/>
  <c r="D1215" i="20" s="1"/>
  <c r="F1215" i="20" a="1"/>
  <c r="F1215" i="20" s="1"/>
  <c r="H1215" i="20" a="1"/>
  <c r="H1215" i="20" s="1"/>
  <c r="B1215" i="20"/>
  <c r="J1215" i="20" a="1"/>
  <c r="J1215" i="20" s="1"/>
  <c r="L1215" i="20" a="1"/>
  <c r="L1215" i="20" s="1"/>
  <c r="D1216" i="20" a="1"/>
  <c r="D1216" i="20" s="1"/>
  <c r="F1216" i="20" a="1"/>
  <c r="F1216" i="20" s="1"/>
  <c r="H1216" i="20" a="1"/>
  <c r="H1216" i="20" s="1"/>
  <c r="B1216" i="20"/>
  <c r="J1216" i="20" a="1"/>
  <c r="J1216" i="20" s="1"/>
  <c r="L1216" i="20" a="1"/>
  <c r="L1216" i="20" s="1"/>
  <c r="D1217" i="20" a="1"/>
  <c r="D1217" i="20" s="1"/>
  <c r="F1217" i="20" a="1"/>
  <c r="F1217" i="20" s="1"/>
  <c r="H1217" i="20" a="1"/>
  <c r="H1217" i="20" s="1"/>
  <c r="B1217" i="20"/>
  <c r="J1217" i="20" a="1"/>
  <c r="J1217" i="20" s="1"/>
  <c r="L1217" i="20" a="1"/>
  <c r="L1217" i="20" s="1"/>
  <c r="B1218" i="20"/>
  <c r="D1218" i="20" a="1"/>
  <c r="D1218" i="20" s="1"/>
  <c r="F1218" i="20" a="1"/>
  <c r="F1218" i="20" s="1"/>
  <c r="H1218" i="20" a="1"/>
  <c r="H1218" i="20" s="1"/>
  <c r="J1218" i="20" a="1"/>
  <c r="J1218" i="20" s="1"/>
  <c r="L1218" i="20" a="1"/>
  <c r="L1218" i="20" s="1"/>
  <c r="D1219" i="20" a="1"/>
  <c r="D1219" i="20" s="1"/>
  <c r="B1219" i="20"/>
  <c r="F1219" i="20" a="1"/>
  <c r="F1219" i="20" s="1"/>
  <c r="H1219" i="20" a="1"/>
  <c r="H1219" i="20" s="1"/>
  <c r="J1219" i="20" a="1"/>
  <c r="J1219" i="20" s="1"/>
  <c r="L1219" i="20" a="1"/>
  <c r="L1219" i="20" s="1"/>
  <c r="D1220" i="20" a="1"/>
  <c r="D1220" i="20" s="1"/>
  <c r="B1220" i="20"/>
  <c r="F1220" i="20" a="1"/>
  <c r="F1220" i="20" s="1"/>
  <c r="H1220" i="20" a="1"/>
  <c r="H1220" i="20" s="1"/>
  <c r="J1220" i="20" a="1"/>
  <c r="J1220" i="20" s="1"/>
  <c r="L1220" i="20" a="1"/>
  <c r="L1220" i="20" s="1"/>
  <c r="D1221" i="20" a="1"/>
  <c r="D1221" i="20" s="1"/>
  <c r="B1221" i="20"/>
  <c r="F1221" i="20" a="1"/>
  <c r="F1221" i="20" s="1"/>
  <c r="H1221" i="20" a="1"/>
  <c r="H1221" i="20" s="1"/>
  <c r="J1221" i="20" a="1"/>
  <c r="J1221" i="20" s="1"/>
  <c r="L1221" i="20" a="1"/>
  <c r="L1221" i="20" s="1"/>
  <c r="D1222" i="20" a="1"/>
  <c r="D1222" i="20" s="1"/>
  <c r="F1222" i="20" a="1"/>
  <c r="F1222" i="20" s="1"/>
  <c r="H1222" i="20" a="1"/>
  <c r="H1222" i="20" s="1"/>
  <c r="B1222" i="20"/>
  <c r="J1222" i="20" a="1"/>
  <c r="J1222" i="20" s="1"/>
  <c r="L1222" i="20" a="1"/>
  <c r="L1222" i="20" s="1"/>
  <c r="B1223" i="20"/>
  <c r="D1223" i="20" a="1"/>
  <c r="D1223" i="20" s="1"/>
  <c r="F1223" i="20" a="1"/>
  <c r="F1223" i="20" s="1"/>
  <c r="H1223" i="20" a="1"/>
  <c r="H1223" i="20" s="1"/>
  <c r="J1223" i="20" a="1"/>
  <c r="J1223" i="20" s="1"/>
  <c r="L1223" i="20" a="1"/>
  <c r="L1223" i="20" s="1"/>
  <c r="B1224" i="20"/>
  <c r="D1224" i="20" a="1"/>
  <c r="D1224" i="20" s="1"/>
  <c r="F1224" i="20" a="1"/>
  <c r="F1224" i="20" s="1"/>
  <c r="H1224" i="20" a="1"/>
  <c r="H1224" i="20" s="1"/>
  <c r="J1224" i="20" a="1"/>
  <c r="J1224" i="20" s="1"/>
  <c r="L1224" i="20" a="1"/>
  <c r="L1224" i="20" s="1"/>
  <c r="D1225" i="20" a="1"/>
  <c r="D1225" i="20" s="1"/>
  <c r="F1225" i="20" a="1"/>
  <c r="F1225" i="20" s="1"/>
  <c r="H1225" i="20" a="1"/>
  <c r="H1225" i="20" s="1"/>
  <c r="B1225" i="20"/>
  <c r="J1225" i="20" a="1"/>
  <c r="J1225" i="20" s="1"/>
  <c r="L1225" i="20" a="1"/>
  <c r="L1225" i="20" s="1"/>
  <c r="D1226" i="20" a="1"/>
  <c r="D1226" i="20" s="1"/>
  <c r="B1226" i="20"/>
  <c r="F1226" i="20" a="1"/>
  <c r="F1226" i="20" s="1"/>
  <c r="H1226" i="20" a="1"/>
  <c r="H1226" i="20" s="1"/>
  <c r="J1226" i="20" a="1"/>
  <c r="J1226" i="20" s="1"/>
  <c r="L1226" i="20" a="1"/>
  <c r="L1226" i="20" s="1"/>
  <c r="B1227" i="20"/>
  <c r="D1227" i="20" a="1"/>
  <c r="D1227" i="20" s="1"/>
  <c r="F1227" i="20" a="1"/>
  <c r="F1227" i="20" s="1"/>
  <c r="H1227" i="20" a="1"/>
  <c r="H1227" i="20" s="1"/>
  <c r="J1227" i="20" a="1"/>
  <c r="J1227" i="20" s="1"/>
  <c r="L1227" i="20" a="1"/>
  <c r="L1227" i="20" s="1"/>
  <c r="B1228" i="20"/>
  <c r="D1228" i="20" a="1"/>
  <c r="D1228" i="20" s="1"/>
  <c r="F1228" i="20" a="1"/>
  <c r="F1228" i="20" s="1"/>
  <c r="H1228" i="20" a="1"/>
  <c r="H1228" i="20" s="1"/>
  <c r="J1228" i="20" a="1"/>
  <c r="J1228" i="20" s="1"/>
  <c r="L1228" i="20" a="1"/>
  <c r="L1228" i="20" s="1"/>
  <c r="D1229" i="20" a="1"/>
  <c r="D1229" i="20" s="1"/>
  <c r="F1229" i="20" a="1"/>
  <c r="F1229" i="20" s="1"/>
  <c r="H1229" i="20" a="1"/>
  <c r="H1229" i="20" s="1"/>
  <c r="B1229" i="20"/>
  <c r="J1229" i="20" a="1"/>
  <c r="J1229" i="20" s="1"/>
  <c r="L1229" i="20" a="1"/>
  <c r="L1229" i="20" s="1"/>
  <c r="B1230" i="20"/>
  <c r="D1230" i="20" a="1"/>
  <c r="D1230" i="20" s="1"/>
  <c r="F1230" i="20" a="1"/>
  <c r="F1230" i="20" s="1"/>
  <c r="H1230" i="20" a="1"/>
  <c r="H1230" i="20" s="1"/>
  <c r="J1230" i="20" a="1"/>
  <c r="J1230" i="20" s="1"/>
  <c r="L1230" i="20" a="1"/>
  <c r="L1230" i="20" s="1"/>
  <c r="D1231" i="20" a="1"/>
  <c r="D1231" i="20" s="1"/>
  <c r="F1231" i="20" a="1"/>
  <c r="F1231" i="20" s="1"/>
  <c r="H1231" i="20" a="1"/>
  <c r="H1231" i="20" s="1"/>
  <c r="B1231" i="20"/>
  <c r="J1231" i="20" a="1"/>
  <c r="J1231" i="20" s="1"/>
  <c r="L1231" i="20" a="1"/>
  <c r="L1231" i="20" s="1"/>
  <c r="B1232" i="20"/>
  <c r="D1232" i="20" a="1"/>
  <c r="D1232" i="20" s="1"/>
  <c r="F1232" i="20" a="1"/>
  <c r="F1232" i="20" s="1"/>
  <c r="H1232" i="20" a="1"/>
  <c r="H1232" i="20" s="1"/>
  <c r="J1232" i="20" a="1"/>
  <c r="J1232" i="20" s="1"/>
  <c r="L1232" i="20" a="1"/>
  <c r="L1232" i="20" s="1"/>
  <c r="D1233" i="20" a="1"/>
  <c r="D1233" i="20" s="1"/>
  <c r="F1233" i="20" a="1"/>
  <c r="F1233" i="20" s="1"/>
  <c r="H1233" i="20" a="1"/>
  <c r="H1233" i="20" s="1"/>
  <c r="B1233" i="20"/>
  <c r="J1233" i="20" a="1"/>
  <c r="J1233" i="20" s="1"/>
  <c r="L1233" i="20" a="1"/>
  <c r="L1233" i="20" s="1"/>
  <c r="B1234" i="20"/>
  <c r="D1234" i="20" a="1"/>
  <c r="D1234" i="20" s="1"/>
  <c r="F1234" i="20" a="1"/>
  <c r="F1234" i="20" s="1"/>
  <c r="H1234" i="20" a="1"/>
  <c r="H1234" i="20" s="1"/>
  <c r="J1234" i="20" a="1"/>
  <c r="J1234" i="20" s="1"/>
  <c r="L1234" i="20" a="1"/>
  <c r="L1234" i="20" s="1"/>
  <c r="D1235" i="20" a="1"/>
  <c r="D1235" i="20" s="1"/>
  <c r="B1235" i="20"/>
  <c r="F1235" i="20" a="1"/>
  <c r="F1235" i="20" s="1"/>
  <c r="H1235" i="20" a="1"/>
  <c r="H1235" i="20" s="1"/>
  <c r="J1235" i="20" a="1"/>
  <c r="J1235" i="20" s="1"/>
  <c r="L1235" i="20" a="1"/>
  <c r="L1235" i="20" s="1"/>
  <c r="D1236" i="20" a="1"/>
  <c r="D1236" i="20" s="1"/>
  <c r="F1236" i="20" a="1"/>
  <c r="F1236" i="20" s="1"/>
  <c r="H1236" i="20" a="1"/>
  <c r="H1236" i="20" s="1"/>
  <c r="B1236" i="20"/>
  <c r="J1236" i="20" a="1"/>
  <c r="J1236" i="20" s="1"/>
  <c r="L1236" i="20" a="1"/>
  <c r="L1236" i="20" s="1"/>
  <c r="B1237" i="20"/>
  <c r="D1237" i="20" a="1"/>
  <c r="D1237" i="20" s="1"/>
  <c r="F1237" i="20" a="1"/>
  <c r="F1237" i="20" s="1"/>
  <c r="H1237" i="20" a="1"/>
  <c r="H1237" i="20" s="1"/>
  <c r="J1237" i="20" a="1"/>
  <c r="J1237" i="20" s="1"/>
  <c r="L1237" i="20" a="1"/>
  <c r="L1237" i="20" s="1"/>
  <c r="D1238" i="20" a="1"/>
  <c r="D1238" i="20" s="1"/>
  <c r="F1238" i="20" a="1"/>
  <c r="F1238" i="20" s="1"/>
  <c r="H1238" i="20" a="1"/>
  <c r="H1238" i="20" s="1"/>
  <c r="B1238" i="20"/>
  <c r="J1238" i="20" a="1"/>
  <c r="J1238" i="20" s="1"/>
  <c r="L1238" i="20" a="1"/>
  <c r="L1238" i="20" s="1"/>
  <c r="B1239" i="20"/>
  <c r="D1239" i="20" a="1"/>
  <c r="D1239" i="20" s="1"/>
  <c r="F1239" i="20" a="1"/>
  <c r="F1239" i="20" s="1"/>
  <c r="H1239" i="20" a="1"/>
  <c r="H1239" i="20" s="1"/>
  <c r="J1239" i="20" a="1"/>
  <c r="J1239" i="20" s="1"/>
  <c r="L1239" i="20" a="1"/>
  <c r="L1239" i="20" s="1"/>
  <c r="B1240" i="20"/>
  <c r="D1240" i="20" a="1"/>
  <c r="D1240" i="20" s="1"/>
  <c r="F1240" i="20" a="1"/>
  <c r="F1240" i="20" s="1"/>
  <c r="H1240" i="20" a="1"/>
  <c r="H1240" i="20" s="1"/>
  <c r="J1240" i="20" a="1"/>
  <c r="J1240" i="20" s="1"/>
  <c r="L1240" i="20" a="1"/>
  <c r="L1240" i="20" s="1"/>
  <c r="D1241" i="20" a="1"/>
  <c r="D1241" i="20" s="1"/>
  <c r="F1241" i="20" a="1"/>
  <c r="F1241" i="20" s="1"/>
  <c r="H1241" i="20" a="1"/>
  <c r="H1241" i="20" s="1"/>
  <c r="B1241" i="20"/>
  <c r="J1241" i="20" a="1"/>
  <c r="J1241" i="20" s="1"/>
  <c r="L1241" i="20" a="1"/>
  <c r="L1241" i="20" s="1"/>
  <c r="B1242" i="20"/>
  <c r="D1242" i="20" a="1"/>
  <c r="D1242" i="20" s="1"/>
  <c r="F1242" i="20" a="1"/>
  <c r="F1242" i="20" s="1"/>
  <c r="H1242" i="20" a="1"/>
  <c r="H1242" i="20" s="1"/>
  <c r="J1242" i="20" a="1"/>
  <c r="J1242" i="20" s="1"/>
  <c r="L1242" i="20" a="1"/>
  <c r="L1242" i="20" s="1"/>
  <c r="D1243" i="20" a="1"/>
  <c r="D1243" i="20" s="1"/>
  <c r="B1243" i="20"/>
  <c r="F1243" i="20" a="1"/>
  <c r="F1243" i="20" s="1"/>
  <c r="H1243" i="20" a="1"/>
  <c r="H1243" i="20" s="1"/>
  <c r="J1243" i="20" a="1"/>
  <c r="J1243" i="20" s="1"/>
  <c r="L1243" i="20" a="1"/>
  <c r="L1243" i="20" s="1"/>
  <c r="D1244" i="20" a="1"/>
  <c r="D1244" i="20" s="1"/>
  <c r="F1244" i="20" a="1"/>
  <c r="F1244" i="20" s="1"/>
  <c r="H1244" i="20" a="1"/>
  <c r="H1244" i="20" s="1"/>
  <c r="B1244" i="20"/>
  <c r="J1244" i="20" a="1"/>
  <c r="J1244" i="20" s="1"/>
  <c r="L1244" i="20" a="1"/>
  <c r="L1244" i="20" s="1"/>
  <c r="B1245" i="20"/>
  <c r="D1245" i="20" a="1"/>
  <c r="D1245" i="20" s="1"/>
  <c r="F1245" i="20" a="1"/>
  <c r="F1245" i="20" s="1"/>
  <c r="H1245" i="20" a="1"/>
  <c r="H1245" i="20" s="1"/>
  <c r="J1245" i="20" a="1"/>
  <c r="J1245" i="20" s="1"/>
  <c r="L1245" i="20" a="1"/>
  <c r="L1245" i="20" s="1"/>
  <c r="D1246" i="20" a="1"/>
  <c r="D1246" i="20" s="1"/>
  <c r="F1246" i="20" a="1"/>
  <c r="F1246" i="20" s="1"/>
  <c r="H1246" i="20" a="1"/>
  <c r="H1246" i="20" s="1"/>
  <c r="B1246" i="20"/>
  <c r="J1246" i="20" a="1"/>
  <c r="J1246" i="20" s="1"/>
  <c r="L1246" i="20" a="1"/>
  <c r="L1246" i="20" s="1"/>
  <c r="B1247" i="20"/>
  <c r="D1247" i="20" a="1"/>
  <c r="D1247" i="20" s="1"/>
  <c r="F1247" i="20" a="1"/>
  <c r="F1247" i="20" s="1"/>
  <c r="H1247" i="20" a="1"/>
  <c r="H1247" i="20" s="1"/>
  <c r="J1247" i="20" a="1"/>
  <c r="J1247" i="20" s="1"/>
  <c r="L1247" i="20" a="1"/>
  <c r="L1247" i="20" s="1"/>
  <c r="B1248" i="20"/>
  <c r="D1248" i="20" a="1"/>
  <c r="D1248" i="20" s="1"/>
  <c r="F1248" i="20" a="1"/>
  <c r="F1248" i="20" s="1"/>
  <c r="H1248" i="20" a="1"/>
  <c r="H1248" i="20" s="1"/>
  <c r="J1248" i="20" a="1"/>
  <c r="J1248" i="20" s="1"/>
  <c r="L1248" i="20" a="1"/>
  <c r="L1248" i="20" s="1"/>
  <c r="D1249" i="20" a="1"/>
  <c r="D1249" i="20" s="1"/>
  <c r="B1249" i="20"/>
  <c r="F1249" i="20" a="1"/>
  <c r="F1249" i="20" s="1"/>
  <c r="H1249" i="20" a="1"/>
  <c r="H1249" i="20" s="1"/>
  <c r="J1249" i="20" a="1"/>
  <c r="J1249" i="20" s="1"/>
  <c r="L1249" i="20" a="1"/>
  <c r="L1249" i="20" s="1"/>
  <c r="B1250" i="20"/>
  <c r="D1250" i="20" a="1"/>
  <c r="D1250" i="20" s="1"/>
  <c r="F1250" i="20" a="1"/>
  <c r="F1250" i="20" s="1"/>
  <c r="H1250" i="20" a="1"/>
  <c r="H1250" i="20" s="1"/>
  <c r="J1250" i="20" a="1"/>
  <c r="J1250" i="20" s="1"/>
  <c r="L1250" i="20" a="1"/>
  <c r="L1250" i="20" s="1"/>
  <c r="D1251" i="20" a="1"/>
  <c r="D1251" i="20" s="1"/>
  <c r="B1251" i="20"/>
  <c r="F1251" i="20" a="1"/>
  <c r="F1251" i="20" s="1"/>
  <c r="H1251" i="20" a="1"/>
  <c r="H1251" i="20" s="1"/>
  <c r="J1251" i="20" a="1"/>
  <c r="J1251" i="20" s="1"/>
  <c r="L1251" i="20" a="1"/>
  <c r="L1251" i="20" s="1"/>
  <c r="B1252" i="20"/>
  <c r="D1252" i="20" a="1"/>
  <c r="D1252" i="20" s="1"/>
  <c r="F1252" i="20" a="1"/>
  <c r="F1252" i="20" s="1"/>
  <c r="H1252" i="20" a="1"/>
  <c r="H1252" i="20" s="1"/>
  <c r="J1252" i="20" a="1"/>
  <c r="J1252" i="20" s="1"/>
  <c r="L1252" i="20" a="1"/>
  <c r="L1252" i="20" s="1"/>
  <c r="D1253" i="20" a="1"/>
  <c r="D1253" i="20" s="1"/>
  <c r="F1253" i="20" a="1"/>
  <c r="F1253" i="20" s="1"/>
  <c r="H1253" i="20" a="1"/>
  <c r="H1253" i="20" s="1"/>
  <c r="B1253" i="20"/>
  <c r="J1253" i="20" a="1"/>
  <c r="J1253" i="20" s="1"/>
  <c r="L1253" i="20" a="1"/>
  <c r="L1253" i="20" s="1"/>
  <c r="B1254" i="20"/>
  <c r="D1254" i="20" a="1"/>
  <c r="D1254" i="20" s="1"/>
  <c r="F1254" i="20" a="1"/>
  <c r="F1254" i="20" s="1"/>
  <c r="H1254" i="20" a="1"/>
  <c r="H1254" i="20" s="1"/>
  <c r="J1254" i="20" a="1"/>
  <c r="J1254" i="20" s="1"/>
  <c r="L1254" i="20" a="1"/>
  <c r="L1254" i="20" s="1"/>
  <c r="D1255" i="20" a="1"/>
  <c r="D1255" i="20" s="1"/>
  <c r="B1255" i="20"/>
  <c r="F1255" i="20" a="1"/>
  <c r="F1255" i="20" s="1"/>
  <c r="H1255" i="20" a="1"/>
  <c r="H1255" i="20" s="1"/>
  <c r="J1255" i="20" a="1"/>
  <c r="J1255" i="20" s="1"/>
  <c r="L1255" i="20" a="1"/>
  <c r="L1255" i="20" s="1"/>
  <c r="D1256" i="20" a="1"/>
  <c r="D1256" i="20" s="1"/>
  <c r="F1256" i="20" a="1"/>
  <c r="F1256" i="20" s="1"/>
  <c r="H1256" i="20" a="1"/>
  <c r="H1256" i="20" s="1"/>
  <c r="B1256" i="20"/>
  <c r="J1256" i="20" a="1"/>
  <c r="J1256" i="20" s="1"/>
  <c r="L1256" i="20" a="1"/>
  <c r="L1256" i="20" s="1"/>
  <c r="B1257" i="20"/>
  <c r="D1257" i="20" a="1"/>
  <c r="D1257" i="20" s="1"/>
  <c r="F1257" i="20" a="1"/>
  <c r="F1257" i="20" s="1"/>
  <c r="H1257" i="20" a="1"/>
  <c r="H1257" i="20" s="1"/>
  <c r="J1257" i="20" a="1"/>
  <c r="J1257" i="20" s="1"/>
  <c r="L1257" i="20" a="1"/>
  <c r="L1257" i="20" s="1"/>
  <c r="D1258" i="20" a="1"/>
  <c r="D1258" i="20" s="1"/>
  <c r="F1258" i="20" a="1"/>
  <c r="F1258" i="20" s="1"/>
  <c r="H1258" i="20" a="1"/>
  <c r="H1258" i="20" s="1"/>
  <c r="B1258" i="20"/>
  <c r="J1258" i="20" a="1"/>
  <c r="J1258" i="20" s="1"/>
  <c r="L1258" i="20" a="1"/>
  <c r="L1258" i="20" s="1"/>
  <c r="B1259" i="20"/>
  <c r="D1259" i="20" a="1"/>
  <c r="D1259" i="20" s="1"/>
  <c r="F1259" i="20" a="1"/>
  <c r="F1259" i="20" s="1"/>
  <c r="H1259" i="20" a="1"/>
  <c r="H1259" i="20" s="1"/>
  <c r="J1259" i="20" a="1"/>
  <c r="J1259" i="20" s="1"/>
  <c r="L1259" i="20" a="1"/>
  <c r="L1259" i="20" s="1"/>
  <c r="D1260" i="20" a="1"/>
  <c r="D1260" i="20" s="1"/>
  <c r="F1260" i="20" a="1"/>
  <c r="F1260" i="20" s="1"/>
  <c r="H1260" i="20" a="1"/>
  <c r="H1260" i="20" s="1"/>
  <c r="B1260" i="20"/>
  <c r="J1260" i="20" a="1"/>
  <c r="J1260" i="20" s="1"/>
  <c r="L1260" i="20" a="1"/>
  <c r="L1260" i="20" s="1"/>
  <c r="B1261" i="20"/>
  <c r="D1261" i="20" a="1"/>
  <c r="D1261" i="20" s="1"/>
  <c r="F1261" i="20" a="1"/>
  <c r="F1261" i="20" s="1"/>
  <c r="H1261" i="20" a="1"/>
  <c r="H1261" i="20" s="1"/>
  <c r="J1261" i="20" a="1"/>
  <c r="J1261" i="20" s="1"/>
  <c r="L1261" i="20" a="1"/>
  <c r="L1261" i="20" s="1"/>
  <c r="D1262" i="20" a="1"/>
  <c r="D1262" i="20" s="1"/>
  <c r="F1262" i="20" a="1"/>
  <c r="F1262" i="20" s="1"/>
  <c r="H1262" i="20" a="1"/>
  <c r="H1262" i="20" s="1"/>
  <c r="B1262" i="20"/>
  <c r="J1262" i="20" a="1"/>
  <c r="J1262" i="20" s="1"/>
  <c r="L1262" i="20" a="1"/>
  <c r="L1262" i="20" s="1"/>
  <c r="B1263" i="20"/>
  <c r="D1263" i="20" a="1"/>
  <c r="D1263" i="20" s="1"/>
  <c r="F1263" i="20" a="1"/>
  <c r="F1263" i="20" s="1"/>
  <c r="H1263" i="20" a="1"/>
  <c r="H1263" i="20" s="1"/>
  <c r="J1263" i="20" a="1"/>
  <c r="J1263" i="20" s="1"/>
  <c r="L1263" i="20" a="1"/>
  <c r="L1263" i="20" s="1"/>
  <c r="B1264" i="20"/>
  <c r="D1264" i="20" a="1"/>
  <c r="D1264" i="20" s="1"/>
  <c r="F1264" i="20" a="1"/>
  <c r="F1264" i="20" s="1"/>
  <c r="H1264" i="20" a="1"/>
  <c r="H1264" i="20" s="1"/>
  <c r="J1264" i="20" a="1"/>
  <c r="J1264" i="20" s="1"/>
  <c r="L1264" i="20" a="1"/>
  <c r="L1264" i="20" s="1"/>
  <c r="D1265" i="20" a="1"/>
  <c r="D1265" i="20" s="1"/>
  <c r="F1265" i="20" a="1"/>
  <c r="F1265" i="20" s="1"/>
  <c r="H1265" i="20" a="1"/>
  <c r="H1265" i="20" s="1"/>
  <c r="B1265" i="20"/>
  <c r="J1265" i="20" a="1"/>
  <c r="J1265" i="20" s="1"/>
  <c r="L1265" i="20" a="1"/>
  <c r="L1265" i="20" s="1"/>
  <c r="B1266" i="20"/>
  <c r="D1266" i="20" a="1"/>
  <c r="D1266" i="20" s="1"/>
  <c r="F1266" i="20" a="1"/>
  <c r="F1266" i="20" s="1"/>
  <c r="H1266" i="20" a="1"/>
  <c r="H1266" i="20" s="1"/>
  <c r="J1266" i="20" a="1"/>
  <c r="J1266" i="20" s="1"/>
  <c r="L1266" i="20" a="1"/>
  <c r="L1266" i="20" s="1"/>
  <c r="D1267" i="20" a="1"/>
  <c r="D1267" i="20" s="1"/>
  <c r="B1267" i="20"/>
  <c r="F1267" i="20" a="1"/>
  <c r="F1267" i="20" s="1"/>
  <c r="H1267" i="20" a="1"/>
  <c r="H1267" i="20" s="1"/>
  <c r="J1267" i="20" a="1"/>
  <c r="J1267" i="20" s="1"/>
  <c r="L1267" i="20" a="1"/>
  <c r="L1267" i="20" s="1"/>
  <c r="B1268" i="20"/>
  <c r="D1268" i="20" a="1"/>
  <c r="D1268" i="20" s="1"/>
  <c r="F1268" i="20" a="1"/>
  <c r="F1268" i="20" s="1"/>
  <c r="H1268" i="20" a="1"/>
  <c r="H1268" i="20" s="1"/>
  <c r="J1268" i="20" a="1"/>
  <c r="J1268" i="20" s="1"/>
  <c r="L1268" i="20" a="1"/>
  <c r="L1268" i="20" s="1"/>
  <c r="D1269" i="20" a="1"/>
  <c r="D1269" i="20" s="1"/>
  <c r="F1269" i="20" a="1"/>
  <c r="F1269" i="20" s="1"/>
  <c r="H1269" i="20" a="1"/>
  <c r="H1269" i="20" s="1"/>
  <c r="B1269" i="20"/>
  <c r="J1269" i="20" a="1"/>
  <c r="J1269" i="20" s="1"/>
  <c r="L1269" i="20" a="1"/>
  <c r="L1269" i="20" s="1"/>
  <c r="B1270" i="20"/>
  <c r="D1270" i="20" a="1"/>
  <c r="D1270" i="20" s="1"/>
  <c r="F1270" i="20" a="1"/>
  <c r="F1270" i="20" s="1"/>
  <c r="H1270" i="20" a="1"/>
  <c r="H1270" i="20" s="1"/>
  <c r="J1270" i="20" a="1"/>
  <c r="J1270" i="20" s="1"/>
  <c r="L1270" i="20" a="1"/>
  <c r="L1270" i="20" s="1"/>
  <c r="D1271" i="20" a="1"/>
  <c r="D1271" i="20" s="1"/>
  <c r="B1271" i="20"/>
  <c r="F1271" i="20" a="1"/>
  <c r="F1271" i="20" s="1"/>
  <c r="H1271" i="20" a="1"/>
  <c r="H1271" i="20" s="1"/>
  <c r="J1271" i="20" a="1"/>
  <c r="J1271" i="20" s="1"/>
  <c r="L1271" i="20" a="1"/>
  <c r="L1271" i="20" s="1"/>
  <c r="D1272" i="20" a="1"/>
  <c r="D1272" i="20" s="1"/>
  <c r="B1272" i="20"/>
  <c r="F1272" i="20" a="1"/>
  <c r="F1272" i="20" s="1"/>
  <c r="H1272" i="20" a="1"/>
  <c r="H1272" i="20" s="1"/>
  <c r="J1272" i="20" a="1"/>
  <c r="J1272" i="20" s="1"/>
  <c r="L1272" i="20" a="1"/>
  <c r="L1272" i="20" s="1"/>
  <c r="D1273" i="20" a="1"/>
  <c r="D1273" i="20" s="1"/>
  <c r="B1273" i="20"/>
  <c r="F1273" i="20" a="1"/>
  <c r="F1273" i="20" s="1"/>
  <c r="H1273" i="20" a="1"/>
  <c r="H1273" i="20" s="1"/>
  <c r="J1273" i="20" a="1"/>
  <c r="J1273" i="20" s="1"/>
  <c r="L1273" i="20" a="1"/>
  <c r="L1273" i="20" s="1"/>
  <c r="B1274" i="20"/>
  <c r="D1274" i="20" a="1"/>
  <c r="D1274" i="20" s="1"/>
  <c r="F1274" i="20" a="1"/>
  <c r="F1274" i="20" s="1"/>
  <c r="H1274" i="20" a="1"/>
  <c r="H1274" i="20" s="1"/>
  <c r="J1274" i="20" a="1"/>
  <c r="J1274" i="20" s="1"/>
  <c r="L1274" i="20" a="1"/>
  <c r="L1274" i="20" s="1"/>
  <c r="D1275" i="20" a="1"/>
  <c r="D1275" i="20" s="1"/>
  <c r="F1275" i="20" a="1"/>
  <c r="F1275" i="20" s="1"/>
  <c r="H1275" i="20" a="1"/>
  <c r="H1275" i="20" s="1"/>
  <c r="B1275" i="20"/>
  <c r="J1275" i="20" a="1"/>
  <c r="J1275" i="20" s="1"/>
  <c r="L1275" i="20" a="1"/>
  <c r="L1275" i="20" s="1"/>
  <c r="D1276" i="20" a="1"/>
  <c r="D1276" i="20" s="1"/>
  <c r="F1276" i="20" a="1"/>
  <c r="F1276" i="20" s="1"/>
  <c r="H1276" i="20" a="1"/>
  <c r="H1276" i="20" s="1"/>
  <c r="B1276" i="20"/>
  <c r="J1276" i="20" a="1"/>
  <c r="J1276" i="20" s="1"/>
  <c r="L1276" i="20" a="1"/>
  <c r="L1276" i="20" s="1"/>
  <c r="D1277" i="20" a="1"/>
  <c r="D1277" i="20" s="1"/>
  <c r="F1277" i="20" a="1"/>
  <c r="F1277" i="20" s="1"/>
  <c r="H1277" i="20" a="1"/>
  <c r="H1277" i="20" s="1"/>
  <c r="B1277" i="20"/>
  <c r="J1277" i="20" a="1"/>
  <c r="J1277" i="20" s="1"/>
  <c r="L1277" i="20" a="1"/>
  <c r="L1277" i="20" s="1"/>
  <c r="B1278" i="20"/>
  <c r="D1278" i="20" a="1"/>
  <c r="D1278" i="20" s="1"/>
  <c r="F1278" i="20" a="1"/>
  <c r="F1278" i="20" s="1"/>
  <c r="H1278" i="20" a="1"/>
  <c r="H1278" i="20" s="1"/>
  <c r="J1278" i="20" a="1"/>
  <c r="J1278" i="20" s="1"/>
  <c r="L1278" i="20" a="1"/>
  <c r="L1278" i="20" s="1"/>
  <c r="D1279" i="20" a="1"/>
  <c r="D1279" i="20" s="1"/>
  <c r="B1279" i="20"/>
  <c r="F1279" i="20" a="1"/>
  <c r="F1279" i="20" s="1"/>
  <c r="H1279" i="20" a="1"/>
  <c r="H1279" i="20" s="1"/>
  <c r="J1279" i="20" a="1"/>
  <c r="J1279" i="20" s="1"/>
  <c r="L1279" i="20" a="1"/>
  <c r="L1279" i="20" s="1"/>
  <c r="D1280" i="20" a="1"/>
  <c r="D1280" i="20" s="1"/>
  <c r="B1280" i="20"/>
  <c r="F1280" i="20" a="1"/>
  <c r="F1280" i="20" s="1"/>
  <c r="H1280" i="20" a="1"/>
  <c r="H1280" i="20" s="1"/>
  <c r="J1280" i="20" a="1"/>
  <c r="J1280" i="20" s="1"/>
  <c r="L1280" i="20" a="1"/>
  <c r="L1280" i="20" s="1"/>
  <c r="D1281" i="20" a="1"/>
  <c r="D1281" i="20" s="1"/>
  <c r="B1281" i="20"/>
  <c r="F1281" i="20" a="1"/>
  <c r="F1281" i="20" s="1"/>
  <c r="H1281" i="20" a="1"/>
  <c r="H1281" i="20" s="1"/>
  <c r="J1281" i="20" a="1"/>
  <c r="J1281" i="20" s="1"/>
  <c r="L1281" i="20" a="1"/>
  <c r="L1281" i="20" s="1"/>
  <c r="B1282" i="20"/>
  <c r="D1282" i="20" a="1"/>
  <c r="D1282" i="20" s="1"/>
  <c r="F1282" i="20" a="1"/>
  <c r="F1282" i="20" s="1"/>
  <c r="H1282" i="20" a="1"/>
  <c r="H1282" i="20" s="1"/>
  <c r="J1282" i="20" a="1"/>
  <c r="J1282" i="20" s="1"/>
  <c r="L1282" i="20" a="1"/>
  <c r="L1282" i="20" s="1"/>
  <c r="D1283" i="20" a="1"/>
  <c r="D1283" i="20" s="1"/>
  <c r="F1283" i="20" a="1"/>
  <c r="F1283" i="20" s="1"/>
  <c r="H1283" i="20" a="1"/>
  <c r="H1283" i="20" s="1"/>
  <c r="B1283" i="20"/>
  <c r="J1283" i="20" a="1"/>
  <c r="J1283" i="20" s="1"/>
  <c r="L1283" i="20" a="1"/>
  <c r="L1283" i="20" s="1"/>
  <c r="B1284" i="20"/>
  <c r="D1284" i="20" a="1"/>
  <c r="D1284" i="20" s="1"/>
  <c r="F1284" i="20" a="1"/>
  <c r="F1284" i="20" s="1"/>
  <c r="H1284" i="20" a="1"/>
  <c r="H1284" i="20" s="1"/>
  <c r="J1284" i="20" a="1"/>
  <c r="J1284" i="20" s="1"/>
  <c r="L1284" i="20" a="1"/>
  <c r="L1284" i="20" s="1"/>
  <c r="B1285" i="20"/>
  <c r="D1285" i="20" a="1"/>
  <c r="D1285" i="20" s="1"/>
  <c r="F1285" i="20" a="1"/>
  <c r="F1285" i="20" s="1"/>
  <c r="H1285" i="20" a="1"/>
  <c r="H1285" i="20" s="1"/>
  <c r="J1285" i="20" a="1"/>
  <c r="J1285" i="20" s="1"/>
  <c r="L1285" i="20" a="1"/>
  <c r="L1285" i="20" s="1"/>
  <c r="D1286" i="20" a="1"/>
  <c r="D1286" i="20" s="1"/>
  <c r="B1286" i="20"/>
  <c r="F1286" i="20" a="1"/>
  <c r="F1286" i="20" s="1"/>
  <c r="H1286" i="20" a="1"/>
  <c r="H1286" i="20" s="1"/>
  <c r="J1286" i="20" a="1"/>
  <c r="J1286" i="20" s="1"/>
  <c r="L1286" i="20" a="1"/>
  <c r="L1286" i="20" s="1"/>
  <c r="B1287" i="20"/>
  <c r="D1287" i="20" a="1"/>
  <c r="D1287" i="20" s="1"/>
  <c r="F1287" i="20" a="1"/>
  <c r="F1287" i="20" s="1"/>
  <c r="H1287" i="20" a="1"/>
  <c r="H1287" i="20" s="1"/>
  <c r="J1287" i="20" a="1"/>
  <c r="J1287" i="20" s="1"/>
  <c r="L1287" i="20" a="1"/>
  <c r="L1287" i="20" s="1"/>
  <c r="D1288" i="20" a="1"/>
  <c r="D1288" i="20" s="1"/>
  <c r="F1288" i="20" a="1"/>
  <c r="F1288" i="20" s="1"/>
  <c r="H1288" i="20" a="1"/>
  <c r="H1288" i="20" s="1"/>
  <c r="B1288" i="20"/>
  <c r="J1288" i="20" a="1"/>
  <c r="J1288" i="20" s="1"/>
  <c r="L1288" i="20" a="1"/>
  <c r="L1288" i="20" s="1"/>
  <c r="B1289" i="20"/>
  <c r="D1289" i="20" a="1"/>
  <c r="D1289" i="20" s="1"/>
  <c r="F1289" i="20" a="1"/>
  <c r="F1289" i="20" s="1"/>
  <c r="H1289" i="20" a="1"/>
  <c r="H1289" i="20" s="1"/>
  <c r="J1289" i="20" a="1"/>
  <c r="J1289" i="20" s="1"/>
  <c r="L1289" i="20" a="1"/>
  <c r="L1289" i="20" s="1"/>
  <c r="D1290" i="20" a="1"/>
  <c r="D1290" i="20" s="1"/>
  <c r="B1290" i="20"/>
  <c r="F1290" i="20" a="1"/>
  <c r="F1290" i="20" s="1"/>
  <c r="H1290" i="20" a="1"/>
  <c r="H1290" i="20" s="1"/>
  <c r="J1290" i="20" a="1"/>
  <c r="J1290" i="20" s="1"/>
  <c r="L1290" i="20" a="1"/>
  <c r="L1290" i="20" s="1"/>
  <c r="B1291" i="20"/>
  <c r="D1291" i="20" a="1"/>
  <c r="D1291" i="20" s="1"/>
  <c r="F1291" i="20" a="1"/>
  <c r="F1291" i="20" s="1"/>
  <c r="H1291" i="20" a="1"/>
  <c r="H1291" i="20" s="1"/>
  <c r="J1291" i="20" a="1"/>
  <c r="J1291" i="20" s="1"/>
  <c r="L1291" i="20" a="1"/>
  <c r="L1291" i="20" s="1"/>
  <c r="D1292" i="20" a="1"/>
  <c r="D1292" i="20" s="1"/>
  <c r="F1292" i="20" a="1"/>
  <c r="F1292" i="20" s="1"/>
  <c r="H1292" i="20" a="1"/>
  <c r="H1292" i="20" s="1"/>
  <c r="B1292" i="20"/>
  <c r="J1292" i="20" a="1"/>
  <c r="J1292" i="20" s="1"/>
  <c r="L1292" i="20" a="1"/>
  <c r="L1292" i="20" s="1"/>
  <c r="D1293" i="20" a="1"/>
  <c r="D1293" i="20" s="1"/>
  <c r="F1293" i="20" a="1"/>
  <c r="F1293" i="20" s="1"/>
  <c r="H1293" i="20" a="1"/>
  <c r="H1293" i="20" s="1"/>
  <c r="B1293" i="20"/>
  <c r="J1293" i="20" a="1"/>
  <c r="J1293" i="20" s="1"/>
  <c r="L1293" i="20" a="1"/>
  <c r="L1293" i="20" s="1"/>
  <c r="D1294" i="20" a="1"/>
  <c r="D1294" i="20" s="1"/>
  <c r="F1294" i="20" a="1"/>
  <c r="F1294" i="20" s="1"/>
  <c r="H1294" i="20" a="1"/>
  <c r="H1294" i="20" s="1"/>
  <c r="B1294" i="20"/>
  <c r="J1294" i="20" a="1"/>
  <c r="J1294" i="20" s="1"/>
  <c r="L1294" i="20" a="1"/>
  <c r="L1294" i="20" s="1"/>
  <c r="B1295" i="20"/>
  <c r="D1295" i="20" a="1"/>
  <c r="D1295" i="20" s="1"/>
  <c r="F1295" i="20" a="1"/>
  <c r="F1295" i="20" s="1"/>
  <c r="H1295" i="20" a="1"/>
  <c r="H1295" i="20" s="1"/>
  <c r="J1295" i="20" a="1"/>
  <c r="J1295" i="20" s="1"/>
  <c r="L1295" i="20" a="1"/>
  <c r="L1295" i="20" s="1"/>
  <c r="D1296" i="20" a="1"/>
  <c r="D1296" i="20" s="1"/>
  <c r="B1296" i="20"/>
  <c r="F1296" i="20" a="1"/>
  <c r="F1296" i="20" s="1"/>
  <c r="H1296" i="20" a="1"/>
  <c r="H1296" i="20" s="1"/>
  <c r="J1296" i="20" a="1"/>
  <c r="J1296" i="20" s="1"/>
  <c r="L1296" i="20" a="1"/>
  <c r="L1296" i="20" s="1"/>
  <c r="D1297" i="20" a="1"/>
  <c r="D1297" i="20" s="1"/>
  <c r="F1297" i="20" a="1"/>
  <c r="F1297" i="20" s="1"/>
  <c r="B1297" i="20"/>
  <c r="H1297" i="20" a="1"/>
  <c r="H1297" i="20" s="1"/>
  <c r="J1297" i="20" a="1"/>
  <c r="J1297" i="20" s="1"/>
  <c r="L1297" i="20" a="1"/>
  <c r="L1297" i="20" s="1"/>
  <c r="B1298" i="20"/>
  <c r="D1298" i="20" a="1"/>
  <c r="D1298" i="20" s="1"/>
  <c r="F1298" i="20" a="1"/>
  <c r="F1298" i="20" s="1"/>
  <c r="H1298" i="20" a="1"/>
  <c r="H1298" i="20" s="1"/>
  <c r="J1298" i="20" a="1"/>
  <c r="J1298" i="20" s="1"/>
  <c r="L1298" i="20" a="1"/>
  <c r="L1298" i="20" s="1"/>
  <c r="D1299" i="20" a="1"/>
  <c r="D1299" i="20" s="1"/>
  <c r="F1299" i="20" a="1"/>
  <c r="F1299" i="20" s="1"/>
  <c r="H1299" i="20" a="1"/>
  <c r="H1299" i="20" s="1"/>
  <c r="B1299" i="20"/>
  <c r="J1299" i="20" a="1"/>
  <c r="J1299" i="20" s="1"/>
  <c r="L1299" i="20" a="1"/>
  <c r="L1299" i="20" s="1"/>
  <c r="D1300" i="20" a="1"/>
  <c r="D1300" i="20" s="1"/>
  <c r="F1300" i="20" a="1"/>
  <c r="F1300" i="20" s="1"/>
  <c r="H1300" i="20" a="1"/>
  <c r="H1300" i="20" s="1"/>
  <c r="B1300" i="20"/>
  <c r="J1300" i="20" a="1"/>
  <c r="J1300" i="20" s="1"/>
  <c r="L1300" i="20" a="1"/>
  <c r="L1300" i="20" s="1"/>
  <c r="B1301" i="20"/>
  <c r="D1301" i="20" a="1"/>
  <c r="D1301" i="20" s="1"/>
  <c r="F1301" i="20" a="1"/>
  <c r="F1301" i="20" s="1"/>
  <c r="H1301" i="20" a="1"/>
  <c r="H1301" i="20" s="1"/>
  <c r="J1301" i="20" a="1"/>
  <c r="J1301" i="20" s="1"/>
  <c r="L1301" i="20" a="1"/>
  <c r="L1301" i="20" s="1"/>
  <c r="B1302" i="20"/>
  <c r="D1302" i="20" a="1"/>
  <c r="D1302" i="20" s="1"/>
  <c r="F1302" i="20" a="1"/>
  <c r="F1302" i="20" s="1"/>
  <c r="H1302" i="20" a="1"/>
  <c r="H1302" i="20" s="1"/>
  <c r="J1302" i="20" a="1"/>
  <c r="J1302" i="20" s="1"/>
  <c r="L1302" i="20" a="1"/>
  <c r="L1302" i="20" s="1"/>
  <c r="D1303" i="20" a="1"/>
  <c r="D1303" i="20" s="1"/>
  <c r="F1303" i="20" a="1"/>
  <c r="F1303" i="20" s="1"/>
  <c r="B1303" i="20"/>
  <c r="H1303" i="20" a="1"/>
  <c r="H1303" i="20" s="1"/>
  <c r="J1303" i="20" a="1"/>
  <c r="J1303" i="20" s="1"/>
  <c r="L1303" i="20" a="1"/>
  <c r="L1303" i="20" s="1"/>
  <c r="D1304" i="20" a="1"/>
  <c r="D1304" i="20" s="1"/>
  <c r="F1304" i="20" a="1"/>
  <c r="F1304" i="20" s="1"/>
  <c r="H1304" i="20" a="1"/>
  <c r="H1304" i="20" s="1"/>
  <c r="B1304" i="20"/>
  <c r="J1304" i="20" a="1"/>
  <c r="J1304" i="20" s="1"/>
  <c r="L1304" i="20" a="1"/>
  <c r="L1304" i="20" s="1"/>
  <c r="D1305" i="20" a="1"/>
  <c r="D1305" i="20" s="1"/>
  <c r="F1305" i="20" a="1"/>
  <c r="F1305" i="20" s="1"/>
  <c r="H1305" i="20" a="1"/>
  <c r="H1305" i="20" s="1"/>
  <c r="B1305" i="20"/>
  <c r="J1305" i="20" a="1"/>
  <c r="J1305" i="20" s="1"/>
  <c r="L1305" i="20" a="1"/>
  <c r="L1305" i="20" s="1"/>
  <c r="D1306" i="20" a="1"/>
  <c r="D1306" i="20" s="1"/>
  <c r="B1306" i="20"/>
  <c r="F1306" i="20" a="1"/>
  <c r="F1306" i="20" s="1"/>
  <c r="H1306" i="20" a="1"/>
  <c r="H1306" i="20" s="1"/>
  <c r="J1306" i="20" a="1"/>
  <c r="J1306" i="20" s="1"/>
  <c r="L1306" i="20" a="1"/>
  <c r="L1306" i="20" s="1"/>
  <c r="D1307" i="20" a="1"/>
  <c r="D1307" i="20" s="1"/>
  <c r="B1307" i="20"/>
  <c r="F1307" i="20" a="1"/>
  <c r="F1307" i="20" s="1"/>
  <c r="H1307" i="20" a="1"/>
  <c r="H1307" i="20" s="1"/>
  <c r="J1307" i="20" a="1"/>
  <c r="J1307" i="20" s="1"/>
  <c r="L1307" i="20" a="1"/>
  <c r="L1307" i="20" s="1"/>
  <c r="D1308" i="20" a="1"/>
  <c r="D1308" i="20" s="1"/>
  <c r="F1308" i="20" a="1"/>
  <c r="F1308" i="20" s="1"/>
  <c r="H1308" i="20" a="1"/>
  <c r="H1308" i="20" s="1"/>
  <c r="B1308" i="20"/>
  <c r="J1308" i="20" a="1"/>
  <c r="J1308" i="20" s="1"/>
  <c r="L1308" i="20" a="1"/>
  <c r="L1308" i="20" s="1"/>
  <c r="B1309" i="20"/>
  <c r="D1309" i="20" a="1"/>
  <c r="D1309" i="20" s="1"/>
  <c r="F1309" i="20" a="1"/>
  <c r="F1309" i="20" s="1"/>
  <c r="H1309" i="20" a="1"/>
  <c r="H1309" i="20" s="1"/>
  <c r="J1309" i="20" a="1"/>
  <c r="J1309" i="20" s="1"/>
  <c r="L1309" i="20" a="1"/>
  <c r="L1309" i="20" s="1"/>
  <c r="D1310" i="20" a="1"/>
  <c r="D1310" i="20" s="1"/>
  <c r="F1310" i="20" a="1"/>
  <c r="F1310" i="20" s="1"/>
  <c r="H1310" i="20" a="1"/>
  <c r="H1310" i="20" s="1"/>
  <c r="B1310" i="20"/>
  <c r="J1310" i="20" a="1"/>
  <c r="J1310" i="20" s="1"/>
  <c r="L1310" i="20" a="1"/>
  <c r="L1310" i="20" s="1"/>
  <c r="B1311" i="20"/>
  <c r="D1311" i="20" a="1"/>
  <c r="D1311" i="20" s="1"/>
  <c r="F1311" i="20" a="1"/>
  <c r="F1311" i="20" s="1"/>
  <c r="H1311" i="20" a="1"/>
  <c r="H1311" i="20" s="1"/>
  <c r="J1311" i="20" a="1"/>
  <c r="J1311" i="20" s="1"/>
  <c r="L1311" i="20" a="1"/>
  <c r="L1311" i="20" s="1"/>
  <c r="D1312" i="20" a="1"/>
  <c r="D1312" i="20" s="1"/>
  <c r="F1312" i="20" a="1"/>
  <c r="F1312" i="20" s="1"/>
  <c r="H1312" i="20" a="1"/>
  <c r="H1312" i="20" s="1"/>
  <c r="B1312" i="20"/>
  <c r="J1312" i="20" a="1"/>
  <c r="J1312" i="20" s="1"/>
  <c r="L1312" i="20" a="1"/>
  <c r="L1312" i="20" s="1"/>
  <c r="B1313" i="20"/>
  <c r="D1313" i="20" a="1"/>
  <c r="D1313" i="20" s="1"/>
  <c r="F1313" i="20" a="1"/>
  <c r="F1313" i="20" s="1"/>
  <c r="H1313" i="20" a="1"/>
  <c r="H1313" i="20" s="1"/>
  <c r="J1313" i="20" a="1"/>
  <c r="J1313" i="20" s="1"/>
  <c r="L1313" i="20" a="1"/>
  <c r="L1313" i="20" s="1"/>
  <c r="D1314" i="20" a="1"/>
  <c r="D1314" i="20" s="1"/>
  <c r="F1314" i="20" a="1"/>
  <c r="F1314" i="20" s="1"/>
  <c r="H1314" i="20" a="1"/>
  <c r="H1314" i="20" s="1"/>
  <c r="B1314" i="20"/>
  <c r="J1314" i="20" a="1"/>
  <c r="J1314" i="20" s="1"/>
  <c r="L1314" i="20" a="1"/>
  <c r="L1314" i="20" s="1"/>
  <c r="B1315" i="20"/>
  <c r="D1315" i="20" a="1"/>
  <c r="D1315" i="20" s="1"/>
  <c r="F1315" i="20" a="1"/>
  <c r="F1315" i="20" s="1"/>
  <c r="H1315" i="20" a="1"/>
  <c r="H1315" i="20" s="1"/>
  <c r="J1315" i="20" a="1"/>
  <c r="J1315" i="20" s="1"/>
  <c r="L1315" i="20" a="1"/>
  <c r="L1315" i="20" s="1"/>
  <c r="D1316" i="20" a="1"/>
  <c r="D1316" i="20" s="1"/>
  <c r="F1316" i="20" a="1"/>
  <c r="F1316" i="20" s="1"/>
  <c r="H1316" i="20" a="1"/>
  <c r="H1316" i="20" s="1"/>
  <c r="B1316" i="20"/>
  <c r="J1316" i="20" a="1"/>
  <c r="J1316" i="20" s="1"/>
  <c r="L1316" i="20" a="1"/>
  <c r="L1316" i="20" s="1"/>
  <c r="D1317" i="20" a="1"/>
  <c r="D1317" i="20" s="1"/>
  <c r="F1317" i="20" a="1"/>
  <c r="F1317" i="20" s="1"/>
  <c r="H1317" i="20" a="1"/>
  <c r="H1317" i="20" s="1"/>
  <c r="B1317" i="20"/>
  <c r="J1317" i="20" a="1"/>
  <c r="J1317" i="20" s="1"/>
  <c r="L1317" i="20" a="1"/>
  <c r="L1317" i="20" s="1"/>
  <c r="D1318" i="20" a="1"/>
  <c r="D1318" i="20" s="1"/>
  <c r="F1318" i="20" a="1"/>
  <c r="F1318" i="20" s="1"/>
  <c r="H1318" i="20" a="1"/>
  <c r="H1318" i="20" s="1"/>
  <c r="B1318" i="20"/>
  <c r="J1318" i="20" a="1"/>
  <c r="J1318" i="20" s="1"/>
  <c r="L1318" i="20" a="1"/>
  <c r="L1318" i="20" s="1"/>
  <c r="D1319" i="20" a="1"/>
  <c r="D1319" i="20" s="1"/>
  <c r="B1319" i="20"/>
  <c r="F1319" i="20" a="1"/>
  <c r="F1319" i="20" s="1"/>
  <c r="H1319" i="20" a="1"/>
  <c r="H1319" i="20" s="1"/>
  <c r="J1319" i="20" a="1"/>
  <c r="J1319" i="20" s="1"/>
  <c r="L1319" i="20" a="1"/>
  <c r="L1319" i="20" s="1"/>
  <c r="B1320" i="20"/>
  <c r="D1320" i="20" a="1"/>
  <c r="D1320" i="20" s="1"/>
  <c r="F1320" i="20" a="1"/>
  <c r="F1320" i="20" s="1"/>
  <c r="H1320" i="20" a="1"/>
  <c r="H1320" i="20" s="1"/>
  <c r="J1320" i="20" a="1"/>
  <c r="J1320" i="20" s="1"/>
  <c r="L1320" i="20" a="1"/>
  <c r="L1320" i="20" s="1"/>
  <c r="D1321" i="20" a="1"/>
  <c r="D1321" i="20" s="1"/>
  <c r="B1321" i="20"/>
  <c r="F1321" i="20" a="1"/>
  <c r="F1321" i="20" s="1"/>
  <c r="H1321" i="20" a="1"/>
  <c r="H1321" i="20" s="1"/>
  <c r="J1321" i="20" a="1"/>
  <c r="J1321" i="20" s="1"/>
  <c r="L1321" i="20" a="1"/>
  <c r="L1321" i="20" s="1"/>
  <c r="B1322" i="20"/>
  <c r="D1322" i="20" a="1"/>
  <c r="D1322" i="20" s="1"/>
  <c r="F1322" i="20" a="1"/>
  <c r="F1322" i="20" s="1"/>
  <c r="H1322" i="20" a="1"/>
  <c r="H1322" i="20" s="1"/>
  <c r="J1322" i="20" a="1"/>
  <c r="J1322" i="20" s="1"/>
  <c r="L1322" i="20" a="1"/>
  <c r="L1322" i="20" s="1"/>
  <c r="D1323" i="20" a="1"/>
  <c r="D1323" i="20" s="1"/>
  <c r="B1323" i="20"/>
  <c r="F1323" i="20" a="1"/>
  <c r="F1323" i="20" s="1"/>
  <c r="H1323" i="20" a="1"/>
  <c r="H1323" i="20" s="1"/>
  <c r="J1323" i="20" a="1"/>
  <c r="J1323" i="20" s="1"/>
  <c r="L1323" i="20" a="1"/>
  <c r="L1323" i="20" s="1"/>
  <c r="B1324" i="20"/>
  <c r="D1324" i="20" a="1"/>
  <c r="D1324" i="20" s="1"/>
  <c r="F1324" i="20" a="1"/>
  <c r="F1324" i="20" s="1"/>
  <c r="H1324" i="20" a="1"/>
  <c r="H1324" i="20" s="1"/>
  <c r="J1324" i="20" a="1"/>
  <c r="J1324" i="20" s="1"/>
  <c r="L1324" i="20" a="1"/>
  <c r="L1324" i="20" s="1"/>
  <c r="B1325" i="20"/>
  <c r="D1325" i="20" a="1"/>
  <c r="D1325" i="20" s="1"/>
  <c r="F1325" i="20" a="1"/>
  <c r="F1325" i="20" s="1"/>
  <c r="H1325" i="20" a="1"/>
  <c r="H1325" i="20" s="1"/>
  <c r="J1325" i="20" a="1"/>
  <c r="J1325" i="20" s="1"/>
  <c r="L1325" i="20" a="1"/>
  <c r="L1325" i="20" s="1"/>
  <c r="D1326" i="20" a="1"/>
  <c r="D1326" i="20" s="1"/>
  <c r="B1326" i="20"/>
  <c r="F1326" i="20" a="1"/>
  <c r="F1326" i="20" s="1"/>
  <c r="H1326" i="20" a="1"/>
  <c r="H1326" i="20" s="1"/>
  <c r="J1326" i="20" a="1"/>
  <c r="J1326" i="20" s="1"/>
  <c r="L1326" i="20" a="1"/>
  <c r="L1326" i="20" s="1"/>
  <c r="B1327" i="20"/>
  <c r="D1327" i="20" a="1"/>
  <c r="D1327" i="20" s="1"/>
  <c r="F1327" i="20" a="1"/>
  <c r="F1327" i="20" s="1"/>
  <c r="H1327" i="20" a="1"/>
  <c r="H1327" i="20" s="1"/>
  <c r="J1327" i="20" a="1"/>
  <c r="J1327" i="20" s="1"/>
  <c r="L1327" i="20" a="1"/>
  <c r="L1327" i="20" s="1"/>
  <c r="B1328" i="20"/>
  <c r="D1328" i="20" a="1"/>
  <c r="D1328" i="20" s="1"/>
  <c r="F1328" i="20" a="1"/>
  <c r="F1328" i="20" s="1"/>
  <c r="H1328" i="20" a="1"/>
  <c r="H1328" i="20" s="1"/>
  <c r="J1328" i="20" a="1"/>
  <c r="J1328" i="20" s="1"/>
  <c r="L1328" i="20" a="1"/>
  <c r="L1328" i="20" s="1"/>
  <c r="D1329" i="20" a="1"/>
  <c r="D1329" i="20" s="1"/>
  <c r="F1329" i="20" a="1"/>
  <c r="F1329" i="20" s="1"/>
  <c r="B1329" i="20"/>
  <c r="H1329" i="20" a="1"/>
  <c r="H1329" i="20" s="1"/>
  <c r="J1329" i="20" a="1"/>
  <c r="J1329" i="20" s="1"/>
  <c r="L1329" i="20" a="1"/>
  <c r="L1329" i="20" s="1"/>
  <c r="B1330" i="20"/>
  <c r="D1330" i="20" a="1"/>
  <c r="D1330" i="20" s="1"/>
  <c r="F1330" i="20" a="1"/>
  <c r="F1330" i="20" s="1"/>
  <c r="H1330" i="20" a="1"/>
  <c r="H1330" i="20" s="1"/>
  <c r="J1330" i="20" a="1"/>
  <c r="J1330" i="20" s="1"/>
  <c r="L1330" i="20" a="1"/>
  <c r="L1330" i="20" s="1"/>
  <c r="D1331" i="20" a="1"/>
  <c r="D1331" i="20" s="1"/>
  <c r="F1331" i="20" a="1"/>
  <c r="F1331" i="20" s="1"/>
  <c r="H1331" i="20" a="1"/>
  <c r="H1331" i="20" s="1"/>
  <c r="B1331" i="20"/>
  <c r="J1331" i="20" a="1"/>
  <c r="J1331" i="20" s="1"/>
  <c r="L1331" i="20" a="1"/>
  <c r="L1331" i="20" s="1"/>
  <c r="D1332" i="20" a="1"/>
  <c r="D1332" i="20" s="1"/>
  <c r="B1332" i="20"/>
  <c r="F1332" i="20" a="1"/>
  <c r="F1332" i="20" s="1"/>
  <c r="H1332" i="20" a="1"/>
  <c r="H1332" i="20" s="1"/>
  <c r="J1332" i="20" a="1"/>
  <c r="J1332" i="20" s="1"/>
  <c r="L1332" i="20" a="1"/>
  <c r="L1332" i="20" s="1"/>
  <c r="B1333" i="20"/>
  <c r="D1333" i="20" a="1"/>
  <c r="D1333" i="20" s="1"/>
  <c r="F1333" i="20" a="1"/>
  <c r="F1333" i="20" s="1"/>
  <c r="H1333" i="20" a="1"/>
  <c r="H1333" i="20" s="1"/>
  <c r="J1333" i="20" a="1"/>
  <c r="J1333" i="20" s="1"/>
  <c r="L1333" i="20" a="1"/>
  <c r="L1333" i="20" s="1"/>
  <c r="D1334" i="20" a="1"/>
  <c r="D1334" i="20" s="1"/>
  <c r="F1334" i="20" a="1"/>
  <c r="F1334" i="20" s="1"/>
  <c r="H1334" i="20" a="1"/>
  <c r="H1334" i="20" s="1"/>
  <c r="B1334" i="20"/>
  <c r="J1334" i="20" a="1"/>
  <c r="J1334" i="20" s="1"/>
  <c r="L1334" i="20" a="1"/>
  <c r="L1334" i="20" s="1"/>
  <c r="B1335" i="20"/>
  <c r="D1335" i="20" a="1"/>
  <c r="D1335" i="20" s="1"/>
  <c r="F1335" i="20" a="1"/>
  <c r="F1335" i="20" s="1"/>
  <c r="H1335" i="20" a="1"/>
  <c r="H1335" i="20" s="1"/>
  <c r="J1335" i="20" a="1"/>
  <c r="J1335" i="20" s="1"/>
  <c r="L1335" i="20" a="1"/>
  <c r="L1335" i="20" s="1"/>
  <c r="B1336" i="20"/>
  <c r="D1336" i="20" a="1"/>
  <c r="D1336" i="20" s="1"/>
  <c r="F1336" i="20" a="1"/>
  <c r="F1336" i="20" s="1"/>
  <c r="H1336" i="20" a="1"/>
  <c r="H1336" i="20" s="1"/>
  <c r="J1336" i="20" a="1"/>
  <c r="J1336" i="20" s="1"/>
  <c r="L1336" i="20" a="1"/>
  <c r="L1336" i="20" s="1"/>
  <c r="D1337" i="20" a="1"/>
  <c r="D1337" i="20" s="1"/>
  <c r="F1337" i="20" a="1"/>
  <c r="F1337" i="20" s="1"/>
  <c r="H1337" i="20" a="1"/>
  <c r="H1337" i="20" s="1"/>
  <c r="B1337" i="20"/>
  <c r="J1337" i="20" a="1"/>
  <c r="J1337" i="20" s="1"/>
  <c r="L1337" i="20" a="1"/>
  <c r="L1337" i="20" s="1"/>
  <c r="B1338" i="20"/>
  <c r="D1338" i="20" a="1"/>
  <c r="D1338" i="20" s="1"/>
  <c r="F1338" i="20" a="1"/>
  <c r="F1338" i="20" s="1"/>
  <c r="H1338" i="20" a="1"/>
  <c r="H1338" i="20" s="1"/>
  <c r="J1338" i="20" a="1"/>
  <c r="J1338" i="20" s="1"/>
  <c r="L1338" i="20" a="1"/>
  <c r="L1338" i="20" s="1"/>
  <c r="D1339" i="20" a="1"/>
  <c r="D1339" i="20" s="1"/>
  <c r="F1339" i="20" a="1"/>
  <c r="F1339" i="20" s="1"/>
  <c r="H1339" i="20" a="1"/>
  <c r="H1339" i="20" s="1"/>
  <c r="B1339" i="20"/>
  <c r="J1339" i="20" a="1"/>
  <c r="J1339" i="20" s="1"/>
  <c r="L1339" i="20" a="1"/>
  <c r="L1339" i="20" s="1"/>
  <c r="B1340" i="20"/>
  <c r="D1340" i="20" a="1"/>
  <c r="D1340" i="20" s="1"/>
  <c r="F1340" i="20" a="1"/>
  <c r="F1340" i="20" s="1"/>
  <c r="H1340" i="20" a="1"/>
  <c r="H1340" i="20" s="1"/>
  <c r="J1340" i="20" a="1"/>
  <c r="J1340" i="20" s="1"/>
  <c r="L1340" i="20" a="1"/>
  <c r="L1340" i="20" s="1"/>
  <c r="D1341" i="20" a="1"/>
  <c r="D1341" i="20" s="1"/>
  <c r="F1341" i="20" a="1"/>
  <c r="F1341" i="20" s="1"/>
  <c r="H1341" i="20" a="1"/>
  <c r="H1341" i="20" s="1"/>
  <c r="B1341" i="20"/>
  <c r="J1341" i="20" a="1"/>
  <c r="J1341" i="20" s="1"/>
  <c r="L1341" i="20" a="1"/>
  <c r="L1341" i="20" s="1"/>
  <c r="D1342" i="20" a="1"/>
  <c r="D1342" i="20" s="1"/>
  <c r="F1342" i="20" a="1"/>
  <c r="F1342" i="20" s="1"/>
  <c r="H1342" i="20" a="1"/>
  <c r="H1342" i="20" s="1"/>
  <c r="B1342" i="20"/>
  <c r="J1342" i="20" a="1"/>
  <c r="J1342" i="20" s="1"/>
  <c r="L1342" i="20" a="1"/>
  <c r="L1342" i="20" s="1"/>
  <c r="B1343" i="20"/>
  <c r="D1343" i="20" a="1"/>
  <c r="D1343" i="20" s="1"/>
  <c r="F1343" i="20" a="1"/>
  <c r="F1343" i="20" s="1"/>
  <c r="H1343" i="20" a="1"/>
  <c r="H1343" i="20" s="1"/>
  <c r="J1343" i="20" a="1"/>
  <c r="J1343" i="20" s="1"/>
  <c r="L1343" i="20" a="1"/>
  <c r="L1343" i="20" s="1"/>
  <c r="D1344" i="20" a="1"/>
  <c r="D1344" i="20" s="1"/>
  <c r="B1344" i="20"/>
  <c r="F1344" i="20" a="1"/>
  <c r="F1344" i="20" s="1"/>
  <c r="H1344" i="20" a="1"/>
  <c r="H1344" i="20" s="1"/>
  <c r="J1344" i="20" a="1"/>
  <c r="J1344" i="20" s="1"/>
  <c r="L1344" i="20" a="1"/>
  <c r="L1344" i="20" s="1"/>
  <c r="D1345" i="20" a="1"/>
  <c r="D1345" i="20" s="1"/>
  <c r="F1345" i="20" a="1"/>
  <c r="F1345" i="20" s="1"/>
  <c r="B1345" i="20"/>
  <c r="H1345" i="20" a="1"/>
  <c r="H1345" i="20" s="1"/>
  <c r="J1345" i="20" a="1"/>
  <c r="J1345" i="20" s="1"/>
  <c r="L1345" i="20" a="1"/>
  <c r="L1345" i="20" s="1"/>
  <c r="D1346" i="20" a="1"/>
  <c r="D1346" i="20" s="1"/>
  <c r="F1346" i="20" a="1"/>
  <c r="F1346" i="20" s="1"/>
  <c r="H1346" i="20" a="1"/>
  <c r="H1346" i="20" s="1"/>
  <c r="B1346" i="20"/>
  <c r="J1346" i="20" a="1"/>
  <c r="J1346" i="20" s="1"/>
  <c r="L1346" i="20" a="1"/>
  <c r="L1346" i="20" s="1"/>
  <c r="D1347" i="20" a="1"/>
  <c r="D1347" i="20" s="1"/>
  <c r="F1347" i="20" a="1"/>
  <c r="F1347" i="20" s="1"/>
  <c r="H1347" i="20" a="1"/>
  <c r="H1347" i="20" s="1"/>
  <c r="B1347" i="20"/>
  <c r="J1347" i="20" a="1"/>
  <c r="J1347" i="20" s="1"/>
  <c r="L1347" i="20" a="1"/>
  <c r="L1347" i="20" s="1"/>
  <c r="D1348" i="20" a="1"/>
  <c r="D1348" i="20" s="1"/>
  <c r="B1348" i="20"/>
  <c r="F1348" i="20" a="1"/>
  <c r="F1348" i="20" s="1"/>
  <c r="H1348" i="20" a="1"/>
  <c r="H1348" i="20" s="1"/>
  <c r="J1348" i="20" a="1"/>
  <c r="J1348" i="20" s="1"/>
  <c r="L1348" i="20" a="1"/>
  <c r="L1348" i="20" s="1"/>
  <c r="B1349" i="20"/>
  <c r="D1349" i="20" a="1"/>
  <c r="D1349" i="20" s="1"/>
  <c r="F1349" i="20" a="1"/>
  <c r="F1349" i="20" s="1"/>
  <c r="H1349" i="20" a="1"/>
  <c r="H1349" i="20" s="1"/>
  <c r="J1349" i="20" a="1"/>
  <c r="J1349" i="20" s="1"/>
  <c r="L1349" i="20" a="1"/>
  <c r="L1349" i="20" s="1"/>
  <c r="D1350" i="20" a="1"/>
  <c r="D1350" i="20" s="1"/>
  <c r="F1350" i="20" a="1"/>
  <c r="F1350" i="20" s="1"/>
  <c r="B1350" i="20"/>
  <c r="H1350" i="20" a="1"/>
  <c r="H1350" i="20" s="1"/>
  <c r="J1350" i="20" a="1"/>
  <c r="J1350" i="20" s="1"/>
  <c r="L1350" i="20" a="1"/>
  <c r="L1350" i="20" s="1"/>
  <c r="B1351" i="20"/>
  <c r="D1351" i="20" a="1"/>
  <c r="D1351" i="20" s="1"/>
  <c r="F1351" i="20" a="1"/>
  <c r="F1351" i="20" s="1"/>
  <c r="H1351" i="20" a="1"/>
  <c r="H1351" i="20" s="1"/>
  <c r="J1351" i="20" a="1"/>
  <c r="J1351" i="20" s="1"/>
  <c r="L1351" i="20" a="1"/>
  <c r="L1351" i="20" s="1"/>
  <c r="D1352" i="20" a="1"/>
  <c r="D1352" i="20" s="1"/>
  <c r="F1352" i="20" a="1"/>
  <c r="F1352" i="20" s="1"/>
  <c r="H1352" i="20" a="1"/>
  <c r="H1352" i="20" s="1"/>
  <c r="B1352" i="20"/>
  <c r="J1352" i="20" a="1"/>
  <c r="J1352" i="20" s="1"/>
  <c r="L1352" i="20" a="1"/>
  <c r="L1352" i="20" s="1"/>
  <c r="D1353" i="20" a="1"/>
  <c r="D1353" i="20" s="1"/>
  <c r="F1353" i="20" a="1"/>
  <c r="F1353" i="20" s="1"/>
  <c r="H1353" i="20" a="1"/>
  <c r="H1353" i="20" s="1"/>
  <c r="B1353" i="20"/>
  <c r="J1353" i="20" a="1"/>
  <c r="J1353" i="20" s="1"/>
  <c r="L1353" i="20" a="1"/>
  <c r="L1353" i="20" s="1"/>
  <c r="D1354" i="20" a="1"/>
  <c r="D1354" i="20" s="1"/>
  <c r="B1354" i="20"/>
  <c r="F1354" i="20" a="1"/>
  <c r="F1354" i="20" s="1"/>
  <c r="H1354" i="20" a="1"/>
  <c r="H1354" i="20" s="1"/>
  <c r="J1354" i="20" a="1"/>
  <c r="J1354" i="20" s="1"/>
  <c r="L1354" i="20" a="1"/>
  <c r="L1354" i="20" s="1"/>
  <c r="D1355" i="20" a="1"/>
  <c r="D1355" i="20" s="1"/>
  <c r="F1355" i="20" a="1"/>
  <c r="F1355" i="20" s="1"/>
  <c r="B1355" i="20"/>
  <c r="H1355" i="20" a="1"/>
  <c r="H1355" i="20" s="1"/>
  <c r="J1355" i="20" a="1"/>
  <c r="J1355" i="20" s="1"/>
  <c r="L1355" i="20" a="1"/>
  <c r="L1355" i="20" s="1"/>
  <c r="B1356" i="20"/>
  <c r="D1356" i="20" a="1"/>
  <c r="D1356" i="20" s="1"/>
  <c r="F1356" i="20" a="1"/>
  <c r="F1356" i="20" s="1"/>
  <c r="H1356" i="20" a="1"/>
  <c r="H1356" i="20" s="1"/>
  <c r="J1356" i="20" a="1"/>
  <c r="J1356" i="20" s="1"/>
  <c r="L1356" i="20" a="1"/>
  <c r="L1356" i="20" s="1"/>
  <c r="B1357" i="20"/>
  <c r="D1357" i="20" a="1"/>
  <c r="D1357" i="20" s="1"/>
  <c r="F1357" i="20" a="1"/>
  <c r="F1357" i="20" s="1"/>
  <c r="H1357" i="20" a="1"/>
  <c r="H1357" i="20" s="1"/>
  <c r="J1357" i="20" a="1"/>
  <c r="J1357" i="20" s="1"/>
  <c r="L1357" i="20" a="1"/>
  <c r="L1357" i="20" s="1"/>
  <c r="D1358" i="20" a="1"/>
  <c r="D1358" i="20" s="1"/>
  <c r="B1358" i="20"/>
  <c r="F1358" i="20" a="1"/>
  <c r="F1358" i="20" s="1"/>
  <c r="H1358" i="20" a="1"/>
  <c r="H1358" i="20" s="1"/>
  <c r="J1358" i="20" a="1"/>
  <c r="J1358" i="20" s="1"/>
  <c r="L1358" i="20" a="1"/>
  <c r="L1358" i="20" s="1"/>
  <c r="B1359" i="20"/>
  <c r="D1359" i="20" a="1"/>
  <c r="D1359" i="20" s="1"/>
  <c r="F1359" i="20" a="1"/>
  <c r="F1359" i="20" s="1"/>
  <c r="H1359" i="20" a="1"/>
  <c r="H1359" i="20" s="1"/>
  <c r="J1359" i="20" a="1"/>
  <c r="J1359" i="20" s="1"/>
  <c r="L1359" i="20" a="1"/>
  <c r="L1359" i="20" s="1"/>
  <c r="D1360" i="20" a="1"/>
  <c r="D1360" i="20" s="1"/>
  <c r="F1360" i="20" a="1"/>
  <c r="F1360" i="20" s="1"/>
  <c r="H1360" i="20" a="1"/>
  <c r="H1360" i="20" s="1"/>
  <c r="B1360" i="20"/>
  <c r="J1360" i="20" a="1"/>
  <c r="J1360" i="20" s="1"/>
  <c r="L1360" i="20" a="1"/>
  <c r="L1360" i="20" s="1"/>
  <c r="D1361" i="20" a="1"/>
  <c r="D1361" i="20" s="1"/>
  <c r="F1361" i="20" a="1"/>
  <c r="F1361" i="20" s="1"/>
  <c r="H1361" i="20" a="1"/>
  <c r="H1361" i="20" s="1"/>
  <c r="B1361" i="20"/>
  <c r="J1361" i="20" a="1"/>
  <c r="J1361" i="20" s="1"/>
  <c r="L1361" i="20" a="1"/>
  <c r="L1361" i="20" s="1"/>
  <c r="D1362" i="20" a="1"/>
  <c r="D1362" i="20" s="1"/>
  <c r="B1362" i="20"/>
  <c r="F1362" i="20" a="1"/>
  <c r="F1362" i="20" s="1"/>
  <c r="H1362" i="20" a="1"/>
  <c r="H1362" i="20" s="1"/>
  <c r="J1362" i="20" a="1"/>
  <c r="J1362" i="20" s="1"/>
  <c r="L1362" i="20" a="1"/>
  <c r="L1362" i="20" s="1"/>
  <c r="B1363" i="20"/>
  <c r="D1363" i="20" a="1"/>
  <c r="D1363" i="20" s="1"/>
  <c r="F1363" i="20" a="1"/>
  <c r="F1363" i="20" s="1"/>
  <c r="H1363" i="20" a="1"/>
  <c r="H1363" i="20" s="1"/>
  <c r="J1363" i="20" a="1"/>
  <c r="J1363" i="20" s="1"/>
  <c r="L1363" i="20" a="1"/>
  <c r="L1363" i="20" s="1"/>
  <c r="D1364" i="20" a="1"/>
  <c r="D1364" i="20" s="1"/>
  <c r="F1364" i="20" a="1"/>
  <c r="F1364" i="20" s="1"/>
  <c r="H1364" i="20" a="1"/>
  <c r="H1364" i="20" s="1"/>
  <c r="B1364" i="20"/>
  <c r="J1364" i="20" a="1"/>
  <c r="J1364" i="20" s="1"/>
  <c r="L1364" i="20" a="1"/>
  <c r="L1364" i="20" s="1"/>
  <c r="B1365" i="20"/>
  <c r="D1365" i="20" a="1"/>
  <c r="D1365" i="20" s="1"/>
  <c r="F1365" i="20" a="1"/>
  <c r="F1365" i="20" s="1"/>
  <c r="H1365" i="20" a="1"/>
  <c r="H1365" i="20" s="1"/>
  <c r="J1365" i="20" a="1"/>
  <c r="J1365" i="20" s="1"/>
  <c r="L1365" i="20" a="1"/>
  <c r="L1365" i="20" s="1"/>
  <c r="D1366" i="20" a="1"/>
  <c r="D1366" i="20" s="1"/>
  <c r="F1366" i="20" a="1"/>
  <c r="F1366" i="20" s="1"/>
  <c r="H1366" i="20" a="1"/>
  <c r="H1366" i="20" s="1"/>
  <c r="B1366" i="20"/>
  <c r="J1366" i="20" a="1"/>
  <c r="J1366" i="20" s="1"/>
  <c r="L1366" i="20" a="1"/>
  <c r="L1366" i="20" s="1"/>
  <c r="B1367" i="20"/>
  <c r="D1367" i="20" a="1"/>
  <c r="D1367" i="20" s="1"/>
  <c r="F1367" i="20" a="1"/>
  <c r="F1367" i="20" s="1"/>
  <c r="H1367" i="20" a="1"/>
  <c r="H1367" i="20" s="1"/>
  <c r="J1367" i="20" a="1"/>
  <c r="J1367" i="20" s="1"/>
  <c r="L1367" i="20" a="1"/>
  <c r="L1367" i="20" s="1"/>
  <c r="B1368" i="20"/>
  <c r="D1368" i="20" a="1"/>
  <c r="D1368" i="20" s="1"/>
  <c r="F1368" i="20" a="1"/>
  <c r="F1368" i="20" s="1"/>
  <c r="H1368" i="20" a="1"/>
  <c r="H1368" i="20" s="1"/>
  <c r="J1368" i="20" a="1"/>
  <c r="J1368" i="20" s="1"/>
  <c r="L1368" i="20" a="1"/>
  <c r="L1368" i="20" s="1"/>
  <c r="D1369" i="20" a="1"/>
  <c r="D1369" i="20" s="1"/>
  <c r="F1369" i="20" a="1"/>
  <c r="F1369" i="20" s="1"/>
  <c r="H1369" i="20" a="1"/>
  <c r="H1369" i="20" s="1"/>
  <c r="B1369" i="20"/>
  <c r="J1369" i="20" a="1"/>
  <c r="J1369" i="20" s="1"/>
  <c r="L1369" i="20" a="1"/>
  <c r="L1369" i="20" s="1"/>
  <c r="B1370" i="20"/>
  <c r="D1370" i="20" a="1"/>
  <c r="D1370" i="20" s="1"/>
  <c r="F1370" i="20" a="1"/>
  <c r="F1370" i="20" s="1"/>
  <c r="H1370" i="20" a="1"/>
  <c r="H1370" i="20" s="1"/>
  <c r="J1370" i="20" a="1"/>
  <c r="J1370" i="20" s="1"/>
  <c r="L1370" i="20" a="1"/>
  <c r="L1370" i="20" s="1"/>
  <c r="D1371" i="20" a="1"/>
  <c r="D1371" i="20" s="1"/>
  <c r="F1371" i="20" a="1"/>
  <c r="F1371" i="20" s="1"/>
  <c r="H1371" i="20" a="1"/>
  <c r="H1371" i="20" s="1"/>
  <c r="B1371" i="20"/>
  <c r="J1371" i="20" a="1"/>
  <c r="J1371" i="20" s="1"/>
  <c r="L1371" i="20" a="1"/>
  <c r="L1371" i="20" s="1"/>
  <c r="B1372" i="20"/>
  <c r="D1372" i="20" a="1"/>
  <c r="D1372" i="20" s="1"/>
  <c r="F1372" i="20" a="1"/>
  <c r="F1372" i="20" s="1"/>
  <c r="H1372" i="20" a="1"/>
  <c r="H1372" i="20" s="1"/>
  <c r="J1372" i="20" a="1"/>
  <c r="J1372" i="20" s="1"/>
  <c r="L1372" i="20" a="1"/>
  <c r="L1372" i="20" s="1"/>
  <c r="D1373" i="20" a="1"/>
  <c r="D1373" i="20" s="1"/>
  <c r="B1373" i="20"/>
  <c r="F1373" i="20" a="1"/>
  <c r="F1373" i="20" s="1"/>
  <c r="H1373" i="20" a="1"/>
  <c r="H1373" i="20" s="1"/>
  <c r="J1373" i="20" a="1"/>
  <c r="J1373" i="20" s="1"/>
  <c r="L1373" i="20" a="1"/>
  <c r="L1373" i="20" s="1"/>
  <c r="B1374" i="20"/>
  <c r="D1374" i="20" a="1"/>
  <c r="D1374" i="20" s="1"/>
  <c r="F1374" i="20" a="1"/>
  <c r="F1374" i="20" s="1"/>
  <c r="H1374" i="20" a="1"/>
  <c r="H1374" i="20" s="1"/>
  <c r="J1374" i="20" a="1"/>
  <c r="J1374" i="20" s="1"/>
  <c r="L1374" i="20" a="1"/>
  <c r="L1374" i="20" s="1"/>
  <c r="D1375" i="20" a="1"/>
  <c r="D1375" i="20" s="1"/>
  <c r="F1375" i="20" a="1"/>
  <c r="F1375" i="20" s="1"/>
  <c r="B1375" i="20"/>
  <c r="H1375" i="20" a="1"/>
  <c r="H1375" i="20" s="1"/>
  <c r="J1375" i="20" a="1"/>
  <c r="J1375" i="20" s="1"/>
  <c r="L1375" i="20" a="1"/>
  <c r="L1375" i="20" s="1"/>
  <c r="D1376" i="20" a="1"/>
  <c r="D1376" i="20" s="1"/>
  <c r="B1376" i="20"/>
  <c r="F1376" i="20" a="1"/>
  <c r="F1376" i="20" s="1"/>
  <c r="H1376" i="20" a="1"/>
  <c r="H1376" i="20" s="1"/>
  <c r="J1376" i="20" a="1"/>
  <c r="J1376" i="20" s="1"/>
  <c r="L1376" i="20" a="1"/>
  <c r="L1376" i="20" s="1"/>
  <c r="B1377" i="20"/>
  <c r="D1377" i="20" a="1"/>
  <c r="D1377" i="20" s="1"/>
  <c r="F1377" i="20" a="1"/>
  <c r="F1377" i="20" s="1"/>
  <c r="H1377" i="20" a="1"/>
  <c r="H1377" i="20" s="1"/>
  <c r="J1377" i="20" a="1"/>
  <c r="J1377" i="20" s="1"/>
  <c r="L1377" i="20" a="1"/>
  <c r="L1377" i="20" s="1"/>
  <c r="B1378" i="20"/>
  <c r="D1378" i="20" a="1"/>
  <c r="D1378" i="20" s="1"/>
  <c r="F1378" i="20" a="1"/>
  <c r="F1378" i="20" s="1"/>
  <c r="H1378" i="20" a="1"/>
  <c r="H1378" i="20" s="1"/>
  <c r="J1378" i="20" a="1"/>
  <c r="J1378" i="20" s="1"/>
  <c r="L1378" i="20" a="1"/>
  <c r="L1378" i="20" s="1"/>
  <c r="D1379" i="20" a="1"/>
  <c r="D1379" i="20" s="1"/>
  <c r="F1379" i="20" a="1"/>
  <c r="F1379" i="20" s="1"/>
  <c r="H1379" i="20" a="1"/>
  <c r="H1379" i="20" s="1"/>
  <c r="B1379" i="20"/>
  <c r="J1379" i="20" a="1"/>
  <c r="J1379" i="20" s="1"/>
  <c r="L1379" i="20" a="1"/>
  <c r="L1379" i="20" s="1"/>
  <c r="B1380" i="20"/>
  <c r="D1380" i="20" a="1"/>
  <c r="D1380" i="20" s="1"/>
  <c r="F1380" i="20" a="1"/>
  <c r="F1380" i="20" s="1"/>
  <c r="H1380" i="20" a="1"/>
  <c r="H1380" i="20" s="1"/>
  <c r="J1380" i="20" a="1"/>
  <c r="J1380" i="20" s="1"/>
  <c r="L1380" i="20" a="1"/>
  <c r="L1380" i="20" s="1"/>
  <c r="B1381" i="20"/>
  <c r="D1381" i="20" a="1"/>
  <c r="D1381" i="20" s="1"/>
  <c r="F1381" i="20" a="1"/>
  <c r="F1381" i="20" s="1"/>
  <c r="H1381" i="20" a="1"/>
  <c r="H1381" i="20" s="1"/>
  <c r="J1381" i="20" a="1"/>
  <c r="J1381" i="20" s="1"/>
  <c r="L1381" i="20" a="1"/>
  <c r="L1381" i="20" s="1"/>
  <c r="D1382" i="20" a="1"/>
  <c r="D1382" i="20" s="1"/>
  <c r="B1382" i="20"/>
  <c r="F1382" i="20" a="1"/>
  <c r="F1382" i="20" s="1"/>
  <c r="H1382" i="20" a="1"/>
  <c r="H1382" i="20" s="1"/>
  <c r="J1382" i="20" a="1"/>
  <c r="J1382" i="20" s="1"/>
  <c r="L1382" i="20" a="1"/>
  <c r="L1382" i="20" s="1"/>
  <c r="B1383" i="20"/>
  <c r="D1383" i="20" a="1"/>
  <c r="D1383" i="20" s="1"/>
  <c r="F1383" i="20" a="1"/>
  <c r="F1383" i="20" s="1"/>
  <c r="H1383" i="20" a="1"/>
  <c r="H1383" i="20" s="1"/>
  <c r="J1383" i="20" a="1"/>
  <c r="J1383" i="20" s="1"/>
  <c r="L1383" i="20" a="1"/>
  <c r="L1383" i="20" s="1"/>
  <c r="B1384" i="20"/>
  <c r="D1384" i="20" a="1"/>
  <c r="D1384" i="20" s="1"/>
  <c r="F1384" i="20" a="1"/>
  <c r="F1384" i="20" s="1"/>
  <c r="H1384" i="20" a="1"/>
  <c r="H1384" i="20" s="1"/>
  <c r="J1384" i="20" a="1"/>
  <c r="J1384" i="20" s="1"/>
  <c r="L1384" i="20" a="1"/>
  <c r="L1384" i="20" s="1"/>
  <c r="D1385" i="20" a="1"/>
  <c r="D1385" i="20" s="1"/>
  <c r="F1385" i="20" a="1"/>
  <c r="F1385" i="20" s="1"/>
  <c r="B1385" i="20"/>
  <c r="H1385" i="20" a="1"/>
  <c r="H1385" i="20" s="1"/>
  <c r="J1385" i="20" a="1"/>
  <c r="J1385" i="20" s="1"/>
  <c r="L1385" i="20" a="1"/>
  <c r="L1385" i="20" s="1"/>
  <c r="B1386" i="20"/>
  <c r="D1386" i="20" a="1"/>
  <c r="D1386" i="20" s="1"/>
  <c r="F1386" i="20" a="1"/>
  <c r="F1386" i="20" s="1"/>
  <c r="H1386" i="20" a="1"/>
  <c r="H1386" i="20" s="1"/>
  <c r="J1386" i="20" a="1"/>
  <c r="J1386" i="20" s="1"/>
  <c r="L1386" i="20" a="1"/>
  <c r="L1386" i="20" s="1"/>
  <c r="D1387" i="20" a="1"/>
  <c r="D1387" i="20" s="1"/>
  <c r="F1387" i="20" a="1"/>
  <c r="F1387" i="20" s="1"/>
  <c r="H1387" i="20" a="1"/>
  <c r="H1387" i="20" s="1"/>
  <c r="B1387" i="20"/>
  <c r="J1387" i="20" a="1"/>
  <c r="J1387" i="20" s="1"/>
  <c r="L1387" i="20" a="1"/>
  <c r="L1387" i="20" s="1"/>
  <c r="D1388" i="20" a="1"/>
  <c r="D1388" i="20" s="1"/>
  <c r="B1388" i="20"/>
  <c r="F1388" i="20" a="1"/>
  <c r="F1388" i="20" s="1"/>
  <c r="H1388" i="20" a="1"/>
  <c r="H1388" i="20" s="1"/>
  <c r="J1388" i="20" a="1"/>
  <c r="J1388" i="20" s="1"/>
  <c r="L1388" i="20" a="1"/>
  <c r="L1388" i="20" s="1"/>
  <c r="D1389" i="20" a="1"/>
  <c r="D1389" i="20" s="1"/>
  <c r="F1389" i="20" a="1"/>
  <c r="F1389" i="20" s="1"/>
  <c r="B1389" i="20"/>
  <c r="H1389" i="20" a="1"/>
  <c r="H1389" i="20" s="1"/>
  <c r="J1389" i="20" a="1"/>
  <c r="J1389" i="20" s="1"/>
  <c r="L1389" i="20" a="1"/>
  <c r="L1389" i="20" s="1"/>
  <c r="B1390" i="20"/>
  <c r="D1390" i="20" a="1"/>
  <c r="D1390" i="20" s="1"/>
  <c r="F1390" i="20" a="1"/>
  <c r="F1390" i="20" s="1"/>
  <c r="H1390" i="20" a="1"/>
  <c r="H1390" i="20" s="1"/>
  <c r="J1390" i="20" a="1"/>
  <c r="J1390" i="20" s="1"/>
  <c r="L1390" i="20" a="1"/>
  <c r="L1390" i="20" s="1"/>
  <c r="D1391" i="20" a="1"/>
  <c r="D1391" i="20" s="1"/>
  <c r="F1391" i="20" a="1"/>
  <c r="F1391" i="20" s="1"/>
  <c r="H1391" i="20" a="1"/>
  <c r="H1391" i="20" s="1"/>
  <c r="B1391" i="20"/>
  <c r="J1391" i="20" a="1"/>
  <c r="J1391" i="20" s="1"/>
  <c r="L1391" i="20" a="1"/>
  <c r="L1391" i="20" s="1"/>
  <c r="D1392" i="20" a="1"/>
  <c r="D1392" i="20" s="1"/>
  <c r="B1392" i="20"/>
  <c r="F1392" i="20" a="1"/>
  <c r="F1392" i="20" s="1"/>
  <c r="H1392" i="20" a="1"/>
  <c r="H1392" i="20" s="1"/>
  <c r="J1392" i="20" a="1"/>
  <c r="J1392" i="20" s="1"/>
  <c r="L1392" i="20" a="1"/>
  <c r="L1392" i="20" s="1"/>
  <c r="D1393" i="20" a="1"/>
  <c r="D1393" i="20" s="1"/>
  <c r="B1393" i="20"/>
  <c r="F1393" i="20" a="1"/>
  <c r="F1393" i="20" s="1"/>
  <c r="H1393" i="20" a="1"/>
  <c r="H1393" i="20" s="1"/>
  <c r="J1393" i="20" a="1"/>
  <c r="J1393" i="20" s="1"/>
  <c r="L1393" i="20" a="1"/>
  <c r="L1393" i="20" s="1"/>
  <c r="B1394" i="20"/>
  <c r="D1394" i="20" a="1"/>
  <c r="D1394" i="20" s="1"/>
  <c r="F1394" i="20" a="1"/>
  <c r="F1394" i="20" s="1"/>
  <c r="H1394" i="20" a="1"/>
  <c r="H1394" i="20" s="1"/>
  <c r="J1394" i="20" a="1"/>
  <c r="J1394" i="20" s="1"/>
  <c r="L1394" i="20" a="1"/>
  <c r="L1394" i="20" s="1"/>
  <c r="D1395" i="20" a="1"/>
  <c r="D1395" i="20" s="1"/>
  <c r="F1395" i="20" a="1"/>
  <c r="F1395" i="20" s="1"/>
  <c r="H1395" i="20" a="1"/>
  <c r="H1395" i="20" s="1"/>
  <c r="B1395" i="20"/>
  <c r="J1395" i="20" a="1"/>
  <c r="J1395" i="20" s="1"/>
  <c r="L1395" i="20" a="1"/>
  <c r="L1395" i="20" s="1"/>
  <c r="D1396" i="20" a="1"/>
  <c r="D1396" i="20" s="1"/>
  <c r="B1396" i="20"/>
  <c r="F1396" i="20" a="1"/>
  <c r="F1396" i="20" s="1"/>
  <c r="H1396" i="20" a="1"/>
  <c r="H1396" i="20" s="1"/>
  <c r="J1396" i="20" a="1"/>
  <c r="J1396" i="20" s="1"/>
  <c r="L1396" i="20" a="1"/>
  <c r="L1396" i="20" s="1"/>
  <c r="D1397" i="20" a="1"/>
  <c r="D1397" i="20" s="1"/>
  <c r="B1397" i="20"/>
  <c r="F1397" i="20" a="1"/>
  <c r="F1397" i="20" s="1"/>
  <c r="H1397" i="20" a="1"/>
  <c r="H1397" i="20" s="1"/>
  <c r="J1397" i="20" a="1"/>
  <c r="J1397" i="20" s="1"/>
  <c r="L1397" i="20" a="1"/>
  <c r="L1397" i="20" s="1"/>
  <c r="D1398" i="20" a="1"/>
  <c r="D1398" i="20" s="1"/>
  <c r="F1398" i="20" a="1"/>
  <c r="F1398" i="20" s="1"/>
  <c r="H1398" i="20" a="1"/>
  <c r="H1398" i="20" s="1"/>
  <c r="B1398" i="20"/>
  <c r="J1398" i="20" a="1"/>
  <c r="J1398" i="20" s="1"/>
  <c r="L1398" i="20" a="1"/>
  <c r="L1398" i="20" s="1"/>
  <c r="B1399" i="20"/>
  <c r="D1399" i="20" a="1"/>
  <c r="D1399" i="20" s="1"/>
  <c r="F1399" i="20" a="1"/>
  <c r="F1399" i="20" s="1"/>
  <c r="H1399" i="20" a="1"/>
  <c r="H1399" i="20" s="1"/>
  <c r="J1399" i="20" a="1"/>
  <c r="J1399" i="20" s="1"/>
  <c r="L1399" i="20" a="1"/>
  <c r="L1399" i="20" s="1"/>
  <c r="D1400" i="20" a="1"/>
  <c r="D1400" i="20" s="1"/>
  <c r="F1400" i="20" a="1"/>
  <c r="F1400" i="20" s="1"/>
  <c r="H1400" i="20" a="1"/>
  <c r="H1400" i="20" s="1"/>
  <c r="B1400" i="20"/>
  <c r="J1400" i="20" a="1"/>
  <c r="J1400" i="20" s="1"/>
  <c r="L1400" i="20" a="1"/>
  <c r="L1400" i="20" s="1"/>
  <c r="B1401" i="20"/>
  <c r="D1401" i="20" a="1"/>
  <c r="D1401" i="20" s="1"/>
  <c r="F1401" i="20" a="1"/>
  <c r="F1401" i="20" s="1"/>
  <c r="H1401" i="20" a="1"/>
  <c r="H1401" i="20" s="1"/>
  <c r="J1401" i="20" a="1"/>
  <c r="J1401" i="20" s="1"/>
  <c r="L1401" i="20" a="1"/>
  <c r="L1401" i="20" s="1"/>
  <c r="D1402" i="20" a="1"/>
  <c r="D1402" i="20" s="1"/>
  <c r="F1402" i="20" a="1"/>
  <c r="F1402" i="20" s="1"/>
  <c r="B1402" i="20"/>
  <c r="H1402" i="20" a="1"/>
  <c r="H1402" i="20" s="1"/>
  <c r="J1402" i="20" a="1"/>
  <c r="J1402" i="20" s="1"/>
  <c r="L1402" i="20" a="1"/>
  <c r="L1402" i="20" s="1"/>
  <c r="B1403" i="20"/>
  <c r="D1403" i="20" a="1"/>
  <c r="D1403" i="20" s="1"/>
  <c r="F1403" i="20" a="1"/>
  <c r="F1403" i="20" s="1"/>
  <c r="H1403" i="20" a="1"/>
  <c r="H1403" i="20" s="1"/>
  <c r="J1403" i="20" a="1"/>
  <c r="J1403" i="20" s="1"/>
  <c r="L1403" i="20" a="1"/>
  <c r="L1403" i="20" s="1"/>
  <c r="D1404" i="20" a="1"/>
  <c r="D1404" i="20" s="1"/>
  <c r="B1404" i="20"/>
  <c r="F1404" i="20" a="1"/>
  <c r="F1404" i="20" s="1"/>
  <c r="H1404" i="20" a="1"/>
  <c r="H1404" i="20" s="1"/>
  <c r="J1404" i="20" a="1"/>
  <c r="J1404" i="20" s="1"/>
  <c r="L1404" i="20" a="1"/>
  <c r="L1404" i="20" s="1"/>
  <c r="D1405" i="20" a="1"/>
  <c r="D1405" i="20" s="1"/>
  <c r="F1405" i="20" a="1"/>
  <c r="F1405" i="20" s="1"/>
  <c r="H1405" i="20" a="1"/>
  <c r="H1405" i="20" s="1"/>
  <c r="B1405" i="20"/>
  <c r="J1405" i="20" a="1"/>
  <c r="J1405" i="20" s="1"/>
  <c r="L1405" i="20" a="1"/>
  <c r="L1405" i="20" s="1"/>
  <c r="B1406" i="20"/>
  <c r="D1406" i="20" a="1"/>
  <c r="D1406" i="20" s="1"/>
  <c r="F1406" i="20" a="1"/>
  <c r="F1406" i="20" s="1"/>
  <c r="H1406" i="20" a="1"/>
  <c r="H1406" i="20" s="1"/>
  <c r="J1406" i="20" a="1"/>
  <c r="J1406" i="20" s="1"/>
  <c r="L1406" i="20" a="1"/>
  <c r="L1406" i="20" s="1"/>
  <c r="D1407" i="20" a="1"/>
  <c r="D1407" i="20" s="1"/>
  <c r="F1407" i="20" a="1"/>
  <c r="F1407" i="20" s="1"/>
  <c r="H1407" i="20" a="1"/>
  <c r="H1407" i="20" s="1"/>
  <c r="B1407" i="20"/>
  <c r="J1407" i="20" a="1"/>
  <c r="J1407" i="20" s="1"/>
  <c r="L1407" i="20" a="1"/>
  <c r="L1407" i="20" s="1"/>
  <c r="D1408" i="20" a="1"/>
  <c r="D1408" i="20" s="1"/>
  <c r="F1408" i="20" a="1"/>
  <c r="F1408" i="20" s="1"/>
  <c r="H1408" i="20" a="1"/>
  <c r="H1408" i="20" s="1"/>
  <c r="B1408" i="20"/>
  <c r="J1408" i="20" a="1"/>
  <c r="J1408" i="20" s="1"/>
  <c r="L1408" i="20" a="1"/>
  <c r="L1408" i="20" s="1"/>
  <c r="B1409" i="20"/>
  <c r="D1409" i="20" a="1"/>
  <c r="D1409" i="20" s="1"/>
  <c r="F1409" i="20" a="1"/>
  <c r="F1409" i="20" s="1"/>
  <c r="H1409" i="20" a="1"/>
  <c r="H1409" i="20" s="1"/>
  <c r="J1409" i="20" a="1"/>
  <c r="J1409" i="20" s="1"/>
  <c r="L1409" i="20" a="1"/>
  <c r="L1409" i="20" s="1"/>
  <c r="D1410" i="20" a="1"/>
  <c r="D1410" i="20" s="1"/>
  <c r="F1410" i="20" a="1"/>
  <c r="F1410" i="20" s="1"/>
  <c r="H1410" i="20" a="1"/>
  <c r="H1410" i="20" s="1"/>
  <c r="B1410" i="20"/>
  <c r="J1410" i="20" a="1"/>
  <c r="J1410" i="20" s="1"/>
  <c r="L1410" i="20" a="1"/>
  <c r="L1410" i="20" s="1"/>
  <c r="D1411" i="20" a="1"/>
  <c r="D1411" i="20" s="1"/>
  <c r="F1411" i="20" a="1"/>
  <c r="F1411" i="20" s="1"/>
  <c r="H1411" i="20" a="1"/>
  <c r="H1411" i="20" s="1"/>
  <c r="B1411" i="20"/>
  <c r="J1411" i="20" a="1"/>
  <c r="J1411" i="20" s="1"/>
  <c r="L1411" i="20" a="1"/>
  <c r="L1411" i="20" s="1"/>
  <c r="B1412" i="20"/>
  <c r="D1412" i="20" a="1"/>
  <c r="D1412" i="20" s="1"/>
  <c r="F1412" i="20" a="1"/>
  <c r="F1412" i="20" s="1"/>
  <c r="H1412" i="20" a="1"/>
  <c r="H1412" i="20" s="1"/>
  <c r="J1412" i="20" a="1"/>
  <c r="J1412" i="20" s="1"/>
  <c r="L1412" i="20" a="1"/>
  <c r="L1412" i="20" s="1"/>
  <c r="B1413" i="20"/>
  <c r="D1413" i="20" a="1"/>
  <c r="D1413" i="20" s="1"/>
  <c r="F1413" i="20" a="1"/>
  <c r="F1413" i="20" s="1"/>
  <c r="H1413" i="20" a="1"/>
  <c r="H1413" i="20" s="1"/>
  <c r="J1413" i="20" a="1"/>
  <c r="J1413" i="20" s="1"/>
  <c r="L1413" i="20" a="1"/>
  <c r="L1413" i="20" s="1"/>
  <c r="D1414" i="20" a="1"/>
  <c r="D1414" i="20" s="1"/>
  <c r="B1414" i="20"/>
  <c r="F1414" i="20" a="1"/>
  <c r="F1414" i="20" s="1"/>
  <c r="H1414" i="20" a="1"/>
  <c r="H1414" i="20" s="1"/>
  <c r="J1414" i="20" a="1"/>
  <c r="J1414" i="20" s="1"/>
  <c r="L1414" i="20" a="1"/>
  <c r="L1414" i="20" s="1"/>
  <c r="B1415" i="20"/>
  <c r="D1415" i="20" a="1"/>
  <c r="D1415" i="20" s="1"/>
  <c r="F1415" i="20" a="1"/>
  <c r="F1415" i="20" s="1"/>
  <c r="H1415" i="20" a="1"/>
  <c r="H1415" i="20" s="1"/>
  <c r="J1415" i="20" a="1"/>
  <c r="J1415" i="20" s="1"/>
  <c r="L1415" i="20" a="1"/>
  <c r="L1415" i="20" s="1"/>
  <c r="D1416" i="20" a="1"/>
  <c r="D1416" i="20" s="1"/>
  <c r="B1416" i="20"/>
  <c r="F1416" i="20" a="1"/>
  <c r="F1416" i="20" s="1"/>
  <c r="H1416" i="20" a="1"/>
  <c r="H1416" i="20" s="1"/>
  <c r="J1416" i="20" a="1"/>
  <c r="J1416" i="20" s="1"/>
  <c r="L1416" i="20" a="1"/>
  <c r="L1416" i="20" s="1"/>
  <c r="D1417" i="20" a="1"/>
  <c r="D1417" i="20" s="1"/>
  <c r="B1417" i="20"/>
  <c r="F1417" i="20" a="1"/>
  <c r="F1417" i="20" s="1"/>
  <c r="H1417" i="20" a="1"/>
  <c r="H1417" i="20" s="1"/>
  <c r="J1417" i="20" a="1"/>
  <c r="J1417" i="20" s="1"/>
  <c r="L1417" i="20" a="1"/>
  <c r="L1417" i="20" s="1"/>
  <c r="D1418" i="20" a="1"/>
  <c r="D1418" i="20" s="1"/>
  <c r="F1418" i="20" a="1"/>
  <c r="F1418" i="20" s="1"/>
  <c r="H1418" i="20" a="1"/>
  <c r="H1418" i="20" s="1"/>
  <c r="B1418" i="20"/>
  <c r="J1418" i="20" a="1"/>
  <c r="J1418" i="20" s="1"/>
  <c r="L1418" i="20" a="1"/>
  <c r="L1418" i="20" s="1"/>
  <c r="D1419" i="20" a="1"/>
  <c r="D1419" i="20" s="1"/>
  <c r="F1419" i="20" a="1"/>
  <c r="F1419" i="20" s="1"/>
  <c r="H1419" i="20" a="1"/>
  <c r="H1419" i="20" s="1"/>
  <c r="B1419" i="20"/>
  <c r="J1419" i="20" a="1"/>
  <c r="J1419" i="20" s="1"/>
  <c r="L1419" i="20" a="1"/>
  <c r="L1419" i="20" s="1"/>
  <c r="D1420" i="20" a="1"/>
  <c r="D1420" i="20" s="1"/>
  <c r="F1420" i="20" a="1"/>
  <c r="F1420" i="20" s="1"/>
  <c r="H1420" i="20" a="1"/>
  <c r="H1420" i="20" s="1"/>
  <c r="B1420" i="20"/>
  <c r="J1420" i="20" a="1"/>
  <c r="J1420" i="20" s="1"/>
  <c r="L1420" i="20" a="1"/>
  <c r="L1420" i="20" s="1"/>
  <c r="D1421" i="20" a="1"/>
  <c r="D1421" i="20" s="1"/>
  <c r="F1421" i="20" a="1"/>
  <c r="F1421" i="20" s="1"/>
  <c r="B1421" i="20"/>
  <c r="H1421" i="20" a="1"/>
  <c r="H1421" i="20" s="1"/>
  <c r="J1421" i="20" a="1"/>
  <c r="J1421" i="20" s="1"/>
  <c r="L1421" i="20" a="1"/>
  <c r="L1421" i="20" s="1"/>
  <c r="D1422" i="20" a="1"/>
  <c r="D1422" i="20" s="1"/>
  <c r="B1422" i="20"/>
  <c r="F1422" i="20" a="1"/>
  <c r="F1422" i="20" s="1"/>
  <c r="H1422" i="20" a="1"/>
  <c r="H1422" i="20" s="1"/>
  <c r="J1422" i="20" a="1"/>
  <c r="J1422" i="20" s="1"/>
  <c r="L1422" i="20" a="1"/>
  <c r="L1422" i="20" s="1"/>
  <c r="D1423" i="20" a="1"/>
  <c r="D1423" i="20" s="1"/>
  <c r="F1423" i="20" a="1"/>
  <c r="F1423" i="20" s="1"/>
  <c r="H1423" i="20" a="1"/>
  <c r="H1423" i="20" s="1"/>
  <c r="B1423" i="20"/>
  <c r="J1423" i="20" a="1"/>
  <c r="J1423" i="20" s="1"/>
  <c r="L1423" i="20" a="1"/>
  <c r="L1423" i="20" s="1"/>
  <c r="D1424" i="20" a="1"/>
  <c r="D1424" i="20" s="1"/>
  <c r="F1424" i="20" a="1"/>
  <c r="F1424" i="20" s="1"/>
  <c r="H1424" i="20" a="1"/>
  <c r="H1424" i="20" s="1"/>
  <c r="B1424" i="20"/>
  <c r="J1424" i="20" a="1"/>
  <c r="J1424" i="20" s="1"/>
  <c r="L1424" i="20" a="1"/>
  <c r="L1424" i="20" s="1"/>
  <c r="D1425" i="20" a="1"/>
  <c r="D1425" i="20" s="1"/>
  <c r="F1425" i="20" a="1"/>
  <c r="F1425" i="20" s="1"/>
  <c r="H1425" i="20" a="1"/>
  <c r="H1425" i="20" s="1"/>
  <c r="B1425" i="20"/>
  <c r="J1425" i="20" a="1"/>
  <c r="J1425" i="20" s="1"/>
  <c r="L1425" i="20" a="1"/>
  <c r="L1425" i="20" s="1"/>
  <c r="D1426" i="20" a="1"/>
  <c r="D1426" i="20" s="1"/>
  <c r="B1426" i="20"/>
  <c r="F1426" i="20" a="1"/>
  <c r="F1426" i="20" s="1"/>
  <c r="H1426" i="20" a="1"/>
  <c r="H1426" i="20" s="1"/>
  <c r="J1426" i="20" a="1"/>
  <c r="J1426" i="20" s="1"/>
  <c r="L1426" i="20" a="1"/>
  <c r="L1426" i="20" s="1"/>
  <c r="D1427" i="20" a="1"/>
  <c r="D1427" i="20" s="1"/>
  <c r="B1427" i="20"/>
  <c r="F1427" i="20" a="1"/>
  <c r="F1427" i="20" s="1"/>
  <c r="H1427" i="20" a="1"/>
  <c r="H1427" i="20" s="1"/>
  <c r="J1427" i="20" a="1"/>
  <c r="J1427" i="20" s="1"/>
  <c r="L1427" i="20" a="1"/>
  <c r="L1427" i="20" s="1"/>
  <c r="D1428" i="20" a="1"/>
  <c r="D1428" i="20" s="1"/>
  <c r="F1428" i="20" a="1"/>
  <c r="F1428" i="20" s="1"/>
  <c r="H1428" i="20" a="1"/>
  <c r="H1428" i="20" s="1"/>
  <c r="B1428" i="20"/>
  <c r="J1428" i="20" a="1"/>
  <c r="J1428" i="20" s="1"/>
  <c r="L1428" i="20" a="1"/>
  <c r="L1428" i="20" s="1"/>
  <c r="D1429" i="20" a="1"/>
  <c r="D1429" i="20" s="1"/>
  <c r="F1429" i="20" a="1"/>
  <c r="F1429" i="20" s="1"/>
  <c r="H1429" i="20" a="1"/>
  <c r="H1429" i="20" s="1"/>
  <c r="B1429" i="20"/>
  <c r="J1429" i="20" a="1"/>
  <c r="J1429" i="20" s="1"/>
  <c r="L1429" i="20" a="1"/>
  <c r="L1429" i="20" s="1"/>
  <c r="D1430" i="20" a="1"/>
  <c r="D1430" i="20" s="1"/>
  <c r="B1430" i="20"/>
  <c r="F1430" i="20" a="1"/>
  <c r="F1430" i="20" s="1"/>
  <c r="H1430" i="20" a="1"/>
  <c r="H1430" i="20" s="1"/>
  <c r="J1430" i="20" a="1"/>
  <c r="J1430" i="20" s="1"/>
  <c r="L1430" i="20" a="1"/>
  <c r="L1430" i="20" s="1"/>
  <c r="D1431" i="20" a="1"/>
  <c r="D1431" i="20" s="1"/>
  <c r="B1431" i="20"/>
  <c r="F1431" i="20" a="1"/>
  <c r="F1431" i="20" s="1"/>
  <c r="H1431" i="20" a="1"/>
  <c r="H1431" i="20" s="1"/>
  <c r="J1431" i="20" a="1"/>
  <c r="J1431" i="20" s="1"/>
  <c r="L1431" i="20" a="1"/>
  <c r="L1431" i="20" s="1"/>
  <c r="D1432" i="20" a="1"/>
  <c r="D1432" i="20" s="1"/>
  <c r="F1432" i="20" a="1"/>
  <c r="F1432" i="20" s="1"/>
  <c r="H1432" i="20" a="1"/>
  <c r="H1432" i="20" s="1"/>
  <c r="B1432" i="20"/>
  <c r="J1432" i="20" a="1"/>
  <c r="J1432" i="20" s="1"/>
  <c r="L1432" i="20" a="1"/>
  <c r="L1432" i="20" s="1"/>
  <c r="D1433" i="20" a="1"/>
  <c r="D1433" i="20" s="1"/>
  <c r="F1433" i="20" a="1"/>
  <c r="F1433" i="20" s="1"/>
  <c r="H1433" i="20" a="1"/>
  <c r="H1433" i="20" s="1"/>
  <c r="B1433" i="20"/>
  <c r="J1433" i="20" a="1"/>
  <c r="J1433" i="20" s="1"/>
  <c r="L1433" i="20" a="1"/>
  <c r="L1433" i="20" s="1"/>
  <c r="D1434" i="20" a="1"/>
  <c r="D1434" i="20" s="1"/>
  <c r="B1434" i="20"/>
  <c r="F1434" i="20" a="1"/>
  <c r="F1434" i="20" s="1"/>
  <c r="H1434" i="20" a="1"/>
  <c r="H1434" i="20" s="1"/>
  <c r="J1434" i="20" a="1"/>
  <c r="J1434" i="20" s="1"/>
  <c r="L1434" i="20" a="1"/>
  <c r="L1434" i="20" s="1"/>
  <c r="D1435" i="20" a="1"/>
  <c r="D1435" i="20" s="1"/>
  <c r="B1435" i="20"/>
  <c r="F1435" i="20" a="1"/>
  <c r="F1435" i="20" s="1"/>
  <c r="H1435" i="20" a="1"/>
  <c r="H1435" i="20" s="1"/>
  <c r="J1435" i="20" a="1"/>
  <c r="J1435" i="20" s="1"/>
  <c r="L1435" i="20" a="1"/>
  <c r="L1435" i="20" s="1"/>
  <c r="D1436" i="20" a="1"/>
  <c r="D1436" i="20" s="1"/>
  <c r="F1436" i="20" a="1"/>
  <c r="F1436" i="20" s="1"/>
  <c r="B1436" i="20"/>
  <c r="H1436" i="20" a="1"/>
  <c r="H1436" i="20" s="1"/>
  <c r="J1436" i="20" a="1"/>
  <c r="J1436" i="20" s="1"/>
  <c r="L1436" i="20" a="1"/>
  <c r="L1436" i="20" s="1"/>
  <c r="D1437" i="20" a="1"/>
  <c r="D1437" i="20" s="1"/>
  <c r="B1437" i="20"/>
  <c r="F1437" i="20" a="1"/>
  <c r="F1437" i="20" s="1"/>
  <c r="H1437" i="20" a="1"/>
  <c r="H1437" i="20" s="1"/>
  <c r="J1437" i="20" a="1"/>
  <c r="J1437" i="20" s="1"/>
  <c r="L1437" i="20" a="1"/>
  <c r="L1437" i="20" s="1"/>
  <c r="B1438" i="20"/>
  <c r="D1438" i="20" a="1"/>
  <c r="D1438" i="20" s="1"/>
  <c r="F1438" i="20" a="1"/>
  <c r="F1438" i="20" s="1"/>
  <c r="H1438" i="20" a="1"/>
  <c r="H1438" i="20" s="1"/>
  <c r="J1438" i="20" a="1"/>
  <c r="J1438" i="20" s="1"/>
  <c r="L1438" i="20" a="1"/>
  <c r="L1438" i="20" s="1"/>
  <c r="D1439" i="20" a="1"/>
  <c r="D1439" i="20" s="1"/>
  <c r="F1439" i="20" a="1"/>
  <c r="F1439" i="20" s="1"/>
  <c r="H1439" i="20" a="1"/>
  <c r="H1439" i="20" s="1"/>
  <c r="B1439" i="20"/>
  <c r="J1439" i="20" a="1"/>
  <c r="J1439" i="20" s="1"/>
  <c r="L1439" i="20" a="1"/>
  <c r="L1439" i="20" s="1"/>
  <c r="D1440" i="20" a="1"/>
  <c r="D1440" i="20" s="1"/>
  <c r="B1440" i="20"/>
  <c r="F1440" i="20" a="1"/>
  <c r="F1440" i="20" s="1"/>
  <c r="H1440" i="20" a="1"/>
  <c r="H1440" i="20" s="1"/>
  <c r="J1440" i="20" a="1"/>
  <c r="J1440" i="20" s="1"/>
  <c r="L1440" i="20" a="1"/>
  <c r="L1440" i="20" s="1"/>
  <c r="D1441" i="20" a="1"/>
  <c r="D1441" i="20" s="1"/>
  <c r="B1441" i="20"/>
  <c r="F1441" i="20" a="1"/>
  <c r="F1441" i="20" s="1"/>
  <c r="H1441" i="20" a="1"/>
  <c r="H1441" i="20" s="1"/>
  <c r="J1441" i="20" a="1"/>
  <c r="J1441" i="20" s="1"/>
  <c r="L1441" i="20" a="1"/>
  <c r="L1441" i="20" s="1"/>
  <c r="D1442" i="20" a="1"/>
  <c r="D1442" i="20" s="1"/>
  <c r="F1442" i="20" a="1"/>
  <c r="F1442" i="20" s="1"/>
  <c r="H1442" i="20" a="1"/>
  <c r="H1442" i="20" s="1"/>
  <c r="B1442" i="20"/>
  <c r="J1442" i="20" a="1"/>
  <c r="J1442" i="20" s="1"/>
  <c r="L1442" i="20" a="1"/>
  <c r="L1442" i="20" s="1"/>
  <c r="D1443" i="20" a="1"/>
  <c r="D1443" i="20" s="1"/>
  <c r="F1443" i="20" a="1"/>
  <c r="F1443" i="20" s="1"/>
  <c r="H1443" i="20" a="1"/>
  <c r="H1443" i="20" s="1"/>
  <c r="B1443" i="20"/>
  <c r="J1443" i="20" a="1"/>
  <c r="J1443" i="20" s="1"/>
  <c r="L1443" i="20" a="1"/>
  <c r="L1443" i="20" s="1"/>
  <c r="D1444" i="20" a="1"/>
  <c r="D1444" i="20" s="1"/>
  <c r="F1444" i="20" a="1"/>
  <c r="F1444" i="20" s="1"/>
  <c r="H1444" i="20" a="1"/>
  <c r="H1444" i="20" s="1"/>
  <c r="B1444" i="20"/>
  <c r="J1444" i="20" a="1"/>
  <c r="J1444" i="20" s="1"/>
  <c r="L1444" i="20" a="1"/>
  <c r="L1444" i="20" s="1"/>
  <c r="B1445" i="20"/>
  <c r="D1445" i="20" a="1"/>
  <c r="D1445" i="20" s="1"/>
  <c r="F1445" i="20" a="1"/>
  <c r="F1445" i="20" s="1"/>
  <c r="H1445" i="20" a="1"/>
  <c r="H1445" i="20" s="1"/>
  <c r="J1445" i="20" a="1"/>
  <c r="J1445" i="20" s="1"/>
  <c r="L1445" i="20" a="1"/>
  <c r="L1445" i="20" s="1"/>
  <c r="B1446" i="20"/>
  <c r="D1446" i="20" a="1"/>
  <c r="D1446" i="20" s="1"/>
  <c r="F1446" i="20" a="1"/>
  <c r="F1446" i="20" s="1"/>
  <c r="H1446" i="20" a="1"/>
  <c r="H1446" i="20" s="1"/>
  <c r="J1446" i="20" a="1"/>
  <c r="J1446" i="20" s="1"/>
  <c r="L1446" i="20" a="1"/>
  <c r="L1446" i="20" s="1"/>
  <c r="D1447" i="20" a="1"/>
  <c r="D1447" i="20" s="1"/>
  <c r="F1447" i="20" a="1"/>
  <c r="F1447" i="20" s="1"/>
  <c r="H1447" i="20" a="1"/>
  <c r="H1447" i="20" s="1"/>
  <c r="B1447" i="20"/>
  <c r="J1447" i="20" a="1"/>
  <c r="J1447" i="20" s="1"/>
  <c r="L1447" i="20" a="1"/>
  <c r="L1447" i="20" s="1"/>
  <c r="D1448" i="20" a="1"/>
  <c r="D1448" i="20" s="1"/>
  <c r="B1448" i="20"/>
  <c r="F1448" i="20" a="1"/>
  <c r="F1448" i="20" s="1"/>
  <c r="H1448" i="20" a="1"/>
  <c r="H1448" i="20" s="1"/>
  <c r="J1448" i="20" a="1"/>
  <c r="J1448" i="20" s="1"/>
  <c r="L1448" i="20" a="1"/>
  <c r="L1448" i="20" s="1"/>
  <c r="B1449" i="20"/>
  <c r="D1449" i="20" a="1"/>
  <c r="D1449" i="20" s="1"/>
  <c r="F1449" i="20" a="1"/>
  <c r="F1449" i="20" s="1"/>
  <c r="H1449" i="20" a="1"/>
  <c r="H1449" i="20" s="1"/>
  <c r="J1449" i="20" a="1"/>
  <c r="J1449" i="20" s="1"/>
  <c r="L1449" i="20" a="1"/>
  <c r="L1449" i="20" s="1"/>
  <c r="D1450" i="20" a="1"/>
  <c r="D1450" i="20" s="1"/>
  <c r="F1450" i="20" a="1"/>
  <c r="F1450" i="20" s="1"/>
  <c r="B1450" i="20"/>
  <c r="H1450" i="20" a="1"/>
  <c r="H1450" i="20" s="1"/>
  <c r="J1450" i="20" a="1"/>
  <c r="J1450" i="20" s="1"/>
  <c r="L1450" i="20" a="1"/>
  <c r="L1450" i="20" s="1"/>
  <c r="D1451" i="20" a="1"/>
  <c r="D1451" i="20" s="1"/>
  <c r="F1451" i="20" a="1"/>
  <c r="F1451" i="20" s="1"/>
  <c r="H1451" i="20" a="1"/>
  <c r="H1451" i="20" s="1"/>
  <c r="B1451" i="20"/>
  <c r="J1451" i="20" a="1"/>
  <c r="J1451" i="20" s="1"/>
  <c r="L1451" i="20" a="1"/>
  <c r="L1451" i="20" s="1"/>
  <c r="B1452" i="20"/>
  <c r="D1452" i="20" a="1"/>
  <c r="D1452" i="20" s="1"/>
  <c r="F1452" i="20" a="1"/>
  <c r="F1452" i="20" s="1"/>
  <c r="H1452" i="20" a="1"/>
  <c r="H1452" i="20" s="1"/>
  <c r="J1452" i="20" a="1"/>
  <c r="J1452" i="20" s="1"/>
  <c r="L1452" i="20" a="1"/>
  <c r="L1452" i="20" s="1"/>
  <c r="D1453" i="20" a="1"/>
  <c r="D1453" i="20" s="1"/>
  <c r="B1453" i="20"/>
  <c r="F1453" i="20" a="1"/>
  <c r="F1453" i="20" s="1"/>
  <c r="H1453" i="20" a="1"/>
  <c r="H1453" i="20" s="1"/>
  <c r="J1453" i="20" a="1"/>
  <c r="J1453" i="20" s="1"/>
  <c r="L1453" i="20" a="1"/>
  <c r="L1453" i="20" s="1"/>
  <c r="D1454" i="20" a="1"/>
  <c r="D1454" i="20" s="1"/>
  <c r="B1454" i="20"/>
  <c r="F1454" i="20" a="1"/>
  <c r="F1454" i="20" s="1"/>
  <c r="H1454" i="20" a="1"/>
  <c r="H1454" i="20" s="1"/>
  <c r="J1454" i="20" a="1"/>
  <c r="J1454" i="20" s="1"/>
  <c r="L1454" i="20" a="1"/>
  <c r="L1454" i="20" s="1"/>
  <c r="D1455" i="20" a="1"/>
  <c r="D1455" i="20" s="1"/>
  <c r="F1455" i="20" a="1"/>
  <c r="F1455" i="20" s="1"/>
  <c r="H1455" i="20" a="1"/>
  <c r="H1455" i="20" s="1"/>
  <c r="B1455" i="20"/>
  <c r="J1455" i="20" a="1"/>
  <c r="J1455" i="20" s="1"/>
  <c r="L1455" i="20" a="1"/>
  <c r="L1455" i="20" s="1"/>
  <c r="D1456" i="20" a="1"/>
  <c r="D1456" i="20" s="1"/>
  <c r="B1456" i="20"/>
  <c r="F1456" i="20" a="1"/>
  <c r="F1456" i="20" s="1"/>
  <c r="H1456" i="20" a="1"/>
  <c r="H1456" i="20" s="1"/>
  <c r="J1456" i="20" a="1"/>
  <c r="J1456" i="20" s="1"/>
  <c r="L1456" i="20" a="1"/>
  <c r="L1456" i="20" s="1"/>
  <c r="D1457" i="20" a="1"/>
  <c r="D1457" i="20" s="1"/>
  <c r="B1457" i="20"/>
  <c r="F1457" i="20" a="1"/>
  <c r="F1457" i="20" s="1"/>
  <c r="H1457" i="20" a="1"/>
  <c r="H1457" i="20" s="1"/>
  <c r="J1457" i="20" a="1"/>
  <c r="J1457" i="20" s="1"/>
  <c r="L1457" i="20" a="1"/>
  <c r="L1457" i="20" s="1"/>
  <c r="D1458" i="20" a="1"/>
  <c r="D1458" i="20" s="1"/>
  <c r="F1458" i="20" a="1"/>
  <c r="F1458" i="20" s="1"/>
  <c r="H1458" i="20" a="1"/>
  <c r="H1458" i="20" s="1"/>
  <c r="B1458" i="20"/>
  <c r="J1458" i="20" a="1"/>
  <c r="J1458" i="20" s="1"/>
  <c r="L1458" i="20" a="1"/>
  <c r="L1458" i="20" s="1"/>
  <c r="D1459" i="20" a="1"/>
  <c r="D1459" i="20" s="1"/>
  <c r="F1459" i="20" a="1"/>
  <c r="F1459" i="20" s="1"/>
  <c r="H1459" i="20" a="1"/>
  <c r="H1459" i="20" s="1"/>
  <c r="B1459" i="20"/>
  <c r="J1459" i="20" a="1"/>
  <c r="J1459" i="20" s="1"/>
  <c r="L1459" i="20" a="1"/>
  <c r="L1459" i="20" s="1"/>
  <c r="D1460" i="20" a="1"/>
  <c r="D1460" i="20" s="1"/>
  <c r="F1460" i="20" a="1"/>
  <c r="F1460" i="20" s="1"/>
  <c r="H1460" i="20" a="1"/>
  <c r="H1460" i="20" s="1"/>
  <c r="B1460" i="20"/>
  <c r="J1460" i="20" a="1"/>
  <c r="J1460" i="20" s="1"/>
  <c r="L1460" i="20" a="1"/>
  <c r="L1460" i="20" s="1"/>
  <c r="D1461" i="20" a="1"/>
  <c r="D1461" i="20" s="1"/>
  <c r="F1461" i="20" a="1"/>
  <c r="F1461" i="20" s="1"/>
  <c r="H1461" i="20" a="1"/>
  <c r="H1461" i="20" s="1"/>
  <c r="B1461" i="20"/>
  <c r="J1461" i="20" a="1"/>
  <c r="J1461" i="20" s="1"/>
  <c r="L1461" i="20" a="1"/>
  <c r="L1461" i="20" s="1"/>
  <c r="D1462" i="20" a="1"/>
  <c r="D1462" i="20" s="1"/>
  <c r="B1462" i="20"/>
  <c r="F1462" i="20" a="1"/>
  <c r="F1462" i="20" s="1"/>
  <c r="H1462" i="20" a="1"/>
  <c r="H1462" i="20" s="1"/>
  <c r="J1462" i="20" a="1"/>
  <c r="J1462" i="20" s="1"/>
  <c r="L1462" i="20" a="1"/>
  <c r="L1462" i="20" s="1"/>
  <c r="D1463" i="20" a="1"/>
  <c r="D1463" i="20" s="1"/>
  <c r="F1463" i="20" a="1"/>
  <c r="F1463" i="20" s="1"/>
  <c r="B1463" i="20"/>
  <c r="H1463" i="20" a="1"/>
  <c r="H1463" i="20" s="1"/>
  <c r="J1463" i="20" a="1"/>
  <c r="J1463" i="20" s="1"/>
  <c r="L1463" i="20" a="1"/>
  <c r="L1463" i="20" s="1"/>
  <c r="D1464" i="20" a="1"/>
  <c r="D1464" i="20" s="1"/>
  <c r="F1464" i="20" a="1"/>
  <c r="F1464" i="20" s="1"/>
  <c r="H1464" i="20" a="1"/>
  <c r="H1464" i="20" s="1"/>
  <c r="B1464" i="20"/>
  <c r="J1464" i="20" a="1"/>
  <c r="J1464" i="20" s="1"/>
  <c r="L1464" i="20" a="1"/>
  <c r="L1464" i="20" s="1"/>
  <c r="D1465" i="20" a="1"/>
  <c r="D1465" i="20" s="1"/>
  <c r="F1465" i="20" a="1"/>
  <c r="F1465" i="20" s="1"/>
  <c r="H1465" i="20" a="1"/>
  <c r="H1465" i="20" s="1"/>
  <c r="B1465" i="20"/>
  <c r="J1465" i="20" a="1"/>
  <c r="J1465" i="20" s="1"/>
  <c r="L1465" i="20" a="1"/>
  <c r="L1465" i="20" s="1"/>
  <c r="D1466" i="20" a="1"/>
  <c r="D1466" i="20" s="1"/>
  <c r="F1466" i="20" a="1"/>
  <c r="F1466" i="20" s="1"/>
  <c r="B1466" i="20"/>
  <c r="H1466" i="20" a="1"/>
  <c r="H1466" i="20" s="1"/>
  <c r="J1466" i="20" a="1"/>
  <c r="J1466" i="20" s="1"/>
  <c r="L1466" i="20" a="1"/>
  <c r="L1466" i="20" s="1"/>
  <c r="D1467" i="20" a="1"/>
  <c r="D1467" i="20" s="1"/>
  <c r="B1467" i="20"/>
  <c r="F1467" i="20" a="1"/>
  <c r="F1467" i="20" s="1"/>
  <c r="H1467" i="20" a="1"/>
  <c r="H1467" i="20" s="1"/>
  <c r="J1467" i="20" a="1"/>
  <c r="J1467" i="20" s="1"/>
  <c r="L1467" i="20" a="1"/>
  <c r="L1467" i="20" s="1"/>
  <c r="D1468" i="20" a="1"/>
  <c r="D1468" i="20" s="1"/>
  <c r="B1468" i="20"/>
  <c r="F1468" i="20" a="1"/>
  <c r="F1468" i="20" s="1"/>
  <c r="H1468" i="20" a="1"/>
  <c r="H1468" i="20" s="1"/>
  <c r="J1468" i="20" a="1"/>
  <c r="J1468" i="20" s="1"/>
  <c r="L1468" i="20" a="1"/>
  <c r="L1468" i="20" s="1"/>
  <c r="D1469" i="20" a="1"/>
  <c r="D1469" i="20" s="1"/>
  <c r="B1469" i="20"/>
  <c r="F1469" i="20" a="1"/>
  <c r="F1469" i="20" s="1"/>
  <c r="H1469" i="20" a="1"/>
  <c r="H1469" i="20" s="1"/>
  <c r="J1469" i="20" a="1"/>
  <c r="J1469" i="20" s="1"/>
  <c r="L1469" i="20" a="1"/>
  <c r="L1469" i="20" s="1"/>
  <c r="D1470" i="20" a="1"/>
  <c r="D1470" i="20" s="1"/>
  <c r="F1470" i="20" a="1"/>
  <c r="F1470" i="20" s="1"/>
  <c r="H1470" i="20" a="1"/>
  <c r="H1470" i="20" s="1"/>
  <c r="B1470" i="20"/>
  <c r="J1470" i="20" a="1"/>
  <c r="J1470" i="20" s="1"/>
  <c r="L1470" i="20" a="1"/>
  <c r="L1470" i="20" s="1"/>
  <c r="D1471" i="20" a="1"/>
  <c r="D1471" i="20" s="1"/>
  <c r="F1471" i="20" a="1"/>
  <c r="F1471" i="20" s="1"/>
  <c r="H1471" i="20" a="1"/>
  <c r="H1471" i="20" s="1"/>
  <c r="B1471" i="20"/>
  <c r="J1471" i="20" a="1"/>
  <c r="J1471" i="20" s="1"/>
  <c r="L1471" i="20" a="1"/>
  <c r="L1471" i="20" s="1"/>
  <c r="D1472" i="20" a="1"/>
  <c r="D1472" i="20" s="1"/>
  <c r="B1472" i="20"/>
  <c r="F1472" i="20" a="1"/>
  <c r="F1472" i="20" s="1"/>
  <c r="H1472" i="20" a="1"/>
  <c r="H1472" i="20" s="1"/>
  <c r="J1472" i="20" a="1"/>
  <c r="J1472" i="20" s="1"/>
  <c r="L1472" i="20" a="1"/>
  <c r="L1472" i="20" s="1"/>
  <c r="D1473" i="20" a="1"/>
  <c r="D1473" i="20" s="1"/>
  <c r="B1473" i="20"/>
  <c r="F1473" i="20" a="1"/>
  <c r="F1473" i="20" s="1"/>
  <c r="H1473" i="20" a="1"/>
  <c r="H1473" i="20" s="1"/>
  <c r="J1473" i="20" a="1"/>
  <c r="J1473" i="20" s="1"/>
  <c r="L1473" i="20" a="1"/>
  <c r="L1473" i="20" s="1"/>
  <c r="D1474" i="20" a="1"/>
  <c r="D1474" i="20" s="1"/>
  <c r="F1474" i="20" a="1"/>
  <c r="F1474" i="20" s="1"/>
  <c r="H1474" i="20" a="1"/>
  <c r="H1474" i="20" s="1"/>
  <c r="B1474" i="20"/>
  <c r="J1474" i="20" a="1"/>
  <c r="J1474" i="20" s="1"/>
  <c r="L1474" i="20" a="1"/>
  <c r="L1474" i="20" s="1"/>
  <c r="D1475" i="20" a="1"/>
  <c r="D1475" i="20" s="1"/>
  <c r="F1475" i="20" a="1"/>
  <c r="F1475" i="20" s="1"/>
  <c r="H1475" i="20" a="1"/>
  <c r="H1475" i="20" s="1"/>
  <c r="B1475" i="20"/>
  <c r="J1475" i="20" a="1"/>
  <c r="J1475" i="20" s="1"/>
  <c r="L1475" i="20" a="1"/>
  <c r="L1475" i="20" s="1"/>
  <c r="D1476" i="20" a="1"/>
  <c r="D1476" i="20" s="1"/>
  <c r="B1476" i="20"/>
  <c r="F1476" i="20" a="1"/>
  <c r="F1476" i="20" s="1"/>
  <c r="H1476" i="20" a="1"/>
  <c r="H1476" i="20" s="1"/>
  <c r="J1476" i="20" a="1"/>
  <c r="J1476" i="20" s="1"/>
  <c r="L1476" i="20" a="1"/>
  <c r="L1476" i="20" s="1"/>
  <c r="D1477" i="20" a="1"/>
  <c r="D1477" i="20" s="1"/>
  <c r="B1477" i="20"/>
  <c r="F1477" i="20" a="1"/>
  <c r="F1477" i="20" s="1"/>
  <c r="H1477" i="20" a="1"/>
  <c r="H1477" i="20" s="1"/>
  <c r="J1477" i="20" a="1"/>
  <c r="J1477" i="20" s="1"/>
  <c r="L1477" i="20" a="1"/>
  <c r="L1477" i="20" s="1"/>
  <c r="B1478" i="20"/>
  <c r="D1478" i="20" a="1"/>
  <c r="D1478" i="20" s="1"/>
  <c r="F1478" i="20" a="1"/>
  <c r="F1478" i="20" s="1"/>
  <c r="H1478" i="20" a="1"/>
  <c r="H1478" i="20" s="1"/>
  <c r="J1478" i="20" a="1"/>
  <c r="J1478" i="20" s="1"/>
  <c r="L1478" i="20" a="1"/>
  <c r="L1478" i="20" s="1"/>
  <c r="D1479" i="20" a="1"/>
  <c r="D1479" i="20" s="1"/>
  <c r="F1479" i="20" a="1"/>
  <c r="F1479" i="20" s="1"/>
  <c r="H1479" i="20" a="1"/>
  <c r="H1479" i="20" s="1"/>
  <c r="B1479" i="20"/>
  <c r="J1479" i="20" a="1"/>
  <c r="J1479" i="20" s="1"/>
  <c r="L1479" i="20" a="1"/>
  <c r="L1479" i="20" s="1"/>
  <c r="D1480" i="20" a="1"/>
  <c r="D1480" i="20" s="1"/>
  <c r="F1480" i="20" a="1"/>
  <c r="F1480" i="20" s="1"/>
  <c r="B1480" i="20"/>
  <c r="H1480" i="20" a="1"/>
  <c r="H1480" i="20" s="1"/>
  <c r="J1480" i="20" a="1"/>
  <c r="J1480" i="20" s="1"/>
  <c r="L1480" i="20" a="1"/>
  <c r="L1480" i="20" s="1"/>
  <c r="D1481" i="20" a="1"/>
  <c r="D1481" i="20" s="1"/>
  <c r="B1481" i="20"/>
  <c r="F1481" i="20" a="1"/>
  <c r="F1481" i="20" s="1"/>
  <c r="H1481" i="20" a="1"/>
  <c r="H1481" i="20" s="1"/>
  <c r="J1481" i="20" a="1"/>
  <c r="J1481" i="20" s="1"/>
  <c r="L1481" i="20" a="1"/>
  <c r="L1481" i="20" s="1"/>
  <c r="D1482" i="20" a="1"/>
  <c r="D1482" i="20" s="1"/>
  <c r="F1482" i="20" a="1"/>
  <c r="F1482" i="20" s="1"/>
  <c r="H1482" i="20" a="1"/>
  <c r="H1482" i="20" s="1"/>
  <c r="B1482" i="20"/>
  <c r="J1482" i="20" a="1"/>
  <c r="J1482" i="20" s="1"/>
  <c r="L1482" i="20" a="1"/>
  <c r="L1482" i="20" s="1"/>
  <c r="D1483" i="20" a="1"/>
  <c r="D1483" i="20" s="1"/>
  <c r="F1483" i="20" a="1"/>
  <c r="F1483" i="20" s="1"/>
  <c r="H1483" i="20" a="1"/>
  <c r="H1483" i="20" s="1"/>
  <c r="B1483" i="20"/>
  <c r="J1483" i="20" a="1"/>
  <c r="J1483" i="20" s="1"/>
  <c r="L1483" i="20" a="1"/>
  <c r="L1483" i="20" s="1"/>
  <c r="D1484" i="20" a="1"/>
  <c r="D1484" i="20" s="1"/>
  <c r="B1484" i="20"/>
  <c r="F1484" i="20" a="1"/>
  <c r="F1484" i="20" s="1"/>
  <c r="H1484" i="20" a="1"/>
  <c r="H1484" i="20" s="1"/>
  <c r="J1484" i="20" a="1"/>
  <c r="J1484" i="20" s="1"/>
  <c r="L1484" i="20" a="1"/>
  <c r="L1484" i="20" s="1"/>
  <c r="D1485" i="20" a="1"/>
  <c r="D1485" i="20" s="1"/>
  <c r="F1485" i="20" a="1"/>
  <c r="F1485" i="20" s="1"/>
  <c r="B1485" i="20"/>
  <c r="H1485" i="20" a="1"/>
  <c r="H1485" i="20" s="1"/>
  <c r="J1485" i="20" a="1"/>
  <c r="J1485" i="20" s="1"/>
  <c r="L1485" i="20" a="1"/>
  <c r="L1485" i="20" s="1"/>
  <c r="D1486" i="20" a="1"/>
  <c r="D1486" i="20" s="1"/>
  <c r="F1486" i="20" a="1"/>
  <c r="F1486" i="20" s="1"/>
  <c r="H1486" i="20" a="1"/>
  <c r="H1486" i="20" s="1"/>
  <c r="B1486" i="20"/>
  <c r="J1486" i="20" a="1"/>
  <c r="J1486" i="20" s="1"/>
  <c r="L1486" i="20" a="1"/>
  <c r="L1486" i="20" s="1"/>
  <c r="D1487" i="20" a="1"/>
  <c r="D1487" i="20" s="1"/>
  <c r="F1487" i="20" a="1"/>
  <c r="F1487" i="20" s="1"/>
  <c r="H1487" i="20" a="1"/>
  <c r="H1487" i="20" s="1"/>
  <c r="B1487" i="20"/>
  <c r="J1487" i="20" a="1"/>
  <c r="J1487" i="20" s="1"/>
  <c r="L1487" i="20" a="1"/>
  <c r="L1487" i="20" s="1"/>
  <c r="D1488" i="20" a="1"/>
  <c r="D1488" i="20" s="1"/>
  <c r="F1488" i="20" a="1"/>
  <c r="F1488" i="20" s="1"/>
  <c r="H1488" i="20" a="1"/>
  <c r="H1488" i="20" s="1"/>
  <c r="B1488" i="20"/>
  <c r="J1488" i="20" a="1"/>
  <c r="J1488" i="20" s="1"/>
  <c r="L1488" i="20" a="1"/>
  <c r="L1488" i="20" s="1"/>
  <c r="D1489" i="20" a="1"/>
  <c r="D1489" i="20" s="1"/>
  <c r="F1489" i="20" a="1"/>
  <c r="F1489" i="20" s="1"/>
  <c r="B1489" i="20"/>
  <c r="H1489" i="20" a="1"/>
  <c r="H1489" i="20" s="1"/>
  <c r="J1489" i="20" a="1"/>
  <c r="J1489" i="20" s="1"/>
  <c r="L1489" i="20" a="1"/>
  <c r="L1489" i="20" s="1"/>
  <c r="D1490" i="20" a="1"/>
  <c r="D1490" i="20" s="1"/>
  <c r="F1490" i="20" a="1"/>
  <c r="F1490" i="20" s="1"/>
  <c r="H1490" i="20" a="1"/>
  <c r="H1490" i="20" s="1"/>
  <c r="B1490" i="20"/>
  <c r="J1490" i="20" a="1"/>
  <c r="J1490" i="20" s="1"/>
  <c r="L1490" i="20" a="1"/>
  <c r="L1490" i="20" s="1"/>
  <c r="D1491" i="20" a="1"/>
  <c r="D1491" i="20" s="1"/>
  <c r="F1491" i="20" a="1"/>
  <c r="F1491" i="20" s="1"/>
  <c r="H1491" i="20" a="1"/>
  <c r="H1491" i="20" s="1"/>
  <c r="B1491" i="20"/>
  <c r="J1491" i="20" a="1"/>
  <c r="J1491" i="20" s="1"/>
  <c r="L1491" i="20" a="1"/>
  <c r="L1491" i="20" s="1"/>
  <c r="D1492" i="20" a="1"/>
  <c r="D1492" i="20" s="1"/>
  <c r="F1492" i="20" a="1"/>
  <c r="F1492" i="20" s="1"/>
  <c r="H1492" i="20" a="1"/>
  <c r="H1492" i="20" s="1"/>
  <c r="B1492" i="20"/>
  <c r="J1492" i="20" a="1"/>
  <c r="J1492" i="20" s="1"/>
  <c r="L1492" i="20" a="1"/>
  <c r="L1492" i="20" s="1"/>
  <c r="D1493" i="20" a="1"/>
  <c r="D1493" i="20" s="1"/>
  <c r="F1493" i="20" a="1"/>
  <c r="F1493" i="20" s="1"/>
  <c r="H1493" i="20" a="1"/>
  <c r="H1493" i="20" s="1"/>
  <c r="B1493" i="20"/>
  <c r="J1493" i="20" a="1"/>
  <c r="J1493" i="20" s="1"/>
  <c r="L1493" i="20" a="1"/>
  <c r="L1493" i="20" s="1"/>
  <c r="D1494" i="20" a="1"/>
  <c r="D1494" i="20" s="1"/>
  <c r="B1494" i="20"/>
  <c r="F1494" i="20" a="1"/>
  <c r="F1494" i="20" s="1"/>
  <c r="H1494" i="20" a="1"/>
  <c r="H1494" i="20" s="1"/>
  <c r="J1494" i="20" a="1"/>
  <c r="J1494" i="20" s="1"/>
  <c r="L1494" i="20" a="1"/>
  <c r="L1494" i="20" s="1"/>
  <c r="D1495" i="20" a="1"/>
  <c r="D1495" i="20" s="1"/>
  <c r="B1495" i="20"/>
  <c r="F1495" i="20" a="1"/>
  <c r="F1495" i="20" s="1"/>
  <c r="H1495" i="20" a="1"/>
  <c r="H1495" i="20" s="1"/>
  <c r="J1495" i="20" a="1"/>
  <c r="J1495" i="20" s="1"/>
  <c r="L1495" i="20" a="1"/>
  <c r="L1495" i="20" s="1"/>
  <c r="B1496" i="20"/>
  <c r="D1496" i="20" a="1"/>
  <c r="D1496" i="20" s="1"/>
  <c r="F1496" i="20" a="1"/>
  <c r="F1496" i="20" s="1"/>
  <c r="H1496" i="20" a="1"/>
  <c r="H1496" i="20" s="1"/>
  <c r="J1496" i="20" a="1"/>
  <c r="J1496" i="20" s="1"/>
  <c r="L1496" i="20" a="1"/>
  <c r="L1496" i="20" s="1"/>
  <c r="D1497" i="20" a="1"/>
  <c r="D1497" i="20" s="1"/>
  <c r="F1497" i="20" a="1"/>
  <c r="F1497" i="20" s="1"/>
  <c r="H1497" i="20" a="1"/>
  <c r="H1497" i="20" s="1"/>
  <c r="B1497" i="20"/>
  <c r="J1497" i="20" a="1"/>
  <c r="J1497" i="20" s="1"/>
  <c r="L1497" i="20" a="1"/>
  <c r="L1497" i="20" s="1"/>
  <c r="D1498" i="20" a="1"/>
  <c r="D1498" i="20" s="1"/>
  <c r="B1498" i="20"/>
  <c r="F1498" i="20" a="1"/>
  <c r="F1498" i="20" s="1"/>
  <c r="H1498" i="20" a="1"/>
  <c r="H1498" i="20" s="1"/>
  <c r="J1498" i="20" a="1"/>
  <c r="J1498" i="20" s="1"/>
  <c r="L1498" i="20" a="1"/>
  <c r="L1498" i="20" s="1"/>
  <c r="D1499" i="20" a="1"/>
  <c r="D1499" i="20" s="1"/>
  <c r="F1499" i="20" a="1"/>
  <c r="F1499" i="20" s="1"/>
  <c r="B1499" i="20"/>
  <c r="H1499" i="20" a="1"/>
  <c r="H1499" i="20" s="1"/>
  <c r="J1499" i="20" a="1"/>
  <c r="J1499" i="20" s="1"/>
  <c r="L1499" i="20" a="1"/>
  <c r="L1499" i="20" s="1"/>
  <c r="D1500" i="20" a="1"/>
  <c r="D1500" i="20" s="1"/>
  <c r="B1500" i="20"/>
  <c r="F1500" i="20" a="1"/>
  <c r="F1500" i="20" s="1"/>
  <c r="H1500" i="20" a="1"/>
  <c r="H1500" i="20" s="1"/>
  <c r="J1500" i="20" a="1"/>
  <c r="J1500" i="20" s="1"/>
  <c r="L1500" i="20" a="1"/>
  <c r="L1500" i="20" s="1"/>
  <c r="D1501" i="20" a="1"/>
  <c r="D1501" i="20" s="1"/>
  <c r="B1501" i="20"/>
  <c r="F1501" i="20" a="1"/>
  <c r="F1501" i="20" s="1"/>
  <c r="H1501" i="20" a="1"/>
  <c r="H1501" i="20" s="1"/>
  <c r="J1501" i="20" a="1"/>
  <c r="J1501" i="20" s="1"/>
  <c r="L1501" i="20" a="1"/>
  <c r="L1501" i="20" s="1"/>
  <c r="D1502" i="20" a="1"/>
  <c r="D1502" i="20" s="1"/>
  <c r="F1502" i="20" a="1"/>
  <c r="F1502" i="20" s="1"/>
  <c r="H1502" i="20" a="1"/>
  <c r="H1502" i="20" s="1"/>
  <c r="B1502" i="20"/>
  <c r="J1502" i="20" a="1"/>
  <c r="J1502" i="20" s="1"/>
  <c r="L1502" i="20" a="1"/>
  <c r="L1502" i="20" s="1"/>
  <c r="D1503" i="20" a="1"/>
  <c r="D1503" i="20" s="1"/>
  <c r="F1503" i="20" a="1"/>
  <c r="F1503" i="20" s="1"/>
  <c r="H1503" i="20" a="1"/>
  <c r="H1503" i="20" s="1"/>
  <c r="B1503" i="20"/>
  <c r="J1503" i="20" a="1"/>
  <c r="J1503" i="20" s="1"/>
  <c r="L1503" i="20" a="1"/>
  <c r="L1503" i="20" s="1"/>
  <c r="D1504" i="20" a="1"/>
  <c r="D1504" i="20" s="1"/>
  <c r="F1504" i="20" a="1"/>
  <c r="F1504" i="20" s="1"/>
  <c r="H1504" i="20" a="1"/>
  <c r="H1504" i="20" s="1"/>
  <c r="B1504" i="20"/>
  <c r="J1504" i="20" a="1"/>
  <c r="J1504" i="20" s="1"/>
  <c r="L1504" i="20" a="1"/>
  <c r="L1504" i="20" s="1"/>
  <c r="D1505" i="20" a="1"/>
  <c r="D1505" i="20" s="1"/>
  <c r="B1505" i="20"/>
  <c r="F1505" i="20" a="1"/>
  <c r="F1505" i="20" s="1"/>
  <c r="H1505" i="20" a="1"/>
  <c r="H1505" i="20" s="1"/>
  <c r="J1505" i="20" a="1"/>
  <c r="J1505" i="20" s="1"/>
  <c r="L1505" i="20" a="1"/>
  <c r="L1505" i="20" s="1"/>
  <c r="D1506" i="20" a="1"/>
  <c r="D1506" i="20" s="1"/>
  <c r="B1506" i="20"/>
  <c r="F1506" i="20" a="1"/>
  <c r="F1506" i="20" s="1"/>
  <c r="H1506" i="20" a="1"/>
  <c r="H1506" i="20" s="1"/>
  <c r="J1506" i="20" a="1"/>
  <c r="J1506" i="20" s="1"/>
  <c r="L1506" i="20" a="1"/>
  <c r="L1506" i="20" s="1"/>
  <c r="D1507" i="20" a="1"/>
  <c r="D1507" i="20" s="1"/>
  <c r="F1507" i="20" a="1"/>
  <c r="F1507" i="20" s="1"/>
  <c r="H1507" i="20" a="1"/>
  <c r="H1507" i="20" s="1"/>
  <c r="B1507" i="20"/>
  <c r="J1507" i="20" a="1"/>
  <c r="J1507" i="20" s="1"/>
  <c r="L1507" i="20" a="1"/>
  <c r="L1507" i="20" s="1"/>
  <c r="D1508" i="20" a="1"/>
  <c r="D1508" i="20" s="1"/>
  <c r="F1508" i="20" a="1"/>
  <c r="F1508" i="20" s="1"/>
  <c r="H1508" i="20" a="1"/>
  <c r="H1508" i="20" s="1"/>
  <c r="B1508" i="20"/>
  <c r="J1508" i="20" a="1"/>
  <c r="J1508" i="20" s="1"/>
  <c r="L1508" i="20" a="1"/>
  <c r="L1508" i="20" s="1"/>
  <c r="D1509" i="20" a="1"/>
  <c r="D1509" i="20" s="1"/>
  <c r="F1509" i="20" a="1"/>
  <c r="F1509" i="20" s="1"/>
  <c r="H1509" i="20" a="1"/>
  <c r="H1509" i="20" s="1"/>
  <c r="B1509" i="20"/>
  <c r="J1509" i="20" a="1"/>
  <c r="J1509" i="20" s="1"/>
  <c r="L1509" i="20" a="1"/>
  <c r="L1509" i="20" s="1"/>
  <c r="D1510" i="20" a="1"/>
  <c r="D1510" i="20" s="1"/>
  <c r="F1510" i="20" a="1"/>
  <c r="F1510" i="20" s="1"/>
  <c r="H1510" i="20" a="1"/>
  <c r="H1510" i="20" s="1"/>
  <c r="B1510" i="20"/>
  <c r="J1510" i="20" a="1"/>
  <c r="J1510" i="20" s="1"/>
  <c r="L1510" i="20" a="1"/>
  <c r="L1510" i="20" s="1"/>
  <c r="D1511" i="20" a="1"/>
  <c r="D1511" i="20" s="1"/>
  <c r="B1511" i="20"/>
  <c r="F1511" i="20" a="1"/>
  <c r="F1511" i="20" s="1"/>
  <c r="H1511" i="20" a="1"/>
  <c r="H1511" i="20" s="1"/>
  <c r="J1511" i="20" a="1"/>
  <c r="J1511" i="20" s="1"/>
  <c r="L1511" i="20" a="1"/>
  <c r="L1511" i="20" s="1"/>
  <c r="D1512" i="20" a="1"/>
  <c r="D1512" i="20" s="1"/>
  <c r="F1512" i="20" a="1"/>
  <c r="F1512" i="20" s="1"/>
  <c r="B1512" i="20"/>
  <c r="H1512" i="20" a="1"/>
  <c r="H1512" i="20" s="1"/>
  <c r="J1512" i="20" a="1"/>
  <c r="J1512" i="20" s="1"/>
  <c r="L1512" i="20" a="1"/>
  <c r="L1512" i="20" s="1"/>
  <c r="D1513" i="20" a="1"/>
  <c r="D1513" i="20" s="1"/>
  <c r="F1513" i="20" a="1"/>
  <c r="F1513" i="20" s="1"/>
  <c r="H1513" i="20" a="1"/>
  <c r="H1513" i="20" s="1"/>
  <c r="B1513" i="20"/>
  <c r="J1513" i="20" a="1"/>
  <c r="J1513" i="20" s="1"/>
  <c r="L1513" i="20" a="1"/>
  <c r="L1513" i="20" s="1"/>
  <c r="B1514" i="20"/>
  <c r="D1514" i="20" a="1"/>
  <c r="D1514" i="20" s="1"/>
  <c r="F1514" i="20" a="1"/>
  <c r="F1514" i="20" s="1"/>
  <c r="H1514" i="20" a="1"/>
  <c r="H1514" i="20" s="1"/>
  <c r="J1514" i="20" a="1"/>
  <c r="J1514" i="20" s="1"/>
  <c r="L1514" i="20" a="1"/>
  <c r="L1514" i="20" s="1"/>
  <c r="B1515" i="20"/>
  <c r="D1515" i="20" a="1"/>
  <c r="D1515" i="20" s="1"/>
  <c r="F1515" i="20" a="1"/>
  <c r="F1515" i="20" s="1"/>
  <c r="H1515" i="20" a="1"/>
  <c r="H1515" i="20" s="1"/>
  <c r="J1515" i="20" a="1"/>
  <c r="J1515" i="20" s="1"/>
  <c r="L1515" i="20" a="1"/>
  <c r="L1515" i="20" s="1"/>
  <c r="D1516" i="20" a="1"/>
  <c r="D1516" i="20" s="1"/>
  <c r="F1516" i="20" a="1"/>
  <c r="F1516" i="20" s="1"/>
  <c r="H1516" i="20" a="1"/>
  <c r="H1516" i="20" s="1"/>
  <c r="B1516" i="20"/>
  <c r="J1516" i="20" a="1"/>
  <c r="J1516" i="20" s="1"/>
  <c r="L1516" i="20" a="1"/>
  <c r="L1516" i="20" s="1"/>
  <c r="D1517" i="20" a="1"/>
  <c r="D1517" i="20" s="1"/>
  <c r="F1517" i="20" a="1"/>
  <c r="F1517" i="20" s="1"/>
  <c r="H1517" i="20" a="1"/>
  <c r="H1517" i="20" s="1"/>
  <c r="B1517" i="20"/>
  <c r="J1517" i="20" a="1"/>
  <c r="J1517" i="20" s="1"/>
  <c r="L1517" i="20" a="1"/>
  <c r="L1517" i="20" s="1"/>
  <c r="D1518" i="20" a="1"/>
  <c r="D1518" i="20" s="1"/>
  <c r="F1518" i="20" a="1"/>
  <c r="F1518" i="20" s="1"/>
  <c r="H1518" i="20" a="1"/>
  <c r="H1518" i="20" s="1"/>
  <c r="B1518" i="20"/>
  <c r="J1518" i="20" a="1"/>
  <c r="J1518" i="20" s="1"/>
  <c r="L1518" i="20" a="1"/>
  <c r="L1518" i="20" s="1"/>
  <c r="D1519" i="20" a="1"/>
  <c r="D1519" i="20" s="1"/>
  <c r="B1519" i="20"/>
  <c r="F1519" i="20" a="1"/>
  <c r="F1519" i="20" s="1"/>
  <c r="H1519" i="20" a="1"/>
  <c r="H1519" i="20" s="1"/>
  <c r="J1519" i="20" a="1"/>
  <c r="J1519" i="20" s="1"/>
  <c r="L1519" i="20" a="1"/>
  <c r="L1519" i="20" s="1"/>
  <c r="D1520" i="20" a="1"/>
  <c r="D1520" i="20" s="1"/>
  <c r="B1520" i="20"/>
  <c r="F1520" i="20" a="1"/>
  <c r="F1520" i="20" s="1"/>
  <c r="H1520" i="20" a="1"/>
  <c r="H1520" i="20" s="1"/>
  <c r="J1520" i="20" a="1"/>
  <c r="J1520" i="20" s="1"/>
  <c r="L1520" i="20" a="1"/>
  <c r="L1520" i="20" s="1"/>
  <c r="D1521" i="20" a="1"/>
  <c r="D1521" i="20" s="1"/>
  <c r="F1521" i="20" a="1"/>
  <c r="F1521" i="20" s="1"/>
  <c r="H1521" i="20" a="1"/>
  <c r="H1521" i="20" s="1"/>
  <c r="B1521" i="20"/>
  <c r="J1521" i="20" a="1"/>
  <c r="J1521" i="20" s="1"/>
  <c r="L1521" i="20" a="1"/>
  <c r="L1521" i="20" s="1"/>
  <c r="B1522" i="20"/>
  <c r="D1522" i="20" a="1"/>
  <c r="D1522" i="20" s="1"/>
  <c r="F1522" i="20" a="1"/>
  <c r="F1522" i="20" s="1"/>
  <c r="H1522" i="20" a="1"/>
  <c r="H1522" i="20" s="1"/>
  <c r="J1522" i="20" a="1"/>
  <c r="J1522" i="20" s="1"/>
  <c r="L1522" i="20" a="1"/>
  <c r="L1522" i="20" s="1"/>
  <c r="D1523" i="20" a="1"/>
  <c r="D1523" i="20" s="1"/>
  <c r="F1523" i="20" a="1"/>
  <c r="F1523" i="20" s="1"/>
  <c r="H1523" i="20" a="1"/>
  <c r="H1523" i="20" s="1"/>
  <c r="B1523" i="20"/>
  <c r="J1523" i="20" a="1"/>
  <c r="J1523" i="20" s="1"/>
  <c r="L1523" i="20" a="1"/>
  <c r="L1523" i="20" s="1"/>
  <c r="D1524" i="20" a="1"/>
  <c r="D1524" i="20" s="1"/>
  <c r="F1524" i="20" a="1"/>
  <c r="F1524" i="20" s="1"/>
  <c r="H1524" i="20" a="1"/>
  <c r="H1524" i="20" s="1"/>
  <c r="B1524" i="20"/>
  <c r="J1524" i="20" a="1"/>
  <c r="J1524" i="20" s="1"/>
  <c r="L1524" i="20" a="1"/>
  <c r="L1524" i="20" s="1"/>
  <c r="B1525" i="20"/>
  <c r="D1525" i="20" a="1"/>
  <c r="D1525" i="20" s="1"/>
  <c r="F1525" i="20" a="1"/>
  <c r="F1525" i="20" s="1"/>
  <c r="H1525" i="20" a="1"/>
  <c r="H1525" i="20" s="1"/>
  <c r="J1525" i="20" a="1"/>
  <c r="J1525" i="20" s="1"/>
  <c r="L1525" i="20" a="1"/>
  <c r="L1525" i="20" s="1"/>
  <c r="D1526" i="20" a="1"/>
  <c r="D1526" i="20" s="1"/>
  <c r="F1526" i="20" a="1"/>
  <c r="F1526" i="20" s="1"/>
  <c r="H1526" i="20" a="1"/>
  <c r="H1526" i="20" s="1"/>
  <c r="B1526" i="20"/>
  <c r="J1526" i="20" a="1"/>
  <c r="J1526" i="20" s="1"/>
  <c r="L1526" i="20" a="1"/>
  <c r="L1526" i="20" s="1"/>
  <c r="D1527" i="20" a="1"/>
  <c r="D1527" i="20" s="1"/>
  <c r="B1527" i="20"/>
  <c r="F1527" i="20" a="1"/>
  <c r="F1527" i="20" s="1"/>
  <c r="H1527" i="20" a="1"/>
  <c r="H1527" i="20" s="1"/>
  <c r="J1527" i="20" a="1"/>
  <c r="J1527" i="20" s="1"/>
  <c r="L1527" i="20" a="1"/>
  <c r="L1527" i="20" s="1"/>
  <c r="D1528" i="20" a="1"/>
  <c r="D1528" i="20" s="1"/>
  <c r="F1528" i="20" a="1"/>
  <c r="F1528" i="20" s="1"/>
  <c r="H1528" i="20" a="1"/>
  <c r="H1528" i="20" s="1"/>
  <c r="B1528" i="20"/>
  <c r="J1528" i="20" a="1"/>
  <c r="J1528" i="20" s="1"/>
  <c r="L1528" i="20" a="1"/>
  <c r="L1528" i="20" s="1"/>
  <c r="D1529" i="20" a="1"/>
  <c r="D1529" i="20" s="1"/>
  <c r="F1529" i="20" a="1"/>
  <c r="F1529" i="20" s="1"/>
  <c r="H1529" i="20" a="1"/>
  <c r="H1529" i="20" s="1"/>
  <c r="B1529" i="20"/>
  <c r="J1529" i="20" a="1"/>
  <c r="J1529" i="20" s="1"/>
  <c r="L1529" i="20" a="1"/>
  <c r="L1529" i="20" s="1"/>
  <c r="D1530" i="20" a="1"/>
  <c r="D1530" i="20" s="1"/>
  <c r="B1530" i="20"/>
  <c r="F1530" i="20" a="1"/>
  <c r="F1530" i="20" s="1"/>
  <c r="H1530" i="20" a="1"/>
  <c r="H1530" i="20" s="1"/>
  <c r="J1530" i="20" a="1"/>
  <c r="J1530" i="20" s="1"/>
  <c r="L1530" i="20" a="1"/>
  <c r="L1530" i="20" s="1"/>
  <c r="D1531" i="20" a="1"/>
  <c r="D1531" i="20" s="1"/>
  <c r="F1531" i="20" a="1"/>
  <c r="F1531" i="20" s="1"/>
  <c r="H1531" i="20" a="1"/>
  <c r="H1531" i="20" s="1"/>
  <c r="B1531" i="20"/>
  <c r="J1531" i="20" a="1"/>
  <c r="J1531" i="20" s="1"/>
  <c r="L1531" i="20" a="1"/>
  <c r="L1531" i="20" s="1"/>
  <c r="B1532" i="20"/>
  <c r="D1532" i="20" a="1"/>
  <c r="D1532" i="20" s="1"/>
  <c r="F1532" i="20" a="1"/>
  <c r="F1532" i="20" s="1"/>
  <c r="H1532" i="20" a="1"/>
  <c r="H1532" i="20" s="1"/>
  <c r="J1532" i="20" a="1"/>
  <c r="J1532" i="20" s="1"/>
  <c r="L1532" i="20" a="1"/>
  <c r="L1532" i="20" s="1"/>
  <c r="D1533" i="20" a="1"/>
  <c r="D1533" i="20" s="1"/>
  <c r="F1533" i="20" a="1"/>
  <c r="F1533" i="20" s="1"/>
  <c r="H1533" i="20" a="1"/>
  <c r="H1533" i="20" s="1"/>
  <c r="B1533" i="20"/>
  <c r="J1533" i="20" a="1"/>
  <c r="J1533" i="20" s="1"/>
  <c r="L1533" i="20" a="1"/>
  <c r="L1533" i="20" s="1"/>
  <c r="D1534" i="20" a="1"/>
  <c r="D1534" i="20" s="1"/>
  <c r="F1534" i="20" a="1"/>
  <c r="F1534" i="20" s="1"/>
  <c r="H1534" i="20" a="1"/>
  <c r="H1534" i="20" s="1"/>
  <c r="B1534" i="20"/>
  <c r="J1534" i="20" a="1"/>
  <c r="J1534" i="20" s="1"/>
  <c r="L1534" i="20" a="1"/>
  <c r="L1534" i="20" s="1"/>
  <c r="D1535" i="20" a="1"/>
  <c r="D1535" i="20" s="1"/>
  <c r="F1535" i="20" a="1"/>
  <c r="F1535" i="20" s="1"/>
  <c r="H1535" i="20" a="1"/>
  <c r="H1535" i="20" s="1"/>
  <c r="B1535" i="20"/>
  <c r="J1535" i="20" a="1"/>
  <c r="J1535" i="20" s="1"/>
  <c r="L1535" i="20" a="1"/>
  <c r="L1535" i="20" s="1"/>
  <c r="B1536" i="20"/>
  <c r="D1536" i="20" a="1"/>
  <c r="D1536" i="20" s="1"/>
  <c r="F1536" i="20" a="1"/>
  <c r="F1536" i="20" s="1"/>
  <c r="H1536" i="20" a="1"/>
  <c r="H1536" i="20" s="1"/>
  <c r="J1536" i="20" a="1"/>
  <c r="J1536" i="20" s="1"/>
  <c r="L1536" i="20" a="1"/>
  <c r="L1536" i="20" s="1"/>
  <c r="D1537" i="20" a="1"/>
  <c r="D1537" i="20" s="1"/>
  <c r="F1537" i="20" a="1"/>
  <c r="F1537" i="20" s="1"/>
  <c r="H1537" i="20" a="1"/>
  <c r="H1537" i="20" s="1"/>
  <c r="J1537" i="20" a="1"/>
  <c r="J1537" i="20" s="1"/>
  <c r="B1537" i="20"/>
  <c r="L1537" i="20" a="1"/>
  <c r="L1537" i="20" s="1"/>
  <c r="B1538" i="20"/>
  <c r="D1538" i="20" a="1"/>
  <c r="D1538" i="20" s="1"/>
  <c r="F1538" i="20" a="1"/>
  <c r="F1538" i="20" s="1"/>
  <c r="H1538" i="20" a="1"/>
  <c r="H1538" i="20" s="1"/>
  <c r="J1538" i="20" a="1"/>
  <c r="J1538" i="20" s="1"/>
  <c r="L1538" i="20" a="1"/>
  <c r="L1538" i="20" s="1"/>
  <c r="D1539" i="20" a="1"/>
  <c r="D1539" i="20" s="1"/>
  <c r="B1539" i="20"/>
  <c r="F1539" i="20" a="1"/>
  <c r="F1539" i="20" s="1"/>
  <c r="H1539" i="20" a="1"/>
  <c r="H1539" i="20" s="1"/>
  <c r="J1539" i="20" a="1"/>
  <c r="J1539" i="20" s="1"/>
  <c r="L1539" i="20" a="1"/>
  <c r="L1539" i="20" s="1"/>
  <c r="D1540" i="20" a="1"/>
  <c r="D1540" i="20" s="1"/>
  <c r="B1540" i="20"/>
  <c r="F1540" i="20" a="1"/>
  <c r="F1540" i="20" s="1"/>
  <c r="H1540" i="20" a="1"/>
  <c r="H1540" i="20" s="1"/>
  <c r="J1540" i="20" a="1"/>
  <c r="J1540" i="20" s="1"/>
  <c r="L1540" i="20" a="1"/>
  <c r="L1540" i="20" s="1"/>
  <c r="B1541" i="20"/>
  <c r="D1541" i="20" a="1"/>
  <c r="D1541" i="20" s="1"/>
  <c r="F1541" i="20" a="1"/>
  <c r="F1541" i="20" s="1"/>
  <c r="H1541" i="20" a="1"/>
  <c r="H1541" i="20" s="1"/>
  <c r="J1541" i="20" a="1"/>
  <c r="J1541" i="20" s="1"/>
  <c r="L1541" i="20" a="1"/>
  <c r="L1541" i="20" s="1"/>
  <c r="D1542" i="20" a="1"/>
  <c r="D1542" i="20" s="1"/>
  <c r="F1542" i="20" a="1"/>
  <c r="F1542" i="20" s="1"/>
  <c r="H1542" i="20" a="1"/>
  <c r="H1542" i="20" s="1"/>
  <c r="B1542" i="20"/>
  <c r="J1542" i="20" a="1"/>
  <c r="J1542" i="20" s="1"/>
  <c r="L1542" i="20" a="1"/>
  <c r="L1542" i="20" s="1"/>
  <c r="D1543" i="20" a="1"/>
  <c r="D1543" i="20" s="1"/>
  <c r="F1543" i="20" a="1"/>
  <c r="F1543" i="20" s="1"/>
  <c r="H1543" i="20" a="1"/>
  <c r="H1543" i="20" s="1"/>
  <c r="B1543" i="20"/>
  <c r="J1543" i="20" a="1"/>
  <c r="J1543" i="20" s="1"/>
  <c r="L1543" i="20" a="1"/>
  <c r="L1543" i="20" s="1"/>
  <c r="D1544" i="20" a="1"/>
  <c r="D1544" i="20" s="1"/>
  <c r="F1544" i="20" a="1"/>
  <c r="F1544" i="20" s="1"/>
  <c r="H1544" i="20" a="1"/>
  <c r="H1544" i="20" s="1"/>
  <c r="J1544" i="20" a="1"/>
  <c r="J1544" i="20" s="1"/>
  <c r="B1544" i="20"/>
  <c r="L1544" i="20" a="1"/>
  <c r="L1544" i="20" s="1"/>
  <c r="D1545" i="20" a="1"/>
  <c r="D1545" i="20" s="1"/>
  <c r="B1545" i="20"/>
  <c r="F1545" i="20" a="1"/>
  <c r="F1545" i="20" s="1"/>
  <c r="H1545" i="20" a="1"/>
  <c r="H1545" i="20" s="1"/>
  <c r="J1545" i="20" a="1"/>
  <c r="J1545" i="20" s="1"/>
  <c r="L1545" i="20" a="1"/>
  <c r="L1545" i="20" s="1"/>
  <c r="D1546" i="20" a="1"/>
  <c r="D1546" i="20" s="1"/>
  <c r="F1546" i="20" a="1"/>
  <c r="F1546" i="20" s="1"/>
  <c r="H1546" i="20" a="1"/>
  <c r="H1546" i="20" s="1"/>
  <c r="J1546" i="20" a="1"/>
  <c r="J1546" i="20" s="1"/>
  <c r="B1546" i="20"/>
  <c r="L1546" i="20" a="1"/>
  <c r="L1546" i="20" s="1"/>
  <c r="B1547" i="20"/>
  <c r="D1547" i="20" a="1"/>
  <c r="D1547" i="20" s="1"/>
  <c r="F1547" i="20" a="1"/>
  <c r="F1547" i="20" s="1"/>
  <c r="H1547" i="20" a="1"/>
  <c r="H1547" i="20" s="1"/>
  <c r="J1547" i="20" a="1"/>
  <c r="J1547" i="20" s="1"/>
  <c r="L1547" i="20" a="1"/>
  <c r="L1547" i="20" s="1"/>
  <c r="B1548" i="20"/>
  <c r="D1548" i="20" a="1"/>
  <c r="D1548" i="20" s="1"/>
  <c r="F1548" i="20" a="1"/>
  <c r="F1548" i="20" s="1"/>
  <c r="H1548" i="20" a="1"/>
  <c r="H1548" i="20" s="1"/>
  <c r="J1548" i="20" a="1"/>
  <c r="J1548" i="20" s="1"/>
  <c r="L1548" i="20" a="1"/>
  <c r="L1548" i="20" s="1"/>
  <c r="D1549" i="20" a="1"/>
  <c r="D1549" i="20" s="1"/>
  <c r="F1549" i="20" a="1"/>
  <c r="F1549" i="20" s="1"/>
  <c r="H1549" i="20" a="1"/>
  <c r="H1549" i="20" s="1"/>
  <c r="J1549" i="20" a="1"/>
  <c r="J1549" i="20" s="1"/>
  <c r="B1549" i="20"/>
  <c r="L1549" i="20" a="1"/>
  <c r="L1549" i="20" s="1"/>
  <c r="D1550" i="20" a="1"/>
  <c r="D1550" i="20" s="1"/>
  <c r="F1550" i="20" a="1"/>
  <c r="F1550" i="20" s="1"/>
  <c r="B1550" i="20"/>
  <c r="H1550" i="20" a="1"/>
  <c r="H1550" i="20" s="1"/>
  <c r="J1550" i="20" a="1"/>
  <c r="J1550" i="20" s="1"/>
  <c r="L1550" i="20" a="1"/>
  <c r="L1550" i="20" s="1"/>
  <c r="D1551" i="20" a="1"/>
  <c r="D1551" i="20" s="1"/>
  <c r="B1551" i="20"/>
  <c r="F1551" i="20" a="1"/>
  <c r="F1551" i="20" s="1"/>
  <c r="H1551" i="20" a="1"/>
  <c r="H1551" i="20" s="1"/>
  <c r="J1551" i="20" a="1"/>
  <c r="J1551" i="20" s="1"/>
  <c r="L1551" i="20" a="1"/>
  <c r="L1551" i="20" s="1"/>
  <c r="D1552" i="20" a="1"/>
  <c r="D1552" i="20" s="1"/>
  <c r="F1552" i="20" a="1"/>
  <c r="F1552" i="20" s="1"/>
  <c r="H1552" i="20" a="1"/>
  <c r="H1552" i="20" s="1"/>
  <c r="J1552" i="20" a="1"/>
  <c r="J1552" i="20" s="1"/>
  <c r="B1552" i="20"/>
  <c r="L1552" i="20" a="1"/>
  <c r="L1552" i="20" s="1"/>
  <c r="B1553" i="20"/>
  <c r="D1553" i="20" a="1"/>
  <c r="D1553" i="20" s="1"/>
  <c r="F1553" i="20" a="1"/>
  <c r="F1553" i="20" s="1"/>
  <c r="H1553" i="20" a="1"/>
  <c r="H1553" i="20" s="1"/>
  <c r="J1553" i="20" a="1"/>
  <c r="J1553" i="20" s="1"/>
  <c r="L1553" i="20" a="1"/>
  <c r="L1553" i="20" s="1"/>
  <c r="D1554" i="20" a="1"/>
  <c r="D1554" i="20" s="1"/>
  <c r="F1554" i="20" a="1"/>
  <c r="F1554" i="20" s="1"/>
  <c r="H1554" i="20" a="1"/>
  <c r="H1554" i="20" s="1"/>
  <c r="B1554" i="20"/>
  <c r="J1554" i="20" a="1"/>
  <c r="J1554" i="20" s="1"/>
  <c r="L1554" i="20" a="1"/>
  <c r="L1554" i="20" s="1"/>
  <c r="D1555" i="20" a="1"/>
  <c r="D1555" i="20" s="1"/>
  <c r="F1555" i="20" a="1"/>
  <c r="F1555" i="20" s="1"/>
  <c r="H1555" i="20" a="1"/>
  <c r="H1555" i="20" s="1"/>
  <c r="B1555" i="20"/>
  <c r="J1555" i="20" a="1"/>
  <c r="J1555" i="20" s="1"/>
  <c r="L1555" i="20" a="1"/>
  <c r="L1555" i="20" s="1"/>
  <c r="D1556" i="20" a="1"/>
  <c r="D1556" i="20" s="1"/>
  <c r="B1556" i="20"/>
  <c r="F1556" i="20" a="1"/>
  <c r="F1556" i="20" s="1"/>
  <c r="H1556" i="20" a="1"/>
  <c r="H1556" i="20" s="1"/>
  <c r="J1556" i="20" a="1"/>
  <c r="J1556" i="20" s="1"/>
  <c r="L1556" i="20" a="1"/>
  <c r="L1556" i="20" s="1"/>
  <c r="D1557" i="20" a="1"/>
  <c r="D1557" i="20" s="1"/>
  <c r="F1557" i="20" a="1"/>
  <c r="F1557" i="20" s="1"/>
  <c r="H1557" i="20" a="1"/>
  <c r="H1557" i="20" s="1"/>
  <c r="J1557" i="20" a="1"/>
  <c r="J1557" i="20" s="1"/>
  <c r="B1557" i="20"/>
  <c r="L1557" i="20" a="1"/>
  <c r="L1557" i="20" s="1"/>
  <c r="D1558" i="20" a="1"/>
  <c r="D1558" i="20" s="1"/>
  <c r="F1558" i="20" a="1"/>
  <c r="F1558" i="20" s="1"/>
  <c r="H1558" i="20" a="1"/>
  <c r="H1558" i="20" s="1"/>
  <c r="B1558" i="20"/>
  <c r="J1558" i="20" a="1"/>
  <c r="J1558" i="20" s="1"/>
  <c r="L1558" i="20" a="1"/>
  <c r="L1558" i="20" s="1"/>
  <c r="B1559" i="20"/>
  <c r="D1559" i="20" a="1"/>
  <c r="D1559" i="20" s="1"/>
  <c r="F1559" i="20" a="1"/>
  <c r="F1559" i="20" s="1"/>
  <c r="H1559" i="20" a="1"/>
  <c r="H1559" i="20" s="1"/>
  <c r="J1559" i="20" a="1"/>
  <c r="J1559" i="20" s="1"/>
  <c r="L1559" i="20" a="1"/>
  <c r="L1559" i="20" s="1"/>
  <c r="D1560" i="20" a="1"/>
  <c r="D1560" i="20" s="1"/>
  <c r="F1560" i="20" a="1"/>
  <c r="F1560" i="20" s="1"/>
  <c r="H1560" i="20" a="1"/>
  <c r="H1560" i="20" s="1"/>
  <c r="B1560" i="20"/>
  <c r="J1560" i="20" a="1"/>
  <c r="J1560" i="20" s="1"/>
  <c r="L1560" i="20" a="1"/>
  <c r="L1560" i="20" s="1"/>
  <c r="D1561" i="20" a="1"/>
  <c r="D1561" i="20" s="1"/>
  <c r="F1561" i="20" a="1"/>
  <c r="F1561" i="20" s="1"/>
  <c r="H1561" i="20" a="1"/>
  <c r="H1561" i="20" s="1"/>
  <c r="J1561" i="20" a="1"/>
  <c r="J1561" i="20" s="1"/>
  <c r="B1561" i="20"/>
  <c r="L1561" i="20" a="1"/>
  <c r="L1561" i="20" s="1"/>
  <c r="B1562" i="20"/>
  <c r="D1562" i="20" a="1"/>
  <c r="D1562" i="20" s="1"/>
  <c r="F1562" i="20" a="1"/>
  <c r="F1562" i="20" s="1"/>
  <c r="H1562" i="20" a="1"/>
  <c r="H1562" i="20" s="1"/>
  <c r="J1562" i="20" a="1"/>
  <c r="J1562" i="20" s="1"/>
  <c r="L1562" i="20" a="1"/>
  <c r="L1562" i="20" s="1"/>
  <c r="D1563" i="20" a="1"/>
  <c r="D1563" i="20" s="1"/>
  <c r="F1563" i="20" a="1"/>
  <c r="F1563" i="20" s="1"/>
  <c r="H1563" i="20" a="1"/>
  <c r="H1563" i="20" s="1"/>
  <c r="J1563" i="20" a="1"/>
  <c r="J1563" i="20" s="1"/>
  <c r="B1563" i="20"/>
  <c r="L1563" i="20" a="1"/>
  <c r="L1563" i="20" s="1"/>
  <c r="D1564" i="20" a="1"/>
  <c r="D1564" i="20" s="1"/>
  <c r="F1564" i="20" a="1"/>
  <c r="F1564" i="20" s="1"/>
  <c r="H1564" i="20" a="1"/>
  <c r="H1564" i="20" s="1"/>
  <c r="J1564" i="20" a="1"/>
  <c r="J1564" i="20" s="1"/>
  <c r="B1564" i="20"/>
  <c r="L1564" i="20" a="1"/>
  <c r="L1564" i="20" s="1"/>
  <c r="B1565" i="20"/>
  <c r="D1565" i="20" a="1"/>
  <c r="D1565" i="20" s="1"/>
  <c r="F1565" i="20" a="1"/>
  <c r="F1565" i="20" s="1"/>
  <c r="H1565" i="20" a="1"/>
  <c r="H1565" i="20" s="1"/>
  <c r="J1565" i="20" a="1"/>
  <c r="J1565" i="20" s="1"/>
  <c r="L1565" i="20" a="1"/>
  <c r="L1565" i="20" s="1"/>
  <c r="D1566" i="20" a="1"/>
  <c r="D1566" i="20" s="1"/>
  <c r="F1566" i="20" a="1"/>
  <c r="F1566" i="20" s="1"/>
  <c r="H1566" i="20" a="1"/>
  <c r="H1566" i="20" s="1"/>
  <c r="B1566" i="20"/>
  <c r="J1566" i="20" a="1"/>
  <c r="J1566" i="20" s="1"/>
  <c r="L1566" i="20" a="1"/>
  <c r="L1566" i="20" s="1"/>
  <c r="D1567" i="20" a="1"/>
  <c r="D1567" i="20" s="1"/>
  <c r="F1567" i="20" a="1"/>
  <c r="F1567" i="20" s="1"/>
  <c r="H1567" i="20" a="1"/>
  <c r="H1567" i="20" s="1"/>
  <c r="B1567" i="20"/>
  <c r="J1567" i="20" a="1"/>
  <c r="J1567" i="20" s="1"/>
  <c r="L1567" i="20" a="1"/>
  <c r="L1567" i="20" s="1"/>
  <c r="D1568" i="20" a="1"/>
  <c r="D1568" i="20" s="1"/>
  <c r="F1568" i="20" a="1"/>
  <c r="F1568" i="20" s="1"/>
  <c r="H1568" i="20" a="1"/>
  <c r="H1568" i="20" s="1"/>
  <c r="J1568" i="20" a="1"/>
  <c r="J1568" i="20" s="1"/>
  <c r="B1568" i="20"/>
  <c r="L1568" i="20" a="1"/>
  <c r="L1568" i="20" s="1"/>
  <c r="D1569" i="20" a="1"/>
  <c r="D1569" i="20" s="1"/>
  <c r="B1569" i="20"/>
  <c r="F1569" i="20" a="1"/>
  <c r="F1569" i="20" s="1"/>
  <c r="H1569" i="20" a="1"/>
  <c r="H1569" i="20" s="1"/>
  <c r="J1569" i="20" a="1"/>
  <c r="J1569" i="20" s="1"/>
  <c r="L1569" i="20" a="1"/>
  <c r="L1569" i="20" s="1"/>
  <c r="D1570" i="20" a="1"/>
  <c r="D1570" i="20" s="1"/>
  <c r="F1570" i="20" a="1"/>
  <c r="F1570" i="20" s="1"/>
  <c r="H1570" i="20" a="1"/>
  <c r="H1570" i="20" s="1"/>
  <c r="B1570" i="20"/>
  <c r="J1570" i="20" a="1"/>
  <c r="J1570" i="20" s="1"/>
  <c r="L1570" i="20" a="1"/>
  <c r="L1570" i="20" s="1"/>
  <c r="D1571" i="20" a="1"/>
  <c r="D1571" i="20" s="1"/>
  <c r="F1571" i="20" a="1"/>
  <c r="F1571" i="20" s="1"/>
  <c r="H1571" i="20" a="1"/>
  <c r="H1571" i="20" s="1"/>
  <c r="J1571" i="20" a="1"/>
  <c r="J1571" i="20" s="1"/>
  <c r="B1571" i="20"/>
  <c r="L1571" i="20" a="1"/>
  <c r="L1571" i="20" s="1"/>
  <c r="D1572" i="20" a="1"/>
  <c r="D1572" i="20" s="1"/>
  <c r="F1572" i="20" a="1"/>
  <c r="F1572" i="20" s="1"/>
  <c r="H1572" i="20" a="1"/>
  <c r="H1572" i="20" s="1"/>
  <c r="J1572" i="20" a="1"/>
  <c r="J1572" i="20" s="1"/>
  <c r="B1572" i="20"/>
  <c r="L1572" i="20" a="1"/>
  <c r="L1572" i="20" s="1"/>
  <c r="B1573" i="20"/>
  <c r="D1573" i="20" a="1"/>
  <c r="D1573" i="20" s="1"/>
  <c r="F1573" i="20" a="1"/>
  <c r="F1573" i="20" s="1"/>
  <c r="H1573" i="20" a="1"/>
  <c r="H1573" i="20" s="1"/>
  <c r="J1573" i="20" a="1"/>
  <c r="J1573" i="20" s="1"/>
  <c r="L1573" i="20" a="1"/>
  <c r="L1573" i="20" s="1"/>
  <c r="D1574" i="20" a="1"/>
  <c r="D1574" i="20" s="1"/>
  <c r="F1574" i="20" a="1"/>
  <c r="F1574" i="20" s="1"/>
  <c r="H1574" i="20" a="1"/>
  <c r="H1574" i="20" s="1"/>
  <c r="J1574" i="20" a="1"/>
  <c r="J1574" i="20" s="1"/>
  <c r="B1574" i="20"/>
  <c r="L1574" i="20" a="1"/>
  <c r="L1574" i="20" s="1"/>
  <c r="B1575" i="20"/>
  <c r="D1575" i="20" a="1"/>
  <c r="D1575" i="20" s="1"/>
  <c r="F1575" i="20" a="1"/>
  <c r="F1575" i="20" s="1"/>
  <c r="H1575" i="20" a="1"/>
  <c r="H1575" i="20" s="1"/>
  <c r="J1575" i="20" a="1"/>
  <c r="J1575" i="20" s="1"/>
  <c r="L1575" i="20" a="1"/>
  <c r="L1575" i="20" s="1"/>
  <c r="B1576" i="20"/>
  <c r="D1576" i="20" a="1"/>
  <c r="D1576" i="20" s="1"/>
  <c r="F1576" i="20" a="1"/>
  <c r="F1576" i="20" s="1"/>
  <c r="H1576" i="20" a="1"/>
  <c r="H1576" i="20" s="1"/>
  <c r="J1576" i="20" a="1"/>
  <c r="J1576" i="20" s="1"/>
  <c r="L1576" i="20" a="1"/>
  <c r="L1576" i="20" s="1"/>
  <c r="D1577" i="20" a="1"/>
  <c r="D1577" i="20" s="1"/>
  <c r="F1577" i="20" a="1"/>
  <c r="F1577" i="20" s="1"/>
  <c r="H1577" i="20" a="1"/>
  <c r="H1577" i="20" s="1"/>
  <c r="J1577" i="20" a="1"/>
  <c r="J1577" i="20" s="1"/>
  <c r="B1577" i="20"/>
  <c r="L1577" i="20" a="1"/>
  <c r="L1577" i="20" s="1"/>
  <c r="B1578" i="20"/>
  <c r="D1578" i="20" a="1"/>
  <c r="D1578" i="20" s="1"/>
  <c r="F1578" i="20" a="1"/>
  <c r="F1578" i="20" s="1"/>
  <c r="H1578" i="20" a="1"/>
  <c r="H1578" i="20" s="1"/>
  <c r="J1578" i="20" a="1"/>
  <c r="J1578" i="20" s="1"/>
  <c r="L1578" i="20" a="1"/>
  <c r="L1578" i="20" s="1"/>
  <c r="D1579" i="20" a="1"/>
  <c r="D1579" i="20" s="1"/>
  <c r="F1579" i="20" a="1"/>
  <c r="F1579" i="20" s="1"/>
  <c r="H1579" i="20" a="1"/>
  <c r="H1579" i="20" s="1"/>
  <c r="B1579" i="20"/>
  <c r="J1579" i="20" a="1"/>
  <c r="J1579" i="20" s="1"/>
  <c r="L1579" i="20" a="1"/>
  <c r="L1579" i="20" s="1"/>
  <c r="D1580" i="20" a="1"/>
  <c r="D1580" i="20" s="1"/>
  <c r="F1580" i="20" a="1"/>
  <c r="F1580" i="20" s="1"/>
  <c r="H1580" i="20" a="1"/>
  <c r="H1580" i="20" s="1"/>
  <c r="B1580" i="20"/>
  <c r="J1580" i="20" a="1"/>
  <c r="J1580" i="20" s="1"/>
  <c r="L1580" i="20" a="1"/>
  <c r="L1580" i="20" s="1"/>
  <c r="D1581" i="20" a="1"/>
  <c r="D1581" i="20" s="1"/>
  <c r="F1581" i="20" a="1"/>
  <c r="F1581" i="20" s="1"/>
  <c r="H1581" i="20" a="1"/>
  <c r="H1581" i="20" s="1"/>
  <c r="B1581" i="20"/>
  <c r="J1581" i="20" a="1"/>
  <c r="J1581" i="20" s="1"/>
  <c r="L1581" i="20" a="1"/>
  <c r="L1581" i="20" s="1"/>
  <c r="D1582" i="20" a="1"/>
  <c r="D1582" i="20" s="1"/>
  <c r="F1582" i="20" a="1"/>
  <c r="F1582" i="20" s="1"/>
  <c r="H1582" i="20" a="1"/>
  <c r="H1582" i="20" s="1"/>
  <c r="B1582" i="20"/>
  <c r="J1582" i="20" a="1"/>
  <c r="J1582" i="20" s="1"/>
  <c r="L1582" i="20" a="1"/>
  <c r="L1582" i="20" s="1"/>
  <c r="D1583" i="20" a="1"/>
  <c r="D1583" i="20" s="1"/>
  <c r="B1583" i="20"/>
  <c r="F1583" i="20" a="1"/>
  <c r="F1583" i="20" s="1"/>
  <c r="H1583" i="20" a="1"/>
  <c r="H1583" i="20" s="1"/>
  <c r="J1583" i="20" a="1"/>
  <c r="J1583" i="20" s="1"/>
  <c r="L1583" i="20" a="1"/>
  <c r="L1583" i="20" s="1"/>
  <c r="D1584" i="20" a="1"/>
  <c r="D1584" i="20" s="1"/>
  <c r="B1584" i="20"/>
  <c r="F1584" i="20" a="1"/>
  <c r="F1584" i="20" s="1"/>
  <c r="H1584" i="20" a="1"/>
  <c r="H1584" i="20" s="1"/>
  <c r="J1584" i="20" a="1"/>
  <c r="J1584" i="20" s="1"/>
  <c r="L1584" i="20" a="1"/>
  <c r="L1584" i="20" s="1"/>
  <c r="D1585" i="20" a="1"/>
  <c r="D1585" i="20" s="1"/>
  <c r="B1585" i="20"/>
  <c r="F1585" i="20" a="1"/>
  <c r="F1585" i="20" s="1"/>
  <c r="H1585" i="20" a="1"/>
  <c r="H1585" i="20" s="1"/>
  <c r="J1585" i="20" a="1"/>
  <c r="J1585" i="20" s="1"/>
  <c r="L1585" i="20" a="1"/>
  <c r="L1585" i="20" s="1"/>
  <c r="B1586" i="20"/>
  <c r="D1586" i="20" a="1"/>
  <c r="D1586" i="20" s="1"/>
  <c r="F1586" i="20" a="1"/>
  <c r="F1586" i="20" s="1"/>
  <c r="H1586" i="20" a="1"/>
  <c r="H1586" i="20" s="1"/>
  <c r="J1586" i="20" a="1"/>
  <c r="J1586" i="20" s="1"/>
  <c r="L1586" i="20" a="1"/>
  <c r="L1586" i="20" s="1"/>
  <c r="D1587" i="20" a="1"/>
  <c r="D1587" i="20" s="1"/>
  <c r="F1587" i="20" a="1"/>
  <c r="F1587" i="20" s="1"/>
  <c r="H1587" i="20" a="1"/>
  <c r="H1587" i="20" s="1"/>
  <c r="J1587" i="20" a="1"/>
  <c r="J1587" i="20" s="1"/>
  <c r="B1587" i="20"/>
  <c r="L1587" i="20" a="1"/>
  <c r="L1587" i="20" s="1"/>
  <c r="D1588" i="20" a="1"/>
  <c r="D1588" i="20" s="1"/>
  <c r="F1588" i="20" a="1"/>
  <c r="F1588" i="20" s="1"/>
  <c r="H1588" i="20" a="1"/>
  <c r="H1588" i="20" s="1"/>
  <c r="B1588" i="20"/>
  <c r="J1588" i="20" a="1"/>
  <c r="J1588" i="20" s="1"/>
  <c r="L1588" i="20" a="1"/>
  <c r="L1588" i="20" s="1"/>
  <c r="D1589" i="20" a="1"/>
  <c r="D1589" i="20" s="1"/>
  <c r="F1589" i="20" a="1"/>
  <c r="F1589" i="20" s="1"/>
  <c r="H1589" i="20" a="1"/>
  <c r="H1589" i="20" s="1"/>
  <c r="B1589" i="20"/>
  <c r="J1589" i="20" a="1"/>
  <c r="J1589" i="20" s="1"/>
  <c r="L1589" i="20" a="1"/>
  <c r="L1589" i="20" s="1"/>
  <c r="D1590" i="20" a="1"/>
  <c r="D1590" i="20" s="1"/>
  <c r="F1590" i="20" a="1"/>
  <c r="F1590" i="20" s="1"/>
  <c r="H1590" i="20" a="1"/>
  <c r="H1590" i="20" s="1"/>
  <c r="B1590" i="20"/>
  <c r="J1590" i="20" a="1"/>
  <c r="J1590" i="20" s="1"/>
  <c r="L1590" i="20" a="1"/>
  <c r="L1590" i="20" s="1"/>
  <c r="B1591" i="20"/>
  <c r="D1591" i="20" a="1"/>
  <c r="D1591" i="20" s="1"/>
  <c r="F1591" i="20" a="1"/>
  <c r="F1591" i="20" s="1"/>
  <c r="H1591" i="20" a="1"/>
  <c r="H1591" i="20" s="1"/>
  <c r="J1591" i="20" a="1"/>
  <c r="J1591" i="20" s="1"/>
  <c r="L1591" i="20" a="1"/>
  <c r="L1591" i="20" s="1"/>
  <c r="D1592" i="20" a="1"/>
  <c r="D1592" i="20" s="1"/>
  <c r="B1592" i="20"/>
  <c r="F1592" i="20" a="1"/>
  <c r="F1592" i="20" s="1"/>
  <c r="H1592" i="20" a="1"/>
  <c r="H1592" i="20" s="1"/>
  <c r="J1592" i="20" a="1"/>
  <c r="J1592" i="20" s="1"/>
  <c r="L1592" i="20" a="1"/>
  <c r="L1592" i="20" s="1"/>
  <c r="D1593" i="20" a="1"/>
  <c r="D1593" i="20" s="1"/>
  <c r="B1593" i="20"/>
  <c r="F1593" i="20" a="1"/>
  <c r="F1593" i="20" s="1"/>
  <c r="H1593" i="20" a="1"/>
  <c r="H1593" i="20" s="1"/>
  <c r="J1593" i="20" a="1"/>
  <c r="J1593" i="20" s="1"/>
  <c r="L1593" i="20" a="1"/>
  <c r="L1593" i="20" s="1"/>
  <c r="B1594" i="20"/>
  <c r="D1594" i="20" a="1"/>
  <c r="D1594" i="20" s="1"/>
  <c r="F1594" i="20" a="1"/>
  <c r="F1594" i="20" s="1"/>
  <c r="H1594" i="20" a="1"/>
  <c r="H1594" i="20" s="1"/>
  <c r="J1594" i="20" a="1"/>
  <c r="J1594" i="20" s="1"/>
  <c r="L1594" i="20" a="1"/>
  <c r="L1594" i="20" s="1"/>
  <c r="D1595" i="20" a="1"/>
  <c r="D1595" i="20" s="1"/>
  <c r="F1595" i="20" a="1"/>
  <c r="F1595" i="20" s="1"/>
  <c r="H1595" i="20" a="1"/>
  <c r="H1595" i="20" s="1"/>
  <c r="J1595" i="20" a="1"/>
  <c r="J1595" i="20" s="1"/>
  <c r="B1595" i="20"/>
  <c r="L1595" i="20" a="1"/>
  <c r="L1595" i="20" s="1"/>
  <c r="D1596" i="20" a="1"/>
  <c r="D1596" i="20" s="1"/>
  <c r="B1596" i="20"/>
  <c r="F1596" i="20" a="1"/>
  <c r="F1596" i="20" s="1"/>
  <c r="H1596" i="20" a="1"/>
  <c r="H1596" i="20" s="1"/>
  <c r="J1596" i="20" a="1"/>
  <c r="J1596" i="20" s="1"/>
  <c r="L1596" i="20" a="1"/>
  <c r="L1596" i="20" s="1"/>
  <c r="D1597" i="20" a="1"/>
  <c r="D1597" i="20" s="1"/>
  <c r="F1597" i="20" a="1"/>
  <c r="F1597" i="20" s="1"/>
  <c r="B1597" i="20"/>
  <c r="H1597" i="20" a="1"/>
  <c r="H1597" i="20" s="1"/>
  <c r="J1597" i="20" a="1"/>
  <c r="J1597" i="20" s="1"/>
  <c r="L1597" i="20" a="1"/>
  <c r="L1597" i="20" s="1"/>
  <c r="D1598" i="20" a="1"/>
  <c r="D1598" i="20" s="1"/>
  <c r="F1598" i="20" a="1"/>
  <c r="F1598" i="20" s="1"/>
  <c r="H1598" i="20" a="1"/>
  <c r="H1598" i="20" s="1"/>
  <c r="B1598" i="20"/>
  <c r="J1598" i="20" a="1"/>
  <c r="J1598" i="20" s="1"/>
  <c r="L1598" i="20" a="1"/>
  <c r="L1598" i="20" s="1"/>
  <c r="D1599" i="20" a="1"/>
  <c r="D1599" i="20" s="1"/>
  <c r="F1599" i="20" a="1"/>
  <c r="F1599" i="20" s="1"/>
  <c r="H1599" i="20" a="1"/>
  <c r="H1599" i="20" s="1"/>
  <c r="B1599" i="20"/>
  <c r="J1599" i="20" a="1"/>
  <c r="J1599" i="20" s="1"/>
  <c r="L1599" i="20" a="1"/>
  <c r="L1599" i="20" s="1"/>
  <c r="D1600" i="20" a="1"/>
  <c r="D1600" i="20" s="1"/>
  <c r="B1600" i="20"/>
  <c r="F1600" i="20" a="1"/>
  <c r="F1600" i="20" s="1"/>
  <c r="H1600" i="20" a="1"/>
  <c r="H1600" i="20" s="1"/>
  <c r="J1600" i="20" a="1"/>
  <c r="J1600" i="20" s="1"/>
  <c r="L1600" i="20" a="1"/>
  <c r="L1600" i="20" s="1"/>
  <c r="D1601" i="20" a="1"/>
  <c r="D1601" i="20" s="1"/>
  <c r="F1601" i="20" a="1"/>
  <c r="F1601" i="20" s="1"/>
  <c r="B1601" i="20"/>
  <c r="H1601" i="20" a="1"/>
  <c r="H1601" i="20" s="1"/>
  <c r="J1601" i="20" a="1"/>
  <c r="J1601" i="20" s="1"/>
  <c r="L1601" i="20" a="1"/>
  <c r="L1601" i="20" s="1"/>
  <c r="D1602" i="20" a="1"/>
  <c r="D1602" i="20" s="1"/>
  <c r="F1602" i="20" a="1"/>
  <c r="F1602" i="20" s="1"/>
  <c r="H1602" i="20" a="1"/>
  <c r="H1602" i="20" s="1"/>
  <c r="B1602" i="20"/>
  <c r="J1602" i="20" a="1"/>
  <c r="J1602" i="20" s="1"/>
  <c r="L1602" i="20" a="1"/>
  <c r="L1602" i="20" s="1"/>
  <c r="D1603" i="20" a="1"/>
  <c r="D1603" i="20" s="1"/>
  <c r="F1603" i="20" a="1"/>
  <c r="F1603" i="20" s="1"/>
  <c r="H1603" i="20" a="1"/>
  <c r="H1603" i="20" s="1"/>
  <c r="B1603" i="20"/>
  <c r="J1603" i="20" a="1"/>
  <c r="J1603" i="20" s="1"/>
  <c r="L1603" i="20" a="1"/>
  <c r="L1603" i="20" s="1"/>
  <c r="D1604" i="20" a="1"/>
  <c r="D1604" i="20" s="1"/>
  <c r="F1604" i="20" a="1"/>
  <c r="F1604" i="20" s="1"/>
  <c r="B1604" i="20"/>
  <c r="H1604" i="20" a="1"/>
  <c r="H1604" i="20" s="1"/>
  <c r="J1604" i="20" a="1"/>
  <c r="J1604" i="20" s="1"/>
  <c r="L1604" i="20" a="1"/>
  <c r="L1604" i="20" s="1"/>
  <c r="D1605" i="20" a="1"/>
  <c r="D1605" i="20" s="1"/>
  <c r="B1605" i="20"/>
  <c r="F1605" i="20" a="1"/>
  <c r="F1605" i="20" s="1"/>
  <c r="H1605" i="20" a="1"/>
  <c r="H1605" i="20" s="1"/>
  <c r="J1605" i="20" a="1"/>
  <c r="J1605" i="20" s="1"/>
  <c r="L1605" i="20" a="1"/>
  <c r="L1605" i="20" s="1"/>
  <c r="D1606" i="20" a="1"/>
  <c r="D1606" i="20" s="1"/>
  <c r="F1606" i="20" a="1"/>
  <c r="F1606" i="20" s="1"/>
  <c r="H1606" i="20" a="1"/>
  <c r="H1606" i="20" s="1"/>
  <c r="B1606" i="20"/>
  <c r="J1606" i="20" a="1"/>
  <c r="J1606" i="20" s="1"/>
  <c r="L1606" i="20" a="1"/>
  <c r="L1606" i="20" s="1"/>
  <c r="D1607" i="20" a="1"/>
  <c r="D1607" i="20" s="1"/>
  <c r="F1607" i="20" a="1"/>
  <c r="F1607" i="20" s="1"/>
  <c r="H1607" i="20" a="1"/>
  <c r="H1607" i="20" s="1"/>
  <c r="B1607" i="20"/>
  <c r="J1607" i="20" a="1"/>
  <c r="J1607" i="20" s="1"/>
  <c r="L1607" i="20" a="1"/>
  <c r="L1607" i="20" s="1"/>
  <c r="B1608" i="20"/>
  <c r="D1608" i="20" a="1"/>
  <c r="D1608" i="20" s="1"/>
  <c r="F1608" i="20" a="1"/>
  <c r="F1608" i="20" s="1"/>
  <c r="H1608" i="20" a="1"/>
  <c r="H1608" i="20" s="1"/>
  <c r="J1608" i="20" a="1"/>
  <c r="J1608" i="20" s="1"/>
  <c r="L1608" i="20" a="1"/>
  <c r="L1608" i="20" s="1"/>
  <c r="D1609" i="20" a="1"/>
  <c r="D1609" i="20" s="1"/>
  <c r="F1609" i="20" a="1"/>
  <c r="F1609" i="20" s="1"/>
  <c r="H1609" i="20" a="1"/>
  <c r="H1609" i="20" s="1"/>
  <c r="J1609" i="20" a="1"/>
  <c r="J1609" i="20" s="1"/>
  <c r="B1609" i="20"/>
  <c r="L1609" i="20" a="1"/>
  <c r="L1609" i="20" s="1"/>
  <c r="D1610" i="20" a="1"/>
  <c r="D1610" i="20" s="1"/>
  <c r="B1610" i="20"/>
  <c r="F1610" i="20" a="1"/>
  <c r="F1610" i="20" s="1"/>
  <c r="H1610" i="20" a="1"/>
  <c r="H1610" i="20" s="1"/>
  <c r="J1610" i="20" a="1"/>
  <c r="J1610" i="20" s="1"/>
  <c r="L1610" i="20" a="1"/>
  <c r="L1610" i="20" s="1"/>
  <c r="D1611" i="20" a="1"/>
  <c r="D1611" i="20" s="1"/>
  <c r="B1611" i="20"/>
  <c r="F1611" i="20" a="1"/>
  <c r="F1611" i="20" s="1"/>
  <c r="H1611" i="20" a="1"/>
  <c r="H1611" i="20" s="1"/>
  <c r="J1611" i="20" a="1"/>
  <c r="J1611" i="20" s="1"/>
  <c r="L1611" i="20" a="1"/>
  <c r="L1611" i="20" s="1"/>
  <c r="D1612" i="20" a="1"/>
  <c r="D1612" i="20" s="1"/>
  <c r="F1612" i="20" a="1"/>
  <c r="F1612" i="20" s="1"/>
  <c r="B1612" i="20"/>
  <c r="H1612" i="20" a="1"/>
  <c r="H1612" i="20" s="1"/>
  <c r="J1612" i="20" a="1"/>
  <c r="J1612" i="20" s="1"/>
  <c r="L1612" i="20" a="1"/>
  <c r="L1612" i="20" s="1"/>
  <c r="D1613" i="20" a="1"/>
  <c r="D1613" i="20" s="1"/>
  <c r="B1613" i="20"/>
  <c r="F1613" i="20" a="1"/>
  <c r="F1613" i="20" s="1"/>
  <c r="H1613" i="20" a="1"/>
  <c r="H1613" i="20" s="1"/>
  <c r="J1613" i="20" a="1"/>
  <c r="J1613" i="20" s="1"/>
  <c r="L1613" i="20" a="1"/>
  <c r="L1613" i="20" s="1"/>
  <c r="D1614" i="20" a="1"/>
  <c r="D1614" i="20" s="1"/>
  <c r="F1614" i="20" a="1"/>
  <c r="F1614" i="20" s="1"/>
  <c r="H1614" i="20" a="1"/>
  <c r="H1614" i="20" s="1"/>
  <c r="B1614" i="20"/>
  <c r="J1614" i="20" a="1"/>
  <c r="J1614" i="20" s="1"/>
  <c r="L1614" i="20" a="1"/>
  <c r="L1614" i="20" s="1"/>
  <c r="B1615" i="20"/>
  <c r="D1615" i="20" a="1"/>
  <c r="D1615" i="20" s="1"/>
  <c r="F1615" i="20" a="1"/>
  <c r="F1615" i="20" s="1"/>
  <c r="H1615" i="20" a="1"/>
  <c r="H1615" i="20" s="1"/>
  <c r="J1615" i="20" a="1"/>
  <c r="J1615" i="20" s="1"/>
  <c r="L1615" i="20" a="1"/>
  <c r="L1615" i="20" s="1"/>
  <c r="D1616" i="20" a="1"/>
  <c r="D1616" i="20" s="1"/>
  <c r="F1616" i="20" a="1"/>
  <c r="F1616" i="20" s="1"/>
  <c r="H1616" i="20" a="1"/>
  <c r="H1616" i="20" s="1"/>
  <c r="J1616" i="20" a="1"/>
  <c r="J1616" i="20" s="1"/>
  <c r="B1616" i="20"/>
  <c r="L1616" i="20" a="1"/>
  <c r="L1616" i="20" s="1"/>
  <c r="D1617" i="20" a="1"/>
  <c r="D1617" i="20" s="1"/>
  <c r="B1617" i="20"/>
  <c r="F1617" i="20" a="1"/>
  <c r="F1617" i="20" s="1"/>
  <c r="H1617" i="20" a="1"/>
  <c r="H1617" i="20" s="1"/>
  <c r="J1617" i="20" a="1"/>
  <c r="J1617" i="20" s="1"/>
  <c r="L1617" i="20" a="1"/>
  <c r="L1617" i="20" s="1"/>
  <c r="D1618" i="20" a="1"/>
  <c r="D1618" i="20" s="1"/>
  <c r="B1618" i="20"/>
  <c r="F1618" i="20" a="1"/>
  <c r="F1618" i="20" s="1"/>
  <c r="H1618" i="20" a="1"/>
  <c r="H1618" i="20" s="1"/>
  <c r="J1618" i="20" a="1"/>
  <c r="J1618" i="20" s="1"/>
  <c r="L1618" i="20" a="1"/>
  <c r="L1618" i="20" s="1"/>
  <c r="D1619" i="20" a="1"/>
  <c r="D1619" i="20" s="1"/>
  <c r="F1619" i="20" a="1"/>
  <c r="F1619" i="20" s="1"/>
  <c r="B1619" i="20"/>
  <c r="H1619" i="20" a="1"/>
  <c r="H1619" i="20" s="1"/>
  <c r="J1619" i="20" a="1"/>
  <c r="J1619" i="20" s="1"/>
  <c r="L1619" i="20" a="1"/>
  <c r="L1619" i="20" s="1"/>
  <c r="D1620" i="20" a="1"/>
  <c r="D1620" i="20" s="1"/>
  <c r="B1620" i="20"/>
  <c r="F1620" i="20" a="1"/>
  <c r="F1620" i="20" s="1"/>
  <c r="H1620" i="20" a="1"/>
  <c r="H1620" i="20" s="1"/>
  <c r="J1620" i="20" a="1"/>
  <c r="J1620" i="20" s="1"/>
  <c r="L1620" i="20" a="1"/>
  <c r="L1620" i="20" s="1"/>
  <c r="D1621" i="20" a="1"/>
  <c r="D1621" i="20" s="1"/>
  <c r="B1621" i="20"/>
  <c r="F1621" i="20" a="1"/>
  <c r="F1621" i="20" s="1"/>
  <c r="H1621" i="20" a="1"/>
  <c r="H1621" i="20" s="1"/>
  <c r="J1621" i="20" a="1"/>
  <c r="J1621" i="20" s="1"/>
  <c r="L1621" i="20" a="1"/>
  <c r="L1621" i="20" s="1"/>
  <c r="B1622" i="20"/>
  <c r="D1622" i="20" a="1"/>
  <c r="D1622" i="20" s="1"/>
  <c r="F1622" i="20" a="1"/>
  <c r="F1622" i="20" s="1"/>
  <c r="H1622" i="20" a="1"/>
  <c r="H1622" i="20" s="1"/>
  <c r="J1622" i="20" a="1"/>
  <c r="J1622" i="20" s="1"/>
  <c r="L1622" i="20" a="1"/>
  <c r="L1622" i="20" s="1"/>
  <c r="D1623" i="20" a="1"/>
  <c r="D1623" i="20" s="1"/>
  <c r="F1623" i="20" a="1"/>
  <c r="F1623" i="20" s="1"/>
  <c r="H1623" i="20" a="1"/>
  <c r="H1623" i="20" s="1"/>
  <c r="J1623" i="20" a="1"/>
  <c r="J1623" i="20" s="1"/>
  <c r="B1623" i="20"/>
  <c r="L1623" i="20" a="1"/>
  <c r="L1623" i="20" s="1"/>
  <c r="D1624" i="20" a="1"/>
  <c r="D1624" i="20" s="1"/>
  <c r="B1624" i="20"/>
  <c r="F1624" i="20" a="1"/>
  <c r="F1624" i="20" s="1"/>
  <c r="H1624" i="20" a="1"/>
  <c r="H1624" i="20" s="1"/>
  <c r="J1624" i="20" a="1"/>
  <c r="J1624" i="20" s="1"/>
  <c r="L1624" i="20" a="1"/>
  <c r="L1624" i="20" s="1"/>
  <c r="D1625" i="20" a="1"/>
  <c r="D1625" i="20" s="1"/>
  <c r="F1625" i="20" a="1"/>
  <c r="F1625" i="20" s="1"/>
  <c r="H1625" i="20" a="1"/>
  <c r="H1625" i="20" s="1"/>
  <c r="J1625" i="20" a="1"/>
  <c r="J1625" i="20" s="1"/>
  <c r="B1625" i="20"/>
  <c r="L1625" i="20" a="1"/>
  <c r="L1625" i="20" s="1"/>
  <c r="B1626" i="20"/>
  <c r="D1626" i="20" a="1"/>
  <c r="D1626" i="20" s="1"/>
  <c r="F1626" i="20" a="1"/>
  <c r="F1626" i="20" s="1"/>
  <c r="H1626" i="20" a="1"/>
  <c r="H1626" i="20" s="1"/>
  <c r="J1626" i="20" a="1"/>
  <c r="J1626" i="20" s="1"/>
  <c r="L1626" i="20" a="1"/>
  <c r="L1626" i="20" s="1"/>
  <c r="D1627" i="20" a="1"/>
  <c r="D1627" i="20" s="1"/>
  <c r="F1627" i="20" a="1"/>
  <c r="F1627" i="20" s="1"/>
  <c r="H1627" i="20" a="1"/>
  <c r="H1627" i="20" s="1"/>
  <c r="J1627" i="20" a="1"/>
  <c r="J1627" i="20" s="1"/>
  <c r="B1627" i="20"/>
  <c r="L1627" i="20" a="1"/>
  <c r="L1627" i="20" s="1"/>
  <c r="D1628" i="20" a="1"/>
  <c r="D1628" i="20" s="1"/>
  <c r="B1628" i="20"/>
  <c r="F1628" i="20" a="1"/>
  <c r="F1628" i="20" s="1"/>
  <c r="H1628" i="20" a="1"/>
  <c r="H1628" i="20" s="1"/>
  <c r="J1628" i="20" a="1"/>
  <c r="J1628" i="20" s="1"/>
  <c r="L1628" i="20" a="1"/>
  <c r="L1628" i="20" s="1"/>
  <c r="D1629" i="20" a="1"/>
  <c r="D1629" i="20" s="1"/>
  <c r="F1629" i="20" a="1"/>
  <c r="F1629" i="20" s="1"/>
  <c r="H1629" i="20" a="1"/>
  <c r="H1629" i="20" s="1"/>
  <c r="J1629" i="20" a="1"/>
  <c r="J1629" i="20" s="1"/>
  <c r="B1629" i="20"/>
  <c r="L1629" i="20" a="1"/>
  <c r="L1629" i="20" s="1"/>
  <c r="D1630" i="20" a="1"/>
  <c r="D1630" i="20" s="1"/>
  <c r="B1630" i="20"/>
  <c r="F1630" i="20" a="1"/>
  <c r="F1630" i="20" s="1"/>
  <c r="H1630" i="20" a="1"/>
  <c r="H1630" i="20" s="1"/>
  <c r="J1630" i="20" a="1"/>
  <c r="J1630" i="20" s="1"/>
  <c r="L1630" i="20" a="1"/>
  <c r="L1630" i="20" s="1"/>
  <c r="D1631" i="20" a="1"/>
  <c r="D1631" i="20" s="1"/>
  <c r="F1631" i="20" a="1"/>
  <c r="F1631" i="20" s="1"/>
  <c r="H1631" i="20" a="1"/>
  <c r="H1631" i="20" s="1"/>
  <c r="J1631" i="20" a="1"/>
  <c r="J1631" i="20" s="1"/>
  <c r="B1631" i="20"/>
  <c r="L1631" i="20" a="1"/>
  <c r="L1631" i="20" s="1"/>
  <c r="D1632" i="20" a="1"/>
  <c r="D1632" i="20" s="1"/>
  <c r="F1632" i="20" a="1"/>
  <c r="F1632" i="20" s="1"/>
  <c r="B1632" i="20"/>
  <c r="H1632" i="20" a="1"/>
  <c r="H1632" i="20" s="1"/>
  <c r="J1632" i="20" a="1"/>
  <c r="J1632" i="20" s="1"/>
  <c r="L1632" i="20" a="1"/>
  <c r="L1632" i="20" s="1"/>
  <c r="D1633" i="20" a="1"/>
  <c r="D1633" i="20" s="1"/>
  <c r="B1633" i="20"/>
  <c r="F1633" i="20" a="1"/>
  <c r="F1633" i="20" s="1"/>
  <c r="H1633" i="20" a="1"/>
  <c r="H1633" i="20" s="1"/>
  <c r="J1633" i="20" a="1"/>
  <c r="J1633" i="20" s="1"/>
  <c r="L1633" i="20" a="1"/>
  <c r="L1633" i="20" s="1"/>
  <c r="B1634" i="20"/>
  <c r="D1634" i="20" a="1"/>
  <c r="D1634" i="20" s="1"/>
  <c r="F1634" i="20" a="1"/>
  <c r="F1634" i="20" s="1"/>
  <c r="H1634" i="20" a="1"/>
  <c r="H1634" i="20" s="1"/>
  <c r="J1634" i="20" a="1"/>
  <c r="J1634" i="20" s="1"/>
  <c r="L1634" i="20" a="1"/>
  <c r="L1634" i="20" s="1"/>
  <c r="D1635" i="20" a="1"/>
  <c r="D1635" i="20" s="1"/>
  <c r="F1635" i="20" a="1"/>
  <c r="F1635" i="20" s="1"/>
  <c r="H1635" i="20" a="1"/>
  <c r="H1635" i="20" s="1"/>
  <c r="J1635" i="20" a="1"/>
  <c r="J1635" i="20" s="1"/>
  <c r="B1635" i="20"/>
  <c r="L1635" i="20" a="1"/>
  <c r="L1635" i="20" s="1"/>
  <c r="D1636" i="20" a="1"/>
  <c r="D1636" i="20" s="1"/>
  <c r="B1636" i="20"/>
  <c r="F1636" i="20" a="1"/>
  <c r="F1636" i="20" s="1"/>
  <c r="H1636" i="20" a="1"/>
  <c r="H1636" i="20" s="1"/>
  <c r="J1636" i="20" a="1"/>
  <c r="J1636" i="20" s="1"/>
  <c r="L1636" i="20" a="1"/>
  <c r="L1636" i="20" s="1"/>
  <c r="D1637" i="20" a="1"/>
  <c r="D1637" i="20" s="1"/>
  <c r="F1637" i="20" a="1"/>
  <c r="F1637" i="20" s="1"/>
  <c r="H1637" i="20" a="1"/>
  <c r="H1637" i="20" s="1"/>
  <c r="J1637" i="20" a="1"/>
  <c r="J1637" i="20" s="1"/>
  <c r="B1637" i="20"/>
  <c r="L1637" i="20" a="1"/>
  <c r="L1637" i="20" s="1"/>
  <c r="D1638" i="20" a="1"/>
  <c r="D1638" i="20" s="1"/>
  <c r="F1638" i="20" a="1"/>
  <c r="F1638" i="20" s="1"/>
  <c r="H1638" i="20" a="1"/>
  <c r="H1638" i="20" s="1"/>
  <c r="J1638" i="20" a="1"/>
  <c r="J1638" i="20" s="1"/>
  <c r="B1638" i="20"/>
  <c r="L1638" i="20" a="1"/>
  <c r="L1638" i="20" s="1"/>
  <c r="D1639" i="20" a="1"/>
  <c r="D1639" i="20" s="1"/>
  <c r="F1639" i="20" a="1"/>
  <c r="F1639" i="20" s="1"/>
  <c r="H1639" i="20" a="1"/>
  <c r="H1639" i="20" s="1"/>
  <c r="B1639" i="20"/>
  <c r="J1639" i="20" a="1"/>
  <c r="J1639" i="20" s="1"/>
  <c r="L1639" i="20" a="1"/>
  <c r="L1639" i="20" s="1"/>
  <c r="D1640" i="20" a="1"/>
  <c r="D1640" i="20" s="1"/>
  <c r="F1640" i="20" a="1"/>
  <c r="F1640" i="20" s="1"/>
  <c r="H1640" i="20" a="1"/>
  <c r="H1640" i="20" s="1"/>
  <c r="B1640" i="20"/>
  <c r="J1640" i="20" a="1"/>
  <c r="J1640" i="20" s="1"/>
  <c r="L1640" i="20" a="1"/>
  <c r="L1640" i="20" s="1"/>
  <c r="D1641" i="20" a="1"/>
  <c r="D1641" i="20" s="1"/>
  <c r="F1641" i="20" a="1"/>
  <c r="F1641" i="20" s="1"/>
  <c r="H1641" i="20" a="1"/>
  <c r="H1641" i="20" s="1"/>
  <c r="B1641" i="20"/>
  <c r="J1641" i="20" a="1"/>
  <c r="J1641" i="20" s="1"/>
  <c r="L1641" i="20" a="1"/>
  <c r="L1641" i="20" s="1"/>
  <c r="D1642" i="20" a="1"/>
  <c r="D1642" i="20" s="1"/>
  <c r="B1642" i="20"/>
  <c r="F1642" i="20" a="1"/>
  <c r="F1642" i="20" s="1"/>
  <c r="H1642" i="20" a="1"/>
  <c r="H1642" i="20" s="1"/>
  <c r="J1642" i="20" a="1"/>
  <c r="J1642" i="20" s="1"/>
  <c r="L1642" i="20" a="1"/>
  <c r="L1642" i="20" s="1"/>
  <c r="D1643" i="20" a="1"/>
  <c r="D1643" i="20" s="1"/>
  <c r="F1643" i="20" a="1"/>
  <c r="F1643" i="20" s="1"/>
  <c r="B1643" i="20"/>
  <c r="H1643" i="20" a="1"/>
  <c r="H1643" i="20" s="1"/>
  <c r="J1643" i="20" a="1"/>
  <c r="J1643" i="20" s="1"/>
  <c r="L1643" i="20" a="1"/>
  <c r="L1643" i="20" s="1"/>
  <c r="D1644" i="20" a="1"/>
  <c r="D1644" i="20" s="1"/>
  <c r="F1644" i="20" a="1"/>
  <c r="F1644" i="20" s="1"/>
  <c r="H1644" i="20" a="1"/>
  <c r="H1644" i="20" s="1"/>
  <c r="B1644" i="20"/>
  <c r="J1644" i="20" a="1"/>
  <c r="J1644" i="20" s="1"/>
  <c r="L1644" i="20" a="1"/>
  <c r="L1644" i="20" s="1"/>
  <c r="D1645" i="20" a="1"/>
  <c r="D1645" i="20" s="1"/>
  <c r="F1645" i="20" a="1"/>
  <c r="F1645" i="20" s="1"/>
  <c r="H1645" i="20" a="1"/>
  <c r="H1645" i="20" s="1"/>
  <c r="B1645" i="20"/>
  <c r="J1645" i="20" a="1"/>
  <c r="J1645" i="20" s="1"/>
  <c r="L1645" i="20" a="1"/>
  <c r="L1645" i="20" s="1"/>
  <c r="D1646" i="20" a="1"/>
  <c r="D1646" i="20" s="1"/>
  <c r="F1646" i="20" a="1"/>
  <c r="F1646" i="20" s="1"/>
  <c r="H1646" i="20" a="1"/>
  <c r="H1646" i="20" s="1"/>
  <c r="J1646" i="20" a="1"/>
  <c r="J1646" i="20" s="1"/>
  <c r="B1646" i="20"/>
  <c r="L1646" i="20" a="1"/>
  <c r="L1646" i="20" s="1"/>
  <c r="D1647" i="20" a="1"/>
  <c r="D1647" i="20" s="1"/>
  <c r="F1647" i="20" a="1"/>
  <c r="F1647" i="20" s="1"/>
  <c r="B1647" i="20"/>
  <c r="H1647" i="20" a="1"/>
  <c r="H1647" i="20" s="1"/>
  <c r="J1647" i="20" a="1"/>
  <c r="J1647" i="20" s="1"/>
  <c r="L1647" i="20" a="1"/>
  <c r="L1647" i="20" s="1"/>
  <c r="D1648" i="20" a="1"/>
  <c r="D1648" i="20" s="1"/>
  <c r="F1648" i="20" a="1"/>
  <c r="F1648" i="20" s="1"/>
  <c r="H1648" i="20" a="1"/>
  <c r="H1648" i="20" s="1"/>
  <c r="B1648" i="20"/>
  <c r="J1648" i="20" a="1"/>
  <c r="J1648" i="20" s="1"/>
  <c r="L1648" i="20" a="1"/>
  <c r="L1648" i="20" s="1"/>
  <c r="D1649" i="20" a="1"/>
  <c r="D1649" i="20" s="1"/>
  <c r="F1649" i="20" a="1"/>
  <c r="F1649" i="20" s="1"/>
  <c r="H1649" i="20" a="1"/>
  <c r="H1649" i="20" s="1"/>
  <c r="B1649" i="20"/>
  <c r="J1649" i="20" a="1"/>
  <c r="J1649" i="20" s="1"/>
  <c r="L1649" i="20" a="1"/>
  <c r="L1649" i="20" s="1"/>
  <c r="B1650" i="20"/>
  <c r="D1650" i="20" a="1"/>
  <c r="D1650" i="20" s="1"/>
  <c r="F1650" i="20" a="1"/>
  <c r="F1650" i="20" s="1"/>
  <c r="H1650" i="20" a="1"/>
  <c r="H1650" i="20" s="1"/>
  <c r="J1650" i="20" a="1"/>
  <c r="J1650" i="20" s="1"/>
  <c r="L1650" i="20" a="1"/>
  <c r="L1650" i="20" s="1"/>
  <c r="D1651" i="20" a="1"/>
  <c r="D1651" i="20" s="1"/>
  <c r="F1651" i="20" a="1"/>
  <c r="F1651" i="20" s="1"/>
  <c r="H1651" i="20" a="1"/>
  <c r="H1651" i="20" s="1"/>
  <c r="J1651" i="20" a="1"/>
  <c r="J1651" i="20" s="1"/>
  <c r="B1651" i="20"/>
  <c r="L1651" i="20" a="1"/>
  <c r="L1651" i="20" s="1"/>
  <c r="D1652" i="20" a="1"/>
  <c r="D1652" i="20" s="1"/>
  <c r="F1652" i="20" a="1"/>
  <c r="F1652" i="20" s="1"/>
  <c r="H1652" i="20" a="1"/>
  <c r="H1652" i="20" s="1"/>
  <c r="J1652" i="20" a="1"/>
  <c r="J1652" i="20" s="1"/>
  <c r="B1652" i="20"/>
  <c r="L1652" i="20" a="1"/>
  <c r="L1652" i="20" s="1"/>
  <c r="B1653" i="20"/>
  <c r="D1653" i="20" a="1"/>
  <c r="D1653" i="20" s="1"/>
  <c r="F1653" i="20" a="1"/>
  <c r="F1653" i="20" s="1"/>
  <c r="H1653" i="20" a="1"/>
  <c r="H1653" i="20" s="1"/>
  <c r="J1653" i="20" a="1"/>
  <c r="J1653" i="20" s="1"/>
  <c r="L1653" i="20" a="1"/>
  <c r="L1653" i="20" s="1"/>
  <c r="D1654" i="20" a="1"/>
  <c r="D1654" i="20" s="1"/>
  <c r="F1654" i="20" a="1"/>
  <c r="F1654" i="20" s="1"/>
  <c r="H1654" i="20" a="1"/>
  <c r="H1654" i="20" s="1"/>
  <c r="J1654" i="20" a="1"/>
  <c r="J1654" i="20" s="1"/>
  <c r="B1654" i="20"/>
  <c r="L1654" i="20" a="1"/>
  <c r="L1654" i="20" s="1"/>
  <c r="B1655" i="20"/>
  <c r="D1655" i="20" a="1"/>
  <c r="D1655" i="20" s="1"/>
  <c r="F1655" i="20" a="1"/>
  <c r="F1655" i="20" s="1"/>
  <c r="H1655" i="20" a="1"/>
  <c r="H1655" i="20" s="1"/>
  <c r="J1655" i="20" a="1"/>
  <c r="J1655" i="20" s="1"/>
  <c r="L1655" i="20" a="1"/>
  <c r="L1655" i="20" s="1"/>
  <c r="D1656" i="20" a="1"/>
  <c r="D1656" i="20" s="1"/>
  <c r="F1656" i="20" a="1"/>
  <c r="F1656" i="20" s="1"/>
  <c r="H1656" i="20" a="1"/>
  <c r="H1656" i="20" s="1"/>
  <c r="J1656" i="20" a="1"/>
  <c r="J1656" i="20" s="1"/>
  <c r="B1656" i="20"/>
  <c r="L1656" i="20" a="1"/>
  <c r="L1656" i="20" s="1"/>
  <c r="D1657" i="20" a="1"/>
  <c r="D1657" i="20" s="1"/>
  <c r="B1657" i="20"/>
  <c r="F1657" i="20" a="1"/>
  <c r="F1657" i="20" s="1"/>
  <c r="H1657" i="20" a="1"/>
  <c r="H1657" i="20" s="1"/>
  <c r="J1657" i="20" a="1"/>
  <c r="J1657" i="20" s="1"/>
  <c r="L1657" i="20" a="1"/>
  <c r="L1657" i="20" s="1"/>
  <c r="D1658" i="20" a="1"/>
  <c r="D1658" i="20" s="1"/>
  <c r="F1658" i="20" a="1"/>
  <c r="F1658" i="20" s="1"/>
  <c r="H1658" i="20" a="1"/>
  <c r="H1658" i="20" s="1"/>
  <c r="J1658" i="20" a="1"/>
  <c r="J1658" i="20" s="1"/>
  <c r="B1658" i="20"/>
  <c r="L1658" i="20" a="1"/>
  <c r="L1658" i="20" s="1"/>
  <c r="B1659" i="20"/>
  <c r="D1659" i="20" a="1"/>
  <c r="D1659" i="20" s="1"/>
  <c r="F1659" i="20" a="1"/>
  <c r="F1659" i="20" s="1"/>
  <c r="H1659" i="20" a="1"/>
  <c r="H1659" i="20" s="1"/>
  <c r="J1659" i="20" a="1"/>
  <c r="J1659" i="20" s="1"/>
  <c r="L1659" i="20" a="1"/>
  <c r="L1659" i="20" s="1"/>
  <c r="B1660" i="20"/>
  <c r="D1660" i="20" a="1"/>
  <c r="D1660" i="20" s="1"/>
  <c r="F1660" i="20" a="1"/>
  <c r="F1660" i="20" s="1"/>
  <c r="H1660" i="20" a="1"/>
  <c r="H1660" i="20" s="1"/>
  <c r="J1660" i="20" a="1"/>
  <c r="J1660" i="20" s="1"/>
  <c r="L1660" i="20" a="1"/>
  <c r="L1660" i="20" s="1"/>
  <c r="D1661" i="20" a="1"/>
  <c r="D1661" i="20" s="1"/>
  <c r="F1661" i="20" a="1"/>
  <c r="F1661" i="20" s="1"/>
  <c r="H1661" i="20" a="1"/>
  <c r="H1661" i="20" s="1"/>
  <c r="J1661" i="20" a="1"/>
  <c r="J1661" i="20" s="1"/>
  <c r="B1661" i="20"/>
  <c r="L1661" i="20" a="1"/>
  <c r="L1661" i="20" s="1"/>
  <c r="D1662" i="20" a="1"/>
  <c r="D1662" i="20" s="1"/>
  <c r="F1662" i="20" a="1"/>
  <c r="F1662" i="20" s="1"/>
  <c r="H1662" i="20" a="1"/>
  <c r="H1662" i="20" s="1"/>
  <c r="B1662" i="20"/>
  <c r="J1662" i="20" a="1"/>
  <c r="J1662" i="20" s="1"/>
  <c r="L1662" i="20" a="1"/>
  <c r="L1662" i="20" s="1"/>
  <c r="D1663" i="20" a="1"/>
  <c r="D1663" i="20" s="1"/>
  <c r="F1663" i="20" a="1"/>
  <c r="F1663" i="20" s="1"/>
  <c r="B1663" i="20"/>
  <c r="H1663" i="20" a="1"/>
  <c r="H1663" i="20" s="1"/>
  <c r="J1663" i="20" a="1"/>
  <c r="J1663" i="20" s="1"/>
  <c r="L1663" i="20" a="1"/>
  <c r="L1663" i="20" s="1"/>
  <c r="D1664" i="20" a="1"/>
  <c r="D1664" i="20" s="1"/>
  <c r="F1664" i="20" a="1"/>
  <c r="F1664" i="20" s="1"/>
  <c r="H1664" i="20" a="1"/>
  <c r="H1664" i="20" s="1"/>
  <c r="B1664" i="20"/>
  <c r="J1664" i="20" a="1"/>
  <c r="J1664" i="20" s="1"/>
  <c r="L1664" i="20" a="1"/>
  <c r="L1664" i="20" s="1"/>
  <c r="D1665" i="20" a="1"/>
  <c r="D1665" i="20" s="1"/>
  <c r="F1665" i="20" a="1"/>
  <c r="F1665" i="20" s="1"/>
  <c r="H1665" i="20" a="1"/>
  <c r="H1665" i="20" s="1"/>
  <c r="B1665" i="20"/>
  <c r="J1665" i="20" a="1"/>
  <c r="J1665" i="20" s="1"/>
  <c r="L1665" i="20" a="1"/>
  <c r="L1665" i="20" s="1"/>
  <c r="D1666" i="20" a="1"/>
  <c r="D1666" i="20" s="1"/>
  <c r="B1666" i="20"/>
  <c r="F1666" i="20" a="1"/>
  <c r="F1666" i="20" s="1"/>
  <c r="H1666" i="20" a="1"/>
  <c r="H1666" i="20" s="1"/>
  <c r="J1666" i="20" a="1"/>
  <c r="J1666" i="20" s="1"/>
  <c r="L1666" i="20" a="1"/>
  <c r="L1666" i="20" s="1"/>
  <c r="D1667" i="20" a="1"/>
  <c r="D1667" i="20" s="1"/>
  <c r="F1667" i="20" a="1"/>
  <c r="F1667" i="20" s="1"/>
  <c r="B1667" i="20"/>
  <c r="H1667" i="20" a="1"/>
  <c r="H1667" i="20" s="1"/>
  <c r="J1667" i="20" a="1"/>
  <c r="J1667" i="20" s="1"/>
  <c r="L1667" i="20" a="1"/>
  <c r="L1667" i="20" s="1"/>
  <c r="D1668" i="20" a="1"/>
  <c r="D1668" i="20" s="1"/>
  <c r="F1668" i="20" a="1"/>
  <c r="F1668" i="20" s="1"/>
  <c r="H1668" i="20" a="1"/>
  <c r="H1668" i="20" s="1"/>
  <c r="B1668" i="20"/>
  <c r="J1668" i="20" a="1"/>
  <c r="J1668" i="20" s="1"/>
  <c r="L1668" i="20" a="1"/>
  <c r="L1668" i="20" s="1"/>
  <c r="D1669" i="20" a="1"/>
  <c r="D1669" i="20" s="1"/>
  <c r="F1669" i="20" a="1"/>
  <c r="F1669" i="20" s="1"/>
  <c r="H1669" i="20" a="1"/>
  <c r="H1669" i="20" s="1"/>
  <c r="B1669" i="20"/>
  <c r="J1669" i="20" a="1"/>
  <c r="J1669" i="20" s="1"/>
  <c r="L1669" i="20" a="1"/>
  <c r="L1669" i="20" s="1"/>
  <c r="D1670" i="20" a="1"/>
  <c r="D1670" i="20" s="1"/>
  <c r="B1670" i="20"/>
  <c r="F1670" i="20" a="1"/>
  <c r="F1670" i="20" s="1"/>
  <c r="H1670" i="20" a="1"/>
  <c r="H1670" i="20" s="1"/>
  <c r="J1670" i="20" a="1"/>
  <c r="J1670" i="20" s="1"/>
  <c r="L1670" i="20" a="1"/>
  <c r="L1670" i="20" s="1"/>
  <c r="D1671" i="20" a="1"/>
  <c r="D1671" i="20" s="1"/>
  <c r="B1671" i="20"/>
  <c r="F1671" i="20" a="1"/>
  <c r="F1671" i="20" s="1"/>
  <c r="H1671" i="20" a="1"/>
  <c r="H1671" i="20" s="1"/>
  <c r="J1671" i="20" a="1"/>
  <c r="J1671" i="20" s="1"/>
  <c r="L1671" i="20" a="1"/>
  <c r="L1671" i="20" s="1"/>
  <c r="D1672" i="20" a="1"/>
  <c r="D1672" i="20" s="1"/>
  <c r="F1672" i="20" a="1"/>
  <c r="F1672" i="20" s="1"/>
  <c r="H1672" i="20" a="1"/>
  <c r="H1672" i="20" s="1"/>
  <c r="B1672" i="20"/>
  <c r="J1672" i="20" a="1"/>
  <c r="J1672" i="20" s="1"/>
  <c r="L1672" i="20" a="1"/>
  <c r="L1672" i="20" s="1"/>
  <c r="D1673" i="20" a="1"/>
  <c r="D1673" i="20" s="1"/>
  <c r="F1673" i="20" a="1"/>
  <c r="F1673" i="20" s="1"/>
  <c r="H1673" i="20" a="1"/>
  <c r="H1673" i="20" s="1"/>
  <c r="B1673" i="20"/>
  <c r="J1673" i="20" a="1"/>
  <c r="J1673" i="20" s="1"/>
  <c r="L1673" i="20" a="1"/>
  <c r="L1673" i="20" s="1"/>
  <c r="B1674" i="20"/>
  <c r="D1674" i="20" a="1"/>
  <c r="D1674" i="20" s="1"/>
  <c r="F1674" i="20" a="1"/>
  <c r="F1674" i="20" s="1"/>
  <c r="H1674" i="20" a="1"/>
  <c r="H1674" i="20" s="1"/>
  <c r="J1674" i="20" a="1"/>
  <c r="J1674" i="20" s="1"/>
  <c r="L1674" i="20" a="1"/>
  <c r="L1674" i="20" s="1"/>
  <c r="D1675" i="20" a="1"/>
  <c r="D1675" i="20" s="1"/>
  <c r="F1675" i="20" a="1"/>
  <c r="F1675" i="20" s="1"/>
  <c r="H1675" i="20" a="1"/>
  <c r="H1675" i="20" s="1"/>
  <c r="J1675" i="20" a="1"/>
  <c r="J1675" i="20" s="1"/>
  <c r="B1675" i="20"/>
  <c r="L1675" i="20" a="1"/>
  <c r="L1675" i="20" s="1"/>
  <c r="D1676" i="20" a="1"/>
  <c r="D1676" i="20" s="1"/>
  <c r="B1676" i="20"/>
  <c r="F1676" i="20" a="1"/>
  <c r="F1676" i="20" s="1"/>
  <c r="H1676" i="20" a="1"/>
  <c r="H1676" i="20" s="1"/>
  <c r="J1676" i="20" a="1"/>
  <c r="J1676" i="20" s="1"/>
  <c r="L1676" i="20" a="1"/>
  <c r="L1676" i="20" s="1"/>
  <c r="D1677" i="20" a="1"/>
  <c r="D1677" i="20" s="1"/>
  <c r="B1677" i="20"/>
  <c r="F1677" i="20" a="1"/>
  <c r="F1677" i="20" s="1"/>
  <c r="H1677" i="20" a="1"/>
  <c r="H1677" i="20" s="1"/>
  <c r="J1677" i="20" a="1"/>
  <c r="J1677" i="20" s="1"/>
  <c r="L1677" i="20" a="1"/>
  <c r="L1677" i="20" s="1"/>
  <c r="D1678" i="20" a="1"/>
  <c r="D1678" i="20" s="1"/>
  <c r="F1678" i="20" a="1"/>
  <c r="F1678" i="20" s="1"/>
  <c r="H1678" i="20" a="1"/>
  <c r="H1678" i="20" s="1"/>
  <c r="J1678" i="20" a="1"/>
  <c r="J1678" i="20" s="1"/>
  <c r="B1678" i="20"/>
  <c r="L1678" i="20" a="1"/>
  <c r="L1678" i="20" s="1"/>
  <c r="D1679" i="20" a="1"/>
  <c r="D1679" i="20" s="1"/>
  <c r="F1679" i="20" a="1"/>
  <c r="F1679" i="20" s="1"/>
  <c r="H1679" i="20" a="1"/>
  <c r="H1679" i="20" s="1"/>
  <c r="B1679" i="20"/>
  <c r="J1679" i="20" a="1"/>
  <c r="J1679" i="20" s="1"/>
  <c r="L1679" i="20" a="1"/>
  <c r="L1679" i="20" s="1"/>
  <c r="D1680" i="20" a="1"/>
  <c r="D1680" i="20" s="1"/>
  <c r="F1680" i="20" a="1"/>
  <c r="F1680" i="20" s="1"/>
  <c r="B1680" i="20"/>
  <c r="H1680" i="20" a="1"/>
  <c r="H1680" i="20" s="1"/>
  <c r="J1680" i="20" a="1"/>
  <c r="J1680" i="20" s="1"/>
  <c r="L1680" i="20" a="1"/>
  <c r="L1680" i="20" s="1"/>
  <c r="B1681" i="20"/>
  <c r="D1681" i="20" a="1"/>
  <c r="D1681" i="20" s="1"/>
  <c r="F1681" i="20" a="1"/>
  <c r="F1681" i="20" s="1"/>
  <c r="H1681" i="20" a="1"/>
  <c r="H1681" i="20" s="1"/>
  <c r="J1681" i="20" a="1"/>
  <c r="J1681" i="20" s="1"/>
  <c r="L1681" i="20" a="1"/>
  <c r="L1681" i="20" s="1"/>
  <c r="D1682" i="20" a="1"/>
  <c r="D1682" i="20" s="1"/>
  <c r="F1682" i="20" a="1"/>
  <c r="F1682" i="20" s="1"/>
  <c r="H1682" i="20" a="1"/>
  <c r="H1682" i="20" s="1"/>
  <c r="B1682" i="20"/>
  <c r="J1682" i="20" a="1"/>
  <c r="J1682" i="20" s="1"/>
  <c r="L1682" i="20" a="1"/>
  <c r="L1682" i="20" s="1"/>
  <c r="D1683" i="20" a="1"/>
  <c r="D1683" i="20" s="1"/>
  <c r="F1683" i="20" a="1"/>
  <c r="F1683" i="20" s="1"/>
  <c r="H1683" i="20" a="1"/>
  <c r="H1683" i="20" s="1"/>
  <c r="J1683" i="20" a="1"/>
  <c r="J1683" i="20" s="1"/>
  <c r="B1683" i="20"/>
  <c r="L1683" i="20" a="1"/>
  <c r="L1683" i="20" s="1"/>
  <c r="B1684" i="20"/>
  <c r="D1684" i="20" a="1"/>
  <c r="D1684" i="20" s="1"/>
  <c r="F1684" i="20" a="1"/>
  <c r="F1684" i="20" s="1"/>
  <c r="H1684" i="20" a="1"/>
  <c r="H1684" i="20" s="1"/>
  <c r="J1684" i="20" a="1"/>
  <c r="J1684" i="20" s="1"/>
  <c r="L1684" i="20" a="1"/>
  <c r="L1684" i="20" s="1"/>
  <c r="D1685" i="20" a="1"/>
  <c r="D1685" i="20" s="1"/>
  <c r="B1685" i="20"/>
  <c r="F1685" i="20" a="1"/>
  <c r="F1685" i="20" s="1"/>
  <c r="H1685" i="20" a="1"/>
  <c r="H1685" i="20" s="1"/>
  <c r="J1685" i="20" a="1"/>
  <c r="J1685" i="20" s="1"/>
  <c r="L1685" i="20" a="1"/>
  <c r="L1685" i="20" s="1"/>
  <c r="D1686" i="20" a="1"/>
  <c r="D1686" i="20" s="1"/>
  <c r="B1686" i="20"/>
  <c r="F1686" i="20" a="1"/>
  <c r="F1686" i="20" s="1"/>
  <c r="H1686" i="20" a="1"/>
  <c r="H1686" i="20" s="1"/>
  <c r="J1686" i="20" a="1"/>
  <c r="J1686" i="20" s="1"/>
  <c r="L1686" i="20" a="1"/>
  <c r="L1686" i="20" s="1"/>
  <c r="D1687" i="20" a="1"/>
  <c r="D1687" i="20" s="1"/>
  <c r="F1687" i="20" a="1"/>
  <c r="F1687" i="20" s="1"/>
  <c r="H1687" i="20" a="1"/>
  <c r="H1687" i="20" s="1"/>
  <c r="J1687" i="20" a="1"/>
  <c r="J1687" i="20" s="1"/>
  <c r="B1687" i="20"/>
  <c r="L1687" i="20" a="1"/>
  <c r="L1687" i="20" s="1"/>
  <c r="D1688" i="20" a="1"/>
  <c r="D1688" i="20" s="1"/>
  <c r="F1688" i="20" a="1"/>
  <c r="F1688" i="20" s="1"/>
  <c r="H1688" i="20" a="1"/>
  <c r="H1688" i="20" s="1"/>
  <c r="B1688" i="20"/>
  <c r="J1688" i="20" a="1"/>
  <c r="J1688" i="20" s="1"/>
  <c r="L1688" i="20" a="1"/>
  <c r="L1688" i="20" s="1"/>
  <c r="D1689" i="20" a="1"/>
  <c r="D1689" i="20" s="1"/>
  <c r="F1689" i="20" a="1"/>
  <c r="F1689" i="20" s="1"/>
  <c r="H1689" i="20" a="1"/>
  <c r="H1689" i="20" s="1"/>
  <c r="B1689" i="20"/>
  <c r="J1689" i="20" a="1"/>
  <c r="J1689" i="20" s="1"/>
  <c r="L1689" i="20" a="1"/>
  <c r="L1689" i="20" s="1"/>
  <c r="D1690" i="20" a="1"/>
  <c r="D1690" i="20" s="1"/>
  <c r="B1690" i="20"/>
  <c r="F1690" i="20" a="1"/>
  <c r="F1690" i="20" s="1"/>
  <c r="H1690" i="20" a="1"/>
  <c r="H1690" i="20" s="1"/>
  <c r="J1690" i="20" a="1"/>
  <c r="J1690" i="20" s="1"/>
  <c r="L1690" i="20" a="1"/>
  <c r="L1690" i="20" s="1"/>
  <c r="D1691" i="20" a="1"/>
  <c r="D1691" i="20" s="1"/>
  <c r="F1691" i="20" a="1"/>
  <c r="F1691" i="20" s="1"/>
  <c r="B1691" i="20"/>
  <c r="H1691" i="20" a="1"/>
  <c r="H1691" i="20" s="1"/>
  <c r="J1691" i="20" a="1"/>
  <c r="J1691" i="20" s="1"/>
  <c r="L1691" i="20" a="1"/>
  <c r="L1691" i="20" s="1"/>
  <c r="D1692" i="20" a="1"/>
  <c r="D1692" i="20" s="1"/>
  <c r="B1692" i="20"/>
  <c r="F1692" i="20" a="1"/>
  <c r="F1692" i="20" s="1"/>
  <c r="H1692" i="20" a="1"/>
  <c r="H1692" i="20" s="1"/>
  <c r="J1692" i="20" a="1"/>
  <c r="J1692" i="20" s="1"/>
  <c r="L1692" i="20" a="1"/>
  <c r="L1692" i="20" s="1"/>
  <c r="D1693" i="20" a="1"/>
  <c r="D1693" i="20" s="1"/>
  <c r="F1693" i="20" a="1"/>
  <c r="F1693" i="20" s="1"/>
  <c r="H1693" i="20" a="1"/>
  <c r="H1693" i="20" s="1"/>
  <c r="B1693" i="20"/>
  <c r="J1693" i="20" a="1"/>
  <c r="J1693" i="20" s="1"/>
  <c r="L1693" i="20" a="1"/>
  <c r="L1693" i="20" s="1"/>
  <c r="D1694" i="20" a="1"/>
  <c r="D1694" i="20" s="1"/>
  <c r="F1694" i="20" a="1"/>
  <c r="F1694" i="20" s="1"/>
  <c r="H1694" i="20" a="1"/>
  <c r="H1694" i="20" s="1"/>
  <c r="B1694" i="20"/>
  <c r="J1694" i="20" a="1"/>
  <c r="J1694" i="20" s="1"/>
  <c r="L1694" i="20" a="1"/>
  <c r="L1694" i="20" s="1"/>
  <c r="D1695" i="20" a="1"/>
  <c r="D1695" i="20" s="1"/>
  <c r="F1695" i="20" a="1"/>
  <c r="F1695" i="20" s="1"/>
  <c r="H1695" i="20" a="1"/>
  <c r="H1695" i="20" s="1"/>
  <c r="J1695" i="20" a="1"/>
  <c r="J1695" i="20" s="1"/>
  <c r="B1695" i="20"/>
  <c r="L1695" i="20" a="1"/>
  <c r="L1695" i="20" s="1"/>
  <c r="D1696" i="20" a="1"/>
  <c r="D1696" i="20" s="1"/>
  <c r="B1696" i="20"/>
  <c r="F1696" i="20" a="1"/>
  <c r="F1696" i="20" s="1"/>
  <c r="H1696" i="20" a="1"/>
  <c r="H1696" i="20" s="1"/>
  <c r="J1696" i="20" a="1"/>
  <c r="J1696" i="20" s="1"/>
  <c r="L1696" i="20" a="1"/>
  <c r="L1696" i="20" s="1"/>
  <c r="D1697" i="20" a="1"/>
  <c r="D1697" i="20" s="1"/>
  <c r="B1697" i="20"/>
  <c r="F1697" i="20" a="1"/>
  <c r="F1697" i="20" s="1"/>
  <c r="H1697" i="20" a="1"/>
  <c r="H1697" i="20" s="1"/>
  <c r="J1697" i="20" a="1"/>
  <c r="J1697" i="20" s="1"/>
  <c r="L1697" i="20" a="1"/>
  <c r="L1697" i="20" s="1"/>
  <c r="B1698" i="20"/>
  <c r="D1698" i="20" a="1"/>
  <c r="D1698" i="20" s="1"/>
  <c r="F1698" i="20" a="1"/>
  <c r="F1698" i="20" s="1"/>
  <c r="H1698" i="20" a="1"/>
  <c r="H1698" i="20" s="1"/>
  <c r="J1698" i="20" a="1"/>
  <c r="J1698" i="20" s="1"/>
  <c r="L1698" i="20" a="1"/>
  <c r="L1698" i="20" s="1"/>
  <c r="D1699" i="20" a="1"/>
  <c r="D1699" i="20" s="1"/>
  <c r="F1699" i="20" a="1"/>
  <c r="F1699" i="20" s="1"/>
  <c r="H1699" i="20" a="1"/>
  <c r="H1699" i="20" s="1"/>
  <c r="B1699" i="20"/>
  <c r="J1699" i="20" a="1"/>
  <c r="J1699" i="20" s="1"/>
  <c r="L1699" i="20" a="1"/>
  <c r="L1699" i="20" s="1"/>
  <c r="D1700" i="20" a="1"/>
  <c r="D1700" i="20" s="1"/>
  <c r="B1700" i="20"/>
  <c r="F1700" i="20" a="1"/>
  <c r="F1700" i="20" s="1"/>
  <c r="H1700" i="20" a="1"/>
  <c r="H1700" i="20" s="1"/>
  <c r="J1700" i="20" a="1"/>
  <c r="J1700" i="20" s="1"/>
  <c r="L1700" i="20" a="1"/>
  <c r="L1700" i="20" s="1"/>
  <c r="D1701" i="20" a="1"/>
  <c r="D1701" i="20" s="1"/>
  <c r="B1701" i="20"/>
  <c r="F1701" i="20" a="1"/>
  <c r="F1701" i="20" s="1"/>
  <c r="H1701" i="20" a="1"/>
  <c r="H1701" i="20" s="1"/>
  <c r="J1701" i="20" a="1"/>
  <c r="J1701" i="20" s="1"/>
  <c r="L1701" i="20" a="1"/>
  <c r="L1701" i="20" s="1"/>
  <c r="D1702" i="20" a="1"/>
  <c r="D1702" i="20" s="1"/>
  <c r="F1702" i="20" a="1"/>
  <c r="F1702" i="20" s="1"/>
  <c r="H1702" i="20" a="1"/>
  <c r="H1702" i="20" s="1"/>
  <c r="B1702" i="20"/>
  <c r="J1702" i="20" a="1"/>
  <c r="J1702" i="20" s="1"/>
  <c r="L1702" i="20" a="1"/>
  <c r="L1702" i="20" s="1"/>
  <c r="D1703" i="20" a="1"/>
  <c r="D1703" i="20" s="1"/>
  <c r="F1703" i="20" a="1"/>
  <c r="F1703" i="20" s="1"/>
  <c r="H1703" i="20" a="1"/>
  <c r="H1703" i="20" s="1"/>
  <c r="B1703" i="20"/>
  <c r="J1703" i="20" a="1"/>
  <c r="J1703" i="20" s="1"/>
  <c r="L1703" i="20" a="1"/>
  <c r="L1703" i="20" s="1"/>
  <c r="D1704" i="20" a="1"/>
  <c r="D1704" i="20" s="1"/>
  <c r="F1704" i="20" a="1"/>
  <c r="F1704" i="20" s="1"/>
  <c r="H1704" i="20" a="1"/>
  <c r="H1704" i="20" s="1"/>
  <c r="B1704" i="20"/>
  <c r="J1704" i="20" a="1"/>
  <c r="J1704" i="20" s="1"/>
  <c r="L1704" i="20" a="1"/>
  <c r="L1704" i="20" s="1"/>
  <c r="D1705" i="20" a="1"/>
  <c r="D1705" i="20" s="1"/>
  <c r="F1705" i="20" a="1"/>
  <c r="F1705" i="20" s="1"/>
  <c r="H1705" i="20" a="1"/>
  <c r="H1705" i="20" s="1"/>
  <c r="B1705" i="20"/>
  <c r="J1705" i="20" a="1"/>
  <c r="J1705" i="20" s="1"/>
  <c r="L1705" i="20" a="1"/>
  <c r="L1705" i="20" s="1"/>
  <c r="B1706" i="20"/>
  <c r="D1706" i="20" a="1"/>
  <c r="D1706" i="20" s="1"/>
  <c r="F1706" i="20" a="1"/>
  <c r="F1706" i="20" s="1"/>
  <c r="H1706" i="20" a="1"/>
  <c r="H1706" i="20" s="1"/>
  <c r="J1706" i="20" a="1"/>
  <c r="J1706" i="20" s="1"/>
  <c r="L1706" i="20" a="1"/>
  <c r="L1706" i="20" s="1"/>
  <c r="D1707" i="20" a="1"/>
  <c r="D1707" i="20" s="1"/>
  <c r="F1707" i="20" a="1"/>
  <c r="F1707" i="20" s="1"/>
  <c r="H1707" i="20" a="1"/>
  <c r="H1707" i="20" s="1"/>
  <c r="J1707" i="20" a="1"/>
  <c r="J1707" i="20" s="1"/>
  <c r="B1707" i="20"/>
  <c r="L1707" i="20" a="1"/>
  <c r="L1707" i="20" s="1"/>
  <c r="B1708" i="20"/>
  <c r="D1708" i="20" a="1"/>
  <c r="D1708" i="20" s="1"/>
  <c r="F1708" i="20" a="1"/>
  <c r="F1708" i="20" s="1"/>
  <c r="H1708" i="20" a="1"/>
  <c r="H1708" i="20" s="1"/>
  <c r="J1708" i="20" a="1"/>
  <c r="J1708" i="20" s="1"/>
  <c r="L1708" i="20" a="1"/>
  <c r="L1708" i="20" s="1"/>
  <c r="D1709" i="20" a="1"/>
  <c r="D1709" i="20" s="1"/>
  <c r="F1709" i="20" a="1"/>
  <c r="F1709" i="20" s="1"/>
  <c r="H1709" i="20" a="1"/>
  <c r="H1709" i="20" s="1"/>
  <c r="B1709" i="20"/>
  <c r="J1709" i="20" a="1"/>
  <c r="J1709" i="20" s="1"/>
  <c r="L1709" i="20" a="1"/>
  <c r="L1709" i="20" s="1"/>
  <c r="D1710" i="20" a="1"/>
  <c r="D1710" i="20" s="1"/>
  <c r="F1710" i="20" a="1"/>
  <c r="F1710" i="20" s="1"/>
  <c r="H1710" i="20" a="1"/>
  <c r="H1710" i="20" s="1"/>
  <c r="B1710" i="20"/>
  <c r="J1710" i="20" a="1"/>
  <c r="J1710" i="20" s="1"/>
  <c r="L1710" i="20" a="1"/>
  <c r="L1710" i="20" s="1"/>
  <c r="D1711" i="20" a="1"/>
  <c r="D1711" i="20" s="1"/>
  <c r="B1711" i="20"/>
  <c r="F1711" i="20" a="1"/>
  <c r="F1711" i="20" s="1"/>
  <c r="H1711" i="20" a="1"/>
  <c r="H1711" i="20" s="1"/>
  <c r="J1711" i="20" a="1"/>
  <c r="J1711" i="20" s="1"/>
  <c r="L1711" i="20" a="1"/>
  <c r="L1711" i="20" s="1"/>
  <c r="D1712" i="20" a="1"/>
  <c r="D1712" i="20" s="1"/>
  <c r="B1712" i="20"/>
  <c r="F1712" i="20" a="1"/>
  <c r="F1712" i="20" s="1"/>
  <c r="H1712" i="20" a="1"/>
  <c r="H1712" i="20" s="1"/>
  <c r="J1712" i="20" a="1"/>
  <c r="J1712" i="20" s="1"/>
  <c r="L1712" i="20" a="1"/>
  <c r="L1712" i="20" s="1"/>
  <c r="B1713" i="20"/>
  <c r="D1713" i="20" a="1"/>
  <c r="D1713" i="20" s="1"/>
  <c r="F1713" i="20" a="1"/>
  <c r="F1713" i="20" s="1"/>
  <c r="H1713" i="20" a="1"/>
  <c r="H1713" i="20" s="1"/>
  <c r="J1713" i="20" a="1"/>
  <c r="J1713" i="20" s="1"/>
  <c r="L1713" i="20" a="1"/>
  <c r="L1713" i="20" s="1"/>
  <c r="D1714" i="20" a="1"/>
  <c r="D1714" i="20" s="1"/>
  <c r="F1714" i="20" a="1"/>
  <c r="F1714" i="20" s="1"/>
  <c r="H1714" i="20" a="1"/>
  <c r="H1714" i="20" s="1"/>
  <c r="J1714" i="20" a="1"/>
  <c r="J1714" i="20" s="1"/>
  <c r="B1714" i="20"/>
  <c r="L1714" i="20" a="1"/>
  <c r="L1714" i="20" s="1"/>
  <c r="B1715" i="20"/>
  <c r="D1715" i="20" a="1"/>
  <c r="D1715" i="20" s="1"/>
  <c r="F1715" i="20" a="1"/>
  <c r="F1715" i="20" s="1"/>
  <c r="H1715" i="20" a="1"/>
  <c r="H1715" i="20" s="1"/>
  <c r="J1715" i="20" a="1"/>
  <c r="J1715" i="20" s="1"/>
  <c r="L1715" i="20" a="1"/>
  <c r="L1715" i="20" s="1"/>
  <c r="B1716" i="20"/>
  <c r="D1716" i="20" a="1"/>
  <c r="D1716" i="20" s="1"/>
  <c r="F1716" i="20" a="1"/>
  <c r="F1716" i="20" s="1"/>
  <c r="H1716" i="20" a="1"/>
  <c r="H1716" i="20" s="1"/>
  <c r="J1716" i="20" a="1"/>
  <c r="J1716" i="20" s="1"/>
  <c r="L1716" i="20" a="1"/>
  <c r="L1716" i="20" s="1"/>
  <c r="D1717" i="20" a="1"/>
  <c r="D1717" i="20" s="1"/>
  <c r="F1717" i="20" a="1"/>
  <c r="F1717" i="20" s="1"/>
  <c r="H1717" i="20" a="1"/>
  <c r="H1717" i="20" s="1"/>
  <c r="J1717" i="20" a="1"/>
  <c r="J1717" i="20" s="1"/>
  <c r="B1717" i="20"/>
  <c r="L1717" i="20" a="1"/>
  <c r="L1717" i="20" s="1"/>
  <c r="B1718" i="20"/>
  <c r="D1718" i="20" a="1"/>
  <c r="D1718" i="20" s="1"/>
  <c r="F1718" i="20" a="1"/>
  <c r="F1718" i="20" s="1"/>
  <c r="H1718" i="20" a="1"/>
  <c r="H1718" i="20" s="1"/>
  <c r="J1718" i="20" a="1"/>
  <c r="J1718" i="20" s="1"/>
  <c r="L1718" i="20" a="1"/>
  <c r="L1718" i="20" s="1"/>
  <c r="D1719" i="20" a="1"/>
  <c r="D1719" i="20" s="1"/>
  <c r="F1719" i="20" a="1"/>
  <c r="F1719" i="20" s="1"/>
  <c r="H1719" i="20" a="1"/>
  <c r="H1719" i="20" s="1"/>
  <c r="B1719" i="20"/>
  <c r="J1719" i="20" a="1"/>
  <c r="J1719" i="20" s="1"/>
  <c r="L1719" i="20" a="1"/>
  <c r="L1719" i="20" s="1"/>
  <c r="D1720" i="20" a="1"/>
  <c r="D1720" i="20" s="1"/>
  <c r="B1720" i="20"/>
  <c r="F1720" i="20" a="1"/>
  <c r="F1720" i="20" s="1"/>
  <c r="H1720" i="20" a="1"/>
  <c r="H1720" i="20" s="1"/>
  <c r="J1720" i="20" a="1"/>
  <c r="J1720" i="20" s="1"/>
  <c r="L1720" i="20" a="1"/>
  <c r="L1720" i="20" s="1"/>
  <c r="D1721" i="20" a="1"/>
  <c r="D1721" i="20" s="1"/>
  <c r="F1721" i="20" a="1"/>
  <c r="F1721" i="20" s="1"/>
  <c r="H1721" i="20" a="1"/>
  <c r="H1721" i="20" s="1"/>
  <c r="J1721" i="20" a="1"/>
  <c r="J1721" i="20" s="1"/>
  <c r="B1721" i="20"/>
  <c r="L1721" i="20" a="1"/>
  <c r="L1721" i="20" s="1"/>
  <c r="D1722" i="20" a="1"/>
  <c r="D1722" i="20" s="1"/>
  <c r="B1722" i="20"/>
  <c r="F1722" i="20" a="1"/>
  <c r="F1722" i="20" s="1"/>
  <c r="H1722" i="20" a="1"/>
  <c r="H1722" i="20" s="1"/>
  <c r="J1722" i="20" a="1"/>
  <c r="J1722" i="20" s="1"/>
  <c r="L1722" i="20" a="1"/>
  <c r="L1722" i="20" s="1"/>
  <c r="D1723" i="20" a="1"/>
  <c r="D1723" i="20" s="1"/>
  <c r="B1723" i="20"/>
  <c r="F1723" i="20" a="1"/>
  <c r="F1723" i="20" s="1"/>
  <c r="H1723" i="20" a="1"/>
  <c r="H1723" i="20" s="1"/>
  <c r="J1723" i="20" a="1"/>
  <c r="J1723" i="20" s="1"/>
  <c r="L1723" i="20" a="1"/>
  <c r="L1723" i="20" s="1"/>
  <c r="D1724" i="20" a="1"/>
  <c r="D1724" i="20" s="1"/>
  <c r="F1724" i="20" a="1"/>
  <c r="F1724" i="20" s="1"/>
  <c r="H1724" i="20" a="1"/>
  <c r="H1724" i="20" s="1"/>
  <c r="B1724" i="20"/>
  <c r="J1724" i="20" a="1"/>
  <c r="J1724" i="20" s="1"/>
  <c r="L1724" i="20" a="1"/>
  <c r="L1724" i="20" s="1"/>
  <c r="B1725" i="20"/>
  <c r="D1725" i="20" a="1"/>
  <c r="D1725" i="20" s="1"/>
  <c r="F1725" i="20" a="1"/>
  <c r="F1725" i="20" s="1"/>
  <c r="H1725" i="20" a="1"/>
  <c r="H1725" i="20" s="1"/>
  <c r="J1725" i="20" a="1"/>
  <c r="J1725" i="20" s="1"/>
  <c r="L1725" i="20" a="1"/>
  <c r="L1725" i="20" s="1"/>
  <c r="D1726" i="20" a="1"/>
  <c r="D1726" i="20" s="1"/>
  <c r="B1726" i="20"/>
  <c r="F1726" i="20" a="1"/>
  <c r="F1726" i="20" s="1"/>
  <c r="H1726" i="20" a="1"/>
  <c r="H1726" i="20" s="1"/>
  <c r="J1726" i="20" a="1"/>
  <c r="J1726" i="20" s="1"/>
  <c r="L1726" i="20" a="1"/>
  <c r="L1726" i="20" s="1"/>
  <c r="D1727" i="20" a="1"/>
  <c r="D1727" i="20" s="1"/>
  <c r="B1727" i="20"/>
  <c r="F1727" i="20" a="1"/>
  <c r="F1727" i="20" s="1"/>
  <c r="H1727" i="20" a="1"/>
  <c r="H1727" i="20" s="1"/>
  <c r="J1727" i="20" a="1"/>
  <c r="J1727" i="20" s="1"/>
  <c r="L1727" i="20" a="1"/>
  <c r="L1727" i="20" s="1"/>
  <c r="D1728" i="20" a="1"/>
  <c r="D1728" i="20" s="1"/>
  <c r="F1728" i="20" a="1"/>
  <c r="F1728" i="20" s="1"/>
  <c r="H1728" i="20" a="1"/>
  <c r="H1728" i="20" s="1"/>
  <c r="B1728" i="20"/>
  <c r="J1728" i="20" a="1"/>
  <c r="J1728" i="20" s="1"/>
  <c r="L1728" i="20" a="1"/>
  <c r="L1728" i="20" s="1"/>
  <c r="D1729" i="20" a="1"/>
  <c r="D1729" i="20" s="1"/>
  <c r="F1729" i="20" a="1"/>
  <c r="F1729" i="20" s="1"/>
  <c r="H1729" i="20" a="1"/>
  <c r="H1729" i="20" s="1"/>
  <c r="B1729" i="20"/>
  <c r="J1729" i="20" a="1"/>
  <c r="J1729" i="20" s="1"/>
  <c r="L1729" i="20" a="1"/>
  <c r="L1729" i="20" s="1"/>
  <c r="B1730" i="20"/>
  <c r="D1730" i="20" a="1"/>
  <c r="D1730" i="20" s="1"/>
  <c r="F1730" i="20" a="1"/>
  <c r="F1730" i="20" s="1"/>
  <c r="H1730" i="20" a="1"/>
  <c r="H1730" i="20" s="1"/>
  <c r="J1730" i="20" a="1"/>
  <c r="J1730" i="20" s="1"/>
  <c r="L1730" i="20" a="1"/>
  <c r="L1730" i="20" s="1"/>
  <c r="D1731" i="20" a="1"/>
  <c r="D1731" i="20" s="1"/>
  <c r="B1731" i="20"/>
  <c r="F1731" i="20" a="1"/>
  <c r="F1731" i="20" s="1"/>
  <c r="H1731" i="20" a="1"/>
  <c r="H1731" i="20" s="1"/>
  <c r="J1731" i="20" a="1"/>
  <c r="J1731" i="20" s="1"/>
  <c r="L1731" i="20" a="1"/>
  <c r="L1731" i="20" s="1"/>
  <c r="D1732" i="20" a="1"/>
  <c r="D1732" i="20" s="1"/>
  <c r="F1732" i="20" a="1"/>
  <c r="F1732" i="20" s="1"/>
  <c r="H1732" i="20" a="1"/>
  <c r="H1732" i="20" s="1"/>
  <c r="B1732" i="20"/>
  <c r="J1732" i="20" a="1"/>
  <c r="J1732" i="20" s="1"/>
  <c r="L1732" i="20" a="1"/>
  <c r="L1732" i="20" s="1"/>
  <c r="D1733" i="20" a="1"/>
  <c r="D1733" i="20" s="1"/>
  <c r="F1733" i="20" a="1"/>
  <c r="F1733" i="20" s="1"/>
  <c r="H1733" i="20" a="1"/>
  <c r="H1733" i="20" s="1"/>
  <c r="J1733" i="20" a="1"/>
  <c r="J1733" i="20" s="1"/>
  <c r="B1733" i="20"/>
  <c r="L1733" i="20" a="1"/>
  <c r="L1733" i="20" s="1"/>
  <c r="D1734" i="20" a="1"/>
  <c r="D1734" i="20" s="1"/>
  <c r="B1734" i="20"/>
  <c r="F1734" i="20" a="1"/>
  <c r="F1734" i="20" s="1"/>
  <c r="H1734" i="20" a="1"/>
  <c r="H1734" i="20" s="1"/>
  <c r="J1734" i="20" a="1"/>
  <c r="J1734" i="20" s="1"/>
  <c r="L1734" i="20" a="1"/>
  <c r="L1734" i="20" s="1"/>
  <c r="D1735" i="20" a="1"/>
  <c r="D1735" i="20" s="1"/>
  <c r="F1735" i="20" a="1"/>
  <c r="F1735" i="20" s="1"/>
  <c r="H1735" i="20" a="1"/>
  <c r="H1735" i="20" s="1"/>
  <c r="B1735" i="20"/>
  <c r="J1735" i="20" a="1"/>
  <c r="J1735" i="20" s="1"/>
  <c r="L1735" i="20" a="1"/>
  <c r="L1735" i="20" s="1"/>
  <c r="D1736" i="20" a="1"/>
  <c r="D1736" i="20" s="1"/>
  <c r="F1736" i="20" a="1"/>
  <c r="F1736" i="20" s="1"/>
  <c r="H1736" i="20" a="1"/>
  <c r="H1736" i="20" s="1"/>
  <c r="B1736" i="20"/>
  <c r="J1736" i="20" a="1"/>
  <c r="J1736" i="20" s="1"/>
  <c r="L1736" i="20" a="1"/>
  <c r="L1736" i="20" s="1"/>
  <c r="D1737" i="20" a="1"/>
  <c r="D1737" i="20" s="1"/>
  <c r="F1737" i="20" a="1"/>
  <c r="F1737" i="20" s="1"/>
  <c r="H1737" i="20" a="1"/>
  <c r="H1737" i="20" s="1"/>
  <c r="B1737" i="20"/>
  <c r="J1737" i="20" a="1"/>
  <c r="J1737" i="20" s="1"/>
  <c r="L1737" i="20" a="1"/>
  <c r="L1737" i="20" s="1"/>
  <c r="D1738" i="20" a="1"/>
  <c r="D1738" i="20" s="1"/>
  <c r="F1738" i="20" a="1"/>
  <c r="F1738" i="20" s="1"/>
  <c r="H1738" i="20" a="1"/>
  <c r="H1738" i="20" s="1"/>
  <c r="B1738" i="20"/>
  <c r="J1738" i="20" a="1"/>
  <c r="J1738" i="20" s="1"/>
  <c r="L1738" i="20" a="1"/>
  <c r="L1738" i="20" s="1"/>
  <c r="D1739" i="20" a="1"/>
  <c r="D1739" i="20" s="1"/>
  <c r="F1739" i="20" a="1"/>
  <c r="F1739" i="20" s="1"/>
  <c r="H1739" i="20" a="1"/>
  <c r="H1739" i="20" s="1"/>
  <c r="B1739" i="20"/>
  <c r="J1739" i="20" a="1"/>
  <c r="J1739" i="20" s="1"/>
  <c r="L1739" i="20" a="1"/>
  <c r="L1739" i="20" s="1"/>
  <c r="D1740" i="20" a="1"/>
  <c r="D1740" i="20" s="1"/>
  <c r="F1740" i="20" a="1"/>
  <c r="F1740" i="20" s="1"/>
  <c r="B1740" i="20"/>
  <c r="H1740" i="20" a="1"/>
  <c r="H1740" i="20" s="1"/>
  <c r="J1740" i="20" a="1"/>
  <c r="J1740" i="20" s="1"/>
  <c r="L1740" i="20" a="1"/>
  <c r="L1740" i="20" s="1"/>
  <c r="D1741" i="20" a="1"/>
  <c r="D1741" i="20" s="1"/>
  <c r="B1741" i="20"/>
  <c r="F1741" i="20" a="1"/>
  <c r="F1741" i="20" s="1"/>
  <c r="H1741" i="20" a="1"/>
  <c r="H1741" i="20" s="1"/>
  <c r="J1741" i="20" a="1"/>
  <c r="J1741" i="20" s="1"/>
  <c r="L1741" i="20" a="1"/>
  <c r="L1741" i="20" s="1"/>
  <c r="D1742" i="20" a="1"/>
  <c r="D1742" i="20" s="1"/>
  <c r="F1742" i="20" a="1"/>
  <c r="F1742" i="20" s="1"/>
  <c r="H1742" i="20" a="1"/>
  <c r="H1742" i="20" s="1"/>
  <c r="B1742" i="20"/>
  <c r="J1742" i="20" a="1"/>
  <c r="J1742" i="20" s="1"/>
  <c r="L1742" i="20" a="1"/>
  <c r="L1742" i="20" s="1"/>
  <c r="D1743" i="20" a="1"/>
  <c r="D1743" i="20" s="1"/>
  <c r="F1743" i="20" a="1"/>
  <c r="F1743" i="20" s="1"/>
  <c r="H1743" i="20" a="1"/>
  <c r="H1743" i="20" s="1"/>
  <c r="B1743" i="20"/>
  <c r="J1743" i="20" a="1"/>
  <c r="J1743" i="20" s="1"/>
  <c r="L1743" i="20" a="1"/>
  <c r="L1743" i="20" s="1"/>
  <c r="D1744" i="20" a="1"/>
  <c r="D1744" i="20" s="1"/>
  <c r="B1744" i="20"/>
  <c r="F1744" i="20" a="1"/>
  <c r="F1744" i="20" s="1"/>
  <c r="H1744" i="20" a="1"/>
  <c r="H1744" i="20" s="1"/>
  <c r="J1744" i="20" a="1"/>
  <c r="J1744" i="20" s="1"/>
  <c r="L1744" i="20" a="1"/>
  <c r="L1744" i="20" s="1"/>
  <c r="B1745" i="20"/>
  <c r="D1745" i="20" a="1"/>
  <c r="D1745" i="20" s="1"/>
  <c r="F1745" i="20" a="1"/>
  <c r="F1745" i="20" s="1"/>
  <c r="H1745" i="20" a="1"/>
  <c r="H1745" i="20" s="1"/>
  <c r="J1745" i="20" a="1"/>
  <c r="J1745" i="20" s="1"/>
  <c r="L1745" i="20" a="1"/>
  <c r="L1745" i="20" s="1"/>
  <c r="D1746" i="20" a="1"/>
  <c r="D1746" i="20" s="1"/>
  <c r="F1746" i="20" a="1"/>
  <c r="F1746" i="20" s="1"/>
  <c r="H1746" i="20" a="1"/>
  <c r="H1746" i="20" s="1"/>
  <c r="B1746" i="20"/>
  <c r="J1746" i="20" a="1"/>
  <c r="J1746" i="20" s="1"/>
  <c r="L1746" i="20" a="1"/>
  <c r="L1746" i="20" s="1"/>
  <c r="D1747" i="20" a="1"/>
  <c r="D1747" i="20" s="1"/>
  <c r="B1747" i="20"/>
  <c r="F1747" i="20" a="1"/>
  <c r="F1747" i="20" s="1"/>
  <c r="H1747" i="20" a="1"/>
  <c r="H1747" i="20" s="1"/>
  <c r="J1747" i="20" a="1"/>
  <c r="J1747" i="20" s="1"/>
  <c r="L1747" i="20" a="1"/>
  <c r="L1747" i="20" s="1"/>
  <c r="D1748" i="20" a="1"/>
  <c r="D1748" i="20" s="1"/>
  <c r="F1748" i="20" a="1"/>
  <c r="F1748" i="20" s="1"/>
  <c r="H1748" i="20" a="1"/>
  <c r="H1748" i="20" s="1"/>
  <c r="J1748" i="20" a="1"/>
  <c r="J1748" i="20" s="1"/>
  <c r="B1748" i="20"/>
  <c r="L1748" i="20" a="1"/>
  <c r="L1748" i="20" s="1"/>
  <c r="B1749" i="20"/>
  <c r="D1749" i="20" a="1"/>
  <c r="D1749" i="20" s="1"/>
  <c r="F1749" i="20" a="1"/>
  <c r="F1749" i="20" s="1"/>
  <c r="H1749" i="20" a="1"/>
  <c r="H1749" i="20" s="1"/>
  <c r="J1749" i="20" a="1"/>
  <c r="J1749" i="20" s="1"/>
  <c r="L1749" i="20" a="1"/>
  <c r="L1749" i="20" s="1"/>
  <c r="D1750" i="20" a="1"/>
  <c r="D1750" i="20" s="1"/>
  <c r="B1750" i="20"/>
  <c r="F1750" i="20" a="1"/>
  <c r="F1750" i="20" s="1"/>
  <c r="H1750" i="20" a="1"/>
  <c r="H1750" i="20" s="1"/>
  <c r="J1750" i="20" a="1"/>
  <c r="J1750" i="20" s="1"/>
  <c r="L1750" i="20" a="1"/>
  <c r="L1750" i="20" s="1"/>
  <c r="D1751" i="20" a="1"/>
  <c r="D1751" i="20" s="1"/>
  <c r="F1751" i="20" a="1"/>
  <c r="F1751" i="20" s="1"/>
  <c r="H1751" i="20" a="1"/>
  <c r="H1751" i="20" s="1"/>
  <c r="J1751" i="20" a="1"/>
  <c r="J1751" i="20" s="1"/>
  <c r="B1751" i="20"/>
  <c r="L1751" i="20" a="1"/>
  <c r="L1751" i="20" s="1"/>
  <c r="D1752" i="20" a="1"/>
  <c r="D1752" i="20" s="1"/>
  <c r="B1752" i="20"/>
  <c r="F1752" i="20" a="1"/>
  <c r="F1752" i="20" s="1"/>
  <c r="H1752" i="20" a="1"/>
  <c r="H1752" i="20" s="1"/>
  <c r="J1752" i="20" a="1"/>
  <c r="J1752" i="20" s="1"/>
  <c r="L1752" i="20" a="1"/>
  <c r="L1752" i="20" s="1"/>
  <c r="B1753" i="20"/>
  <c r="D1753" i="20" a="1"/>
  <c r="D1753" i="20" s="1"/>
  <c r="F1753" i="20" a="1"/>
  <c r="F1753" i="20" s="1"/>
  <c r="H1753" i="20" a="1"/>
  <c r="H1753" i="20" s="1"/>
  <c r="J1753" i="20" a="1"/>
  <c r="J1753" i="20" s="1"/>
  <c r="L1753" i="20" a="1"/>
  <c r="L1753" i="20" s="1"/>
  <c r="D1754" i="20" a="1"/>
  <c r="D1754" i="20" s="1"/>
  <c r="B1754" i="20"/>
  <c r="F1754" i="20" a="1"/>
  <c r="F1754" i="20" s="1"/>
  <c r="H1754" i="20" a="1"/>
  <c r="H1754" i="20" s="1"/>
  <c r="J1754" i="20" a="1"/>
  <c r="J1754" i="20" s="1"/>
  <c r="L1754" i="20" a="1"/>
  <c r="L1754" i="20" s="1"/>
  <c r="D1755" i="20" a="1"/>
  <c r="D1755" i="20" s="1"/>
  <c r="B1755" i="20"/>
  <c r="F1755" i="20" a="1"/>
  <c r="F1755" i="20" s="1"/>
  <c r="H1755" i="20" a="1"/>
  <c r="H1755" i="20" s="1"/>
  <c r="J1755" i="20" a="1"/>
  <c r="J1755" i="20" s="1"/>
  <c r="L1755" i="20" a="1"/>
  <c r="L1755" i="20" s="1"/>
  <c r="D1756" i="20" a="1"/>
  <c r="D1756" i="20" s="1"/>
  <c r="F1756" i="20" a="1"/>
  <c r="F1756" i="20" s="1"/>
  <c r="B1756" i="20"/>
  <c r="H1756" i="20" a="1"/>
  <c r="H1756" i="20" s="1"/>
  <c r="J1756" i="20" a="1"/>
  <c r="J1756" i="20" s="1"/>
  <c r="L1756" i="20" a="1"/>
  <c r="L1756" i="20" s="1"/>
  <c r="D1757" i="20" a="1"/>
  <c r="D1757" i="20" s="1"/>
  <c r="F1757" i="20" a="1"/>
  <c r="F1757" i="20" s="1"/>
  <c r="H1757" i="20" a="1"/>
  <c r="H1757" i="20" s="1"/>
  <c r="J1757" i="20" a="1"/>
  <c r="J1757" i="20" s="1"/>
  <c r="B1757" i="20"/>
  <c r="L1757" i="20" a="1"/>
  <c r="L1757" i="20" s="1"/>
  <c r="D1758" i="20" a="1"/>
  <c r="D1758" i="20" s="1"/>
  <c r="F1758" i="20" a="1"/>
  <c r="F1758" i="20" s="1"/>
  <c r="H1758" i="20" a="1"/>
  <c r="H1758" i="20" s="1"/>
  <c r="B1758" i="20"/>
  <c r="J1758" i="20" a="1"/>
  <c r="J1758" i="20" s="1"/>
  <c r="L1758" i="20" a="1"/>
  <c r="L1758" i="20" s="1"/>
  <c r="B1759" i="20"/>
  <c r="D1759" i="20" a="1"/>
  <c r="D1759" i="20" s="1"/>
  <c r="F1759" i="20" a="1"/>
  <c r="F1759" i="20" s="1"/>
  <c r="H1759" i="20" a="1"/>
  <c r="H1759" i="20" s="1"/>
  <c r="J1759" i="20" a="1"/>
  <c r="J1759" i="20" s="1"/>
  <c r="L1759" i="20" a="1"/>
  <c r="L1759" i="20" s="1"/>
  <c r="D1760" i="20" a="1"/>
  <c r="D1760" i="20" s="1"/>
  <c r="F1760" i="20" a="1"/>
  <c r="F1760" i="20" s="1"/>
  <c r="H1760" i="20" a="1"/>
  <c r="H1760" i="20" s="1"/>
  <c r="B1760" i="20"/>
  <c r="J1760" i="20" a="1"/>
  <c r="J1760" i="20" s="1"/>
  <c r="L1760" i="20" a="1"/>
  <c r="L1760" i="20" s="1"/>
  <c r="D1761" i="20" a="1"/>
  <c r="D1761" i="20" s="1"/>
  <c r="F1761" i="20" a="1"/>
  <c r="F1761" i="20" s="1"/>
  <c r="H1761" i="20" a="1"/>
  <c r="H1761" i="20" s="1"/>
  <c r="J1761" i="20" a="1"/>
  <c r="J1761" i="20" s="1"/>
  <c r="B1761" i="20"/>
  <c r="L1761" i="20" a="1"/>
  <c r="L1761" i="20" s="1"/>
  <c r="D1762" i="20" a="1"/>
  <c r="D1762" i="20" s="1"/>
  <c r="F1762" i="20" a="1"/>
  <c r="F1762" i="20" s="1"/>
  <c r="B1762" i="20"/>
  <c r="H1762" i="20" a="1"/>
  <c r="H1762" i="20" s="1"/>
  <c r="J1762" i="20" a="1"/>
  <c r="J1762" i="20" s="1"/>
  <c r="L1762" i="20" a="1"/>
  <c r="L1762" i="20" s="1"/>
  <c r="B1763" i="20"/>
  <c r="D1763" i="20" a="1"/>
  <c r="D1763" i="20" s="1"/>
  <c r="F1763" i="20" a="1"/>
  <c r="F1763" i="20" s="1"/>
  <c r="H1763" i="20" a="1"/>
  <c r="H1763" i="20" s="1"/>
  <c r="J1763" i="20" a="1"/>
  <c r="J1763" i="20" s="1"/>
  <c r="L1763" i="20" a="1"/>
  <c r="L1763" i="20" s="1"/>
  <c r="D1764" i="20" a="1"/>
  <c r="D1764" i="20" s="1"/>
  <c r="F1764" i="20" a="1"/>
  <c r="F1764" i="20" s="1"/>
  <c r="H1764" i="20" a="1"/>
  <c r="H1764" i="20" s="1"/>
  <c r="J1764" i="20" a="1"/>
  <c r="J1764" i="20" s="1"/>
  <c r="B1764" i="20"/>
  <c r="L1764" i="20" a="1"/>
  <c r="L1764" i="20" s="1"/>
  <c r="B1765" i="20"/>
  <c r="D1765" i="20" a="1"/>
  <c r="D1765" i="20" s="1"/>
  <c r="F1765" i="20" a="1"/>
  <c r="F1765" i="20" s="1"/>
  <c r="H1765" i="20" a="1"/>
  <c r="H1765" i="20" s="1"/>
  <c r="J1765" i="20" a="1"/>
  <c r="J1765" i="20" s="1"/>
  <c r="L1765" i="20" a="1"/>
  <c r="L1765" i="20" s="1"/>
  <c r="D1766" i="20" a="1"/>
  <c r="D1766" i="20" s="1"/>
  <c r="F1766" i="20" a="1"/>
  <c r="F1766" i="20" s="1"/>
  <c r="H1766" i="20" a="1"/>
  <c r="H1766" i="20" s="1"/>
  <c r="B1766" i="20"/>
  <c r="J1766" i="20" a="1"/>
  <c r="J1766" i="20" s="1"/>
  <c r="L1766" i="20" a="1"/>
  <c r="L1766" i="20" s="1"/>
  <c r="D1767" i="20" a="1"/>
  <c r="D1767" i="20" s="1"/>
  <c r="F1767" i="20" a="1"/>
  <c r="F1767" i="20" s="1"/>
  <c r="H1767" i="20" a="1"/>
  <c r="H1767" i="20" s="1"/>
  <c r="B1767" i="20"/>
  <c r="J1767" i="20" a="1"/>
  <c r="J1767" i="20" s="1"/>
  <c r="L1767" i="20" a="1"/>
  <c r="L1767" i="20" s="1"/>
  <c r="D1768" i="20" a="1"/>
  <c r="D1768" i="20" s="1"/>
  <c r="F1768" i="20" a="1"/>
  <c r="F1768" i="20" s="1"/>
  <c r="H1768" i="20" a="1"/>
  <c r="H1768" i="20" s="1"/>
  <c r="J1768" i="20" a="1"/>
  <c r="J1768" i="20" s="1"/>
  <c r="B1768" i="20"/>
  <c r="L1768" i="20" a="1"/>
  <c r="L1768" i="20" s="1"/>
  <c r="B1769" i="20"/>
  <c r="D1769" i="20" a="1"/>
  <c r="D1769" i="20" s="1"/>
  <c r="F1769" i="20" a="1"/>
  <c r="F1769" i="20" s="1"/>
  <c r="H1769" i="20" a="1"/>
  <c r="H1769" i="20" s="1"/>
  <c r="J1769" i="20" a="1"/>
  <c r="J1769" i="20" s="1"/>
  <c r="L1769" i="20" a="1"/>
  <c r="L1769" i="20" s="1"/>
  <c r="D1770" i="20" a="1"/>
  <c r="D1770" i="20" s="1"/>
  <c r="F1770" i="20" a="1"/>
  <c r="F1770" i="20" s="1"/>
  <c r="H1770" i="20" a="1"/>
  <c r="H1770" i="20" s="1"/>
  <c r="B1770" i="20"/>
  <c r="J1770" i="20" a="1"/>
  <c r="J1770" i="20" s="1"/>
  <c r="L1770" i="20" a="1"/>
  <c r="L1770" i="20" s="1"/>
  <c r="D1771" i="20" a="1"/>
  <c r="D1771" i="20" s="1"/>
  <c r="F1771" i="20" a="1"/>
  <c r="F1771" i="20" s="1"/>
  <c r="H1771" i="20" a="1"/>
  <c r="H1771" i="20" s="1"/>
  <c r="B1771" i="20"/>
  <c r="J1771" i="20" a="1"/>
  <c r="J1771" i="20" s="1"/>
  <c r="L1771" i="20" a="1"/>
  <c r="L1771" i="20" s="1"/>
  <c r="D1772" i="20" a="1"/>
  <c r="D1772" i="20" s="1"/>
  <c r="F1772" i="20" a="1"/>
  <c r="F1772" i="20" s="1"/>
  <c r="H1772" i="20" a="1"/>
  <c r="H1772" i="20" s="1"/>
  <c r="B1772" i="20"/>
  <c r="J1772" i="20" a="1"/>
  <c r="J1772" i="20" s="1"/>
  <c r="L1772" i="20" a="1"/>
  <c r="L1772" i="20" s="1"/>
  <c r="D1773" i="20" a="1"/>
  <c r="D1773" i="20" s="1"/>
  <c r="F1773" i="20" a="1"/>
  <c r="F1773" i="20" s="1"/>
  <c r="H1773" i="20" a="1"/>
  <c r="H1773" i="20" s="1"/>
  <c r="J1773" i="20" a="1"/>
  <c r="J1773" i="20" s="1"/>
  <c r="B1773" i="20"/>
  <c r="L1773" i="20" a="1"/>
  <c r="L1773" i="20" s="1"/>
  <c r="D1774" i="20" a="1"/>
  <c r="D1774" i="20" s="1"/>
  <c r="F1774" i="20" a="1"/>
  <c r="F1774" i="20" s="1"/>
  <c r="H1774" i="20" a="1"/>
  <c r="H1774" i="20" s="1"/>
  <c r="J1774" i="20" a="1"/>
  <c r="J1774" i="20" s="1"/>
  <c r="B1774" i="20"/>
  <c r="L1774" i="20" a="1"/>
  <c r="L1774" i="20" s="1"/>
  <c r="B1775" i="20"/>
  <c r="D1775" i="20" a="1"/>
  <c r="D1775" i="20" s="1"/>
  <c r="F1775" i="20" a="1"/>
  <c r="F1775" i="20" s="1"/>
  <c r="H1775" i="20" a="1"/>
  <c r="H1775" i="20" s="1"/>
  <c r="J1775" i="20" a="1"/>
  <c r="J1775" i="20" s="1"/>
  <c r="L1775" i="20" a="1"/>
  <c r="L1775" i="20" s="1"/>
  <c r="D1776" i="20" a="1"/>
  <c r="D1776" i="20" s="1"/>
  <c r="F1776" i="20" a="1"/>
  <c r="F1776" i="20" s="1"/>
  <c r="B1776" i="20"/>
  <c r="H1776" i="20" a="1"/>
  <c r="H1776" i="20" s="1"/>
  <c r="J1776" i="20" a="1"/>
  <c r="J1776" i="20" s="1"/>
  <c r="L1776" i="20" a="1"/>
  <c r="L1776" i="20" s="1"/>
  <c r="D1777" i="20" a="1"/>
  <c r="D1777" i="20" s="1"/>
  <c r="B1777" i="20"/>
  <c r="F1777" i="20" a="1"/>
  <c r="F1777" i="20" s="1"/>
  <c r="H1777" i="20" a="1"/>
  <c r="H1777" i="20" s="1"/>
  <c r="J1777" i="20" a="1"/>
  <c r="J1777" i="20" s="1"/>
  <c r="L1777" i="20" a="1"/>
  <c r="L1777" i="20" s="1"/>
  <c r="D1778" i="20" a="1"/>
  <c r="D1778" i="20" s="1"/>
  <c r="F1778" i="20" a="1"/>
  <c r="F1778" i="20" s="1"/>
  <c r="H1778" i="20" a="1"/>
  <c r="H1778" i="20" s="1"/>
  <c r="B1778" i="20"/>
  <c r="J1778" i="20" a="1"/>
  <c r="J1778" i="20" s="1"/>
  <c r="L1778" i="20" a="1"/>
  <c r="L1778" i="20" s="1"/>
  <c r="D1779" i="20" a="1"/>
  <c r="D1779" i="20" s="1"/>
  <c r="F1779" i="20" a="1"/>
  <c r="F1779" i="20" s="1"/>
  <c r="H1779" i="20" a="1"/>
  <c r="H1779" i="20" s="1"/>
  <c r="B1779" i="20"/>
  <c r="J1779" i="20" a="1"/>
  <c r="J1779" i="20" s="1"/>
  <c r="L1779" i="20" a="1"/>
  <c r="L1779" i="20" s="1"/>
  <c r="D1780" i="20" a="1"/>
  <c r="D1780" i="20" s="1"/>
  <c r="F1780" i="20" a="1"/>
  <c r="F1780" i="20" s="1"/>
  <c r="H1780" i="20" a="1"/>
  <c r="H1780" i="20" s="1"/>
  <c r="B1780" i="20"/>
  <c r="J1780" i="20" a="1"/>
  <c r="J1780" i="20" s="1"/>
  <c r="L1780" i="20" a="1"/>
  <c r="L1780" i="20" s="1"/>
  <c r="D1781" i="20" a="1"/>
  <c r="D1781" i="20" s="1"/>
  <c r="F1781" i="20" a="1"/>
  <c r="F1781" i="20" s="1"/>
  <c r="H1781" i="20" a="1"/>
  <c r="H1781" i="20" s="1"/>
  <c r="B1781" i="20"/>
  <c r="J1781" i="20" a="1"/>
  <c r="J1781" i="20" s="1"/>
  <c r="L1781" i="20" a="1"/>
  <c r="L1781" i="20" s="1"/>
  <c r="D1782" i="20" a="1"/>
  <c r="D1782" i="20" s="1"/>
  <c r="B1782" i="20"/>
  <c r="F1782" i="20" a="1"/>
  <c r="F1782" i="20" s="1"/>
  <c r="H1782" i="20" a="1"/>
  <c r="H1782" i="20" s="1"/>
  <c r="J1782" i="20" a="1"/>
  <c r="J1782" i="20" s="1"/>
  <c r="L1782" i="20" a="1"/>
  <c r="L1782" i="20" s="1"/>
  <c r="D1783" i="20" a="1"/>
  <c r="D1783" i="20" s="1"/>
  <c r="B1783" i="20"/>
  <c r="F1783" i="20" a="1"/>
  <c r="F1783" i="20" s="1"/>
  <c r="H1783" i="20" a="1"/>
  <c r="H1783" i="20" s="1"/>
  <c r="J1783" i="20" a="1"/>
  <c r="J1783" i="20" s="1"/>
  <c r="L1783" i="20" a="1"/>
  <c r="L1783" i="20" s="1"/>
  <c r="B1784" i="20"/>
  <c r="D1784" i="20" a="1"/>
  <c r="D1784" i="20" s="1"/>
  <c r="F1784" i="20" a="1"/>
  <c r="F1784" i="20" s="1"/>
  <c r="H1784" i="20" a="1"/>
  <c r="H1784" i="20" s="1"/>
  <c r="J1784" i="20" a="1"/>
  <c r="J1784" i="20" s="1"/>
  <c r="L1784" i="20" a="1"/>
  <c r="L1784" i="20" s="1"/>
  <c r="D1785" i="20" a="1"/>
  <c r="D1785" i="20" s="1"/>
  <c r="F1785" i="20" a="1"/>
  <c r="F1785" i="20" s="1"/>
  <c r="H1785" i="20" a="1"/>
  <c r="H1785" i="20" s="1"/>
  <c r="J1785" i="20" a="1"/>
  <c r="J1785" i="20" s="1"/>
  <c r="B1785" i="20"/>
  <c r="L1785" i="20" a="1"/>
  <c r="L1785" i="20" s="1"/>
  <c r="B1786" i="20"/>
  <c r="D1786" i="20" a="1"/>
  <c r="D1786" i="20" s="1"/>
  <c r="F1786" i="20" a="1"/>
  <c r="F1786" i="20" s="1"/>
  <c r="H1786" i="20" a="1"/>
  <c r="H1786" i="20" s="1"/>
  <c r="J1786" i="20" a="1"/>
  <c r="J1786" i="20" s="1"/>
  <c r="L1786" i="20" a="1"/>
  <c r="L1786" i="20" s="1"/>
  <c r="D1787" i="20" a="1"/>
  <c r="D1787" i="20" s="1"/>
  <c r="B1787" i="20"/>
  <c r="F1787" i="20" a="1"/>
  <c r="F1787" i="20" s="1"/>
  <c r="H1787" i="20" a="1"/>
  <c r="H1787" i="20" s="1"/>
  <c r="J1787" i="20" a="1"/>
  <c r="J1787" i="20" s="1"/>
  <c r="L1787" i="20" a="1"/>
  <c r="L1787" i="20" s="1"/>
  <c r="D1788" i="20" a="1"/>
  <c r="D1788" i="20" s="1"/>
  <c r="B1788" i="20"/>
  <c r="F1788" i="20" a="1"/>
  <c r="F1788" i="20" s="1"/>
  <c r="H1788" i="20" a="1"/>
  <c r="H1788" i="20" s="1"/>
  <c r="J1788" i="20" a="1"/>
  <c r="J1788" i="20" s="1"/>
  <c r="L1788" i="20" a="1"/>
  <c r="L1788" i="20" s="1"/>
  <c r="D1789" i="20" a="1"/>
  <c r="D1789" i="20" s="1"/>
  <c r="F1789" i="20" a="1"/>
  <c r="F1789" i="20" s="1"/>
  <c r="H1789" i="20" a="1"/>
  <c r="H1789" i="20" s="1"/>
  <c r="B1789" i="20"/>
  <c r="J1789" i="20" a="1"/>
  <c r="J1789" i="20" s="1"/>
  <c r="L1789" i="20" a="1"/>
  <c r="L1789" i="20" s="1"/>
  <c r="D1790" i="20" a="1"/>
  <c r="D1790" i="20" s="1"/>
  <c r="F1790" i="20" a="1"/>
  <c r="F1790" i="20" s="1"/>
  <c r="H1790" i="20" a="1"/>
  <c r="H1790" i="20" s="1"/>
  <c r="B1790" i="20"/>
  <c r="J1790" i="20" a="1"/>
  <c r="J1790" i="20" s="1"/>
  <c r="L1790" i="20" a="1"/>
  <c r="L1790" i="20" s="1"/>
  <c r="D1791" i="20" a="1"/>
  <c r="D1791" i="20" s="1"/>
  <c r="B1791" i="20"/>
  <c r="F1791" i="20" a="1"/>
  <c r="F1791" i="20" s="1"/>
  <c r="H1791" i="20" a="1"/>
  <c r="H1791" i="20" s="1"/>
  <c r="J1791" i="20" a="1"/>
  <c r="J1791" i="20" s="1"/>
  <c r="L1791" i="20" a="1"/>
  <c r="L1791" i="20" s="1"/>
  <c r="D1792" i="20" a="1"/>
  <c r="D1792" i="20" s="1"/>
  <c r="B1792" i="20"/>
  <c r="F1792" i="20" a="1"/>
  <c r="F1792" i="20" s="1"/>
  <c r="H1792" i="20" a="1"/>
  <c r="H1792" i="20" s="1"/>
  <c r="J1792" i="20" a="1"/>
  <c r="J1792" i="20" s="1"/>
  <c r="L1792" i="20" a="1"/>
  <c r="L1792" i="20" s="1"/>
  <c r="B1793" i="20"/>
  <c r="D1793" i="20" a="1"/>
  <c r="D1793" i="20" s="1"/>
  <c r="F1793" i="20" a="1"/>
  <c r="F1793" i="20" s="1"/>
  <c r="H1793" i="20" a="1"/>
  <c r="H1793" i="20" s="1"/>
  <c r="J1793" i="20" a="1"/>
  <c r="J1793" i="20" s="1"/>
  <c r="L1793" i="20" a="1"/>
  <c r="L1793" i="20" s="1"/>
  <c r="D1794" i="20" a="1"/>
  <c r="D1794" i="20" s="1"/>
  <c r="F1794" i="20" a="1"/>
  <c r="F1794" i="20" s="1"/>
  <c r="H1794" i="20" a="1"/>
  <c r="H1794" i="20" s="1"/>
  <c r="J1794" i="20" a="1"/>
  <c r="J1794" i="20" s="1"/>
  <c r="B1794" i="20"/>
  <c r="L1794" i="20" a="1"/>
  <c r="L1794" i="20" s="1"/>
  <c r="B1795" i="20"/>
  <c r="D1795" i="20" a="1"/>
  <c r="D1795" i="20" s="1"/>
  <c r="F1795" i="20" a="1"/>
  <c r="F1795" i="20" s="1"/>
  <c r="H1795" i="20" a="1"/>
  <c r="H1795" i="20" s="1"/>
  <c r="J1795" i="20" a="1"/>
  <c r="J1795" i="20" s="1"/>
  <c r="L1795" i="20" a="1"/>
  <c r="L1795" i="20" s="1"/>
  <c r="D1796" i="20" a="1"/>
  <c r="D1796" i="20" s="1"/>
  <c r="B1796" i="20"/>
  <c r="F1796" i="20" a="1"/>
  <c r="F1796" i="20" s="1"/>
  <c r="H1796" i="20" a="1"/>
  <c r="H1796" i="20" s="1"/>
  <c r="J1796" i="20" a="1"/>
  <c r="J1796" i="20" s="1"/>
  <c r="L1796" i="20" a="1"/>
  <c r="L1796" i="20" s="1"/>
  <c r="D1797" i="20" a="1"/>
  <c r="D1797" i="20" s="1"/>
  <c r="B1797" i="20"/>
  <c r="F1797" i="20" a="1"/>
  <c r="F1797" i="20" s="1"/>
  <c r="H1797" i="20" a="1"/>
  <c r="H1797" i="20" s="1"/>
  <c r="J1797" i="20" a="1"/>
  <c r="J1797" i="20" s="1"/>
  <c r="L1797" i="20" a="1"/>
  <c r="L1797" i="20" s="1"/>
  <c r="D1798" i="20" a="1"/>
  <c r="D1798" i="20" s="1"/>
  <c r="F1798" i="20" a="1"/>
  <c r="F1798" i="20" s="1"/>
  <c r="H1798" i="20" a="1"/>
  <c r="H1798" i="20" s="1"/>
  <c r="J1798" i="20" a="1"/>
  <c r="J1798" i="20" s="1"/>
  <c r="B1798" i="20"/>
  <c r="L1798" i="20" a="1"/>
  <c r="L1798" i="20" s="1"/>
  <c r="B1799" i="20"/>
  <c r="D1799" i="20" a="1"/>
  <c r="D1799" i="20" s="1"/>
  <c r="F1799" i="20" a="1"/>
  <c r="F1799" i="20" s="1"/>
  <c r="H1799" i="20" a="1"/>
  <c r="H1799" i="20" s="1"/>
  <c r="J1799" i="20" a="1"/>
  <c r="J1799" i="20" s="1"/>
  <c r="L1799" i="20" a="1"/>
  <c r="L1799" i="20" s="1"/>
  <c r="D1800" i="20" a="1"/>
  <c r="D1800" i="20" s="1"/>
  <c r="F1800" i="20" a="1"/>
  <c r="F1800" i="20" s="1"/>
  <c r="H1800" i="20" a="1"/>
  <c r="H1800" i="20" s="1"/>
  <c r="J1800" i="20" a="1"/>
  <c r="J1800" i="20" s="1"/>
  <c r="B1800" i="20"/>
  <c r="L1800" i="20" a="1"/>
  <c r="L1800" i="20" s="1"/>
  <c r="D1801" i="20" a="1"/>
  <c r="D1801" i="20" s="1"/>
  <c r="F1801" i="20" a="1"/>
  <c r="F1801" i="20" s="1"/>
  <c r="H1801" i="20" a="1"/>
  <c r="H1801" i="20" s="1"/>
  <c r="B1801" i="20"/>
  <c r="J1801" i="20" a="1"/>
  <c r="J1801" i="20" s="1"/>
  <c r="L1801" i="20" a="1"/>
  <c r="L1801" i="20" s="1"/>
  <c r="D1802" i="20" a="1"/>
  <c r="D1802" i="20" s="1"/>
  <c r="F1802" i="20" a="1"/>
  <c r="F1802" i="20" s="1"/>
  <c r="H1802" i="20" a="1"/>
  <c r="H1802" i="20" s="1"/>
  <c r="B1802" i="20"/>
  <c r="J1802" i="20" a="1"/>
  <c r="J1802" i="20" s="1"/>
  <c r="L1802" i="20" a="1"/>
  <c r="L1802" i="20" s="1"/>
  <c r="D1803" i="20" a="1"/>
  <c r="D1803" i="20" s="1"/>
  <c r="B1803" i="20"/>
  <c r="F1803" i="20" a="1"/>
  <c r="F1803" i="20" s="1"/>
  <c r="H1803" i="20" a="1"/>
  <c r="H1803" i="20" s="1"/>
  <c r="J1803" i="20" a="1"/>
  <c r="J1803" i="20" s="1"/>
  <c r="L1803" i="20" a="1"/>
  <c r="L1803" i="20" s="1"/>
  <c r="B1804" i="20"/>
  <c r="D1804" i="20" a="1"/>
  <c r="D1804" i="20" s="1"/>
  <c r="F1804" i="20" a="1"/>
  <c r="F1804" i="20" s="1"/>
  <c r="H1804" i="20" a="1"/>
  <c r="H1804" i="20" s="1"/>
  <c r="J1804" i="20" a="1"/>
  <c r="J1804" i="20" s="1"/>
  <c r="L1804" i="20" a="1"/>
  <c r="L1804" i="20" s="1"/>
  <c r="D1805" i="20" a="1"/>
  <c r="D1805" i="20" s="1"/>
  <c r="F1805" i="20" a="1"/>
  <c r="F1805" i="20" s="1"/>
  <c r="H1805" i="20" a="1"/>
  <c r="H1805" i="20" s="1"/>
  <c r="J1805" i="20" a="1"/>
  <c r="J1805" i="20" s="1"/>
  <c r="B1805" i="20"/>
  <c r="L1805" i="20" a="1"/>
  <c r="L1805" i="20" s="1"/>
  <c r="B1806" i="20"/>
  <c r="D1806" i="20" a="1"/>
  <c r="D1806" i="20" s="1"/>
  <c r="F1806" i="20" a="1"/>
  <c r="F1806" i="20" s="1"/>
  <c r="H1806" i="20" a="1"/>
  <c r="H1806" i="20" s="1"/>
  <c r="J1806" i="20" a="1"/>
  <c r="J1806" i="20" s="1"/>
  <c r="L1806" i="20" a="1"/>
  <c r="L1806" i="20" s="1"/>
  <c r="D1807" i="20" a="1"/>
  <c r="D1807" i="20" s="1"/>
  <c r="F1807" i="20" a="1"/>
  <c r="F1807" i="20" s="1"/>
  <c r="H1807" i="20" a="1"/>
  <c r="H1807" i="20" s="1"/>
  <c r="B1807" i="20"/>
  <c r="J1807" i="20" a="1"/>
  <c r="J1807" i="20" s="1"/>
  <c r="L1807" i="20" a="1"/>
  <c r="L1807" i="20" s="1"/>
  <c r="D1808" i="20" a="1"/>
  <c r="D1808" i="20" s="1"/>
  <c r="B1808" i="20"/>
  <c r="F1808" i="20" a="1"/>
  <c r="F1808" i="20" s="1"/>
  <c r="H1808" i="20" a="1"/>
  <c r="H1808" i="20" s="1"/>
  <c r="J1808" i="20" a="1"/>
  <c r="J1808" i="20" s="1"/>
  <c r="L1808" i="20" a="1"/>
  <c r="L1808" i="20" s="1"/>
  <c r="D1809" i="20" a="1"/>
  <c r="D1809" i="20" s="1"/>
  <c r="F1809" i="20" a="1"/>
  <c r="F1809" i="20" s="1"/>
  <c r="H1809" i="20" a="1"/>
  <c r="H1809" i="20" s="1"/>
  <c r="J1809" i="20" a="1"/>
  <c r="J1809" i="20" s="1"/>
  <c r="B1809" i="20"/>
  <c r="L1809" i="20" a="1"/>
  <c r="L1809" i="20" s="1"/>
  <c r="D1810" i="20" a="1"/>
  <c r="D1810" i="20" s="1"/>
  <c r="F1810" i="20" a="1"/>
  <c r="F1810" i="20" s="1"/>
  <c r="H1810" i="20" a="1"/>
  <c r="H1810" i="20" s="1"/>
  <c r="B1810" i="20"/>
  <c r="J1810" i="20" a="1"/>
  <c r="J1810" i="20" s="1"/>
  <c r="L1810" i="20" a="1"/>
  <c r="L1810" i="20" s="1"/>
  <c r="B1811" i="20"/>
  <c r="D1811" i="20" a="1"/>
  <c r="D1811" i="20" s="1"/>
  <c r="F1811" i="20" a="1"/>
  <c r="F1811" i="20" s="1"/>
  <c r="H1811" i="20" a="1"/>
  <c r="H1811" i="20" s="1"/>
  <c r="J1811" i="20" a="1"/>
  <c r="J1811" i="20" s="1"/>
  <c r="L1811" i="20" a="1"/>
  <c r="L1811" i="20" s="1"/>
  <c r="D1812" i="20" a="1"/>
  <c r="D1812" i="20" s="1"/>
  <c r="F1812" i="20" a="1"/>
  <c r="F1812" i="20" s="1"/>
  <c r="H1812" i="20" a="1"/>
  <c r="H1812" i="20" s="1"/>
  <c r="B1812" i="20"/>
  <c r="J1812" i="20" a="1"/>
  <c r="J1812" i="20" s="1"/>
  <c r="L1812" i="20" a="1"/>
  <c r="L1812" i="20" s="1"/>
  <c r="D1813" i="20" a="1"/>
  <c r="D1813" i="20" s="1"/>
  <c r="F1813" i="20" a="1"/>
  <c r="F1813" i="20" s="1"/>
  <c r="H1813" i="20" a="1"/>
  <c r="H1813" i="20" s="1"/>
  <c r="B1813" i="20"/>
  <c r="J1813" i="20" a="1"/>
  <c r="J1813" i="20" s="1"/>
  <c r="L1813" i="20" a="1"/>
  <c r="L1813" i="20" s="1"/>
  <c r="D1814" i="20" a="1"/>
  <c r="D1814" i="20" s="1"/>
  <c r="F1814" i="20" a="1"/>
  <c r="F1814" i="20" s="1"/>
  <c r="H1814" i="20" a="1"/>
  <c r="H1814" i="20" s="1"/>
  <c r="J1814" i="20" a="1"/>
  <c r="J1814" i="20" s="1"/>
  <c r="B1814" i="20"/>
  <c r="L1814" i="20" a="1"/>
  <c r="L1814" i="20" s="1"/>
  <c r="D1815" i="20" a="1"/>
  <c r="D1815" i="20" s="1"/>
  <c r="B1815" i="20"/>
  <c r="F1815" i="20" a="1"/>
  <c r="F1815" i="20" s="1"/>
  <c r="H1815" i="20" a="1"/>
  <c r="H1815" i="20" s="1"/>
  <c r="J1815" i="20" a="1"/>
  <c r="J1815" i="20" s="1"/>
  <c r="L1815" i="20" a="1"/>
  <c r="L1815" i="20" s="1"/>
  <c r="D1816" i="20" a="1"/>
  <c r="D1816" i="20" s="1"/>
  <c r="F1816" i="20" a="1"/>
  <c r="F1816" i="20" s="1"/>
  <c r="H1816" i="20" a="1"/>
  <c r="H1816" i="20" s="1"/>
  <c r="B1816" i="20"/>
  <c r="J1816" i="20" a="1"/>
  <c r="J1816" i="20" s="1"/>
  <c r="L1816" i="20" a="1"/>
  <c r="L1816" i="20" s="1"/>
  <c r="D1817" i="20" a="1"/>
  <c r="D1817" i="20" s="1"/>
  <c r="F1817" i="20" a="1"/>
  <c r="F1817" i="20" s="1"/>
  <c r="H1817" i="20" a="1"/>
  <c r="H1817" i="20" s="1"/>
  <c r="B1817" i="20"/>
  <c r="J1817" i="20" a="1"/>
  <c r="J1817" i="20" s="1"/>
  <c r="L1817" i="20" a="1"/>
  <c r="L1817" i="20" s="1"/>
  <c r="B1818" i="20"/>
  <c r="D1818" i="20" a="1"/>
  <c r="D1818" i="20" s="1"/>
  <c r="F1818" i="20" a="1"/>
  <c r="F1818" i="20" s="1"/>
  <c r="H1818" i="20" a="1"/>
  <c r="H1818" i="20" s="1"/>
  <c r="J1818" i="20" a="1"/>
  <c r="J1818" i="20" s="1"/>
  <c r="L1818" i="20" a="1"/>
  <c r="L1818" i="20" s="1"/>
  <c r="D1819" i="20" a="1"/>
  <c r="D1819" i="20" s="1"/>
  <c r="F1819" i="20" a="1"/>
  <c r="F1819" i="20" s="1"/>
  <c r="H1819" i="20" a="1"/>
  <c r="H1819" i="20" s="1"/>
  <c r="J1819" i="20" a="1"/>
  <c r="J1819" i="20" s="1"/>
  <c r="B1819" i="20"/>
  <c r="L1819" i="20" a="1"/>
  <c r="L1819" i="20" s="1"/>
  <c r="B1820" i="20"/>
  <c r="D1820" i="20" a="1"/>
  <c r="D1820" i="20" s="1"/>
  <c r="F1820" i="20" a="1"/>
  <c r="F1820" i="20" s="1"/>
  <c r="H1820" i="20" a="1"/>
  <c r="H1820" i="20" s="1"/>
  <c r="J1820" i="20" a="1"/>
  <c r="J1820" i="20" s="1"/>
  <c r="L1820" i="20" a="1"/>
  <c r="L1820" i="20" s="1"/>
  <c r="D1821" i="20" a="1"/>
  <c r="D1821" i="20" s="1"/>
  <c r="F1821" i="20" a="1"/>
  <c r="F1821" i="20" s="1"/>
  <c r="H1821" i="20" a="1"/>
  <c r="H1821" i="20" s="1"/>
  <c r="J1821" i="20" a="1"/>
  <c r="J1821" i="20" s="1"/>
  <c r="B1821" i="20"/>
  <c r="L1821" i="20" a="1"/>
  <c r="L1821" i="20" s="1"/>
  <c r="D1822" i="20" a="1"/>
  <c r="D1822" i="20" s="1"/>
  <c r="F1822" i="20" a="1"/>
  <c r="F1822" i="20" s="1"/>
  <c r="H1822" i="20" a="1"/>
  <c r="H1822" i="20" s="1"/>
  <c r="B1822" i="20"/>
  <c r="J1822" i="20" a="1"/>
  <c r="J1822" i="20" s="1"/>
  <c r="L1822" i="20" a="1"/>
  <c r="L1822" i="20" s="1"/>
  <c r="D1823" i="20" a="1"/>
  <c r="D1823" i="20" s="1"/>
  <c r="F1823" i="20" a="1"/>
  <c r="F1823" i="20" s="1"/>
  <c r="H1823" i="20" a="1"/>
  <c r="H1823" i="20" s="1"/>
  <c r="B1823" i="20"/>
  <c r="J1823" i="20" a="1"/>
  <c r="J1823" i="20" s="1"/>
  <c r="L1823" i="20" a="1"/>
  <c r="L1823" i="20" s="1"/>
  <c r="B1824" i="20"/>
  <c r="D1824" i="20" a="1"/>
  <c r="D1824" i="20" s="1"/>
  <c r="F1824" i="20" a="1"/>
  <c r="F1824" i="20" s="1"/>
  <c r="H1824" i="20" a="1"/>
  <c r="H1824" i="20" s="1"/>
  <c r="J1824" i="20" a="1"/>
  <c r="J1824" i="20" s="1"/>
  <c r="L1824" i="20" a="1"/>
  <c r="L1824" i="20" s="1"/>
  <c r="D1825" i="20" a="1"/>
  <c r="D1825" i="20" s="1"/>
  <c r="B1825" i="20"/>
  <c r="F1825" i="20" a="1"/>
  <c r="F1825" i="20" s="1"/>
  <c r="H1825" i="20" a="1"/>
  <c r="H1825" i="20" s="1"/>
  <c r="J1825" i="20" a="1"/>
  <c r="J1825" i="20" s="1"/>
  <c r="L1825" i="20" a="1"/>
  <c r="L1825" i="20" s="1"/>
  <c r="D1826" i="20" a="1"/>
  <c r="D1826" i="20" s="1"/>
  <c r="F1826" i="20" a="1"/>
  <c r="F1826" i="20" s="1"/>
  <c r="H1826" i="20" a="1"/>
  <c r="H1826" i="20" s="1"/>
  <c r="B1826" i="20"/>
  <c r="J1826" i="20" a="1"/>
  <c r="J1826" i="20" s="1"/>
  <c r="L1826" i="20" a="1"/>
  <c r="L1826" i="20" s="1"/>
  <c r="D1827" i="20" a="1"/>
  <c r="D1827" i="20" s="1"/>
  <c r="F1827" i="20" a="1"/>
  <c r="F1827" i="20" s="1"/>
  <c r="H1827" i="20" a="1"/>
  <c r="H1827" i="20" s="1"/>
  <c r="J1827" i="20" a="1"/>
  <c r="J1827" i="20" s="1"/>
  <c r="B1827" i="20"/>
  <c r="L1827" i="20" a="1"/>
  <c r="L1827" i="20" s="1"/>
  <c r="D1828" i="20" a="1"/>
  <c r="D1828" i="20" s="1"/>
  <c r="F1828" i="20" a="1"/>
  <c r="F1828" i="20" s="1"/>
  <c r="H1828" i="20" a="1"/>
  <c r="H1828" i="20" s="1"/>
  <c r="B1828" i="20"/>
  <c r="J1828" i="20" a="1"/>
  <c r="J1828" i="20" s="1"/>
  <c r="L1828" i="20" a="1"/>
  <c r="L1828" i="20" s="1"/>
  <c r="D1829" i="20" a="1"/>
  <c r="D1829" i="20" s="1"/>
  <c r="F1829" i="20" a="1"/>
  <c r="F1829" i="20" s="1"/>
  <c r="H1829" i="20" a="1"/>
  <c r="H1829" i="20" s="1"/>
  <c r="B1829" i="20"/>
  <c r="J1829" i="20" a="1"/>
  <c r="J1829" i="20" s="1"/>
  <c r="L1829" i="20" a="1"/>
  <c r="L1829" i="20" s="1"/>
  <c r="D1830" i="20" a="1"/>
  <c r="D1830" i="20" s="1"/>
  <c r="F1830" i="20" a="1"/>
  <c r="F1830" i="20" s="1"/>
  <c r="H1830" i="20" a="1"/>
  <c r="H1830" i="20" s="1"/>
  <c r="J1830" i="20" a="1"/>
  <c r="J1830" i="20" s="1"/>
  <c r="B1830" i="20"/>
  <c r="L1830" i="20" a="1"/>
  <c r="L1830" i="20" s="1"/>
  <c r="D1831" i="20" a="1"/>
  <c r="D1831" i="20" s="1"/>
  <c r="F1831" i="20" a="1"/>
  <c r="F1831" i="20" s="1"/>
  <c r="B1831" i="20"/>
  <c r="H1831" i="20" a="1"/>
  <c r="H1831" i="20" s="1"/>
  <c r="J1831" i="20" a="1"/>
  <c r="J1831" i="20" s="1"/>
  <c r="L1831" i="20" a="1"/>
  <c r="L1831" i="20" s="1"/>
  <c r="D1832" i="20" a="1"/>
  <c r="D1832" i="20" s="1"/>
  <c r="F1832" i="20" a="1"/>
  <c r="F1832" i="20" s="1"/>
  <c r="H1832" i="20" a="1"/>
  <c r="H1832" i="20" s="1"/>
  <c r="B1832" i="20"/>
  <c r="J1832" i="20" a="1"/>
  <c r="J1832" i="20" s="1"/>
  <c r="L1832" i="20" a="1"/>
  <c r="L1832" i="20" s="1"/>
  <c r="D1833" i="20" a="1"/>
  <c r="D1833" i="20" s="1"/>
  <c r="F1833" i="20" a="1"/>
  <c r="F1833" i="20" s="1"/>
  <c r="H1833" i="20" a="1"/>
  <c r="H1833" i="20" s="1"/>
  <c r="B1833" i="20"/>
  <c r="J1833" i="20" a="1"/>
  <c r="J1833" i="20" s="1"/>
  <c r="L1833" i="20" a="1"/>
  <c r="L1833" i="20" s="1"/>
  <c r="D1834" i="20" a="1"/>
  <c r="D1834" i="20" s="1"/>
  <c r="B1834" i="20"/>
  <c r="F1834" i="20" a="1"/>
  <c r="F1834" i="20" s="1"/>
  <c r="H1834" i="20" a="1"/>
  <c r="H1834" i="20" s="1"/>
  <c r="J1834" i="20" a="1"/>
  <c r="J1834" i="20" s="1"/>
  <c r="L1834" i="20" a="1"/>
  <c r="L1834" i="20" s="1"/>
  <c r="D1835" i="20" a="1"/>
  <c r="D1835" i="20" s="1"/>
  <c r="B1835" i="20"/>
  <c r="F1835" i="20" a="1"/>
  <c r="F1835" i="20" s="1"/>
  <c r="H1835" i="20" a="1"/>
  <c r="H1835" i="20" s="1"/>
  <c r="J1835" i="20" a="1"/>
  <c r="J1835" i="20" s="1"/>
  <c r="L1835" i="20" a="1"/>
  <c r="L1835" i="20" s="1"/>
  <c r="D1836" i="20" a="1"/>
  <c r="D1836" i="20" s="1"/>
  <c r="B1836" i="20"/>
  <c r="F1836" i="20" a="1"/>
  <c r="F1836" i="20" s="1"/>
  <c r="H1836" i="20" a="1"/>
  <c r="H1836" i="20" s="1"/>
  <c r="J1836" i="20" a="1"/>
  <c r="J1836" i="20" s="1"/>
  <c r="L1836" i="20" a="1"/>
  <c r="L1836" i="20" s="1"/>
  <c r="D1837" i="20" a="1"/>
  <c r="D1837" i="20" s="1"/>
  <c r="F1837" i="20" a="1"/>
  <c r="F1837" i="20" s="1"/>
  <c r="H1837" i="20" a="1"/>
  <c r="H1837" i="20" s="1"/>
  <c r="B1837" i="20"/>
  <c r="J1837" i="20" a="1"/>
  <c r="J1837" i="20" s="1"/>
  <c r="L1837" i="20" a="1"/>
  <c r="L1837" i="20" s="1"/>
  <c r="D1838" i="20" a="1"/>
  <c r="D1838" i="20" s="1"/>
  <c r="F1838" i="20" a="1"/>
  <c r="F1838" i="20" s="1"/>
  <c r="H1838" i="20" a="1"/>
  <c r="H1838" i="20" s="1"/>
  <c r="B1838" i="20"/>
  <c r="J1838" i="20" a="1"/>
  <c r="J1838" i="20" s="1"/>
  <c r="L1838" i="20" a="1"/>
  <c r="L1838" i="20" s="1"/>
  <c r="D1839" i="20" a="1"/>
  <c r="D1839" i="20" s="1"/>
  <c r="B1839" i="20"/>
  <c r="F1839" i="20" a="1"/>
  <c r="F1839" i="20" s="1"/>
  <c r="H1839" i="20" a="1"/>
  <c r="H1839" i="20" s="1"/>
  <c r="J1839" i="20" a="1"/>
  <c r="J1839" i="20" s="1"/>
  <c r="L1839" i="20" a="1"/>
  <c r="L1839" i="20" s="1"/>
  <c r="D1840" i="20" a="1"/>
  <c r="D1840" i="20" s="1"/>
  <c r="B1840" i="20"/>
  <c r="F1840" i="20" a="1"/>
  <c r="F1840" i="20" s="1"/>
  <c r="H1840" i="20" a="1"/>
  <c r="H1840" i="20" s="1"/>
  <c r="J1840" i="20" a="1"/>
  <c r="J1840" i="20" s="1"/>
  <c r="L1840" i="20" a="1"/>
  <c r="L1840" i="20" s="1"/>
  <c r="D1841" i="20" a="1"/>
  <c r="D1841" i="20" s="1"/>
  <c r="B1841" i="20"/>
  <c r="F1841" i="20" a="1"/>
  <c r="F1841" i="20" s="1"/>
  <c r="H1841" i="20" a="1"/>
  <c r="H1841" i="20" s="1"/>
  <c r="J1841" i="20" a="1"/>
  <c r="J1841" i="20" s="1"/>
  <c r="L1841" i="20" a="1"/>
  <c r="L1841" i="20" s="1"/>
  <c r="D1842" i="20" a="1"/>
  <c r="D1842" i="20" s="1"/>
  <c r="B1842" i="20"/>
  <c r="F1842" i="20" a="1"/>
  <c r="F1842" i="20" s="1"/>
  <c r="H1842" i="20" a="1"/>
  <c r="H1842" i="20" s="1"/>
  <c r="J1842" i="20" a="1"/>
  <c r="J1842" i="20" s="1"/>
  <c r="L1842" i="20" a="1"/>
  <c r="L1842" i="20" s="1"/>
  <c r="D1843" i="20" a="1"/>
  <c r="D1843" i="20" s="1"/>
  <c r="B1843" i="20"/>
  <c r="F1843" i="20" a="1"/>
  <c r="F1843" i="20" s="1"/>
  <c r="H1843" i="20" a="1"/>
  <c r="H1843" i="20" s="1"/>
  <c r="J1843" i="20" a="1"/>
  <c r="J1843" i="20" s="1"/>
  <c r="L1843" i="20" a="1"/>
  <c r="L1843" i="20" s="1"/>
  <c r="D1844" i="20" a="1"/>
  <c r="D1844" i="20" s="1"/>
  <c r="F1844" i="20" a="1"/>
  <c r="F1844" i="20" s="1"/>
  <c r="B1844" i="20"/>
  <c r="H1844" i="20" a="1"/>
  <c r="H1844" i="20" s="1"/>
  <c r="J1844" i="20" a="1"/>
  <c r="J1844" i="20" s="1"/>
  <c r="L1844" i="20" a="1"/>
  <c r="L1844" i="20" s="1"/>
  <c r="D1845" i="20" a="1"/>
  <c r="D1845" i="20" s="1"/>
  <c r="B1845" i="20"/>
  <c r="F1845" i="20" a="1"/>
  <c r="F1845" i="20" s="1"/>
  <c r="H1845" i="20" a="1"/>
  <c r="H1845" i="20" s="1"/>
  <c r="J1845" i="20" a="1"/>
  <c r="J1845" i="20" s="1"/>
  <c r="L1845" i="20" a="1"/>
  <c r="L1845" i="20" s="1"/>
  <c r="D1846" i="20" a="1"/>
  <c r="D1846" i="20" s="1"/>
  <c r="F1846" i="20" a="1"/>
  <c r="F1846" i="20" s="1"/>
  <c r="H1846" i="20" a="1"/>
  <c r="H1846" i="20" s="1"/>
  <c r="B1846" i="20"/>
  <c r="J1846" i="20" a="1"/>
  <c r="J1846" i="20" s="1"/>
  <c r="L1846" i="20" a="1"/>
  <c r="L1846" i="20" s="1"/>
  <c r="D1847" i="20" a="1"/>
  <c r="D1847" i="20" s="1"/>
  <c r="F1847" i="20" a="1"/>
  <c r="F1847" i="20" s="1"/>
  <c r="H1847" i="20" a="1"/>
  <c r="H1847" i="20" s="1"/>
  <c r="J1847" i="20" a="1"/>
  <c r="J1847" i="20" s="1"/>
  <c r="B1847" i="20"/>
  <c r="L1847" i="20" a="1"/>
  <c r="L1847" i="20" s="1"/>
  <c r="D1848" i="20" a="1"/>
  <c r="D1848" i="20" s="1"/>
  <c r="F1848" i="20" a="1"/>
  <c r="F1848" i="20" s="1"/>
  <c r="H1848" i="20" a="1"/>
  <c r="H1848" i="20" s="1"/>
  <c r="B1848" i="20"/>
  <c r="J1848" i="20" a="1"/>
  <c r="J1848" i="20" s="1"/>
  <c r="L1848" i="20" a="1"/>
  <c r="L1848" i="20" s="1"/>
  <c r="D1849" i="20" a="1"/>
  <c r="D1849" i="20" s="1"/>
  <c r="F1849" i="20" a="1"/>
  <c r="F1849" i="20" s="1"/>
  <c r="H1849" i="20" a="1"/>
  <c r="H1849" i="20" s="1"/>
  <c r="B1849" i="20"/>
  <c r="J1849" i="20" a="1"/>
  <c r="J1849" i="20" s="1"/>
  <c r="L1849" i="20" a="1"/>
  <c r="L1849" i="20" s="1"/>
  <c r="D1850" i="20" a="1"/>
  <c r="D1850" i="20" s="1"/>
  <c r="B1850" i="20"/>
  <c r="F1850" i="20" a="1"/>
  <c r="F1850" i="20" s="1"/>
  <c r="H1850" i="20" a="1"/>
  <c r="H1850" i="20" s="1"/>
  <c r="J1850" i="20" a="1"/>
  <c r="J1850" i="20" s="1"/>
  <c r="L1850" i="20" a="1"/>
  <c r="L1850" i="20" s="1"/>
  <c r="D1851" i="20" a="1"/>
  <c r="D1851" i="20" s="1"/>
  <c r="B1851" i="20"/>
  <c r="F1851" i="20" a="1"/>
  <c r="F1851" i="20" s="1"/>
  <c r="H1851" i="20" a="1"/>
  <c r="H1851" i="20" s="1"/>
  <c r="J1851" i="20" a="1"/>
  <c r="J1851" i="20" s="1"/>
  <c r="L1851" i="20" a="1"/>
  <c r="L1851" i="20" s="1"/>
  <c r="D1852" i="20" a="1"/>
  <c r="D1852" i="20" s="1"/>
  <c r="F1852" i="20" a="1"/>
  <c r="F1852" i="20" s="1"/>
  <c r="B1852" i="20"/>
  <c r="H1852" i="20" a="1"/>
  <c r="H1852" i="20" s="1"/>
  <c r="J1852" i="20" a="1"/>
  <c r="J1852" i="20" s="1"/>
  <c r="L1852" i="20" a="1"/>
  <c r="L1852" i="20" s="1"/>
  <c r="B1853" i="20"/>
  <c r="D1853" i="20" a="1"/>
  <c r="D1853" i="20" s="1"/>
  <c r="F1853" i="20" a="1"/>
  <c r="F1853" i="20" s="1"/>
  <c r="H1853" i="20" a="1"/>
  <c r="H1853" i="20" s="1"/>
  <c r="J1853" i="20" a="1"/>
  <c r="J1853" i="20" s="1"/>
  <c r="L1853" i="20" a="1"/>
  <c r="L1853" i="20" s="1"/>
  <c r="D1854" i="20" a="1"/>
  <c r="D1854" i="20" s="1"/>
  <c r="F1854" i="20" a="1"/>
  <c r="F1854" i="20" s="1"/>
  <c r="H1854" i="20" a="1"/>
  <c r="H1854" i="20" s="1"/>
  <c r="J1854" i="20" a="1"/>
  <c r="J1854" i="20" s="1"/>
  <c r="B1854" i="20"/>
  <c r="L1854" i="20" a="1"/>
  <c r="L1854" i="20" s="1"/>
  <c r="D1855" i="20" a="1"/>
  <c r="D1855" i="20" s="1"/>
  <c r="F1855" i="20" a="1"/>
  <c r="F1855" i="20" s="1"/>
  <c r="H1855" i="20" a="1"/>
  <c r="H1855" i="20" s="1"/>
  <c r="B1855" i="20"/>
  <c r="J1855" i="20" a="1"/>
  <c r="J1855" i="20" s="1"/>
  <c r="L1855" i="20" a="1"/>
  <c r="L1855" i="20" s="1"/>
  <c r="B1856" i="20"/>
  <c r="D1856" i="20" a="1"/>
  <c r="D1856" i="20" s="1"/>
  <c r="F1856" i="20" a="1"/>
  <c r="F1856" i="20" s="1"/>
  <c r="H1856" i="20" a="1"/>
  <c r="H1856" i="20" s="1"/>
  <c r="J1856" i="20" a="1"/>
  <c r="J1856" i="20" s="1"/>
  <c r="L1856" i="20" a="1"/>
  <c r="L1856" i="20" s="1"/>
  <c r="D1857" i="20" a="1"/>
  <c r="D1857" i="20" s="1"/>
  <c r="B1857" i="20"/>
  <c r="F1857" i="20" a="1"/>
  <c r="F1857" i="20" s="1"/>
  <c r="H1857" i="20" a="1"/>
  <c r="H1857" i="20" s="1"/>
  <c r="J1857" i="20" a="1"/>
  <c r="J1857" i="20" s="1"/>
  <c r="L1857" i="20" a="1"/>
  <c r="L1857" i="20" s="1"/>
  <c r="B1858" i="20"/>
  <c r="D1858" i="20" a="1"/>
  <c r="D1858" i="20" s="1"/>
  <c r="F1858" i="20" a="1"/>
  <c r="F1858" i="20" s="1"/>
  <c r="H1858" i="20" a="1"/>
  <c r="H1858" i="20" s="1"/>
  <c r="J1858" i="20" a="1"/>
  <c r="J1858" i="20" s="1"/>
  <c r="L1858" i="20" a="1"/>
  <c r="L1858" i="20" s="1"/>
  <c r="D1859" i="20" a="1"/>
  <c r="D1859" i="20" s="1"/>
  <c r="F1859" i="20" a="1"/>
  <c r="F1859" i="20" s="1"/>
  <c r="H1859" i="20" a="1"/>
  <c r="H1859" i="20" s="1"/>
  <c r="J1859" i="20" a="1"/>
  <c r="J1859" i="20" s="1"/>
  <c r="B1859" i="20"/>
  <c r="L1859" i="20" a="1"/>
  <c r="L1859" i="20" s="1"/>
  <c r="D1860" i="20" a="1"/>
  <c r="D1860" i="20" s="1"/>
  <c r="B1860" i="20"/>
  <c r="F1860" i="20" a="1"/>
  <c r="F1860" i="20" s="1"/>
  <c r="H1860" i="20" a="1"/>
  <c r="H1860" i="20" s="1"/>
  <c r="J1860" i="20" a="1"/>
  <c r="J1860" i="20" s="1"/>
  <c r="L1860" i="20" a="1"/>
  <c r="L1860" i="20" s="1"/>
  <c r="D1861" i="20" a="1"/>
  <c r="D1861" i="20" s="1"/>
  <c r="B1861" i="20"/>
  <c r="F1861" i="20" a="1"/>
  <c r="F1861" i="20" s="1"/>
  <c r="H1861" i="20" a="1"/>
  <c r="H1861" i="20" s="1"/>
  <c r="J1861" i="20" a="1"/>
  <c r="J1861" i="20" s="1"/>
  <c r="L1861" i="20" a="1"/>
  <c r="L1861" i="20" s="1"/>
  <c r="D1862" i="20" a="1"/>
  <c r="D1862" i="20" s="1"/>
  <c r="F1862" i="20" a="1"/>
  <c r="F1862" i="20" s="1"/>
  <c r="H1862" i="20" a="1"/>
  <c r="H1862" i="20" s="1"/>
  <c r="J1862" i="20" a="1"/>
  <c r="J1862" i="20" s="1"/>
  <c r="B1862" i="20"/>
  <c r="L1862" i="20" a="1"/>
  <c r="L1862" i="20" s="1"/>
  <c r="B1863" i="20"/>
  <c r="D1863" i="20" a="1"/>
  <c r="D1863" i="20" s="1"/>
  <c r="F1863" i="20" a="1"/>
  <c r="F1863" i="20" s="1"/>
  <c r="H1863" i="20" a="1"/>
  <c r="H1863" i="20" s="1"/>
  <c r="J1863" i="20" a="1"/>
  <c r="J1863" i="20" s="1"/>
  <c r="L1863" i="20" a="1"/>
  <c r="L1863" i="20" s="1"/>
  <c r="D1864" i="20" a="1"/>
  <c r="D1864" i="20" s="1"/>
  <c r="F1864" i="20" a="1"/>
  <c r="F1864" i="20" s="1"/>
  <c r="H1864" i="20" a="1"/>
  <c r="H1864" i="20" s="1"/>
  <c r="B1864" i="20"/>
  <c r="J1864" i="20" a="1"/>
  <c r="J1864" i="20" s="1"/>
  <c r="L1864" i="20" a="1"/>
  <c r="L1864" i="20" s="1"/>
  <c r="D1865" i="20" a="1"/>
  <c r="D1865" i="20" s="1"/>
  <c r="F1865" i="20" a="1"/>
  <c r="F1865" i="20" s="1"/>
  <c r="H1865" i="20" a="1"/>
  <c r="H1865" i="20" s="1"/>
  <c r="B1865" i="20"/>
  <c r="J1865" i="20" a="1"/>
  <c r="J1865" i="20" s="1"/>
  <c r="L1865" i="20" a="1"/>
  <c r="L1865" i="20" s="1"/>
  <c r="D1866" i="20" a="1"/>
  <c r="D1866" i="20" s="1"/>
  <c r="B1866" i="20"/>
  <c r="F1866" i="20" a="1"/>
  <c r="F1866" i="20" s="1"/>
  <c r="H1866" i="20" a="1"/>
  <c r="H1866" i="20" s="1"/>
  <c r="J1866" i="20" a="1"/>
  <c r="J1866" i="20" s="1"/>
  <c r="L1866" i="20" a="1"/>
  <c r="L1866" i="20" s="1"/>
  <c r="D1867" i="20" a="1"/>
  <c r="D1867" i="20" s="1"/>
  <c r="B1867" i="20"/>
  <c r="F1867" i="20" a="1"/>
  <c r="F1867" i="20" s="1"/>
  <c r="H1867" i="20" a="1"/>
  <c r="H1867" i="20" s="1"/>
  <c r="J1867" i="20" a="1"/>
  <c r="J1867" i="20" s="1"/>
  <c r="L1867" i="20" a="1"/>
  <c r="L1867" i="20" s="1"/>
  <c r="D1868" i="20" a="1"/>
  <c r="D1868" i="20" s="1"/>
  <c r="F1868" i="20" a="1"/>
  <c r="F1868" i="20" s="1"/>
  <c r="B1868" i="20"/>
  <c r="H1868" i="20" a="1"/>
  <c r="H1868" i="20" s="1"/>
  <c r="J1868" i="20" a="1"/>
  <c r="J1868" i="20" s="1"/>
  <c r="L1868" i="20" a="1"/>
  <c r="L1868" i="20" s="1"/>
  <c r="D1869" i="20" a="1"/>
  <c r="D1869" i="20" s="1"/>
  <c r="B1869" i="20"/>
  <c r="F1869" i="20" a="1"/>
  <c r="F1869" i="20" s="1"/>
  <c r="H1869" i="20" a="1"/>
  <c r="H1869" i="20" s="1"/>
  <c r="J1869" i="20" a="1"/>
  <c r="J1869" i="20" s="1"/>
  <c r="L1869" i="20" a="1"/>
  <c r="L1869" i="20" s="1"/>
  <c r="D1870" i="20" a="1"/>
  <c r="D1870" i="20" s="1"/>
  <c r="F1870" i="20" a="1"/>
  <c r="F1870" i="20" s="1"/>
  <c r="H1870" i="20" a="1"/>
  <c r="H1870" i="20" s="1"/>
  <c r="B1870" i="20"/>
  <c r="J1870" i="20" a="1"/>
  <c r="J1870" i="20" s="1"/>
  <c r="L1870" i="20" a="1"/>
  <c r="L1870" i="20" s="1"/>
  <c r="D1871" i="20" a="1"/>
  <c r="D1871" i="20" s="1"/>
  <c r="F1871" i="20" a="1"/>
  <c r="F1871" i="20" s="1"/>
  <c r="H1871" i="20" a="1"/>
  <c r="H1871" i="20" s="1"/>
  <c r="B1871" i="20"/>
  <c r="J1871" i="20" a="1"/>
  <c r="J1871" i="20" s="1"/>
  <c r="L1871" i="20" a="1"/>
  <c r="L1871" i="20" s="1"/>
  <c r="D1872" i="20" a="1"/>
  <c r="D1872" i="20" s="1"/>
  <c r="F1872" i="20" a="1"/>
  <c r="F1872" i="20" s="1"/>
  <c r="H1872" i="20" a="1"/>
  <c r="H1872" i="20" s="1"/>
  <c r="J1872" i="20" a="1"/>
  <c r="J1872" i="20" s="1"/>
  <c r="B1872" i="20"/>
  <c r="L1872" i="20" a="1"/>
  <c r="L1872" i="20" s="1"/>
  <c r="D1873" i="20" a="1"/>
  <c r="D1873" i="20" s="1"/>
  <c r="F1873" i="20" a="1"/>
  <c r="F1873" i="20" s="1"/>
  <c r="B1873" i="20"/>
  <c r="H1873" i="20" a="1"/>
  <c r="H1873" i="20" s="1"/>
  <c r="J1873" i="20" a="1"/>
  <c r="J1873" i="20" s="1"/>
  <c r="L1873" i="20" a="1"/>
  <c r="L1873" i="20" s="1"/>
  <c r="D1874" i="20" a="1"/>
  <c r="D1874" i="20" s="1"/>
  <c r="B1874" i="20"/>
  <c r="F1874" i="20" a="1"/>
  <c r="F1874" i="20" s="1"/>
  <c r="H1874" i="20" a="1"/>
  <c r="H1874" i="20" s="1"/>
  <c r="J1874" i="20" a="1"/>
  <c r="J1874" i="20" s="1"/>
  <c r="L1874" i="20" a="1"/>
  <c r="L1874" i="20" s="1"/>
  <c r="D1875" i="20" a="1"/>
  <c r="D1875" i="20" s="1"/>
  <c r="F1875" i="20" a="1"/>
  <c r="F1875" i="20" s="1"/>
  <c r="H1875" i="20" a="1"/>
  <c r="H1875" i="20" s="1"/>
  <c r="B1875" i="20"/>
  <c r="J1875" i="20" a="1"/>
  <c r="J1875" i="20" s="1"/>
  <c r="L1875" i="20" a="1"/>
  <c r="L1875" i="20" s="1"/>
  <c r="D1876" i="20" a="1"/>
  <c r="D1876" i="20" s="1"/>
  <c r="F1876" i="20" a="1"/>
  <c r="F1876" i="20" s="1"/>
  <c r="H1876" i="20" a="1"/>
  <c r="H1876" i="20" s="1"/>
  <c r="B1876" i="20"/>
  <c r="J1876" i="20" a="1"/>
  <c r="J1876" i="20" s="1"/>
  <c r="L1876" i="20" a="1"/>
  <c r="L1876" i="20" s="1"/>
  <c r="D1877" i="20" a="1"/>
  <c r="D1877" i="20" s="1"/>
  <c r="B1877" i="20"/>
  <c r="F1877" i="20" a="1"/>
  <c r="F1877" i="20" s="1"/>
  <c r="H1877" i="20" a="1"/>
  <c r="H1877" i="20" s="1"/>
  <c r="J1877" i="20" a="1"/>
  <c r="J1877" i="20" s="1"/>
  <c r="L1877" i="20" a="1"/>
  <c r="L1877" i="20" s="1"/>
  <c r="D1878" i="20" a="1"/>
  <c r="D1878" i="20" s="1"/>
  <c r="B1878" i="20"/>
  <c r="F1878" i="20" a="1"/>
  <c r="F1878" i="20" s="1"/>
  <c r="H1878" i="20" a="1"/>
  <c r="H1878" i="20" s="1"/>
  <c r="J1878" i="20" a="1"/>
  <c r="J1878" i="20" s="1"/>
  <c r="L1878" i="20" a="1"/>
  <c r="L1878" i="20" s="1"/>
  <c r="B1879" i="20"/>
  <c r="D1879" i="20" a="1"/>
  <c r="D1879" i="20" s="1"/>
  <c r="F1879" i="20" a="1"/>
  <c r="F1879" i="20" s="1"/>
  <c r="H1879" i="20" a="1"/>
  <c r="H1879" i="20" s="1"/>
  <c r="J1879" i="20" a="1"/>
  <c r="J1879" i="20" s="1"/>
  <c r="L1879" i="20" a="1"/>
  <c r="L1879" i="20" s="1"/>
  <c r="D1880" i="20" a="1"/>
  <c r="D1880" i="20" s="1"/>
  <c r="F1880" i="20" a="1"/>
  <c r="F1880" i="20" s="1"/>
  <c r="H1880" i="20" a="1"/>
  <c r="H1880" i="20" s="1"/>
  <c r="J1880" i="20" a="1"/>
  <c r="J1880" i="20" s="1"/>
  <c r="B1880" i="20"/>
  <c r="L1880" i="20" a="1"/>
  <c r="L1880" i="20" s="1"/>
  <c r="B1881" i="20"/>
  <c r="D1881" i="20" a="1"/>
  <c r="D1881" i="20" s="1"/>
  <c r="F1881" i="20" a="1"/>
  <c r="F1881" i="20" s="1"/>
  <c r="H1881" i="20" a="1"/>
  <c r="H1881" i="20" s="1"/>
  <c r="J1881" i="20" a="1"/>
  <c r="J1881" i="20" s="1"/>
  <c r="L1881" i="20" a="1"/>
  <c r="L1881" i="20" s="1"/>
  <c r="D1882" i="20" a="1"/>
  <c r="D1882" i="20" s="1"/>
  <c r="F1882" i="20" a="1"/>
  <c r="F1882" i="20" s="1"/>
  <c r="H1882" i="20" a="1"/>
  <c r="H1882" i="20" s="1"/>
  <c r="J1882" i="20" a="1"/>
  <c r="J1882" i="20" s="1"/>
  <c r="B1882" i="20"/>
  <c r="L1882" i="20" a="1"/>
  <c r="L1882" i="20" s="1"/>
  <c r="D1883" i="20" a="1"/>
  <c r="D1883" i="20" s="1"/>
  <c r="F1883" i="20" a="1"/>
  <c r="F1883" i="20" s="1"/>
  <c r="B1883" i="20"/>
  <c r="H1883" i="20" a="1"/>
  <c r="H1883" i="20" s="1"/>
  <c r="J1883" i="20" a="1"/>
  <c r="J1883" i="20" s="1"/>
  <c r="L1883" i="20" a="1"/>
  <c r="L1883" i="20" s="1"/>
  <c r="D1884" i="20" a="1"/>
  <c r="D1884" i="20" s="1"/>
  <c r="F1884" i="20" a="1"/>
  <c r="F1884" i="20" s="1"/>
  <c r="H1884" i="20" a="1"/>
  <c r="H1884" i="20" s="1"/>
  <c r="J1884" i="20" a="1"/>
  <c r="J1884" i="20" s="1"/>
  <c r="B1884" i="20"/>
  <c r="L1884" i="20" a="1"/>
  <c r="L1884" i="20" s="1"/>
  <c r="B1885" i="20"/>
  <c r="D1885" i="20" a="1"/>
  <c r="D1885" i="20" s="1"/>
  <c r="F1885" i="20" a="1"/>
  <c r="F1885" i="20" s="1"/>
  <c r="H1885" i="20" a="1"/>
  <c r="H1885" i="20" s="1"/>
  <c r="J1885" i="20" a="1"/>
  <c r="J1885" i="20" s="1"/>
  <c r="L1885" i="20" a="1"/>
  <c r="L1885" i="20" s="1"/>
  <c r="D1886" i="20" a="1"/>
  <c r="D1886" i="20" s="1"/>
  <c r="F1886" i="20" a="1"/>
  <c r="F1886" i="20" s="1"/>
  <c r="H1886" i="20" a="1"/>
  <c r="H1886" i="20" s="1"/>
  <c r="B1886" i="20"/>
  <c r="J1886" i="20" a="1"/>
  <c r="J1886" i="20" s="1"/>
  <c r="L1886" i="20" a="1"/>
  <c r="L1886" i="20" s="1"/>
  <c r="D1887" i="20" a="1"/>
  <c r="D1887" i="20" s="1"/>
  <c r="F1887" i="20" a="1"/>
  <c r="F1887" i="20" s="1"/>
  <c r="H1887" i="20" a="1"/>
  <c r="H1887" i="20" s="1"/>
  <c r="B1887" i="20"/>
  <c r="J1887" i="20" a="1"/>
  <c r="J1887" i="20" s="1"/>
  <c r="L1887" i="20" a="1"/>
  <c r="L1887" i="20" s="1"/>
  <c r="D1888" i="20" a="1"/>
  <c r="D1888" i="20" s="1"/>
  <c r="F1888" i="20" a="1"/>
  <c r="F1888" i="20" s="1"/>
  <c r="H1888" i="20" a="1"/>
  <c r="H1888" i="20" s="1"/>
  <c r="J1888" i="20" a="1"/>
  <c r="J1888" i="20" s="1"/>
  <c r="B1888" i="20"/>
  <c r="L1888" i="20" a="1"/>
  <c r="L1888" i="20" s="1"/>
  <c r="D1889" i="20" a="1"/>
  <c r="D1889" i="20" s="1"/>
  <c r="F1889" i="20" a="1"/>
  <c r="F1889" i="20" s="1"/>
  <c r="B1889" i="20"/>
  <c r="H1889" i="20" a="1"/>
  <c r="H1889" i="20" s="1"/>
  <c r="J1889" i="20" a="1"/>
  <c r="J1889" i="20" s="1"/>
  <c r="L1889" i="20" a="1"/>
  <c r="L1889" i="20" s="1"/>
  <c r="D1890" i="20" a="1"/>
  <c r="D1890" i="20" s="1"/>
  <c r="F1890" i="20" a="1"/>
  <c r="F1890" i="20" s="1"/>
  <c r="H1890" i="20" a="1"/>
  <c r="H1890" i="20" s="1"/>
  <c r="B1890" i="20"/>
  <c r="J1890" i="20" a="1"/>
  <c r="J1890" i="20" s="1"/>
  <c r="L1890" i="20" a="1"/>
  <c r="L1890" i="20" s="1"/>
  <c r="D1891" i="20" a="1"/>
  <c r="D1891" i="20" s="1"/>
  <c r="F1891" i="20" a="1"/>
  <c r="F1891" i="20" s="1"/>
  <c r="H1891" i="20" a="1"/>
  <c r="H1891" i="20" s="1"/>
  <c r="B1891" i="20"/>
  <c r="J1891" i="20" a="1"/>
  <c r="J1891" i="20" s="1"/>
  <c r="L1891" i="20" a="1"/>
  <c r="L1891" i="20" s="1"/>
  <c r="D1892" i="20" a="1"/>
  <c r="D1892" i="20" s="1"/>
  <c r="B1892" i="20"/>
  <c r="F1892" i="20" a="1"/>
  <c r="F1892" i="20" s="1"/>
  <c r="H1892" i="20" a="1"/>
  <c r="H1892" i="20" s="1"/>
  <c r="J1892" i="20" a="1"/>
  <c r="J1892" i="20" s="1"/>
  <c r="L1892" i="20" a="1"/>
  <c r="L1892" i="20" s="1"/>
  <c r="D1893" i="20" a="1"/>
  <c r="D1893" i="20" s="1"/>
  <c r="F1893" i="20" a="1"/>
  <c r="F1893" i="20" s="1"/>
  <c r="H1893" i="20" a="1"/>
  <c r="H1893" i="20" s="1"/>
  <c r="B1893" i="20"/>
  <c r="J1893" i="20" a="1"/>
  <c r="J1893" i="20" s="1"/>
  <c r="L1893" i="20" a="1"/>
  <c r="L1893" i="20" s="1"/>
  <c r="D1894" i="20" a="1"/>
  <c r="D1894" i="20" s="1"/>
  <c r="F1894" i="20" a="1"/>
  <c r="F1894" i="20" s="1"/>
  <c r="H1894" i="20" a="1"/>
  <c r="H1894" i="20" s="1"/>
  <c r="B1894" i="20"/>
  <c r="J1894" i="20" a="1"/>
  <c r="J1894" i="20" s="1"/>
  <c r="L1894" i="20" a="1"/>
  <c r="L1894" i="20" s="1"/>
  <c r="D1895" i="20" a="1"/>
  <c r="D1895" i="20" s="1"/>
  <c r="B1895" i="20"/>
  <c r="F1895" i="20" a="1"/>
  <c r="F1895" i="20" s="1"/>
  <c r="H1895" i="20" a="1"/>
  <c r="H1895" i="20" s="1"/>
  <c r="J1895" i="20" a="1"/>
  <c r="J1895" i="20" s="1"/>
  <c r="L1895" i="20" a="1"/>
  <c r="L1895" i="20" s="1"/>
  <c r="D1896" i="20" a="1"/>
  <c r="D1896" i="20" s="1"/>
  <c r="B1896" i="20"/>
  <c r="F1896" i="20" a="1"/>
  <c r="F1896" i="20" s="1"/>
  <c r="H1896" i="20" a="1"/>
  <c r="H1896" i="20" s="1"/>
  <c r="J1896" i="20" a="1"/>
  <c r="J1896" i="20" s="1"/>
  <c r="L1896" i="20" a="1"/>
  <c r="L1896" i="20" s="1"/>
  <c r="D1897" i="20" a="1"/>
  <c r="D1897" i="20" s="1"/>
  <c r="B1897" i="20"/>
  <c r="F1897" i="20" a="1"/>
  <c r="F1897" i="20" s="1"/>
  <c r="H1897" i="20" a="1"/>
  <c r="H1897" i="20" s="1"/>
  <c r="J1897" i="20" a="1"/>
  <c r="J1897" i="20" s="1"/>
  <c r="L1897" i="20" a="1"/>
  <c r="L1897" i="20" s="1"/>
  <c r="D1898" i="20" a="1"/>
  <c r="D1898" i="20" s="1"/>
  <c r="F1898" i="20" a="1"/>
  <c r="F1898" i="20" s="1"/>
  <c r="B1898" i="20"/>
  <c r="H1898" i="20" a="1"/>
  <c r="H1898" i="20" s="1"/>
  <c r="J1898" i="20" a="1"/>
  <c r="J1898" i="20" s="1"/>
  <c r="L1898" i="20" a="1"/>
  <c r="L1898" i="20" s="1"/>
  <c r="D1899" i="20" a="1"/>
  <c r="D1899" i="20" s="1"/>
  <c r="B1899" i="20"/>
  <c r="F1899" i="20" a="1"/>
  <c r="F1899" i="20" s="1"/>
  <c r="H1899" i="20" a="1"/>
  <c r="H1899" i="20" s="1"/>
  <c r="J1899" i="20" a="1"/>
  <c r="J1899" i="20" s="1"/>
  <c r="L1899" i="20" a="1"/>
  <c r="L1899" i="20" s="1"/>
  <c r="D1900" i="20" a="1"/>
  <c r="D1900" i="20" s="1"/>
  <c r="F1900" i="20" a="1"/>
  <c r="F1900" i="20" s="1"/>
  <c r="B1900" i="20"/>
  <c r="H1900" i="20" a="1"/>
  <c r="H1900" i="20" s="1"/>
  <c r="J1900" i="20" a="1"/>
  <c r="J1900" i="20" s="1"/>
  <c r="L1900" i="20" a="1"/>
  <c r="L1900" i="20" s="1"/>
  <c r="D1901" i="20" a="1"/>
  <c r="D1901" i="20" s="1"/>
  <c r="F1901" i="20" a="1"/>
  <c r="F1901" i="20" s="1"/>
  <c r="H1901" i="20" a="1"/>
  <c r="H1901" i="20" s="1"/>
  <c r="B1901" i="20"/>
  <c r="J1901" i="20" a="1"/>
  <c r="J1901" i="20" s="1"/>
  <c r="L1901" i="20" a="1"/>
  <c r="L1901" i="20" s="1"/>
  <c r="D1902" i="20" a="1"/>
  <c r="D1902" i="20" s="1"/>
  <c r="F1902" i="20" a="1"/>
  <c r="F1902" i="20" s="1"/>
  <c r="H1902" i="20" a="1"/>
  <c r="H1902" i="20" s="1"/>
  <c r="B1902" i="20"/>
  <c r="J1902" i="20" a="1"/>
  <c r="J1902" i="20" s="1"/>
  <c r="L1902" i="20" a="1"/>
  <c r="L1902" i="20" s="1"/>
  <c r="D1903" i="20" a="1"/>
  <c r="D1903" i="20" s="1"/>
  <c r="B1903" i="20"/>
  <c r="F1903" i="20" a="1"/>
  <c r="F1903" i="20" s="1"/>
  <c r="H1903" i="20" a="1"/>
  <c r="H1903" i="20" s="1"/>
  <c r="J1903" i="20" a="1"/>
  <c r="J1903" i="20" s="1"/>
  <c r="L1903" i="20" a="1"/>
  <c r="L1903" i="20" s="1"/>
  <c r="D1904" i="20" a="1"/>
  <c r="D1904" i="20" s="1"/>
  <c r="F1904" i="20" a="1"/>
  <c r="F1904" i="20" s="1"/>
  <c r="B1904" i="20"/>
  <c r="H1904" i="20" a="1"/>
  <c r="H1904" i="20" s="1"/>
  <c r="J1904" i="20" a="1"/>
  <c r="J1904" i="20" s="1"/>
  <c r="L1904" i="20" a="1"/>
  <c r="L1904" i="20" s="1"/>
  <c r="D1905" i="20" a="1"/>
  <c r="D1905" i="20" s="1"/>
  <c r="F1905" i="20" a="1"/>
  <c r="F1905" i="20" s="1"/>
  <c r="H1905" i="20" a="1"/>
  <c r="H1905" i="20" s="1"/>
  <c r="J1905" i="20" a="1"/>
  <c r="J1905" i="20" s="1"/>
  <c r="B1905" i="20"/>
  <c r="L1905" i="20" a="1"/>
  <c r="L1905" i="20" s="1"/>
  <c r="B1906" i="20"/>
  <c r="D1906" i="20" a="1"/>
  <c r="D1906" i="20" s="1"/>
  <c r="F1906" i="20" a="1"/>
  <c r="F1906" i="20" s="1"/>
  <c r="H1906" i="20" a="1"/>
  <c r="H1906" i="20" s="1"/>
  <c r="J1906" i="20" a="1"/>
  <c r="J1906" i="20" s="1"/>
  <c r="L1906" i="20" a="1"/>
  <c r="L1906" i="20" s="1"/>
  <c r="D1907" i="20" a="1"/>
  <c r="D1907" i="20" s="1"/>
  <c r="F1907" i="20" a="1"/>
  <c r="F1907" i="20" s="1"/>
  <c r="H1907" i="20" a="1"/>
  <c r="H1907" i="20" s="1"/>
  <c r="J1907" i="20" a="1"/>
  <c r="J1907" i="20" s="1"/>
  <c r="B1907" i="20"/>
  <c r="L1907" i="20" a="1"/>
  <c r="L1907" i="20" s="1"/>
  <c r="B1908" i="20"/>
  <c r="D1908" i="20" a="1"/>
  <c r="D1908" i="20" s="1"/>
  <c r="F1908" i="20" a="1"/>
  <c r="F1908" i="20" s="1"/>
  <c r="H1908" i="20" a="1"/>
  <c r="H1908" i="20" s="1"/>
  <c r="J1908" i="20" a="1"/>
  <c r="J1908" i="20" s="1"/>
  <c r="L1908" i="20" a="1"/>
  <c r="L1908" i="20" s="1"/>
  <c r="D1909" i="20" a="1"/>
  <c r="D1909" i="20" s="1"/>
  <c r="F1909" i="20" a="1"/>
  <c r="F1909" i="20" s="1"/>
  <c r="H1909" i="20" a="1"/>
  <c r="H1909" i="20" s="1"/>
  <c r="J1909" i="20" a="1"/>
  <c r="J1909" i="20" s="1"/>
  <c r="B1909" i="20"/>
  <c r="L1909" i="20" a="1"/>
  <c r="L1909" i="20" s="1"/>
  <c r="D1910" i="20" a="1"/>
  <c r="D1910" i="20" s="1"/>
  <c r="F1910" i="20" a="1"/>
  <c r="F1910" i="20" s="1"/>
  <c r="H1910" i="20" a="1"/>
  <c r="H1910" i="20" s="1"/>
  <c r="B1910" i="20"/>
  <c r="J1910" i="20" a="1"/>
  <c r="J1910" i="20" s="1"/>
  <c r="L1910" i="20" a="1"/>
  <c r="L1910" i="20" s="1"/>
  <c r="D1911" i="20" a="1"/>
  <c r="D1911" i="20" s="1"/>
  <c r="B1911" i="20"/>
  <c r="F1911" i="20" a="1"/>
  <c r="F1911" i="20" s="1"/>
  <c r="H1911" i="20" a="1"/>
  <c r="H1911" i="20" s="1"/>
  <c r="J1911" i="20" a="1"/>
  <c r="J1911" i="20" s="1"/>
  <c r="L1911" i="20" a="1"/>
  <c r="L1911" i="20" s="1"/>
  <c r="D1912" i="20" a="1"/>
  <c r="D1912" i="20" s="1"/>
  <c r="F1912" i="20" a="1"/>
  <c r="F1912" i="20" s="1"/>
  <c r="H1912" i="20" a="1"/>
  <c r="H1912" i="20" s="1"/>
  <c r="B1912" i="20"/>
  <c r="J1912" i="20" a="1"/>
  <c r="J1912" i="20" s="1"/>
  <c r="L1912" i="20" a="1"/>
  <c r="L1912" i="20" s="1"/>
  <c r="B1913" i="20"/>
  <c r="D1913" i="20" a="1"/>
  <c r="D1913" i="20" s="1"/>
  <c r="F1913" i="20" a="1"/>
  <c r="F1913" i="20" s="1"/>
  <c r="H1913" i="20" a="1"/>
  <c r="H1913" i="20" s="1"/>
  <c r="J1913" i="20" a="1"/>
  <c r="J1913" i="20" s="1"/>
  <c r="L1913" i="20" a="1"/>
  <c r="L1913" i="20" s="1"/>
  <c r="D1914" i="20" a="1"/>
  <c r="D1914" i="20" s="1"/>
  <c r="B1914" i="20"/>
  <c r="F1914" i="20" a="1"/>
  <c r="F1914" i="20" s="1"/>
  <c r="H1914" i="20" a="1"/>
  <c r="H1914" i="20" s="1"/>
  <c r="J1914" i="20" a="1"/>
  <c r="J1914" i="20" s="1"/>
  <c r="L1914" i="20" a="1"/>
  <c r="L1914" i="20" s="1"/>
  <c r="D1915" i="20" a="1"/>
  <c r="D1915" i="20" s="1"/>
  <c r="F1915" i="20" a="1"/>
  <c r="F1915" i="20" s="1"/>
  <c r="H1915" i="20" a="1"/>
  <c r="H1915" i="20" s="1"/>
  <c r="B1915" i="20"/>
  <c r="J1915" i="20" a="1"/>
  <c r="J1915" i="20" s="1"/>
  <c r="L1915" i="20" a="1"/>
  <c r="L1915" i="20" s="1"/>
  <c r="D1916" i="20" a="1"/>
  <c r="D1916" i="20" s="1"/>
  <c r="F1916" i="20" a="1"/>
  <c r="F1916" i="20" s="1"/>
  <c r="H1916" i="20" a="1"/>
  <c r="H1916" i="20" s="1"/>
  <c r="J1916" i="20" a="1"/>
  <c r="J1916" i="20" s="1"/>
  <c r="B1916" i="20"/>
  <c r="L1916" i="20" a="1"/>
  <c r="L1916" i="20" s="1"/>
  <c r="B1917" i="20"/>
  <c r="D1917" i="20" a="1"/>
  <c r="D1917" i="20" s="1"/>
  <c r="F1917" i="20" a="1"/>
  <c r="F1917" i="20" s="1"/>
  <c r="H1917" i="20" a="1"/>
  <c r="H1917" i="20" s="1"/>
  <c r="J1917" i="20" a="1"/>
  <c r="J1917" i="20" s="1"/>
  <c r="L1917" i="20" a="1"/>
  <c r="L1917" i="20" s="1"/>
  <c r="D1918" i="20" a="1"/>
  <c r="D1918" i="20" s="1"/>
  <c r="F1918" i="20" a="1"/>
  <c r="F1918" i="20" s="1"/>
  <c r="H1918" i="20" a="1"/>
  <c r="H1918" i="20" s="1"/>
  <c r="B1918" i="20"/>
  <c r="J1918" i="20" a="1"/>
  <c r="J1918" i="20" s="1"/>
  <c r="L1918" i="20" a="1"/>
  <c r="L1918" i="20" s="1"/>
  <c r="D1919" i="20" a="1"/>
  <c r="D1919" i="20" s="1"/>
  <c r="F1919" i="20" a="1"/>
  <c r="F1919" i="20" s="1"/>
  <c r="H1919" i="20" a="1"/>
  <c r="H1919" i="20" s="1"/>
  <c r="J1919" i="20" a="1"/>
  <c r="J1919" i="20" s="1"/>
  <c r="B1919" i="20"/>
  <c r="L1919" i="20" a="1"/>
  <c r="L1919" i="20" s="1"/>
  <c r="B1920" i="20"/>
  <c r="D1920" i="20" a="1"/>
  <c r="D1920" i="20" s="1"/>
  <c r="F1920" i="20" a="1"/>
  <c r="F1920" i="20" s="1"/>
  <c r="H1920" i="20" a="1"/>
  <c r="H1920" i="20" s="1"/>
  <c r="J1920" i="20" a="1"/>
  <c r="J1920" i="20" s="1"/>
  <c r="L1920" i="20" a="1"/>
  <c r="L1920" i="20" s="1"/>
  <c r="D1921" i="20" a="1"/>
  <c r="D1921" i="20" s="1"/>
  <c r="F1921" i="20" a="1"/>
  <c r="F1921" i="20" s="1"/>
  <c r="H1921" i="20" a="1"/>
  <c r="H1921" i="20" s="1"/>
  <c r="B1921" i="20"/>
  <c r="J1921" i="20" a="1"/>
  <c r="J1921" i="20" s="1"/>
  <c r="L1921" i="20" a="1"/>
  <c r="L1921" i="20" s="1"/>
  <c r="D1922" i="20" a="1"/>
  <c r="D1922" i="20" s="1"/>
  <c r="F1922" i="20" a="1"/>
  <c r="F1922" i="20" s="1"/>
  <c r="H1922" i="20" a="1"/>
  <c r="H1922" i="20" s="1"/>
  <c r="B1922" i="20"/>
  <c r="J1922" i="20" a="1"/>
  <c r="J1922" i="20" s="1"/>
  <c r="L1922" i="20" a="1"/>
  <c r="L1922" i="20" s="1"/>
  <c r="D1923" i="20" a="1"/>
  <c r="D1923" i="20" s="1"/>
  <c r="F1923" i="20" a="1"/>
  <c r="F1923" i="20" s="1"/>
  <c r="B1923" i="20"/>
  <c r="H1923" i="20" a="1"/>
  <c r="H1923" i="20" s="1"/>
  <c r="J1923" i="20" a="1"/>
  <c r="J1923" i="20" s="1"/>
  <c r="L1923" i="20" a="1"/>
  <c r="L1923" i="20" s="1"/>
  <c r="D1924" i="20" a="1"/>
  <c r="D1924" i="20" s="1"/>
  <c r="B1924" i="20"/>
  <c r="F1924" i="20" a="1"/>
  <c r="F1924" i="20" s="1"/>
  <c r="H1924" i="20" a="1"/>
  <c r="H1924" i="20" s="1"/>
  <c r="J1924" i="20" a="1"/>
  <c r="J1924" i="20" s="1"/>
  <c r="L1924" i="20" a="1"/>
  <c r="L1924" i="20" s="1"/>
  <c r="D1925" i="20" a="1"/>
  <c r="D1925" i="20" s="1"/>
  <c r="B1925" i="20"/>
  <c r="F1925" i="20" a="1"/>
  <c r="F1925" i="20" s="1"/>
  <c r="H1925" i="20" a="1"/>
  <c r="H1925" i="20" s="1"/>
  <c r="J1925" i="20" a="1"/>
  <c r="J1925" i="20" s="1"/>
  <c r="L1925" i="20" a="1"/>
  <c r="L1925" i="20" s="1"/>
  <c r="D1926" i="20" a="1"/>
  <c r="D1926" i="20" s="1"/>
  <c r="B1926" i="20"/>
  <c r="F1926" i="20" a="1"/>
  <c r="F1926" i="20" s="1"/>
  <c r="H1926" i="20" a="1"/>
  <c r="H1926" i="20" s="1"/>
  <c r="J1926" i="20" a="1"/>
  <c r="J1926" i="20" s="1"/>
  <c r="L1926" i="20" a="1"/>
  <c r="L1926" i="20" s="1"/>
  <c r="D1927" i="20" a="1"/>
  <c r="D1927" i="20" s="1"/>
  <c r="F1927" i="20" a="1"/>
  <c r="F1927" i="20" s="1"/>
  <c r="H1927" i="20" a="1"/>
  <c r="H1927" i="20" s="1"/>
  <c r="B1927" i="20"/>
  <c r="J1927" i="20" a="1"/>
  <c r="J1927" i="20" s="1"/>
  <c r="L1927" i="20" a="1"/>
  <c r="L1927" i="20" s="1"/>
  <c r="D1928" i="20" a="1"/>
  <c r="D1928" i="20" s="1"/>
  <c r="F1928" i="20" a="1"/>
  <c r="F1928" i="20" s="1"/>
  <c r="H1928" i="20" a="1"/>
  <c r="H1928" i="20" s="1"/>
  <c r="B1928" i="20"/>
  <c r="J1928" i="20" a="1"/>
  <c r="J1928" i="20" s="1"/>
  <c r="L1928" i="20" a="1"/>
  <c r="L1928" i="20" s="1"/>
  <c r="D1929" i="20" a="1"/>
  <c r="D1929" i="20" s="1"/>
  <c r="F1929" i="20" a="1"/>
  <c r="F1929" i="20" s="1"/>
  <c r="H1929" i="20" a="1"/>
  <c r="H1929" i="20" s="1"/>
  <c r="B1929" i="20"/>
  <c r="J1929" i="20" a="1"/>
  <c r="J1929" i="20" s="1"/>
  <c r="L1929" i="20" a="1"/>
  <c r="L1929" i="20" s="1"/>
  <c r="B1930" i="20"/>
  <c r="D1930" i="20" a="1"/>
  <c r="D1930" i="20" s="1"/>
  <c r="F1930" i="20" a="1"/>
  <c r="F1930" i="20" s="1"/>
  <c r="H1930" i="20" a="1"/>
  <c r="H1930" i="20" s="1"/>
  <c r="J1930" i="20" a="1"/>
  <c r="J1930" i="20" s="1"/>
  <c r="L1930" i="20" a="1"/>
  <c r="L1930" i="20" s="1"/>
  <c r="D1931" i="20" a="1"/>
  <c r="D1931" i="20" s="1"/>
  <c r="F1931" i="20" a="1"/>
  <c r="F1931" i="20" s="1"/>
  <c r="H1931" i="20" a="1"/>
  <c r="H1931" i="20" s="1"/>
  <c r="J1931" i="20" a="1"/>
  <c r="J1931" i="20" s="1"/>
  <c r="B1931" i="20"/>
  <c r="L1931" i="20" a="1"/>
  <c r="L1931" i="20" s="1"/>
  <c r="D1932" i="20" a="1"/>
  <c r="D1932" i="20" s="1"/>
  <c r="B1932" i="20"/>
  <c r="F1932" i="20" a="1"/>
  <c r="F1932" i="20" s="1"/>
  <c r="H1932" i="20" a="1"/>
  <c r="H1932" i="20" s="1"/>
  <c r="J1932" i="20" a="1"/>
  <c r="J1932" i="20" s="1"/>
  <c r="L1932" i="20" a="1"/>
  <c r="L1932" i="20" s="1"/>
  <c r="D1933" i="20" a="1"/>
  <c r="D1933" i="20" s="1"/>
  <c r="F1933" i="20" a="1"/>
  <c r="F1933" i="20" s="1"/>
  <c r="B1933" i="20"/>
  <c r="H1933" i="20" a="1"/>
  <c r="H1933" i="20" s="1"/>
  <c r="J1933" i="20" a="1"/>
  <c r="J1933" i="20" s="1"/>
  <c r="L1933" i="20" a="1"/>
  <c r="L1933" i="20" s="1"/>
  <c r="D1934" i="20" a="1"/>
  <c r="D1934" i="20" s="1"/>
  <c r="F1934" i="20" a="1"/>
  <c r="F1934" i="20" s="1"/>
  <c r="H1934" i="20" a="1"/>
  <c r="H1934" i="20" s="1"/>
  <c r="J1934" i="20" a="1"/>
  <c r="J1934" i="20" s="1"/>
  <c r="B1934" i="20"/>
  <c r="L1934" i="20" a="1"/>
  <c r="L1934" i="20" s="1"/>
  <c r="B1935" i="20"/>
  <c r="D1935" i="20" a="1"/>
  <c r="D1935" i="20" s="1"/>
  <c r="F1935" i="20" a="1"/>
  <c r="F1935" i="20" s="1"/>
  <c r="H1935" i="20" a="1"/>
  <c r="H1935" i="20" s="1"/>
  <c r="J1935" i="20" a="1"/>
  <c r="J1935" i="20" s="1"/>
  <c r="L1935" i="20" a="1"/>
  <c r="L1935" i="20" s="1"/>
  <c r="D1936" i="20" a="1"/>
  <c r="D1936" i="20" s="1"/>
  <c r="F1936" i="20" a="1"/>
  <c r="F1936" i="20" s="1"/>
  <c r="H1936" i="20" a="1"/>
  <c r="H1936" i="20" s="1"/>
  <c r="B1936" i="20"/>
  <c r="J1936" i="20" a="1"/>
  <c r="J1936" i="20" s="1"/>
  <c r="L1936" i="20" a="1"/>
  <c r="L1936" i="20" s="1"/>
  <c r="D1937" i="20" a="1"/>
  <c r="D1937" i="20" s="1"/>
  <c r="F1937" i="20" a="1"/>
  <c r="F1937" i="20" s="1"/>
  <c r="H1937" i="20" a="1"/>
  <c r="H1937" i="20" s="1"/>
  <c r="B1937" i="20"/>
  <c r="J1937" i="20" a="1"/>
  <c r="J1937" i="20" s="1"/>
  <c r="L1937" i="20" a="1"/>
  <c r="L1937" i="20" s="1"/>
  <c r="D1938" i="20" a="1"/>
  <c r="D1938" i="20" s="1"/>
  <c r="F1938" i="20" a="1"/>
  <c r="F1938" i="20" s="1"/>
  <c r="B1938" i="20"/>
  <c r="H1938" i="20" a="1"/>
  <c r="H1938" i="20" s="1"/>
  <c r="J1938" i="20" a="1"/>
  <c r="J1938" i="20" s="1"/>
  <c r="L1938" i="20" a="1"/>
  <c r="L1938" i="20" s="1"/>
  <c r="B1939" i="20"/>
  <c r="D1939" i="20" a="1"/>
  <c r="D1939" i="20" s="1"/>
  <c r="F1939" i="20" a="1"/>
  <c r="F1939" i="20" s="1"/>
  <c r="H1939" i="20" a="1"/>
  <c r="H1939" i="20" s="1"/>
  <c r="J1939" i="20" a="1"/>
  <c r="J1939" i="20" s="1"/>
  <c r="L1939" i="20" a="1"/>
  <c r="L1939" i="20" s="1"/>
  <c r="D1940" i="20" a="1"/>
  <c r="D1940" i="20" s="1"/>
  <c r="F1940" i="20" a="1"/>
  <c r="F1940" i="20" s="1"/>
  <c r="H1940" i="20" a="1"/>
  <c r="H1940" i="20" s="1"/>
  <c r="B1940" i="20"/>
  <c r="J1940" i="20" a="1"/>
  <c r="J1940" i="20" s="1"/>
  <c r="L1940" i="20" a="1"/>
  <c r="L1940" i="20" s="1"/>
  <c r="B1941" i="20"/>
  <c r="D1941" i="20" a="1"/>
  <c r="D1941" i="20" s="1"/>
  <c r="F1941" i="20" a="1"/>
  <c r="F1941" i="20" s="1"/>
  <c r="H1941" i="20" a="1"/>
  <c r="H1941" i="20" s="1"/>
  <c r="J1941" i="20" a="1"/>
  <c r="J1941" i="20" s="1"/>
  <c r="L1941" i="20" a="1"/>
  <c r="L1941" i="20" s="1"/>
  <c r="D1942" i="20" a="1"/>
  <c r="D1942" i="20" s="1"/>
  <c r="F1942" i="20" a="1"/>
  <c r="F1942" i="20" s="1"/>
  <c r="H1942" i="20" a="1"/>
  <c r="H1942" i="20" s="1"/>
  <c r="B1942" i="20"/>
  <c r="J1942" i="20" a="1"/>
  <c r="J1942" i="20" s="1"/>
  <c r="L1942" i="20" a="1"/>
  <c r="L1942" i="20" s="1"/>
  <c r="D1943" i="20" a="1"/>
  <c r="D1943" i="20" s="1"/>
  <c r="F1943" i="20" a="1"/>
  <c r="F1943" i="20" s="1"/>
  <c r="H1943" i="20" a="1"/>
  <c r="H1943" i="20" s="1"/>
  <c r="B1943" i="20"/>
  <c r="J1943" i="20" a="1"/>
  <c r="J1943" i="20" s="1"/>
  <c r="L1943" i="20" a="1"/>
  <c r="L1943" i="20" s="1"/>
  <c r="D1944" i="20" a="1"/>
  <c r="D1944" i="20" s="1"/>
  <c r="F1944" i="20" a="1"/>
  <c r="F1944" i="20" s="1"/>
  <c r="H1944" i="20" a="1"/>
  <c r="H1944" i="20" s="1"/>
  <c r="J1944" i="20" a="1"/>
  <c r="J1944" i="20" s="1"/>
  <c r="B1944" i="20"/>
  <c r="L1944" i="20" a="1"/>
  <c r="L1944" i="20" s="1"/>
  <c r="B1945" i="20"/>
  <c r="D1945" i="20" a="1"/>
  <c r="D1945" i="20" s="1"/>
  <c r="F1945" i="20" a="1"/>
  <c r="F1945" i="20" s="1"/>
  <c r="H1945" i="20" a="1"/>
  <c r="H1945" i="20" s="1"/>
  <c r="J1945" i="20" a="1"/>
  <c r="J1945" i="20" s="1"/>
  <c r="L1945" i="20" a="1"/>
  <c r="L1945" i="20" s="1"/>
  <c r="D1946" i="20" a="1"/>
  <c r="D1946" i="20" s="1"/>
  <c r="F1946" i="20" a="1"/>
  <c r="F1946" i="20" s="1"/>
  <c r="B1946" i="20"/>
  <c r="H1946" i="20" a="1"/>
  <c r="H1946" i="20" s="1"/>
  <c r="J1946" i="20" a="1"/>
  <c r="J1946" i="20" s="1"/>
  <c r="L1946" i="20" a="1"/>
  <c r="L1946" i="20" s="1"/>
  <c r="D1947" i="20" a="1"/>
  <c r="D1947" i="20" s="1"/>
  <c r="B1947" i="20"/>
  <c r="F1947" i="20" a="1"/>
  <c r="F1947" i="20" s="1"/>
  <c r="H1947" i="20" a="1"/>
  <c r="H1947" i="20" s="1"/>
  <c r="J1947" i="20" a="1"/>
  <c r="J1947" i="20" s="1"/>
  <c r="L1947" i="20" a="1"/>
  <c r="L1947" i="20" s="1"/>
  <c r="D1948" i="20" a="1"/>
  <c r="D1948" i="20" s="1"/>
  <c r="F1948" i="20" a="1"/>
  <c r="F1948" i="20" s="1"/>
  <c r="H1948" i="20" a="1"/>
  <c r="H1948" i="20" s="1"/>
  <c r="B1948" i="20"/>
  <c r="J1948" i="20" a="1"/>
  <c r="J1948" i="20" s="1"/>
  <c r="L1948" i="20" a="1"/>
  <c r="L1948" i="20" s="1"/>
  <c r="D1949" i="20" a="1"/>
  <c r="D1949" i="20" s="1"/>
  <c r="F1949" i="20" a="1"/>
  <c r="F1949" i="20" s="1"/>
  <c r="H1949" i="20" a="1"/>
  <c r="H1949" i="20" s="1"/>
  <c r="B1949" i="20"/>
  <c r="J1949" i="20" a="1"/>
  <c r="J1949" i="20" s="1"/>
  <c r="L1949" i="20" a="1"/>
  <c r="L1949" i="20" s="1"/>
  <c r="D1950" i="20" a="1"/>
  <c r="D1950" i="20" s="1"/>
  <c r="F1950" i="20" a="1"/>
  <c r="F1950" i="20" s="1"/>
  <c r="B1950" i="20"/>
  <c r="H1950" i="20" a="1"/>
  <c r="H1950" i="20" s="1"/>
  <c r="J1950" i="20" a="1"/>
  <c r="J1950" i="20" s="1"/>
  <c r="L1950" i="20" a="1"/>
  <c r="L1950" i="20" s="1"/>
  <c r="D1951" i="20" a="1"/>
  <c r="D1951" i="20" s="1"/>
  <c r="B1951" i="20"/>
  <c r="F1951" i="20" a="1"/>
  <c r="F1951" i="20" s="1"/>
  <c r="H1951" i="20" a="1"/>
  <c r="H1951" i="20" s="1"/>
  <c r="J1951" i="20" a="1"/>
  <c r="J1951" i="20" s="1"/>
  <c r="L1951" i="20" a="1"/>
  <c r="L1951" i="20" s="1"/>
  <c r="D1952" i="20" a="1"/>
  <c r="D1952" i="20" s="1"/>
  <c r="F1952" i="20" a="1"/>
  <c r="F1952" i="20" s="1"/>
  <c r="H1952" i="20" a="1"/>
  <c r="H1952" i="20" s="1"/>
  <c r="J1952" i="20" a="1"/>
  <c r="J1952" i="20" s="1"/>
  <c r="B1952" i="20"/>
  <c r="L1952" i="20" a="1"/>
  <c r="L1952" i="20" s="1"/>
  <c r="D1953" i="20" a="1"/>
  <c r="D1953" i="20" s="1"/>
  <c r="F1953" i="20" a="1"/>
  <c r="F1953" i="20" s="1"/>
  <c r="H1953" i="20" a="1"/>
  <c r="H1953" i="20" s="1"/>
  <c r="B1953" i="20"/>
  <c r="J1953" i="20" a="1"/>
  <c r="J1953" i="20" s="1"/>
  <c r="L1953" i="20" a="1"/>
  <c r="L1953" i="20" s="1"/>
  <c r="D1954" i="20" a="1"/>
  <c r="D1954" i="20" s="1"/>
  <c r="B1954" i="20"/>
  <c r="F1954" i="20" a="1"/>
  <c r="F1954" i="20" s="1"/>
  <c r="H1954" i="20" a="1"/>
  <c r="H1954" i="20" s="1"/>
  <c r="J1954" i="20" a="1"/>
  <c r="J1954" i="20" s="1"/>
  <c r="L1954" i="20" a="1"/>
  <c r="L1954" i="20" s="1"/>
  <c r="D1955" i="20" a="1"/>
  <c r="D1955" i="20" s="1"/>
  <c r="F1955" i="20" a="1"/>
  <c r="F1955" i="20" s="1"/>
  <c r="B1955" i="20"/>
  <c r="H1955" i="20" a="1"/>
  <c r="H1955" i="20" s="1"/>
  <c r="J1955" i="20" a="1"/>
  <c r="J1955" i="20" s="1"/>
  <c r="L1955" i="20" a="1"/>
  <c r="L1955" i="20" s="1"/>
  <c r="D1956" i="20" a="1"/>
  <c r="D1956" i="20" s="1"/>
  <c r="B1956" i="20"/>
  <c r="F1956" i="20" a="1"/>
  <c r="F1956" i="20" s="1"/>
  <c r="H1956" i="20" a="1"/>
  <c r="H1956" i="20" s="1"/>
  <c r="J1956" i="20" a="1"/>
  <c r="J1956" i="20" s="1"/>
  <c r="L1956" i="20" a="1"/>
  <c r="L1956" i="20" s="1"/>
  <c r="D1957" i="20" a="1"/>
  <c r="D1957" i="20" s="1"/>
  <c r="B1957" i="20"/>
  <c r="F1957" i="20" a="1"/>
  <c r="F1957" i="20" s="1"/>
  <c r="H1957" i="20" a="1"/>
  <c r="H1957" i="20" s="1"/>
  <c r="J1957" i="20" a="1"/>
  <c r="J1957" i="20" s="1"/>
  <c r="L1957" i="20" a="1"/>
  <c r="L1957" i="20" s="1"/>
  <c r="D1958" i="20" a="1"/>
  <c r="D1958" i="20" s="1"/>
  <c r="F1958" i="20" a="1"/>
  <c r="F1958" i="20" s="1"/>
  <c r="H1958" i="20" a="1"/>
  <c r="H1958" i="20" s="1"/>
  <c r="B1958" i="20"/>
  <c r="J1958" i="20" a="1"/>
  <c r="J1958" i="20" s="1"/>
  <c r="L1958" i="20" a="1"/>
  <c r="L1958" i="20" s="1"/>
  <c r="D1959" i="20" a="1"/>
  <c r="D1959" i="20" s="1"/>
  <c r="F1959" i="20" a="1"/>
  <c r="F1959" i="20" s="1"/>
  <c r="H1959" i="20" a="1"/>
  <c r="H1959" i="20" s="1"/>
  <c r="B1959" i="20"/>
  <c r="J1959" i="20" a="1"/>
  <c r="J1959" i="20" s="1"/>
  <c r="L1959" i="20" a="1"/>
  <c r="L1959" i="20" s="1"/>
  <c r="B1960" i="20"/>
  <c r="D1960" i="20" a="1"/>
  <c r="D1960" i="20" s="1"/>
  <c r="F1960" i="20" a="1"/>
  <c r="F1960" i="20" s="1"/>
  <c r="H1960" i="20" a="1"/>
  <c r="H1960" i="20" s="1"/>
  <c r="J1960" i="20" a="1"/>
  <c r="J1960" i="20" s="1"/>
  <c r="L1960" i="20" a="1"/>
  <c r="L1960" i="20" s="1"/>
  <c r="D1961" i="20" a="1"/>
  <c r="D1961" i="20" s="1"/>
  <c r="F1961" i="20" a="1"/>
  <c r="F1961" i="20" s="1"/>
  <c r="H1961" i="20" a="1"/>
  <c r="H1961" i="20" s="1"/>
  <c r="J1961" i="20" a="1"/>
  <c r="J1961" i="20" s="1"/>
  <c r="B1961" i="20"/>
  <c r="L1961" i="20" a="1"/>
  <c r="L1961" i="20" s="1"/>
  <c r="D1962" i="20" a="1"/>
  <c r="D1962" i="20" s="1"/>
  <c r="B1962" i="20"/>
  <c r="F1962" i="20" a="1"/>
  <c r="F1962" i="20" s="1"/>
  <c r="H1962" i="20" a="1"/>
  <c r="H1962" i="20" s="1"/>
  <c r="J1962" i="20" a="1"/>
  <c r="J1962" i="20" s="1"/>
  <c r="L1962" i="20" a="1"/>
  <c r="L1962" i="20" s="1"/>
  <c r="D1963" i="20" a="1"/>
  <c r="D1963" i="20" s="1"/>
  <c r="F1963" i="20" a="1"/>
  <c r="F1963" i="20" s="1"/>
  <c r="B1963" i="20"/>
  <c r="H1963" i="20" a="1"/>
  <c r="H1963" i="20" s="1"/>
  <c r="J1963" i="20" a="1"/>
  <c r="J1963" i="20" s="1"/>
  <c r="L1963" i="20" a="1"/>
  <c r="L1963" i="20" s="1"/>
  <c r="D1964" i="20" a="1"/>
  <c r="D1964" i="20" s="1"/>
  <c r="F1964" i="20" a="1"/>
  <c r="F1964" i="20" s="1"/>
  <c r="H1964" i="20" a="1"/>
  <c r="H1964" i="20" s="1"/>
  <c r="B1964" i="20"/>
  <c r="J1964" i="20" a="1"/>
  <c r="J1964" i="20" s="1"/>
  <c r="L1964" i="20" a="1"/>
  <c r="L1964" i="20" s="1"/>
  <c r="D1965" i="20" a="1"/>
  <c r="D1965" i="20" s="1"/>
  <c r="F1965" i="20" a="1"/>
  <c r="F1965" i="20" s="1"/>
  <c r="H1965" i="20" a="1"/>
  <c r="H1965" i="20" s="1"/>
  <c r="B1965" i="20"/>
  <c r="J1965" i="20" a="1"/>
  <c r="J1965" i="20" s="1"/>
  <c r="L1965" i="20" a="1"/>
  <c r="L1965" i="20" s="1"/>
  <c r="D1966" i="20" a="1"/>
  <c r="D1966" i="20" s="1"/>
  <c r="F1966" i="20" a="1"/>
  <c r="F1966" i="20" s="1"/>
  <c r="B1966" i="20"/>
  <c r="H1966" i="20" a="1"/>
  <c r="H1966" i="20" s="1"/>
  <c r="J1966" i="20" a="1"/>
  <c r="J1966" i="20" s="1"/>
  <c r="L1966" i="20" a="1"/>
  <c r="L1966" i="20" s="1"/>
  <c r="D1967" i="20" a="1"/>
  <c r="D1967" i="20" s="1"/>
  <c r="F1967" i="20" a="1"/>
  <c r="F1967" i="20" s="1"/>
  <c r="H1967" i="20" a="1"/>
  <c r="H1967" i="20" s="1"/>
  <c r="J1967" i="20" a="1"/>
  <c r="J1967" i="20" s="1"/>
  <c r="B1967" i="20"/>
  <c r="L1967" i="20" a="1"/>
  <c r="L1967" i="20" s="1"/>
  <c r="D1968" i="20" a="1"/>
  <c r="D1968" i="20" s="1"/>
  <c r="B1968" i="20"/>
  <c r="F1968" i="20" a="1"/>
  <c r="F1968" i="20" s="1"/>
  <c r="H1968" i="20" a="1"/>
  <c r="H1968" i="20" s="1"/>
  <c r="J1968" i="20" a="1"/>
  <c r="J1968" i="20" s="1"/>
  <c r="L1968" i="20" a="1"/>
  <c r="L1968" i="20" s="1"/>
  <c r="B1969" i="20"/>
  <c r="D1969" i="20" a="1"/>
  <c r="D1969" i="20" s="1"/>
  <c r="F1969" i="20" a="1"/>
  <c r="F1969" i="20" s="1"/>
  <c r="H1969" i="20" a="1"/>
  <c r="H1969" i="20" s="1"/>
  <c r="J1969" i="20" a="1"/>
  <c r="J1969" i="20" s="1"/>
  <c r="L1969" i="20" a="1"/>
  <c r="L1969" i="20" s="1"/>
  <c r="D1970" i="20" a="1"/>
  <c r="D1970" i="20" s="1"/>
  <c r="F1970" i="20" a="1"/>
  <c r="F1970" i="20" s="1"/>
  <c r="B1970" i="20"/>
  <c r="H1970" i="20" a="1"/>
  <c r="H1970" i="20" s="1"/>
  <c r="J1970" i="20" a="1"/>
  <c r="J1970" i="20" s="1"/>
  <c r="L1970" i="20" a="1"/>
  <c r="L1970" i="20" s="1"/>
  <c r="D1971" i="20" a="1"/>
  <c r="D1971" i="20" s="1"/>
  <c r="B1971" i="20"/>
  <c r="F1971" i="20" a="1"/>
  <c r="F1971" i="20" s="1"/>
  <c r="H1971" i="20" a="1"/>
  <c r="H1971" i="20" s="1"/>
  <c r="J1971" i="20" a="1"/>
  <c r="J1971" i="20" s="1"/>
  <c r="L1971" i="20" a="1"/>
  <c r="L1971" i="20" s="1"/>
  <c r="D1972" i="20" a="1"/>
  <c r="D1972" i="20" s="1"/>
  <c r="F1972" i="20" a="1"/>
  <c r="F1972" i="20" s="1"/>
  <c r="H1972" i="20" a="1"/>
  <c r="H1972" i="20" s="1"/>
  <c r="B1972" i="20"/>
  <c r="J1972" i="20" a="1"/>
  <c r="J1972" i="20" s="1"/>
  <c r="L1972" i="20" a="1"/>
  <c r="L1972" i="20" s="1"/>
  <c r="D1973" i="20" a="1"/>
  <c r="D1973" i="20" s="1"/>
  <c r="F1973" i="20" a="1"/>
  <c r="F1973" i="20" s="1"/>
  <c r="H1973" i="20" a="1"/>
  <c r="H1973" i="20" s="1"/>
  <c r="B1973" i="20"/>
  <c r="J1973" i="20" a="1"/>
  <c r="J1973" i="20" s="1"/>
  <c r="L1973" i="20" a="1"/>
  <c r="L1973" i="20" s="1"/>
  <c r="D1974" i="20" a="1"/>
  <c r="D1974" i="20" s="1"/>
  <c r="F1974" i="20" a="1"/>
  <c r="F1974" i="20" s="1"/>
  <c r="B1974" i="20"/>
  <c r="H1974" i="20" a="1"/>
  <c r="H1974" i="20" s="1"/>
  <c r="J1974" i="20" a="1"/>
  <c r="J1974" i="20" s="1"/>
  <c r="L1974" i="20" a="1"/>
  <c r="L1974" i="20" s="1"/>
  <c r="D1975" i="20" a="1"/>
  <c r="D1975" i="20" s="1"/>
  <c r="B1975" i="20"/>
  <c r="F1975" i="20" a="1"/>
  <c r="F1975" i="20" s="1"/>
  <c r="H1975" i="20" a="1"/>
  <c r="H1975" i="20" s="1"/>
  <c r="J1975" i="20" a="1"/>
  <c r="J1975" i="20" s="1"/>
  <c r="L1975" i="20" a="1"/>
  <c r="L1975" i="20" s="1"/>
  <c r="D1976" i="20" a="1"/>
  <c r="D1976" i="20" s="1"/>
  <c r="F1976" i="20" a="1"/>
  <c r="F1976" i="20" s="1"/>
  <c r="H1976" i="20" a="1"/>
  <c r="H1976" i="20" s="1"/>
  <c r="J1976" i="20" a="1"/>
  <c r="J1976" i="20" s="1"/>
  <c r="B1976" i="20"/>
  <c r="L1976" i="20" a="1"/>
  <c r="L1976" i="20" s="1"/>
  <c r="B1977" i="20"/>
  <c r="D1977" i="20" a="1"/>
  <c r="D1977" i="20" s="1"/>
  <c r="F1977" i="20" a="1"/>
  <c r="F1977" i="20" s="1"/>
  <c r="H1977" i="20" a="1"/>
  <c r="H1977" i="20" s="1"/>
  <c r="J1977" i="20" a="1"/>
  <c r="J1977" i="20" s="1"/>
  <c r="L1977" i="20" a="1"/>
  <c r="L1977" i="20" s="1"/>
  <c r="D1978" i="20" a="1"/>
  <c r="D1978" i="20" s="1"/>
  <c r="F1978" i="20" a="1"/>
  <c r="F1978" i="20" s="1"/>
  <c r="H1978" i="20" a="1"/>
  <c r="H1978" i="20" s="1"/>
  <c r="B1978" i="20"/>
  <c r="J1978" i="20" a="1"/>
  <c r="J1978" i="20" s="1"/>
  <c r="L1978" i="20" a="1"/>
  <c r="L1978" i="20" s="1"/>
  <c r="D1979" i="20" a="1"/>
  <c r="D1979" i="20" s="1"/>
  <c r="F1979" i="20" a="1"/>
  <c r="F1979" i="20" s="1"/>
  <c r="H1979" i="20" a="1"/>
  <c r="H1979" i="20" s="1"/>
  <c r="B1979" i="20"/>
  <c r="J1979" i="20" a="1"/>
  <c r="J1979" i="20" s="1"/>
  <c r="L1979" i="20" a="1"/>
  <c r="L1979" i="20" s="1"/>
  <c r="D1980" i="20" a="1"/>
  <c r="D1980" i="20" s="1"/>
  <c r="F1980" i="20" a="1"/>
  <c r="F1980" i="20" s="1"/>
  <c r="H1980" i="20" a="1"/>
  <c r="H1980" i="20" s="1"/>
  <c r="B1980" i="20"/>
  <c r="J1980" i="20" a="1"/>
  <c r="J1980" i="20" s="1"/>
  <c r="L1980" i="20" a="1"/>
  <c r="L1980" i="20" s="1"/>
  <c r="D1981" i="20" a="1"/>
  <c r="D1981" i="20" s="1"/>
  <c r="F1981" i="20" a="1"/>
  <c r="F1981" i="20" s="1"/>
  <c r="H1981" i="20" a="1"/>
  <c r="H1981" i="20" s="1"/>
  <c r="B1981" i="20"/>
  <c r="J1981" i="20" a="1"/>
  <c r="J1981" i="20" s="1"/>
  <c r="L1981" i="20" a="1"/>
  <c r="L1981" i="20" s="1"/>
  <c r="D1982" i="20" a="1"/>
  <c r="D1982" i="20" s="1"/>
  <c r="B1982" i="20"/>
  <c r="F1982" i="20" a="1"/>
  <c r="F1982" i="20" s="1"/>
  <c r="H1982" i="20" a="1"/>
  <c r="H1982" i="20" s="1"/>
  <c r="J1982" i="20" a="1"/>
  <c r="J1982" i="20" s="1"/>
  <c r="L1982" i="20" a="1"/>
  <c r="L1982" i="20" s="1"/>
  <c r="D1983" i="20" a="1"/>
  <c r="D1983" i="20" s="1"/>
  <c r="F1983" i="20" a="1"/>
  <c r="F1983" i="20" s="1"/>
  <c r="H1983" i="20" a="1"/>
  <c r="H1983" i="20" s="1"/>
  <c r="J1983" i="20" a="1"/>
  <c r="J1983" i="20" s="1"/>
  <c r="B1983" i="20"/>
  <c r="L1983" i="20" a="1"/>
  <c r="L1983" i="20" s="1"/>
  <c r="B1984" i="20"/>
  <c r="D1984" i="20" a="1"/>
  <c r="D1984" i="20" s="1"/>
  <c r="F1984" i="20" a="1"/>
  <c r="F1984" i="20" s="1"/>
  <c r="H1984" i="20" a="1"/>
  <c r="H1984" i="20" s="1"/>
  <c r="J1984" i="20" a="1"/>
  <c r="J1984" i="20" s="1"/>
  <c r="L1984" i="20" a="1"/>
  <c r="L1984" i="20" s="1"/>
  <c r="D1985" i="20" a="1"/>
  <c r="D1985" i="20" s="1"/>
  <c r="F1985" i="20" a="1"/>
  <c r="F1985" i="20" s="1"/>
  <c r="H1985" i="20" a="1"/>
  <c r="H1985" i="20" s="1"/>
  <c r="B1985" i="20"/>
  <c r="J1985" i="20" a="1"/>
  <c r="J1985" i="20" s="1"/>
  <c r="L1985" i="20" a="1"/>
  <c r="L1985" i="20" s="1"/>
  <c r="B1986" i="20"/>
  <c r="D1986" i="20" a="1"/>
  <c r="D1986" i="20" s="1"/>
  <c r="F1986" i="20" a="1"/>
  <c r="F1986" i="20" s="1"/>
  <c r="H1986" i="20" a="1"/>
  <c r="H1986" i="20" s="1"/>
  <c r="J1986" i="20" a="1"/>
  <c r="J1986" i="20" s="1"/>
  <c r="L1986" i="20" a="1"/>
  <c r="L1986" i="20" s="1"/>
  <c r="D1987" i="20" a="1"/>
  <c r="D1987" i="20" s="1"/>
  <c r="B1987" i="20"/>
  <c r="F1987" i="20" a="1"/>
  <c r="F1987" i="20" s="1"/>
  <c r="H1987" i="20" a="1"/>
  <c r="H1987" i="20" s="1"/>
  <c r="J1987" i="20" a="1"/>
  <c r="J1987" i="20" s="1"/>
  <c r="L1987" i="20" a="1"/>
  <c r="L1987" i="20" s="1"/>
  <c r="D1988" i="20" a="1"/>
  <c r="D1988" i="20" s="1"/>
  <c r="F1988" i="20" a="1"/>
  <c r="F1988" i="20" s="1"/>
  <c r="H1988" i="20" a="1"/>
  <c r="H1988" i="20" s="1"/>
  <c r="B1988" i="20"/>
  <c r="J1988" i="20" a="1"/>
  <c r="J1988" i="20" s="1"/>
  <c r="L1988" i="20" a="1"/>
  <c r="L1988" i="20" s="1"/>
  <c r="D1989" i="20" a="1"/>
  <c r="D1989" i="20" s="1"/>
  <c r="F1989" i="20" a="1"/>
  <c r="F1989" i="20" s="1"/>
  <c r="H1989" i="20" a="1"/>
  <c r="H1989" i="20" s="1"/>
  <c r="B1989" i="20"/>
  <c r="J1989" i="20" a="1"/>
  <c r="J1989" i="20" s="1"/>
  <c r="L1989" i="20" a="1"/>
  <c r="L1989" i="20" s="1"/>
  <c r="D1990" i="20" a="1"/>
  <c r="D1990" i="20" s="1"/>
  <c r="B1990" i="20"/>
  <c r="F1990" i="20" a="1"/>
  <c r="F1990" i="20" s="1"/>
  <c r="H1990" i="20" a="1"/>
  <c r="H1990" i="20" s="1"/>
  <c r="J1990" i="20" a="1"/>
  <c r="J1990" i="20" s="1"/>
  <c r="L1990" i="20" a="1"/>
  <c r="L1990" i="20" s="1"/>
  <c r="D1991" i="20" a="1"/>
  <c r="D1991" i="20" s="1"/>
  <c r="F1991" i="20" a="1"/>
  <c r="F1991" i="20" s="1"/>
  <c r="B1991" i="20"/>
  <c r="H1991" i="20" a="1"/>
  <c r="H1991" i="20" s="1"/>
  <c r="J1991" i="20" a="1"/>
  <c r="J1991" i="20" s="1"/>
  <c r="L1991" i="20" a="1"/>
  <c r="L1991" i="20" s="1"/>
  <c r="D1992" i="20" a="1"/>
  <c r="D1992" i="20" s="1"/>
  <c r="F1992" i="20" a="1"/>
  <c r="F1992" i="20" s="1"/>
  <c r="H1992" i="20" a="1"/>
  <c r="H1992" i="20" s="1"/>
  <c r="J1992" i="20" a="1"/>
  <c r="J1992" i="20" s="1"/>
  <c r="B1992" i="20"/>
  <c r="L1992" i="20" a="1"/>
  <c r="L1992" i="20" s="1"/>
  <c r="B1993" i="20"/>
  <c r="D1993" i="20" a="1"/>
  <c r="D1993" i="20" s="1"/>
  <c r="F1993" i="20" a="1"/>
  <c r="F1993" i="20" s="1"/>
  <c r="H1993" i="20" a="1"/>
  <c r="H1993" i="20" s="1"/>
  <c r="J1993" i="20" a="1"/>
  <c r="J1993" i="20" s="1"/>
  <c r="L1993" i="20" a="1"/>
  <c r="L1993" i="20" s="1"/>
  <c r="D1994" i="20" a="1"/>
  <c r="D1994" i="20" s="1"/>
  <c r="F1994" i="20" a="1"/>
  <c r="F1994" i="20" s="1"/>
  <c r="H1994" i="20" a="1"/>
  <c r="H1994" i="20" s="1"/>
  <c r="B1994" i="20"/>
  <c r="J1994" i="20" a="1"/>
  <c r="J1994" i="20" s="1"/>
  <c r="L1994" i="20" a="1"/>
  <c r="L1994" i="20" s="1"/>
  <c r="D1995" i="20" a="1"/>
  <c r="D1995" i="20" s="1"/>
  <c r="F1995" i="20" a="1"/>
  <c r="F1995" i="20" s="1"/>
  <c r="H1995" i="20" a="1"/>
  <c r="H1995" i="20" s="1"/>
  <c r="B1995" i="20"/>
  <c r="J1995" i="20" a="1"/>
  <c r="J1995" i="20" s="1"/>
  <c r="L1995" i="20" a="1"/>
  <c r="L1995" i="20" s="1"/>
  <c r="D1996" i="20" a="1"/>
  <c r="D1996" i="20" s="1"/>
  <c r="B1996" i="20"/>
  <c r="F1996" i="20" a="1"/>
  <c r="F1996" i="20" s="1"/>
  <c r="H1996" i="20" a="1"/>
  <c r="H1996" i="20" s="1"/>
  <c r="J1996" i="20" a="1"/>
  <c r="J1996" i="20" s="1"/>
  <c r="L1996" i="20" a="1"/>
  <c r="L1996" i="20" s="1"/>
  <c r="D1997" i="20" a="1"/>
  <c r="D1997" i="20" s="1"/>
  <c r="F1997" i="20" a="1"/>
  <c r="F1997" i="20" s="1"/>
  <c r="H1997" i="20" a="1"/>
  <c r="H1997" i="20" s="1"/>
  <c r="J1997" i="20" a="1"/>
  <c r="J1997" i="20" s="1"/>
  <c r="B1997" i="20"/>
  <c r="L1997" i="20" a="1"/>
  <c r="L1997" i="20" s="1"/>
  <c r="B1998" i="20"/>
  <c r="D1998" i="20" a="1"/>
  <c r="D1998" i="20" s="1"/>
  <c r="F1998" i="20" a="1"/>
  <c r="F1998" i="20" s="1"/>
  <c r="H1998" i="20" a="1"/>
  <c r="H1998" i="20" s="1"/>
  <c r="J1998" i="20" a="1"/>
  <c r="J1998" i="20" s="1"/>
  <c r="L1998" i="20" a="1"/>
  <c r="L1998" i="20" s="1"/>
  <c r="D1999" i="20" a="1"/>
  <c r="D1999" i="20" s="1"/>
  <c r="B1999" i="20"/>
  <c r="F1999" i="20" a="1"/>
  <c r="F1999" i="20" s="1"/>
  <c r="H1999" i="20" a="1"/>
  <c r="H1999" i="20" s="1"/>
  <c r="J1999" i="20" a="1"/>
  <c r="J1999" i="20" s="1"/>
  <c r="L1999" i="20" a="1"/>
  <c r="L1999" i="20" s="1"/>
  <c r="D2000" i="20" a="1"/>
  <c r="D2000" i="20" s="1"/>
  <c r="F2000" i="20" a="1"/>
  <c r="F2000" i="20" s="1"/>
  <c r="B2000" i="20"/>
  <c r="H2000" i="20" a="1"/>
  <c r="H2000" i="20" s="1"/>
  <c r="J2000" i="20" a="1"/>
  <c r="J2000" i="20" s="1"/>
  <c r="L2000" i="20" a="1"/>
  <c r="L2000" i="20" s="1"/>
  <c r="D2001" i="20" a="1"/>
  <c r="D2001" i="20" s="1"/>
  <c r="F2001" i="20" a="1"/>
  <c r="F2001" i="20" s="1"/>
  <c r="H2001" i="20" a="1"/>
  <c r="H2001" i="20" s="1"/>
  <c r="J2001" i="20" a="1"/>
  <c r="J2001" i="20" s="1"/>
  <c r="B2001" i="20"/>
  <c r="L2001" i="20" a="1"/>
  <c r="L2001" i="20" s="1"/>
  <c r="B2002" i="20"/>
  <c r="D2002" i="20" a="1"/>
  <c r="D2002" i="20" s="1"/>
  <c r="F2002" i="20" a="1"/>
  <c r="F2002" i="20" s="1"/>
  <c r="H2002" i="20" a="1"/>
  <c r="H2002" i="20" s="1"/>
  <c r="J2002" i="20" a="1"/>
  <c r="J2002" i="20" s="1"/>
  <c r="L2002" i="20" a="1"/>
  <c r="L2002" i="20" s="1"/>
  <c r="D2003" i="20" a="1"/>
  <c r="D2003" i="20" s="1"/>
  <c r="F2003" i="20" a="1"/>
  <c r="F2003" i="20" s="1"/>
  <c r="H2003" i="20" a="1"/>
  <c r="H2003" i="20" s="1"/>
  <c r="J2003" i="20" a="1"/>
  <c r="J2003" i="20" s="1"/>
  <c r="B2003" i="20"/>
  <c r="L2003" i="20" a="1"/>
  <c r="L2003" i="20" s="1"/>
  <c r="D2004" i="20" a="1"/>
  <c r="D2004" i="20" s="1"/>
  <c r="F2004" i="20" a="1"/>
  <c r="F2004" i="20" s="1"/>
  <c r="H2004" i="20" a="1"/>
  <c r="H2004" i="20" s="1"/>
  <c r="B2004" i="20"/>
  <c r="J2004" i="20" a="1"/>
  <c r="J2004" i="20" s="1"/>
  <c r="L2004" i="20" a="1"/>
  <c r="L2004" i="20" s="1"/>
  <c r="D2005" i="20" a="1"/>
  <c r="D2005" i="20" s="1"/>
  <c r="F2005" i="20" a="1"/>
  <c r="F2005" i="20" s="1"/>
  <c r="H2005" i="20" a="1"/>
  <c r="H2005" i="20" s="1"/>
  <c r="B2005" i="20"/>
  <c r="J2005" i="20" a="1"/>
  <c r="J2005" i="20" s="1"/>
  <c r="L2005" i="20" a="1"/>
  <c r="L2005" i="20" s="1"/>
  <c r="D2006" i="20" a="1"/>
  <c r="D2006" i="20" s="1"/>
  <c r="F2006" i="20" a="1"/>
  <c r="F2006" i="20" s="1"/>
  <c r="B2006" i="20"/>
  <c r="H2006" i="20" a="1"/>
  <c r="H2006" i="20" s="1"/>
  <c r="J2006" i="20" a="1"/>
  <c r="J2006" i="20" s="1"/>
  <c r="L2006" i="20" a="1"/>
  <c r="L2006" i="20" s="1"/>
  <c r="D2007" i="20" a="1"/>
  <c r="D2007" i="20" s="1"/>
  <c r="B2007" i="20"/>
  <c r="F2007" i="20" a="1"/>
  <c r="F2007" i="20" s="1"/>
  <c r="H2007" i="20" a="1"/>
  <c r="H2007" i="20" s="1"/>
  <c r="J2007" i="20" a="1"/>
  <c r="J2007" i="20" s="1"/>
  <c r="L2007" i="20" a="1"/>
  <c r="L2007" i="20" s="1"/>
  <c r="D2008" i="20" a="1"/>
  <c r="D2008" i="20" s="1"/>
  <c r="F2008" i="20" a="1"/>
  <c r="F2008" i="20" s="1"/>
  <c r="H2008" i="20" a="1"/>
  <c r="H2008" i="20" s="1"/>
  <c r="J2008" i="20" a="1"/>
  <c r="J2008" i="20" s="1"/>
  <c r="B2008" i="20"/>
  <c r="L2008" i="20" a="1"/>
  <c r="L2008" i="20" s="1"/>
  <c r="B2009" i="20"/>
  <c r="D2009" i="20" a="1"/>
  <c r="D2009" i="20" s="1"/>
  <c r="F2009" i="20" a="1"/>
  <c r="F2009" i="20" s="1"/>
  <c r="H2009" i="20" a="1"/>
  <c r="H2009" i="20" s="1"/>
  <c r="J2009" i="20" a="1"/>
  <c r="J2009" i="20" s="1"/>
  <c r="L2009" i="20" a="1"/>
  <c r="L2009" i="20" s="1"/>
  <c r="D2010" i="20" a="1"/>
  <c r="D2010" i="20" s="1"/>
  <c r="F2010" i="20" a="1"/>
  <c r="F2010" i="20" s="1"/>
  <c r="H2010" i="20" a="1"/>
  <c r="H2010" i="20" s="1"/>
  <c r="B2010" i="20"/>
  <c r="J2010" i="20" a="1"/>
  <c r="J2010" i="20" s="1"/>
  <c r="L2010" i="20" a="1"/>
  <c r="L2010" i="20" s="1"/>
  <c r="D2011" i="20" a="1"/>
  <c r="D2011" i="20" s="1"/>
  <c r="F2011" i="20" a="1"/>
  <c r="F2011" i="20" s="1"/>
  <c r="H2011" i="20" a="1"/>
  <c r="H2011" i="20" s="1"/>
  <c r="B2011" i="20"/>
  <c r="J2011" i="20" a="1"/>
  <c r="J2011" i="20" s="1"/>
  <c r="L2011" i="20" a="1"/>
  <c r="L2011" i="20" s="1"/>
  <c r="D2012" i="20" a="1"/>
  <c r="D2012" i="20" s="1"/>
  <c r="F2012" i="20" a="1"/>
  <c r="F2012" i="20" s="1"/>
  <c r="B2012" i="20"/>
  <c r="H2012" i="20" a="1"/>
  <c r="H2012" i="20" s="1"/>
  <c r="J2012" i="20" a="1"/>
  <c r="J2012" i="20" s="1"/>
  <c r="L2012" i="20" a="1"/>
  <c r="L2012" i="20" s="1"/>
  <c r="D2013" i="20" a="1"/>
  <c r="D2013" i="20" s="1"/>
  <c r="B2013" i="20"/>
  <c r="F2013" i="20" a="1"/>
  <c r="F2013" i="20" s="1"/>
  <c r="H2013" i="20" a="1"/>
  <c r="H2013" i="20" s="1"/>
  <c r="J2013" i="20" a="1"/>
  <c r="J2013" i="20" s="1"/>
  <c r="L2013" i="20" a="1"/>
  <c r="L2013" i="20" s="1"/>
  <c r="D2014" i="20" a="1"/>
  <c r="D2014" i="20" s="1"/>
  <c r="F2014" i="20" a="1"/>
  <c r="F2014" i="20" s="1"/>
  <c r="H2014" i="20" a="1"/>
  <c r="H2014" i="20" s="1"/>
  <c r="B2014" i="20"/>
  <c r="J2014" i="20" a="1"/>
  <c r="J2014" i="20" s="1"/>
  <c r="L2014" i="20" a="1"/>
  <c r="L2014" i="20" s="1"/>
  <c r="D2015" i="20" a="1"/>
  <c r="D2015" i="20" s="1"/>
  <c r="F2015" i="20" a="1"/>
  <c r="F2015" i="20" s="1"/>
  <c r="H2015" i="20" a="1"/>
  <c r="H2015" i="20" s="1"/>
  <c r="B2015" i="20"/>
  <c r="J2015" i="20" a="1"/>
  <c r="J2015" i="20" s="1"/>
  <c r="L2015" i="20" a="1"/>
  <c r="L2015" i="20" s="1"/>
  <c r="D2016" i="20" a="1"/>
  <c r="D2016" i="20" s="1"/>
  <c r="F2016" i="20" a="1"/>
  <c r="F2016" i="20" s="1"/>
  <c r="B2016" i="20"/>
  <c r="H2016" i="20" a="1"/>
  <c r="H2016" i="20" s="1"/>
  <c r="J2016" i="20" a="1"/>
  <c r="J2016" i="20" s="1"/>
  <c r="L2016" i="20" a="1"/>
  <c r="L2016" i="20" s="1"/>
  <c r="D2017" i="20" a="1"/>
  <c r="D2017" i="20" s="1"/>
  <c r="B2017" i="20"/>
  <c r="F2017" i="20" a="1"/>
  <c r="F2017" i="20" s="1"/>
  <c r="H2017" i="20" a="1"/>
  <c r="H2017" i="20" s="1"/>
  <c r="J2017" i="20" a="1"/>
  <c r="J2017" i="20" s="1"/>
  <c r="L2017" i="20" a="1"/>
  <c r="L2017" i="20" s="1"/>
  <c r="D2018" i="20" a="1"/>
  <c r="D2018" i="20" s="1"/>
  <c r="F2018" i="20" a="1"/>
  <c r="F2018" i="20" s="1"/>
  <c r="H2018" i="20" a="1"/>
  <c r="H2018" i="20" s="1"/>
  <c r="B2018" i="20"/>
  <c r="J2018" i="20" a="1"/>
  <c r="J2018" i="20" s="1"/>
  <c r="L2018" i="20" a="1"/>
  <c r="L2018" i="20" s="1"/>
  <c r="D2019" i="20" a="1"/>
  <c r="D2019" i="20" s="1"/>
  <c r="F2019" i="20" a="1"/>
  <c r="F2019" i="20" s="1"/>
  <c r="H2019" i="20" a="1"/>
  <c r="H2019" i="20" s="1"/>
  <c r="B2019" i="20"/>
  <c r="J2019" i="20" a="1"/>
  <c r="J2019" i="20" s="1"/>
  <c r="L2019" i="20" a="1"/>
  <c r="L2019" i="20" s="1"/>
  <c r="D2020" i="20" a="1"/>
  <c r="D2020" i="20" s="1"/>
  <c r="B2020" i="20"/>
  <c r="F2020" i="20" a="1"/>
  <c r="F2020" i="20" s="1"/>
  <c r="H2020" i="20" a="1"/>
  <c r="H2020" i="20" s="1"/>
  <c r="J2020" i="20" a="1"/>
  <c r="J2020" i="20" s="1"/>
  <c r="L2020" i="20" a="1"/>
  <c r="L2020" i="20" s="1"/>
  <c r="D2021" i="20" a="1"/>
  <c r="D2021" i="20" s="1"/>
  <c r="B2021" i="20"/>
  <c r="F2021" i="20" a="1"/>
  <c r="F2021" i="20" s="1"/>
  <c r="H2021" i="20" a="1"/>
  <c r="H2021" i="20" s="1"/>
  <c r="J2021" i="20" a="1"/>
  <c r="J2021" i="20" s="1"/>
  <c r="L2021" i="20" a="1"/>
  <c r="L2021" i="20" s="1"/>
  <c r="D2022" i="20" a="1"/>
  <c r="D2022" i="20" s="1"/>
  <c r="F2022" i="20" a="1"/>
  <c r="F2022" i="20" s="1"/>
  <c r="H2022" i="20" a="1"/>
  <c r="H2022" i="20" s="1"/>
  <c r="B2022" i="20"/>
  <c r="J2022" i="20" a="1"/>
  <c r="J2022" i="20" s="1"/>
  <c r="L2022" i="20" a="1"/>
  <c r="L2022" i="20" s="1"/>
  <c r="D2023" i="20" a="1"/>
  <c r="D2023" i="20" s="1"/>
  <c r="F2023" i="20" a="1"/>
  <c r="F2023" i="20" s="1"/>
  <c r="H2023" i="20" a="1"/>
  <c r="H2023" i="20" s="1"/>
  <c r="B2023" i="20"/>
  <c r="J2023" i="20" a="1"/>
  <c r="J2023" i="20" s="1"/>
  <c r="L2023" i="20" a="1"/>
  <c r="L2023" i="20" s="1"/>
  <c r="B2024" i="20"/>
  <c r="D2024" i="20" a="1"/>
  <c r="D2024" i="20" s="1"/>
  <c r="F2024" i="20" a="1"/>
  <c r="F2024" i="20" s="1"/>
  <c r="H2024" i="20" a="1"/>
  <c r="H2024" i="20" s="1"/>
  <c r="J2024" i="20" a="1"/>
  <c r="J2024" i="20" s="1"/>
  <c r="L2024" i="20" a="1"/>
  <c r="L2024" i="20" s="1"/>
  <c r="D2025" i="20" a="1"/>
  <c r="D2025" i="20" s="1"/>
  <c r="B2025" i="20"/>
  <c r="F2025" i="20" a="1"/>
  <c r="F2025" i="20" s="1"/>
  <c r="H2025" i="20" a="1"/>
  <c r="H2025" i="20" s="1"/>
  <c r="J2025" i="20" a="1"/>
  <c r="J2025" i="20" s="1"/>
  <c r="L2025" i="20" a="1"/>
  <c r="L2025" i="20" s="1"/>
  <c r="D2026" i="20" a="1"/>
  <c r="D2026" i="20" s="1"/>
  <c r="F2026" i="20" a="1"/>
  <c r="F2026" i="20" s="1"/>
  <c r="B2026" i="20"/>
  <c r="H2026" i="20" a="1"/>
  <c r="H2026" i="20" s="1"/>
  <c r="J2026" i="20" a="1"/>
  <c r="J2026" i="20" s="1"/>
  <c r="L2026" i="20" a="1"/>
  <c r="L2026" i="20" s="1"/>
  <c r="D2027" i="20" a="1"/>
  <c r="D2027" i="20" s="1"/>
  <c r="B2027" i="20"/>
  <c r="F2027" i="20" a="1"/>
  <c r="F2027" i="20" s="1"/>
  <c r="H2027" i="20" a="1"/>
  <c r="H2027" i="20" s="1"/>
  <c r="J2027" i="20" a="1"/>
  <c r="J2027" i="20" s="1"/>
  <c r="L2027" i="20" a="1"/>
  <c r="L2027" i="20" s="1"/>
  <c r="D2028" i="20" a="1"/>
  <c r="D2028" i="20" s="1"/>
  <c r="B2028" i="20"/>
  <c r="F2028" i="20" a="1"/>
  <c r="F2028" i="20" s="1"/>
  <c r="H2028" i="20" a="1"/>
  <c r="H2028" i="20" s="1"/>
  <c r="J2028" i="20" a="1"/>
  <c r="J2028" i="20" s="1"/>
  <c r="L2028" i="20" a="1"/>
  <c r="L2028" i="20" s="1"/>
  <c r="D2029" i="20" a="1"/>
  <c r="D2029" i="20" s="1"/>
  <c r="B2029" i="20"/>
  <c r="F2029" i="20" a="1"/>
  <c r="F2029" i="20" s="1"/>
  <c r="H2029" i="20" a="1"/>
  <c r="H2029" i="20" s="1"/>
  <c r="J2029" i="20" a="1"/>
  <c r="J2029" i="20" s="1"/>
  <c r="L2029" i="20" a="1"/>
  <c r="L2029" i="20" s="1"/>
  <c r="D2030" i="20" a="1"/>
  <c r="D2030" i="20" s="1"/>
  <c r="F2030" i="20" a="1"/>
  <c r="F2030" i="20" s="1"/>
  <c r="H2030" i="20" a="1"/>
  <c r="H2030" i="20" s="1"/>
  <c r="B2030" i="20"/>
  <c r="J2030" i="20" a="1"/>
  <c r="J2030" i="20" s="1"/>
  <c r="L2030" i="20" a="1"/>
  <c r="L2030" i="20" s="1"/>
  <c r="D2031" i="20" a="1"/>
  <c r="D2031" i="20" s="1"/>
  <c r="F2031" i="20" a="1"/>
  <c r="F2031" i="20" s="1"/>
  <c r="H2031" i="20" a="1"/>
  <c r="H2031" i="20" s="1"/>
  <c r="B2031" i="20"/>
  <c r="J2031" i="20" a="1"/>
  <c r="J2031" i="20" s="1"/>
  <c r="L2031" i="20" a="1"/>
  <c r="L2031" i="20" s="1"/>
  <c r="D2032" i="20" a="1"/>
  <c r="D2032" i="20" s="1"/>
  <c r="F2032" i="20" a="1"/>
  <c r="F2032" i="20" s="1"/>
  <c r="B2032" i="20"/>
  <c r="H2032" i="20" a="1"/>
  <c r="H2032" i="20" s="1"/>
  <c r="J2032" i="20" a="1"/>
  <c r="J2032" i="20" s="1"/>
  <c r="L2032" i="20" a="1"/>
  <c r="L2032" i="20" s="1"/>
  <c r="D2033" i="20" a="1"/>
  <c r="D2033" i="20" s="1"/>
  <c r="B2033" i="20"/>
  <c r="F2033" i="20" a="1"/>
  <c r="F2033" i="20" s="1"/>
  <c r="H2033" i="20" a="1"/>
  <c r="H2033" i="20" s="1"/>
  <c r="J2033" i="20" a="1"/>
  <c r="J2033" i="20" s="1"/>
  <c r="L2033" i="20" a="1"/>
  <c r="L2033" i="20" s="1"/>
  <c r="B2034" i="20"/>
  <c r="D2034" i="20" a="1"/>
  <c r="D2034" i="20" s="1"/>
  <c r="F2034" i="20" a="1"/>
  <c r="F2034" i="20" s="1"/>
  <c r="H2034" i="20" a="1"/>
  <c r="H2034" i="20" s="1"/>
  <c r="J2034" i="20" a="1"/>
  <c r="J2034" i="20" s="1"/>
  <c r="L2034" i="20" a="1"/>
  <c r="L2034" i="20" s="1"/>
  <c r="D2035" i="20" a="1"/>
  <c r="D2035" i="20" s="1"/>
  <c r="F2035" i="20" a="1"/>
  <c r="F2035" i="20" s="1"/>
  <c r="H2035" i="20" a="1"/>
  <c r="H2035" i="20" s="1"/>
  <c r="B2035" i="20"/>
  <c r="J2035" i="20" a="1"/>
  <c r="J2035" i="20" s="1"/>
  <c r="L2035" i="20" a="1"/>
  <c r="L2035" i="20" s="1"/>
  <c r="D2036" i="20" a="1"/>
  <c r="D2036" i="20" s="1"/>
  <c r="F2036" i="20" a="1"/>
  <c r="F2036" i="20" s="1"/>
  <c r="B2036" i="20"/>
  <c r="H2036" i="20" a="1"/>
  <c r="H2036" i="20" s="1"/>
  <c r="J2036" i="20" a="1"/>
  <c r="J2036" i="20" s="1"/>
  <c r="L2036" i="20" a="1"/>
  <c r="L2036" i="20" s="1"/>
  <c r="D2037" i="20" a="1"/>
  <c r="D2037" i="20" s="1"/>
  <c r="B2037" i="20"/>
  <c r="F2037" i="20" a="1"/>
  <c r="F2037" i="20" s="1"/>
  <c r="H2037" i="20" a="1"/>
  <c r="H2037" i="20" s="1"/>
  <c r="J2037" i="20" a="1"/>
  <c r="J2037" i="20" s="1"/>
  <c r="L2037" i="20" a="1"/>
  <c r="L2037" i="20" s="1"/>
  <c r="D2038" i="20" a="1"/>
  <c r="D2038" i="20" s="1"/>
  <c r="F2038" i="20" a="1"/>
  <c r="F2038" i="20" s="1"/>
  <c r="H2038" i="20" a="1"/>
  <c r="H2038" i="20" s="1"/>
  <c r="B2038" i="20"/>
  <c r="J2038" i="20" a="1"/>
  <c r="J2038" i="20" s="1"/>
  <c r="L2038" i="20" a="1"/>
  <c r="L2038" i="20" s="1"/>
  <c r="D2039" i="20" a="1"/>
  <c r="D2039" i="20" s="1"/>
  <c r="F2039" i="20" a="1"/>
  <c r="F2039" i="20" s="1"/>
  <c r="H2039" i="20" a="1"/>
  <c r="H2039" i="20" s="1"/>
  <c r="B2039" i="20"/>
  <c r="J2039" i="20" a="1"/>
  <c r="J2039" i="20" s="1"/>
  <c r="L2039" i="20" a="1"/>
  <c r="L2039" i="20" s="1"/>
  <c r="D2040" i="20" a="1"/>
  <c r="D2040" i="20" s="1"/>
  <c r="F2040" i="20" a="1"/>
  <c r="F2040" i="20" s="1"/>
  <c r="H2040" i="20" a="1"/>
  <c r="H2040" i="20" s="1"/>
  <c r="J2040" i="20" a="1"/>
  <c r="J2040" i="20" s="1"/>
  <c r="B2040" i="20"/>
  <c r="L2040" i="20" a="1"/>
  <c r="L2040" i="20" s="1"/>
  <c r="B2041" i="20"/>
  <c r="D2041" i="20" a="1"/>
  <c r="D2041" i="20" s="1"/>
  <c r="F2041" i="20" a="1"/>
  <c r="F2041" i="20" s="1"/>
  <c r="H2041" i="20" a="1"/>
  <c r="H2041" i="20" s="1"/>
  <c r="J2041" i="20" a="1"/>
  <c r="J2041" i="20" s="1"/>
  <c r="L2041" i="20" a="1"/>
  <c r="L2041" i="20" s="1"/>
  <c r="D2042" i="20" a="1"/>
  <c r="D2042" i="20" s="1"/>
  <c r="F2042" i="20" a="1"/>
  <c r="F2042" i="20" s="1"/>
  <c r="H2042" i="20" a="1"/>
  <c r="H2042" i="20" s="1"/>
  <c r="B2042" i="20"/>
  <c r="J2042" i="20" a="1"/>
  <c r="J2042" i="20" s="1"/>
  <c r="L2042" i="20" a="1"/>
  <c r="L2042" i="20" s="1"/>
  <c r="D2043" i="20" a="1"/>
  <c r="D2043" i="20" s="1"/>
  <c r="F2043" i="20" a="1"/>
  <c r="F2043" i="20" s="1"/>
  <c r="H2043" i="20" a="1"/>
  <c r="H2043" i="20" s="1"/>
  <c r="B2043" i="20"/>
  <c r="J2043" i="20" a="1"/>
  <c r="J2043" i="20" s="1"/>
  <c r="L2043" i="20" a="1"/>
  <c r="L2043" i="20" s="1"/>
  <c r="D2044" i="20" a="1"/>
  <c r="D2044" i="20" s="1"/>
  <c r="F2044" i="20" a="1"/>
  <c r="F2044" i="20" s="1"/>
  <c r="H2044" i="20" a="1"/>
  <c r="H2044" i="20" s="1"/>
  <c r="B2044" i="20"/>
  <c r="J2044" i="20" a="1"/>
  <c r="J2044" i="20" s="1"/>
  <c r="L2044" i="20" a="1"/>
  <c r="L2044" i="20" s="1"/>
  <c r="D2045" i="20" a="1"/>
  <c r="D2045" i="20" s="1"/>
  <c r="F2045" i="20" a="1"/>
  <c r="F2045" i="20" s="1"/>
  <c r="H2045" i="20" a="1"/>
  <c r="H2045" i="20" s="1"/>
  <c r="J2045" i="20" a="1"/>
  <c r="J2045" i="20" s="1"/>
  <c r="B2045" i="20"/>
  <c r="L2045" i="20" a="1"/>
  <c r="L2045" i="20" s="1"/>
  <c r="B2046" i="20"/>
  <c r="D2046" i="20" a="1"/>
  <c r="D2046" i="20" s="1"/>
  <c r="F2046" i="20" a="1"/>
  <c r="F2046" i="20" s="1"/>
  <c r="H2046" i="20" a="1"/>
  <c r="H2046" i="20" s="1"/>
  <c r="J2046" i="20" a="1"/>
  <c r="J2046" i="20" s="1"/>
  <c r="L2046" i="20" a="1"/>
  <c r="L2046" i="20" s="1"/>
  <c r="D2047" i="20" a="1"/>
  <c r="D2047" i="20" s="1"/>
  <c r="F2047" i="20" a="1"/>
  <c r="F2047" i="20" s="1"/>
  <c r="H2047" i="20" a="1"/>
  <c r="H2047" i="20" s="1"/>
  <c r="J2047" i="20" a="1"/>
  <c r="J2047" i="20" s="1"/>
  <c r="B2047" i="20"/>
  <c r="L2047" i="20" a="1"/>
  <c r="L2047" i="20" s="1"/>
  <c r="D2048" i="20" a="1"/>
  <c r="D2048" i="20" s="1"/>
  <c r="F2048" i="20" a="1"/>
  <c r="F2048" i="20" s="1"/>
  <c r="H2048" i="20" a="1"/>
  <c r="H2048" i="20" s="1"/>
  <c r="J2048" i="20" a="1"/>
  <c r="J2048" i="20" s="1"/>
  <c r="B2048" i="20"/>
  <c r="L2048" i="20" a="1"/>
  <c r="L2048" i="20" s="1"/>
  <c r="B2049" i="20"/>
  <c r="D2049" i="20" a="1"/>
  <c r="D2049" i="20" s="1"/>
  <c r="F2049" i="20" a="1"/>
  <c r="F2049" i="20" s="1"/>
  <c r="H2049" i="20" a="1"/>
  <c r="H2049" i="20" s="1"/>
  <c r="J2049" i="20" a="1"/>
  <c r="J2049" i="20" s="1"/>
  <c r="L2049" i="20" a="1"/>
  <c r="L2049" i="20" s="1"/>
  <c r="D2050" i="20" a="1"/>
  <c r="D2050" i="20" s="1"/>
  <c r="F2050" i="20" a="1"/>
  <c r="F2050" i="20" s="1"/>
  <c r="H2050" i="20" a="1"/>
  <c r="H2050" i="20" s="1"/>
  <c r="J2050" i="20" a="1"/>
  <c r="J2050" i="20" s="1"/>
  <c r="B2050" i="20"/>
  <c r="L2050" i="20" a="1"/>
  <c r="L2050" i="20" s="1"/>
  <c r="B2051" i="20"/>
  <c r="D2051" i="20" a="1"/>
  <c r="D2051" i="20" s="1"/>
  <c r="F2051" i="20" a="1"/>
  <c r="F2051" i="20" s="1"/>
  <c r="H2051" i="20" a="1"/>
  <c r="H2051" i="20" s="1"/>
  <c r="J2051" i="20" a="1"/>
  <c r="J2051" i="20" s="1"/>
  <c r="L2051" i="20" a="1"/>
  <c r="L2051" i="20" s="1"/>
  <c r="D2052" i="20" a="1"/>
  <c r="D2052" i="20" s="1"/>
  <c r="F2052" i="20" a="1"/>
  <c r="F2052" i="20" s="1"/>
  <c r="H2052" i="20" a="1"/>
  <c r="H2052" i="20" s="1"/>
  <c r="B2052" i="20"/>
  <c r="J2052" i="20" a="1"/>
  <c r="J2052" i="20" s="1"/>
  <c r="L2052" i="20" a="1"/>
  <c r="L2052" i="20" s="1"/>
  <c r="D2053" i="20" a="1"/>
  <c r="D2053" i="20" s="1"/>
  <c r="F2053" i="20" a="1"/>
  <c r="F2053" i="20" s="1"/>
  <c r="H2053" i="20" a="1"/>
  <c r="H2053" i="20" s="1"/>
  <c r="B2053" i="20"/>
  <c r="J2053" i="20" a="1"/>
  <c r="J2053" i="20" s="1"/>
  <c r="L2053" i="20" a="1"/>
  <c r="L2053" i="20" s="1"/>
  <c r="D2054" i="20" a="1"/>
  <c r="D2054" i="20" s="1"/>
  <c r="F2054" i="20" a="1"/>
  <c r="F2054" i="20" s="1"/>
  <c r="H2054" i="20" a="1"/>
  <c r="H2054" i="20" s="1"/>
  <c r="J2054" i="20" a="1"/>
  <c r="J2054" i="20" s="1"/>
  <c r="B2054" i="20"/>
  <c r="L2054" i="20" a="1"/>
  <c r="L2054" i="20" s="1"/>
  <c r="B2055" i="20"/>
  <c r="D2055" i="20" a="1"/>
  <c r="D2055" i="20" s="1"/>
  <c r="F2055" i="20" a="1"/>
  <c r="F2055" i="20" s="1"/>
  <c r="H2055" i="20" a="1"/>
  <c r="H2055" i="20" s="1"/>
  <c r="J2055" i="20" a="1"/>
  <c r="J2055" i="20" s="1"/>
  <c r="L2055" i="20" a="1"/>
  <c r="L2055" i="20" s="1"/>
  <c r="D2056" i="20" a="1"/>
  <c r="D2056" i="20" s="1"/>
  <c r="F2056" i="20" a="1"/>
  <c r="F2056" i="20" s="1"/>
  <c r="H2056" i="20" a="1"/>
  <c r="H2056" i="20" s="1"/>
  <c r="J2056" i="20" a="1"/>
  <c r="J2056" i="20" s="1"/>
  <c r="B2056" i="20"/>
  <c r="L2056" i="20" a="1"/>
  <c r="L2056" i="20" s="1"/>
  <c r="B2057" i="20"/>
  <c r="D2057" i="20" a="1"/>
  <c r="D2057" i="20" s="1"/>
  <c r="F2057" i="20" a="1"/>
  <c r="F2057" i="20" s="1"/>
  <c r="H2057" i="20" a="1"/>
  <c r="H2057" i="20" s="1"/>
  <c r="J2057" i="20" a="1"/>
  <c r="J2057" i="20" s="1"/>
  <c r="L2057" i="20" a="1"/>
  <c r="L2057" i="20" s="1"/>
  <c r="D2058" i="20" a="1"/>
  <c r="D2058" i="20" s="1"/>
  <c r="B2058" i="20"/>
  <c r="F2058" i="20" a="1"/>
  <c r="F2058" i="20" s="1"/>
  <c r="H2058" i="20" a="1"/>
  <c r="H2058" i="20" s="1"/>
  <c r="J2058" i="20" a="1"/>
  <c r="J2058" i="20" s="1"/>
  <c r="L2058" i="20" a="1"/>
  <c r="L2058" i="20" s="1"/>
  <c r="D2059" i="20" a="1"/>
  <c r="D2059" i="20" s="1"/>
  <c r="F2059" i="20" a="1"/>
  <c r="F2059" i="20" s="1"/>
  <c r="B2059" i="20"/>
  <c r="H2059" i="20" a="1"/>
  <c r="H2059" i="20" s="1"/>
  <c r="J2059" i="20" a="1"/>
  <c r="J2059" i="20" s="1"/>
  <c r="L2059" i="20" a="1"/>
  <c r="L2059" i="20" s="1"/>
  <c r="D2060" i="20" a="1"/>
  <c r="D2060" i="20" s="1"/>
  <c r="F2060" i="20" a="1"/>
  <c r="F2060" i="20" s="1"/>
  <c r="H2060" i="20" a="1"/>
  <c r="H2060" i="20" s="1"/>
  <c r="B2060" i="20"/>
  <c r="J2060" i="20" a="1"/>
  <c r="J2060" i="20" s="1"/>
  <c r="L2060" i="20" a="1"/>
  <c r="L2060" i="20" s="1"/>
  <c r="D2061" i="20" a="1"/>
  <c r="D2061" i="20" s="1"/>
  <c r="B2061" i="20"/>
  <c r="F2061" i="20" a="1"/>
  <c r="F2061" i="20" s="1"/>
  <c r="H2061" i="20" a="1"/>
  <c r="H2061" i="20" s="1"/>
  <c r="J2061" i="20" a="1"/>
  <c r="J2061" i="20" s="1"/>
  <c r="L2061" i="20" a="1"/>
  <c r="L2061" i="20" s="1"/>
  <c r="D2062" i="20" a="1"/>
  <c r="D2062" i="20" s="1"/>
  <c r="B2062" i="20"/>
  <c r="F2062" i="20" a="1"/>
  <c r="F2062" i="20" s="1"/>
  <c r="H2062" i="20" a="1"/>
  <c r="H2062" i="20" s="1"/>
  <c r="J2062" i="20" a="1"/>
  <c r="J2062" i="20" s="1"/>
  <c r="L2062" i="20" a="1"/>
  <c r="L2062" i="20" s="1"/>
  <c r="D2063" i="20" a="1"/>
  <c r="D2063" i="20" s="1"/>
  <c r="F2063" i="20" a="1"/>
  <c r="F2063" i="20" s="1"/>
  <c r="H2063" i="20" a="1"/>
  <c r="H2063" i="20" s="1"/>
  <c r="J2063" i="20" a="1"/>
  <c r="J2063" i="20" s="1"/>
  <c r="B2063" i="20"/>
  <c r="L2063" i="20" a="1"/>
  <c r="L2063" i="20" s="1"/>
  <c r="B2064" i="20"/>
  <c r="D2064" i="20" a="1"/>
  <c r="D2064" i="20" s="1"/>
  <c r="F2064" i="20" a="1"/>
  <c r="F2064" i="20" s="1"/>
  <c r="H2064" i="20" a="1"/>
  <c r="H2064" i="20" s="1"/>
  <c r="J2064" i="20" a="1"/>
  <c r="J2064" i="20" s="1"/>
  <c r="L2064" i="20" a="1"/>
  <c r="L2064" i="20" s="1"/>
  <c r="D2065" i="20" a="1"/>
  <c r="D2065" i="20" s="1"/>
  <c r="F2065" i="20" a="1"/>
  <c r="F2065" i="20" s="1"/>
  <c r="H2065" i="20" a="1"/>
  <c r="H2065" i="20" s="1"/>
  <c r="J2065" i="20" a="1"/>
  <c r="J2065" i="20" s="1"/>
  <c r="B2065" i="20"/>
  <c r="L2065" i="20" a="1"/>
  <c r="L2065" i="20" s="1"/>
  <c r="B2066" i="20"/>
  <c r="D2066" i="20" a="1"/>
  <c r="D2066" i="20" s="1"/>
  <c r="F2066" i="20" a="1"/>
  <c r="F2066" i="20" s="1"/>
  <c r="H2066" i="20" a="1"/>
  <c r="H2066" i="20" s="1"/>
  <c r="J2066" i="20" a="1"/>
  <c r="J2066" i="20" s="1"/>
  <c r="L2066" i="20" a="1"/>
  <c r="L2066" i="20" s="1"/>
  <c r="D2067" i="20" a="1"/>
  <c r="D2067" i="20" s="1"/>
  <c r="F2067" i="20" a="1"/>
  <c r="F2067" i="20" s="1"/>
  <c r="H2067" i="20" a="1"/>
  <c r="H2067" i="20" s="1"/>
  <c r="B2067" i="20"/>
  <c r="J2067" i="20" a="1"/>
  <c r="J2067" i="20" s="1"/>
  <c r="L2067" i="20" a="1"/>
  <c r="L2067" i="20" s="1"/>
  <c r="D2068" i="20" a="1"/>
  <c r="D2068" i="20" s="1"/>
  <c r="F2068" i="20" a="1"/>
  <c r="F2068" i="20" s="1"/>
  <c r="H2068" i="20" a="1"/>
  <c r="H2068" i="20" s="1"/>
  <c r="J2068" i="20" a="1"/>
  <c r="J2068" i="20" s="1"/>
  <c r="B2068" i="20"/>
  <c r="L2068" i="20" a="1"/>
  <c r="L2068" i="20" s="1"/>
  <c r="B2069" i="20"/>
  <c r="D2069" i="20" a="1"/>
  <c r="D2069" i="20" s="1"/>
  <c r="F2069" i="20" a="1"/>
  <c r="F2069" i="20" s="1"/>
  <c r="H2069" i="20" a="1"/>
  <c r="H2069" i="20" s="1"/>
  <c r="J2069" i="20" a="1"/>
  <c r="J2069" i="20" s="1"/>
  <c r="L2069" i="20" a="1"/>
  <c r="L2069" i="20" s="1"/>
  <c r="D2070" i="20" a="1"/>
  <c r="D2070" i="20" s="1"/>
  <c r="F2070" i="20" a="1"/>
  <c r="F2070" i="20" s="1"/>
  <c r="H2070" i="20" a="1"/>
  <c r="H2070" i="20" s="1"/>
  <c r="J2070" i="20" a="1"/>
  <c r="J2070" i="20" s="1"/>
  <c r="B2070" i="20"/>
  <c r="L2070" i="20" a="1"/>
  <c r="L2070" i="20" s="1"/>
  <c r="B2071" i="20"/>
  <c r="D2071" i="20" a="1"/>
  <c r="D2071" i="20" s="1"/>
  <c r="F2071" i="20" a="1"/>
  <c r="F2071" i="20" s="1"/>
  <c r="H2071" i="20" a="1"/>
  <c r="H2071" i="20" s="1"/>
  <c r="J2071" i="20" a="1"/>
  <c r="J2071" i="20" s="1"/>
  <c r="L2071" i="20" a="1"/>
  <c r="L2071" i="20" s="1"/>
  <c r="B2072" i="20"/>
  <c r="D2072" i="20" a="1"/>
  <c r="D2072" i="20" s="1"/>
  <c r="F2072" i="20" a="1"/>
  <c r="F2072" i="20" s="1"/>
  <c r="H2072" i="20" a="1"/>
  <c r="H2072" i="20" s="1"/>
  <c r="J2072" i="20" a="1"/>
  <c r="J2072" i="20" s="1"/>
  <c r="L2072" i="20" a="1"/>
  <c r="L2072" i="20" s="1"/>
  <c r="D2073" i="20" a="1"/>
  <c r="D2073" i="20" s="1"/>
  <c r="F2073" i="20" a="1"/>
  <c r="F2073" i="20" s="1"/>
  <c r="H2073" i="20" a="1"/>
  <c r="H2073" i="20" s="1"/>
  <c r="J2073" i="20" a="1"/>
  <c r="J2073" i="20" s="1"/>
  <c r="B2073" i="20"/>
  <c r="L2073" i="20" a="1"/>
  <c r="L2073" i="20" s="1"/>
  <c r="B2074" i="20"/>
  <c r="D2074" i="20" a="1"/>
  <c r="D2074" i="20" s="1"/>
  <c r="F2074" i="20" a="1"/>
  <c r="F2074" i="20" s="1"/>
  <c r="H2074" i="20" a="1"/>
  <c r="H2074" i="20" s="1"/>
  <c r="J2074" i="20" a="1"/>
  <c r="J2074" i="20" s="1"/>
  <c r="L2074" i="20" a="1"/>
  <c r="L2074" i="20" s="1"/>
  <c r="D2075" i="20" a="1"/>
  <c r="D2075" i="20" s="1"/>
  <c r="F2075" i="20" a="1"/>
  <c r="F2075" i="20" s="1"/>
  <c r="H2075" i="20" a="1"/>
  <c r="H2075" i="20" s="1"/>
  <c r="J2075" i="20" a="1"/>
  <c r="J2075" i="20" s="1"/>
  <c r="B2075" i="20"/>
  <c r="L2075" i="20" a="1"/>
  <c r="L2075" i="20" s="1"/>
  <c r="D2076" i="20" a="1"/>
  <c r="D2076" i="20" s="1"/>
  <c r="F2076" i="20" a="1"/>
  <c r="F2076" i="20" s="1"/>
  <c r="H2076" i="20" a="1"/>
  <c r="H2076" i="20" s="1"/>
  <c r="J2076" i="20" a="1"/>
  <c r="J2076" i="20" s="1"/>
  <c r="B2076" i="20"/>
  <c r="L2076" i="20" a="1"/>
  <c r="L2076" i="20" s="1"/>
  <c r="B2077" i="20"/>
  <c r="D2077" i="20" a="1"/>
  <c r="D2077" i="20" s="1"/>
  <c r="F2077" i="20" a="1"/>
  <c r="F2077" i="20" s="1"/>
  <c r="H2077" i="20" a="1"/>
  <c r="H2077" i="20" s="1"/>
  <c r="J2077" i="20" a="1"/>
  <c r="J2077" i="20" s="1"/>
  <c r="L2077" i="20" a="1"/>
  <c r="L2077" i="20" s="1"/>
  <c r="D2078" i="20" a="1"/>
  <c r="D2078" i="20" s="1"/>
  <c r="F2078" i="20" a="1"/>
  <c r="F2078" i="20" s="1"/>
  <c r="H2078" i="20" a="1"/>
  <c r="H2078" i="20" s="1"/>
  <c r="B2078" i="20"/>
  <c r="J2078" i="20" a="1"/>
  <c r="J2078" i="20" s="1"/>
  <c r="L2078" i="20" a="1"/>
  <c r="L2078" i="20" s="1"/>
  <c r="D2079" i="20" a="1"/>
  <c r="D2079" i="20" s="1"/>
  <c r="F2079" i="20" a="1"/>
  <c r="F2079" i="20" s="1"/>
  <c r="H2079" i="20" a="1"/>
  <c r="H2079" i="20" s="1"/>
  <c r="B2079" i="20"/>
  <c r="J2079" i="20" a="1"/>
  <c r="J2079" i="20" s="1"/>
  <c r="L2079" i="20" a="1"/>
  <c r="L2079" i="20" s="1"/>
  <c r="B2080" i="20"/>
  <c r="D2080" i="20" a="1"/>
  <c r="D2080" i="20" s="1"/>
  <c r="F2080" i="20" a="1"/>
  <c r="F2080" i="20" s="1"/>
  <c r="H2080" i="20" a="1"/>
  <c r="H2080" i="20" s="1"/>
  <c r="J2080" i="20" a="1"/>
  <c r="J2080" i="20" s="1"/>
  <c r="L2080" i="20" a="1"/>
  <c r="L2080" i="20" s="1"/>
  <c r="D2081" i="20" a="1"/>
  <c r="D2081" i="20" s="1"/>
  <c r="F2081" i="20" a="1"/>
  <c r="F2081" i="20" s="1"/>
  <c r="B2081" i="20"/>
  <c r="H2081" i="20" a="1"/>
  <c r="H2081" i="20" s="1"/>
  <c r="J2081" i="20" a="1"/>
  <c r="J2081" i="20" s="1"/>
  <c r="L2081" i="20" a="1"/>
  <c r="L2081" i="20" s="1"/>
  <c r="D2082" i="20" a="1"/>
  <c r="D2082" i="20" s="1"/>
  <c r="F2082" i="20" a="1"/>
  <c r="F2082" i="20" s="1"/>
  <c r="H2082" i="20" a="1"/>
  <c r="H2082" i="20" s="1"/>
  <c r="B2082" i="20"/>
  <c r="J2082" i="20" a="1"/>
  <c r="J2082" i="20" s="1"/>
  <c r="L2082" i="20" a="1"/>
  <c r="L2082" i="20" s="1"/>
  <c r="D2083" i="20" a="1"/>
  <c r="D2083" i="20" s="1"/>
  <c r="F2083" i="20" a="1"/>
  <c r="F2083" i="20" s="1"/>
  <c r="H2083" i="20" a="1"/>
  <c r="H2083" i="20" s="1"/>
  <c r="B2083" i="20"/>
  <c r="J2083" i="20" a="1"/>
  <c r="J2083" i="20" s="1"/>
  <c r="L2083" i="20" a="1"/>
  <c r="L2083" i="20" s="1"/>
  <c r="D2084" i="20" a="1"/>
  <c r="D2084" i="20" s="1"/>
  <c r="F2084" i="20" a="1"/>
  <c r="F2084" i="20" s="1"/>
  <c r="H2084" i="20" a="1"/>
  <c r="H2084" i="20" s="1"/>
  <c r="B2084" i="20"/>
  <c r="J2084" i="20" a="1"/>
  <c r="J2084" i="20" s="1"/>
  <c r="L2084" i="20" a="1"/>
  <c r="L2084" i="20" s="1"/>
  <c r="D2085" i="20" a="1"/>
  <c r="D2085" i="20" s="1"/>
  <c r="F2085" i="20" a="1"/>
  <c r="F2085" i="20" s="1"/>
  <c r="H2085" i="20" a="1"/>
  <c r="H2085" i="20" s="1"/>
  <c r="B2085" i="20"/>
  <c r="J2085" i="20" a="1"/>
  <c r="J2085" i="20" s="1"/>
  <c r="L2085" i="20" a="1"/>
  <c r="L2085" i="20" s="1"/>
  <c r="D2086" i="20" a="1"/>
  <c r="D2086" i="20" s="1"/>
  <c r="F2086" i="20" a="1"/>
  <c r="F2086" i="20" s="1"/>
  <c r="H2086" i="20" a="1"/>
  <c r="H2086" i="20" s="1"/>
  <c r="J2086" i="20" a="1"/>
  <c r="J2086" i="20" s="1"/>
  <c r="B2086" i="20"/>
  <c r="L2086" i="20" a="1"/>
  <c r="L2086" i="20" s="1"/>
  <c r="D2087" i="20" a="1"/>
  <c r="D2087" i="20" s="1"/>
  <c r="F2087" i="20" a="1"/>
  <c r="F2087" i="20" s="1"/>
  <c r="B2087" i="20"/>
  <c r="H2087" i="20" a="1"/>
  <c r="H2087" i="20" s="1"/>
  <c r="J2087" i="20" a="1"/>
  <c r="J2087" i="20" s="1"/>
  <c r="L2087" i="20" a="1"/>
  <c r="L2087" i="20" s="1"/>
  <c r="D2088" i="20" a="1"/>
  <c r="D2088" i="20" s="1"/>
  <c r="F2088" i="20" a="1"/>
  <c r="F2088" i="20" s="1"/>
  <c r="H2088" i="20" a="1"/>
  <c r="H2088" i="20" s="1"/>
  <c r="B2088" i="20"/>
  <c r="J2088" i="20" a="1"/>
  <c r="J2088" i="20" s="1"/>
  <c r="L2088" i="20" a="1"/>
  <c r="L2088" i="20" s="1"/>
  <c r="D2089" i="20" a="1"/>
  <c r="D2089" i="20" s="1"/>
  <c r="F2089" i="20" a="1"/>
  <c r="F2089" i="20" s="1"/>
  <c r="H2089" i="20" a="1"/>
  <c r="H2089" i="20" s="1"/>
  <c r="B2089" i="20"/>
  <c r="J2089" i="20" a="1"/>
  <c r="J2089" i="20" s="1"/>
  <c r="L2089" i="20" a="1"/>
  <c r="L2089" i="20" s="1"/>
  <c r="D2090" i="20" a="1"/>
  <c r="D2090" i="20" s="1"/>
  <c r="F2090" i="20" a="1"/>
  <c r="F2090" i="20" s="1"/>
  <c r="B2090" i="20"/>
  <c r="H2090" i="20" a="1"/>
  <c r="H2090" i="20" s="1"/>
  <c r="J2090" i="20" a="1"/>
  <c r="J2090" i="20" s="1"/>
  <c r="L2090" i="20" a="1"/>
  <c r="L2090" i="20" s="1"/>
  <c r="D2091" i="20" a="1"/>
  <c r="D2091" i="20" s="1"/>
  <c r="F2091" i="20" a="1"/>
  <c r="F2091" i="20" s="1"/>
  <c r="B2091" i="20"/>
  <c r="H2091" i="20" a="1"/>
  <c r="H2091" i="20" s="1"/>
  <c r="J2091" i="20" a="1"/>
  <c r="J2091" i="20" s="1"/>
  <c r="L2091" i="20" a="1"/>
  <c r="L2091" i="20" s="1"/>
  <c r="D2092" i="20" a="1"/>
  <c r="D2092" i="20" s="1"/>
  <c r="F2092" i="20" a="1"/>
  <c r="F2092" i="20" s="1"/>
  <c r="B2092" i="20"/>
  <c r="H2092" i="20" a="1"/>
  <c r="H2092" i="20" s="1"/>
  <c r="J2092" i="20" a="1"/>
  <c r="J2092" i="20" s="1"/>
  <c r="L2092" i="20" a="1"/>
  <c r="L2092" i="20" s="1"/>
  <c r="D2093" i="20" a="1"/>
  <c r="D2093" i="20" s="1"/>
  <c r="F2093" i="20" a="1"/>
  <c r="F2093" i="20" s="1"/>
  <c r="B2093" i="20"/>
  <c r="H2093" i="20" a="1"/>
  <c r="H2093" i="20" s="1"/>
  <c r="J2093" i="20" a="1"/>
  <c r="J2093" i="20" s="1"/>
  <c r="L2093" i="20" a="1"/>
  <c r="L2093" i="20" s="1"/>
  <c r="D2094" i="20" a="1"/>
  <c r="D2094" i="20" s="1"/>
  <c r="F2094" i="20" a="1"/>
  <c r="F2094" i="20" s="1"/>
  <c r="H2094" i="20" a="1"/>
  <c r="H2094" i="20" s="1"/>
  <c r="B2094" i="20"/>
  <c r="J2094" i="20" a="1"/>
  <c r="J2094" i="20" s="1"/>
  <c r="L2094" i="20" a="1"/>
  <c r="L2094" i="20" s="1"/>
  <c r="D2095" i="20" a="1"/>
  <c r="D2095" i="20" s="1"/>
  <c r="F2095" i="20" a="1"/>
  <c r="F2095" i="20" s="1"/>
  <c r="H2095" i="20" a="1"/>
  <c r="H2095" i="20" s="1"/>
  <c r="B2095" i="20"/>
  <c r="J2095" i="20" a="1"/>
  <c r="J2095" i="20" s="1"/>
  <c r="L2095" i="20" a="1"/>
  <c r="L2095" i="20" s="1"/>
  <c r="B2096" i="20"/>
  <c r="D2096" i="20" a="1"/>
  <c r="D2096" i="20" s="1"/>
  <c r="F2096" i="20" a="1"/>
  <c r="F2096" i="20" s="1"/>
  <c r="H2096" i="20" a="1"/>
  <c r="H2096" i="20" s="1"/>
  <c r="J2096" i="20" a="1"/>
  <c r="J2096" i="20" s="1"/>
  <c r="L2096" i="20" a="1"/>
  <c r="L2096" i="20" s="1"/>
  <c r="D2097" i="20" a="1"/>
  <c r="D2097" i="20" s="1"/>
  <c r="F2097" i="20" a="1"/>
  <c r="F2097" i="20" s="1"/>
  <c r="B2097" i="20"/>
  <c r="H2097" i="20" a="1"/>
  <c r="H2097" i="20" s="1"/>
  <c r="J2097" i="20" a="1"/>
  <c r="J2097" i="20" s="1"/>
  <c r="L2097" i="20" a="1"/>
  <c r="L2097" i="20" s="1"/>
  <c r="D2098" i="20" a="1"/>
  <c r="D2098" i="20" s="1"/>
  <c r="F2098" i="20" a="1"/>
  <c r="F2098" i="20" s="1"/>
  <c r="H2098" i="20" a="1"/>
  <c r="H2098" i="20" s="1"/>
  <c r="B2098" i="20"/>
  <c r="J2098" i="20" a="1"/>
  <c r="J2098" i="20" s="1"/>
  <c r="L2098" i="20" a="1"/>
  <c r="L2098" i="20" s="1"/>
  <c r="D2099" i="20" a="1"/>
  <c r="D2099" i="20" s="1"/>
  <c r="F2099" i="20" a="1"/>
  <c r="F2099" i="20" s="1"/>
  <c r="H2099" i="20" a="1"/>
  <c r="H2099" i="20" s="1"/>
  <c r="B2099" i="20"/>
  <c r="J2099" i="20" a="1"/>
  <c r="J2099" i="20" s="1"/>
  <c r="L2099" i="20" a="1"/>
  <c r="L2099" i="20" s="1"/>
  <c r="B2100" i="20"/>
  <c r="D2100" i="20" a="1"/>
  <c r="D2100" i="20" s="1"/>
  <c r="F2100" i="20" a="1"/>
  <c r="F2100" i="20" s="1"/>
  <c r="H2100" i="20" a="1"/>
  <c r="H2100" i="20" s="1"/>
  <c r="J2100" i="20" a="1"/>
  <c r="J2100" i="20" s="1"/>
  <c r="L2100" i="20" a="1"/>
  <c r="L2100" i="20" s="1"/>
  <c r="D2101" i="20" a="1"/>
  <c r="D2101" i="20" s="1"/>
  <c r="F2101" i="20" a="1"/>
  <c r="F2101" i="20" s="1"/>
  <c r="H2101" i="20" a="1"/>
  <c r="H2101" i="20" s="1"/>
  <c r="J2101" i="20" a="1"/>
  <c r="J2101" i="20" s="1"/>
  <c r="B2101" i="20"/>
  <c r="L2101" i="20" a="1"/>
  <c r="L2101" i="20" s="1"/>
  <c r="D2102" i="20" a="1"/>
  <c r="D2102" i="20" s="1"/>
  <c r="F2102" i="20" a="1"/>
  <c r="F2102" i="20" s="1"/>
  <c r="B2102" i="20"/>
  <c r="H2102" i="20" a="1"/>
  <c r="H2102" i="20" s="1"/>
  <c r="J2102" i="20" a="1"/>
  <c r="J2102" i="20" s="1"/>
  <c r="L2102" i="20" a="1"/>
  <c r="L2102" i="20" s="1"/>
  <c r="B2103" i="20"/>
  <c r="D2103" i="20" a="1"/>
  <c r="D2103" i="20" s="1"/>
  <c r="F2103" i="20" a="1"/>
  <c r="F2103" i="20" s="1"/>
  <c r="H2103" i="20" a="1"/>
  <c r="H2103" i="20" s="1"/>
  <c r="J2103" i="20" a="1"/>
  <c r="J2103" i="20" s="1"/>
  <c r="L2103" i="20" a="1"/>
  <c r="L2103" i="20" s="1"/>
  <c r="D2104" i="20" a="1"/>
  <c r="D2104" i="20" s="1"/>
  <c r="F2104" i="20" a="1"/>
  <c r="F2104" i="20" s="1"/>
  <c r="B2104" i="20"/>
  <c r="H2104" i="20" a="1"/>
  <c r="H2104" i="20" s="1"/>
  <c r="J2104" i="20" a="1"/>
  <c r="J2104" i="20" s="1"/>
  <c r="L2104" i="20" a="1"/>
  <c r="L2104" i="20" s="1"/>
  <c r="D2105" i="20" a="1"/>
  <c r="D2105" i="20" s="1"/>
  <c r="F2105" i="20" a="1"/>
  <c r="F2105" i="20" s="1"/>
  <c r="H2105" i="20" a="1"/>
  <c r="H2105" i="20" s="1"/>
  <c r="J2105" i="20" a="1"/>
  <c r="J2105" i="20" s="1"/>
  <c r="B2105" i="20"/>
  <c r="L2105" i="20" a="1"/>
  <c r="L2105" i="20" s="1"/>
  <c r="D2106" i="20" a="1"/>
  <c r="D2106" i="20" s="1"/>
  <c r="F2106" i="20" a="1"/>
  <c r="F2106" i="20" s="1"/>
  <c r="B2106" i="20"/>
  <c r="H2106" i="20" a="1"/>
  <c r="H2106" i="20" s="1"/>
  <c r="J2106" i="20" a="1"/>
  <c r="J2106" i="20" s="1"/>
  <c r="L2106" i="20" a="1"/>
  <c r="L2106" i="20" s="1"/>
  <c r="D2107" i="20" a="1"/>
  <c r="D2107" i="20" s="1"/>
  <c r="F2107" i="20" a="1"/>
  <c r="F2107" i="20" s="1"/>
  <c r="B2107" i="20"/>
  <c r="H2107" i="20" a="1"/>
  <c r="H2107" i="20" s="1"/>
  <c r="J2107" i="20" a="1"/>
  <c r="J2107" i="20" s="1"/>
  <c r="L2107" i="20" a="1"/>
  <c r="L2107" i="20" s="1"/>
  <c r="D2108" i="20" a="1"/>
  <c r="D2108" i="20" s="1"/>
  <c r="F2108" i="20" a="1"/>
  <c r="F2108" i="20" s="1"/>
  <c r="B2108" i="20"/>
  <c r="H2108" i="20" a="1"/>
  <c r="H2108" i="20" s="1"/>
  <c r="J2108" i="20" a="1"/>
  <c r="J2108" i="20" s="1"/>
  <c r="L2108" i="20" a="1"/>
  <c r="L2108" i="20" s="1"/>
  <c r="D2109" i="20" a="1"/>
  <c r="D2109" i="20" s="1"/>
  <c r="F2109" i="20" a="1"/>
  <c r="F2109" i="20" s="1"/>
  <c r="H2109" i="20" a="1"/>
  <c r="H2109" i="20" s="1"/>
  <c r="B2109" i="20"/>
  <c r="J2109" i="20" a="1"/>
  <c r="J2109" i="20" s="1"/>
  <c r="L2109" i="20" a="1"/>
  <c r="L2109" i="20" s="1"/>
  <c r="D2110" i="20" a="1"/>
  <c r="D2110" i="20" s="1"/>
  <c r="F2110" i="20" a="1"/>
  <c r="F2110" i="20" s="1"/>
  <c r="H2110" i="20" a="1"/>
  <c r="H2110" i="20" s="1"/>
  <c r="B2110" i="20"/>
  <c r="J2110" i="20" a="1"/>
  <c r="J2110" i="20" s="1"/>
  <c r="L2110" i="20" a="1"/>
  <c r="L2110" i="20" s="1"/>
  <c r="D2111" i="20" a="1"/>
  <c r="D2111" i="20" s="1"/>
  <c r="F2111" i="20" a="1"/>
  <c r="F2111" i="20" s="1"/>
  <c r="B2111" i="20"/>
  <c r="H2111" i="20" a="1"/>
  <c r="H2111" i="20" s="1"/>
  <c r="J2111" i="20" a="1"/>
  <c r="J2111" i="20" s="1"/>
  <c r="L2111" i="20" a="1"/>
  <c r="L2111" i="20" s="1"/>
  <c r="D2112" i="20" a="1"/>
  <c r="D2112" i="20" s="1"/>
  <c r="F2112" i="20" a="1"/>
  <c r="F2112" i="20" s="1"/>
  <c r="B2112" i="20"/>
  <c r="H2112" i="20" a="1"/>
  <c r="H2112" i="20" s="1"/>
  <c r="J2112" i="20" a="1"/>
  <c r="J2112" i="20" s="1"/>
  <c r="L2112" i="20" a="1"/>
  <c r="L2112" i="20" s="1"/>
  <c r="D2113" i="20" a="1"/>
  <c r="D2113" i="20" s="1"/>
  <c r="F2113" i="20" a="1"/>
  <c r="F2113" i="20" s="1"/>
  <c r="H2113" i="20" a="1"/>
  <c r="H2113" i="20" s="1"/>
  <c r="J2113" i="20" a="1"/>
  <c r="J2113" i="20" s="1"/>
  <c r="B2113" i="20"/>
  <c r="L2113" i="20" a="1"/>
  <c r="L2113" i="20" s="1"/>
  <c r="B2114" i="20"/>
  <c r="D2114" i="20" a="1"/>
  <c r="D2114" i="20" s="1"/>
  <c r="F2114" i="20" a="1"/>
  <c r="F2114" i="20" s="1"/>
  <c r="H2114" i="20" a="1"/>
  <c r="H2114" i="20" s="1"/>
  <c r="J2114" i="20" a="1"/>
  <c r="J2114" i="20" s="1"/>
  <c r="L2114" i="20" a="1"/>
  <c r="L2114" i="20" s="1"/>
  <c r="D2115" i="20" a="1"/>
  <c r="D2115" i="20" s="1"/>
  <c r="F2115" i="20" a="1"/>
  <c r="F2115" i="20" s="1"/>
  <c r="H2115" i="20" a="1"/>
  <c r="H2115" i="20" s="1"/>
  <c r="J2115" i="20" a="1"/>
  <c r="J2115" i="20" s="1"/>
  <c r="B2115" i="20"/>
  <c r="L2115" i="20" a="1"/>
  <c r="L2115" i="20" s="1"/>
  <c r="B2116" i="20"/>
  <c r="D2116" i="20" a="1"/>
  <c r="D2116" i="20" s="1"/>
  <c r="F2116" i="20" a="1"/>
  <c r="F2116" i="20" s="1"/>
  <c r="H2116" i="20" a="1"/>
  <c r="H2116" i="20" s="1"/>
  <c r="J2116" i="20" a="1"/>
  <c r="J2116" i="20" s="1"/>
  <c r="L2116" i="20" a="1"/>
  <c r="L2116" i="20" s="1"/>
  <c r="D2117" i="20" a="1"/>
  <c r="D2117" i="20" s="1"/>
  <c r="F2117" i="20" a="1"/>
  <c r="F2117" i="20" s="1"/>
  <c r="H2117" i="20" a="1"/>
  <c r="H2117" i="20" s="1"/>
  <c r="J2117" i="20" a="1"/>
  <c r="J2117" i="20" s="1"/>
  <c r="B2117" i="20"/>
  <c r="L2117" i="20" a="1"/>
  <c r="L2117" i="20" s="1"/>
  <c r="B2118" i="20"/>
  <c r="D2118" i="20" a="1"/>
  <c r="D2118" i="20" s="1"/>
  <c r="F2118" i="20" a="1"/>
  <c r="F2118" i="20" s="1"/>
  <c r="H2118" i="20" a="1"/>
  <c r="H2118" i="20" s="1"/>
  <c r="J2118" i="20" a="1"/>
  <c r="J2118" i="20" s="1"/>
  <c r="L2118" i="20" a="1"/>
  <c r="L2118" i="20" s="1"/>
  <c r="D2119" i="20" a="1"/>
  <c r="D2119" i="20" s="1"/>
  <c r="F2119" i="20" a="1"/>
  <c r="F2119" i="20" s="1"/>
  <c r="H2119" i="20" a="1"/>
  <c r="H2119" i="20" s="1"/>
  <c r="J2119" i="20" a="1"/>
  <c r="J2119" i="20" s="1"/>
  <c r="B2119" i="20"/>
  <c r="L2119" i="20" a="1"/>
  <c r="L2119" i="20" s="1"/>
  <c r="B2120" i="20"/>
  <c r="D2120" i="20" a="1"/>
  <c r="D2120" i="20" s="1"/>
  <c r="F2120" i="20" a="1"/>
  <c r="F2120" i="20" s="1"/>
  <c r="H2120" i="20" a="1"/>
  <c r="H2120" i="20" s="1"/>
  <c r="J2120" i="20" a="1"/>
  <c r="J2120" i="20" s="1"/>
  <c r="L2120" i="20" a="1"/>
  <c r="L2120" i="20" s="1"/>
  <c r="D2121" i="20" a="1"/>
  <c r="D2121" i="20" s="1"/>
  <c r="F2121" i="20" a="1"/>
  <c r="F2121" i="20" s="1"/>
  <c r="H2121" i="20" a="1"/>
  <c r="H2121" i="20" s="1"/>
  <c r="B2121" i="20"/>
  <c r="J2121" i="20" a="1"/>
  <c r="J2121" i="20" s="1"/>
  <c r="L2121" i="20" a="1"/>
  <c r="L2121" i="20" s="1"/>
  <c r="D2122" i="20" a="1"/>
  <c r="D2122" i="20" s="1"/>
  <c r="B2122" i="20"/>
  <c r="F2122" i="20" a="1"/>
  <c r="F2122" i="20" s="1"/>
  <c r="H2122" i="20" a="1"/>
  <c r="H2122" i="20" s="1"/>
  <c r="J2122" i="20" a="1"/>
  <c r="J2122" i="20" s="1"/>
  <c r="L2122" i="20" a="1"/>
  <c r="L2122" i="20" s="1"/>
  <c r="D2123" i="20" a="1"/>
  <c r="D2123" i="20" s="1"/>
  <c r="F2123" i="20" a="1"/>
  <c r="F2123" i="20" s="1"/>
  <c r="H2123" i="20" a="1"/>
  <c r="H2123" i="20" s="1"/>
  <c r="B2123" i="20"/>
  <c r="J2123" i="20" a="1"/>
  <c r="J2123" i="20" s="1"/>
  <c r="L2123" i="20" a="1"/>
  <c r="L2123" i="20" s="1"/>
  <c r="D2124" i="20" a="1"/>
  <c r="D2124" i="20" s="1"/>
  <c r="F2124" i="20" a="1"/>
  <c r="F2124" i="20" s="1"/>
  <c r="H2124" i="20" a="1"/>
  <c r="H2124" i="20" s="1"/>
  <c r="J2124" i="20" a="1"/>
  <c r="J2124" i="20" s="1"/>
  <c r="B2124" i="20"/>
  <c r="L2124" i="20" a="1"/>
  <c r="L2124" i="20" s="1"/>
  <c r="B2125" i="20"/>
  <c r="D2125" i="20" a="1"/>
  <c r="D2125" i="20" s="1"/>
  <c r="F2125" i="20" a="1"/>
  <c r="F2125" i="20" s="1"/>
  <c r="H2125" i="20" a="1"/>
  <c r="H2125" i="20" s="1"/>
  <c r="J2125" i="20" a="1"/>
  <c r="J2125" i="20" s="1"/>
  <c r="L2125" i="20" a="1"/>
  <c r="L2125" i="20" s="1"/>
  <c r="D2126" i="20" a="1"/>
  <c r="D2126" i="20" s="1"/>
  <c r="F2126" i="20" a="1"/>
  <c r="F2126" i="20" s="1"/>
  <c r="H2126" i="20" a="1"/>
  <c r="H2126" i="20" s="1"/>
  <c r="B2126" i="20"/>
  <c r="J2126" i="20" a="1"/>
  <c r="J2126" i="20" s="1"/>
  <c r="L2126" i="20" a="1"/>
  <c r="L2126" i="20" s="1"/>
  <c r="D2127" i="20" a="1"/>
  <c r="D2127" i="20" s="1"/>
  <c r="F2127" i="20" a="1"/>
  <c r="F2127" i="20" s="1"/>
  <c r="H2127" i="20" a="1"/>
  <c r="H2127" i="20" s="1"/>
  <c r="B2127" i="20"/>
  <c r="J2127" i="20" a="1"/>
  <c r="J2127" i="20" s="1"/>
  <c r="L2127" i="20" a="1"/>
  <c r="L2127" i="20" s="1"/>
  <c r="D2128" i="20" a="1"/>
  <c r="D2128" i="20" s="1"/>
  <c r="F2128" i="20" a="1"/>
  <c r="F2128" i="20" s="1"/>
  <c r="H2128" i="20" a="1"/>
  <c r="H2128" i="20" s="1"/>
  <c r="J2128" i="20" a="1"/>
  <c r="J2128" i="20" s="1"/>
  <c r="B2128" i="20"/>
  <c r="L2128" i="20" a="1"/>
  <c r="L2128" i="20" s="1"/>
  <c r="B2129" i="20"/>
  <c r="D2129" i="20" a="1"/>
  <c r="D2129" i="20" s="1"/>
  <c r="F2129" i="20" a="1"/>
  <c r="F2129" i="20" s="1"/>
  <c r="H2129" i="20" a="1"/>
  <c r="H2129" i="20" s="1"/>
  <c r="J2129" i="20" a="1"/>
  <c r="J2129" i="20" s="1"/>
  <c r="L2129" i="20" a="1"/>
  <c r="L2129" i="20" s="1"/>
  <c r="D2130" i="20" a="1"/>
  <c r="D2130" i="20" s="1"/>
  <c r="B2130" i="20"/>
  <c r="F2130" i="20" a="1"/>
  <c r="F2130" i="20" s="1"/>
  <c r="H2130" i="20" a="1"/>
  <c r="H2130" i="20" s="1"/>
  <c r="J2130" i="20" a="1"/>
  <c r="J2130" i="20" s="1"/>
  <c r="L2130" i="20" a="1"/>
  <c r="L2130" i="20" s="1"/>
  <c r="D2131" i="20" a="1"/>
  <c r="D2131" i="20" s="1"/>
  <c r="F2131" i="20" a="1"/>
  <c r="F2131" i="20" s="1"/>
  <c r="B2131" i="20"/>
  <c r="H2131" i="20" a="1"/>
  <c r="H2131" i="20" s="1"/>
  <c r="J2131" i="20" a="1"/>
  <c r="J2131" i="20" s="1"/>
  <c r="L2131" i="20" a="1"/>
  <c r="L2131" i="20" s="1"/>
  <c r="D2132" i="20" a="1"/>
  <c r="D2132" i="20" s="1"/>
  <c r="B2132" i="20"/>
  <c r="F2132" i="20" a="1"/>
  <c r="F2132" i="20" s="1"/>
  <c r="H2132" i="20" a="1"/>
  <c r="H2132" i="20" s="1"/>
  <c r="J2132" i="20" a="1"/>
  <c r="J2132" i="20" s="1"/>
  <c r="L2132" i="20" a="1"/>
  <c r="L2132" i="20" s="1"/>
  <c r="D2133" i="20" a="1"/>
  <c r="D2133" i="20" s="1"/>
  <c r="B2133" i="20"/>
  <c r="F2133" i="20" a="1"/>
  <c r="F2133" i="20" s="1"/>
  <c r="H2133" i="20" a="1"/>
  <c r="H2133" i="20" s="1"/>
  <c r="J2133" i="20" a="1"/>
  <c r="J2133" i="20" s="1"/>
  <c r="L2133" i="20" a="1"/>
  <c r="L2133" i="20" s="1"/>
  <c r="D2134" i="20" a="1"/>
  <c r="D2134" i="20" s="1"/>
  <c r="F2134" i="20" a="1"/>
  <c r="F2134" i="20" s="1"/>
  <c r="H2134" i="20" a="1"/>
  <c r="H2134" i="20" s="1"/>
  <c r="B2134" i="20"/>
  <c r="J2134" i="20" a="1"/>
  <c r="J2134" i="20" s="1"/>
  <c r="L2134" i="20" a="1"/>
  <c r="L2134" i="20" s="1"/>
  <c r="D2135" i="20" a="1"/>
  <c r="D2135" i="20" s="1"/>
  <c r="F2135" i="20" a="1"/>
  <c r="F2135" i="20" s="1"/>
  <c r="H2135" i="20" a="1"/>
  <c r="H2135" i="20" s="1"/>
  <c r="B2135" i="20"/>
  <c r="J2135" i="20" a="1"/>
  <c r="J2135" i="20" s="1"/>
  <c r="L2135" i="20" a="1"/>
  <c r="L2135" i="20" s="1"/>
  <c r="D2136" i="20" a="1"/>
  <c r="D2136" i="20" s="1"/>
  <c r="F2136" i="20" a="1"/>
  <c r="F2136" i="20" s="1"/>
  <c r="H2136" i="20" a="1"/>
  <c r="H2136" i="20" s="1"/>
  <c r="J2136" i="20" a="1"/>
  <c r="J2136" i="20" s="1"/>
  <c r="B2136" i="20"/>
  <c r="L2136" i="20" a="1"/>
  <c r="L2136" i="20" s="1"/>
  <c r="B2137" i="20"/>
  <c r="D2137" i="20" a="1"/>
  <c r="D2137" i="20" s="1"/>
  <c r="F2137" i="20" a="1"/>
  <c r="F2137" i="20" s="1"/>
  <c r="H2137" i="20" a="1"/>
  <c r="H2137" i="20" s="1"/>
  <c r="J2137" i="20" a="1"/>
  <c r="J2137" i="20" s="1"/>
  <c r="L2137" i="20" a="1"/>
  <c r="L2137" i="20" s="1"/>
  <c r="D2138" i="20" a="1"/>
  <c r="D2138" i="20" s="1"/>
  <c r="F2138" i="20" a="1"/>
  <c r="F2138" i="20" s="1"/>
  <c r="H2138" i="20" a="1"/>
  <c r="H2138" i="20" s="1"/>
  <c r="B2138" i="20"/>
  <c r="J2138" i="20" a="1"/>
  <c r="J2138" i="20" s="1"/>
  <c r="L2138" i="20" a="1"/>
  <c r="L2138" i="20" s="1"/>
  <c r="D2139" i="20" a="1"/>
  <c r="D2139" i="20" s="1"/>
  <c r="F2139" i="20" a="1"/>
  <c r="F2139" i="20" s="1"/>
  <c r="H2139" i="20" a="1"/>
  <c r="H2139" i="20" s="1"/>
  <c r="B2139" i="20"/>
  <c r="J2139" i="20" a="1"/>
  <c r="J2139" i="20" s="1"/>
  <c r="L2139" i="20" a="1"/>
  <c r="L2139" i="20" s="1"/>
  <c r="D2140" i="20" a="1"/>
  <c r="D2140" i="20" s="1"/>
  <c r="B2140" i="20"/>
  <c r="F2140" i="20" a="1"/>
  <c r="F2140" i="20" s="1"/>
  <c r="H2140" i="20" a="1"/>
  <c r="H2140" i="20" s="1"/>
  <c r="J2140" i="20" a="1"/>
  <c r="J2140" i="20" s="1"/>
  <c r="L2140" i="20" a="1"/>
  <c r="L2140" i="20" s="1"/>
  <c r="D2141" i="20" a="1"/>
  <c r="D2141" i="20" s="1"/>
  <c r="F2141" i="20" a="1"/>
  <c r="F2141" i="20" s="1"/>
  <c r="H2141" i="20" a="1"/>
  <c r="H2141" i="20" s="1"/>
  <c r="B2141" i="20"/>
  <c r="J2141" i="20" a="1"/>
  <c r="J2141" i="20" s="1"/>
  <c r="L2141" i="20" a="1"/>
  <c r="L2141" i="20" s="1"/>
  <c r="D2142" i="20" a="1"/>
  <c r="D2142" i="20" s="1"/>
  <c r="F2142" i="20" a="1"/>
  <c r="F2142" i="20" s="1"/>
  <c r="H2142" i="20" a="1"/>
  <c r="H2142" i="20" s="1"/>
  <c r="B2142" i="20"/>
  <c r="J2142" i="20" a="1"/>
  <c r="J2142" i="20" s="1"/>
  <c r="L2142" i="20" a="1"/>
  <c r="L2142" i="20" s="1"/>
  <c r="D2143" i="20" a="1"/>
  <c r="D2143" i="20" s="1"/>
  <c r="F2143" i="20" a="1"/>
  <c r="F2143" i="20" s="1"/>
  <c r="H2143" i="20" a="1"/>
  <c r="H2143" i="20" s="1"/>
  <c r="J2143" i="20" a="1"/>
  <c r="J2143" i="20" s="1"/>
  <c r="B2143" i="20"/>
  <c r="L2143" i="20" a="1"/>
  <c r="L2143" i="20" s="1"/>
  <c r="D2144" i="20" a="1"/>
  <c r="D2144" i="20" s="1"/>
  <c r="B2144" i="20"/>
  <c r="F2144" i="20" a="1"/>
  <c r="F2144" i="20" s="1"/>
  <c r="H2144" i="20" a="1"/>
  <c r="H2144" i="20" s="1"/>
  <c r="J2144" i="20" a="1"/>
  <c r="J2144" i="20" s="1"/>
  <c r="L2144" i="20" a="1"/>
  <c r="L2144" i="20" s="1"/>
  <c r="B2145" i="20"/>
  <c r="D2145" i="20" a="1"/>
  <c r="D2145" i="20" s="1"/>
  <c r="F2145" i="20" a="1"/>
  <c r="F2145" i="20" s="1"/>
  <c r="H2145" i="20" a="1"/>
  <c r="H2145" i="20" s="1"/>
  <c r="J2145" i="20" a="1"/>
  <c r="J2145" i="20" s="1"/>
  <c r="L2145" i="20" a="1"/>
  <c r="L2145" i="20" s="1"/>
  <c r="D2146" i="20" a="1"/>
  <c r="D2146" i="20" s="1"/>
  <c r="B2146" i="20"/>
  <c r="H2146" i="20" a="1"/>
  <c r="H2146" i="20" s="1"/>
  <c r="F2146" i="20" a="1"/>
  <c r="F2146" i="20" s="1"/>
  <c r="J2146" i="20" a="1"/>
  <c r="J2146" i="20" s="1"/>
  <c r="L2146" i="20" a="1"/>
  <c r="L2146" i="20" s="1"/>
  <c r="D2147" i="20" a="1"/>
  <c r="D2147" i="20" s="1"/>
  <c r="B2147" i="20"/>
  <c r="F2147" i="20" a="1"/>
  <c r="F2147" i="20" s="1"/>
  <c r="H2147" i="20" a="1"/>
  <c r="H2147" i="20" s="1"/>
  <c r="J2147" i="20" a="1"/>
  <c r="J2147" i="20" s="1"/>
  <c r="L2147" i="20" a="1"/>
  <c r="L2147" i="20" s="1"/>
  <c r="D2148" i="20" a="1"/>
  <c r="D2148" i="20" s="1"/>
  <c r="F2148" i="20" a="1"/>
  <c r="F2148" i="20" s="1"/>
  <c r="H2148" i="20" a="1"/>
  <c r="H2148" i="20" s="1"/>
  <c r="B2148" i="20"/>
  <c r="J2148" i="20" a="1"/>
  <c r="J2148" i="20" s="1"/>
  <c r="L2148" i="20" a="1"/>
  <c r="L2148" i="20" s="1"/>
  <c r="D2149" i="20" a="1"/>
  <c r="D2149" i="20" s="1"/>
  <c r="H2149" i="20" a="1"/>
  <c r="H2149" i="20" s="1"/>
  <c r="F2149" i="20" a="1"/>
  <c r="F2149" i="20" s="1"/>
  <c r="J2149" i="20" a="1"/>
  <c r="J2149" i="20" s="1"/>
  <c r="B2149" i="20"/>
  <c r="L2149" i="20" a="1"/>
  <c r="L2149" i="20" s="1"/>
  <c r="D2150" i="20" a="1"/>
  <c r="D2150" i="20" s="1"/>
  <c r="F2150" i="20" a="1"/>
  <c r="F2150" i="20" s="1"/>
  <c r="H2150" i="20" a="1"/>
  <c r="H2150" i="20" s="1"/>
  <c r="J2150" i="20" a="1"/>
  <c r="J2150" i="20" s="1"/>
  <c r="B2150" i="20"/>
  <c r="L2150" i="20" a="1"/>
  <c r="L2150" i="20" s="1"/>
  <c r="B2151" i="20"/>
  <c r="D2151" i="20" a="1"/>
  <c r="D2151" i="20" s="1"/>
  <c r="H2151" i="20" a="1"/>
  <c r="H2151" i="20" s="1"/>
  <c r="F2151" i="20" a="1"/>
  <c r="F2151" i="20" s="1"/>
  <c r="J2151" i="20" a="1"/>
  <c r="J2151" i="20" s="1"/>
  <c r="L2151" i="20" a="1"/>
  <c r="L2151" i="20" s="1"/>
  <c r="D2152" i="20" a="1"/>
  <c r="D2152" i="20" s="1"/>
  <c r="H2152" i="20" a="1"/>
  <c r="H2152" i="20" s="1"/>
  <c r="B2152" i="20"/>
  <c r="F2152" i="20" a="1"/>
  <c r="F2152" i="20" s="1"/>
  <c r="J2152" i="20" a="1"/>
  <c r="J2152" i="20" s="1"/>
  <c r="L2152" i="20" a="1"/>
  <c r="L2152" i="20" s="1"/>
  <c r="D2153" i="20" a="1"/>
  <c r="D2153" i="20" s="1"/>
  <c r="F2153" i="20" a="1"/>
  <c r="F2153" i="20" s="1"/>
  <c r="H2153" i="20" a="1"/>
  <c r="H2153" i="20" s="1"/>
  <c r="B2153" i="20"/>
  <c r="J2153" i="20" a="1"/>
  <c r="J2153" i="20" s="1"/>
  <c r="L2153" i="20" a="1"/>
  <c r="L2153" i="20" s="1"/>
  <c r="D2154" i="20" a="1"/>
  <c r="D2154" i="20" s="1"/>
  <c r="B2154" i="20"/>
  <c r="F2154" i="20" a="1"/>
  <c r="F2154" i="20" s="1"/>
  <c r="H2154" i="20" a="1"/>
  <c r="H2154" i="20" s="1"/>
  <c r="J2154" i="20" a="1"/>
  <c r="J2154" i="20" s="1"/>
  <c r="L2154" i="20" a="1"/>
  <c r="L2154" i="20" s="1"/>
  <c r="D2155" i="20" a="1"/>
  <c r="D2155" i="20" s="1"/>
  <c r="B2155" i="20"/>
  <c r="H2155" i="20" a="1"/>
  <c r="H2155" i="20" s="1"/>
  <c r="F2155" i="20" a="1"/>
  <c r="F2155" i="20" s="1"/>
  <c r="J2155" i="20" a="1"/>
  <c r="J2155" i="20" s="1"/>
  <c r="L2155" i="20" a="1"/>
  <c r="L2155" i="20" s="1"/>
  <c r="D2156" i="20" a="1"/>
  <c r="D2156" i="20" s="1"/>
  <c r="B2156" i="20"/>
  <c r="F2156" i="20" a="1"/>
  <c r="F2156" i="20" s="1"/>
  <c r="H2156" i="20" a="1"/>
  <c r="H2156" i="20" s="1"/>
  <c r="J2156" i="20" a="1"/>
  <c r="J2156" i="20" s="1"/>
  <c r="L2156" i="20" a="1"/>
  <c r="L2156" i="20" s="1"/>
  <c r="D2157" i="20" a="1"/>
  <c r="D2157" i="20" s="1"/>
  <c r="F2157" i="20" a="1"/>
  <c r="F2157" i="20" s="1"/>
  <c r="B2157" i="20"/>
  <c r="H2157" i="20" a="1"/>
  <c r="H2157" i="20" s="1"/>
  <c r="J2157" i="20" a="1"/>
  <c r="J2157" i="20" s="1"/>
  <c r="L2157" i="20" a="1"/>
  <c r="L2157" i="20" s="1"/>
  <c r="D2158" i="20" a="1"/>
  <c r="D2158" i="20" s="1"/>
  <c r="B2158" i="20"/>
  <c r="F2158" i="20" a="1"/>
  <c r="F2158" i="20" s="1"/>
  <c r="H2158" i="20" a="1"/>
  <c r="H2158" i="20" s="1"/>
  <c r="J2158" i="20" a="1"/>
  <c r="J2158" i="20" s="1"/>
  <c r="L2158" i="20" a="1"/>
  <c r="L2158" i="20" s="1"/>
  <c r="D2159" i="20" a="1"/>
  <c r="D2159" i="20" s="1"/>
  <c r="B2159" i="20"/>
  <c r="H2159" i="20" a="1"/>
  <c r="H2159" i="20" s="1"/>
  <c r="F2159" i="20" a="1"/>
  <c r="F2159" i="20" s="1"/>
  <c r="J2159" i="20" a="1"/>
  <c r="J2159" i="20" s="1"/>
  <c r="L2159" i="20" a="1"/>
  <c r="L2159" i="20" s="1"/>
  <c r="B2160" i="20"/>
  <c r="D2160" i="20" a="1"/>
  <c r="D2160" i="20" s="1"/>
  <c r="F2160" i="20" a="1"/>
  <c r="F2160" i="20" s="1"/>
  <c r="H2160" i="20" a="1"/>
  <c r="H2160" i="20" s="1"/>
  <c r="J2160" i="20" a="1"/>
  <c r="J2160" i="20" s="1"/>
  <c r="L2160" i="20" a="1"/>
  <c r="L2160" i="20" s="1"/>
  <c r="D2161" i="20" a="1"/>
  <c r="D2161" i="20" s="1"/>
  <c r="F2161" i="20" a="1"/>
  <c r="F2161" i="20" s="1"/>
  <c r="H2161" i="20" a="1"/>
  <c r="H2161" i="20" s="1"/>
  <c r="J2161" i="20" a="1"/>
  <c r="J2161" i="20" s="1"/>
  <c r="B2161" i="20"/>
  <c r="L2161" i="20" a="1"/>
  <c r="L2161" i="20" s="1"/>
  <c r="B2162" i="20"/>
  <c r="D2162" i="20" a="1"/>
  <c r="D2162" i="20" s="1"/>
  <c r="F2162" i="20" a="1"/>
  <c r="F2162" i="20" s="1"/>
  <c r="H2162" i="20" a="1"/>
  <c r="H2162" i="20" s="1"/>
  <c r="J2162" i="20" a="1"/>
  <c r="J2162" i="20" s="1"/>
  <c r="L2162" i="20" a="1"/>
  <c r="L2162" i="20" s="1"/>
  <c r="D2163" i="20" a="1"/>
  <c r="D2163" i="20" s="1"/>
  <c r="F2163" i="20" a="1"/>
  <c r="F2163" i="20" s="1"/>
  <c r="H2163" i="20" a="1"/>
  <c r="H2163" i="20" s="1"/>
  <c r="J2163" i="20" a="1"/>
  <c r="J2163" i="20" s="1"/>
  <c r="B2163" i="20"/>
  <c r="L2163" i="20" a="1"/>
  <c r="L2163" i="20" s="1"/>
  <c r="D2164" i="20" a="1"/>
  <c r="D2164" i="20" s="1"/>
  <c r="H2164" i="20" a="1"/>
  <c r="H2164" i="20" s="1"/>
  <c r="F2164" i="20" a="1"/>
  <c r="F2164" i="20" s="1"/>
  <c r="J2164" i="20" a="1"/>
  <c r="J2164" i="20" s="1"/>
  <c r="B2164" i="20"/>
  <c r="L2164" i="20" a="1"/>
  <c r="L2164" i="20" s="1"/>
  <c r="B2165" i="20"/>
  <c r="D2165" i="20" a="1"/>
  <c r="D2165" i="20" s="1"/>
  <c r="F2165" i="20" a="1"/>
  <c r="F2165" i="20" s="1"/>
  <c r="H2165" i="20" a="1"/>
  <c r="H2165" i="20" s="1"/>
  <c r="J2165" i="20" a="1"/>
  <c r="J2165" i="20" s="1"/>
  <c r="L2165" i="20" a="1"/>
  <c r="L2165" i="20" s="1"/>
  <c r="D2166" i="20" a="1"/>
  <c r="D2166" i="20" s="1"/>
  <c r="B2166" i="20"/>
  <c r="H2166" i="20" a="1"/>
  <c r="H2166" i="20" s="1"/>
  <c r="F2166" i="20" a="1"/>
  <c r="F2166" i="20" s="1"/>
  <c r="J2166" i="20" a="1"/>
  <c r="J2166" i="20" s="1"/>
  <c r="L2166" i="20" a="1"/>
  <c r="L2166" i="20" s="1"/>
  <c r="D2167" i="20" a="1"/>
  <c r="D2167" i="20" s="1"/>
  <c r="F2167" i="20" a="1"/>
  <c r="F2167" i="20" s="1"/>
  <c r="B2167" i="20"/>
  <c r="H2167" i="20" a="1"/>
  <c r="H2167" i="20" s="1"/>
  <c r="J2167" i="20" a="1"/>
  <c r="J2167" i="20" s="1"/>
  <c r="L2167" i="20" a="1"/>
  <c r="L2167" i="20" s="1"/>
  <c r="B2168" i="20"/>
  <c r="D2168" i="20" a="1"/>
  <c r="D2168" i="20" s="1"/>
  <c r="F2168" i="20" a="1"/>
  <c r="F2168" i="20" s="1"/>
  <c r="H2168" i="20" a="1"/>
  <c r="H2168" i="20" s="1"/>
  <c r="J2168" i="20" a="1"/>
  <c r="J2168" i="20" s="1"/>
  <c r="L2168" i="20" a="1"/>
  <c r="L2168" i="20" s="1"/>
  <c r="D2169" i="20" a="1"/>
  <c r="D2169" i="20" s="1"/>
  <c r="H2169" i="20" a="1"/>
  <c r="H2169" i="20" s="1"/>
  <c r="F2169" i="20" a="1"/>
  <c r="F2169" i="20" s="1"/>
  <c r="J2169" i="20" a="1"/>
  <c r="J2169" i="20" s="1"/>
  <c r="B2169" i="20"/>
  <c r="L2169" i="20" a="1"/>
  <c r="L2169" i="20" s="1"/>
  <c r="D2170" i="20" a="1"/>
  <c r="D2170" i="20" s="1"/>
  <c r="B2170" i="20"/>
  <c r="F2170" i="20" a="1"/>
  <c r="F2170" i="20" s="1"/>
  <c r="H2170" i="20" a="1"/>
  <c r="H2170" i="20" s="1"/>
  <c r="J2170" i="20" a="1"/>
  <c r="J2170" i="20" s="1"/>
  <c r="L2170" i="20" a="1"/>
  <c r="L2170" i="20" s="1"/>
  <c r="D2171" i="20" a="1"/>
  <c r="D2171" i="20" s="1"/>
  <c r="B2171" i="20"/>
  <c r="F2171" i="20" a="1"/>
  <c r="F2171" i="20" s="1"/>
  <c r="H2171" i="20" a="1"/>
  <c r="H2171" i="20" s="1"/>
  <c r="J2171" i="20" a="1"/>
  <c r="J2171" i="20" s="1"/>
  <c r="L2171" i="20" a="1"/>
  <c r="L2171" i="20" s="1"/>
  <c r="D2172" i="20" a="1"/>
  <c r="D2172" i="20" s="1"/>
  <c r="B2172" i="20"/>
  <c r="H2172" i="20" a="1"/>
  <c r="H2172" i="20" s="1"/>
  <c r="F2172" i="20" a="1"/>
  <c r="F2172" i="20" s="1"/>
  <c r="J2172" i="20" a="1"/>
  <c r="J2172" i="20" s="1"/>
  <c r="L2172" i="20" a="1"/>
  <c r="L2172" i="20" s="1"/>
  <c r="D2173" i="20" a="1"/>
  <c r="D2173" i="20" s="1"/>
  <c r="F2173" i="20" a="1"/>
  <c r="F2173" i="20" s="1"/>
  <c r="B2173" i="20"/>
  <c r="H2173" i="20" a="1"/>
  <c r="H2173" i="20" s="1"/>
  <c r="J2173" i="20" a="1"/>
  <c r="J2173" i="20" s="1"/>
  <c r="L2173" i="20" a="1"/>
  <c r="L2173" i="20" s="1"/>
  <c r="D2174" i="20" a="1"/>
  <c r="D2174" i="20" s="1"/>
  <c r="F2174" i="20" a="1"/>
  <c r="F2174" i="20" s="1"/>
  <c r="H2174" i="20" a="1"/>
  <c r="H2174" i="20" s="1"/>
  <c r="B2174" i="20"/>
  <c r="J2174" i="20" a="1"/>
  <c r="J2174" i="20" s="1"/>
  <c r="L2174" i="20" a="1"/>
  <c r="L2174" i="20" s="1"/>
  <c r="B2175" i="20"/>
  <c r="D2175" i="20" a="1"/>
  <c r="D2175" i="20" s="1"/>
  <c r="H2175" i="20" a="1"/>
  <c r="H2175" i="20" s="1"/>
  <c r="F2175" i="20" a="1"/>
  <c r="F2175" i="20" s="1"/>
  <c r="J2175" i="20" a="1"/>
  <c r="J2175" i="20" s="1"/>
  <c r="L2175" i="20" a="1"/>
  <c r="L2175" i="20" s="1"/>
  <c r="D2176" i="20" a="1"/>
  <c r="D2176" i="20" s="1"/>
  <c r="F2176" i="20" a="1"/>
  <c r="F2176" i="20" s="1"/>
  <c r="B2176" i="20"/>
  <c r="H2176" i="20" a="1"/>
  <c r="H2176" i="20" s="1"/>
  <c r="J2176" i="20" a="1"/>
  <c r="J2176" i="20" s="1"/>
  <c r="L2176" i="20" a="1"/>
  <c r="L2176" i="20" s="1"/>
  <c r="D2177" i="20" a="1"/>
  <c r="D2177" i="20" s="1"/>
  <c r="H2177" i="20" a="1"/>
  <c r="H2177" i="20" s="1"/>
  <c r="F2177" i="20" a="1"/>
  <c r="F2177" i="20" s="1"/>
  <c r="J2177" i="20" a="1"/>
  <c r="J2177" i="20" s="1"/>
  <c r="B2177" i="20"/>
  <c r="L2177" i="20" a="1"/>
  <c r="L2177" i="20" s="1"/>
  <c r="D2178" i="20" a="1"/>
  <c r="D2178" i="20" s="1"/>
  <c r="B2178" i="20"/>
  <c r="F2178" i="20" a="1"/>
  <c r="F2178" i="20" s="1"/>
  <c r="H2178" i="20" a="1"/>
  <c r="H2178" i="20" s="1"/>
  <c r="J2178" i="20" a="1"/>
  <c r="J2178" i="20" s="1"/>
  <c r="L2178" i="20" a="1"/>
  <c r="L2178" i="20" s="1"/>
  <c r="D2179" i="20" a="1"/>
  <c r="D2179" i="20" s="1"/>
  <c r="F2179" i="20" a="1"/>
  <c r="F2179" i="20" s="1"/>
  <c r="B2179" i="20"/>
  <c r="H2179" i="20" a="1"/>
  <c r="H2179" i="20" s="1"/>
  <c r="J2179" i="20" a="1"/>
  <c r="J2179" i="20" s="1"/>
  <c r="L2179" i="20" a="1"/>
  <c r="L2179" i="20" s="1"/>
  <c r="D2180" i="20" a="1"/>
  <c r="D2180" i="20" s="1"/>
  <c r="H2180" i="20" a="1"/>
  <c r="H2180" i="20" s="1"/>
  <c r="F2180" i="20" a="1"/>
  <c r="F2180" i="20" s="1"/>
  <c r="J2180" i="20" a="1"/>
  <c r="J2180" i="20" s="1"/>
  <c r="B2180" i="20"/>
  <c r="L2180" i="20" a="1"/>
  <c r="L2180" i="20" s="1"/>
  <c r="B2181" i="20"/>
  <c r="D2181" i="20" a="1"/>
  <c r="D2181" i="20" s="1"/>
  <c r="F2181" i="20" a="1"/>
  <c r="F2181" i="20" s="1"/>
  <c r="H2181" i="20" a="1"/>
  <c r="H2181" i="20" s="1"/>
  <c r="J2181" i="20" a="1"/>
  <c r="J2181" i="20" s="1"/>
  <c r="L2181" i="20" a="1"/>
  <c r="L2181" i="20" s="1"/>
  <c r="D2182" i="20" a="1"/>
  <c r="D2182" i="20" s="1"/>
  <c r="F2182" i="20" a="1"/>
  <c r="F2182" i="20" s="1"/>
  <c r="H2182" i="20" a="1"/>
  <c r="H2182" i="20" s="1"/>
  <c r="B2182" i="20"/>
  <c r="J2182" i="20" a="1"/>
  <c r="J2182" i="20" s="1"/>
  <c r="L2182" i="20" a="1"/>
  <c r="L2182" i="20" s="1"/>
  <c r="D2183" i="20" a="1"/>
  <c r="D2183" i="20" s="1"/>
  <c r="H2183" i="20" a="1"/>
  <c r="H2183" i="20" s="1"/>
  <c r="B2183" i="20"/>
  <c r="F2183" i="20" a="1"/>
  <c r="F2183" i="20" s="1"/>
  <c r="J2183" i="20" a="1"/>
  <c r="J2183" i="20" s="1"/>
  <c r="L2183" i="20" a="1"/>
  <c r="L2183" i="20" s="1"/>
  <c r="B2184" i="20"/>
  <c r="D2184" i="20" a="1"/>
  <c r="D2184" i="20" s="1"/>
  <c r="F2184" i="20" a="1"/>
  <c r="F2184" i="20" s="1"/>
  <c r="H2184" i="20" a="1"/>
  <c r="H2184" i="20" s="1"/>
  <c r="J2184" i="20" a="1"/>
  <c r="J2184" i="20" s="1"/>
  <c r="L2184" i="20" a="1"/>
  <c r="L2184" i="20" s="1"/>
  <c r="D2185" i="20" a="1"/>
  <c r="D2185" i="20" s="1"/>
  <c r="F2185" i="20" a="1"/>
  <c r="F2185" i="20" s="1"/>
  <c r="H2185" i="20" a="1"/>
  <c r="H2185" i="20" s="1"/>
  <c r="J2185" i="20" a="1"/>
  <c r="J2185" i="20" s="1"/>
  <c r="B2185" i="20"/>
  <c r="L2185" i="20" a="1"/>
  <c r="L2185" i="20" s="1"/>
  <c r="D2186" i="20" a="1"/>
  <c r="D2186" i="20" s="1"/>
  <c r="B2186" i="20"/>
  <c r="H2186" i="20" a="1"/>
  <c r="H2186" i="20" s="1"/>
  <c r="F2186" i="20" a="1"/>
  <c r="F2186" i="20" s="1"/>
  <c r="J2186" i="20" a="1"/>
  <c r="J2186" i="20" s="1"/>
  <c r="L2186" i="20" a="1"/>
  <c r="L2186" i="20" s="1"/>
  <c r="D2187" i="20" a="1"/>
  <c r="D2187" i="20" s="1"/>
  <c r="F2187" i="20" a="1"/>
  <c r="F2187" i="20" s="1"/>
  <c r="H2187" i="20" a="1"/>
  <c r="H2187" i="20" s="1"/>
  <c r="B2187" i="20"/>
  <c r="J2187" i="20" a="1"/>
  <c r="J2187" i="20" s="1"/>
  <c r="L2187" i="20" a="1"/>
  <c r="L2187" i="20" s="1"/>
  <c r="B2188" i="20"/>
  <c r="D2188" i="20" a="1"/>
  <c r="D2188" i="20" s="1"/>
  <c r="F2188" i="20" a="1"/>
  <c r="F2188" i="20" s="1"/>
  <c r="H2188" i="20" a="1"/>
  <c r="H2188" i="20" s="1"/>
  <c r="J2188" i="20" a="1"/>
  <c r="J2188" i="20" s="1"/>
  <c r="L2188" i="20" a="1"/>
  <c r="L2188" i="20" s="1"/>
  <c r="D2189" i="20" a="1"/>
  <c r="D2189" i="20" s="1"/>
  <c r="F2189" i="20" a="1"/>
  <c r="F2189" i="20" s="1"/>
  <c r="H2189" i="20" a="1"/>
  <c r="H2189" i="20" s="1"/>
  <c r="J2189" i="20" a="1"/>
  <c r="J2189" i="20" s="1"/>
  <c r="B2189" i="20"/>
  <c r="L2189" i="20" a="1"/>
  <c r="L2189" i="20" s="1"/>
  <c r="D2190" i="20" a="1"/>
  <c r="D2190" i="20" s="1"/>
  <c r="F2190" i="20" a="1"/>
  <c r="F2190" i="20" s="1"/>
  <c r="H2190" i="20" a="1"/>
  <c r="H2190" i="20" s="1"/>
  <c r="B2190" i="20"/>
  <c r="J2190" i="20" a="1"/>
  <c r="J2190" i="20" s="1"/>
  <c r="L2190" i="20" a="1"/>
  <c r="L2190" i="20" s="1"/>
  <c r="D2191" i="20" a="1"/>
  <c r="D2191" i="20" s="1"/>
  <c r="H2191" i="20" a="1"/>
  <c r="H2191" i="20" s="1"/>
  <c r="F2191" i="20" a="1"/>
  <c r="F2191" i="20" s="1"/>
  <c r="J2191" i="20" a="1"/>
  <c r="J2191" i="20" s="1"/>
  <c r="B2191" i="20"/>
  <c r="L2191" i="20" a="1"/>
  <c r="L2191" i="20" s="1"/>
  <c r="D2192" i="20" a="1"/>
  <c r="D2192" i="20" s="1"/>
  <c r="B2192" i="20"/>
  <c r="F2192" i="20" a="1"/>
  <c r="F2192" i="20" s="1"/>
  <c r="H2192" i="20" a="1"/>
  <c r="H2192" i="20" s="1"/>
  <c r="J2192" i="20" a="1"/>
  <c r="J2192" i="20" s="1"/>
  <c r="L2192" i="20" a="1"/>
  <c r="L2192" i="20" s="1"/>
  <c r="D2193" i="20" a="1"/>
  <c r="D2193" i="20" s="1"/>
  <c r="F2193" i="20" a="1"/>
  <c r="F2193" i="20" s="1"/>
  <c r="B2193" i="20"/>
  <c r="H2193" i="20" a="1"/>
  <c r="H2193" i="20" s="1"/>
  <c r="J2193" i="20" a="1"/>
  <c r="J2193" i="20" s="1"/>
  <c r="L2193" i="20" a="1"/>
  <c r="L2193" i="20" s="1"/>
  <c r="D2194" i="20" a="1"/>
  <c r="D2194" i="20" s="1"/>
  <c r="F2194" i="20" a="1"/>
  <c r="F2194" i="20" s="1"/>
  <c r="H2194" i="20" a="1"/>
  <c r="H2194" i="20" s="1"/>
  <c r="J2194" i="20" a="1"/>
  <c r="J2194" i="20" s="1"/>
  <c r="B2194" i="20"/>
  <c r="L2194" i="20" a="1"/>
  <c r="L2194" i="20" s="1"/>
  <c r="B2195" i="20"/>
  <c r="D2195" i="20" a="1"/>
  <c r="D2195" i="20" s="1"/>
  <c r="H2195" i="20" a="1"/>
  <c r="H2195" i="20" s="1"/>
  <c r="F2195" i="20" a="1"/>
  <c r="F2195" i="20" s="1"/>
  <c r="J2195" i="20" a="1"/>
  <c r="J2195" i="20" s="1"/>
  <c r="L2195" i="20" a="1"/>
  <c r="L2195" i="20" s="1"/>
  <c r="D2196" i="20" a="1"/>
  <c r="D2196" i="20" s="1"/>
  <c r="F2196" i="20" a="1"/>
  <c r="F2196" i="20" s="1"/>
  <c r="H2196" i="20" a="1"/>
  <c r="H2196" i="20" s="1"/>
  <c r="B2196" i="20"/>
  <c r="J2196" i="20" a="1"/>
  <c r="J2196" i="20" s="1"/>
  <c r="L2196" i="20" a="1"/>
  <c r="L2196" i="20" s="1"/>
  <c r="D2197" i="20" a="1"/>
  <c r="D2197" i="20" s="1"/>
  <c r="F2197" i="20" a="1"/>
  <c r="F2197" i="20" s="1"/>
  <c r="H2197" i="20" a="1"/>
  <c r="H2197" i="20" s="1"/>
  <c r="B2197" i="20"/>
  <c r="J2197" i="20" a="1"/>
  <c r="J2197" i="20" s="1"/>
  <c r="L2197" i="20" a="1"/>
  <c r="L2197" i="20" s="1"/>
  <c r="B2198" i="20"/>
  <c r="D2198" i="20" a="1"/>
  <c r="D2198" i="20" s="1"/>
  <c r="H2198" i="20" a="1"/>
  <c r="H2198" i="20" s="1"/>
  <c r="F2198" i="20" a="1"/>
  <c r="F2198" i="20" s="1"/>
  <c r="J2198" i="20" a="1"/>
  <c r="J2198" i="20" s="1"/>
  <c r="L2198" i="20" a="1"/>
  <c r="L2198" i="20" s="1"/>
  <c r="D2199" i="20" a="1"/>
  <c r="D2199" i="20" s="1"/>
  <c r="B2199" i="20"/>
  <c r="F2199" i="20" a="1"/>
  <c r="F2199" i="20" s="1"/>
  <c r="H2199" i="20" a="1"/>
  <c r="H2199" i="20" s="1"/>
  <c r="J2199" i="20" a="1"/>
  <c r="J2199" i="20" s="1"/>
  <c r="L2199" i="20" a="1"/>
  <c r="L2199" i="20" s="1"/>
  <c r="D2200" i="20" a="1"/>
  <c r="D2200" i="20" s="1"/>
  <c r="F2200" i="20" a="1"/>
  <c r="F2200" i="20" s="1"/>
  <c r="H2200" i="20" a="1"/>
  <c r="H2200" i="20" s="1"/>
  <c r="B2200" i="20"/>
  <c r="J2200" i="20" a="1"/>
  <c r="J2200" i="20" s="1"/>
  <c r="L2200" i="20" a="1"/>
  <c r="L2200" i="20" s="1"/>
  <c r="D2201" i="20" a="1"/>
  <c r="D2201" i="20" s="1"/>
  <c r="H2201" i="20" a="1"/>
  <c r="H2201" i="20" s="1"/>
  <c r="B2201" i="20"/>
  <c r="F2201" i="20" a="1"/>
  <c r="F2201" i="20" s="1"/>
  <c r="J2201" i="20" a="1"/>
  <c r="J2201" i="20" s="1"/>
  <c r="L2201" i="20" a="1"/>
  <c r="L2201" i="20" s="1"/>
  <c r="D2202" i="20" a="1"/>
  <c r="D2202" i="20" s="1"/>
  <c r="F2202" i="20" a="1"/>
  <c r="F2202" i="20" s="1"/>
  <c r="H2202" i="20" a="1"/>
  <c r="H2202" i="20" s="1"/>
  <c r="J2202" i="20" a="1"/>
  <c r="J2202" i="20" s="1"/>
  <c r="B2202" i="20"/>
  <c r="L2202" i="20" a="1"/>
  <c r="L2202" i="20" s="1"/>
  <c r="B2203" i="20"/>
  <c r="D2203" i="20" a="1"/>
  <c r="D2203" i="20" s="1"/>
  <c r="F2203" i="20" a="1"/>
  <c r="F2203" i="20" s="1"/>
  <c r="H2203" i="20" a="1"/>
  <c r="H2203" i="20" s="1"/>
  <c r="J2203" i="20" a="1"/>
  <c r="J2203" i="20" s="1"/>
  <c r="L2203" i="20" a="1"/>
  <c r="L2203" i="20" s="1"/>
  <c r="D2204" i="20" a="1"/>
  <c r="D2204" i="20" s="1"/>
  <c r="F2204" i="20" a="1"/>
  <c r="F2204" i="20" s="1"/>
  <c r="B2204" i="20"/>
  <c r="H2204" i="20" a="1"/>
  <c r="H2204" i="20" s="1"/>
  <c r="J2204" i="20" a="1"/>
  <c r="J2204" i="20" s="1"/>
  <c r="L2204" i="20" a="1"/>
  <c r="L2204" i="20" s="1"/>
  <c r="D2205" i="20" a="1"/>
  <c r="D2205" i="20" s="1"/>
  <c r="B2205" i="20"/>
  <c r="F2205" i="20" a="1"/>
  <c r="F2205" i="20" s="1"/>
  <c r="H2205" i="20" a="1"/>
  <c r="H2205" i="20" s="1"/>
  <c r="J2205" i="20" a="1"/>
  <c r="J2205" i="20" s="1"/>
  <c r="L2205" i="20" a="1"/>
  <c r="L2205" i="20" s="1"/>
  <c r="B2206" i="20"/>
  <c r="D2206" i="20" a="1"/>
  <c r="D2206" i="20" s="1"/>
  <c r="F2206" i="20" a="1"/>
  <c r="F2206" i="20" s="1"/>
  <c r="H2206" i="20" a="1"/>
  <c r="H2206" i="20" s="1"/>
  <c r="J2206" i="20" a="1"/>
  <c r="J2206" i="20" s="1"/>
  <c r="L2206" i="20" a="1"/>
  <c r="L2206" i="20" s="1"/>
  <c r="D2207" i="20" a="1"/>
  <c r="D2207" i="20" s="1"/>
  <c r="F2207" i="20" a="1"/>
  <c r="F2207" i="20" s="1"/>
  <c r="H2207" i="20" a="1"/>
  <c r="H2207" i="20" s="1"/>
  <c r="J2207" i="20" a="1"/>
  <c r="J2207" i="20" s="1"/>
  <c r="B2207" i="20"/>
  <c r="L2207" i="20" a="1"/>
  <c r="L2207" i="20" s="1"/>
  <c r="B2208" i="20"/>
  <c r="D2208" i="20" a="1"/>
  <c r="D2208" i="20" s="1"/>
  <c r="F2208" i="20" a="1"/>
  <c r="F2208" i="20" s="1"/>
  <c r="H2208" i="20" a="1"/>
  <c r="H2208" i="20" s="1"/>
  <c r="J2208" i="20" a="1"/>
  <c r="J2208" i="20" s="1"/>
  <c r="L2208" i="20" a="1"/>
  <c r="L2208" i="20" s="1"/>
  <c r="D2209" i="20" a="1"/>
  <c r="D2209" i="20" s="1"/>
  <c r="F2209" i="20" a="1"/>
  <c r="F2209" i="20" s="1"/>
  <c r="H2209" i="20" a="1"/>
  <c r="H2209" i="20" s="1"/>
  <c r="J2209" i="20" a="1"/>
  <c r="J2209" i="20" s="1"/>
  <c r="B2209" i="20"/>
  <c r="L2209" i="20" a="1"/>
  <c r="L2209" i="20" s="1"/>
  <c r="B2210" i="20"/>
  <c r="D2210" i="20" a="1"/>
  <c r="D2210" i="20" s="1"/>
  <c r="F2210" i="20" a="1"/>
  <c r="F2210" i="20" s="1"/>
  <c r="H2210" i="20" a="1"/>
  <c r="H2210" i="20" s="1"/>
  <c r="J2210" i="20" a="1"/>
  <c r="J2210" i="20" s="1"/>
  <c r="L2210" i="20" a="1"/>
  <c r="L2210" i="20" s="1"/>
  <c r="D2211" i="20" a="1"/>
  <c r="D2211" i="20" s="1"/>
  <c r="F2211" i="20" a="1"/>
  <c r="F2211" i="20" s="1"/>
  <c r="H2211" i="20" a="1"/>
  <c r="H2211" i="20" s="1"/>
  <c r="J2211" i="20" a="1"/>
  <c r="J2211" i="20" s="1"/>
  <c r="B2211" i="20"/>
  <c r="L2211" i="20" a="1"/>
  <c r="L2211" i="20" s="1"/>
  <c r="D2212" i="20" a="1"/>
  <c r="D2212" i="20" s="1"/>
  <c r="F2212" i="20" a="1"/>
  <c r="F2212" i="20" s="1"/>
  <c r="H2212" i="20" a="1"/>
  <c r="H2212" i="20" s="1"/>
  <c r="B2212" i="20"/>
  <c r="J2212" i="20" a="1"/>
  <c r="J2212" i="20" s="1"/>
  <c r="L2212" i="20" a="1"/>
  <c r="L2212" i="20" s="1"/>
  <c r="D2213" i="20" a="1"/>
  <c r="D2213" i="20" s="1"/>
  <c r="F2213" i="20" a="1"/>
  <c r="F2213" i="20" s="1"/>
  <c r="H2213" i="20" a="1"/>
  <c r="H2213" i="20" s="1"/>
  <c r="J2213" i="20" a="1"/>
  <c r="J2213" i="20" s="1"/>
  <c r="B2213" i="20"/>
  <c r="L2213" i="20" a="1"/>
  <c r="L2213" i="20" s="1"/>
  <c r="D2214" i="20" a="1"/>
  <c r="D2214" i="20" s="1"/>
  <c r="F2214" i="20" a="1"/>
  <c r="F2214" i="20" s="1"/>
  <c r="H2214" i="20" a="1"/>
  <c r="H2214" i="20" s="1"/>
  <c r="B2214" i="20"/>
  <c r="J2214" i="20" a="1"/>
  <c r="J2214" i="20" s="1"/>
  <c r="L2214" i="20" a="1"/>
  <c r="L2214" i="20" s="1"/>
  <c r="D2215" i="20" a="1"/>
  <c r="D2215" i="20" s="1"/>
  <c r="F2215" i="20" a="1"/>
  <c r="F2215" i="20" s="1"/>
  <c r="H2215" i="20" a="1"/>
  <c r="H2215" i="20" s="1"/>
  <c r="B2215" i="20"/>
  <c r="J2215" i="20" a="1"/>
  <c r="J2215" i="20" s="1"/>
  <c r="L2215" i="20" a="1"/>
  <c r="L2215" i="20" s="1"/>
  <c r="B2216" i="20"/>
  <c r="D2216" i="20" a="1"/>
  <c r="D2216" i="20" s="1"/>
  <c r="F2216" i="20" a="1"/>
  <c r="F2216" i="20" s="1"/>
  <c r="H2216" i="20" a="1"/>
  <c r="H2216" i="20" s="1"/>
  <c r="J2216" i="20" a="1"/>
  <c r="J2216" i="20" s="1"/>
  <c r="L2216" i="20" a="1"/>
  <c r="L2216" i="20" s="1"/>
  <c r="D2217" i="20" a="1"/>
  <c r="D2217" i="20" s="1"/>
  <c r="F2217" i="20" a="1"/>
  <c r="F2217" i="20" s="1"/>
  <c r="H2217" i="20" a="1"/>
  <c r="H2217" i="20" s="1"/>
  <c r="J2217" i="20" a="1"/>
  <c r="J2217" i="20" s="1"/>
  <c r="B2217" i="20"/>
  <c r="L2217" i="20" a="1"/>
  <c r="L2217" i="20" s="1"/>
  <c r="B2218" i="20"/>
  <c r="D2218" i="20" a="1"/>
  <c r="D2218" i="20" s="1"/>
  <c r="F2218" i="20" a="1"/>
  <c r="F2218" i="20" s="1"/>
  <c r="H2218" i="20" a="1"/>
  <c r="H2218" i="20" s="1"/>
  <c r="J2218" i="20" a="1"/>
  <c r="J2218" i="20" s="1"/>
  <c r="L2218" i="20" a="1"/>
  <c r="L2218" i="20" s="1"/>
  <c r="D2219" i="20" a="1"/>
  <c r="D2219" i="20" s="1"/>
  <c r="F2219" i="20" a="1"/>
  <c r="F2219" i="20" s="1"/>
  <c r="H2219" i="20" a="1"/>
  <c r="H2219" i="20" s="1"/>
  <c r="J2219" i="20" a="1"/>
  <c r="J2219" i="20" s="1"/>
  <c r="B2219" i="20"/>
  <c r="L2219" i="20" a="1"/>
  <c r="L2219" i="20" s="1"/>
  <c r="D2220" i="20" a="1"/>
  <c r="D2220" i="20" s="1"/>
  <c r="F2220" i="20" a="1"/>
  <c r="F2220" i="20" s="1"/>
  <c r="H2220" i="20" a="1"/>
  <c r="H2220" i="20" s="1"/>
  <c r="B2220" i="20"/>
  <c r="J2220" i="20" a="1"/>
  <c r="J2220" i="20" s="1"/>
  <c r="L2220" i="20" a="1"/>
  <c r="L2220" i="20" s="1"/>
  <c r="D2221" i="20" a="1"/>
  <c r="D2221" i="20" s="1"/>
  <c r="F2221" i="20" a="1"/>
  <c r="F2221" i="20" s="1"/>
  <c r="H2221" i="20" a="1"/>
  <c r="H2221" i="20" s="1"/>
  <c r="J2221" i="20" a="1"/>
  <c r="J2221" i="20" s="1"/>
  <c r="B2221" i="20"/>
  <c r="L2221" i="20" a="1"/>
  <c r="L2221" i="20" s="1"/>
  <c r="D2222" i="20" a="1"/>
  <c r="D2222" i="20" s="1"/>
  <c r="F2222" i="20" a="1"/>
  <c r="F2222" i="20" s="1"/>
  <c r="H2222" i="20" a="1"/>
  <c r="H2222" i="20" s="1"/>
  <c r="B2222" i="20"/>
  <c r="J2222" i="20" a="1"/>
  <c r="J2222" i="20" s="1"/>
  <c r="L2222" i="20" a="1"/>
  <c r="L2222" i="20" s="1"/>
  <c r="D2223" i="20" a="1"/>
  <c r="D2223" i="20" s="1"/>
  <c r="F2223" i="20" a="1"/>
  <c r="F2223" i="20" s="1"/>
  <c r="H2223" i="20" a="1"/>
  <c r="H2223" i="20" s="1"/>
  <c r="B2223" i="20"/>
  <c r="J2223" i="20" a="1"/>
  <c r="J2223" i="20" s="1"/>
  <c r="L2223" i="20" a="1"/>
  <c r="L2223" i="20" s="1"/>
  <c r="B2224" i="20"/>
  <c r="D2224" i="20" a="1"/>
  <c r="D2224" i="20" s="1"/>
  <c r="F2224" i="20" a="1"/>
  <c r="F2224" i="20" s="1"/>
  <c r="H2224" i="20" a="1"/>
  <c r="H2224" i="20" s="1"/>
  <c r="J2224" i="20" a="1"/>
  <c r="J2224" i="20" s="1"/>
  <c r="L2224" i="20" a="1"/>
  <c r="L2224" i="20" s="1"/>
  <c r="D2225" i="20" a="1"/>
  <c r="D2225" i="20" s="1"/>
  <c r="F2225" i="20" a="1"/>
  <c r="F2225" i="20" s="1"/>
  <c r="H2225" i="20" a="1"/>
  <c r="H2225" i="20" s="1"/>
  <c r="B2225" i="20"/>
  <c r="J2225" i="20" a="1"/>
  <c r="J2225" i="20" s="1"/>
  <c r="L2225" i="20" a="1"/>
  <c r="L2225" i="20" s="1"/>
  <c r="B2226" i="20"/>
  <c r="D2226" i="20" a="1"/>
  <c r="D2226" i="20" s="1"/>
  <c r="F2226" i="20" a="1"/>
  <c r="F2226" i="20" s="1"/>
  <c r="H2226" i="20" a="1"/>
  <c r="H2226" i="20" s="1"/>
  <c r="J2226" i="20" a="1"/>
  <c r="J2226" i="20" s="1"/>
  <c r="L2226" i="20" a="1"/>
  <c r="L2226" i="20" s="1"/>
  <c r="D2227" i="20" a="1"/>
  <c r="D2227" i="20" s="1"/>
  <c r="F2227" i="20" a="1"/>
  <c r="F2227" i="20" s="1"/>
  <c r="H2227" i="20" a="1"/>
  <c r="H2227" i="20" s="1"/>
  <c r="J2227" i="20" a="1"/>
  <c r="J2227" i="20" s="1"/>
  <c r="B2227" i="20"/>
  <c r="L2227" i="20" a="1"/>
  <c r="L2227" i="20" s="1"/>
  <c r="D2228" i="20" a="1"/>
  <c r="D2228" i="20" s="1"/>
  <c r="F2228" i="20" a="1"/>
  <c r="F2228" i="20" s="1"/>
  <c r="H2228" i="20" a="1"/>
  <c r="H2228" i="20" s="1"/>
  <c r="J2228" i="20" a="1"/>
  <c r="J2228" i="20" s="1"/>
  <c r="B2228" i="20"/>
  <c r="L2228" i="20" a="1"/>
  <c r="L2228" i="20" s="1"/>
  <c r="B2229" i="20"/>
  <c r="D2229" i="20" a="1"/>
  <c r="D2229" i="20" s="1"/>
  <c r="F2229" i="20" a="1"/>
  <c r="F2229" i="20" s="1"/>
  <c r="H2229" i="20" a="1"/>
  <c r="H2229" i="20" s="1"/>
  <c r="J2229" i="20" a="1"/>
  <c r="J2229" i="20" s="1"/>
  <c r="L2229" i="20" a="1"/>
  <c r="L2229" i="20" s="1"/>
  <c r="D2230" i="20" a="1"/>
  <c r="D2230" i="20" s="1"/>
  <c r="F2230" i="20" a="1"/>
  <c r="F2230" i="20" s="1"/>
  <c r="H2230" i="20" a="1"/>
  <c r="H2230" i="20" s="1"/>
  <c r="B2230" i="20"/>
  <c r="J2230" i="20" a="1"/>
  <c r="J2230" i="20" s="1"/>
  <c r="L2230" i="20" a="1"/>
  <c r="L2230" i="20" s="1"/>
  <c r="D2231" i="20" a="1"/>
  <c r="D2231" i="20" s="1"/>
  <c r="F2231" i="20" a="1"/>
  <c r="F2231" i="20" s="1"/>
  <c r="H2231" i="20" a="1"/>
  <c r="H2231" i="20" s="1"/>
  <c r="B2231" i="20"/>
  <c r="J2231" i="20" a="1"/>
  <c r="J2231" i="20" s="1"/>
  <c r="L2231" i="20" a="1"/>
  <c r="L2231" i="20" s="1"/>
  <c r="D2232" i="20" a="1"/>
  <c r="D2232" i="20" s="1"/>
  <c r="B2232" i="20"/>
  <c r="F2232" i="20" a="1"/>
  <c r="F2232" i="20" s="1"/>
  <c r="H2232" i="20" a="1"/>
  <c r="H2232" i="20" s="1"/>
  <c r="J2232" i="20" a="1"/>
  <c r="J2232" i="20" s="1"/>
  <c r="L2232" i="20" a="1"/>
  <c r="L2232" i="20" s="1"/>
  <c r="D2233" i="20" a="1"/>
  <c r="D2233" i="20" s="1"/>
  <c r="B2233" i="20"/>
  <c r="F2233" i="20" a="1"/>
  <c r="F2233" i="20" s="1"/>
  <c r="H2233" i="20" a="1"/>
  <c r="H2233" i="20" s="1"/>
  <c r="J2233" i="20" a="1"/>
  <c r="J2233" i="20" s="1"/>
  <c r="L2233" i="20" a="1"/>
  <c r="L2233" i="20" s="1"/>
  <c r="D2234" i="20" a="1"/>
  <c r="D2234" i="20" s="1"/>
  <c r="F2234" i="20" a="1"/>
  <c r="F2234" i="20" s="1"/>
  <c r="H2234" i="20" a="1"/>
  <c r="H2234" i="20" s="1"/>
  <c r="J2234" i="20" a="1"/>
  <c r="J2234" i="20" s="1"/>
  <c r="B2234" i="20"/>
  <c r="L2234" i="20" a="1"/>
  <c r="L2234" i="20" s="1"/>
  <c r="D2235" i="20" a="1"/>
  <c r="D2235" i="20" s="1"/>
  <c r="F2235" i="20" a="1"/>
  <c r="F2235" i="20" s="1"/>
  <c r="H2235" i="20" a="1"/>
  <c r="H2235" i="20" s="1"/>
  <c r="B2235" i="20"/>
  <c r="J2235" i="20" a="1"/>
  <c r="J2235" i="20" s="1"/>
  <c r="L2235" i="20" a="1"/>
  <c r="L2235" i="20" s="1"/>
  <c r="D2236" i="20" a="1"/>
  <c r="D2236" i="20" s="1"/>
  <c r="B2236" i="20"/>
  <c r="F2236" i="20" a="1"/>
  <c r="F2236" i="20" s="1"/>
  <c r="H2236" i="20" a="1"/>
  <c r="H2236" i="20" s="1"/>
  <c r="J2236" i="20" a="1"/>
  <c r="J2236" i="20" s="1"/>
  <c r="L2236" i="20" a="1"/>
  <c r="L2236" i="20" s="1"/>
  <c r="D2237" i="20" a="1"/>
  <c r="D2237" i="20" s="1"/>
  <c r="B2237" i="20"/>
  <c r="F2237" i="20" a="1"/>
  <c r="F2237" i="20" s="1"/>
  <c r="H2237" i="20" a="1"/>
  <c r="H2237" i="20" s="1"/>
  <c r="J2237" i="20" a="1"/>
  <c r="J2237" i="20" s="1"/>
  <c r="L2237" i="20" a="1"/>
  <c r="L2237" i="20" s="1"/>
  <c r="D2238" i="20" a="1"/>
  <c r="D2238" i="20" s="1"/>
  <c r="F2238" i="20" a="1"/>
  <c r="F2238" i="20" s="1"/>
  <c r="H2238" i="20" a="1"/>
  <c r="H2238" i="20" s="1"/>
  <c r="B2238" i="20"/>
  <c r="J2238" i="20" a="1"/>
  <c r="J2238" i="20" s="1"/>
  <c r="L2238" i="20" a="1"/>
  <c r="L2238" i="20" s="1"/>
  <c r="D2239" i="20" a="1"/>
  <c r="D2239" i="20" s="1"/>
  <c r="F2239" i="20" a="1"/>
  <c r="F2239" i="20" s="1"/>
  <c r="H2239" i="20" a="1"/>
  <c r="H2239" i="20" s="1"/>
  <c r="B2239" i="20"/>
  <c r="J2239" i="20" a="1"/>
  <c r="J2239" i="20" s="1"/>
  <c r="L2239" i="20" a="1"/>
  <c r="L2239" i="20" s="1"/>
  <c r="B2240" i="20"/>
  <c r="D2240" i="20" a="1"/>
  <c r="D2240" i="20" s="1"/>
  <c r="F2240" i="20" a="1"/>
  <c r="F2240" i="20" s="1"/>
  <c r="H2240" i="20" a="1"/>
  <c r="H2240" i="20" s="1"/>
  <c r="J2240" i="20" a="1"/>
  <c r="J2240" i="20" s="1"/>
  <c r="L2240" i="20" a="1"/>
  <c r="L2240" i="20" s="1"/>
  <c r="D2241" i="20" a="1"/>
  <c r="D2241" i="20" s="1"/>
  <c r="F2241" i="20" a="1"/>
  <c r="F2241" i="20" s="1"/>
  <c r="H2241" i="20" a="1"/>
  <c r="H2241" i="20" s="1"/>
  <c r="B2241" i="20"/>
  <c r="J2241" i="20" a="1"/>
  <c r="J2241" i="20" s="1"/>
  <c r="L2241" i="20" a="1"/>
  <c r="L2241" i="20" s="1"/>
  <c r="B2242" i="20"/>
  <c r="D2242" i="20" a="1"/>
  <c r="D2242" i="20" s="1"/>
  <c r="F2242" i="20" a="1"/>
  <c r="F2242" i="20" s="1"/>
  <c r="H2242" i="20" a="1"/>
  <c r="H2242" i="20" s="1"/>
  <c r="J2242" i="20" a="1"/>
  <c r="J2242" i="20" s="1"/>
  <c r="L2242" i="20" a="1"/>
  <c r="L2242" i="20" s="1"/>
  <c r="D2243" i="20" a="1"/>
  <c r="D2243" i="20" s="1"/>
  <c r="F2243" i="20" a="1"/>
  <c r="F2243" i="20" s="1"/>
  <c r="H2243" i="20" a="1"/>
  <c r="H2243" i="20" s="1"/>
  <c r="J2243" i="20" a="1"/>
  <c r="J2243" i="20" s="1"/>
  <c r="B2243" i="20"/>
  <c r="L2243" i="20" a="1"/>
  <c r="L2243" i="20" s="1"/>
  <c r="D2244" i="20" a="1"/>
  <c r="D2244" i="20" s="1"/>
  <c r="F2244" i="20" a="1"/>
  <c r="F2244" i="20" s="1"/>
  <c r="H2244" i="20" a="1"/>
  <c r="H2244" i="20" s="1"/>
  <c r="J2244" i="20" a="1"/>
  <c r="J2244" i="20" s="1"/>
  <c r="B2244" i="20"/>
  <c r="L2244" i="20" a="1"/>
  <c r="L2244" i="20" s="1"/>
  <c r="B2245" i="20"/>
  <c r="D2245" i="20" a="1"/>
  <c r="D2245" i="20" s="1"/>
  <c r="F2245" i="20" a="1"/>
  <c r="F2245" i="20" s="1"/>
  <c r="H2245" i="20" a="1"/>
  <c r="H2245" i="20" s="1"/>
  <c r="J2245" i="20" a="1"/>
  <c r="J2245" i="20" s="1"/>
  <c r="L2245" i="20" a="1"/>
  <c r="L2245" i="20" s="1"/>
  <c r="D2246" i="20" a="1"/>
  <c r="D2246" i="20" s="1"/>
  <c r="F2246" i="20" a="1"/>
  <c r="F2246" i="20" s="1"/>
  <c r="H2246" i="20" a="1"/>
  <c r="H2246" i="20" s="1"/>
  <c r="J2246" i="20" a="1"/>
  <c r="J2246" i="20" s="1"/>
  <c r="B2246" i="20"/>
  <c r="L2246" i="20" a="1"/>
  <c r="L2246" i="20" s="1"/>
  <c r="B2247" i="20"/>
  <c r="D2247" i="20" a="1"/>
  <c r="D2247" i="20" s="1"/>
  <c r="F2247" i="20" a="1"/>
  <c r="F2247" i="20" s="1"/>
  <c r="H2247" i="20" a="1"/>
  <c r="H2247" i="20" s="1"/>
  <c r="J2247" i="20" a="1"/>
  <c r="J2247" i="20" s="1"/>
  <c r="L2247" i="20" a="1"/>
  <c r="L2247" i="20" s="1"/>
  <c r="D2248" i="20" a="1"/>
  <c r="D2248" i="20" s="1"/>
  <c r="F2248" i="20" a="1"/>
  <c r="F2248" i="20" s="1"/>
  <c r="H2248" i="20" a="1"/>
  <c r="H2248" i="20" s="1"/>
  <c r="B2248" i="20"/>
  <c r="J2248" i="20" a="1"/>
  <c r="J2248" i="20" s="1"/>
  <c r="L2248" i="20" a="1"/>
  <c r="L2248" i="20" s="1"/>
  <c r="D2249" i="20" a="1"/>
  <c r="D2249" i="20" s="1"/>
  <c r="F2249" i="20" a="1"/>
  <c r="F2249" i="20" s="1"/>
  <c r="H2249" i="20" a="1"/>
  <c r="H2249" i="20" s="1"/>
  <c r="B2249" i="20"/>
  <c r="J2249" i="20" a="1"/>
  <c r="J2249" i="20" s="1"/>
  <c r="L2249" i="20" a="1"/>
  <c r="L2249" i="20" s="1"/>
  <c r="B2250" i="20"/>
  <c r="D2250" i="20" a="1"/>
  <c r="D2250" i="20" s="1"/>
  <c r="F2250" i="20" a="1"/>
  <c r="F2250" i="20" s="1"/>
  <c r="H2250" i="20" a="1"/>
  <c r="H2250" i="20" s="1"/>
  <c r="J2250" i="20" a="1"/>
  <c r="J2250" i="20" s="1"/>
  <c r="L2250" i="20" a="1"/>
  <c r="L2250" i="20" s="1"/>
  <c r="D2251" i="20" a="1"/>
  <c r="D2251" i="20" s="1"/>
  <c r="F2251" i="20" a="1"/>
  <c r="F2251" i="20" s="1"/>
  <c r="H2251" i="20" a="1"/>
  <c r="H2251" i="20" s="1"/>
  <c r="J2251" i="20" a="1"/>
  <c r="J2251" i="20" s="1"/>
  <c r="B2251" i="20"/>
  <c r="L2251" i="20" a="1"/>
  <c r="L2251" i="20" s="1"/>
  <c r="B2252" i="20"/>
  <c r="D2252" i="20" a="1"/>
  <c r="D2252" i="20" s="1"/>
  <c r="F2252" i="20" a="1"/>
  <c r="F2252" i="20" s="1"/>
  <c r="H2252" i="20" a="1"/>
  <c r="H2252" i="20" s="1"/>
  <c r="J2252" i="20" a="1"/>
  <c r="J2252" i="20" s="1"/>
  <c r="L2252" i="20" a="1"/>
  <c r="L2252" i="20" s="1"/>
  <c r="D2253" i="20" a="1"/>
  <c r="D2253" i="20" s="1"/>
  <c r="B2253" i="20"/>
  <c r="F2253" i="20" a="1"/>
  <c r="F2253" i="20" s="1"/>
  <c r="H2253" i="20" a="1"/>
  <c r="H2253" i="20" s="1"/>
  <c r="J2253" i="20" a="1"/>
  <c r="J2253" i="20" s="1"/>
  <c r="L2253" i="20" a="1"/>
  <c r="L2253" i="20" s="1"/>
  <c r="D2254" i="20" a="1"/>
  <c r="D2254" i="20" s="1"/>
  <c r="F2254" i="20" a="1"/>
  <c r="F2254" i="20" s="1"/>
  <c r="B2254" i="20"/>
  <c r="H2254" i="20" a="1"/>
  <c r="H2254" i="20" s="1"/>
  <c r="J2254" i="20" a="1"/>
  <c r="J2254" i="20" s="1"/>
  <c r="L2254" i="20" a="1"/>
  <c r="L2254" i="20" s="1"/>
  <c r="D2255" i="20" a="1"/>
  <c r="D2255" i="20" s="1"/>
  <c r="F2255" i="20" a="1"/>
  <c r="F2255" i="20" s="1"/>
  <c r="H2255" i="20" a="1"/>
  <c r="H2255" i="20" s="1"/>
  <c r="B2255" i="20"/>
  <c r="J2255" i="20" a="1"/>
  <c r="J2255" i="20" s="1"/>
  <c r="L2255" i="20" a="1"/>
  <c r="L2255" i="20" s="1"/>
  <c r="D2256" i="20" a="1"/>
  <c r="D2256" i="20" s="1"/>
  <c r="F2256" i="20" a="1"/>
  <c r="F2256" i="20" s="1"/>
  <c r="H2256" i="20" a="1"/>
  <c r="H2256" i="20" s="1"/>
  <c r="B2256" i="20"/>
  <c r="J2256" i="20" a="1"/>
  <c r="J2256" i="20" s="1"/>
  <c r="L2256" i="20" a="1"/>
  <c r="L2256" i="20" s="1"/>
  <c r="D2257" i="20" a="1"/>
  <c r="D2257" i="20" s="1"/>
  <c r="F2257" i="20" a="1"/>
  <c r="F2257" i="20" s="1"/>
  <c r="H2257" i="20" a="1"/>
  <c r="H2257" i="20" s="1"/>
  <c r="J2257" i="20" a="1"/>
  <c r="J2257" i="20" s="1"/>
  <c r="B2257" i="20"/>
  <c r="L2257" i="20" a="1"/>
  <c r="L2257" i="20" s="1"/>
  <c r="B2258" i="20"/>
  <c r="D2258" i="20" a="1"/>
  <c r="D2258" i="20" s="1"/>
  <c r="F2258" i="20" a="1"/>
  <c r="F2258" i="20" s="1"/>
  <c r="H2258" i="20" a="1"/>
  <c r="H2258" i="20" s="1"/>
  <c r="J2258" i="20" a="1"/>
  <c r="J2258" i="20" s="1"/>
  <c r="L2258" i="20" a="1"/>
  <c r="L2258" i="20" s="1"/>
  <c r="D2259" i="20" a="1"/>
  <c r="D2259" i="20" s="1"/>
  <c r="F2259" i="20" a="1"/>
  <c r="F2259" i="20" s="1"/>
  <c r="H2259" i="20" a="1"/>
  <c r="H2259" i="20" s="1"/>
  <c r="J2259" i="20" a="1"/>
  <c r="J2259" i="20" s="1"/>
  <c r="B2259" i="20"/>
  <c r="L2259" i="20" a="1"/>
  <c r="L2259" i="20" s="1"/>
  <c r="B2260" i="20"/>
  <c r="D2260" i="20" a="1"/>
  <c r="D2260" i="20" s="1"/>
  <c r="F2260" i="20" a="1"/>
  <c r="F2260" i="20" s="1"/>
  <c r="H2260" i="20" a="1"/>
  <c r="H2260" i="20" s="1"/>
  <c r="J2260" i="20" a="1"/>
  <c r="J2260" i="20" s="1"/>
  <c r="L2260" i="20" a="1"/>
  <c r="L2260" i="20" s="1"/>
  <c r="D2261" i="20" a="1"/>
  <c r="D2261" i="20" s="1"/>
  <c r="F2261" i="20" a="1"/>
  <c r="F2261" i="20" s="1"/>
  <c r="H2261" i="20" a="1"/>
  <c r="H2261" i="20" s="1"/>
  <c r="J2261" i="20" a="1"/>
  <c r="J2261" i="20" s="1"/>
  <c r="B2261" i="20"/>
  <c r="L2261" i="20" a="1"/>
  <c r="L2261" i="20" s="1"/>
  <c r="B2262" i="20"/>
  <c r="D2262" i="20" a="1"/>
  <c r="D2262" i="20" s="1"/>
  <c r="F2262" i="20" a="1"/>
  <c r="F2262" i="20" s="1"/>
  <c r="H2262" i="20" a="1"/>
  <c r="H2262" i="20" s="1"/>
  <c r="J2262" i="20" a="1"/>
  <c r="J2262" i="20" s="1"/>
  <c r="L2262" i="20" a="1"/>
  <c r="L2262" i="20" s="1"/>
  <c r="D2263" i="20" a="1"/>
  <c r="D2263" i="20" s="1"/>
  <c r="F2263" i="20" a="1"/>
  <c r="F2263" i="20" s="1"/>
  <c r="H2263" i="20" a="1"/>
  <c r="H2263" i="20" s="1"/>
  <c r="B2263" i="20"/>
  <c r="J2263" i="20" a="1"/>
  <c r="J2263" i="20" s="1"/>
  <c r="L2263" i="20" a="1"/>
  <c r="L2263" i="20" s="1"/>
  <c r="D2264" i="20" a="1"/>
  <c r="D2264" i="20" s="1"/>
  <c r="B2264" i="20"/>
  <c r="F2264" i="20" a="1"/>
  <c r="F2264" i="20" s="1"/>
  <c r="H2264" i="20" a="1"/>
  <c r="H2264" i="20" s="1"/>
  <c r="J2264" i="20" a="1"/>
  <c r="J2264" i="20" s="1"/>
  <c r="L2264" i="20" a="1"/>
  <c r="L2264" i="20" s="1"/>
  <c r="B2265" i="20"/>
  <c r="D2265" i="20" a="1"/>
  <c r="D2265" i="20" s="1"/>
  <c r="F2265" i="20" a="1"/>
  <c r="F2265" i="20" s="1"/>
  <c r="H2265" i="20" a="1"/>
  <c r="H2265" i="20" s="1"/>
  <c r="J2265" i="20" a="1"/>
  <c r="J2265" i="20" s="1"/>
  <c r="L2265" i="20" a="1"/>
  <c r="L2265" i="20" s="1"/>
  <c r="D2266" i="20" a="1"/>
  <c r="D2266" i="20" s="1"/>
  <c r="F2266" i="20" a="1"/>
  <c r="F2266" i="20" s="1"/>
  <c r="H2266" i="20" a="1"/>
  <c r="H2266" i="20" s="1"/>
  <c r="B2266" i="20"/>
  <c r="J2266" i="20" a="1"/>
  <c r="J2266" i="20" s="1"/>
  <c r="L2266" i="20" a="1"/>
  <c r="L2266" i="20" s="1"/>
  <c r="D2267" i="20" a="1"/>
  <c r="D2267" i="20" s="1"/>
  <c r="F2267" i="20" a="1"/>
  <c r="F2267" i="20" s="1"/>
  <c r="H2267" i="20" a="1"/>
  <c r="H2267" i="20" s="1"/>
  <c r="B2267" i="20"/>
  <c r="J2267" i="20" a="1"/>
  <c r="J2267" i="20" s="1"/>
  <c r="L2267" i="20" a="1"/>
  <c r="L2267" i="20" s="1"/>
  <c r="D2268" i="20" a="1"/>
  <c r="D2268" i="20" s="1"/>
  <c r="B2268" i="20"/>
  <c r="F2268" i="20" a="1"/>
  <c r="F2268" i="20" s="1"/>
  <c r="H2268" i="20" a="1"/>
  <c r="H2268" i="20" s="1"/>
  <c r="J2268" i="20" a="1"/>
  <c r="J2268" i="20" s="1"/>
  <c r="L2268" i="20" a="1"/>
  <c r="L2268" i="20" s="1"/>
  <c r="D2269" i="20" a="1"/>
  <c r="D2269" i="20" s="1"/>
  <c r="F2269" i="20" a="1"/>
  <c r="F2269" i="20" s="1"/>
  <c r="H2269" i="20" a="1"/>
  <c r="H2269" i="20" s="1"/>
  <c r="B2269" i="20"/>
  <c r="J2269" i="20" a="1"/>
  <c r="J2269" i="20" s="1"/>
  <c r="L2269" i="20" a="1"/>
  <c r="L2269" i="20" s="1"/>
  <c r="D2270" i="20" a="1"/>
  <c r="D2270" i="20" s="1"/>
  <c r="F2270" i="20" a="1"/>
  <c r="F2270" i="20" s="1"/>
  <c r="H2270" i="20" a="1"/>
  <c r="H2270" i="20" s="1"/>
  <c r="B2270" i="20"/>
  <c r="J2270" i="20" a="1"/>
  <c r="J2270" i="20" s="1"/>
  <c r="L2270" i="20" a="1"/>
  <c r="L2270" i="20" s="1"/>
  <c r="D2271" i="20" a="1"/>
  <c r="D2271" i="20" s="1"/>
  <c r="F2271" i="20" a="1"/>
  <c r="F2271" i="20" s="1"/>
  <c r="H2271" i="20" a="1"/>
  <c r="H2271" i="20" s="1"/>
  <c r="J2271" i="20" a="1"/>
  <c r="J2271" i="20" s="1"/>
  <c r="B2271" i="20"/>
  <c r="L2271" i="20" a="1"/>
  <c r="L2271" i="20" s="1"/>
  <c r="D2272" i="20" a="1"/>
  <c r="D2272" i="20" s="1"/>
  <c r="F2272" i="20" a="1"/>
  <c r="F2272" i="20" s="1"/>
  <c r="H2272" i="20" a="1"/>
  <c r="H2272" i="20" s="1"/>
  <c r="J2272" i="20" a="1"/>
  <c r="J2272" i="20" s="1"/>
  <c r="B2272" i="20"/>
  <c r="L2272" i="20" a="1"/>
  <c r="L2272" i="20" s="1"/>
  <c r="B2273" i="20"/>
  <c r="D2273" i="20" a="1"/>
  <c r="D2273" i="20" s="1"/>
  <c r="F2273" i="20" a="1"/>
  <c r="F2273" i="20" s="1"/>
  <c r="H2273" i="20" a="1"/>
  <c r="H2273" i="20" s="1"/>
  <c r="J2273" i="20" a="1"/>
  <c r="J2273" i="20" s="1"/>
  <c r="L2273" i="20" a="1"/>
  <c r="L2273" i="20" s="1"/>
  <c r="D2274" i="20" a="1"/>
  <c r="D2274" i="20" s="1"/>
  <c r="F2274" i="20" a="1"/>
  <c r="F2274" i="20" s="1"/>
  <c r="H2274" i="20" a="1"/>
  <c r="H2274" i="20" s="1"/>
  <c r="J2274" i="20" a="1"/>
  <c r="J2274" i="20" s="1"/>
  <c r="B2274" i="20"/>
  <c r="L2274" i="20" a="1"/>
  <c r="L2274" i="20" s="1"/>
  <c r="B2275" i="20"/>
  <c r="D2275" i="20" a="1"/>
  <c r="D2275" i="20" s="1"/>
  <c r="F2275" i="20" a="1"/>
  <c r="F2275" i="20" s="1"/>
  <c r="H2275" i="20" a="1"/>
  <c r="H2275" i="20" s="1"/>
  <c r="J2275" i="20" a="1"/>
  <c r="J2275" i="20" s="1"/>
  <c r="L2275" i="20" a="1"/>
  <c r="L2275" i="20" s="1"/>
  <c r="D2276" i="20" a="1"/>
  <c r="D2276" i="20" s="1"/>
  <c r="B2276" i="20"/>
  <c r="F2276" i="20" a="1"/>
  <c r="F2276" i="20" s="1"/>
  <c r="H2276" i="20" a="1"/>
  <c r="H2276" i="20" s="1"/>
  <c r="J2276" i="20" a="1"/>
  <c r="J2276" i="20" s="1"/>
  <c r="L2276" i="20" a="1"/>
  <c r="L2276" i="20" s="1"/>
  <c r="D2277" i="20" a="1"/>
  <c r="D2277" i="20" s="1"/>
  <c r="B2277" i="20"/>
  <c r="F2277" i="20" a="1"/>
  <c r="F2277" i="20" s="1"/>
  <c r="H2277" i="20" a="1"/>
  <c r="H2277" i="20" s="1"/>
  <c r="J2277" i="20" a="1"/>
  <c r="J2277" i="20" s="1"/>
  <c r="L2277" i="20" a="1"/>
  <c r="L2277" i="20" s="1"/>
  <c r="D2278" i="20" a="1"/>
  <c r="D2278" i="20" s="1"/>
  <c r="F2278" i="20" a="1"/>
  <c r="F2278" i="20" s="1"/>
  <c r="H2278" i="20" a="1"/>
  <c r="H2278" i="20" s="1"/>
  <c r="B2278" i="20"/>
  <c r="J2278" i="20" a="1"/>
  <c r="J2278" i="20" s="1"/>
  <c r="L2278" i="20" a="1"/>
  <c r="L2278" i="20" s="1"/>
  <c r="D2279" i="20" a="1"/>
  <c r="D2279" i="20" s="1"/>
  <c r="F2279" i="20" a="1"/>
  <c r="F2279" i="20" s="1"/>
  <c r="H2279" i="20" a="1"/>
  <c r="H2279" i="20" s="1"/>
  <c r="B2279" i="20"/>
  <c r="J2279" i="20" a="1"/>
  <c r="J2279" i="20" s="1"/>
  <c r="L2279" i="20" a="1"/>
  <c r="L2279" i="20" s="1"/>
  <c r="D2280" i="20" a="1"/>
  <c r="D2280" i="20" s="1"/>
  <c r="B2280" i="20"/>
  <c r="F2280" i="20" a="1"/>
  <c r="F2280" i="20" s="1"/>
  <c r="H2280" i="20" a="1"/>
  <c r="H2280" i="20" s="1"/>
  <c r="J2280" i="20" a="1"/>
  <c r="J2280" i="20" s="1"/>
  <c r="L2280" i="20" a="1"/>
  <c r="L2280" i="20" s="1"/>
  <c r="D2281" i="20" a="1"/>
  <c r="D2281" i="20" s="1"/>
  <c r="B2281" i="20"/>
  <c r="F2281" i="20" a="1"/>
  <c r="F2281" i="20" s="1"/>
  <c r="H2281" i="20" a="1"/>
  <c r="H2281" i="20" s="1"/>
  <c r="J2281" i="20" a="1"/>
  <c r="J2281" i="20" s="1"/>
  <c r="L2281" i="20" a="1"/>
  <c r="L2281" i="20" s="1"/>
  <c r="B2282" i="20"/>
  <c r="D2282" i="20" a="1"/>
  <c r="D2282" i="20" s="1"/>
  <c r="F2282" i="20" a="1"/>
  <c r="F2282" i="20" s="1"/>
  <c r="H2282" i="20" a="1"/>
  <c r="H2282" i="20" s="1"/>
  <c r="J2282" i="20" a="1"/>
  <c r="J2282" i="20" s="1"/>
  <c r="L2282" i="20" a="1"/>
  <c r="L2282" i="20" s="1"/>
  <c r="D2283" i="20" a="1"/>
  <c r="D2283" i="20" s="1"/>
  <c r="F2283" i="20" a="1"/>
  <c r="F2283" i="20" s="1"/>
  <c r="H2283" i="20" a="1"/>
  <c r="H2283" i="20" s="1"/>
  <c r="B2283" i="20"/>
  <c r="J2283" i="20" a="1"/>
  <c r="J2283" i="20" s="1"/>
  <c r="L2283" i="20" a="1"/>
  <c r="L2283" i="20" s="1"/>
  <c r="D2284" i="20" a="1"/>
  <c r="D2284" i="20" s="1"/>
  <c r="B2284" i="20"/>
  <c r="F2284" i="20" a="1"/>
  <c r="F2284" i="20" s="1"/>
  <c r="H2284" i="20" a="1"/>
  <c r="H2284" i="20" s="1"/>
  <c r="J2284" i="20" a="1"/>
  <c r="J2284" i="20" s="1"/>
  <c r="L2284" i="20" a="1"/>
  <c r="L2284" i="20" s="1"/>
  <c r="D2285" i="20" a="1"/>
  <c r="D2285" i="20" s="1"/>
  <c r="B2285" i="20"/>
  <c r="F2285" i="20" a="1"/>
  <c r="F2285" i="20" s="1"/>
  <c r="H2285" i="20" a="1"/>
  <c r="H2285" i="20" s="1"/>
  <c r="J2285" i="20" a="1"/>
  <c r="J2285" i="20" s="1"/>
  <c r="L2285" i="20" a="1"/>
  <c r="L2285" i="20" s="1"/>
  <c r="D2286" i="20" a="1"/>
  <c r="D2286" i="20" s="1"/>
  <c r="F2286" i="20" a="1"/>
  <c r="F2286" i="20" s="1"/>
  <c r="H2286" i="20" a="1"/>
  <c r="H2286" i="20" s="1"/>
  <c r="B2286" i="20"/>
  <c r="J2286" i="20" a="1"/>
  <c r="J2286" i="20" s="1"/>
  <c r="L2286" i="20" a="1"/>
  <c r="L2286" i="20" s="1"/>
  <c r="D2287" i="20" a="1"/>
  <c r="D2287" i="20" s="1"/>
  <c r="F2287" i="20" a="1"/>
  <c r="F2287" i="20" s="1"/>
  <c r="H2287" i="20" a="1"/>
  <c r="H2287" i="20" s="1"/>
  <c r="B2287" i="20"/>
  <c r="J2287" i="20" a="1"/>
  <c r="J2287" i="20" s="1"/>
  <c r="L2287" i="20" a="1"/>
  <c r="L2287" i="20" s="1"/>
  <c r="D2288" i="20" a="1"/>
  <c r="D2288" i="20" s="1"/>
  <c r="F2288" i="20" a="1"/>
  <c r="F2288" i="20" s="1"/>
  <c r="H2288" i="20" a="1"/>
  <c r="H2288" i="20" s="1"/>
  <c r="J2288" i="20" a="1"/>
  <c r="J2288" i="20" s="1"/>
  <c r="B2288" i="20"/>
  <c r="L2288" i="20" a="1"/>
  <c r="L2288" i="20" s="1"/>
  <c r="D2289" i="20" a="1"/>
  <c r="D2289" i="20" s="1"/>
  <c r="F2289" i="20" a="1"/>
  <c r="F2289" i="20" s="1"/>
  <c r="H2289" i="20" a="1"/>
  <c r="H2289" i="20" s="1"/>
  <c r="B2289" i="20"/>
  <c r="J2289" i="20" a="1"/>
  <c r="J2289" i="20" s="1"/>
  <c r="L2289" i="20" a="1"/>
  <c r="L2289" i="20" s="1"/>
  <c r="D2290" i="20" a="1"/>
  <c r="D2290" i="20" s="1"/>
  <c r="F2290" i="20" a="1"/>
  <c r="F2290" i="20" s="1"/>
  <c r="H2290" i="20" a="1"/>
  <c r="H2290" i="20" s="1"/>
  <c r="B2290" i="20"/>
  <c r="J2290" i="20" a="1"/>
  <c r="J2290" i="20" s="1"/>
  <c r="L2290" i="20" a="1"/>
  <c r="L2290" i="20" s="1"/>
  <c r="D2291" i="20" a="1"/>
  <c r="D2291" i="20" s="1"/>
  <c r="F2291" i="20" a="1"/>
  <c r="F2291" i="20" s="1"/>
  <c r="H2291" i="20" a="1"/>
  <c r="H2291" i="20" s="1"/>
  <c r="B2291" i="20"/>
  <c r="J2291" i="20" a="1"/>
  <c r="J2291" i="20" s="1"/>
  <c r="L2291" i="20" a="1"/>
  <c r="L2291" i="20" s="1"/>
  <c r="D2292" i="20" a="1"/>
  <c r="D2292" i="20" s="1"/>
  <c r="F2292" i="20" a="1"/>
  <c r="F2292" i="20" s="1"/>
  <c r="H2292" i="20" a="1"/>
  <c r="H2292" i="20" s="1"/>
  <c r="B2292" i="20"/>
  <c r="J2292" i="20" a="1"/>
  <c r="J2292" i="20" s="1"/>
  <c r="L2292" i="20" a="1"/>
  <c r="L2292" i="20" s="1"/>
  <c r="D2293" i="20" a="1"/>
  <c r="D2293" i="20" s="1"/>
  <c r="B2293" i="20"/>
  <c r="F2293" i="20" a="1"/>
  <c r="F2293" i="20" s="1"/>
  <c r="H2293" i="20" a="1"/>
  <c r="H2293" i="20" s="1"/>
  <c r="J2293" i="20" a="1"/>
  <c r="J2293" i="20" s="1"/>
  <c r="L2293" i="20" a="1"/>
  <c r="L2293" i="20" s="1"/>
  <c r="D2294" i="20" a="1"/>
  <c r="D2294" i="20" s="1"/>
  <c r="B2294" i="20"/>
  <c r="F2294" i="20" a="1"/>
  <c r="F2294" i="20" s="1"/>
  <c r="H2294" i="20" a="1"/>
  <c r="H2294" i="20" s="1"/>
  <c r="J2294" i="20" a="1"/>
  <c r="J2294" i="20" s="1"/>
  <c r="L2294" i="20" a="1"/>
  <c r="L2294" i="20" s="1"/>
  <c r="D2295" i="20" a="1"/>
  <c r="D2295" i="20" s="1"/>
  <c r="F2295" i="20" a="1"/>
  <c r="F2295" i="20" s="1"/>
  <c r="H2295" i="20" a="1"/>
  <c r="H2295" i="20" s="1"/>
  <c r="B2295" i="20"/>
  <c r="J2295" i="20" a="1"/>
  <c r="J2295" i="20" s="1"/>
  <c r="L2295" i="20" a="1"/>
  <c r="L2295" i="20" s="1"/>
  <c r="D2296" i="20" a="1"/>
  <c r="D2296" i="20" s="1"/>
  <c r="F2296" i="20" a="1"/>
  <c r="F2296" i="20" s="1"/>
  <c r="H2296" i="20" a="1"/>
  <c r="H2296" i="20" s="1"/>
  <c r="B2296" i="20"/>
  <c r="J2296" i="20" a="1"/>
  <c r="J2296" i="20" s="1"/>
  <c r="L2296" i="20" a="1"/>
  <c r="L2296" i="20" s="1"/>
  <c r="D2297" i="20" a="1"/>
  <c r="D2297" i="20" s="1"/>
  <c r="F2297" i="20" a="1"/>
  <c r="F2297" i="20" s="1"/>
  <c r="H2297" i="20" a="1"/>
  <c r="H2297" i="20" s="1"/>
  <c r="J2297" i="20" a="1"/>
  <c r="J2297" i="20" s="1"/>
  <c r="B2297" i="20"/>
  <c r="L2297" i="20" a="1"/>
  <c r="L2297" i="20" s="1"/>
  <c r="B2298" i="20"/>
  <c r="D2298" i="20" a="1"/>
  <c r="D2298" i="20" s="1"/>
  <c r="F2298" i="20" a="1"/>
  <c r="F2298" i="20" s="1"/>
  <c r="H2298" i="20" a="1"/>
  <c r="H2298" i="20" s="1"/>
  <c r="J2298" i="20" a="1"/>
  <c r="J2298" i="20" s="1"/>
  <c r="L2298" i="20" a="1"/>
  <c r="L2298" i="20" s="1"/>
  <c r="D2299" i="20" a="1"/>
  <c r="D2299" i="20" s="1"/>
  <c r="F2299" i="20" a="1"/>
  <c r="F2299" i="20" s="1"/>
  <c r="H2299" i="20" a="1"/>
  <c r="H2299" i="20" s="1"/>
  <c r="J2299" i="20" a="1"/>
  <c r="J2299" i="20" s="1"/>
  <c r="B2299" i="20"/>
  <c r="L2299" i="20" a="1"/>
  <c r="L2299" i="20" s="1"/>
  <c r="D2300" i="20" a="1"/>
  <c r="D2300" i="20" s="1"/>
  <c r="F2300" i="20" a="1"/>
  <c r="F2300" i="20" s="1"/>
  <c r="H2300" i="20" a="1"/>
  <c r="H2300" i="20" s="1"/>
  <c r="J2300" i="20" a="1"/>
  <c r="J2300" i="20" s="1"/>
  <c r="B2300" i="20"/>
  <c r="L2300" i="20" a="1"/>
  <c r="L2300" i="20" s="1"/>
  <c r="B2301" i="20"/>
  <c r="D2301" i="20" a="1"/>
  <c r="D2301" i="20" s="1"/>
  <c r="F2301" i="20" a="1"/>
  <c r="F2301" i="20" s="1"/>
  <c r="H2301" i="20" a="1"/>
  <c r="H2301" i="20" s="1"/>
  <c r="J2301" i="20" a="1"/>
  <c r="J2301" i="20" s="1"/>
  <c r="L2301" i="20" a="1"/>
  <c r="L2301" i="20" s="1"/>
  <c r="D2302" i="20" a="1"/>
  <c r="D2302" i="20" s="1"/>
  <c r="F2302" i="20" a="1"/>
  <c r="F2302" i="20" s="1"/>
  <c r="H2302" i="20" a="1"/>
  <c r="H2302" i="20" s="1"/>
  <c r="J2302" i="20" a="1"/>
  <c r="J2302" i="20" s="1"/>
  <c r="B2302" i="20"/>
  <c r="L2302" i="20" a="1"/>
  <c r="L2302" i="20" s="1"/>
  <c r="B2303" i="20"/>
  <c r="D2303" i="20" a="1"/>
  <c r="D2303" i="20" s="1"/>
  <c r="F2303" i="20" a="1"/>
  <c r="F2303" i="20" s="1"/>
  <c r="H2303" i="20" a="1"/>
  <c r="H2303" i="20" s="1"/>
  <c r="J2303" i="20" a="1"/>
  <c r="J2303" i="20" s="1"/>
  <c r="L2303" i="20" a="1"/>
  <c r="L2303" i="20" s="1"/>
  <c r="D2304" i="20" a="1"/>
  <c r="D2304" i="20" s="1"/>
  <c r="B2304" i="20"/>
  <c r="F2304" i="20" a="1"/>
  <c r="F2304" i="20" s="1"/>
  <c r="H2304" i="20" a="1"/>
  <c r="H2304" i="20" s="1"/>
  <c r="J2304" i="20" a="1"/>
  <c r="J2304" i="20" s="1"/>
  <c r="L2304" i="20" a="1"/>
  <c r="L2304" i="20" s="1"/>
  <c r="D2305" i="20" a="1"/>
  <c r="D2305" i="20" s="1"/>
  <c r="B2305" i="20"/>
  <c r="F2305" i="20" a="1"/>
  <c r="F2305" i="20" s="1"/>
  <c r="H2305" i="20" a="1"/>
  <c r="H2305" i="20" s="1"/>
  <c r="J2305" i="20" a="1"/>
  <c r="J2305" i="20" s="1"/>
  <c r="L2305" i="20" a="1"/>
  <c r="L2305" i="20" s="1"/>
  <c r="B2306" i="20"/>
  <c r="D2306" i="20" a="1"/>
  <c r="D2306" i="20" s="1"/>
  <c r="F2306" i="20" a="1"/>
  <c r="F2306" i="20" s="1"/>
  <c r="H2306" i="20" a="1"/>
  <c r="H2306" i="20" s="1"/>
  <c r="J2306" i="20" a="1"/>
  <c r="J2306" i="20" s="1"/>
  <c r="L2306" i="20" a="1"/>
  <c r="L2306" i="20" s="1"/>
  <c r="D2307" i="20" a="1"/>
  <c r="D2307" i="20" s="1"/>
  <c r="F2307" i="20" a="1"/>
  <c r="F2307" i="20" s="1"/>
  <c r="H2307" i="20" a="1"/>
  <c r="H2307" i="20" s="1"/>
  <c r="J2307" i="20" a="1"/>
  <c r="J2307" i="20" s="1"/>
  <c r="B2307" i="20"/>
  <c r="L2307" i="20" a="1"/>
  <c r="L2307" i="20" s="1"/>
  <c r="D2308" i="20" a="1"/>
  <c r="D2308" i="20" s="1"/>
  <c r="F2308" i="20" a="1"/>
  <c r="F2308" i="20" s="1"/>
  <c r="H2308" i="20" a="1"/>
  <c r="H2308" i="20" s="1"/>
  <c r="B2308" i="20"/>
  <c r="J2308" i="20" a="1"/>
  <c r="J2308" i="20" s="1"/>
  <c r="L2308" i="20" a="1"/>
  <c r="L2308" i="20" s="1"/>
  <c r="D2309" i="20" a="1"/>
  <c r="D2309" i="20" s="1"/>
  <c r="F2309" i="20" a="1"/>
  <c r="F2309" i="20" s="1"/>
  <c r="H2309" i="20" a="1"/>
  <c r="H2309" i="20" s="1"/>
  <c r="B2309" i="20"/>
  <c r="J2309" i="20" a="1"/>
  <c r="J2309" i="20" s="1"/>
  <c r="L2309" i="20" a="1"/>
  <c r="L2309" i="20" s="1"/>
  <c r="D2310" i="20" a="1"/>
  <c r="D2310" i="20" s="1"/>
  <c r="F2310" i="20" a="1"/>
  <c r="F2310" i="20" s="1"/>
  <c r="H2310" i="20" a="1"/>
  <c r="H2310" i="20" s="1"/>
  <c r="J2310" i="20" a="1"/>
  <c r="J2310" i="20" s="1"/>
  <c r="B2310" i="20"/>
  <c r="L2310" i="20" a="1"/>
  <c r="L2310" i="20" s="1"/>
  <c r="D2311" i="20" a="1"/>
  <c r="D2311" i="20" s="1"/>
  <c r="B2311" i="20"/>
  <c r="F2311" i="20" a="1"/>
  <c r="F2311" i="20" s="1"/>
  <c r="H2311" i="20" a="1"/>
  <c r="H2311" i="20" s="1"/>
  <c r="J2311" i="20" a="1"/>
  <c r="J2311" i="20" s="1"/>
  <c r="L2311" i="20" a="1"/>
  <c r="L2311" i="20" s="1"/>
  <c r="D2312" i="20" a="1"/>
  <c r="D2312" i="20" s="1"/>
  <c r="F2312" i="20" a="1"/>
  <c r="F2312" i="20" s="1"/>
  <c r="H2312" i="20" a="1"/>
  <c r="H2312" i="20" s="1"/>
  <c r="B2312" i="20"/>
  <c r="J2312" i="20" a="1"/>
  <c r="J2312" i="20" s="1"/>
  <c r="L2312" i="20" a="1"/>
  <c r="L2312" i="20" s="1"/>
  <c r="D2313" i="20" a="1"/>
  <c r="D2313" i="20" s="1"/>
  <c r="F2313" i="20" a="1"/>
  <c r="F2313" i="20" s="1"/>
  <c r="H2313" i="20" a="1"/>
  <c r="H2313" i="20" s="1"/>
  <c r="B2313" i="20"/>
  <c r="J2313" i="20" a="1"/>
  <c r="J2313" i="20" s="1"/>
  <c r="L2313" i="20" a="1"/>
  <c r="L2313" i="20" s="1"/>
  <c r="D2314" i="20" a="1"/>
  <c r="D2314" i="20" s="1"/>
  <c r="F2314" i="20" a="1"/>
  <c r="F2314" i="20" s="1"/>
  <c r="H2314" i="20" a="1"/>
  <c r="H2314" i="20" s="1"/>
  <c r="J2314" i="20" a="1"/>
  <c r="J2314" i="20" s="1"/>
  <c r="B2314" i="20"/>
  <c r="L2314" i="20" a="1"/>
  <c r="L2314" i="20" s="1"/>
  <c r="B2315" i="20"/>
  <c r="D2315" i="20" a="1"/>
  <c r="D2315" i="20" s="1"/>
  <c r="F2315" i="20" a="1"/>
  <c r="F2315" i="20" s="1"/>
  <c r="H2315" i="20" a="1"/>
  <c r="H2315" i="20" s="1"/>
  <c r="J2315" i="20" a="1"/>
  <c r="J2315" i="20" s="1"/>
  <c r="L2315" i="20" a="1"/>
  <c r="L2315" i="20" s="1"/>
  <c r="D2316" i="20" a="1"/>
  <c r="D2316" i="20" s="1"/>
  <c r="B2316" i="20"/>
  <c r="F2316" i="20" a="1"/>
  <c r="F2316" i="20" s="1"/>
  <c r="H2316" i="20" a="1"/>
  <c r="H2316" i="20" s="1"/>
  <c r="J2316" i="20" a="1"/>
  <c r="J2316" i="20" s="1"/>
  <c r="L2316" i="20" a="1"/>
  <c r="L2316" i="20" s="1"/>
  <c r="D2317" i="20" a="1"/>
  <c r="D2317" i="20" s="1"/>
  <c r="F2317" i="20" a="1"/>
  <c r="F2317" i="20" s="1"/>
  <c r="H2317" i="20" a="1"/>
  <c r="H2317" i="20" s="1"/>
  <c r="J2317" i="20" a="1"/>
  <c r="J2317" i="20" s="1"/>
  <c r="B2317" i="20"/>
  <c r="L2317" i="20" a="1"/>
  <c r="L2317" i="20" s="1"/>
  <c r="B2318" i="20"/>
  <c r="D2318" i="20" a="1"/>
  <c r="D2318" i="20" s="1"/>
  <c r="F2318" i="20" a="1"/>
  <c r="F2318" i="20" s="1"/>
  <c r="H2318" i="20" a="1"/>
  <c r="H2318" i="20" s="1"/>
  <c r="J2318" i="20" a="1"/>
  <c r="J2318" i="20" s="1"/>
  <c r="L2318" i="20" a="1"/>
  <c r="L2318" i="20" s="1"/>
  <c r="D2319" i="20" a="1"/>
  <c r="D2319" i="20" s="1"/>
  <c r="B2319" i="20"/>
  <c r="F2319" i="20" a="1"/>
  <c r="F2319" i="20" s="1"/>
  <c r="H2319" i="20" a="1"/>
  <c r="H2319" i="20" s="1"/>
  <c r="J2319" i="20" a="1"/>
  <c r="J2319" i="20" s="1"/>
  <c r="L2319" i="20" a="1"/>
  <c r="L2319" i="20" s="1"/>
  <c r="D2320" i="20" a="1"/>
  <c r="D2320" i="20" s="1"/>
  <c r="B2320" i="20"/>
  <c r="F2320" i="20" a="1"/>
  <c r="F2320" i="20" s="1"/>
  <c r="H2320" i="20" a="1"/>
  <c r="H2320" i="20" s="1"/>
  <c r="J2320" i="20" a="1"/>
  <c r="J2320" i="20" s="1"/>
  <c r="L2320" i="20" a="1"/>
  <c r="L2320" i="20" s="1"/>
  <c r="B2321" i="20"/>
  <c r="D2321" i="20" a="1"/>
  <c r="D2321" i="20" s="1"/>
  <c r="F2321" i="20" a="1"/>
  <c r="F2321" i="20" s="1"/>
  <c r="H2321" i="20" a="1"/>
  <c r="H2321" i="20" s="1"/>
  <c r="J2321" i="20" a="1"/>
  <c r="J2321" i="20" s="1"/>
  <c r="L2321" i="20" a="1"/>
  <c r="L2321" i="20" s="1"/>
  <c r="D2322" i="20" a="1"/>
  <c r="D2322" i="20" s="1"/>
  <c r="F2322" i="20" a="1"/>
  <c r="F2322" i="20" s="1"/>
  <c r="H2322" i="20" a="1"/>
  <c r="H2322" i="20" s="1"/>
  <c r="J2322" i="20" a="1"/>
  <c r="J2322" i="20" s="1"/>
  <c r="B2322" i="20"/>
  <c r="L2322" i="20" a="1"/>
  <c r="L2322" i="20" s="1"/>
  <c r="B2323" i="20"/>
  <c r="D2323" i="20" a="1"/>
  <c r="D2323" i="20" s="1"/>
  <c r="F2323" i="20" a="1"/>
  <c r="F2323" i="20" s="1"/>
  <c r="H2323" i="20" a="1"/>
  <c r="H2323" i="20" s="1"/>
  <c r="J2323" i="20" a="1"/>
  <c r="J2323" i="20" s="1"/>
  <c r="L2323" i="20" a="1"/>
  <c r="L2323" i="20" s="1"/>
  <c r="D2324" i="20" a="1"/>
  <c r="D2324" i="20" s="1"/>
  <c r="F2324" i="20" a="1"/>
  <c r="F2324" i="20" s="1"/>
  <c r="H2324" i="20" a="1"/>
  <c r="H2324" i="20" s="1"/>
  <c r="B2324" i="20"/>
  <c r="J2324" i="20" a="1"/>
  <c r="J2324" i="20" s="1"/>
  <c r="L2324" i="20" a="1"/>
  <c r="L2324" i="20" s="1"/>
  <c r="B2325" i="20"/>
  <c r="D2325" i="20" a="1"/>
  <c r="D2325" i="20" s="1"/>
  <c r="F2325" i="20" a="1"/>
  <c r="F2325" i="20" s="1"/>
  <c r="H2325" i="20" a="1"/>
  <c r="H2325" i="20" s="1"/>
  <c r="J2325" i="20" a="1"/>
  <c r="J2325" i="20" s="1"/>
  <c r="L2325" i="20" a="1"/>
  <c r="L2325" i="20" s="1"/>
  <c r="D2326" i="20" a="1"/>
  <c r="D2326" i="20" s="1"/>
  <c r="F2326" i="20" a="1"/>
  <c r="F2326" i="20" s="1"/>
  <c r="H2326" i="20" a="1"/>
  <c r="H2326" i="20" s="1"/>
  <c r="B2326" i="20"/>
  <c r="J2326" i="20" a="1"/>
  <c r="J2326" i="20" s="1"/>
  <c r="L2326" i="20" a="1"/>
  <c r="L2326" i="20" s="1"/>
  <c r="D2327" i="20" a="1"/>
  <c r="D2327" i="20" s="1"/>
  <c r="F2327" i="20" a="1"/>
  <c r="F2327" i="20" s="1"/>
  <c r="H2327" i="20" a="1"/>
  <c r="H2327" i="20" s="1"/>
  <c r="B2327" i="20"/>
  <c r="J2327" i="20" a="1"/>
  <c r="J2327" i="20" s="1"/>
  <c r="L2327" i="20" a="1"/>
  <c r="L2327" i="20" s="1"/>
  <c r="D2328" i="20" a="1"/>
  <c r="D2328" i="20" s="1"/>
  <c r="F2328" i="20" a="1"/>
  <c r="F2328" i="20" s="1"/>
  <c r="H2328" i="20" a="1"/>
  <c r="H2328" i="20" s="1"/>
  <c r="J2328" i="20" a="1"/>
  <c r="J2328" i="20" s="1"/>
  <c r="B2328" i="20"/>
  <c r="L2328" i="20" a="1"/>
  <c r="L2328" i="20" s="1"/>
  <c r="B2329" i="20"/>
  <c r="D2329" i="20" a="1"/>
  <c r="D2329" i="20" s="1"/>
  <c r="F2329" i="20" a="1"/>
  <c r="F2329" i="20" s="1"/>
  <c r="H2329" i="20" a="1"/>
  <c r="H2329" i="20" s="1"/>
  <c r="J2329" i="20" a="1"/>
  <c r="J2329" i="20" s="1"/>
  <c r="L2329" i="20" a="1"/>
  <c r="L2329" i="20" s="1"/>
  <c r="D2330" i="20" a="1"/>
  <c r="D2330" i="20" s="1"/>
  <c r="B2330" i="20"/>
  <c r="F2330" i="20" a="1"/>
  <c r="F2330" i="20" s="1"/>
  <c r="H2330" i="20" a="1"/>
  <c r="H2330" i="20" s="1"/>
  <c r="J2330" i="20" a="1"/>
  <c r="J2330" i="20" s="1"/>
  <c r="L2330" i="20" a="1"/>
  <c r="L2330" i="20" s="1"/>
  <c r="D2331" i="20" a="1"/>
  <c r="D2331" i="20" s="1"/>
  <c r="B2331" i="20"/>
  <c r="F2331" i="20" a="1"/>
  <c r="F2331" i="20" s="1"/>
  <c r="H2331" i="20" a="1"/>
  <c r="H2331" i="20" s="1"/>
  <c r="J2331" i="20" a="1"/>
  <c r="J2331" i="20" s="1"/>
  <c r="L2331" i="20" a="1"/>
  <c r="L2331" i="20" s="1"/>
  <c r="D2332" i="20" a="1"/>
  <c r="D2332" i="20" s="1"/>
  <c r="F2332" i="20" a="1"/>
  <c r="F2332" i="20" s="1"/>
  <c r="H2332" i="20" a="1"/>
  <c r="H2332" i="20" s="1"/>
  <c r="B2332" i="20"/>
  <c r="J2332" i="20" a="1"/>
  <c r="J2332" i="20" s="1"/>
  <c r="L2332" i="20" a="1"/>
  <c r="L2332" i="20" s="1"/>
  <c r="D2333" i="20" a="1"/>
  <c r="D2333" i="20" s="1"/>
  <c r="F2333" i="20" a="1"/>
  <c r="F2333" i="20" s="1"/>
  <c r="H2333" i="20" a="1"/>
  <c r="H2333" i="20" s="1"/>
  <c r="J2333" i="20" a="1"/>
  <c r="J2333" i="20" s="1"/>
  <c r="B2333" i="20"/>
  <c r="L2333" i="20" a="1"/>
  <c r="L2333" i="20" s="1"/>
  <c r="B2334" i="20"/>
  <c r="D2334" i="20" a="1"/>
  <c r="D2334" i="20" s="1"/>
  <c r="F2334" i="20" a="1"/>
  <c r="F2334" i="20" s="1"/>
  <c r="H2334" i="20" a="1"/>
  <c r="H2334" i="20" s="1"/>
  <c r="J2334" i="20" a="1"/>
  <c r="J2334" i="20" s="1"/>
  <c r="L2334" i="20" a="1"/>
  <c r="L2334" i="20" s="1"/>
  <c r="D2335" i="20" a="1"/>
  <c r="D2335" i="20" s="1"/>
  <c r="B2335" i="20"/>
  <c r="F2335" i="20" a="1"/>
  <c r="F2335" i="20" s="1"/>
  <c r="H2335" i="20" a="1"/>
  <c r="H2335" i="20" s="1"/>
  <c r="J2335" i="20" a="1"/>
  <c r="J2335" i="20" s="1"/>
  <c r="L2335" i="20" a="1"/>
  <c r="L2335" i="20" s="1"/>
  <c r="D2336" i="20" a="1"/>
  <c r="D2336" i="20" s="1"/>
  <c r="B2336" i="20"/>
  <c r="F2336" i="20" a="1"/>
  <c r="F2336" i="20" s="1"/>
  <c r="H2336" i="20" a="1"/>
  <c r="H2336" i="20" s="1"/>
  <c r="J2336" i="20" a="1"/>
  <c r="J2336" i="20" s="1"/>
  <c r="L2336" i="20" a="1"/>
  <c r="L2336" i="20" s="1"/>
  <c r="D2337" i="20" a="1"/>
  <c r="D2337" i="20" s="1"/>
  <c r="F2337" i="20" a="1"/>
  <c r="F2337" i="20" s="1"/>
  <c r="H2337" i="20" a="1"/>
  <c r="H2337" i="20" s="1"/>
  <c r="J2337" i="20" a="1"/>
  <c r="J2337" i="20" s="1"/>
  <c r="B2337" i="20"/>
  <c r="L2337" i="20" a="1"/>
  <c r="L2337" i="20" s="1"/>
  <c r="B2338" i="20"/>
  <c r="D2338" i="20" a="1"/>
  <c r="D2338" i="20" s="1"/>
  <c r="F2338" i="20" a="1"/>
  <c r="F2338" i="20" s="1"/>
  <c r="H2338" i="20" a="1"/>
  <c r="H2338" i="20" s="1"/>
  <c r="J2338" i="20" a="1"/>
  <c r="J2338" i="20" s="1"/>
  <c r="L2338" i="20" a="1"/>
  <c r="L2338" i="20" s="1"/>
  <c r="D2339" i="20" a="1"/>
  <c r="D2339" i="20" s="1"/>
  <c r="B2339" i="20"/>
  <c r="F2339" i="20" a="1"/>
  <c r="F2339" i="20" s="1"/>
  <c r="H2339" i="20" a="1"/>
  <c r="H2339" i="20" s="1"/>
  <c r="J2339" i="20" a="1"/>
  <c r="J2339" i="20" s="1"/>
  <c r="L2339" i="20" a="1"/>
  <c r="L2339" i="20" s="1"/>
  <c r="D2340" i="20" a="1"/>
  <c r="D2340" i="20" s="1"/>
  <c r="B2340" i="20"/>
  <c r="F2340" i="20" a="1"/>
  <c r="F2340" i="20" s="1"/>
  <c r="H2340" i="20" a="1"/>
  <c r="H2340" i="20" s="1"/>
  <c r="J2340" i="20" a="1"/>
  <c r="J2340" i="20" s="1"/>
  <c r="L2340" i="20" a="1"/>
  <c r="L2340" i="20" s="1"/>
  <c r="D2341" i="20" a="1"/>
  <c r="D2341" i="20" s="1"/>
  <c r="B2341" i="20"/>
  <c r="F2341" i="20" a="1"/>
  <c r="F2341" i="20" s="1"/>
  <c r="H2341" i="20" a="1"/>
  <c r="H2341" i="20" s="1"/>
  <c r="J2341" i="20" a="1"/>
  <c r="J2341" i="20" s="1"/>
  <c r="L2341" i="20" a="1"/>
  <c r="L2341" i="20" s="1"/>
  <c r="D2342" i="20" a="1"/>
  <c r="D2342" i="20" s="1"/>
  <c r="B2342" i="20"/>
  <c r="F2342" i="20" a="1"/>
  <c r="F2342" i="20" s="1"/>
  <c r="H2342" i="20" a="1"/>
  <c r="H2342" i="20" s="1"/>
  <c r="J2342" i="20" a="1"/>
  <c r="J2342" i="20" s="1"/>
  <c r="L2342" i="20" a="1"/>
  <c r="L2342" i="20" s="1"/>
  <c r="D2343" i="20" a="1"/>
  <c r="D2343" i="20" s="1"/>
  <c r="F2343" i="20" a="1"/>
  <c r="F2343" i="20" s="1"/>
  <c r="H2343" i="20" a="1"/>
  <c r="H2343" i="20" s="1"/>
  <c r="B2343" i="20"/>
  <c r="J2343" i="20" a="1"/>
  <c r="J2343" i="20" s="1"/>
  <c r="L2343" i="20" a="1"/>
  <c r="L2343" i="20" s="1"/>
  <c r="D2344" i="20" a="1"/>
  <c r="D2344" i="20" s="1"/>
  <c r="F2344" i="20" a="1"/>
  <c r="F2344" i="20" s="1"/>
  <c r="H2344" i="20" a="1"/>
  <c r="H2344" i="20" s="1"/>
  <c r="B2344" i="20"/>
  <c r="J2344" i="20" a="1"/>
  <c r="J2344" i="20" s="1"/>
  <c r="L2344" i="20" a="1"/>
  <c r="L2344" i="20" s="1"/>
  <c r="D2345" i="20" a="1"/>
  <c r="D2345" i="20" s="1"/>
  <c r="F2345" i="20" a="1"/>
  <c r="F2345" i="20" s="1"/>
  <c r="H2345" i="20" a="1"/>
  <c r="H2345" i="20" s="1"/>
  <c r="B2345" i="20"/>
  <c r="J2345" i="20" a="1"/>
  <c r="J2345" i="20" s="1"/>
  <c r="L2345" i="20" a="1"/>
  <c r="L2345" i="20" s="1"/>
  <c r="D2346" i="20" a="1"/>
  <c r="D2346" i="20" s="1"/>
  <c r="F2346" i="20" a="1"/>
  <c r="F2346" i="20" s="1"/>
  <c r="H2346" i="20" a="1"/>
  <c r="H2346" i="20" s="1"/>
  <c r="B2346" i="20"/>
  <c r="J2346" i="20" a="1"/>
  <c r="J2346" i="20" s="1"/>
  <c r="L2346" i="20" a="1"/>
  <c r="L2346" i="20" s="1"/>
  <c r="B2347" i="20"/>
  <c r="D2347" i="20" a="1"/>
  <c r="D2347" i="20" s="1"/>
  <c r="F2347" i="20" a="1"/>
  <c r="F2347" i="20" s="1"/>
  <c r="H2347" i="20" a="1"/>
  <c r="H2347" i="20" s="1"/>
  <c r="J2347" i="20" a="1"/>
  <c r="J2347" i="20" s="1"/>
  <c r="L2347" i="20" a="1"/>
  <c r="L2347" i="20" s="1"/>
  <c r="D2348" i="20" a="1"/>
  <c r="D2348" i="20" s="1"/>
  <c r="F2348" i="20" a="1"/>
  <c r="F2348" i="20" s="1"/>
  <c r="H2348" i="20" a="1"/>
  <c r="H2348" i="20" s="1"/>
  <c r="J2348" i="20" a="1"/>
  <c r="J2348" i="20" s="1"/>
  <c r="B2348" i="20"/>
  <c r="L2348" i="20" a="1"/>
  <c r="L2348" i="20" s="1"/>
  <c r="B2349" i="20"/>
  <c r="D2349" i="20" a="1"/>
  <c r="D2349" i="20" s="1"/>
  <c r="F2349" i="20" a="1"/>
  <c r="F2349" i="20" s="1"/>
  <c r="H2349" i="20" a="1"/>
  <c r="H2349" i="20" s="1"/>
  <c r="J2349" i="20" a="1"/>
  <c r="J2349" i="20" s="1"/>
  <c r="L2349" i="20" a="1"/>
  <c r="L2349" i="20" s="1"/>
  <c r="D2350" i="20" a="1"/>
  <c r="D2350" i="20" s="1"/>
  <c r="B2350" i="20"/>
  <c r="F2350" i="20" a="1"/>
  <c r="F2350" i="20" s="1"/>
  <c r="H2350" i="20" a="1"/>
  <c r="H2350" i="20" s="1"/>
  <c r="J2350" i="20" a="1"/>
  <c r="J2350" i="20" s="1"/>
  <c r="L2350" i="20" a="1"/>
  <c r="L2350" i="20" s="1"/>
  <c r="D2351" i="20" a="1"/>
  <c r="D2351" i="20" s="1"/>
  <c r="B2351" i="20"/>
  <c r="F2351" i="20" a="1"/>
  <c r="F2351" i="20" s="1"/>
  <c r="H2351" i="20" a="1"/>
  <c r="H2351" i="20" s="1"/>
  <c r="J2351" i="20" a="1"/>
  <c r="J2351" i="20" s="1"/>
  <c r="L2351" i="20" a="1"/>
  <c r="L2351" i="20" s="1"/>
  <c r="D2352" i="20" a="1"/>
  <c r="D2352" i="20" s="1"/>
  <c r="F2352" i="20" a="1"/>
  <c r="F2352" i="20" s="1"/>
  <c r="H2352" i="20" a="1"/>
  <c r="H2352" i="20" s="1"/>
  <c r="J2352" i="20" a="1"/>
  <c r="J2352" i="20" s="1"/>
  <c r="B2352" i="20"/>
  <c r="L2352" i="20" a="1"/>
  <c r="L2352" i="20" s="1"/>
  <c r="B2353" i="20"/>
  <c r="D2353" i="20" a="1"/>
  <c r="D2353" i="20" s="1"/>
  <c r="F2353" i="20" a="1"/>
  <c r="F2353" i="20" s="1"/>
  <c r="H2353" i="20" a="1"/>
  <c r="H2353" i="20" s="1"/>
  <c r="J2353" i="20" a="1"/>
  <c r="J2353" i="20" s="1"/>
  <c r="L2353" i="20" a="1"/>
  <c r="L2353" i="20" s="1"/>
  <c r="D2354" i="20" a="1"/>
  <c r="D2354" i="20" s="1"/>
  <c r="F2354" i="20" a="1"/>
  <c r="F2354" i="20" s="1"/>
  <c r="H2354" i="20" a="1"/>
  <c r="H2354" i="20" s="1"/>
  <c r="B2354" i="20"/>
  <c r="J2354" i="20" a="1"/>
  <c r="J2354" i="20" s="1"/>
  <c r="L2354" i="20" a="1"/>
  <c r="L2354" i="20" s="1"/>
  <c r="D2355" i="20" a="1"/>
  <c r="D2355" i="20" s="1"/>
  <c r="F2355" i="20" a="1"/>
  <c r="F2355" i="20" s="1"/>
  <c r="H2355" i="20" a="1"/>
  <c r="H2355" i="20" s="1"/>
  <c r="B2355" i="20"/>
  <c r="J2355" i="20" a="1"/>
  <c r="J2355" i="20" s="1"/>
  <c r="L2355" i="20" a="1"/>
  <c r="L2355" i="20" s="1"/>
  <c r="D2356" i="20" a="1"/>
  <c r="D2356" i="20" s="1"/>
  <c r="B2356" i="20"/>
  <c r="F2356" i="20" a="1"/>
  <c r="F2356" i="20" s="1"/>
  <c r="H2356" i="20" a="1"/>
  <c r="H2356" i="20" s="1"/>
  <c r="J2356" i="20" a="1"/>
  <c r="J2356" i="20" s="1"/>
  <c r="L2356" i="20" a="1"/>
  <c r="L2356" i="20" s="1"/>
  <c r="D2357" i="20" a="1"/>
  <c r="D2357" i="20" s="1"/>
  <c r="F2357" i="20" a="1"/>
  <c r="F2357" i="20" s="1"/>
  <c r="H2357" i="20" a="1"/>
  <c r="H2357" i="20" s="1"/>
  <c r="J2357" i="20" a="1"/>
  <c r="J2357" i="20" s="1"/>
  <c r="B2357" i="20"/>
  <c r="L2357" i="20" a="1"/>
  <c r="L2357" i="20" s="1"/>
  <c r="D2358" i="20" a="1"/>
  <c r="D2358" i="20" s="1"/>
  <c r="B2358" i="20"/>
  <c r="F2358" i="20" a="1"/>
  <c r="F2358" i="20" s="1"/>
  <c r="H2358" i="20" a="1"/>
  <c r="H2358" i="20" s="1"/>
  <c r="J2358" i="20" a="1"/>
  <c r="J2358" i="20" s="1"/>
  <c r="L2358" i="20" a="1"/>
  <c r="L2358" i="20" s="1"/>
  <c r="D2359" i="20" a="1"/>
  <c r="D2359" i="20" s="1"/>
  <c r="F2359" i="20" a="1"/>
  <c r="F2359" i="20" s="1"/>
  <c r="H2359" i="20" a="1"/>
  <c r="H2359" i="20" s="1"/>
  <c r="J2359" i="20" a="1"/>
  <c r="J2359" i="20" s="1"/>
  <c r="B2359" i="20"/>
  <c r="L2359" i="20" a="1"/>
  <c r="L2359" i="20" s="1"/>
  <c r="D2360" i="20" a="1"/>
  <c r="D2360" i="20" s="1"/>
  <c r="F2360" i="20" a="1"/>
  <c r="F2360" i="20" s="1"/>
  <c r="H2360" i="20" a="1"/>
  <c r="H2360" i="20" s="1"/>
  <c r="B2360" i="20"/>
  <c r="J2360" i="20" a="1"/>
  <c r="J2360" i="20" s="1"/>
  <c r="L2360" i="20" a="1"/>
  <c r="L2360" i="20" s="1"/>
  <c r="D2361" i="20" a="1"/>
  <c r="D2361" i="20" s="1"/>
  <c r="F2361" i="20" a="1"/>
  <c r="F2361" i="20" s="1"/>
  <c r="H2361" i="20" a="1"/>
  <c r="H2361" i="20" s="1"/>
  <c r="B2361" i="20"/>
  <c r="J2361" i="20" a="1"/>
  <c r="J2361" i="20" s="1"/>
  <c r="L2361" i="20" a="1"/>
  <c r="L2361" i="20" s="1"/>
  <c r="D2362" i="20" a="1"/>
  <c r="D2362" i="20" s="1"/>
  <c r="B2362" i="20"/>
  <c r="F2362" i="20" a="1"/>
  <c r="F2362" i="20" s="1"/>
  <c r="H2362" i="20" a="1"/>
  <c r="H2362" i="20" s="1"/>
  <c r="J2362" i="20" a="1"/>
  <c r="J2362" i="20" s="1"/>
  <c r="L2362" i="20" a="1"/>
  <c r="L2362" i="20" s="1"/>
  <c r="D2363" i="20" a="1"/>
  <c r="D2363" i="20" s="1"/>
  <c r="B2363" i="20"/>
  <c r="F2363" i="20" a="1"/>
  <c r="F2363" i="20" s="1"/>
  <c r="H2363" i="20" a="1"/>
  <c r="H2363" i="20" s="1"/>
  <c r="J2363" i="20" a="1"/>
  <c r="J2363" i="20" s="1"/>
  <c r="L2363" i="20" a="1"/>
  <c r="L2363" i="20" s="1"/>
  <c r="D2364" i="20" a="1"/>
  <c r="D2364" i="20" s="1"/>
  <c r="B2364" i="20"/>
  <c r="F2364" i="20" a="1"/>
  <c r="F2364" i="20" s="1"/>
  <c r="H2364" i="20" a="1"/>
  <c r="H2364" i="20" s="1"/>
  <c r="J2364" i="20" a="1"/>
  <c r="J2364" i="20" s="1"/>
  <c r="L2364" i="20" a="1"/>
  <c r="L2364" i="20" s="1"/>
  <c r="D2365" i="20" a="1"/>
  <c r="D2365" i="20" s="1"/>
  <c r="B2365" i="20"/>
  <c r="F2365" i="20" a="1"/>
  <c r="F2365" i="20" s="1"/>
  <c r="H2365" i="20" a="1"/>
  <c r="H2365" i="20" s="1"/>
  <c r="J2365" i="20" a="1"/>
  <c r="J2365" i="20" s="1"/>
  <c r="L2365" i="20" a="1"/>
  <c r="L2365" i="20" s="1"/>
  <c r="D2366" i="20" a="1"/>
  <c r="D2366" i="20" s="1"/>
  <c r="F2366" i="20" a="1"/>
  <c r="F2366" i="20" s="1"/>
  <c r="H2366" i="20" a="1"/>
  <c r="H2366" i="20" s="1"/>
  <c r="B2366" i="20"/>
  <c r="J2366" i="20" a="1"/>
  <c r="J2366" i="20" s="1"/>
  <c r="L2366" i="20" a="1"/>
  <c r="L2366" i="20" s="1"/>
  <c r="D2367" i="20" a="1"/>
  <c r="D2367" i="20" s="1"/>
  <c r="F2367" i="20" a="1"/>
  <c r="F2367" i="20" s="1"/>
  <c r="H2367" i="20" a="1"/>
  <c r="H2367" i="20" s="1"/>
  <c r="B2367" i="20"/>
  <c r="J2367" i="20" a="1"/>
  <c r="J2367" i="20" s="1"/>
  <c r="L2367" i="20" a="1"/>
  <c r="L2367" i="20" s="1"/>
  <c r="D2368" i="20" a="1"/>
  <c r="D2368" i="20" s="1"/>
  <c r="B2368" i="20"/>
  <c r="F2368" i="20" a="1"/>
  <c r="F2368" i="20" s="1"/>
  <c r="H2368" i="20" a="1"/>
  <c r="H2368" i="20" s="1"/>
  <c r="J2368" i="20" a="1"/>
  <c r="J2368" i="20" s="1"/>
  <c r="L2368" i="20" a="1"/>
  <c r="L2368" i="20" s="1"/>
  <c r="D2369" i="20" a="1"/>
  <c r="D2369" i="20" s="1"/>
  <c r="B2369" i="20"/>
  <c r="F2369" i="20" a="1"/>
  <c r="F2369" i="20" s="1"/>
  <c r="H2369" i="20" a="1"/>
  <c r="H2369" i="20" s="1"/>
  <c r="J2369" i="20" a="1"/>
  <c r="J2369" i="20" s="1"/>
  <c r="L2369" i="20" a="1"/>
  <c r="L2369" i="20" s="1"/>
  <c r="D2370" i="20" a="1"/>
  <c r="D2370" i="20" s="1"/>
  <c r="F2370" i="20" a="1"/>
  <c r="F2370" i="20" s="1"/>
  <c r="H2370" i="20" a="1"/>
  <c r="H2370" i="20" s="1"/>
  <c r="J2370" i="20" a="1"/>
  <c r="J2370" i="20" s="1"/>
  <c r="B2370" i="20"/>
  <c r="L2370" i="20" a="1"/>
  <c r="L2370" i="20" s="1"/>
  <c r="D2371" i="20" a="1"/>
  <c r="D2371" i="20" s="1"/>
  <c r="F2371" i="20" a="1"/>
  <c r="F2371" i="20" s="1"/>
  <c r="H2371" i="20" a="1"/>
  <c r="H2371" i="20" s="1"/>
  <c r="B2371" i="20"/>
  <c r="J2371" i="20" a="1"/>
  <c r="J2371" i="20" s="1"/>
  <c r="L2371" i="20" a="1"/>
  <c r="L2371" i="20" s="1"/>
  <c r="D2372" i="20" a="1"/>
  <c r="D2372" i="20" s="1"/>
  <c r="B2372" i="20"/>
  <c r="F2372" i="20" a="1"/>
  <c r="F2372" i="20" s="1"/>
  <c r="H2372" i="20" a="1"/>
  <c r="H2372" i="20" s="1"/>
  <c r="J2372" i="20" a="1"/>
  <c r="J2372" i="20" s="1"/>
  <c r="L2372" i="20" a="1"/>
  <c r="L2372" i="20" s="1"/>
  <c r="D2373" i="20" a="1"/>
  <c r="D2373" i="20" s="1"/>
  <c r="B2373" i="20"/>
  <c r="F2373" i="20" a="1"/>
  <c r="F2373" i="20" s="1"/>
  <c r="H2373" i="20" a="1"/>
  <c r="H2373" i="20" s="1"/>
  <c r="J2373" i="20" a="1"/>
  <c r="J2373" i="20" s="1"/>
  <c r="L2373" i="20" a="1"/>
  <c r="L2373" i="20" s="1"/>
  <c r="D2374" i="20" a="1"/>
  <c r="D2374" i="20" s="1"/>
  <c r="F2374" i="20" a="1"/>
  <c r="F2374" i="20" s="1"/>
  <c r="H2374" i="20" a="1"/>
  <c r="H2374" i="20" s="1"/>
  <c r="B2374" i="20"/>
  <c r="J2374" i="20" a="1"/>
  <c r="J2374" i="20" s="1"/>
  <c r="L2374" i="20" a="1"/>
  <c r="L2374" i="20" s="1"/>
  <c r="D2375" i="20" a="1"/>
  <c r="D2375" i="20" s="1"/>
  <c r="F2375" i="20" a="1"/>
  <c r="F2375" i="20" s="1"/>
  <c r="H2375" i="20" a="1"/>
  <c r="H2375" i="20" s="1"/>
  <c r="B2375" i="20"/>
  <c r="J2375" i="20" a="1"/>
  <c r="J2375" i="20" s="1"/>
  <c r="L2375" i="20" a="1"/>
  <c r="L2375" i="20" s="1"/>
  <c r="B2376" i="20"/>
  <c r="D2376" i="20" a="1"/>
  <c r="D2376" i="20" s="1"/>
  <c r="F2376" i="20" a="1"/>
  <c r="F2376" i="20" s="1"/>
  <c r="H2376" i="20" a="1"/>
  <c r="H2376" i="20" s="1"/>
  <c r="J2376" i="20" a="1"/>
  <c r="J2376" i="20" s="1"/>
  <c r="L2376" i="20" a="1"/>
  <c r="L2376" i="20" s="1"/>
  <c r="D2377" i="20" a="1"/>
  <c r="D2377" i="20" s="1"/>
  <c r="B2377" i="20"/>
  <c r="F2377" i="20" a="1"/>
  <c r="F2377" i="20" s="1"/>
  <c r="H2377" i="20" a="1"/>
  <c r="H2377" i="20" s="1"/>
  <c r="J2377" i="20" a="1"/>
  <c r="J2377" i="20" s="1"/>
  <c r="L2377" i="20" a="1"/>
  <c r="L2377" i="20" s="1"/>
  <c r="D2378" i="20" a="1"/>
  <c r="D2378" i="20" s="1"/>
  <c r="F2378" i="20" a="1"/>
  <c r="F2378" i="20" s="1"/>
  <c r="H2378" i="20" a="1"/>
  <c r="H2378" i="20" s="1"/>
  <c r="B2378" i="20"/>
  <c r="J2378" i="20" a="1"/>
  <c r="J2378" i="20" s="1"/>
  <c r="L2378" i="20" a="1"/>
  <c r="L2378" i="20" s="1"/>
  <c r="D2379" i="20" a="1"/>
  <c r="D2379" i="20" s="1"/>
  <c r="F2379" i="20" a="1"/>
  <c r="F2379" i="20" s="1"/>
  <c r="H2379" i="20" a="1"/>
  <c r="H2379" i="20" s="1"/>
  <c r="B2379" i="20"/>
  <c r="J2379" i="20" a="1"/>
  <c r="J2379" i="20" s="1"/>
  <c r="L2379" i="20" a="1"/>
  <c r="L2379" i="20" s="1"/>
  <c r="D2380" i="20" a="1"/>
  <c r="D2380" i="20" s="1"/>
  <c r="F2380" i="20" a="1"/>
  <c r="F2380" i="20" s="1"/>
  <c r="H2380" i="20" a="1"/>
  <c r="H2380" i="20" s="1"/>
  <c r="B2380" i="20"/>
  <c r="J2380" i="20" a="1"/>
  <c r="J2380" i="20" s="1"/>
  <c r="L2380" i="20" a="1"/>
  <c r="L2380" i="20" s="1"/>
  <c r="D2381" i="20" a="1"/>
  <c r="D2381" i="20" s="1"/>
  <c r="F2381" i="20" a="1"/>
  <c r="F2381" i="20" s="1"/>
  <c r="H2381" i="20" a="1"/>
  <c r="H2381" i="20" s="1"/>
  <c r="B2381" i="20"/>
  <c r="J2381" i="20" a="1"/>
  <c r="J2381" i="20" s="1"/>
  <c r="L2381" i="20" a="1"/>
  <c r="L2381" i="20" s="1"/>
  <c r="D2382" i="20" a="1"/>
  <c r="D2382" i="20" s="1"/>
  <c r="B2382" i="20"/>
  <c r="F2382" i="20" a="1"/>
  <c r="F2382" i="20" s="1"/>
  <c r="H2382" i="20" a="1"/>
  <c r="H2382" i="20" s="1"/>
  <c r="J2382" i="20" a="1"/>
  <c r="J2382" i="20" s="1"/>
  <c r="L2382" i="20" a="1"/>
  <c r="L2382" i="20" s="1"/>
  <c r="D2383" i="20" a="1"/>
  <c r="D2383" i="20" s="1"/>
  <c r="B2383" i="20"/>
  <c r="F2383" i="20" a="1"/>
  <c r="F2383" i="20" s="1"/>
  <c r="H2383" i="20" a="1"/>
  <c r="H2383" i="20" s="1"/>
  <c r="J2383" i="20" a="1"/>
  <c r="J2383" i="20" s="1"/>
  <c r="L2383" i="20" a="1"/>
  <c r="L2383" i="20" s="1"/>
  <c r="D2384" i="20" a="1"/>
  <c r="D2384" i="20" s="1"/>
  <c r="F2384" i="20" a="1"/>
  <c r="F2384" i="20" s="1"/>
  <c r="H2384" i="20" a="1"/>
  <c r="H2384" i="20" s="1"/>
  <c r="B2384" i="20"/>
  <c r="J2384" i="20" a="1"/>
  <c r="J2384" i="20" s="1"/>
  <c r="L2384" i="20" a="1"/>
  <c r="L2384" i="20" s="1"/>
  <c r="D2385" i="20" a="1"/>
  <c r="D2385" i="20" s="1"/>
  <c r="F2385" i="20" a="1"/>
  <c r="F2385" i="20" s="1"/>
  <c r="H2385" i="20" a="1"/>
  <c r="H2385" i="20" s="1"/>
  <c r="B2385" i="20"/>
  <c r="J2385" i="20" a="1"/>
  <c r="J2385" i="20" s="1"/>
  <c r="L2385" i="20" a="1"/>
  <c r="L2385" i="20" s="1"/>
  <c r="D2386" i="20" a="1"/>
  <c r="D2386" i="20" s="1"/>
  <c r="B2386" i="20"/>
  <c r="F2386" i="20" a="1"/>
  <c r="F2386" i="20" s="1"/>
  <c r="H2386" i="20" a="1"/>
  <c r="H2386" i="20" s="1"/>
  <c r="J2386" i="20" a="1"/>
  <c r="J2386" i="20" s="1"/>
  <c r="L2386" i="20" a="1"/>
  <c r="L2386" i="20" s="1"/>
  <c r="D2387" i="20" a="1"/>
  <c r="D2387" i="20" s="1"/>
  <c r="B2387" i="20"/>
  <c r="F2387" i="20" a="1"/>
  <c r="F2387" i="20" s="1"/>
  <c r="H2387" i="20" a="1"/>
  <c r="H2387" i="20" s="1"/>
  <c r="J2387" i="20" a="1"/>
  <c r="J2387" i="20" s="1"/>
  <c r="L2387" i="20" a="1"/>
  <c r="L2387" i="20" s="1"/>
  <c r="D2388" i="20" a="1"/>
  <c r="D2388" i="20" s="1"/>
  <c r="B2388" i="20"/>
  <c r="F2388" i="20" a="1"/>
  <c r="F2388" i="20" s="1"/>
  <c r="H2388" i="20" a="1"/>
  <c r="H2388" i="20" s="1"/>
  <c r="J2388" i="20" a="1"/>
  <c r="J2388" i="20" s="1"/>
  <c r="L2388" i="20" a="1"/>
  <c r="L2388" i="20" s="1"/>
  <c r="D2389" i="20" a="1"/>
  <c r="D2389" i="20" s="1"/>
  <c r="B2389" i="20"/>
  <c r="F2389" i="20" a="1"/>
  <c r="F2389" i="20" s="1"/>
  <c r="H2389" i="20" a="1"/>
  <c r="H2389" i="20" s="1"/>
  <c r="J2389" i="20" a="1"/>
  <c r="J2389" i="20" s="1"/>
  <c r="L2389" i="20" a="1"/>
  <c r="L2389" i="20" s="1"/>
  <c r="D2390" i="20" a="1"/>
  <c r="D2390" i="20" s="1"/>
  <c r="F2390" i="20" a="1"/>
  <c r="F2390" i="20" s="1"/>
  <c r="H2390" i="20" a="1"/>
  <c r="H2390" i="20" s="1"/>
  <c r="B2390" i="20"/>
  <c r="J2390" i="20" a="1"/>
  <c r="J2390" i="20" s="1"/>
  <c r="L2390" i="20" a="1"/>
  <c r="L2390" i="20" s="1"/>
  <c r="D2391" i="20" a="1"/>
  <c r="D2391" i="20" s="1"/>
  <c r="F2391" i="20" a="1"/>
  <c r="F2391" i="20" s="1"/>
  <c r="H2391" i="20" a="1"/>
  <c r="H2391" i="20" s="1"/>
  <c r="B2391" i="20"/>
  <c r="J2391" i="20" a="1"/>
  <c r="J2391" i="20" s="1"/>
  <c r="L2391" i="20" a="1"/>
  <c r="L2391" i="20" s="1"/>
  <c r="D2392" i="20" a="1"/>
  <c r="D2392" i="20" s="1"/>
  <c r="B2392" i="20"/>
  <c r="F2392" i="20" a="1"/>
  <c r="F2392" i="20" s="1"/>
  <c r="H2392" i="20" a="1"/>
  <c r="H2392" i="20" s="1"/>
  <c r="J2392" i="20" a="1"/>
  <c r="J2392" i="20" s="1"/>
  <c r="L2392" i="20" a="1"/>
  <c r="L2392" i="20" s="1"/>
  <c r="D2393" i="20" a="1"/>
  <c r="D2393" i="20" s="1"/>
  <c r="B2393" i="20"/>
  <c r="F2393" i="20" a="1"/>
  <c r="F2393" i="20" s="1"/>
  <c r="H2393" i="20" a="1"/>
  <c r="H2393" i="20" s="1"/>
  <c r="J2393" i="20" a="1"/>
  <c r="J2393" i="20" s="1"/>
  <c r="L2393" i="20" a="1"/>
  <c r="L2393" i="20" s="1"/>
  <c r="D2394" i="20" a="1"/>
  <c r="D2394" i="20" s="1"/>
  <c r="F2394" i="20" a="1"/>
  <c r="F2394" i="20" s="1"/>
  <c r="H2394" i="20" a="1"/>
  <c r="H2394" i="20" s="1"/>
  <c r="B2394" i="20"/>
  <c r="J2394" i="20" a="1"/>
  <c r="J2394" i="20" s="1"/>
  <c r="L2394" i="20" a="1"/>
  <c r="L2394" i="20" s="1"/>
  <c r="D2395" i="20" a="1"/>
  <c r="D2395" i="20" s="1"/>
  <c r="F2395" i="20" a="1"/>
  <c r="F2395" i="20" s="1"/>
  <c r="H2395" i="20" a="1"/>
  <c r="H2395" i="20" s="1"/>
  <c r="B2395" i="20"/>
  <c r="J2395" i="20" a="1"/>
  <c r="J2395" i="20" s="1"/>
  <c r="L2395" i="20" a="1"/>
  <c r="L2395" i="20" s="1"/>
  <c r="D2396" i="20" a="1"/>
  <c r="D2396" i="20" s="1"/>
  <c r="B2396" i="20"/>
  <c r="F2396" i="20" a="1"/>
  <c r="F2396" i="20" s="1"/>
  <c r="H2396" i="20" a="1"/>
  <c r="H2396" i="20" s="1"/>
  <c r="J2396" i="20" a="1"/>
  <c r="J2396" i="20" s="1"/>
  <c r="L2396" i="20" a="1"/>
  <c r="L2396" i="20" s="1"/>
  <c r="D2397" i="20" a="1"/>
  <c r="D2397" i="20" s="1"/>
  <c r="B2397" i="20"/>
  <c r="F2397" i="20" a="1"/>
  <c r="F2397" i="20" s="1"/>
  <c r="H2397" i="20" a="1"/>
  <c r="H2397" i="20" s="1"/>
  <c r="J2397" i="20" a="1"/>
  <c r="J2397" i="20" s="1"/>
  <c r="L2397" i="20" a="1"/>
  <c r="L2397" i="20" s="1"/>
  <c r="D2398" i="20" a="1"/>
  <c r="D2398" i="20" s="1"/>
  <c r="F2398" i="20" a="1"/>
  <c r="F2398" i="20" s="1"/>
  <c r="H2398" i="20" a="1"/>
  <c r="H2398" i="20" s="1"/>
  <c r="B2398" i="20"/>
  <c r="J2398" i="20" a="1"/>
  <c r="J2398" i="20" s="1"/>
  <c r="L2398" i="20" a="1"/>
  <c r="L2398" i="20" s="1"/>
  <c r="D2399" i="20" a="1"/>
  <c r="D2399" i="20" s="1"/>
  <c r="F2399" i="20" a="1"/>
  <c r="F2399" i="20" s="1"/>
  <c r="H2399" i="20" a="1"/>
  <c r="H2399" i="20" s="1"/>
  <c r="B2399" i="20"/>
  <c r="J2399" i="20" a="1"/>
  <c r="J2399" i="20" s="1"/>
  <c r="L2399" i="20" a="1"/>
  <c r="L2399" i="20" s="1"/>
  <c r="D2400" i="20" a="1"/>
  <c r="D2400" i="20" s="1"/>
  <c r="B2400" i="20"/>
  <c r="F2400" i="20" a="1"/>
  <c r="F2400" i="20" s="1"/>
  <c r="H2400" i="20" a="1"/>
  <c r="H2400" i="20" s="1"/>
  <c r="J2400" i="20" a="1"/>
  <c r="J2400" i="20" s="1"/>
  <c r="L2400" i="20" a="1"/>
  <c r="L2400" i="20" s="1"/>
  <c r="D2401" i="20" a="1"/>
  <c r="D2401" i="20" s="1"/>
  <c r="B2401" i="20"/>
  <c r="F2401" i="20" a="1"/>
  <c r="F2401" i="20" s="1"/>
  <c r="H2401" i="20" a="1"/>
  <c r="H2401" i="20" s="1"/>
  <c r="J2401" i="20" a="1"/>
  <c r="J2401" i="20" s="1"/>
  <c r="L2401" i="20" a="1"/>
  <c r="L2401" i="20" s="1"/>
  <c r="D2402" i="20" a="1"/>
  <c r="D2402" i="20" s="1"/>
  <c r="F2402" i="20" a="1"/>
  <c r="F2402" i="20" s="1"/>
  <c r="H2402" i="20" a="1"/>
  <c r="H2402" i="20" s="1"/>
  <c r="B2402" i="20"/>
  <c r="J2402" i="20" a="1"/>
  <c r="J2402" i="20" s="1"/>
  <c r="L2402" i="20" a="1"/>
  <c r="L2402" i="20" s="1"/>
  <c r="D2403" i="20" a="1"/>
  <c r="D2403" i="20" s="1"/>
  <c r="F2403" i="20" a="1"/>
  <c r="F2403" i="20" s="1"/>
  <c r="H2403" i="20" a="1"/>
  <c r="H2403" i="20" s="1"/>
  <c r="B2403" i="20"/>
  <c r="J2403" i="20" a="1"/>
  <c r="J2403" i="20" s="1"/>
  <c r="L2403" i="20" a="1"/>
  <c r="L2403" i="20" s="1"/>
  <c r="D2404" i="20" a="1"/>
  <c r="D2404" i="20" s="1"/>
  <c r="B2404" i="20"/>
  <c r="F2404" i="20" a="1"/>
  <c r="F2404" i="20" s="1"/>
  <c r="H2404" i="20" a="1"/>
  <c r="H2404" i="20" s="1"/>
  <c r="J2404" i="20" a="1"/>
  <c r="J2404" i="20" s="1"/>
  <c r="L2404" i="20" a="1"/>
  <c r="L2404" i="20" s="1"/>
  <c r="D2405" i="20" a="1"/>
  <c r="D2405" i="20" s="1"/>
  <c r="B2405" i="20"/>
  <c r="F2405" i="20" a="1"/>
  <c r="F2405" i="20" s="1"/>
  <c r="H2405" i="20" a="1"/>
  <c r="H2405" i="20" s="1"/>
  <c r="J2405" i="20" a="1"/>
  <c r="J2405" i="20" s="1"/>
  <c r="L2405" i="20" a="1"/>
  <c r="L2405" i="20" s="1"/>
  <c r="B2406" i="20"/>
  <c r="D2406" i="20" a="1"/>
  <c r="D2406" i="20" s="1"/>
  <c r="F2406" i="20" a="1"/>
  <c r="F2406" i="20" s="1"/>
  <c r="H2406" i="20" a="1"/>
  <c r="H2406" i="20" s="1"/>
  <c r="J2406" i="20" a="1"/>
  <c r="J2406" i="20" s="1"/>
  <c r="L2406" i="20" a="1"/>
  <c r="L2406" i="20" s="1"/>
  <c r="D2407" i="20" a="1"/>
  <c r="D2407" i="20" s="1"/>
  <c r="F2407" i="20" a="1"/>
  <c r="F2407" i="20" s="1"/>
  <c r="H2407" i="20" a="1"/>
  <c r="H2407" i="20" s="1"/>
  <c r="B2407" i="20"/>
  <c r="J2407" i="20" a="1"/>
  <c r="J2407" i="20" s="1"/>
  <c r="L2407" i="20" a="1"/>
  <c r="L2407" i="20" s="1"/>
  <c r="D2408" i="20" a="1"/>
  <c r="D2408" i="20" s="1"/>
  <c r="B2408" i="20"/>
  <c r="F2408" i="20" a="1"/>
  <c r="F2408" i="20" s="1"/>
  <c r="H2408" i="20" a="1"/>
  <c r="H2408" i="20" s="1"/>
  <c r="J2408" i="20" a="1"/>
  <c r="J2408" i="20" s="1"/>
  <c r="L2408" i="20" a="1"/>
  <c r="L2408" i="20" s="1"/>
  <c r="D2409" i="20" a="1"/>
  <c r="D2409" i="20" s="1"/>
  <c r="B2409" i="20"/>
  <c r="F2409" i="20" a="1"/>
  <c r="F2409" i="20" s="1"/>
  <c r="H2409" i="20" a="1"/>
  <c r="H2409" i="20" s="1"/>
  <c r="J2409" i="20" a="1"/>
  <c r="J2409" i="20" s="1"/>
  <c r="L2409" i="20" a="1"/>
  <c r="L2409" i="20" s="1"/>
  <c r="B2410" i="20"/>
  <c r="D2410" i="20" a="1"/>
  <c r="D2410" i="20" s="1"/>
  <c r="F2410" i="20" a="1"/>
  <c r="F2410" i="20" s="1"/>
  <c r="H2410" i="20" a="1"/>
  <c r="H2410" i="20" s="1"/>
  <c r="J2410" i="20" a="1"/>
  <c r="J2410" i="20" s="1"/>
  <c r="L2410" i="20" a="1"/>
  <c r="L2410" i="20" s="1"/>
  <c r="D2411" i="20" a="1"/>
  <c r="D2411" i="20" s="1"/>
  <c r="F2411" i="20" a="1"/>
  <c r="F2411" i="20" s="1"/>
  <c r="H2411" i="20" a="1"/>
  <c r="H2411" i="20" s="1"/>
  <c r="B2411" i="20"/>
  <c r="J2411" i="20" a="1"/>
  <c r="J2411" i="20" s="1"/>
  <c r="L2411" i="20" a="1"/>
  <c r="L2411" i="20" s="1"/>
  <c r="D2412" i="20" a="1"/>
  <c r="D2412" i="20" s="1"/>
  <c r="B2412" i="20"/>
  <c r="F2412" i="20" a="1"/>
  <c r="F2412" i="20" s="1"/>
  <c r="H2412" i="20" a="1"/>
  <c r="H2412" i="20" s="1"/>
  <c r="J2412" i="20" a="1"/>
  <c r="J2412" i="20" s="1"/>
  <c r="L2412" i="20" a="1"/>
  <c r="L2412" i="20" s="1"/>
  <c r="D2413" i="20" a="1"/>
  <c r="D2413" i="20" s="1"/>
  <c r="B2413" i="20"/>
  <c r="F2413" i="20" a="1"/>
  <c r="F2413" i="20" s="1"/>
  <c r="H2413" i="20" a="1"/>
  <c r="H2413" i="20" s="1"/>
  <c r="J2413" i="20" a="1"/>
  <c r="J2413" i="20" s="1"/>
  <c r="L2413" i="20" a="1"/>
  <c r="L2413" i="20" s="1"/>
  <c r="D2414" i="20" a="1"/>
  <c r="D2414" i="20" s="1"/>
  <c r="F2414" i="20" a="1"/>
  <c r="F2414" i="20" s="1"/>
  <c r="H2414" i="20" a="1"/>
  <c r="H2414" i="20" s="1"/>
  <c r="B2414" i="20"/>
  <c r="J2414" i="20" a="1"/>
  <c r="J2414" i="20" s="1"/>
  <c r="L2414" i="20" a="1"/>
  <c r="L2414" i="20" s="1"/>
  <c r="D2415" i="20" a="1"/>
  <c r="D2415" i="20" s="1"/>
  <c r="F2415" i="20" a="1"/>
  <c r="F2415" i="20" s="1"/>
  <c r="H2415" i="20" a="1"/>
  <c r="H2415" i="20" s="1"/>
  <c r="B2415" i="20"/>
  <c r="J2415" i="20" a="1"/>
  <c r="J2415" i="20" s="1"/>
  <c r="L2415" i="20" a="1"/>
  <c r="L2415" i="20" s="1"/>
  <c r="D2416" i="20" a="1"/>
  <c r="D2416" i="20" s="1"/>
  <c r="F2416" i="20" a="1"/>
  <c r="F2416" i="20" s="1"/>
  <c r="H2416" i="20" a="1"/>
  <c r="H2416" i="20" s="1"/>
  <c r="J2416" i="20" a="1"/>
  <c r="J2416" i="20" s="1"/>
  <c r="B2416" i="20"/>
  <c r="L2416" i="20" a="1"/>
  <c r="L2416" i="20" s="1"/>
  <c r="D2417" i="20" a="1"/>
  <c r="D2417" i="20" s="1"/>
  <c r="B2417" i="20"/>
  <c r="F2417" i="20" a="1"/>
  <c r="F2417" i="20" s="1"/>
  <c r="H2417" i="20" a="1"/>
  <c r="H2417" i="20" s="1"/>
  <c r="J2417" i="20" a="1"/>
  <c r="J2417" i="20" s="1"/>
  <c r="L2417" i="20" a="1"/>
  <c r="L2417" i="20" s="1"/>
  <c r="D2418" i="20" a="1"/>
  <c r="D2418" i="20" s="1"/>
  <c r="F2418" i="20" a="1"/>
  <c r="F2418" i="20" s="1"/>
  <c r="H2418" i="20" a="1"/>
  <c r="H2418" i="20" s="1"/>
  <c r="B2418" i="20"/>
  <c r="J2418" i="20" a="1"/>
  <c r="J2418" i="20" s="1"/>
  <c r="L2418" i="20" a="1"/>
  <c r="L2418" i="20" s="1"/>
  <c r="D2419" i="20" a="1"/>
  <c r="D2419" i="20" s="1"/>
  <c r="F2419" i="20" a="1"/>
  <c r="F2419" i="20" s="1"/>
  <c r="H2419" i="20" a="1"/>
  <c r="H2419" i="20" s="1"/>
  <c r="B2419" i="20"/>
  <c r="J2419" i="20" a="1"/>
  <c r="J2419" i="20" s="1"/>
  <c r="L2419" i="20" a="1"/>
  <c r="L2419" i="20" s="1"/>
  <c r="D2420" i="20" a="1"/>
  <c r="D2420" i="20" s="1"/>
  <c r="F2420" i="20" a="1"/>
  <c r="F2420" i="20" s="1"/>
  <c r="H2420" i="20" a="1"/>
  <c r="H2420" i="20" s="1"/>
  <c r="B2420" i="20"/>
  <c r="J2420" i="20" a="1"/>
  <c r="J2420" i="20" s="1"/>
  <c r="L2420" i="20" a="1"/>
  <c r="L2420" i="20" s="1"/>
  <c r="D2421" i="20" a="1"/>
  <c r="D2421" i="20" s="1"/>
  <c r="F2421" i="20" a="1"/>
  <c r="F2421" i="20" s="1"/>
  <c r="H2421" i="20" a="1"/>
  <c r="H2421" i="20" s="1"/>
  <c r="B2421" i="20"/>
  <c r="J2421" i="20" a="1"/>
  <c r="J2421" i="20" s="1"/>
  <c r="L2421" i="20" a="1"/>
  <c r="L2421" i="20" s="1"/>
  <c r="D2422" i="20" a="1"/>
  <c r="D2422" i="20" s="1"/>
  <c r="B2422" i="20"/>
  <c r="F2422" i="20" a="1"/>
  <c r="F2422" i="20" s="1"/>
  <c r="H2422" i="20" a="1"/>
  <c r="H2422" i="20" s="1"/>
  <c r="J2422" i="20" a="1"/>
  <c r="J2422" i="20" s="1"/>
  <c r="L2422" i="20" a="1"/>
  <c r="L2422" i="20" s="1"/>
  <c r="D2423" i="20" a="1"/>
  <c r="D2423" i="20" s="1"/>
  <c r="B2423" i="20"/>
  <c r="F2423" i="20" a="1"/>
  <c r="F2423" i="20" s="1"/>
  <c r="H2423" i="20" a="1"/>
  <c r="H2423" i="20" s="1"/>
  <c r="J2423" i="20" a="1"/>
  <c r="J2423" i="20" s="1"/>
  <c r="L2423" i="20" a="1"/>
  <c r="L2423" i="20" s="1"/>
  <c r="B2424" i="20"/>
  <c r="D2424" i="20" a="1"/>
  <c r="D2424" i="20" s="1"/>
  <c r="F2424" i="20" a="1"/>
  <c r="F2424" i="20" s="1"/>
  <c r="H2424" i="20" a="1"/>
  <c r="H2424" i="20" s="1"/>
  <c r="J2424" i="20" a="1"/>
  <c r="J2424" i="20" s="1"/>
  <c r="L2424" i="20" a="1"/>
  <c r="L2424" i="20" s="1"/>
  <c r="D2425" i="20" a="1"/>
  <c r="D2425" i="20" s="1"/>
  <c r="F2425" i="20" a="1"/>
  <c r="F2425" i="20" s="1"/>
  <c r="H2425" i="20" a="1"/>
  <c r="H2425" i="20" s="1"/>
  <c r="J2425" i="20" a="1"/>
  <c r="J2425" i="20" s="1"/>
  <c r="B2425" i="20"/>
  <c r="L2425" i="20" a="1"/>
  <c r="L2425" i="20" s="1"/>
  <c r="D2426" i="20" a="1"/>
  <c r="D2426" i="20" s="1"/>
  <c r="F2426" i="20" a="1"/>
  <c r="F2426" i="20" s="1"/>
  <c r="H2426" i="20" a="1"/>
  <c r="H2426" i="20" s="1"/>
  <c r="B2426" i="20"/>
  <c r="J2426" i="20" a="1"/>
  <c r="J2426" i="20" s="1"/>
  <c r="L2426" i="20" a="1"/>
  <c r="L2426" i="20" s="1"/>
  <c r="D2427" i="20" a="1"/>
  <c r="D2427" i="20" s="1"/>
  <c r="F2427" i="20" a="1"/>
  <c r="F2427" i="20" s="1"/>
  <c r="H2427" i="20" a="1"/>
  <c r="H2427" i="20" s="1"/>
  <c r="B2427" i="20"/>
  <c r="J2427" i="20" a="1"/>
  <c r="J2427" i="20" s="1"/>
  <c r="L2427" i="20" a="1"/>
  <c r="L2427" i="20" s="1"/>
  <c r="D2428" i="20" a="1"/>
  <c r="D2428" i="20" s="1"/>
  <c r="F2428" i="20" a="1"/>
  <c r="F2428" i="20" s="1"/>
  <c r="H2428" i="20" a="1"/>
  <c r="H2428" i="20" s="1"/>
  <c r="B2428" i="20"/>
  <c r="J2428" i="20" a="1"/>
  <c r="J2428" i="20" s="1"/>
  <c r="L2428" i="20" a="1"/>
  <c r="L2428" i="20" s="1"/>
  <c r="D2429" i="20" a="1"/>
  <c r="D2429" i="20" s="1"/>
  <c r="F2429" i="20" a="1"/>
  <c r="F2429" i="20" s="1"/>
  <c r="H2429" i="20" a="1"/>
  <c r="H2429" i="20" s="1"/>
  <c r="B2429" i="20"/>
  <c r="J2429" i="20" a="1"/>
  <c r="J2429" i="20" s="1"/>
  <c r="L2429" i="20" a="1"/>
  <c r="L2429" i="20" s="1"/>
  <c r="D2430" i="20" a="1"/>
  <c r="D2430" i="20" s="1"/>
  <c r="F2430" i="20" a="1"/>
  <c r="F2430" i="20" s="1"/>
  <c r="H2430" i="20" a="1"/>
  <c r="H2430" i="20" s="1"/>
  <c r="B2430" i="20"/>
  <c r="J2430" i="20" a="1"/>
  <c r="J2430" i="20" s="1"/>
  <c r="L2430" i="20" a="1"/>
  <c r="L2430" i="20" s="1"/>
  <c r="D2431" i="20" a="1"/>
  <c r="D2431" i="20" s="1"/>
  <c r="F2431" i="20" a="1"/>
  <c r="F2431" i="20" s="1"/>
  <c r="H2431" i="20" a="1"/>
  <c r="H2431" i="20" s="1"/>
  <c r="B2431" i="20"/>
  <c r="J2431" i="20" a="1"/>
  <c r="J2431" i="20" s="1"/>
  <c r="L2431" i="20" a="1"/>
  <c r="L2431" i="20" s="1"/>
  <c r="B2432" i="20"/>
  <c r="D2432" i="20" a="1"/>
  <c r="D2432" i="20" s="1"/>
  <c r="F2432" i="20" a="1"/>
  <c r="F2432" i="20" s="1"/>
  <c r="H2432" i="20" a="1"/>
  <c r="H2432" i="20" s="1"/>
  <c r="J2432" i="20" a="1"/>
  <c r="J2432" i="20" s="1"/>
  <c r="L2432" i="20" a="1"/>
  <c r="L2432" i="20" s="1"/>
  <c r="D2433" i="20" a="1"/>
  <c r="D2433" i="20" s="1"/>
  <c r="B2433" i="20"/>
  <c r="F2433" i="20" a="1"/>
  <c r="F2433" i="20" s="1"/>
  <c r="H2433" i="20" a="1"/>
  <c r="H2433" i="20" s="1"/>
  <c r="J2433" i="20" a="1"/>
  <c r="J2433" i="20" s="1"/>
  <c r="L2433" i="20" a="1"/>
  <c r="L2433" i="20" s="1"/>
  <c r="D2434" i="20" a="1"/>
  <c r="D2434" i="20" s="1"/>
  <c r="F2434" i="20" a="1"/>
  <c r="F2434" i="20" s="1"/>
  <c r="H2434" i="20" a="1"/>
  <c r="H2434" i="20" s="1"/>
  <c r="B2434" i="20"/>
  <c r="J2434" i="20" a="1"/>
  <c r="J2434" i="20" s="1"/>
  <c r="L2434" i="20" a="1"/>
  <c r="L2434" i="20" s="1"/>
  <c r="D2435" i="20" a="1"/>
  <c r="D2435" i="20" s="1"/>
  <c r="F2435" i="20" a="1"/>
  <c r="F2435" i="20" s="1"/>
  <c r="H2435" i="20" a="1"/>
  <c r="H2435" i="20" s="1"/>
  <c r="B2435" i="20"/>
  <c r="J2435" i="20" a="1"/>
  <c r="J2435" i="20" s="1"/>
  <c r="L2435" i="20" a="1"/>
  <c r="L2435" i="20" s="1"/>
  <c r="D2436" i="20" a="1"/>
  <c r="D2436" i="20" s="1"/>
  <c r="B2436" i="20"/>
  <c r="F2436" i="20" a="1"/>
  <c r="F2436" i="20" s="1"/>
  <c r="H2436" i="20" a="1"/>
  <c r="H2436" i="20" s="1"/>
  <c r="J2436" i="20" a="1"/>
  <c r="J2436" i="20" s="1"/>
  <c r="L2436" i="20" a="1"/>
  <c r="L2436" i="20" s="1"/>
  <c r="D2437" i="20" a="1"/>
  <c r="D2437" i="20" s="1"/>
  <c r="B2437" i="20"/>
  <c r="F2437" i="20" a="1"/>
  <c r="F2437" i="20" s="1"/>
  <c r="H2437" i="20" a="1"/>
  <c r="H2437" i="20" s="1"/>
  <c r="J2437" i="20" a="1"/>
  <c r="J2437" i="20" s="1"/>
  <c r="L2437" i="20" a="1"/>
  <c r="L2437" i="20" s="1"/>
  <c r="D2438" i="20" a="1"/>
  <c r="D2438" i="20" s="1"/>
  <c r="F2438" i="20" a="1"/>
  <c r="F2438" i="20" s="1"/>
  <c r="H2438" i="20" a="1"/>
  <c r="H2438" i="20" s="1"/>
  <c r="B2438" i="20"/>
  <c r="J2438" i="20" a="1"/>
  <c r="J2438" i="20" s="1"/>
  <c r="L2438" i="20" a="1"/>
  <c r="L2438" i="20" s="1"/>
  <c r="D2439" i="20" a="1"/>
  <c r="D2439" i="20" s="1"/>
  <c r="F2439" i="20" a="1"/>
  <c r="F2439" i="20" s="1"/>
  <c r="H2439" i="20" a="1"/>
  <c r="H2439" i="20" s="1"/>
  <c r="B2439" i="20"/>
  <c r="J2439" i="20" a="1"/>
  <c r="J2439" i="20" s="1"/>
  <c r="L2439" i="20" a="1"/>
  <c r="L2439" i="20" s="1"/>
  <c r="D2440" i="20" a="1"/>
  <c r="D2440" i="20" s="1"/>
  <c r="B2440" i="20"/>
  <c r="F2440" i="20" a="1"/>
  <c r="F2440" i="20" s="1"/>
  <c r="H2440" i="20" a="1"/>
  <c r="H2440" i="20" s="1"/>
  <c r="J2440" i="20" a="1"/>
  <c r="J2440" i="20" s="1"/>
  <c r="L2440" i="20" a="1"/>
  <c r="L2440" i="20" s="1"/>
  <c r="D2441" i="20" a="1"/>
  <c r="D2441" i="20" s="1"/>
  <c r="B2441" i="20"/>
  <c r="F2441" i="20" a="1"/>
  <c r="F2441" i="20" s="1"/>
  <c r="H2441" i="20" a="1"/>
  <c r="H2441" i="20" s="1"/>
  <c r="J2441" i="20" a="1"/>
  <c r="J2441" i="20" s="1"/>
  <c r="L2441" i="20" a="1"/>
  <c r="L2441" i="20" s="1"/>
  <c r="D2442" i="20" a="1"/>
  <c r="D2442" i="20" s="1"/>
  <c r="F2442" i="20" a="1"/>
  <c r="F2442" i="20" s="1"/>
  <c r="H2442" i="20" a="1"/>
  <c r="H2442" i="20" s="1"/>
  <c r="B2442" i="20"/>
  <c r="J2442" i="20" a="1"/>
  <c r="J2442" i="20" s="1"/>
  <c r="L2442" i="20" a="1"/>
  <c r="L2442" i="20" s="1"/>
  <c r="D2443" i="20" a="1"/>
  <c r="D2443" i="20" s="1"/>
  <c r="F2443" i="20" a="1"/>
  <c r="F2443" i="20" s="1"/>
  <c r="H2443" i="20" a="1"/>
  <c r="H2443" i="20" s="1"/>
  <c r="B2443" i="20"/>
  <c r="J2443" i="20" a="1"/>
  <c r="J2443" i="20" s="1"/>
  <c r="L2443" i="20" a="1"/>
  <c r="L2443" i="20" s="1"/>
  <c r="D2444" i="20" a="1"/>
  <c r="D2444" i="20" s="1"/>
  <c r="F2444" i="20" a="1"/>
  <c r="F2444" i="20" s="1"/>
  <c r="H2444" i="20" a="1"/>
  <c r="H2444" i="20" s="1"/>
  <c r="B2444" i="20"/>
  <c r="J2444" i="20" a="1"/>
  <c r="J2444" i="20" s="1"/>
  <c r="L2444" i="20" a="1"/>
  <c r="L2444" i="20" s="1"/>
  <c r="D2445" i="20" a="1"/>
  <c r="D2445" i="20" s="1"/>
  <c r="F2445" i="20" a="1"/>
  <c r="F2445" i="20" s="1"/>
  <c r="H2445" i="20" a="1"/>
  <c r="H2445" i="20" s="1"/>
  <c r="B2445" i="20"/>
  <c r="J2445" i="20" a="1"/>
  <c r="J2445" i="20" s="1"/>
  <c r="L2445" i="20" a="1"/>
  <c r="L2445" i="20" s="1"/>
  <c r="D2446" i="20" a="1"/>
  <c r="D2446" i="20" s="1"/>
  <c r="B2446" i="20"/>
  <c r="F2446" i="20" a="1"/>
  <c r="F2446" i="20" s="1"/>
  <c r="H2446" i="20" a="1"/>
  <c r="H2446" i="20" s="1"/>
  <c r="J2446" i="20" a="1"/>
  <c r="J2446" i="20" s="1"/>
  <c r="L2446" i="20" a="1"/>
  <c r="L2446" i="20" s="1"/>
  <c r="D2447" i="20" a="1"/>
  <c r="D2447" i="20" s="1"/>
  <c r="B2447" i="20"/>
  <c r="F2447" i="20" a="1"/>
  <c r="F2447" i="20" s="1"/>
  <c r="H2447" i="20" a="1"/>
  <c r="H2447" i="20" s="1"/>
  <c r="J2447" i="20" a="1"/>
  <c r="J2447" i="20" s="1"/>
  <c r="L2447" i="20" a="1"/>
  <c r="L2447" i="20" s="1"/>
  <c r="D2448" i="20" a="1"/>
  <c r="D2448" i="20" s="1"/>
  <c r="F2448" i="20" a="1"/>
  <c r="F2448" i="20" s="1"/>
  <c r="H2448" i="20" a="1"/>
  <c r="H2448" i="20" s="1"/>
  <c r="J2448" i="20" a="1"/>
  <c r="J2448" i="20" s="1"/>
  <c r="B2448" i="20"/>
  <c r="L2448" i="20" a="1"/>
  <c r="L2448" i="20" s="1"/>
  <c r="D2449" i="20" a="1"/>
  <c r="D2449" i="20" s="1"/>
  <c r="F2449" i="20" a="1"/>
  <c r="F2449" i="20" s="1"/>
  <c r="H2449" i="20" a="1"/>
  <c r="H2449" i="20" s="1"/>
  <c r="B2449" i="20"/>
  <c r="J2449" i="20" a="1"/>
  <c r="J2449" i="20" s="1"/>
  <c r="L2449" i="20" a="1"/>
  <c r="L2449" i="20" s="1"/>
  <c r="D2450" i="20" a="1"/>
  <c r="D2450" i="20" s="1"/>
  <c r="F2450" i="20" a="1"/>
  <c r="F2450" i="20" s="1"/>
  <c r="H2450" i="20" a="1"/>
  <c r="H2450" i="20" s="1"/>
  <c r="B2450" i="20"/>
  <c r="J2450" i="20" a="1"/>
  <c r="J2450" i="20" s="1"/>
  <c r="L2450" i="20" a="1"/>
  <c r="L2450" i="20" s="1"/>
  <c r="D2451" i="20" a="1"/>
  <c r="D2451" i="20" s="1"/>
  <c r="B2451" i="20"/>
  <c r="F2451" i="20" a="1"/>
  <c r="F2451" i="20" s="1"/>
  <c r="H2451" i="20" a="1"/>
  <c r="H2451" i="20" s="1"/>
  <c r="J2451" i="20" a="1"/>
  <c r="J2451" i="20" s="1"/>
  <c r="L2451" i="20" a="1"/>
  <c r="L2451" i="20" s="1"/>
  <c r="D2452" i="20" a="1"/>
  <c r="D2452" i="20" s="1"/>
  <c r="F2452" i="20" a="1"/>
  <c r="F2452" i="20" s="1"/>
  <c r="H2452" i="20" a="1"/>
  <c r="H2452" i="20" s="1"/>
  <c r="B2452" i="20"/>
  <c r="J2452" i="20" a="1"/>
  <c r="J2452" i="20" s="1"/>
  <c r="L2452" i="20" a="1"/>
  <c r="L2452" i="20" s="1"/>
  <c r="D2453" i="20" a="1"/>
  <c r="D2453" i="20" s="1"/>
  <c r="F2453" i="20" a="1"/>
  <c r="F2453" i="20" s="1"/>
  <c r="H2453" i="20" a="1"/>
  <c r="H2453" i="20" s="1"/>
  <c r="B2453" i="20"/>
  <c r="J2453" i="20" a="1"/>
  <c r="J2453" i="20" s="1"/>
  <c r="L2453" i="20" a="1"/>
  <c r="L2453" i="20" s="1"/>
  <c r="D2454" i="20" a="1"/>
  <c r="D2454" i="20" s="1"/>
  <c r="B2454" i="20"/>
  <c r="F2454" i="20" a="1"/>
  <c r="F2454" i="20" s="1"/>
  <c r="H2454" i="20" a="1"/>
  <c r="H2454" i="20" s="1"/>
  <c r="J2454" i="20" a="1"/>
  <c r="J2454" i="20" s="1"/>
  <c r="L2454" i="20" a="1"/>
  <c r="L2454" i="20" s="1"/>
  <c r="D2455" i="20" a="1"/>
  <c r="D2455" i="20" s="1"/>
  <c r="B2455" i="20"/>
  <c r="F2455" i="20" a="1"/>
  <c r="F2455" i="20" s="1"/>
  <c r="H2455" i="20" a="1"/>
  <c r="H2455" i="20" s="1"/>
  <c r="J2455" i="20" a="1"/>
  <c r="J2455" i="20" s="1"/>
  <c r="L2455" i="20" a="1"/>
  <c r="L2455" i="20" s="1"/>
  <c r="D2456" i="20" a="1"/>
  <c r="D2456" i="20" s="1"/>
  <c r="F2456" i="20" a="1"/>
  <c r="F2456" i="20" s="1"/>
  <c r="H2456" i="20" a="1"/>
  <c r="H2456" i="20" s="1"/>
  <c r="B2456" i="20"/>
  <c r="J2456" i="20" a="1"/>
  <c r="J2456" i="20" s="1"/>
  <c r="L2456" i="20" a="1"/>
  <c r="L2456" i="20" s="1"/>
  <c r="D2457" i="20" a="1"/>
  <c r="D2457" i="20" s="1"/>
  <c r="F2457" i="20" a="1"/>
  <c r="F2457" i="20" s="1"/>
  <c r="H2457" i="20" a="1"/>
  <c r="H2457" i="20" s="1"/>
  <c r="B2457" i="20"/>
  <c r="J2457" i="20" a="1"/>
  <c r="J2457" i="20" s="1"/>
  <c r="L2457" i="20" a="1"/>
  <c r="L2457" i="20" s="1"/>
  <c r="D2458" i="20" a="1"/>
  <c r="D2458" i="20" s="1"/>
  <c r="B2458" i="20"/>
  <c r="F2458" i="20" a="1"/>
  <c r="F2458" i="20" s="1"/>
  <c r="H2458" i="20" a="1"/>
  <c r="H2458" i="20" s="1"/>
  <c r="J2458" i="20" a="1"/>
  <c r="J2458" i="20" s="1"/>
  <c r="L2458" i="20" a="1"/>
  <c r="L2458" i="20" s="1"/>
  <c r="D2459" i="20" a="1"/>
  <c r="D2459" i="20" s="1"/>
  <c r="B2459" i="20"/>
  <c r="F2459" i="20" a="1"/>
  <c r="F2459" i="20" s="1"/>
  <c r="H2459" i="20" a="1"/>
  <c r="H2459" i="20" s="1"/>
  <c r="J2459" i="20" a="1"/>
  <c r="J2459" i="20" s="1"/>
  <c r="L2459" i="20" a="1"/>
  <c r="L2459" i="20" s="1"/>
  <c r="D2460" i="20" a="1"/>
  <c r="D2460" i="20" s="1"/>
  <c r="B2460" i="20"/>
  <c r="F2460" i="20" a="1"/>
  <c r="F2460" i="20" s="1"/>
  <c r="H2460" i="20" a="1"/>
  <c r="H2460" i="20" s="1"/>
  <c r="J2460" i="20" a="1"/>
  <c r="J2460" i="20" s="1"/>
  <c r="L2460" i="20" a="1"/>
  <c r="L2460" i="20" s="1"/>
  <c r="D2461" i="20" a="1"/>
  <c r="D2461" i="20" s="1"/>
  <c r="F2461" i="20" a="1"/>
  <c r="F2461" i="20" s="1"/>
  <c r="H2461" i="20" a="1"/>
  <c r="H2461" i="20" s="1"/>
  <c r="B2461" i="20"/>
  <c r="J2461" i="20" a="1"/>
  <c r="J2461" i="20" s="1"/>
  <c r="L2461" i="20" a="1"/>
  <c r="L2461" i="20" s="1"/>
  <c r="D2462" i="20" a="1"/>
  <c r="D2462" i="20" s="1"/>
  <c r="F2462" i="20" a="1"/>
  <c r="F2462" i="20" s="1"/>
  <c r="H2462" i="20" a="1"/>
  <c r="H2462" i="20" s="1"/>
  <c r="B2462" i="20"/>
  <c r="J2462" i="20" a="1"/>
  <c r="J2462" i="20" s="1"/>
  <c r="L2462" i="20" a="1"/>
  <c r="L2462" i="20" s="1"/>
  <c r="B2463" i="20"/>
  <c r="D2463" i="20" a="1"/>
  <c r="D2463" i="20" s="1"/>
  <c r="F2463" i="20" a="1"/>
  <c r="F2463" i="20" s="1"/>
  <c r="H2463" i="20" a="1"/>
  <c r="H2463" i="20" s="1"/>
  <c r="J2463" i="20" a="1"/>
  <c r="J2463" i="20" s="1"/>
  <c r="L2463" i="20" a="1"/>
  <c r="L2463" i="20" s="1"/>
  <c r="D2464" i="20" a="1"/>
  <c r="D2464" i="20" s="1"/>
  <c r="B2464" i="20"/>
  <c r="F2464" i="20" a="1"/>
  <c r="F2464" i="20" s="1"/>
  <c r="H2464" i="20" a="1"/>
  <c r="H2464" i="20" s="1"/>
  <c r="J2464" i="20" a="1"/>
  <c r="J2464" i="20" s="1"/>
  <c r="L2464" i="20" a="1"/>
  <c r="L2464" i="20" s="1"/>
  <c r="D2465" i="20" a="1"/>
  <c r="D2465" i="20" s="1"/>
  <c r="B2465" i="20"/>
  <c r="F2465" i="20" a="1"/>
  <c r="F2465" i="20" s="1"/>
  <c r="H2465" i="20" a="1"/>
  <c r="H2465" i="20" s="1"/>
  <c r="J2465" i="20" a="1"/>
  <c r="J2465" i="20" s="1"/>
  <c r="L2465" i="20" a="1"/>
  <c r="L2465" i="20" s="1"/>
  <c r="D2466" i="20" a="1"/>
  <c r="D2466" i="20" s="1"/>
  <c r="F2466" i="20" a="1"/>
  <c r="F2466" i="20" s="1"/>
  <c r="H2466" i="20" a="1"/>
  <c r="H2466" i="20" s="1"/>
  <c r="B2466" i="20"/>
  <c r="J2466" i="20" a="1"/>
  <c r="J2466" i="20" s="1"/>
  <c r="L2466" i="20" a="1"/>
  <c r="L2466" i="20" s="1"/>
  <c r="D2467" i="20" a="1"/>
  <c r="D2467" i="20" s="1"/>
  <c r="F2467" i="20" a="1"/>
  <c r="F2467" i="20" s="1"/>
  <c r="H2467" i="20" a="1"/>
  <c r="H2467" i="20" s="1"/>
  <c r="B2467" i="20"/>
  <c r="J2467" i="20" a="1"/>
  <c r="J2467" i="20" s="1"/>
  <c r="L2467" i="20" a="1"/>
  <c r="L2467" i="20" s="1"/>
  <c r="D2468" i="20" a="1"/>
  <c r="D2468" i="20" s="1"/>
  <c r="B2468" i="20"/>
  <c r="F2468" i="20" a="1"/>
  <c r="F2468" i="20" s="1"/>
  <c r="H2468" i="20" a="1"/>
  <c r="H2468" i="20" s="1"/>
  <c r="J2468" i="20" a="1"/>
  <c r="J2468" i="20" s="1"/>
  <c r="L2468" i="20" a="1"/>
  <c r="L2468" i="20" s="1"/>
  <c r="D2469" i="20" a="1"/>
  <c r="D2469" i="20" s="1"/>
  <c r="F2469" i="20" a="1"/>
  <c r="F2469" i="20" s="1"/>
  <c r="H2469" i="20" a="1"/>
  <c r="H2469" i="20" s="1"/>
  <c r="B2469" i="20"/>
  <c r="J2469" i="20" a="1"/>
  <c r="J2469" i="20" s="1"/>
  <c r="L2469" i="20" a="1"/>
  <c r="L2469" i="20" s="1"/>
  <c r="D2470" i="20" a="1"/>
  <c r="D2470" i="20" s="1"/>
  <c r="F2470" i="20" a="1"/>
  <c r="F2470" i="20" s="1"/>
  <c r="H2470" i="20" a="1"/>
  <c r="H2470" i="20" s="1"/>
  <c r="B2470" i="20"/>
  <c r="J2470" i="20" a="1"/>
  <c r="J2470" i="20" s="1"/>
  <c r="L2470" i="20" a="1"/>
  <c r="L2470" i="20" s="1"/>
  <c r="D2471" i="20" a="1"/>
  <c r="D2471" i="20" s="1"/>
  <c r="B2471" i="20"/>
  <c r="F2471" i="20" a="1"/>
  <c r="F2471" i="20" s="1"/>
  <c r="H2471" i="20" a="1"/>
  <c r="H2471" i="20" s="1"/>
  <c r="J2471" i="20" a="1"/>
  <c r="J2471" i="20" s="1"/>
  <c r="L2471" i="20" a="1"/>
  <c r="L2471" i="20" s="1"/>
  <c r="D2472" i="20" a="1"/>
  <c r="D2472" i="20" s="1"/>
  <c r="B2472" i="20"/>
  <c r="F2472" i="20" a="1"/>
  <c r="F2472" i="20" s="1"/>
  <c r="H2472" i="20" a="1"/>
  <c r="H2472" i="20" s="1"/>
  <c r="J2472" i="20" a="1"/>
  <c r="J2472" i="20" s="1"/>
  <c r="L2472" i="20" a="1"/>
  <c r="L2472" i="20" s="1"/>
  <c r="D2473" i="20" a="1"/>
  <c r="D2473" i="20" s="1"/>
  <c r="B2473" i="20"/>
  <c r="F2473" i="20" a="1"/>
  <c r="F2473" i="20" s="1"/>
  <c r="H2473" i="20" a="1"/>
  <c r="H2473" i="20" s="1"/>
  <c r="J2473" i="20" a="1"/>
  <c r="J2473" i="20" s="1"/>
  <c r="L2473" i="20" a="1"/>
  <c r="L2473" i="20" s="1"/>
  <c r="D2474" i="20" a="1"/>
  <c r="D2474" i="20" s="1"/>
  <c r="F2474" i="20" a="1"/>
  <c r="F2474" i="20" s="1"/>
  <c r="H2474" i="20" a="1"/>
  <c r="H2474" i="20" s="1"/>
  <c r="B2474" i="20"/>
  <c r="J2474" i="20" a="1"/>
  <c r="J2474" i="20" s="1"/>
  <c r="L2474" i="20" a="1"/>
  <c r="L2474" i="20" s="1"/>
  <c r="D2475" i="20" a="1"/>
  <c r="D2475" i="20" s="1"/>
  <c r="F2475" i="20" a="1"/>
  <c r="F2475" i="20" s="1"/>
  <c r="H2475" i="20" a="1"/>
  <c r="H2475" i="20" s="1"/>
  <c r="B2475" i="20"/>
  <c r="J2475" i="20" a="1"/>
  <c r="J2475" i="20" s="1"/>
  <c r="L2475" i="20" a="1"/>
  <c r="L2475" i="20" s="1"/>
  <c r="D2476" i="20" a="1"/>
  <c r="D2476" i="20" s="1"/>
  <c r="F2476" i="20" a="1"/>
  <c r="F2476" i="20" s="1"/>
  <c r="H2476" i="20" a="1"/>
  <c r="H2476" i="20" s="1"/>
  <c r="B2476" i="20"/>
  <c r="J2476" i="20" a="1"/>
  <c r="J2476" i="20" s="1"/>
  <c r="L2476" i="20" a="1"/>
  <c r="L2476" i="20" s="1"/>
  <c r="D2477" i="20" a="1"/>
  <c r="D2477" i="20" s="1"/>
  <c r="F2477" i="20" a="1"/>
  <c r="F2477" i="20" s="1"/>
  <c r="H2477" i="20" a="1"/>
  <c r="H2477" i="20" s="1"/>
  <c r="B2477" i="20"/>
  <c r="J2477" i="20" a="1"/>
  <c r="J2477" i="20" s="1"/>
  <c r="L2477" i="20" a="1"/>
  <c r="L2477" i="20" s="1"/>
  <c r="D2478" i="20" a="1"/>
  <c r="D2478" i="20" s="1"/>
  <c r="B2478" i="20"/>
  <c r="F2478" i="20" a="1"/>
  <c r="F2478" i="20" s="1"/>
  <c r="H2478" i="20" a="1"/>
  <c r="H2478" i="20" s="1"/>
  <c r="J2478" i="20" a="1"/>
  <c r="J2478" i="20" s="1"/>
  <c r="L2478" i="20" a="1"/>
  <c r="L2478" i="20" s="1"/>
  <c r="D2479" i="20" a="1"/>
  <c r="D2479" i="20" s="1"/>
  <c r="B2479" i="20"/>
  <c r="F2479" i="20" a="1"/>
  <c r="F2479" i="20" s="1"/>
  <c r="H2479" i="20" a="1"/>
  <c r="H2479" i="20" s="1"/>
  <c r="J2479" i="20" a="1"/>
  <c r="J2479" i="20" s="1"/>
  <c r="L2479" i="20" a="1"/>
  <c r="L2479" i="20" s="1"/>
  <c r="D2480" i="20" a="1"/>
  <c r="D2480" i="20" s="1"/>
  <c r="F2480" i="20" a="1"/>
  <c r="F2480" i="20" s="1"/>
  <c r="H2480" i="20" a="1"/>
  <c r="H2480" i="20" s="1"/>
  <c r="J2480" i="20" a="1"/>
  <c r="J2480" i="20" s="1"/>
  <c r="B2480" i="20"/>
  <c r="L2480" i="20" a="1"/>
  <c r="L2480" i="20" s="1"/>
  <c r="D2481" i="20" a="1"/>
  <c r="D2481" i="20" s="1"/>
  <c r="F2481" i="20" a="1"/>
  <c r="F2481" i="20" s="1"/>
  <c r="H2481" i="20" a="1"/>
  <c r="H2481" i="20" s="1"/>
  <c r="B2481" i="20"/>
  <c r="J2481" i="20" a="1"/>
  <c r="J2481" i="20" s="1"/>
  <c r="L2481" i="20" a="1"/>
  <c r="L2481" i="20" s="1"/>
  <c r="D2482" i="20" a="1"/>
  <c r="D2482" i="20" s="1"/>
  <c r="B2482" i="20"/>
  <c r="F2482" i="20" a="1"/>
  <c r="F2482" i="20" s="1"/>
  <c r="H2482" i="20" a="1"/>
  <c r="H2482" i="20" s="1"/>
  <c r="J2482" i="20" a="1"/>
  <c r="J2482" i="20" s="1"/>
  <c r="L2482" i="20" a="1"/>
  <c r="L2482" i="20" s="1"/>
  <c r="D2483" i="20" a="1"/>
  <c r="D2483" i="20" s="1"/>
  <c r="B2483" i="20"/>
  <c r="F2483" i="20" a="1"/>
  <c r="F2483" i="20" s="1"/>
  <c r="H2483" i="20" a="1"/>
  <c r="H2483" i="20" s="1"/>
  <c r="J2483" i="20" a="1"/>
  <c r="J2483" i="20" s="1"/>
  <c r="L2483" i="20" a="1"/>
  <c r="L2483" i="20" s="1"/>
  <c r="D2484" i="20" a="1"/>
  <c r="D2484" i="20" s="1"/>
  <c r="B2484" i="20"/>
  <c r="F2484" i="20" a="1"/>
  <c r="F2484" i="20" s="1"/>
  <c r="H2484" i="20" a="1"/>
  <c r="H2484" i="20" s="1"/>
  <c r="J2484" i="20" a="1"/>
  <c r="J2484" i="20" s="1"/>
  <c r="L2484" i="20" a="1"/>
  <c r="L2484" i="20" s="1"/>
  <c r="D2485" i="20" a="1"/>
  <c r="D2485" i="20" s="1"/>
  <c r="B2485" i="20"/>
  <c r="F2485" i="20" a="1"/>
  <c r="F2485" i="20" s="1"/>
  <c r="H2485" i="20" a="1"/>
  <c r="H2485" i="20" s="1"/>
  <c r="J2485" i="20" a="1"/>
  <c r="J2485" i="20" s="1"/>
  <c r="L2485" i="20" a="1"/>
  <c r="L2485" i="20" s="1"/>
  <c r="D2486" i="20" a="1"/>
  <c r="D2486" i="20" s="1"/>
  <c r="F2486" i="20" a="1"/>
  <c r="F2486" i="20" s="1"/>
  <c r="H2486" i="20" a="1"/>
  <c r="H2486" i="20" s="1"/>
  <c r="B2486" i="20"/>
  <c r="J2486" i="20" a="1"/>
  <c r="J2486" i="20" s="1"/>
  <c r="L2486" i="20" a="1"/>
  <c r="L2486" i="20" s="1"/>
  <c r="D2487" i="20" a="1"/>
  <c r="D2487" i="20" s="1"/>
  <c r="F2487" i="20" a="1"/>
  <c r="F2487" i="20" s="1"/>
  <c r="H2487" i="20" a="1"/>
  <c r="H2487" i="20" s="1"/>
  <c r="B2487" i="20"/>
  <c r="J2487" i="20" a="1"/>
  <c r="J2487" i="20" s="1"/>
  <c r="L2487" i="20" a="1"/>
  <c r="L2487" i="20" s="1"/>
  <c r="D2488" i="20" a="1"/>
  <c r="D2488" i="20" s="1"/>
  <c r="B2488" i="20"/>
  <c r="F2488" i="20" a="1"/>
  <c r="F2488" i="20" s="1"/>
  <c r="H2488" i="20" a="1"/>
  <c r="H2488" i="20" s="1"/>
  <c r="J2488" i="20" a="1"/>
  <c r="J2488" i="20" s="1"/>
  <c r="L2488" i="20" a="1"/>
  <c r="L2488" i="20" s="1"/>
  <c r="D2489" i="20" a="1"/>
  <c r="D2489" i="20" s="1"/>
  <c r="B2489" i="20"/>
  <c r="F2489" i="20" a="1"/>
  <c r="F2489" i="20" s="1"/>
  <c r="H2489" i="20" a="1"/>
  <c r="H2489" i="20" s="1"/>
  <c r="J2489" i="20" a="1"/>
  <c r="J2489" i="20" s="1"/>
  <c r="L2489" i="20" a="1"/>
  <c r="L2489" i="20" s="1"/>
  <c r="D2490" i="20" a="1"/>
  <c r="D2490" i="20" s="1"/>
  <c r="F2490" i="20" a="1"/>
  <c r="F2490" i="20" s="1"/>
  <c r="H2490" i="20" a="1"/>
  <c r="H2490" i="20" s="1"/>
  <c r="J2490" i="20" a="1"/>
  <c r="J2490" i="20" s="1"/>
  <c r="B2490" i="20"/>
  <c r="L2490" i="20" a="1"/>
  <c r="L2490" i="20" s="1"/>
  <c r="D2491" i="20" a="1"/>
  <c r="D2491" i="20" s="1"/>
  <c r="F2491" i="20" a="1"/>
  <c r="F2491" i="20" s="1"/>
  <c r="H2491" i="20" a="1"/>
  <c r="H2491" i="20" s="1"/>
  <c r="B2491" i="20"/>
  <c r="J2491" i="20" a="1"/>
  <c r="J2491" i="20" s="1"/>
  <c r="L2491" i="20" a="1"/>
  <c r="L2491" i="20" s="1"/>
  <c r="D2492" i="20" a="1"/>
  <c r="D2492" i="20" s="1"/>
  <c r="B2492" i="20"/>
  <c r="F2492" i="20" a="1"/>
  <c r="F2492" i="20" s="1"/>
  <c r="H2492" i="20" a="1"/>
  <c r="H2492" i="20" s="1"/>
  <c r="J2492" i="20" a="1"/>
  <c r="J2492" i="20" s="1"/>
  <c r="L2492" i="20" a="1"/>
  <c r="L2492" i="20" s="1"/>
  <c r="D2493" i="20" a="1"/>
  <c r="D2493" i="20" s="1"/>
  <c r="B2493" i="20"/>
  <c r="F2493" i="20" a="1"/>
  <c r="F2493" i="20" s="1"/>
  <c r="H2493" i="20" a="1"/>
  <c r="H2493" i="20" s="1"/>
  <c r="J2493" i="20" a="1"/>
  <c r="J2493" i="20" s="1"/>
  <c r="L2493" i="20" a="1"/>
  <c r="L2493" i="20" s="1"/>
  <c r="D2494" i="20" a="1"/>
  <c r="D2494" i="20" s="1"/>
  <c r="F2494" i="20" a="1"/>
  <c r="F2494" i="20" s="1"/>
  <c r="H2494" i="20" a="1"/>
  <c r="H2494" i="20" s="1"/>
  <c r="B2494" i="20"/>
  <c r="J2494" i="20" a="1"/>
  <c r="J2494" i="20" s="1"/>
  <c r="L2494" i="20" a="1"/>
  <c r="L2494" i="20" s="1"/>
  <c r="D2495" i="20" a="1"/>
  <c r="D2495" i="20" s="1"/>
  <c r="F2495" i="20" a="1"/>
  <c r="F2495" i="20" s="1"/>
  <c r="H2495" i="20" a="1"/>
  <c r="H2495" i="20" s="1"/>
  <c r="B2495" i="20"/>
  <c r="J2495" i="20" a="1"/>
  <c r="J2495" i="20" s="1"/>
  <c r="L2495" i="20" a="1"/>
  <c r="L2495" i="20" s="1"/>
  <c r="D2496" i="20" a="1"/>
  <c r="D2496" i="20" s="1"/>
  <c r="B2496" i="20"/>
  <c r="F2496" i="20" a="1"/>
  <c r="F2496" i="20" s="1"/>
  <c r="H2496" i="20" a="1"/>
  <c r="H2496" i="20" s="1"/>
  <c r="J2496" i="20" a="1"/>
  <c r="J2496" i="20" s="1"/>
  <c r="L2496" i="20" a="1"/>
  <c r="L2496" i="20" s="1"/>
  <c r="D2497" i="20" a="1"/>
  <c r="D2497" i="20" s="1"/>
  <c r="F2497" i="20" a="1"/>
  <c r="F2497" i="20" s="1"/>
  <c r="B2497" i="20"/>
  <c r="H2497" i="20" a="1"/>
  <c r="H2497" i="20" s="1"/>
  <c r="J2497" i="20" a="1"/>
  <c r="J2497" i="20" s="1"/>
  <c r="L2497" i="20" a="1"/>
  <c r="L2497" i="20" s="1"/>
  <c r="D2498" i="20" a="1"/>
  <c r="D2498" i="20" s="1"/>
  <c r="F2498" i="20" a="1"/>
  <c r="F2498" i="20" s="1"/>
  <c r="H2498" i="20" a="1"/>
  <c r="H2498" i="20" s="1"/>
  <c r="B2498" i="20"/>
  <c r="J2498" i="20" a="1"/>
  <c r="J2498" i="20" s="1"/>
  <c r="L2498" i="20" a="1"/>
  <c r="L2498" i="20" s="1"/>
  <c r="D2499" i="20" a="1"/>
  <c r="D2499" i="20" s="1"/>
  <c r="F2499" i="20" a="1"/>
  <c r="F2499" i="20" s="1"/>
  <c r="H2499" i="20" a="1"/>
  <c r="H2499" i="20" s="1"/>
  <c r="B2499" i="20"/>
  <c r="J2499" i="20" a="1"/>
  <c r="J2499" i="20" s="1"/>
  <c r="L2499" i="20" a="1"/>
  <c r="L2499" i="20" s="1"/>
  <c r="D2500" i="20" a="1"/>
  <c r="D2500" i="20" s="1"/>
  <c r="F2500" i="20" a="1"/>
  <c r="F2500" i="20" s="1"/>
  <c r="H2500" i="20" a="1"/>
  <c r="H2500" i="20" s="1"/>
  <c r="B2500" i="20"/>
  <c r="J2500" i="20" a="1"/>
  <c r="J2500" i="20" s="1"/>
  <c r="L2500" i="20" a="1"/>
  <c r="L2500" i="20" s="1"/>
  <c r="D2501" i="20" a="1"/>
  <c r="D2501" i="20" s="1"/>
  <c r="B2501" i="20"/>
  <c r="F2501" i="20" a="1"/>
  <c r="F2501" i="20" s="1"/>
  <c r="H2501" i="20" a="1"/>
  <c r="H2501" i="20" s="1"/>
  <c r="J2501" i="20" a="1"/>
  <c r="J2501" i="20" s="1"/>
  <c r="L2501" i="20" a="1"/>
  <c r="L2501" i="20" s="1"/>
  <c r="D2502" i="20" a="1"/>
  <c r="D2502" i="20" s="1"/>
  <c r="B2502" i="20"/>
  <c r="F2502" i="20" a="1"/>
  <c r="F2502" i="20" s="1"/>
  <c r="H2502" i="20" a="1"/>
  <c r="H2502" i="20" s="1"/>
  <c r="J2502" i="20" a="1"/>
  <c r="J2502" i="20" s="1"/>
  <c r="L2502" i="20" a="1"/>
  <c r="L2502" i="20" s="1"/>
  <c r="D2503" i="20" a="1"/>
  <c r="D2503" i="20" s="1"/>
  <c r="F2503" i="20" a="1"/>
  <c r="F2503" i="20" s="1"/>
  <c r="H2503" i="20" a="1"/>
  <c r="H2503" i="20" s="1"/>
  <c r="B2503" i="20"/>
  <c r="J2503" i="20" a="1"/>
  <c r="J2503" i="20" s="1"/>
  <c r="L2503" i="20" a="1"/>
  <c r="L2503" i="20" s="1"/>
  <c r="D2504" i="20" a="1"/>
  <c r="D2504" i="20" s="1"/>
  <c r="F2504" i="20" a="1"/>
  <c r="F2504" i="20" s="1"/>
  <c r="H2504" i="20" a="1"/>
  <c r="H2504" i="20" s="1"/>
  <c r="B2504" i="20"/>
  <c r="J2504" i="20" a="1"/>
  <c r="J2504" i="20" s="1"/>
  <c r="L2504" i="20" a="1"/>
  <c r="L2504" i="20" s="1"/>
  <c r="D2505" i="20" a="1"/>
  <c r="D2505" i="20" s="1"/>
  <c r="F2505" i="20" a="1"/>
  <c r="F2505" i="20" s="1"/>
  <c r="H2505" i="20" a="1"/>
  <c r="H2505" i="20" s="1"/>
  <c r="B2505" i="20"/>
  <c r="J2505" i="20" a="1"/>
  <c r="J2505" i="20" s="1"/>
  <c r="L2505" i="20" a="1"/>
  <c r="L2505" i="20" s="1"/>
  <c r="D2506" i="20" a="1"/>
  <c r="D2506" i="20" s="1"/>
  <c r="F2506" i="20" a="1"/>
  <c r="F2506" i="20" s="1"/>
  <c r="B2506" i="20"/>
  <c r="H2506" i="20" a="1"/>
  <c r="H2506" i="20" s="1"/>
  <c r="J2506" i="20" a="1"/>
  <c r="J2506" i="20" s="1"/>
  <c r="L2506" i="20" a="1"/>
  <c r="L2506" i="20" s="1"/>
  <c r="D2507" i="20" a="1"/>
  <c r="D2507" i="20" s="1"/>
  <c r="F2507" i="20" a="1"/>
  <c r="F2507" i="20" s="1"/>
  <c r="H2507" i="20" a="1"/>
  <c r="H2507" i="20" s="1"/>
  <c r="B2507" i="20"/>
  <c r="J2507" i="20" a="1"/>
  <c r="J2507" i="20" s="1"/>
  <c r="L2507" i="20" a="1"/>
  <c r="L2507" i="20" s="1"/>
  <c r="D2508" i="20" a="1"/>
  <c r="D2508" i="20" s="1"/>
  <c r="F2508" i="20" a="1"/>
  <c r="F2508" i="20" s="1"/>
  <c r="H2508" i="20" a="1"/>
  <c r="H2508" i="20" s="1"/>
  <c r="B2508" i="20"/>
  <c r="J2508" i="20" a="1"/>
  <c r="J2508" i="20" s="1"/>
  <c r="L2508" i="20" a="1"/>
  <c r="L2508" i="20" s="1"/>
  <c r="D2509" i="20" a="1"/>
  <c r="D2509" i="20" s="1"/>
  <c r="B2509" i="20"/>
  <c r="F2509" i="20" a="1"/>
  <c r="F2509" i="20" s="1"/>
  <c r="H2509" i="20" a="1"/>
  <c r="H2509" i="20" s="1"/>
  <c r="J2509" i="20" a="1"/>
  <c r="J2509" i="20" s="1"/>
  <c r="L2509" i="20" a="1"/>
  <c r="L2509" i="20" s="1"/>
  <c r="D2510" i="20" a="1"/>
  <c r="D2510" i="20" s="1"/>
  <c r="F2510" i="20" a="1"/>
  <c r="F2510" i="20" s="1"/>
  <c r="B2510" i="20"/>
  <c r="H2510" i="20" a="1"/>
  <c r="H2510" i="20" s="1"/>
  <c r="J2510" i="20" a="1"/>
  <c r="J2510" i="20" s="1"/>
  <c r="L2510" i="20" a="1"/>
  <c r="L2510" i="20" s="1"/>
  <c r="D2511" i="20" a="1"/>
  <c r="D2511" i="20" s="1"/>
  <c r="F2511" i="20" a="1"/>
  <c r="F2511" i="20" s="1"/>
  <c r="H2511" i="20" a="1"/>
  <c r="H2511" i="20" s="1"/>
  <c r="B2511" i="20"/>
  <c r="J2511" i="20" a="1"/>
  <c r="J2511" i="20" s="1"/>
  <c r="L2511" i="20" a="1"/>
  <c r="L2511" i="20" s="1"/>
  <c r="D2512" i="20" a="1"/>
  <c r="D2512" i="20" s="1"/>
  <c r="F2512" i="20" a="1"/>
  <c r="F2512" i="20" s="1"/>
  <c r="H2512" i="20" a="1"/>
  <c r="H2512" i="20" s="1"/>
  <c r="B2512" i="20"/>
  <c r="J2512" i="20" a="1"/>
  <c r="J2512" i="20" s="1"/>
  <c r="L2512" i="20" a="1"/>
  <c r="L2512" i="20" s="1"/>
  <c r="D2513" i="20" a="1"/>
  <c r="D2513" i="20" s="1"/>
  <c r="F2513" i="20" a="1"/>
  <c r="F2513" i="20" s="1"/>
  <c r="H2513" i="20" a="1"/>
  <c r="H2513" i="20" s="1"/>
  <c r="J2513" i="20" a="1"/>
  <c r="J2513" i="20" s="1"/>
  <c r="B2513" i="20"/>
  <c r="L2513" i="20" a="1"/>
  <c r="L2513" i="20" s="1"/>
  <c r="B2514" i="20"/>
  <c r="D2514" i="20" a="1"/>
  <c r="D2514" i="20" s="1"/>
  <c r="F2514" i="20" a="1"/>
  <c r="F2514" i="20" s="1"/>
  <c r="H2514" i="20" a="1"/>
  <c r="H2514" i="20" s="1"/>
  <c r="J2514" i="20" a="1"/>
  <c r="J2514" i="20" s="1"/>
  <c r="L2514" i="20" a="1"/>
  <c r="L2514" i="20" s="1"/>
  <c r="D2515" i="20" a="1"/>
  <c r="D2515" i="20" s="1"/>
  <c r="F2515" i="20" a="1"/>
  <c r="F2515" i="20" s="1"/>
  <c r="H2515" i="20" a="1"/>
  <c r="H2515" i="20" s="1"/>
  <c r="J2515" i="20" a="1"/>
  <c r="J2515" i="20" s="1"/>
  <c r="B2515" i="20"/>
  <c r="L2515" i="20" a="1"/>
  <c r="L2515" i="20" s="1"/>
  <c r="D2516" i="20" a="1"/>
  <c r="D2516" i="20" s="1"/>
  <c r="F2516" i="20" a="1"/>
  <c r="F2516" i="20" s="1"/>
  <c r="H2516" i="20" a="1"/>
  <c r="H2516" i="20" s="1"/>
  <c r="J2516" i="20" a="1"/>
  <c r="J2516" i="20" s="1"/>
  <c r="B2516" i="20"/>
  <c r="L2516" i="20" a="1"/>
  <c r="L2516" i="20" s="1"/>
  <c r="B2517" i="20"/>
  <c r="D2517" i="20" a="1"/>
  <c r="D2517" i="20" s="1"/>
  <c r="F2517" i="20" a="1"/>
  <c r="F2517" i="20" s="1"/>
  <c r="H2517" i="20" a="1"/>
  <c r="H2517" i="20" s="1"/>
  <c r="J2517" i="20" a="1"/>
  <c r="J2517" i="20" s="1"/>
  <c r="L2517" i="20" a="1"/>
  <c r="L2517" i="20" s="1"/>
  <c r="D2518" i="20" a="1"/>
  <c r="D2518" i="20" s="1"/>
  <c r="F2518" i="20" a="1"/>
  <c r="F2518" i="20" s="1"/>
  <c r="H2518" i="20" a="1"/>
  <c r="H2518" i="20" s="1"/>
  <c r="B2518" i="20"/>
  <c r="J2518" i="20" a="1"/>
  <c r="J2518" i="20" s="1"/>
  <c r="L2518" i="20" a="1"/>
  <c r="L2518" i="20" s="1"/>
  <c r="D2519" i="20" a="1"/>
  <c r="D2519" i="20" s="1"/>
  <c r="F2519" i="20" a="1"/>
  <c r="F2519" i="20" s="1"/>
  <c r="H2519" i="20" a="1"/>
  <c r="H2519" i="20" s="1"/>
  <c r="B2519" i="20"/>
  <c r="J2519" i="20" a="1"/>
  <c r="J2519" i="20" s="1"/>
  <c r="L2519" i="20" a="1"/>
  <c r="L2519" i="20" s="1"/>
  <c r="D2520" i="20" a="1"/>
  <c r="D2520" i="20" s="1"/>
  <c r="F2520" i="20" a="1"/>
  <c r="F2520" i="20" s="1"/>
  <c r="H2520" i="20" a="1"/>
  <c r="H2520" i="20" s="1"/>
  <c r="J2520" i="20" a="1"/>
  <c r="J2520" i="20" s="1"/>
  <c r="B2520" i="20"/>
  <c r="L2520" i="20" a="1"/>
  <c r="L2520" i="20" s="1"/>
  <c r="D2521" i="20" a="1"/>
  <c r="D2521" i="20" s="1"/>
  <c r="F2521" i="20" a="1"/>
  <c r="F2521" i="20" s="1"/>
  <c r="B2521" i="20"/>
  <c r="H2521" i="20" a="1"/>
  <c r="H2521" i="20" s="1"/>
  <c r="J2521" i="20" a="1"/>
  <c r="J2521" i="20" s="1"/>
  <c r="L2521" i="20" a="1"/>
  <c r="L2521" i="20" s="1"/>
  <c r="D2522" i="20" a="1"/>
  <c r="D2522" i="20" s="1"/>
  <c r="F2522" i="20" a="1"/>
  <c r="F2522" i="20" s="1"/>
  <c r="H2522" i="20" a="1"/>
  <c r="H2522" i="20" s="1"/>
  <c r="J2522" i="20" a="1"/>
  <c r="J2522" i="20" s="1"/>
  <c r="B2522" i="20"/>
  <c r="L2522" i="20" a="1"/>
  <c r="L2522" i="20" s="1"/>
  <c r="B2523" i="20"/>
  <c r="D2523" i="20" a="1"/>
  <c r="D2523" i="20" s="1"/>
  <c r="F2523" i="20" a="1"/>
  <c r="F2523" i="20" s="1"/>
  <c r="H2523" i="20" a="1"/>
  <c r="H2523" i="20" s="1"/>
  <c r="J2523" i="20" a="1"/>
  <c r="J2523" i="20" s="1"/>
  <c r="L2523" i="20" a="1"/>
  <c r="L2523" i="20" s="1"/>
  <c r="D2524" i="20" a="1"/>
  <c r="D2524" i="20" s="1"/>
  <c r="B2524" i="20"/>
  <c r="F2524" i="20" a="1"/>
  <c r="F2524" i="20" s="1"/>
  <c r="H2524" i="20" a="1"/>
  <c r="H2524" i="20" s="1"/>
  <c r="J2524" i="20" a="1"/>
  <c r="J2524" i="20" s="1"/>
  <c r="L2524" i="20" a="1"/>
  <c r="L2524" i="20" s="1"/>
  <c r="D2525" i="20" a="1"/>
  <c r="D2525" i="20" s="1"/>
  <c r="F2525" i="20" a="1"/>
  <c r="F2525" i="20" s="1"/>
  <c r="B2525" i="20"/>
  <c r="H2525" i="20" a="1"/>
  <c r="H2525" i="20" s="1"/>
  <c r="J2525" i="20" a="1"/>
  <c r="J2525" i="20" s="1"/>
  <c r="L2525" i="20" a="1"/>
  <c r="L2525" i="20" s="1"/>
  <c r="D2526" i="20" a="1"/>
  <c r="D2526" i="20" s="1"/>
  <c r="F2526" i="20" a="1"/>
  <c r="F2526" i="20" s="1"/>
  <c r="H2526" i="20" a="1"/>
  <c r="H2526" i="20" s="1"/>
  <c r="B2526" i="20"/>
  <c r="J2526" i="20" a="1"/>
  <c r="J2526" i="20" s="1"/>
  <c r="L2526" i="20" a="1"/>
  <c r="L2526" i="20" s="1"/>
  <c r="D2527" i="20" a="1"/>
  <c r="D2527" i="20" s="1"/>
  <c r="F2527" i="20" a="1"/>
  <c r="F2527" i="20" s="1"/>
  <c r="H2527" i="20" a="1"/>
  <c r="H2527" i="20" s="1"/>
  <c r="B2527" i="20"/>
  <c r="J2527" i="20" a="1"/>
  <c r="J2527" i="20" s="1"/>
  <c r="L2527" i="20" a="1"/>
  <c r="L2527" i="20" s="1"/>
  <c r="D2528" i="20" a="1"/>
  <c r="D2528" i="20" s="1"/>
  <c r="B2528" i="20"/>
  <c r="F2528" i="20" a="1"/>
  <c r="F2528" i="20" s="1"/>
  <c r="H2528" i="20" a="1"/>
  <c r="H2528" i="20" s="1"/>
  <c r="J2528" i="20" a="1"/>
  <c r="J2528" i="20" s="1"/>
  <c r="L2528" i="20" a="1"/>
  <c r="L2528" i="20" s="1"/>
  <c r="D2529" i="20" a="1"/>
  <c r="D2529" i="20" s="1"/>
  <c r="B2529" i="20"/>
  <c r="F2529" i="20" a="1"/>
  <c r="F2529" i="20" s="1"/>
  <c r="H2529" i="20" a="1"/>
  <c r="H2529" i="20" s="1"/>
  <c r="J2529" i="20" a="1"/>
  <c r="J2529" i="20" s="1"/>
  <c r="L2529" i="20" a="1"/>
  <c r="L2529" i="20" s="1"/>
  <c r="D2530" i="20" a="1"/>
  <c r="D2530" i="20" s="1"/>
  <c r="F2530" i="20" a="1"/>
  <c r="F2530" i="20" s="1"/>
  <c r="H2530" i="20" a="1"/>
  <c r="H2530" i="20" s="1"/>
  <c r="B2530" i="20"/>
  <c r="J2530" i="20" a="1"/>
  <c r="J2530" i="20" s="1"/>
  <c r="L2530" i="20" a="1"/>
  <c r="L2530" i="20" s="1"/>
  <c r="D2531" i="20" a="1"/>
  <c r="D2531" i="20" s="1"/>
  <c r="F2531" i="20" a="1"/>
  <c r="F2531" i="20" s="1"/>
  <c r="H2531" i="20" a="1"/>
  <c r="H2531" i="20" s="1"/>
  <c r="B2531" i="20"/>
  <c r="J2531" i="20" a="1"/>
  <c r="J2531" i="20" s="1"/>
  <c r="L2531" i="20" a="1"/>
  <c r="L2531" i="20" s="1"/>
  <c r="D2532" i="20" a="1"/>
  <c r="D2532" i="20" s="1"/>
  <c r="F2532" i="20" a="1"/>
  <c r="F2532" i="20" s="1"/>
  <c r="H2532" i="20" a="1"/>
  <c r="H2532" i="20" s="1"/>
  <c r="B2532" i="20"/>
  <c r="J2532" i="20" a="1"/>
  <c r="J2532" i="20" s="1"/>
  <c r="L2532" i="20" a="1"/>
  <c r="L2532" i="20" s="1"/>
  <c r="D2533" i="20" a="1"/>
  <c r="D2533" i="20" s="1"/>
  <c r="B2533" i="20"/>
  <c r="F2533" i="20" a="1"/>
  <c r="F2533" i="20" s="1"/>
  <c r="H2533" i="20" a="1"/>
  <c r="H2533" i="20" s="1"/>
  <c r="J2533" i="20" a="1"/>
  <c r="J2533" i="20" s="1"/>
  <c r="L2533" i="20" a="1"/>
  <c r="L2533" i="20" s="1"/>
  <c r="D2534" i="20" a="1"/>
  <c r="D2534" i="20" s="1"/>
  <c r="B2534" i="20"/>
  <c r="F2534" i="20" a="1"/>
  <c r="F2534" i="20" s="1"/>
  <c r="H2534" i="20" a="1"/>
  <c r="H2534" i="20" s="1"/>
  <c r="J2534" i="20" a="1"/>
  <c r="J2534" i="20" s="1"/>
  <c r="L2534" i="20" a="1"/>
  <c r="L2534" i="20" s="1"/>
  <c r="D2535" i="20" a="1"/>
  <c r="D2535" i="20" s="1"/>
  <c r="F2535" i="20" a="1"/>
  <c r="F2535" i="20" s="1"/>
  <c r="H2535" i="20" a="1"/>
  <c r="H2535" i="20" s="1"/>
  <c r="B2535" i="20"/>
  <c r="J2535" i="20" a="1"/>
  <c r="J2535" i="20" s="1"/>
  <c r="L2535" i="20" a="1"/>
  <c r="L2535" i="20" s="1"/>
  <c r="D2536" i="20" a="1"/>
  <c r="D2536" i="20" s="1"/>
  <c r="F2536" i="20" a="1"/>
  <c r="F2536" i="20" s="1"/>
  <c r="H2536" i="20" a="1"/>
  <c r="H2536" i="20" s="1"/>
  <c r="B2536" i="20"/>
  <c r="J2536" i="20" a="1"/>
  <c r="J2536" i="20" s="1"/>
  <c r="L2536" i="20" a="1"/>
  <c r="L2536" i="20" s="1"/>
  <c r="D2537" i="20" a="1"/>
  <c r="D2537" i="20" s="1"/>
  <c r="F2537" i="20" a="1"/>
  <c r="F2537" i="20" s="1"/>
  <c r="H2537" i="20" a="1"/>
  <c r="H2537" i="20" s="1"/>
  <c r="B2537" i="20"/>
  <c r="J2537" i="20" a="1"/>
  <c r="J2537" i="20" s="1"/>
  <c r="L2537" i="20" a="1"/>
  <c r="L2537" i="20" s="1"/>
  <c r="D2538" i="20" a="1"/>
  <c r="D2538" i="20" s="1"/>
  <c r="B2538" i="20"/>
  <c r="F2538" i="20" a="1"/>
  <c r="F2538" i="20" s="1"/>
  <c r="H2538" i="20" a="1"/>
  <c r="H2538" i="20" s="1"/>
  <c r="J2538" i="20" a="1"/>
  <c r="J2538" i="20" s="1"/>
  <c r="L2538" i="20" a="1"/>
  <c r="L2538" i="20" s="1"/>
  <c r="D2539" i="20" a="1"/>
  <c r="D2539" i="20" s="1"/>
  <c r="B2539" i="20"/>
  <c r="F2539" i="20" a="1"/>
  <c r="F2539" i="20" s="1"/>
  <c r="H2539" i="20" a="1"/>
  <c r="H2539" i="20" s="1"/>
  <c r="J2539" i="20" a="1"/>
  <c r="J2539" i="20" s="1"/>
  <c r="L2539" i="20" a="1"/>
  <c r="L2539" i="20" s="1"/>
  <c r="D2540" i="20" a="1"/>
  <c r="D2540" i="20" s="1"/>
  <c r="B2540" i="20"/>
  <c r="F2540" i="20" a="1"/>
  <c r="F2540" i="20" s="1"/>
  <c r="H2540" i="20" a="1"/>
  <c r="H2540" i="20" s="1"/>
  <c r="J2540" i="20" a="1"/>
  <c r="J2540" i="20" s="1"/>
  <c r="L2540" i="20" a="1"/>
  <c r="L2540" i="20" s="1"/>
  <c r="D2541" i="20" a="1"/>
  <c r="D2541" i="20" s="1"/>
  <c r="B2541" i="20"/>
  <c r="F2541" i="20" a="1"/>
  <c r="F2541" i="20" s="1"/>
  <c r="H2541" i="20" a="1"/>
  <c r="H2541" i="20" s="1"/>
  <c r="J2541" i="20" a="1"/>
  <c r="J2541" i="20" s="1"/>
  <c r="L2541" i="20" a="1"/>
  <c r="L2541" i="20" s="1"/>
  <c r="D2542" i="20" a="1"/>
  <c r="D2542" i="20" s="1"/>
  <c r="F2542" i="20" a="1"/>
  <c r="F2542" i="20" s="1"/>
  <c r="H2542" i="20" a="1"/>
  <c r="H2542" i="20" s="1"/>
  <c r="B2542" i="20"/>
  <c r="J2542" i="20" a="1"/>
  <c r="J2542" i="20" s="1"/>
  <c r="L2542" i="20" a="1"/>
  <c r="L2542" i="20" s="1"/>
  <c r="D2543" i="20" a="1"/>
  <c r="D2543" i="20" s="1"/>
  <c r="F2543" i="20" a="1"/>
  <c r="F2543" i="20" s="1"/>
  <c r="H2543" i="20" a="1"/>
  <c r="H2543" i="20" s="1"/>
  <c r="B2543" i="20"/>
  <c r="J2543" i="20" a="1"/>
  <c r="J2543" i="20" s="1"/>
  <c r="L2543" i="20" a="1"/>
  <c r="L2543" i="20" s="1"/>
  <c r="D2544" i="20" a="1"/>
  <c r="D2544" i="20" s="1"/>
  <c r="F2544" i="20" a="1"/>
  <c r="F2544" i="20" s="1"/>
  <c r="H2544" i="20" a="1"/>
  <c r="H2544" i="20" s="1"/>
  <c r="J2544" i="20" a="1"/>
  <c r="J2544" i="20" s="1"/>
  <c r="B2544" i="20"/>
  <c r="L2544" i="20" a="1"/>
  <c r="L2544" i="20" s="1"/>
  <c r="D2545" i="20" a="1"/>
  <c r="D2545" i="20" s="1"/>
  <c r="B2545" i="20"/>
  <c r="F2545" i="20" a="1"/>
  <c r="F2545" i="20" s="1"/>
  <c r="H2545" i="20" a="1"/>
  <c r="H2545" i="20" s="1"/>
  <c r="J2545" i="20" a="1"/>
  <c r="J2545" i="20" s="1"/>
  <c r="L2545" i="20" a="1"/>
  <c r="L2545" i="20" s="1"/>
  <c r="D2546" i="20" a="1"/>
  <c r="D2546" i="20" s="1"/>
  <c r="B2546" i="20"/>
  <c r="F2546" i="20" a="1"/>
  <c r="F2546" i="20" s="1"/>
  <c r="H2546" i="20" a="1"/>
  <c r="H2546" i="20" s="1"/>
  <c r="J2546" i="20" a="1"/>
  <c r="J2546" i="20" s="1"/>
  <c r="L2546" i="20" a="1"/>
  <c r="L2546" i="20" s="1"/>
  <c r="D2547" i="20" a="1"/>
  <c r="D2547" i="20" s="1"/>
  <c r="F2547" i="20" a="1"/>
  <c r="F2547" i="20" s="1"/>
  <c r="H2547" i="20" a="1"/>
  <c r="H2547" i="20" s="1"/>
  <c r="B2547" i="20"/>
  <c r="J2547" i="20" a="1"/>
  <c r="J2547" i="20" s="1"/>
  <c r="L2547" i="20" a="1"/>
  <c r="L2547" i="20" s="1"/>
  <c r="D2548" i="20" a="1"/>
  <c r="D2548" i="20" s="1"/>
  <c r="B2548" i="20"/>
  <c r="F2548" i="20" a="1"/>
  <c r="F2548" i="20" s="1"/>
  <c r="H2548" i="20" a="1"/>
  <c r="H2548" i="20" s="1"/>
  <c r="J2548" i="20" a="1"/>
  <c r="J2548" i="20" s="1"/>
  <c r="L2548" i="20" a="1"/>
  <c r="L2548" i="20" s="1"/>
  <c r="D2549" i="20" a="1"/>
  <c r="D2549" i="20" s="1"/>
  <c r="B2549" i="20"/>
  <c r="F2549" i="20" a="1"/>
  <c r="F2549" i="20" s="1"/>
  <c r="H2549" i="20" a="1"/>
  <c r="H2549" i="20" s="1"/>
  <c r="J2549" i="20" a="1"/>
  <c r="J2549" i="20" s="1"/>
  <c r="L2549" i="20" a="1"/>
  <c r="L2549" i="20" s="1"/>
  <c r="D2550" i="20" a="1"/>
  <c r="D2550" i="20" s="1"/>
  <c r="F2550" i="20" a="1"/>
  <c r="F2550" i="20" s="1"/>
  <c r="H2550" i="20" a="1"/>
  <c r="H2550" i="20" s="1"/>
  <c r="B2550" i="20"/>
  <c r="J2550" i="20" a="1"/>
  <c r="J2550" i="20" s="1"/>
  <c r="L2550" i="20" a="1"/>
  <c r="L2550" i="20" s="1"/>
  <c r="D2551" i="20" a="1"/>
  <c r="D2551" i="20" s="1"/>
  <c r="F2551" i="20" a="1"/>
  <c r="F2551" i="20" s="1"/>
  <c r="H2551" i="20" a="1"/>
  <c r="H2551" i="20" s="1"/>
  <c r="B2551" i="20"/>
  <c r="J2551" i="20" a="1"/>
  <c r="J2551" i="20" s="1"/>
  <c r="L2551" i="20" a="1"/>
  <c r="L2551" i="20" s="1"/>
  <c r="B2552" i="20"/>
  <c r="D2552" i="20" a="1"/>
  <c r="D2552" i="20" s="1"/>
  <c r="F2552" i="20" a="1"/>
  <c r="F2552" i="20" s="1"/>
  <c r="H2552" i="20" a="1"/>
  <c r="H2552" i="20" s="1"/>
  <c r="J2552" i="20" a="1"/>
  <c r="J2552" i="20" s="1"/>
  <c r="L2552" i="20" a="1"/>
  <c r="L2552" i="20" s="1"/>
  <c r="D2553" i="20" a="1"/>
  <c r="D2553" i="20" s="1"/>
  <c r="F2553" i="20" a="1"/>
  <c r="F2553" i="20" s="1"/>
  <c r="B2553" i="20"/>
  <c r="H2553" i="20" a="1"/>
  <c r="H2553" i="20" s="1"/>
  <c r="J2553" i="20" a="1"/>
  <c r="J2553" i="20" s="1"/>
  <c r="L2553" i="20" a="1"/>
  <c r="L2553" i="20" s="1"/>
  <c r="D2554" i="20" a="1"/>
  <c r="D2554" i="20" s="1"/>
  <c r="F2554" i="20" a="1"/>
  <c r="F2554" i="20" s="1"/>
  <c r="H2554" i="20" a="1"/>
  <c r="H2554" i="20" s="1"/>
  <c r="B2554" i="20"/>
  <c r="J2554" i="20" a="1"/>
  <c r="J2554" i="20" s="1"/>
  <c r="L2554" i="20" a="1"/>
  <c r="L2554" i="20" s="1"/>
  <c r="D2555" i="20" a="1"/>
  <c r="D2555" i="20" s="1"/>
  <c r="F2555" i="20" a="1"/>
  <c r="F2555" i="20" s="1"/>
  <c r="H2555" i="20" a="1"/>
  <c r="H2555" i="20" s="1"/>
  <c r="B2555" i="20"/>
  <c r="J2555" i="20" a="1"/>
  <c r="J2555" i="20" s="1"/>
  <c r="L2555" i="20" a="1"/>
  <c r="L2555" i="20" s="1"/>
  <c r="D2556" i="20" a="1"/>
  <c r="D2556" i="20" s="1"/>
  <c r="F2556" i="20" a="1"/>
  <c r="F2556" i="20" s="1"/>
  <c r="H2556" i="20" a="1"/>
  <c r="H2556" i="20" s="1"/>
  <c r="B2556" i="20"/>
  <c r="J2556" i="20" a="1"/>
  <c r="J2556" i="20" s="1"/>
  <c r="L2556" i="20" a="1"/>
  <c r="L2556" i="20" s="1"/>
  <c r="D2557" i="20" a="1"/>
  <c r="D2557" i="20" s="1"/>
  <c r="F2557" i="20" a="1"/>
  <c r="F2557" i="20" s="1"/>
  <c r="B2557" i="20"/>
  <c r="H2557" i="20" a="1"/>
  <c r="H2557" i="20" s="1"/>
  <c r="J2557" i="20" a="1"/>
  <c r="J2557" i="20" s="1"/>
  <c r="L2557" i="20" a="1"/>
  <c r="L2557" i="20" s="1"/>
  <c r="D2558" i="20" a="1"/>
  <c r="D2558" i="20" s="1"/>
  <c r="F2558" i="20" a="1"/>
  <c r="F2558" i="20" s="1"/>
  <c r="B2558" i="20"/>
  <c r="H2558" i="20" a="1"/>
  <c r="H2558" i="20" s="1"/>
  <c r="J2558" i="20" a="1"/>
  <c r="J2558" i="20" s="1"/>
  <c r="L2558" i="20" a="1"/>
  <c r="L2558" i="20" s="1"/>
  <c r="B2559" i="20"/>
  <c r="D2559" i="20" a="1"/>
  <c r="D2559" i="20" s="1"/>
  <c r="F2559" i="20" a="1"/>
  <c r="F2559" i="20" s="1"/>
  <c r="H2559" i="20" a="1"/>
  <c r="H2559" i="20" s="1"/>
  <c r="J2559" i="20" a="1"/>
  <c r="J2559" i="20" s="1"/>
  <c r="L2559" i="20" a="1"/>
  <c r="L2559" i="20" s="1"/>
  <c r="D2560" i="20" a="1"/>
  <c r="D2560" i="20" s="1"/>
  <c r="F2560" i="20" a="1"/>
  <c r="F2560" i="20" s="1"/>
  <c r="H2560" i="20" a="1"/>
  <c r="H2560" i="20" s="1"/>
  <c r="J2560" i="20" a="1"/>
  <c r="J2560" i="20" s="1"/>
  <c r="B2560" i="20"/>
  <c r="L2560" i="20" a="1"/>
  <c r="L2560" i="20" s="1"/>
  <c r="D2561" i="20" a="1"/>
  <c r="D2561" i="20" s="1"/>
  <c r="F2561" i="20" a="1"/>
  <c r="F2561" i="20" s="1"/>
  <c r="H2561" i="20" a="1"/>
  <c r="H2561" i="20" s="1"/>
  <c r="B2561" i="20"/>
  <c r="J2561" i="20" a="1"/>
  <c r="J2561" i="20" s="1"/>
  <c r="L2561" i="20" a="1"/>
  <c r="L2561" i="20" s="1"/>
  <c r="D2562" i="20" a="1"/>
  <c r="D2562" i="20" s="1"/>
  <c r="F2562" i="20" a="1"/>
  <c r="F2562" i="20" s="1"/>
  <c r="B2562" i="20"/>
  <c r="H2562" i="20" a="1"/>
  <c r="H2562" i="20" s="1"/>
  <c r="J2562" i="20" a="1"/>
  <c r="J2562" i="20" s="1"/>
  <c r="L2562" i="20" a="1"/>
  <c r="L2562" i="20" s="1"/>
  <c r="D2563" i="20" a="1"/>
  <c r="D2563" i="20" s="1"/>
  <c r="F2563" i="20" a="1"/>
  <c r="F2563" i="20" s="1"/>
  <c r="B2563" i="20"/>
  <c r="H2563" i="20" a="1"/>
  <c r="H2563" i="20" s="1"/>
  <c r="J2563" i="20" a="1"/>
  <c r="J2563" i="20" s="1"/>
  <c r="L2563" i="20" a="1"/>
  <c r="L2563" i="20" s="1"/>
  <c r="D2564" i="20" a="1"/>
  <c r="D2564" i="20" s="1"/>
  <c r="F2564" i="20" a="1"/>
  <c r="F2564" i="20" s="1"/>
  <c r="B2564" i="20"/>
  <c r="H2564" i="20" a="1"/>
  <c r="H2564" i="20" s="1"/>
  <c r="J2564" i="20" a="1"/>
  <c r="J2564" i="20" s="1"/>
  <c r="L2564" i="20" a="1"/>
  <c r="L2564" i="20" s="1"/>
  <c r="D2565" i="20" a="1"/>
  <c r="D2565" i="20" s="1"/>
  <c r="F2565" i="20" a="1"/>
  <c r="F2565" i="20" s="1"/>
  <c r="H2565" i="20" a="1"/>
  <c r="H2565" i="20" s="1"/>
  <c r="B2565" i="20"/>
  <c r="J2565" i="20" a="1"/>
  <c r="J2565" i="20" s="1"/>
  <c r="L2565" i="20" a="1"/>
  <c r="L2565" i="20" s="1"/>
  <c r="D2566" i="20" a="1"/>
  <c r="D2566" i="20" s="1"/>
  <c r="F2566" i="20" a="1"/>
  <c r="F2566" i="20" s="1"/>
  <c r="H2566" i="20" a="1"/>
  <c r="H2566" i="20" s="1"/>
  <c r="B2566" i="20"/>
  <c r="J2566" i="20" a="1"/>
  <c r="J2566" i="20" s="1"/>
  <c r="L2566" i="20" a="1"/>
  <c r="L2566" i="20" s="1"/>
  <c r="D2567" i="20" a="1"/>
  <c r="D2567" i="20" s="1"/>
  <c r="F2567" i="20" a="1"/>
  <c r="F2567" i="20" s="1"/>
  <c r="B2567" i="20"/>
  <c r="H2567" i="20" a="1"/>
  <c r="H2567" i="20" s="1"/>
  <c r="J2567" i="20" a="1"/>
  <c r="J2567" i="20" s="1"/>
  <c r="L2567" i="20" a="1"/>
  <c r="L2567" i="20" s="1"/>
  <c r="D2568" i="20" a="1"/>
  <c r="D2568" i="20" s="1"/>
  <c r="F2568" i="20" a="1"/>
  <c r="F2568" i="20" s="1"/>
  <c r="B2568" i="20"/>
  <c r="H2568" i="20" a="1"/>
  <c r="H2568" i="20" s="1"/>
  <c r="J2568" i="20" a="1"/>
  <c r="J2568" i="20" s="1"/>
  <c r="L2568" i="20" a="1"/>
  <c r="L2568" i="20" s="1"/>
  <c r="D2569" i="20" a="1"/>
  <c r="D2569" i="20" s="1"/>
  <c r="F2569" i="20" a="1"/>
  <c r="F2569" i="20" s="1"/>
  <c r="H2569" i="20" a="1"/>
  <c r="H2569" i="20" s="1"/>
  <c r="J2569" i="20" a="1"/>
  <c r="J2569" i="20" s="1"/>
  <c r="B2569" i="20"/>
  <c r="L2569" i="20" a="1"/>
  <c r="L2569" i="20" s="1"/>
  <c r="B2570" i="20"/>
  <c r="D2570" i="20" a="1"/>
  <c r="D2570" i="20" s="1"/>
  <c r="F2570" i="20" a="1"/>
  <c r="F2570" i="20" s="1"/>
  <c r="H2570" i="20" a="1"/>
  <c r="H2570" i="20" s="1"/>
  <c r="J2570" i="20" a="1"/>
  <c r="J2570" i="20" s="1"/>
  <c r="L2570" i="20" a="1"/>
  <c r="L2570" i="20" s="1"/>
  <c r="D2571" i="20" a="1"/>
  <c r="D2571" i="20" s="1"/>
  <c r="F2571" i="20" a="1"/>
  <c r="F2571" i="20" s="1"/>
  <c r="H2571" i="20" a="1"/>
  <c r="H2571" i="20" s="1"/>
  <c r="J2571" i="20" a="1"/>
  <c r="J2571" i="20" s="1"/>
  <c r="B2571" i="20"/>
  <c r="L2571" i="20" a="1"/>
  <c r="L2571" i="20" s="1"/>
  <c r="D2572" i="20" a="1"/>
  <c r="D2572" i="20" s="1"/>
  <c r="F2572" i="20" a="1"/>
  <c r="F2572" i="20" s="1"/>
  <c r="H2572" i="20" a="1"/>
  <c r="H2572" i="20" s="1"/>
  <c r="B2572" i="20"/>
  <c r="J2572" i="20" a="1"/>
  <c r="J2572" i="20" s="1"/>
  <c r="L2572" i="20" a="1"/>
  <c r="L2572" i="20" s="1"/>
  <c r="D2573" i="20" a="1"/>
  <c r="D2573" i="20" s="1"/>
  <c r="F2573" i="20" a="1"/>
  <c r="F2573" i="20" s="1"/>
  <c r="H2573" i="20" a="1"/>
  <c r="H2573" i="20" s="1"/>
  <c r="J2573" i="20" a="1"/>
  <c r="J2573" i="20" s="1"/>
  <c r="B2573" i="20"/>
  <c r="L2573" i="20" a="1"/>
  <c r="L2573" i="20" s="1"/>
  <c r="D2574" i="20" a="1"/>
  <c r="D2574" i="20" s="1"/>
  <c r="F2574" i="20" a="1"/>
  <c r="F2574" i="20" s="1"/>
  <c r="H2574" i="20" a="1"/>
  <c r="H2574" i="20" s="1"/>
  <c r="B2574" i="20"/>
  <c r="J2574" i="20" a="1"/>
  <c r="J2574" i="20" s="1"/>
  <c r="L2574" i="20" a="1"/>
  <c r="L2574" i="20" s="1"/>
  <c r="D2575" i="20" a="1"/>
  <c r="D2575" i="20" s="1"/>
  <c r="F2575" i="20" a="1"/>
  <c r="F2575" i="20" s="1"/>
  <c r="H2575" i="20" a="1"/>
  <c r="H2575" i="20" s="1"/>
  <c r="B2575" i="20"/>
  <c r="J2575" i="20" a="1"/>
  <c r="J2575" i="20" s="1"/>
  <c r="L2575" i="20" a="1"/>
  <c r="L2575" i="20" s="1"/>
  <c r="B2576" i="20"/>
  <c r="D2576" i="20" a="1"/>
  <c r="D2576" i="20" s="1"/>
  <c r="F2576" i="20" a="1"/>
  <c r="F2576" i="20" s="1"/>
  <c r="H2576" i="20" a="1"/>
  <c r="H2576" i="20" s="1"/>
  <c r="J2576" i="20" a="1"/>
  <c r="J2576" i="20" s="1"/>
  <c r="L2576" i="20" a="1"/>
  <c r="L2576" i="20" s="1"/>
  <c r="D2577" i="20" a="1"/>
  <c r="D2577" i="20" s="1"/>
  <c r="F2577" i="20" a="1"/>
  <c r="F2577" i="20" s="1"/>
  <c r="H2577" i="20" a="1"/>
  <c r="H2577" i="20" s="1"/>
  <c r="J2577" i="20" a="1"/>
  <c r="J2577" i="20" s="1"/>
  <c r="B2577" i="20"/>
  <c r="L2577" i="20" a="1"/>
  <c r="L2577" i="20" s="1"/>
  <c r="D2578" i="20" a="1"/>
  <c r="D2578" i="20" s="1"/>
  <c r="F2578" i="20" a="1"/>
  <c r="F2578" i="20" s="1"/>
  <c r="H2578" i="20" a="1"/>
  <c r="H2578" i="20" s="1"/>
  <c r="B2578" i="20"/>
  <c r="J2578" i="20" a="1"/>
  <c r="J2578" i="20" s="1"/>
  <c r="L2578" i="20" a="1"/>
  <c r="L2578" i="20" s="1"/>
  <c r="D2579" i="20" a="1"/>
  <c r="D2579" i="20" s="1"/>
  <c r="F2579" i="20" a="1"/>
  <c r="F2579" i="20" s="1"/>
  <c r="H2579" i="20" a="1"/>
  <c r="H2579" i="20" s="1"/>
  <c r="B2579" i="20"/>
  <c r="J2579" i="20" a="1"/>
  <c r="J2579" i="20" s="1"/>
  <c r="L2579" i="20" a="1"/>
  <c r="L2579" i="20" s="1"/>
  <c r="D2580" i="20" a="1"/>
  <c r="D2580" i="20" s="1"/>
  <c r="F2580" i="20" a="1"/>
  <c r="F2580" i="20" s="1"/>
  <c r="B2580" i="20"/>
  <c r="H2580" i="20" a="1"/>
  <c r="H2580" i="20" s="1"/>
  <c r="J2580" i="20" a="1"/>
  <c r="J2580" i="20" s="1"/>
  <c r="L2580" i="20" a="1"/>
  <c r="L2580" i="20" s="1"/>
  <c r="B2581" i="20"/>
  <c r="D2581" i="20" a="1"/>
  <c r="D2581" i="20" s="1"/>
  <c r="F2581" i="20" a="1"/>
  <c r="F2581" i="20" s="1"/>
  <c r="H2581" i="20" a="1"/>
  <c r="H2581" i="20" s="1"/>
  <c r="J2581" i="20" a="1"/>
  <c r="J2581" i="20" s="1"/>
  <c r="L2581" i="20" a="1"/>
  <c r="L2581" i="20" s="1"/>
  <c r="D2582" i="20" a="1"/>
  <c r="D2582" i="20" s="1"/>
  <c r="F2582" i="20" a="1"/>
  <c r="F2582" i="20" s="1"/>
  <c r="H2582" i="20" a="1"/>
  <c r="H2582" i="20" s="1"/>
  <c r="B2582" i="20"/>
  <c r="J2582" i="20" a="1"/>
  <c r="J2582" i="20" s="1"/>
  <c r="L2582" i="20" a="1"/>
  <c r="L2582" i="20" s="1"/>
  <c r="D2583" i="20" a="1"/>
  <c r="D2583" i="20" s="1"/>
  <c r="F2583" i="20" a="1"/>
  <c r="F2583" i="20" s="1"/>
  <c r="H2583" i="20" a="1"/>
  <c r="H2583" i="20" s="1"/>
  <c r="J2583" i="20" a="1"/>
  <c r="J2583" i="20" s="1"/>
  <c r="B2583" i="20"/>
  <c r="L2583" i="20" a="1"/>
  <c r="L2583" i="20" s="1"/>
  <c r="D2584" i="20" a="1"/>
  <c r="D2584" i="20" s="1"/>
  <c r="F2584" i="20" a="1"/>
  <c r="F2584" i="20" s="1"/>
  <c r="B2584" i="20"/>
  <c r="H2584" i="20" a="1"/>
  <c r="H2584" i="20" s="1"/>
  <c r="J2584" i="20" a="1"/>
  <c r="J2584" i="20" s="1"/>
  <c r="L2584" i="20" a="1"/>
  <c r="L2584" i="20" s="1"/>
  <c r="D2585" i="20" a="1"/>
  <c r="D2585" i="20" s="1"/>
  <c r="F2585" i="20" a="1"/>
  <c r="F2585" i="20" s="1"/>
  <c r="B2585" i="20"/>
  <c r="H2585" i="20" a="1"/>
  <c r="H2585" i="20" s="1"/>
  <c r="J2585" i="20" a="1"/>
  <c r="J2585" i="20" s="1"/>
  <c r="L2585" i="20" a="1"/>
  <c r="L2585" i="20" s="1"/>
  <c r="D2586" i="20" a="1"/>
  <c r="D2586" i="20" s="1"/>
  <c r="F2586" i="20" a="1"/>
  <c r="F2586" i="20" s="1"/>
  <c r="H2586" i="20" a="1"/>
  <c r="H2586" i="20" s="1"/>
  <c r="B2586" i="20"/>
  <c r="J2586" i="20" a="1"/>
  <c r="J2586" i="20" s="1"/>
  <c r="L2586" i="20" a="1"/>
  <c r="L2586" i="20" s="1"/>
  <c r="D2587" i="20" a="1"/>
  <c r="D2587" i="20" s="1"/>
  <c r="F2587" i="20" a="1"/>
  <c r="F2587" i="20" s="1"/>
  <c r="H2587" i="20" a="1"/>
  <c r="H2587" i="20" s="1"/>
  <c r="B2587" i="20"/>
  <c r="J2587" i="20" a="1"/>
  <c r="J2587" i="20" s="1"/>
  <c r="L2587" i="20" a="1"/>
  <c r="L2587" i="20" s="1"/>
  <c r="B18" i="21"/>
  <c r="J18" i="21" a="1"/>
  <c r="J18" i="21" s="1"/>
  <c r="B19" i="21"/>
  <c r="J19" i="21" a="1"/>
  <c r="J19" i="21" s="1"/>
  <c r="B23" i="21"/>
  <c r="J23" i="21" a="1"/>
  <c r="J23" i="21" s="1"/>
  <c r="B21" i="21"/>
  <c r="J21" i="21" a="1"/>
  <c r="J21" i="21" s="1"/>
  <c r="B25" i="21"/>
  <c r="J25" i="21" a="1"/>
  <c r="J25" i="21" s="1"/>
  <c r="B24" i="21"/>
  <c r="J24" i="21" a="1"/>
  <c r="J24" i="21" s="1"/>
  <c r="B29" i="21"/>
  <c r="J29" i="21" a="1"/>
  <c r="J29" i="21" s="1"/>
  <c r="B27" i="21"/>
  <c r="J27" i="21" a="1"/>
  <c r="J27" i="21" s="1"/>
  <c r="B26" i="21"/>
  <c r="J26" i="21" a="1"/>
  <c r="J26" i="21" s="1"/>
  <c r="B20" i="21"/>
  <c r="J20" i="21" a="1"/>
  <c r="J20" i="21" s="1"/>
  <c r="B49" i="21"/>
  <c r="J49" i="21" a="1"/>
  <c r="J49" i="21" s="1"/>
  <c r="B45" i="21"/>
  <c r="J45" i="21" a="1"/>
  <c r="J45" i="21" s="1"/>
  <c r="B63" i="21"/>
  <c r="J63" i="21" a="1"/>
  <c r="J63" i="21" s="1"/>
  <c r="B55" i="21"/>
  <c r="J55" i="21" a="1"/>
  <c r="J55" i="21" s="1"/>
  <c r="B51" i="21"/>
  <c r="J51" i="21" a="1"/>
  <c r="J51" i="21" s="1"/>
  <c r="B47" i="21"/>
  <c r="J47" i="21" a="1"/>
  <c r="J47" i="21" s="1"/>
  <c r="B43" i="21"/>
  <c r="J43" i="21" a="1"/>
  <c r="J43" i="21" s="1"/>
  <c r="B59" i="21"/>
  <c r="J59" i="21" a="1"/>
  <c r="J59" i="21" s="1"/>
  <c r="B62" i="21"/>
  <c r="J62" i="21" a="1"/>
  <c r="J62" i="21" s="1"/>
  <c r="B54" i="21"/>
  <c r="J54" i="21" a="1"/>
  <c r="J54" i="21" s="1"/>
  <c r="B28" i="21"/>
  <c r="J28" i="21" a="1"/>
  <c r="J28" i="21" s="1"/>
  <c r="B57" i="21"/>
  <c r="J57" i="21" a="1"/>
  <c r="J57" i="21" s="1"/>
  <c r="B46" i="21"/>
  <c r="J46" i="21" a="1"/>
  <c r="J46" i="21" s="1"/>
  <c r="B53" i="21"/>
  <c r="J53" i="21" a="1"/>
  <c r="J53" i="21" s="1"/>
  <c r="B64" i="21"/>
  <c r="J64" i="21" a="1"/>
  <c r="J64" i="21" s="1"/>
  <c r="B60" i="21"/>
  <c r="J60" i="21" a="1"/>
  <c r="J60" i="21" s="1"/>
  <c r="B56" i="21"/>
  <c r="J56" i="21" a="1"/>
  <c r="J56" i="21" s="1"/>
  <c r="B52" i="21"/>
  <c r="J52" i="21" a="1"/>
  <c r="J52" i="21" s="1"/>
  <c r="B48" i="21"/>
  <c r="J48" i="21" a="1"/>
  <c r="J48" i="21" s="1"/>
  <c r="B44" i="21"/>
  <c r="J44" i="21" a="1"/>
  <c r="J44" i="21" s="1"/>
  <c r="B61" i="21"/>
  <c r="J61" i="21" a="1"/>
  <c r="J61" i="21" s="1"/>
  <c r="B42" i="21"/>
  <c r="J42" i="21" a="1"/>
  <c r="J42" i="21" s="1"/>
  <c r="B65" i="21"/>
  <c r="J65" i="21" a="1"/>
  <c r="J65" i="21" s="1"/>
  <c r="B66" i="21"/>
  <c r="J66" i="21" a="1"/>
  <c r="J66" i="21" s="1"/>
  <c r="B58" i="21"/>
  <c r="J58" i="21" a="1"/>
  <c r="J58" i="21" s="1"/>
  <c r="B50" i="21"/>
  <c r="J50" i="21" a="1"/>
  <c r="J50" i="21" s="1"/>
  <c r="B41" i="21"/>
  <c r="J41" i="21" a="1"/>
  <c r="J41" i="21" s="1"/>
  <c r="B40" i="21"/>
  <c r="J40" i="21" a="1"/>
  <c r="J40" i="21" s="1"/>
  <c r="B39" i="21"/>
  <c r="J39" i="21" a="1"/>
  <c r="J39" i="21" s="1"/>
  <c r="B38" i="21"/>
  <c r="J38" i="21" a="1"/>
  <c r="J38" i="21" s="1"/>
  <c r="B37" i="21"/>
  <c r="J37" i="21" a="1"/>
  <c r="J37" i="21" s="1"/>
  <c r="B36" i="21"/>
  <c r="J36" i="21" a="1"/>
  <c r="J36" i="21" s="1"/>
  <c r="B35" i="21"/>
  <c r="J35" i="21" a="1"/>
  <c r="J35" i="21" s="1"/>
  <c r="B34" i="21"/>
  <c r="J34" i="21" a="1"/>
  <c r="J34" i="21" s="1"/>
  <c r="B33" i="21"/>
  <c r="J33" i="21" a="1"/>
  <c r="J33" i="21" s="1"/>
  <c r="B32" i="21"/>
  <c r="J32" i="21" a="1"/>
  <c r="J32" i="21" s="1"/>
  <c r="B31" i="21"/>
  <c r="J31" i="21" a="1"/>
  <c r="J31" i="21" s="1"/>
  <c r="B30" i="21"/>
  <c r="J30" i="21" a="1"/>
  <c r="J30" i="21" s="1"/>
  <c r="B22" i="21"/>
  <c r="J22" i="21" a="1"/>
  <c r="J22" i="21" s="1"/>
  <c r="H67" i="21" a="1"/>
  <c r="H67" i="21" s="1"/>
  <c r="M67" i="21" a="1"/>
  <c r="M67" i="21" s="1"/>
  <c r="F67" i="21" a="1"/>
  <c r="F67" i="21" s="1"/>
  <c r="D67" i="21" a="1"/>
  <c r="D67" i="21" s="1"/>
  <c r="L67" i="21" a="1"/>
  <c r="L67" i="21" s="1"/>
  <c r="J67" i="21" a="1"/>
  <c r="J67" i="21" s="1"/>
  <c r="O67" i="21" a="1"/>
  <c r="O67" i="21" s="1"/>
  <c r="L68" i="21" a="1"/>
  <c r="L68" i="21" s="1"/>
  <c r="D68" i="21" a="1"/>
  <c r="D68" i="21" s="1"/>
  <c r="H68" i="21" a="1"/>
  <c r="H68" i="21" s="1"/>
  <c r="M68" i="21" a="1"/>
  <c r="M68" i="21" s="1"/>
  <c r="O68" i="21" a="1"/>
  <c r="O68" i="21" s="1"/>
  <c r="F68" i="21" a="1"/>
  <c r="F68" i="21" s="1"/>
  <c r="J68" i="21" a="1"/>
  <c r="J68" i="21" s="1"/>
  <c r="H69" i="21" a="1"/>
  <c r="H69" i="21" s="1"/>
  <c r="J69" i="21" a="1"/>
  <c r="J69" i="21" s="1"/>
  <c r="M69" i="21" a="1"/>
  <c r="M69" i="21" s="1"/>
  <c r="L69" i="21" a="1"/>
  <c r="L69" i="21" s="1"/>
  <c r="D69" i="21" a="1"/>
  <c r="D69" i="21" s="1"/>
  <c r="F69" i="21" a="1"/>
  <c r="F69" i="21" s="1"/>
  <c r="O69" i="21" a="1"/>
  <c r="O69" i="21" s="1"/>
  <c r="L70" i="21" a="1"/>
  <c r="L70" i="21" s="1"/>
  <c r="H70" i="21" a="1"/>
  <c r="H70" i="21" s="1"/>
  <c r="J70" i="21" a="1"/>
  <c r="J70" i="21" s="1"/>
  <c r="F70" i="21" a="1"/>
  <c r="F70" i="21" s="1"/>
  <c r="D70" i="21" a="1"/>
  <c r="D70" i="21" s="1"/>
  <c r="O70" i="21" a="1"/>
  <c r="O70" i="21" s="1"/>
  <c r="M70" i="21" a="1"/>
  <c r="M70" i="21" s="1"/>
  <c r="D71" i="21" a="1"/>
  <c r="D71" i="21" s="1"/>
  <c r="J71" i="21" a="1"/>
  <c r="J71" i="21" s="1"/>
  <c r="M71" i="21" a="1"/>
  <c r="M71" i="21" s="1"/>
  <c r="L71" i="21" a="1"/>
  <c r="L71" i="21" s="1"/>
  <c r="O71" i="21" a="1"/>
  <c r="O71" i="21" s="1"/>
  <c r="H71" i="21" a="1"/>
  <c r="H71" i="21" s="1"/>
  <c r="F71" i="21" a="1"/>
  <c r="F71" i="21" s="1"/>
  <c r="L72" i="21" a="1"/>
  <c r="L72" i="21" s="1"/>
  <c r="O72" i="21" a="1"/>
  <c r="O72" i="21" s="1"/>
  <c r="J72" i="21" a="1"/>
  <c r="J72" i="21" s="1"/>
  <c r="H72" i="21" a="1"/>
  <c r="H72" i="21" s="1"/>
  <c r="M72" i="21" a="1"/>
  <c r="M72" i="21" s="1"/>
  <c r="F72" i="21" a="1"/>
  <c r="F72" i="21" s="1"/>
  <c r="D72" i="21" a="1"/>
  <c r="D72" i="21" s="1"/>
  <c r="H73" i="21" a="1"/>
  <c r="H73" i="21" s="1"/>
  <c r="L73" i="21" a="1"/>
  <c r="L73" i="21" s="1"/>
  <c r="O73" i="21" a="1"/>
  <c r="O73" i="21" s="1"/>
  <c r="M73" i="21" a="1"/>
  <c r="M73" i="21" s="1"/>
  <c r="F73" i="21" a="1"/>
  <c r="F73" i="21" s="1"/>
  <c r="J73" i="21" a="1"/>
  <c r="J73" i="21" s="1"/>
  <c r="D73" i="21" a="1"/>
  <c r="D73" i="21" s="1"/>
  <c r="F74" i="21" a="1"/>
  <c r="F74" i="21" s="1"/>
  <c r="O74" i="21" a="1"/>
  <c r="O74" i="21" s="1"/>
  <c r="D74" i="21" a="1"/>
  <c r="D74" i="21" s="1"/>
  <c r="L74" i="21" a="1"/>
  <c r="L74" i="21" s="1"/>
  <c r="J74" i="21" a="1"/>
  <c r="J74" i="21" s="1"/>
  <c r="H74" i="21" a="1"/>
  <c r="H74" i="21" s="1"/>
  <c r="M74" i="21" a="1"/>
  <c r="M74" i="21" s="1"/>
  <c r="D75" i="21" a="1"/>
  <c r="D75" i="21" s="1"/>
  <c r="L75" i="21" a="1"/>
  <c r="L75" i="21" s="1"/>
  <c r="H75" i="21" a="1"/>
  <c r="H75" i="21" s="1"/>
  <c r="M75" i="21" a="1"/>
  <c r="M75" i="21" s="1"/>
  <c r="O75" i="21" a="1"/>
  <c r="O75" i="21" s="1"/>
  <c r="J75" i="21" a="1"/>
  <c r="J75" i="21" s="1"/>
  <c r="F75" i="21" a="1"/>
  <c r="F75" i="21" s="1"/>
  <c r="L76" i="21" a="1"/>
  <c r="L76" i="21" s="1"/>
  <c r="F76" i="21" a="1"/>
  <c r="F76" i="21" s="1"/>
  <c r="M76" i="21" a="1"/>
  <c r="M76" i="21" s="1"/>
  <c r="J76" i="21" a="1"/>
  <c r="J76" i="21" s="1"/>
  <c r="O76" i="21" a="1"/>
  <c r="O76" i="21" s="1"/>
  <c r="D76" i="21" a="1"/>
  <c r="D76" i="21" s="1"/>
  <c r="H76" i="21" a="1"/>
  <c r="H76" i="21" s="1"/>
  <c r="H77" i="21" a="1"/>
  <c r="H77" i="21" s="1"/>
  <c r="M77" i="21" a="1"/>
  <c r="M77" i="21" s="1"/>
  <c r="O77" i="21" a="1"/>
  <c r="O77" i="21" s="1"/>
  <c r="L77" i="21" a="1"/>
  <c r="L77" i="21" s="1"/>
  <c r="J77" i="21" a="1"/>
  <c r="J77" i="21" s="1"/>
  <c r="D77" i="21" a="1"/>
  <c r="D77" i="21" s="1"/>
  <c r="F77" i="21" a="1"/>
  <c r="F77" i="21" s="1"/>
  <c r="J78" i="21" a="1"/>
  <c r="J78" i="21" s="1"/>
  <c r="M78" i="21" a="1"/>
  <c r="M78" i="21" s="1"/>
  <c r="O78" i="21" a="1"/>
  <c r="O78" i="21" s="1"/>
  <c r="F78" i="21" a="1"/>
  <c r="F78" i="21" s="1"/>
  <c r="L78" i="21" a="1"/>
  <c r="L78" i="21" s="1"/>
  <c r="D78" i="21" a="1"/>
  <c r="D78" i="21" s="1"/>
  <c r="H78" i="21" a="1"/>
  <c r="H78" i="21" s="1"/>
  <c r="O79" i="21" a="1"/>
  <c r="O79" i="21" s="1"/>
  <c r="D79" i="21" a="1"/>
  <c r="D79" i="21" s="1"/>
  <c r="L79" i="21" a="1"/>
  <c r="L79" i="21" s="1"/>
  <c r="M79" i="21" a="1"/>
  <c r="M79" i="21" s="1"/>
  <c r="J79" i="21" a="1"/>
  <c r="J79" i="21" s="1"/>
  <c r="H79" i="21" a="1"/>
  <c r="H79" i="21" s="1"/>
  <c r="F79" i="21" a="1"/>
  <c r="F79" i="21" s="1"/>
  <c r="M80" i="21" a="1"/>
  <c r="M80" i="21" s="1"/>
  <c r="O80" i="21" a="1"/>
  <c r="O80" i="21" s="1"/>
  <c r="J80" i="21" a="1"/>
  <c r="J80" i="21" s="1"/>
  <c r="F80" i="21" a="1"/>
  <c r="F80" i="21" s="1"/>
  <c r="H80" i="21" a="1"/>
  <c r="H80" i="21" s="1"/>
  <c r="L80" i="21" a="1"/>
  <c r="L80" i="21" s="1"/>
  <c r="D80" i="21" a="1"/>
  <c r="D80" i="21" s="1"/>
  <c r="H81" i="21" a="1"/>
  <c r="H81" i="21" s="1"/>
  <c r="F81" i="21" a="1"/>
  <c r="F81" i="21" s="1"/>
  <c r="O81" i="21" a="1"/>
  <c r="O81" i="21" s="1"/>
  <c r="M81" i="21" a="1"/>
  <c r="M81" i="21" s="1"/>
  <c r="D81" i="21" a="1"/>
  <c r="D81" i="21" s="1"/>
  <c r="J81" i="21" a="1"/>
  <c r="J81" i="21" s="1"/>
  <c r="L81" i="21" a="1"/>
  <c r="L81" i="21" s="1"/>
  <c r="L82" i="21" a="1"/>
  <c r="L82" i="21" s="1"/>
  <c r="M82" i="21" a="1"/>
  <c r="M82" i="21" s="1"/>
  <c r="F82" i="21" a="1"/>
  <c r="F82" i="21" s="1"/>
  <c r="O82" i="21" a="1"/>
  <c r="O82" i="21" s="1"/>
  <c r="D82" i="21" a="1"/>
  <c r="D82" i="21" s="1"/>
  <c r="H82" i="21" a="1"/>
  <c r="H82" i="21" s="1"/>
  <c r="J82" i="21" a="1"/>
  <c r="J82" i="21" s="1"/>
  <c r="M83" i="21" a="1"/>
  <c r="M83" i="21" s="1"/>
  <c r="O83" i="21" a="1"/>
  <c r="O83" i="21" s="1"/>
  <c r="D83" i="21" a="1"/>
  <c r="D83" i="21" s="1"/>
  <c r="J83" i="21" a="1"/>
  <c r="J83" i="21" s="1"/>
  <c r="H83" i="21" a="1"/>
  <c r="H83" i="21" s="1"/>
  <c r="L83" i="21" a="1"/>
  <c r="L83" i="21" s="1"/>
  <c r="F83" i="21" a="1"/>
  <c r="F83" i="21" s="1"/>
  <c r="J84" i="21" a="1"/>
  <c r="J84" i="21" s="1"/>
  <c r="O84" i="21" a="1"/>
  <c r="O84" i="21" s="1"/>
  <c r="M84" i="21" a="1"/>
  <c r="M84" i="21" s="1"/>
  <c r="D84" i="21" a="1"/>
  <c r="D84" i="21" s="1"/>
  <c r="H84" i="21" a="1"/>
  <c r="H84" i="21" s="1"/>
  <c r="F84" i="21" a="1"/>
  <c r="F84" i="21" s="1"/>
  <c r="L84" i="21" a="1"/>
  <c r="L84" i="21" s="1"/>
  <c r="L85" i="21" a="1"/>
  <c r="L85" i="21" s="1"/>
  <c r="F85" i="21" a="1"/>
  <c r="F85" i="21" s="1"/>
  <c r="O85" i="21" a="1"/>
  <c r="O85" i="21" s="1"/>
  <c r="M85" i="21" a="1"/>
  <c r="M85" i="21" s="1"/>
  <c r="J85" i="21" a="1"/>
  <c r="J85" i="21" s="1"/>
  <c r="D85" i="21" a="1"/>
  <c r="D85" i="21" s="1"/>
  <c r="H85" i="21" a="1"/>
  <c r="H85" i="21" s="1"/>
  <c r="J86" i="21" a="1"/>
  <c r="J86" i="21" s="1"/>
  <c r="D86" i="21" a="1"/>
  <c r="D86" i="21" s="1"/>
  <c r="L86" i="21" a="1"/>
  <c r="L86" i="21" s="1"/>
  <c r="F86" i="21" a="1"/>
  <c r="F86" i="21" s="1"/>
  <c r="O86" i="21" a="1"/>
  <c r="O86" i="21" s="1"/>
  <c r="H86" i="21" a="1"/>
  <c r="H86" i="21" s="1"/>
  <c r="M86" i="21" a="1"/>
  <c r="M86" i="21" s="1"/>
  <c r="O87" i="21" a="1"/>
  <c r="O87" i="21" s="1"/>
  <c r="L87" i="21" a="1"/>
  <c r="L87" i="21" s="1"/>
  <c r="J87" i="21" a="1"/>
  <c r="J87" i="21" s="1"/>
  <c r="F87" i="21" a="1"/>
  <c r="F87" i="21" s="1"/>
  <c r="M87" i="21" a="1"/>
  <c r="M87" i="21" s="1"/>
  <c r="H87" i="21" a="1"/>
  <c r="H87" i="21" s="1"/>
  <c r="D87" i="21" a="1"/>
  <c r="D87" i="21" s="1"/>
  <c r="M88" i="21" a="1"/>
  <c r="M88" i="21" s="1"/>
  <c r="F88" i="21" a="1"/>
  <c r="F88" i="21" s="1"/>
  <c r="O88" i="21" a="1"/>
  <c r="O88" i="21" s="1"/>
  <c r="L88" i="21" a="1"/>
  <c r="L88" i="21" s="1"/>
  <c r="D88" i="21" a="1"/>
  <c r="D88" i="21" s="1"/>
  <c r="H88" i="21" a="1"/>
  <c r="H88" i="21" s="1"/>
  <c r="J88" i="21" a="1"/>
  <c r="J88" i="21" s="1"/>
  <c r="H89" i="21" a="1"/>
  <c r="H89" i="21" s="1"/>
  <c r="M89" i="21" a="1"/>
  <c r="M89" i="21" s="1"/>
  <c r="O89" i="21" a="1"/>
  <c r="O89" i="21" s="1"/>
  <c r="L89" i="21" a="1"/>
  <c r="L89" i="21" s="1"/>
  <c r="F89" i="21" a="1"/>
  <c r="F89" i="21" s="1"/>
  <c r="J89" i="21" a="1"/>
  <c r="J89" i="21" s="1"/>
  <c r="D89" i="21" a="1"/>
  <c r="D89" i="21" s="1"/>
  <c r="L90" i="21" a="1"/>
  <c r="L90" i="21" s="1"/>
  <c r="F90" i="21" a="1"/>
  <c r="F90" i="21" s="1"/>
  <c r="O90" i="21" a="1"/>
  <c r="O90" i="21" s="1"/>
  <c r="D90" i="21" a="1"/>
  <c r="D90" i="21" s="1"/>
  <c r="H90" i="21" a="1"/>
  <c r="H90" i="21" s="1"/>
  <c r="J90" i="21" a="1"/>
  <c r="J90" i="21" s="1"/>
  <c r="M90" i="21" a="1"/>
  <c r="M90" i="21" s="1"/>
  <c r="M91" i="21" a="1"/>
  <c r="M91" i="21" s="1"/>
  <c r="O91" i="21" a="1"/>
  <c r="O91" i="21" s="1"/>
  <c r="H91" i="21" a="1"/>
  <c r="H91" i="21" s="1"/>
  <c r="L91" i="21" a="1"/>
  <c r="L91" i="21" s="1"/>
  <c r="J91" i="21" a="1"/>
  <c r="J91" i="21" s="1"/>
  <c r="F91" i="21" a="1"/>
  <c r="F91" i="21" s="1"/>
  <c r="D91" i="21" a="1"/>
  <c r="D91" i="21" s="1"/>
  <c r="O92" i="21" a="1"/>
  <c r="O92" i="21" s="1"/>
  <c r="L92" i="21" a="1"/>
  <c r="L92" i="21" s="1"/>
  <c r="F92" i="21" a="1"/>
  <c r="F92" i="21" s="1"/>
  <c r="D92" i="21" a="1"/>
  <c r="D92" i="21" s="1"/>
  <c r="H92" i="21" a="1"/>
  <c r="H92" i="21" s="1"/>
  <c r="M92" i="21" a="1"/>
  <c r="M92" i="21" s="1"/>
  <c r="J92" i="21" a="1"/>
  <c r="J92" i="21" s="1"/>
  <c r="D93" i="21" a="1"/>
  <c r="D93" i="21" s="1"/>
  <c r="O93" i="21" a="1"/>
  <c r="O93" i="21" s="1"/>
  <c r="M93" i="21" a="1"/>
  <c r="M93" i="21" s="1"/>
  <c r="L93" i="21" a="1"/>
  <c r="L93" i="21" s="1"/>
  <c r="J93" i="21" a="1"/>
  <c r="J93" i="21" s="1"/>
  <c r="H93" i="21" a="1"/>
  <c r="H93" i="21" s="1"/>
  <c r="F93" i="21" a="1"/>
  <c r="F93" i="21" s="1"/>
  <c r="O94" i="21" a="1"/>
  <c r="O94" i="21" s="1"/>
  <c r="L94" i="21" a="1"/>
  <c r="L94" i="21" s="1"/>
  <c r="F94" i="21" a="1"/>
  <c r="F94" i="21" s="1"/>
  <c r="M94" i="21" a="1"/>
  <c r="M94" i="21" s="1"/>
  <c r="J94" i="21" a="1"/>
  <c r="J94" i="21" s="1"/>
  <c r="H94" i="21" a="1"/>
  <c r="H94" i="21" s="1"/>
  <c r="D94" i="21" a="1"/>
  <c r="D94" i="21" s="1"/>
  <c r="F95" i="21" a="1"/>
  <c r="F95" i="21" s="1"/>
  <c r="H95" i="21" a="1"/>
  <c r="H95" i="21" s="1"/>
  <c r="O95" i="21" a="1"/>
  <c r="O95" i="21" s="1"/>
  <c r="M95" i="21" a="1"/>
  <c r="M95" i="21" s="1"/>
  <c r="L95" i="21" a="1"/>
  <c r="L95" i="21" s="1"/>
  <c r="J95" i="21" a="1"/>
  <c r="J95" i="21" s="1"/>
  <c r="D95" i="21" a="1"/>
  <c r="D95" i="21" s="1"/>
  <c r="H96" i="21" a="1"/>
  <c r="H96" i="21" s="1"/>
  <c r="F96" i="21" a="1"/>
  <c r="F96" i="21" s="1"/>
  <c r="D96" i="21" a="1"/>
  <c r="D96" i="21" s="1"/>
  <c r="J96" i="21" a="1"/>
  <c r="J96" i="21" s="1"/>
  <c r="L96" i="21" a="1"/>
  <c r="L96" i="21" s="1"/>
  <c r="M96" i="21" a="1"/>
  <c r="M96" i="21" s="1"/>
  <c r="O96" i="21" a="1"/>
  <c r="O96" i="21" s="1"/>
  <c r="D97" i="21" a="1"/>
  <c r="D97" i="21" s="1"/>
  <c r="F97" i="21" a="1"/>
  <c r="F97" i="21" s="1"/>
  <c r="H97" i="21" a="1"/>
  <c r="H97" i="21" s="1"/>
  <c r="J97" i="21" a="1"/>
  <c r="J97" i="21" s="1"/>
  <c r="L97" i="21" a="1"/>
  <c r="L97" i="21" s="1"/>
  <c r="M97" i="21" a="1"/>
  <c r="M97" i="21" s="1"/>
  <c r="O97" i="21" a="1"/>
  <c r="O97" i="21" s="1"/>
  <c r="L98" i="21" a="1"/>
  <c r="L98" i="21" s="1"/>
  <c r="J98" i="21" a="1"/>
  <c r="J98" i="21" s="1"/>
  <c r="H98" i="21" a="1"/>
  <c r="H98" i="21" s="1"/>
  <c r="M98" i="21" a="1"/>
  <c r="M98" i="21" s="1"/>
  <c r="O98" i="21" a="1"/>
  <c r="O98" i="21" s="1"/>
  <c r="F98" i="21" a="1"/>
  <c r="F98" i="21" s="1"/>
  <c r="D98" i="21" a="1"/>
  <c r="D98" i="21" s="1"/>
  <c r="J99" i="21" a="1"/>
  <c r="J99" i="21" s="1"/>
  <c r="H99" i="21" a="1"/>
  <c r="H99" i="21" s="1"/>
  <c r="F99" i="21" a="1"/>
  <c r="F99" i="21" s="1"/>
  <c r="D99" i="21" a="1"/>
  <c r="D99" i="21" s="1"/>
  <c r="O99" i="21" a="1"/>
  <c r="O99" i="21" s="1"/>
  <c r="M99" i="21" a="1"/>
  <c r="M99" i="21" s="1"/>
  <c r="L99" i="21" a="1"/>
  <c r="L99" i="21" s="1"/>
  <c r="J100" i="21" a="1"/>
  <c r="J100" i="21" s="1"/>
  <c r="L100" i="21" a="1"/>
  <c r="L100" i="21" s="1"/>
  <c r="M100" i="21" a="1"/>
  <c r="M100" i="21" s="1"/>
  <c r="O100" i="21" a="1"/>
  <c r="O100" i="21" s="1"/>
  <c r="H100" i="21" a="1"/>
  <c r="H100" i="21" s="1"/>
  <c r="F100" i="21" a="1"/>
  <c r="F100" i="21" s="1"/>
  <c r="D100" i="21" a="1"/>
  <c r="D100" i="21" s="1"/>
  <c r="D101" i="21" a="1"/>
  <c r="D101" i="21" s="1"/>
  <c r="F101" i="21" a="1"/>
  <c r="F101" i="21" s="1"/>
  <c r="J101" i="21" a="1"/>
  <c r="J101" i="21" s="1"/>
  <c r="L101" i="21" a="1"/>
  <c r="L101" i="21" s="1"/>
  <c r="M101" i="21" a="1"/>
  <c r="M101" i="21" s="1"/>
  <c r="O101" i="21" a="1"/>
  <c r="O101" i="21" s="1"/>
  <c r="H101" i="21" a="1"/>
  <c r="H101" i="21" s="1"/>
  <c r="H102" i="21" a="1"/>
  <c r="H102" i="21" s="1"/>
  <c r="F102" i="21" a="1"/>
  <c r="F102" i="21" s="1"/>
  <c r="D102" i="21" a="1"/>
  <c r="D102" i="21" s="1"/>
  <c r="O102" i="21" a="1"/>
  <c r="O102" i="21" s="1"/>
  <c r="J102" i="21" a="1"/>
  <c r="J102" i="21" s="1"/>
  <c r="M102" i="21" a="1"/>
  <c r="M102" i="21" s="1"/>
  <c r="L102" i="21" a="1"/>
  <c r="L102" i="21" s="1"/>
  <c r="D103" i="21" a="1"/>
  <c r="D103" i="21" s="1"/>
  <c r="F103" i="21" a="1"/>
  <c r="F103" i="21" s="1"/>
  <c r="H103" i="21" a="1"/>
  <c r="H103" i="21" s="1"/>
  <c r="J103" i="21" a="1"/>
  <c r="J103" i="21" s="1"/>
  <c r="L103" i="21" a="1"/>
  <c r="L103" i="21" s="1"/>
  <c r="M103" i="21" a="1"/>
  <c r="M103" i="21" s="1"/>
  <c r="O103" i="21" a="1"/>
  <c r="O103" i="21" s="1"/>
  <c r="D104" i="21" a="1"/>
  <c r="D104" i="21" s="1"/>
  <c r="F104" i="21" a="1"/>
  <c r="F104" i="21" s="1"/>
  <c r="H104" i="21" a="1"/>
  <c r="H104" i="21" s="1"/>
  <c r="J104" i="21" a="1"/>
  <c r="J104" i="21" s="1"/>
  <c r="L104" i="21" a="1"/>
  <c r="L104" i="21" s="1"/>
  <c r="M104" i="21" a="1"/>
  <c r="M104" i="21" s="1"/>
  <c r="O104" i="21" a="1"/>
  <c r="O104" i="21" s="1"/>
  <c r="O105" i="21" a="1"/>
  <c r="O105" i="21" s="1"/>
  <c r="D105" i="21" a="1"/>
  <c r="D105" i="21" s="1"/>
  <c r="F105" i="21" a="1"/>
  <c r="F105" i="21" s="1"/>
  <c r="H105" i="21" a="1"/>
  <c r="H105" i="21" s="1"/>
  <c r="J105" i="21" a="1"/>
  <c r="J105" i="21" s="1"/>
  <c r="L105" i="21" a="1"/>
  <c r="L105" i="21" s="1"/>
  <c r="M105" i="21" a="1"/>
  <c r="M105" i="21" s="1"/>
  <c r="M106" i="21" a="1"/>
  <c r="M106" i="21" s="1"/>
  <c r="J106" i="21" a="1"/>
  <c r="J106" i="21" s="1"/>
  <c r="H106" i="21" a="1"/>
  <c r="H106" i="21" s="1"/>
  <c r="F106" i="21" a="1"/>
  <c r="F106" i="21" s="1"/>
  <c r="D106" i="21" a="1"/>
  <c r="D106" i="21" s="1"/>
  <c r="O106" i="21" a="1"/>
  <c r="O106" i="21" s="1"/>
  <c r="L106" i="21" a="1"/>
  <c r="L106" i="21" s="1"/>
  <c r="O107" i="21" a="1"/>
  <c r="O107" i="21" s="1"/>
  <c r="D107" i="21" a="1"/>
  <c r="D107" i="21" s="1"/>
  <c r="F107" i="21" a="1"/>
  <c r="F107" i="21" s="1"/>
  <c r="H107" i="21" a="1"/>
  <c r="H107" i="21" s="1"/>
  <c r="J107" i="21" a="1"/>
  <c r="J107" i="21" s="1"/>
  <c r="L107" i="21" a="1"/>
  <c r="L107" i="21" s="1"/>
  <c r="M107" i="21" a="1"/>
  <c r="M107" i="21" s="1"/>
  <c r="H108" i="21" a="1"/>
  <c r="H108" i="21" s="1"/>
  <c r="D108" i="21" a="1"/>
  <c r="D108" i="21" s="1"/>
  <c r="F108" i="21" a="1"/>
  <c r="F108" i="21" s="1"/>
  <c r="J108" i="21" a="1"/>
  <c r="J108" i="21" s="1"/>
  <c r="L108" i="21" a="1"/>
  <c r="L108" i="21" s="1"/>
  <c r="M108" i="21" a="1"/>
  <c r="M108" i="21" s="1"/>
  <c r="O108" i="21" a="1"/>
  <c r="O108" i="21" s="1"/>
  <c r="D109" i="21" a="1"/>
  <c r="D109" i="21" s="1"/>
  <c r="F109" i="21" a="1"/>
  <c r="F109" i="21" s="1"/>
  <c r="H109" i="21" a="1"/>
  <c r="H109" i="21" s="1"/>
  <c r="J109" i="21" a="1"/>
  <c r="J109" i="21" s="1"/>
  <c r="L109" i="21" a="1"/>
  <c r="L109" i="21" s="1"/>
  <c r="M109" i="21" a="1"/>
  <c r="M109" i="21" s="1"/>
  <c r="O109" i="21" a="1"/>
  <c r="O109" i="21" s="1"/>
  <c r="O110" i="21" a="1"/>
  <c r="O110" i="21" s="1"/>
  <c r="D110" i="21" a="1"/>
  <c r="D110" i="21" s="1"/>
  <c r="F110" i="21" a="1"/>
  <c r="F110" i="21" s="1"/>
  <c r="H110" i="21" a="1"/>
  <c r="H110" i="21" s="1"/>
  <c r="J110" i="21" a="1"/>
  <c r="J110" i="21" s="1"/>
  <c r="L110" i="21" a="1"/>
  <c r="L110" i="21" s="1"/>
  <c r="M110" i="21" a="1"/>
  <c r="M110" i="21" s="1"/>
  <c r="O111" i="21" a="1"/>
  <c r="O111" i="21" s="1"/>
  <c r="D111" i="21" a="1"/>
  <c r="D111" i="21" s="1"/>
  <c r="F111" i="21" a="1"/>
  <c r="F111" i="21" s="1"/>
  <c r="H111" i="21" a="1"/>
  <c r="H111" i="21" s="1"/>
  <c r="J111" i="21" a="1"/>
  <c r="J111" i="21" s="1"/>
  <c r="L111" i="21" a="1"/>
  <c r="L111" i="21" s="1"/>
  <c r="M111" i="21" a="1"/>
  <c r="M111" i="21" s="1"/>
  <c r="O112" i="21" a="1"/>
  <c r="O112" i="21" s="1"/>
  <c r="D112" i="21" a="1"/>
  <c r="D112" i="21" s="1"/>
  <c r="F112" i="21" a="1"/>
  <c r="F112" i="21" s="1"/>
  <c r="H112" i="21" a="1"/>
  <c r="H112" i="21" s="1"/>
  <c r="J112" i="21" a="1"/>
  <c r="J112" i="21" s="1"/>
  <c r="L112" i="21" a="1"/>
  <c r="L112" i="21" s="1"/>
  <c r="M112" i="21" a="1"/>
  <c r="M112" i="21" s="1"/>
  <c r="D113" i="21" a="1"/>
  <c r="D113" i="21" s="1"/>
  <c r="F113" i="21" a="1"/>
  <c r="F113" i="21" s="1"/>
  <c r="H113" i="21" a="1"/>
  <c r="H113" i="21" s="1"/>
  <c r="J113" i="21" a="1"/>
  <c r="J113" i="21" s="1"/>
  <c r="L113" i="21" a="1"/>
  <c r="L113" i="21" s="1"/>
  <c r="M113" i="21" a="1"/>
  <c r="M113" i="21" s="1"/>
  <c r="O113" i="21" a="1"/>
  <c r="O113" i="21" s="1"/>
  <c r="O114" i="21" a="1"/>
  <c r="O114" i="21" s="1"/>
  <c r="D114" i="21" a="1"/>
  <c r="D114" i="21" s="1"/>
  <c r="F114" i="21" a="1"/>
  <c r="F114" i="21" s="1"/>
  <c r="H114" i="21" a="1"/>
  <c r="H114" i="21" s="1"/>
  <c r="J114" i="21" a="1"/>
  <c r="J114" i="21" s="1"/>
  <c r="L114" i="21" a="1"/>
  <c r="L114" i="21" s="1"/>
  <c r="M114" i="21" a="1"/>
  <c r="M114" i="21" s="1"/>
  <c r="H115" i="21" a="1"/>
  <c r="H115" i="21" s="1"/>
  <c r="D115" i="21" a="1"/>
  <c r="D115" i="21" s="1"/>
  <c r="F115" i="21" a="1"/>
  <c r="F115" i="21" s="1"/>
  <c r="J115" i="21" a="1"/>
  <c r="J115" i="21" s="1"/>
  <c r="L115" i="21" a="1"/>
  <c r="L115" i="21" s="1"/>
  <c r="M115" i="21" a="1"/>
  <c r="M115" i="21" s="1"/>
  <c r="O115" i="21" a="1"/>
  <c r="O115" i="21" s="1"/>
  <c r="O116" i="21" a="1"/>
  <c r="O116" i="21" s="1"/>
  <c r="D116" i="21" a="1"/>
  <c r="D116" i="21" s="1"/>
  <c r="F116" i="21" a="1"/>
  <c r="F116" i="21" s="1"/>
  <c r="H116" i="21" a="1"/>
  <c r="H116" i="21" s="1"/>
  <c r="J116" i="21" a="1"/>
  <c r="J116" i="21" s="1"/>
  <c r="L116" i="21" a="1"/>
  <c r="L116" i="21" s="1"/>
  <c r="M116" i="21" a="1"/>
  <c r="M116" i="21" s="1"/>
  <c r="D117" i="21" a="1"/>
  <c r="D117" i="21" s="1"/>
  <c r="F117" i="21" a="1"/>
  <c r="F117" i="21" s="1"/>
  <c r="H117" i="21" a="1"/>
  <c r="H117" i="21" s="1"/>
  <c r="J117" i="21" a="1"/>
  <c r="J117" i="21" s="1"/>
  <c r="L117" i="21" a="1"/>
  <c r="L117" i="21" s="1"/>
  <c r="M117" i="21" a="1"/>
  <c r="M117" i="21" s="1"/>
  <c r="O117" i="21" a="1"/>
  <c r="O117" i="21" s="1"/>
  <c r="D118" i="21" a="1"/>
  <c r="D118" i="21" s="1"/>
  <c r="F118" i="21" a="1"/>
  <c r="F118" i="21" s="1"/>
  <c r="H118" i="21" a="1"/>
  <c r="H118" i="21" s="1"/>
  <c r="J118" i="21" a="1"/>
  <c r="J118" i="21" s="1"/>
  <c r="L118" i="21" a="1"/>
  <c r="L118" i="21" s="1"/>
  <c r="M118" i="21" a="1"/>
  <c r="M118" i="21" s="1"/>
  <c r="O118" i="21" a="1"/>
  <c r="O118" i="21" s="1"/>
  <c r="D119" i="21" a="1"/>
  <c r="D119" i="21" s="1"/>
  <c r="F119" i="21" a="1"/>
  <c r="F119" i="21" s="1"/>
  <c r="H119" i="21" a="1"/>
  <c r="H119" i="21" s="1"/>
  <c r="J119" i="21" a="1"/>
  <c r="J119" i="21" s="1"/>
  <c r="L119" i="21" a="1"/>
  <c r="L119" i="21" s="1"/>
  <c r="M119" i="21" a="1"/>
  <c r="M119" i="21" s="1"/>
  <c r="O119" i="21" a="1"/>
  <c r="O119" i="21" s="1"/>
  <c r="O120" i="21" a="1"/>
  <c r="O120" i="21" s="1"/>
  <c r="D120" i="21" a="1"/>
  <c r="D120" i="21" s="1"/>
  <c r="F120" i="21" a="1"/>
  <c r="F120" i="21" s="1"/>
  <c r="H120" i="21" a="1"/>
  <c r="H120" i="21" s="1"/>
  <c r="J120" i="21" a="1"/>
  <c r="J120" i="21" s="1"/>
  <c r="L120" i="21" a="1"/>
  <c r="L120" i="21" s="1"/>
  <c r="M120" i="21" a="1"/>
  <c r="M120" i="21" s="1"/>
  <c r="J121" i="21" a="1"/>
  <c r="J121" i="21" s="1"/>
  <c r="D121" i="21" a="1"/>
  <c r="D121" i="21" s="1"/>
  <c r="F121" i="21" a="1"/>
  <c r="F121" i="21" s="1"/>
  <c r="H121" i="21" a="1"/>
  <c r="H121" i="21" s="1"/>
  <c r="L121" i="21" a="1"/>
  <c r="L121" i="21" s="1"/>
  <c r="M121" i="21" a="1"/>
  <c r="M121" i="21" s="1"/>
  <c r="O121" i="21" a="1"/>
  <c r="O121" i="21" s="1"/>
  <c r="D122" i="21" a="1"/>
  <c r="D122" i="21" s="1"/>
  <c r="F122" i="21" a="1"/>
  <c r="F122" i="21" s="1"/>
  <c r="H122" i="21" a="1"/>
  <c r="H122" i="21" s="1"/>
  <c r="J122" i="21" a="1"/>
  <c r="J122" i="21" s="1"/>
  <c r="L122" i="21" a="1"/>
  <c r="L122" i="21" s="1"/>
  <c r="M122" i="21" a="1"/>
  <c r="M122" i="21" s="1"/>
  <c r="O122" i="21" a="1"/>
  <c r="O122" i="21" s="1"/>
  <c r="D123" i="21" a="1"/>
  <c r="D123" i="21" s="1"/>
  <c r="F123" i="21" a="1"/>
  <c r="F123" i="21" s="1"/>
  <c r="H123" i="21" a="1"/>
  <c r="H123" i="21" s="1"/>
  <c r="J123" i="21" a="1"/>
  <c r="J123" i="21" s="1"/>
  <c r="L123" i="21" a="1"/>
  <c r="L123" i="21" s="1"/>
  <c r="M123" i="21" a="1"/>
  <c r="M123" i="21" s="1"/>
  <c r="O123" i="21" a="1"/>
  <c r="O123" i="21" s="1"/>
  <c r="D124" i="21" a="1"/>
  <c r="D124" i="21" s="1"/>
  <c r="H124" i="21" a="1"/>
  <c r="H124" i="21" s="1"/>
  <c r="J124" i="21" a="1"/>
  <c r="J124" i="21" s="1"/>
  <c r="F124" i="21" a="1"/>
  <c r="F124" i="21" s="1"/>
  <c r="L124" i="21" a="1"/>
  <c r="L124" i="21" s="1"/>
  <c r="O124" i="21" a="1"/>
  <c r="O124" i="21" s="1"/>
  <c r="M124" i="21" a="1"/>
  <c r="M124" i="21" s="1"/>
  <c r="F125" i="21" a="1"/>
  <c r="F125" i="21" s="1"/>
  <c r="H125" i="21" a="1"/>
  <c r="H125" i="21" s="1"/>
  <c r="O125" i="21" a="1"/>
  <c r="O125" i="21" s="1"/>
  <c r="D125" i="21" a="1"/>
  <c r="D125" i="21" s="1"/>
  <c r="L125" i="21" a="1"/>
  <c r="L125" i="21" s="1"/>
  <c r="M125" i="21" a="1"/>
  <c r="M125" i="21" s="1"/>
  <c r="J125" i="21" a="1"/>
  <c r="J125" i="21" s="1"/>
  <c r="D126" i="21" a="1"/>
  <c r="D126" i="21" s="1"/>
  <c r="H126" i="21" a="1"/>
  <c r="H126" i="21" s="1"/>
  <c r="J126" i="21" a="1"/>
  <c r="J126" i="21" s="1"/>
  <c r="O126" i="21" a="1"/>
  <c r="O126" i="21" s="1"/>
  <c r="L126" i="21" a="1"/>
  <c r="L126" i="21" s="1"/>
  <c r="F126" i="21" a="1"/>
  <c r="F126" i="21" s="1"/>
  <c r="M126" i="21" a="1"/>
  <c r="M126" i="21" s="1"/>
  <c r="M127" i="21" a="1"/>
  <c r="M127" i="21" s="1"/>
  <c r="D127" i="21" a="1"/>
  <c r="D127" i="21" s="1"/>
  <c r="H127" i="21" a="1"/>
  <c r="H127" i="21" s="1"/>
  <c r="F127" i="21" a="1"/>
  <c r="F127" i="21" s="1"/>
  <c r="O127" i="21" a="1"/>
  <c r="O127" i="21" s="1"/>
  <c r="L127" i="21" a="1"/>
  <c r="L127" i="21" s="1"/>
  <c r="J127" i="21" a="1"/>
  <c r="J127" i="21" s="1"/>
  <c r="L128" i="21" a="1"/>
  <c r="L128" i="21" s="1"/>
  <c r="M128" i="21" a="1"/>
  <c r="M128" i="21" s="1"/>
  <c r="O128" i="21" a="1"/>
  <c r="O128" i="21" s="1"/>
  <c r="D128" i="21" a="1"/>
  <c r="D128" i="21" s="1"/>
  <c r="H128" i="21" a="1"/>
  <c r="H128" i="21" s="1"/>
  <c r="J128" i="21" a="1"/>
  <c r="J128" i="21" s="1"/>
  <c r="F128" i="21" a="1"/>
  <c r="F128" i="21" s="1"/>
  <c r="H129" i="21" a="1"/>
  <c r="H129" i="21" s="1"/>
  <c r="D129" i="21" a="1"/>
  <c r="D129" i="21" s="1"/>
  <c r="L129" i="21" a="1"/>
  <c r="L129" i="21" s="1"/>
  <c r="F129" i="21" a="1"/>
  <c r="F129" i="21" s="1"/>
  <c r="M129" i="21" a="1"/>
  <c r="M129" i="21" s="1"/>
  <c r="J129" i="21" a="1"/>
  <c r="J129" i="21" s="1"/>
  <c r="O129" i="21" a="1"/>
  <c r="O129" i="21" s="1"/>
  <c r="M130" i="21" a="1"/>
  <c r="M130" i="21" s="1"/>
  <c r="J130" i="21" a="1"/>
  <c r="J130" i="21" s="1"/>
  <c r="F130" i="21" a="1"/>
  <c r="F130" i="21" s="1"/>
  <c r="L130" i="21" a="1"/>
  <c r="L130" i="21" s="1"/>
  <c r="D130" i="21" a="1"/>
  <c r="D130" i="21" s="1"/>
  <c r="O130" i="21" a="1"/>
  <c r="O130" i="21" s="1"/>
  <c r="H130" i="21" a="1"/>
  <c r="H130" i="21" s="1"/>
  <c r="L131" i="21" a="1"/>
  <c r="L131" i="21" s="1"/>
  <c r="H131" i="21" a="1"/>
  <c r="H131" i="21" s="1"/>
  <c r="D131" i="21" a="1"/>
  <c r="D131" i="21" s="1"/>
  <c r="J131" i="21" a="1"/>
  <c r="J131" i="21" s="1"/>
  <c r="M131" i="21" a="1"/>
  <c r="M131" i="21" s="1"/>
  <c r="F131" i="21" a="1"/>
  <c r="F131" i="21" s="1"/>
  <c r="O131" i="21" a="1"/>
  <c r="O131" i="21" s="1"/>
  <c r="F132" i="21" a="1"/>
  <c r="F132" i="21" s="1"/>
  <c r="H132" i="21" a="1"/>
  <c r="H132" i="21" s="1"/>
  <c r="M132" i="21" a="1"/>
  <c r="M132" i="21" s="1"/>
  <c r="J132" i="21" a="1"/>
  <c r="J132" i="21" s="1"/>
  <c r="D132" i="21" a="1"/>
  <c r="D132" i="21" s="1"/>
  <c r="O132" i="21" a="1"/>
  <c r="O132" i="21" s="1"/>
  <c r="L132" i="21" a="1"/>
  <c r="L132" i="21" s="1"/>
  <c r="O133" i="21" a="1"/>
  <c r="O133" i="21" s="1"/>
  <c r="J133" i="21" a="1"/>
  <c r="J133" i="21" s="1"/>
  <c r="M133" i="21" a="1"/>
  <c r="M133" i="21" s="1"/>
  <c r="H133" i="21" a="1"/>
  <c r="H133" i="21" s="1"/>
  <c r="L133" i="21" a="1"/>
  <c r="L133" i="21" s="1"/>
  <c r="F133" i="21" a="1"/>
  <c r="F133" i="21" s="1"/>
  <c r="D133" i="21" a="1"/>
  <c r="D133" i="21" s="1"/>
  <c r="D134" i="21" a="1"/>
  <c r="D134" i="21" s="1"/>
  <c r="L134" i="21" a="1"/>
  <c r="L134" i="21" s="1"/>
  <c r="H134" i="21" a="1"/>
  <c r="H134" i="21" s="1"/>
  <c r="M134" i="21" a="1"/>
  <c r="M134" i="21" s="1"/>
  <c r="J134" i="21" a="1"/>
  <c r="J134" i="21" s="1"/>
  <c r="O134" i="21" a="1"/>
  <c r="O134" i="21" s="1"/>
  <c r="F134" i="21" a="1"/>
  <c r="F134" i="21" s="1"/>
  <c r="M135" i="21" a="1"/>
  <c r="M135" i="21" s="1"/>
  <c r="F135" i="21" a="1"/>
  <c r="F135" i="21" s="1"/>
  <c r="O135" i="21" a="1"/>
  <c r="O135" i="21" s="1"/>
  <c r="J135" i="21" a="1"/>
  <c r="J135" i="21" s="1"/>
  <c r="L135" i="21" a="1"/>
  <c r="L135" i="21" s="1"/>
  <c r="D135" i="21" a="1"/>
  <c r="D135" i="21" s="1"/>
  <c r="H135" i="21" a="1"/>
  <c r="H135" i="21" s="1"/>
  <c r="L136" i="21" a="1"/>
  <c r="L136" i="21" s="1"/>
  <c r="F136" i="21" a="1"/>
  <c r="F136" i="21" s="1"/>
  <c r="M136" i="21" a="1"/>
  <c r="M136" i="21" s="1"/>
  <c r="D136" i="21" a="1"/>
  <c r="D136" i="21" s="1"/>
  <c r="H136" i="21" a="1"/>
  <c r="H136" i="21" s="1"/>
  <c r="O136" i="21" a="1"/>
  <c r="O136" i="21" s="1"/>
  <c r="J136" i="21" a="1"/>
  <c r="J136" i="21" s="1"/>
  <c r="O137" i="21" a="1"/>
  <c r="O137" i="21" s="1"/>
  <c r="J137" i="21" a="1"/>
  <c r="J137" i="21" s="1"/>
  <c r="D137" i="21" a="1"/>
  <c r="D137" i="21" s="1"/>
  <c r="F137" i="21" a="1"/>
  <c r="F137" i="21" s="1"/>
  <c r="L137" i="21" a="1"/>
  <c r="L137" i="21" s="1"/>
  <c r="H137" i="21" a="1"/>
  <c r="H137" i="21" s="1"/>
  <c r="M137" i="21" a="1"/>
  <c r="M137" i="21" s="1"/>
  <c r="M138" i="21" a="1"/>
  <c r="M138" i="21" s="1"/>
  <c r="O138" i="21" a="1"/>
  <c r="O138" i="21" s="1"/>
  <c r="H138" i="21" a="1"/>
  <c r="H138" i="21" s="1"/>
  <c r="D138" i="21" a="1"/>
  <c r="D138" i="21" s="1"/>
  <c r="J138" i="21" a="1"/>
  <c r="J138" i="21" s="1"/>
  <c r="F138" i="21" a="1"/>
  <c r="F138" i="21" s="1"/>
  <c r="L138" i="21" a="1"/>
  <c r="L138" i="21" s="1"/>
  <c r="O139" i="21" a="1"/>
  <c r="O139" i="21" s="1"/>
  <c r="M139" i="21" a="1"/>
  <c r="M139" i="21" s="1"/>
  <c r="L139" i="21" a="1"/>
  <c r="L139" i="21" s="1"/>
  <c r="J139" i="21" a="1"/>
  <c r="J139" i="21" s="1"/>
  <c r="H139" i="21" a="1"/>
  <c r="H139" i="21" s="1"/>
  <c r="F139" i="21" a="1"/>
  <c r="F139" i="21" s="1"/>
  <c r="D139" i="21" a="1"/>
  <c r="D139" i="21" s="1"/>
  <c r="O140" i="21" a="1"/>
  <c r="O140" i="21" s="1"/>
  <c r="D140" i="21" a="1"/>
  <c r="D140" i="21" s="1"/>
  <c r="F140" i="21" a="1"/>
  <c r="F140" i="21" s="1"/>
  <c r="H140" i="21" a="1"/>
  <c r="H140" i="21" s="1"/>
  <c r="J140" i="21" a="1"/>
  <c r="J140" i="21" s="1"/>
  <c r="L140" i="21" a="1"/>
  <c r="L140" i="21" s="1"/>
  <c r="M140" i="21" a="1"/>
  <c r="M140" i="21" s="1"/>
  <c r="O141" i="21" a="1"/>
  <c r="O141" i="21" s="1"/>
  <c r="D141" i="21" a="1"/>
  <c r="D141" i="21" s="1"/>
  <c r="F141" i="21" a="1"/>
  <c r="F141" i="21" s="1"/>
  <c r="H141" i="21" a="1"/>
  <c r="H141" i="21" s="1"/>
  <c r="J141" i="21" a="1"/>
  <c r="J141" i="21" s="1"/>
  <c r="L141" i="21" a="1"/>
  <c r="L141" i="21" s="1"/>
  <c r="M141" i="21" a="1"/>
  <c r="M141" i="21" s="1"/>
  <c r="D142" i="21" a="1"/>
  <c r="D142" i="21" s="1"/>
  <c r="F142" i="21" a="1"/>
  <c r="F142" i="21" s="1"/>
  <c r="M142" i="21" a="1"/>
  <c r="M142" i="21" s="1"/>
  <c r="H142" i="21" a="1"/>
  <c r="H142" i="21" s="1"/>
  <c r="J142" i="21" a="1"/>
  <c r="J142" i="21" s="1"/>
  <c r="L142" i="21" a="1"/>
  <c r="L142" i="21" s="1"/>
  <c r="O142" i="21" a="1"/>
  <c r="O142" i="21" s="1"/>
  <c r="O143" i="21" a="1"/>
  <c r="O143" i="21" s="1"/>
  <c r="M143" i="21" a="1"/>
  <c r="M143" i="21" s="1"/>
  <c r="L143" i="21" a="1"/>
  <c r="L143" i="21" s="1"/>
  <c r="J143" i="21" a="1"/>
  <c r="J143" i="21" s="1"/>
  <c r="H143" i="21" a="1"/>
  <c r="H143" i="21" s="1"/>
  <c r="F143" i="21" a="1"/>
  <c r="F143" i="21" s="1"/>
  <c r="D143" i="21" a="1"/>
  <c r="D143" i="21" s="1"/>
  <c r="O144" i="21" a="1"/>
  <c r="O144" i="21" s="1"/>
  <c r="M144" i="21" a="1"/>
  <c r="M144" i="21" s="1"/>
  <c r="J144" i="21" a="1"/>
  <c r="J144" i="21" s="1"/>
  <c r="D144" i="21" a="1"/>
  <c r="D144" i="21" s="1"/>
  <c r="L144" i="21" a="1"/>
  <c r="L144" i="21" s="1"/>
  <c r="H144" i="21" a="1"/>
  <c r="H144" i="21" s="1"/>
  <c r="F144" i="21" a="1"/>
  <c r="F144" i="21" s="1"/>
  <c r="D145" i="21" a="1"/>
  <c r="D145" i="21" s="1"/>
  <c r="F145" i="21" a="1"/>
  <c r="F145" i="21" s="1"/>
  <c r="H145" i="21" a="1"/>
  <c r="H145" i="21" s="1"/>
  <c r="J145" i="21" a="1"/>
  <c r="J145" i="21" s="1"/>
  <c r="L145" i="21" a="1"/>
  <c r="L145" i="21" s="1"/>
  <c r="M145" i="21" a="1"/>
  <c r="M145" i="21" s="1"/>
  <c r="O145" i="21" a="1"/>
  <c r="O145" i="21" s="1"/>
  <c r="F146" i="21" a="1"/>
  <c r="F146" i="21" s="1"/>
  <c r="L146" i="21" a="1"/>
  <c r="L146" i="21" s="1"/>
  <c r="M146" i="21" a="1"/>
  <c r="M146" i="21" s="1"/>
  <c r="O146" i="21" a="1"/>
  <c r="O146" i="21" s="1"/>
  <c r="J146" i="21" a="1"/>
  <c r="J146" i="21" s="1"/>
  <c r="H146" i="21" a="1"/>
  <c r="H146" i="21" s="1"/>
  <c r="D146" i="21" a="1"/>
  <c r="D146" i="21" s="1"/>
  <c r="O147" i="21" a="1"/>
  <c r="O147" i="21" s="1"/>
  <c r="D147" i="21" a="1"/>
  <c r="D147" i="21" s="1"/>
  <c r="F147" i="21" a="1"/>
  <c r="F147" i="21" s="1"/>
  <c r="H147" i="21" a="1"/>
  <c r="H147" i="21" s="1"/>
  <c r="J147" i="21" a="1"/>
  <c r="J147" i="21" s="1"/>
  <c r="L147" i="21" a="1"/>
  <c r="L147" i="21" s="1"/>
  <c r="M147" i="21" a="1"/>
  <c r="M147" i="21" s="1"/>
  <c r="F148" i="21" a="1"/>
  <c r="F148" i="21" s="1"/>
  <c r="H148" i="21" a="1"/>
  <c r="H148" i="21" s="1"/>
  <c r="J148" i="21" a="1"/>
  <c r="J148" i="21" s="1"/>
  <c r="L148" i="21" a="1"/>
  <c r="L148" i="21" s="1"/>
  <c r="M148" i="21" a="1"/>
  <c r="M148" i="21" s="1"/>
  <c r="O148" i="21" a="1"/>
  <c r="O148" i="21" s="1"/>
  <c r="D148" i="21" a="1"/>
  <c r="D148" i="21" s="1"/>
  <c r="D149" i="21" a="1"/>
  <c r="D149" i="21" s="1"/>
  <c r="F149" i="21" a="1"/>
  <c r="F149" i="21" s="1"/>
  <c r="H149" i="21" a="1"/>
  <c r="H149" i="21" s="1"/>
  <c r="J149" i="21" a="1"/>
  <c r="J149" i="21" s="1"/>
  <c r="L149" i="21" a="1"/>
  <c r="L149" i="21" s="1"/>
  <c r="M149" i="21" a="1"/>
  <c r="M149" i="21" s="1"/>
  <c r="O149" i="21" a="1"/>
  <c r="O149" i="21" s="1"/>
  <c r="D150" i="21" a="1"/>
  <c r="D150" i="21" s="1"/>
  <c r="F150" i="21" a="1"/>
  <c r="F150" i="21" s="1"/>
  <c r="H150" i="21" a="1"/>
  <c r="H150" i="21" s="1"/>
  <c r="J150" i="21" a="1"/>
  <c r="J150" i="21" s="1"/>
  <c r="L150" i="21" a="1"/>
  <c r="L150" i="21" s="1"/>
  <c r="M150" i="21" a="1"/>
  <c r="M150" i="21" s="1"/>
  <c r="O150" i="21" a="1"/>
  <c r="O150" i="21" s="1"/>
  <c r="L151" i="21" a="1"/>
  <c r="L151" i="21" s="1"/>
  <c r="D151" i="21" a="1"/>
  <c r="D151" i="21" s="1"/>
  <c r="O151" i="21" a="1"/>
  <c r="O151" i="21" s="1"/>
  <c r="M151" i="21" a="1"/>
  <c r="M151" i="21" s="1"/>
  <c r="J151" i="21" a="1"/>
  <c r="J151" i="21" s="1"/>
  <c r="H151" i="21" a="1"/>
  <c r="H151" i="21" s="1"/>
  <c r="F151" i="21" a="1"/>
  <c r="F151" i="21" s="1"/>
  <c r="L152" i="21" a="1"/>
  <c r="L152" i="21" s="1"/>
  <c r="D152" i="21" a="1"/>
  <c r="D152" i="21" s="1"/>
  <c r="F152" i="21" a="1"/>
  <c r="F152" i="21" s="1"/>
  <c r="H152" i="21" a="1"/>
  <c r="H152" i="21" s="1"/>
  <c r="J152" i="21" a="1"/>
  <c r="J152" i="21" s="1"/>
  <c r="M152" i="21" a="1"/>
  <c r="M152" i="21" s="1"/>
  <c r="O152" i="21" a="1"/>
  <c r="O152" i="21" s="1"/>
  <c r="D153" i="21" a="1"/>
  <c r="D153" i="21" s="1"/>
  <c r="F153" i="21" a="1"/>
  <c r="F153" i="21" s="1"/>
  <c r="H153" i="21" a="1"/>
  <c r="H153" i="21" s="1"/>
  <c r="J153" i="21" a="1"/>
  <c r="J153" i="21" s="1"/>
  <c r="L153" i="21" a="1"/>
  <c r="L153" i="21" s="1"/>
  <c r="M153" i="21" a="1"/>
  <c r="M153" i="21" s="1"/>
  <c r="O153" i="21" a="1"/>
  <c r="O153" i="21" s="1"/>
  <c r="F154" i="21" a="1"/>
  <c r="F154" i="21" s="1"/>
  <c r="H154" i="21" a="1"/>
  <c r="H154" i="21" s="1"/>
  <c r="J154" i="21" a="1"/>
  <c r="J154" i="21" s="1"/>
  <c r="L154" i="21" a="1"/>
  <c r="L154" i="21" s="1"/>
  <c r="M154" i="21" a="1"/>
  <c r="M154" i="21" s="1"/>
  <c r="O154" i="21" a="1"/>
  <c r="O154" i="21" s="1"/>
  <c r="D154" i="21" a="1"/>
  <c r="D154" i="21" s="1"/>
  <c r="L155" i="21" a="1"/>
  <c r="L155" i="21" s="1"/>
  <c r="D155" i="21" a="1"/>
  <c r="D155" i="21" s="1"/>
  <c r="F155" i="21" a="1"/>
  <c r="F155" i="21" s="1"/>
  <c r="O155" i="21" a="1"/>
  <c r="O155" i="21" s="1"/>
  <c r="J155" i="21" a="1"/>
  <c r="J155" i="21" s="1"/>
  <c r="M155" i="21" a="1"/>
  <c r="M155" i="21" s="1"/>
  <c r="H155" i="21" a="1"/>
  <c r="H155" i="21" s="1"/>
  <c r="L156" i="21" a="1"/>
  <c r="L156" i="21" s="1"/>
  <c r="O156" i="21" a="1"/>
  <c r="O156" i="21" s="1"/>
  <c r="J156" i="21" a="1"/>
  <c r="J156" i="21" s="1"/>
  <c r="M156" i="21" a="1"/>
  <c r="M156" i="21" s="1"/>
  <c r="H156" i="21" a="1"/>
  <c r="H156" i="21" s="1"/>
  <c r="F156" i="21" a="1"/>
  <c r="F156" i="21" s="1"/>
  <c r="D156" i="21" a="1"/>
  <c r="D156" i="21" s="1"/>
  <c r="F157" i="21" a="1"/>
  <c r="F157" i="21" s="1"/>
  <c r="H157" i="21" a="1"/>
  <c r="H157" i="21" s="1"/>
  <c r="M157" i="21" a="1"/>
  <c r="M157" i="21" s="1"/>
  <c r="J157" i="21" a="1"/>
  <c r="J157" i="21" s="1"/>
  <c r="O157" i="21" a="1"/>
  <c r="O157" i="21" s="1"/>
  <c r="L157" i="21" a="1"/>
  <c r="L157" i="21" s="1"/>
  <c r="D157" i="21" a="1"/>
  <c r="D157" i="21" s="1"/>
  <c r="D158" i="21" a="1"/>
  <c r="D158" i="21" s="1"/>
  <c r="F158" i="21" a="1"/>
  <c r="F158" i="21" s="1"/>
  <c r="M158" i="21" a="1"/>
  <c r="M158" i="21" s="1"/>
  <c r="O158" i="21" a="1"/>
  <c r="O158" i="21" s="1"/>
  <c r="H158" i="21" a="1"/>
  <c r="H158" i="21" s="1"/>
  <c r="L158" i="21" a="1"/>
  <c r="L158" i="21" s="1"/>
  <c r="J158" i="21" a="1"/>
  <c r="J158" i="21" s="1"/>
  <c r="H159" i="21" a="1"/>
  <c r="H159" i="21" s="1"/>
  <c r="F159" i="21" a="1"/>
  <c r="F159" i="21" s="1"/>
  <c r="L159" i="21" a="1"/>
  <c r="L159" i="21" s="1"/>
  <c r="J159" i="21" a="1"/>
  <c r="J159" i="21" s="1"/>
  <c r="D159" i="21" a="1"/>
  <c r="D159" i="21" s="1"/>
  <c r="O159" i="21" a="1"/>
  <c r="O159" i="21" s="1"/>
  <c r="M159" i="21" a="1"/>
  <c r="M159" i="21" s="1"/>
  <c r="J160" i="21" a="1"/>
  <c r="J160" i="21" s="1"/>
  <c r="M160" i="21" a="1"/>
  <c r="M160" i="21" s="1"/>
  <c r="F160" i="21" a="1"/>
  <c r="F160" i="21" s="1"/>
  <c r="H160" i="21" a="1"/>
  <c r="H160" i="21" s="1"/>
  <c r="D160" i="21" a="1"/>
  <c r="D160" i="21" s="1"/>
  <c r="L160" i="21" a="1"/>
  <c r="L160" i="21" s="1"/>
  <c r="O160" i="21" a="1"/>
  <c r="O160" i="21" s="1"/>
  <c r="J161" i="21" a="1"/>
  <c r="J161" i="21" s="1"/>
  <c r="M161" i="21" a="1"/>
  <c r="M161" i="21" s="1"/>
  <c r="H161" i="21" a="1"/>
  <c r="H161" i="21" s="1"/>
  <c r="O161" i="21" a="1"/>
  <c r="O161" i="21" s="1"/>
  <c r="F161" i="21" a="1"/>
  <c r="F161" i="21" s="1"/>
  <c r="L161" i="21" a="1"/>
  <c r="L161" i="21" s="1"/>
  <c r="D161" i="21" a="1"/>
  <c r="D161" i="21" s="1"/>
  <c r="F162" i="21" a="1"/>
  <c r="F162" i="21" s="1"/>
  <c r="O162" i="21" a="1"/>
  <c r="O162" i="21" s="1"/>
  <c r="D162" i="21" a="1"/>
  <c r="D162" i="21" s="1"/>
  <c r="J162" i="21" a="1"/>
  <c r="J162" i="21" s="1"/>
  <c r="L162" i="21" a="1"/>
  <c r="L162" i="21" s="1"/>
  <c r="M162" i="21" a="1"/>
  <c r="M162" i="21" s="1"/>
  <c r="H162" i="21" a="1"/>
  <c r="H162" i="21" s="1"/>
  <c r="H163" i="21" a="1"/>
  <c r="H163" i="21" s="1"/>
  <c r="M163" i="21" a="1"/>
  <c r="M163" i="21" s="1"/>
  <c r="F163" i="21" a="1"/>
  <c r="F163" i="21" s="1"/>
  <c r="J163" i="21" a="1"/>
  <c r="J163" i="21" s="1"/>
  <c r="D163" i="21" a="1"/>
  <c r="D163" i="21" s="1"/>
  <c r="L163" i="21" a="1"/>
  <c r="L163" i="21" s="1"/>
  <c r="O163" i="21" a="1"/>
  <c r="O163" i="21" s="1"/>
  <c r="O164" i="21" a="1"/>
  <c r="O164" i="21" s="1"/>
  <c r="L164" i="21" a="1"/>
  <c r="L164" i="21" s="1"/>
  <c r="F164" i="21" a="1"/>
  <c r="F164" i="21" s="1"/>
  <c r="H164" i="21" a="1"/>
  <c r="H164" i="21" s="1"/>
  <c r="M164" i="21" a="1"/>
  <c r="M164" i="21" s="1"/>
  <c r="D164" i="21" a="1"/>
  <c r="D164" i="21" s="1"/>
  <c r="J164" i="21" a="1"/>
  <c r="J164" i="21" s="1"/>
  <c r="D165" i="21" a="1"/>
  <c r="D165" i="21" s="1"/>
  <c r="M165" i="21" a="1"/>
  <c r="M165" i="21" s="1"/>
  <c r="O165" i="21" a="1"/>
  <c r="O165" i="21" s="1"/>
  <c r="L165" i="21" a="1"/>
  <c r="L165" i="21" s="1"/>
  <c r="F165" i="21" a="1"/>
  <c r="F165" i="21" s="1"/>
  <c r="H165" i="21" a="1"/>
  <c r="H165" i="21" s="1"/>
  <c r="J165" i="21" a="1"/>
  <c r="J165" i="21" s="1"/>
  <c r="M166" i="21" a="1"/>
  <c r="M166" i="21" s="1"/>
  <c r="D166" i="21" a="1"/>
  <c r="D166" i="21" s="1"/>
  <c r="H166" i="21" a="1"/>
  <c r="H166" i="21" s="1"/>
  <c r="L166" i="21" a="1"/>
  <c r="L166" i="21" s="1"/>
  <c r="O166" i="21" a="1"/>
  <c r="O166" i="21" s="1"/>
  <c r="F166" i="21" a="1"/>
  <c r="F166" i="21" s="1"/>
  <c r="J166" i="21" a="1"/>
  <c r="J166" i="21" s="1"/>
  <c r="H167" i="21" a="1"/>
  <c r="H167" i="21" s="1"/>
  <c r="M167" i="21" a="1"/>
  <c r="M167" i="21" s="1"/>
  <c r="F167" i="21" a="1"/>
  <c r="F167" i="21" s="1"/>
  <c r="L167" i="21" a="1"/>
  <c r="L167" i="21" s="1"/>
  <c r="D167" i="21" a="1"/>
  <c r="D167" i="21" s="1"/>
  <c r="O167" i="21" a="1"/>
  <c r="O167" i="21" s="1"/>
  <c r="J167" i="21" a="1"/>
  <c r="J167" i="21" s="1"/>
  <c r="L168" i="21" a="1"/>
  <c r="L168" i="21" s="1"/>
  <c r="H168" i="21" a="1"/>
  <c r="H168" i="21" s="1"/>
  <c r="J168" i="21" a="1"/>
  <c r="J168" i="21" s="1"/>
  <c r="D168" i="21" a="1"/>
  <c r="D168" i="21" s="1"/>
  <c r="F168" i="21" a="1"/>
  <c r="F168" i="21" s="1"/>
  <c r="M168" i="21" a="1"/>
  <c r="M168" i="21" s="1"/>
  <c r="O168" i="21" a="1"/>
  <c r="O168" i="21" s="1"/>
  <c r="D169" i="21" a="1"/>
  <c r="D169" i="21" s="1"/>
  <c r="J169" i="21" a="1"/>
  <c r="J169" i="21" s="1"/>
  <c r="O169" i="21" a="1"/>
  <c r="O169" i="21" s="1"/>
  <c r="M169" i="21" a="1"/>
  <c r="M169" i="21" s="1"/>
  <c r="H169" i="21" a="1"/>
  <c r="H169" i="21" s="1"/>
  <c r="L169" i="21" a="1"/>
  <c r="L169" i="21" s="1"/>
  <c r="F169" i="21" a="1"/>
  <c r="F169" i="21" s="1"/>
  <c r="H170" i="21" a="1"/>
  <c r="H170" i="21" s="1"/>
  <c r="F170" i="21" a="1"/>
  <c r="F170" i="21" s="1"/>
  <c r="J170" i="21" a="1"/>
  <c r="J170" i="21" s="1"/>
  <c r="D170" i="21" a="1"/>
  <c r="D170" i="21" s="1"/>
  <c r="M170" i="21" a="1"/>
  <c r="M170" i="21" s="1"/>
  <c r="L170" i="21" a="1"/>
  <c r="L170" i="21" s="1"/>
  <c r="O170" i="21" a="1"/>
  <c r="O170" i="21" s="1"/>
  <c r="O171" i="21" a="1"/>
  <c r="O171" i="21" s="1"/>
  <c r="L171" i="21" a="1"/>
  <c r="L171" i="21" s="1"/>
  <c r="J171" i="21" a="1"/>
  <c r="J171" i="21" s="1"/>
  <c r="M171" i="21" a="1"/>
  <c r="M171" i="21" s="1"/>
  <c r="H171" i="21" a="1"/>
  <c r="H171" i="21" s="1"/>
  <c r="F171" i="21" a="1"/>
  <c r="F171" i="21" s="1"/>
  <c r="D171" i="21" a="1"/>
  <c r="D171" i="21" s="1"/>
  <c r="O172" i="21" a="1"/>
  <c r="O172" i="21" s="1"/>
  <c r="M172" i="21" a="1"/>
  <c r="M172" i="21" s="1"/>
  <c r="L172" i="21" a="1"/>
  <c r="L172" i="21" s="1"/>
  <c r="J172" i="21" a="1"/>
  <c r="J172" i="21" s="1"/>
  <c r="H172" i="21" a="1"/>
  <c r="H172" i="21" s="1"/>
  <c r="F172" i="21" a="1"/>
  <c r="F172" i="21" s="1"/>
  <c r="D172" i="21" a="1"/>
  <c r="D172" i="21" s="1"/>
  <c r="M173" i="21" a="1"/>
  <c r="M173" i="21" s="1"/>
  <c r="L173" i="21" a="1"/>
  <c r="L173" i="21" s="1"/>
  <c r="J173" i="21" a="1"/>
  <c r="J173" i="21" s="1"/>
  <c r="H173" i="21" a="1"/>
  <c r="H173" i="21" s="1"/>
  <c r="F173" i="21" a="1"/>
  <c r="F173" i="21" s="1"/>
  <c r="D173" i="21" a="1"/>
  <c r="D173" i="21" s="1"/>
  <c r="O173" i="21" a="1"/>
  <c r="O173" i="21" s="1"/>
  <c r="O174" i="21" a="1"/>
  <c r="O174" i="21" s="1"/>
  <c r="M174" i="21" a="1"/>
  <c r="M174" i="21" s="1"/>
  <c r="L174" i="21" a="1"/>
  <c r="L174" i="21" s="1"/>
  <c r="J174" i="21" a="1"/>
  <c r="J174" i="21" s="1"/>
  <c r="F174" i="21" a="1"/>
  <c r="F174" i="21" s="1"/>
  <c r="D174" i="21" a="1"/>
  <c r="D174" i="21" s="1"/>
  <c r="H174" i="21" a="1"/>
  <c r="H174" i="21" s="1"/>
  <c r="O175" i="21" a="1"/>
  <c r="O175" i="21" s="1"/>
  <c r="M175" i="21" a="1"/>
  <c r="M175" i="21" s="1"/>
  <c r="L175" i="21" a="1"/>
  <c r="L175" i="21" s="1"/>
  <c r="J175" i="21" a="1"/>
  <c r="J175" i="21" s="1"/>
  <c r="H175" i="21" a="1"/>
  <c r="H175" i="21" s="1"/>
  <c r="F175" i="21" a="1"/>
  <c r="F175" i="21" s="1"/>
  <c r="D175" i="21" a="1"/>
  <c r="D175" i="21" s="1"/>
  <c r="O176" i="21" a="1"/>
  <c r="O176" i="21" s="1"/>
  <c r="H176" i="21" a="1"/>
  <c r="H176" i="21" s="1"/>
  <c r="F176" i="21" a="1"/>
  <c r="F176" i="21" s="1"/>
  <c r="D176" i="21" a="1"/>
  <c r="D176" i="21" s="1"/>
  <c r="L176" i="21" a="1"/>
  <c r="L176" i="21" s="1"/>
  <c r="M176" i="21" a="1"/>
  <c r="M176" i="21" s="1"/>
  <c r="J176" i="21" a="1"/>
  <c r="J176" i="21" s="1"/>
  <c r="D177" i="21" a="1"/>
  <c r="D177" i="21" s="1"/>
  <c r="F177" i="21" a="1"/>
  <c r="F177" i="21" s="1"/>
  <c r="H177" i="21" a="1"/>
  <c r="H177" i="21" s="1"/>
  <c r="J177" i="21" a="1"/>
  <c r="J177" i="21" s="1"/>
  <c r="L177" i="21" a="1"/>
  <c r="L177" i="21" s="1"/>
  <c r="M177" i="21" a="1"/>
  <c r="M177" i="21" s="1"/>
  <c r="O177" i="21" a="1"/>
  <c r="O177" i="21" s="1"/>
  <c r="D178" i="21" a="1"/>
  <c r="D178" i="21" s="1"/>
  <c r="F178" i="21" a="1"/>
  <c r="F178" i="21" s="1"/>
  <c r="H178" i="21" a="1"/>
  <c r="H178" i="21" s="1"/>
  <c r="J178" i="21" a="1"/>
  <c r="J178" i="21" s="1"/>
  <c r="L178" i="21" a="1"/>
  <c r="L178" i="21" s="1"/>
  <c r="M178" i="21" a="1"/>
  <c r="M178" i="21" s="1"/>
  <c r="O178" i="21" a="1"/>
  <c r="O178" i="21" s="1"/>
  <c r="D179" i="21" a="1"/>
  <c r="D179" i="21" s="1"/>
  <c r="O179" i="21" a="1"/>
  <c r="O179" i="21" s="1"/>
  <c r="M179" i="21" a="1"/>
  <c r="M179" i="21" s="1"/>
  <c r="L179" i="21" a="1"/>
  <c r="L179" i="21" s="1"/>
  <c r="J179" i="21" a="1"/>
  <c r="J179" i="21" s="1"/>
  <c r="H179" i="21" a="1"/>
  <c r="H179" i="21" s="1"/>
  <c r="F179" i="21" a="1"/>
  <c r="F179" i="21" s="1"/>
  <c r="O180" i="21" a="1"/>
  <c r="O180" i="21" s="1"/>
  <c r="M180" i="21" a="1"/>
  <c r="M180" i="21" s="1"/>
  <c r="L180" i="21" a="1"/>
  <c r="L180" i="21" s="1"/>
  <c r="J180" i="21" a="1"/>
  <c r="J180" i="21" s="1"/>
  <c r="H180" i="21" a="1"/>
  <c r="H180" i="21" s="1"/>
  <c r="F180" i="21" a="1"/>
  <c r="F180" i="21" s="1"/>
  <c r="D180" i="21" a="1"/>
  <c r="D180" i="21" s="1"/>
  <c r="L181" i="21" a="1"/>
  <c r="L181" i="21" s="1"/>
  <c r="J181" i="21" a="1"/>
  <c r="J181" i="21" s="1"/>
  <c r="H181" i="21" a="1"/>
  <c r="H181" i="21" s="1"/>
  <c r="F181" i="21" a="1"/>
  <c r="F181" i="21" s="1"/>
  <c r="D181" i="21" a="1"/>
  <c r="D181" i="21" s="1"/>
  <c r="M181" i="21" a="1"/>
  <c r="M181" i="21" s="1"/>
  <c r="O181" i="21" a="1"/>
  <c r="O181" i="21" s="1"/>
  <c r="D182" i="21" a="1"/>
  <c r="D182" i="21" s="1"/>
  <c r="F182" i="21" a="1"/>
  <c r="F182" i="21" s="1"/>
  <c r="H182" i="21" a="1"/>
  <c r="H182" i="21" s="1"/>
  <c r="J182" i="21" a="1"/>
  <c r="J182" i="21" s="1"/>
  <c r="L182" i="21" a="1"/>
  <c r="L182" i="21" s="1"/>
  <c r="M182" i="21" a="1"/>
  <c r="M182" i="21" s="1"/>
  <c r="O182" i="21" a="1"/>
  <c r="O182" i="21" s="1"/>
  <c r="D183" i="21" a="1"/>
  <c r="D183" i="21" s="1"/>
  <c r="O183" i="21" a="1"/>
  <c r="O183" i="21" s="1"/>
  <c r="M183" i="21" a="1"/>
  <c r="M183" i="21" s="1"/>
  <c r="L183" i="21" a="1"/>
  <c r="L183" i="21" s="1"/>
  <c r="J183" i="21" a="1"/>
  <c r="J183" i="21" s="1"/>
  <c r="H183" i="21" a="1"/>
  <c r="H183" i="21" s="1"/>
  <c r="F183" i="21" a="1"/>
  <c r="F183" i="21" s="1"/>
  <c r="D184" i="21" a="1"/>
  <c r="D184" i="21" s="1"/>
  <c r="O184" i="21" a="1"/>
  <c r="O184" i="21" s="1"/>
  <c r="M184" i="21" a="1"/>
  <c r="M184" i="21" s="1"/>
  <c r="L184" i="21" a="1"/>
  <c r="L184" i="21" s="1"/>
  <c r="J184" i="21" a="1"/>
  <c r="J184" i="21" s="1"/>
  <c r="H184" i="21" a="1"/>
  <c r="H184" i="21" s="1"/>
  <c r="F184" i="21" a="1"/>
  <c r="F184" i="21" s="1"/>
  <c r="O185" i="21" a="1"/>
  <c r="O185" i="21" s="1"/>
  <c r="M185" i="21" a="1"/>
  <c r="M185" i="21" s="1"/>
  <c r="L185" i="21" a="1"/>
  <c r="L185" i="21" s="1"/>
  <c r="H185" i="21" a="1"/>
  <c r="H185" i="21" s="1"/>
  <c r="F185" i="21" a="1"/>
  <c r="F185" i="21" s="1"/>
  <c r="D185" i="21" a="1"/>
  <c r="D185" i="21" s="1"/>
  <c r="J185" i="21" a="1"/>
  <c r="J185" i="21" s="1"/>
  <c r="D186" i="21" a="1"/>
  <c r="D186" i="21" s="1"/>
  <c r="F186" i="21" a="1"/>
  <c r="F186" i="21" s="1"/>
  <c r="H186" i="21" a="1"/>
  <c r="H186" i="21" s="1"/>
  <c r="J186" i="21" a="1"/>
  <c r="J186" i="21" s="1"/>
  <c r="L186" i="21" a="1"/>
  <c r="L186" i="21" s="1"/>
  <c r="M186" i="21" a="1"/>
  <c r="M186" i="21" s="1"/>
  <c r="O186" i="21" a="1"/>
  <c r="O186" i="21" s="1"/>
  <c r="J187" i="21" a="1"/>
  <c r="J187" i="21" s="1"/>
  <c r="D187" i="21" a="1"/>
  <c r="D187" i="21" s="1"/>
  <c r="F187" i="21" a="1"/>
  <c r="F187" i="21" s="1"/>
  <c r="H187" i="21" a="1"/>
  <c r="H187" i="21" s="1"/>
  <c r="L187" i="21" a="1"/>
  <c r="L187" i="21" s="1"/>
  <c r="M187" i="21" a="1"/>
  <c r="M187" i="21" s="1"/>
  <c r="O187" i="21" a="1"/>
  <c r="O187" i="21" s="1"/>
  <c r="D188" i="21" a="1"/>
  <c r="D188" i="21" s="1"/>
  <c r="F188" i="21" a="1"/>
  <c r="F188" i="21" s="1"/>
  <c r="H188" i="21" a="1"/>
  <c r="H188" i="21" s="1"/>
  <c r="J188" i="21" a="1"/>
  <c r="J188" i="21" s="1"/>
  <c r="L188" i="21" a="1"/>
  <c r="L188" i="21" s="1"/>
  <c r="M188" i="21" a="1"/>
  <c r="M188" i="21" s="1"/>
  <c r="O188" i="21" a="1"/>
  <c r="O188" i="21" s="1"/>
  <c r="O189" i="21" a="1"/>
  <c r="O189" i="21" s="1"/>
  <c r="M189" i="21" a="1"/>
  <c r="M189" i="21" s="1"/>
  <c r="L189" i="21" a="1"/>
  <c r="L189" i="21" s="1"/>
  <c r="J189" i="21" a="1"/>
  <c r="J189" i="21" s="1"/>
  <c r="H189" i="21" a="1"/>
  <c r="H189" i="21" s="1"/>
  <c r="F189" i="21" a="1"/>
  <c r="F189" i="21" s="1"/>
  <c r="D189" i="21" a="1"/>
  <c r="D189" i="21" s="1"/>
  <c r="D190" i="21" a="1"/>
  <c r="D190" i="21" s="1"/>
  <c r="O190" i="21" a="1"/>
  <c r="O190" i="21" s="1"/>
  <c r="M190" i="21" a="1"/>
  <c r="M190" i="21" s="1"/>
  <c r="L190" i="21" a="1"/>
  <c r="L190" i="21" s="1"/>
  <c r="J190" i="21" a="1"/>
  <c r="J190" i="21" s="1"/>
  <c r="H190" i="21" a="1"/>
  <c r="H190" i="21" s="1"/>
  <c r="F190" i="21" a="1"/>
  <c r="F190" i="21" s="1"/>
  <c r="O191" i="21" a="1"/>
  <c r="O191" i="21" s="1"/>
  <c r="M191" i="21" a="1"/>
  <c r="M191" i="21" s="1"/>
  <c r="L191" i="21" a="1"/>
  <c r="L191" i="21" s="1"/>
  <c r="J191" i="21" a="1"/>
  <c r="J191" i="21" s="1"/>
  <c r="H191" i="21" a="1"/>
  <c r="H191" i="21" s="1"/>
  <c r="F191" i="21" a="1"/>
  <c r="F191" i="21" s="1"/>
  <c r="D191" i="21" a="1"/>
  <c r="D191" i="21" s="1"/>
  <c r="M192" i="21" a="1"/>
  <c r="M192" i="21" s="1"/>
  <c r="O192" i="21" a="1"/>
  <c r="O192" i="21" s="1"/>
  <c r="D192" i="21" a="1"/>
  <c r="D192" i="21" s="1"/>
  <c r="F192" i="21" a="1"/>
  <c r="F192" i="21" s="1"/>
  <c r="L192" i="21" a="1"/>
  <c r="L192" i="21" s="1"/>
  <c r="H192" i="21" a="1"/>
  <c r="H192" i="21" s="1"/>
  <c r="J192" i="21" a="1"/>
  <c r="J192" i="21" s="1"/>
  <c r="D193" i="21" a="1"/>
  <c r="D193" i="21" s="1"/>
  <c r="O193" i="21" a="1"/>
  <c r="O193" i="21" s="1"/>
  <c r="M193" i="21" a="1"/>
  <c r="M193" i="21" s="1"/>
  <c r="L193" i="21" a="1"/>
  <c r="L193" i="21" s="1"/>
  <c r="J193" i="21" a="1"/>
  <c r="J193" i="21" s="1"/>
  <c r="H193" i="21" a="1"/>
  <c r="H193" i="21" s="1"/>
  <c r="F193" i="21" a="1"/>
  <c r="F193" i="21" s="1"/>
  <c r="D194" i="21" a="1"/>
  <c r="D194" i="21" s="1"/>
  <c r="O194" i="21" a="1"/>
  <c r="O194" i="21" s="1"/>
  <c r="M194" i="21" a="1"/>
  <c r="M194" i="21" s="1"/>
  <c r="L194" i="21" a="1"/>
  <c r="L194" i="21" s="1"/>
  <c r="J194" i="21" a="1"/>
  <c r="J194" i="21" s="1"/>
  <c r="H194" i="21" a="1"/>
  <c r="H194" i="21" s="1"/>
  <c r="F194" i="21" a="1"/>
  <c r="F194" i="21" s="1"/>
  <c r="O195" i="21" a="1"/>
  <c r="O195" i="21" s="1"/>
  <c r="M195" i="21" a="1"/>
  <c r="M195" i="21" s="1"/>
  <c r="L195" i="21" a="1"/>
  <c r="L195" i="21" s="1"/>
  <c r="D195" i="21" a="1"/>
  <c r="D195" i="21" s="1"/>
  <c r="J195" i="21" a="1"/>
  <c r="J195" i="21" s="1"/>
  <c r="H195" i="21" a="1"/>
  <c r="H195" i="21" s="1"/>
  <c r="F195" i="21" a="1"/>
  <c r="F195" i="21" s="1"/>
  <c r="O196" i="21" a="1"/>
  <c r="O196" i="21" s="1"/>
  <c r="M196" i="21" a="1"/>
  <c r="M196" i="21" s="1"/>
  <c r="L196" i="21" a="1"/>
  <c r="L196" i="21" s="1"/>
  <c r="J196" i="21" a="1"/>
  <c r="J196" i="21" s="1"/>
  <c r="H196" i="21" a="1"/>
  <c r="H196" i="21" s="1"/>
  <c r="F196" i="21" a="1"/>
  <c r="F196" i="21" s="1"/>
  <c r="D196" i="21" a="1"/>
  <c r="D196" i="21" s="1"/>
  <c r="J197" i="21" a="1"/>
  <c r="J197" i="21" s="1"/>
  <c r="O197" i="21" a="1"/>
  <c r="O197" i="21" s="1"/>
  <c r="M197" i="21" a="1"/>
  <c r="M197" i="21" s="1"/>
  <c r="L197" i="21" a="1"/>
  <c r="L197" i="21" s="1"/>
  <c r="H197" i="21" a="1"/>
  <c r="H197" i="21" s="1"/>
  <c r="F197" i="21" a="1"/>
  <c r="F197" i="21" s="1"/>
  <c r="D197" i="21" a="1"/>
  <c r="D197" i="21" s="1"/>
  <c r="O198" i="21" a="1"/>
  <c r="O198" i="21" s="1"/>
  <c r="M198" i="21" a="1"/>
  <c r="M198" i="21" s="1"/>
  <c r="L198" i="21" a="1"/>
  <c r="L198" i="21" s="1"/>
  <c r="H198" i="21" a="1"/>
  <c r="H198" i="21" s="1"/>
  <c r="F198" i="21" a="1"/>
  <c r="F198" i="21" s="1"/>
  <c r="D198" i="21" a="1"/>
  <c r="D198" i="21" s="1"/>
  <c r="J198" i="21" a="1"/>
  <c r="J198" i="21" s="1"/>
  <c r="J199" i="21" a="1"/>
  <c r="J199" i="21" s="1"/>
  <c r="L199" i="21" a="1"/>
  <c r="L199" i="21" s="1"/>
  <c r="D199" i="21" a="1"/>
  <c r="D199" i="21" s="1"/>
  <c r="F199" i="21" a="1"/>
  <c r="F199" i="21" s="1"/>
  <c r="H199" i="21" a="1"/>
  <c r="H199" i="21" s="1"/>
  <c r="O199" i="21" a="1"/>
  <c r="O199" i="21" s="1"/>
  <c r="M199" i="21" a="1"/>
  <c r="M199" i="21" s="1"/>
  <c r="O200" i="21" a="1"/>
  <c r="O200" i="21" s="1"/>
  <c r="M200" i="21" a="1"/>
  <c r="M200" i="21" s="1"/>
  <c r="L200" i="21" a="1"/>
  <c r="L200" i="21" s="1"/>
  <c r="J200" i="21" a="1"/>
  <c r="J200" i="21" s="1"/>
  <c r="H200" i="21" a="1"/>
  <c r="H200" i="21" s="1"/>
  <c r="F200" i="21" a="1"/>
  <c r="F200" i="21" s="1"/>
  <c r="D200" i="21" a="1"/>
  <c r="D200" i="21" s="1"/>
  <c r="J201" i="21" a="1"/>
  <c r="J201" i="21" s="1"/>
  <c r="D201" i="21" a="1"/>
  <c r="D201" i="21" s="1"/>
  <c r="F201" i="21" a="1"/>
  <c r="F201" i="21" s="1"/>
  <c r="H201" i="21" a="1"/>
  <c r="H201" i="21" s="1"/>
  <c r="L201" i="21" a="1"/>
  <c r="L201" i="21" s="1"/>
  <c r="M201" i="21" a="1"/>
  <c r="M201" i="21" s="1"/>
  <c r="O201" i="21" a="1"/>
  <c r="O201" i="21" s="1"/>
  <c r="D202" i="21" a="1"/>
  <c r="D202" i="21" s="1"/>
  <c r="F202" i="21" a="1"/>
  <c r="F202" i="21" s="1"/>
  <c r="H202" i="21" a="1"/>
  <c r="H202" i="21" s="1"/>
  <c r="J202" i="21" a="1"/>
  <c r="J202" i="21" s="1"/>
  <c r="L202" i="21" a="1"/>
  <c r="L202" i="21" s="1"/>
  <c r="M202" i="21" a="1"/>
  <c r="M202" i="21" s="1"/>
  <c r="O202" i="21" a="1"/>
  <c r="O202" i="21" s="1"/>
  <c r="J203" i="21" a="1"/>
  <c r="J203" i="21" s="1"/>
  <c r="D203" i="21" a="1"/>
  <c r="D203" i="21" s="1"/>
  <c r="F203" i="21" a="1"/>
  <c r="F203" i="21" s="1"/>
  <c r="H203" i="21" a="1"/>
  <c r="H203" i="21" s="1"/>
  <c r="L203" i="21" a="1"/>
  <c r="L203" i="21" s="1"/>
  <c r="M203" i="21" a="1"/>
  <c r="M203" i="21" s="1"/>
  <c r="O203" i="21" a="1"/>
  <c r="O203" i="21" s="1"/>
  <c r="D204" i="21" a="1"/>
  <c r="D204" i="21" s="1"/>
  <c r="F204" i="21" a="1"/>
  <c r="F204" i="21" s="1"/>
  <c r="H204" i="21" a="1"/>
  <c r="H204" i="21" s="1"/>
  <c r="J204" i="21" a="1"/>
  <c r="J204" i="21" s="1"/>
  <c r="L204" i="21" a="1"/>
  <c r="L204" i="21" s="1"/>
  <c r="M204" i="21" a="1"/>
  <c r="M204" i="21" s="1"/>
  <c r="O204" i="21" a="1"/>
  <c r="O204" i="21" s="1"/>
  <c r="D205" i="21" a="1"/>
  <c r="D205" i="21" s="1"/>
  <c r="F205" i="21" a="1"/>
  <c r="F205" i="21" s="1"/>
  <c r="H205" i="21" a="1"/>
  <c r="H205" i="21" s="1"/>
  <c r="J205" i="21" a="1"/>
  <c r="J205" i="21" s="1"/>
  <c r="L205" i="21" a="1"/>
  <c r="L205" i="21" s="1"/>
  <c r="M205" i="21" a="1"/>
  <c r="M205" i="21" s="1"/>
  <c r="O205" i="21" a="1"/>
  <c r="O205" i="21" s="1"/>
  <c r="D206" i="21" a="1"/>
  <c r="D206" i="21" s="1"/>
  <c r="F206" i="21" a="1"/>
  <c r="F206" i="21" s="1"/>
  <c r="H206" i="21" a="1"/>
  <c r="H206" i="21" s="1"/>
  <c r="J206" i="21" a="1"/>
  <c r="J206" i="21" s="1"/>
  <c r="L206" i="21" a="1"/>
  <c r="L206" i="21" s="1"/>
  <c r="M206" i="21" a="1"/>
  <c r="M206" i="21" s="1"/>
  <c r="O206" i="21" a="1"/>
  <c r="O206" i="21" s="1"/>
  <c r="D207" i="21" a="1"/>
  <c r="D207" i="21" s="1"/>
  <c r="F207" i="21" a="1"/>
  <c r="F207" i="21" s="1"/>
  <c r="H207" i="21" a="1"/>
  <c r="H207" i="21" s="1"/>
  <c r="J207" i="21" a="1"/>
  <c r="J207" i="21" s="1"/>
  <c r="L207" i="21" a="1"/>
  <c r="L207" i="21" s="1"/>
  <c r="M207" i="21" a="1"/>
  <c r="M207" i="21" s="1"/>
  <c r="O207" i="21" a="1"/>
  <c r="O207" i="21" s="1"/>
  <c r="D208" i="21" a="1"/>
  <c r="D208" i="21" s="1"/>
  <c r="F208" i="21" a="1"/>
  <c r="F208" i="21" s="1"/>
  <c r="H208" i="21" a="1"/>
  <c r="H208" i="21" s="1"/>
  <c r="J208" i="21" a="1"/>
  <c r="J208" i="21" s="1"/>
  <c r="L208" i="21" a="1"/>
  <c r="L208" i="21" s="1"/>
  <c r="M208" i="21" a="1"/>
  <c r="M208" i="21" s="1"/>
  <c r="O208" i="21" a="1"/>
  <c r="O208" i="21" s="1"/>
  <c r="D209" i="21" a="1"/>
  <c r="D209" i="21" s="1"/>
  <c r="F209" i="21" a="1"/>
  <c r="F209" i="21" s="1"/>
  <c r="H209" i="21" a="1"/>
  <c r="H209" i="21" s="1"/>
  <c r="J209" i="21" a="1"/>
  <c r="J209" i="21" s="1"/>
  <c r="L209" i="21" a="1"/>
  <c r="L209" i="21" s="1"/>
  <c r="M209" i="21" a="1"/>
  <c r="M209" i="21" s="1"/>
  <c r="O209" i="21" a="1"/>
  <c r="O209" i="21" s="1"/>
  <c r="D210" i="21" a="1"/>
  <c r="D210" i="21" s="1"/>
  <c r="F210" i="21" a="1"/>
  <c r="F210" i="21" s="1"/>
  <c r="H210" i="21" a="1"/>
  <c r="H210" i="21" s="1"/>
  <c r="J210" i="21" a="1"/>
  <c r="J210" i="21" s="1"/>
  <c r="L210" i="21" a="1"/>
  <c r="L210" i="21" s="1"/>
  <c r="M210" i="21" a="1"/>
  <c r="M210" i="21" s="1"/>
  <c r="O210" i="21" a="1"/>
  <c r="O210" i="21" s="1"/>
  <c r="D211" i="21" a="1"/>
  <c r="D211" i="21" s="1"/>
  <c r="F211" i="21" a="1"/>
  <c r="F211" i="21" s="1"/>
  <c r="H211" i="21" a="1"/>
  <c r="H211" i="21" s="1"/>
  <c r="J211" i="21" a="1"/>
  <c r="J211" i="21" s="1"/>
  <c r="L211" i="21" a="1"/>
  <c r="L211" i="21" s="1"/>
  <c r="M211" i="21" a="1"/>
  <c r="M211" i="21" s="1"/>
  <c r="O211" i="21" a="1"/>
  <c r="O211" i="21" s="1"/>
  <c r="D212" i="21" a="1"/>
  <c r="D212" i="21" s="1"/>
  <c r="F212" i="21" a="1"/>
  <c r="F212" i="21" s="1"/>
  <c r="H212" i="21" a="1"/>
  <c r="H212" i="21" s="1"/>
  <c r="J212" i="21" a="1"/>
  <c r="J212" i="21" s="1"/>
  <c r="L212" i="21" a="1"/>
  <c r="L212" i="21" s="1"/>
  <c r="M212" i="21" a="1"/>
  <c r="M212" i="21" s="1"/>
  <c r="O212" i="21" a="1"/>
  <c r="O212" i="21" s="1"/>
  <c r="D213" i="21" a="1"/>
  <c r="D213" i="21" s="1"/>
  <c r="F213" i="21" a="1"/>
  <c r="F213" i="21" s="1"/>
  <c r="H213" i="21" a="1"/>
  <c r="H213" i="21" s="1"/>
  <c r="J213" i="21" a="1"/>
  <c r="J213" i="21" s="1"/>
  <c r="L213" i="21" a="1"/>
  <c r="L213" i="21" s="1"/>
  <c r="M213" i="21" a="1"/>
  <c r="M213" i="21" s="1"/>
  <c r="O213" i="21" a="1"/>
  <c r="O213" i="21" s="1"/>
  <c r="D214" i="21" a="1"/>
  <c r="D214" i="21" s="1"/>
  <c r="F214" i="21" a="1"/>
  <c r="F214" i="21" s="1"/>
  <c r="H214" i="21" a="1"/>
  <c r="H214" i="21" s="1"/>
  <c r="J214" i="21" a="1"/>
  <c r="J214" i="21" s="1"/>
  <c r="L214" i="21" a="1"/>
  <c r="L214" i="21" s="1"/>
  <c r="M214" i="21" a="1"/>
  <c r="M214" i="21" s="1"/>
  <c r="O214" i="21" a="1"/>
  <c r="O214" i="21" s="1"/>
  <c r="D215" i="21" a="1"/>
  <c r="D215" i="21" s="1"/>
  <c r="F215" i="21" a="1"/>
  <c r="F215" i="21" s="1"/>
  <c r="H215" i="21" a="1"/>
  <c r="H215" i="21" s="1"/>
  <c r="J215" i="21" a="1"/>
  <c r="J215" i="21" s="1"/>
  <c r="L215" i="21" a="1"/>
  <c r="L215" i="21" s="1"/>
  <c r="M215" i="21" a="1"/>
  <c r="M215" i="21" s="1"/>
  <c r="O215" i="21" a="1"/>
  <c r="O215" i="21" s="1"/>
  <c r="D216" i="21" a="1"/>
  <c r="D216" i="21" s="1"/>
  <c r="F216" i="21" a="1"/>
  <c r="F216" i="21" s="1"/>
  <c r="H216" i="21" a="1"/>
  <c r="H216" i="21" s="1"/>
  <c r="J216" i="21" a="1"/>
  <c r="J216" i="21" s="1"/>
  <c r="L216" i="21" a="1"/>
  <c r="L216" i="21" s="1"/>
  <c r="M216" i="21" a="1"/>
  <c r="M216" i="21" s="1"/>
  <c r="O216" i="21" a="1"/>
  <c r="O216" i="21" s="1"/>
  <c r="AI22" i="21" a="1"/>
  <c r="AI22" i="21" s="1"/>
  <c r="AM23" i="21" a="1"/>
  <c r="AM23" i="21" s="1"/>
  <c r="AM24" i="21" s="1" a="1"/>
  <c r="AM24" i="21" s="1"/>
  <c r="AM25" i="21" s="1" a="1"/>
  <c r="AM25" i="21" s="1"/>
  <c r="AM26" i="21" s="1" a="1"/>
  <c r="AM26" i="21" s="1"/>
  <c r="AJ20" i="21" a="1"/>
  <c r="AJ20" i="21" s="1"/>
  <c r="AN20" i="21" a="1"/>
  <c r="AN20" i="21" s="1"/>
  <c r="AL20" i="21" a="1"/>
  <c r="AL20" i="21" s="1"/>
  <c r="AK21" i="21" a="1"/>
  <c r="AK21" i="21" s="1"/>
  <c r="AH21" i="21" a="1"/>
  <c r="AH21" i="21" s="1"/>
  <c r="D58" i="21" a="1"/>
  <c r="D58" i="21" s="1"/>
  <c r="F58" i="21" a="1"/>
  <c r="F58" i="21" s="1"/>
  <c r="H58" i="21" a="1"/>
  <c r="H58" i="21" s="1"/>
  <c r="L58" i="21" a="1"/>
  <c r="L58" i="21" s="1"/>
  <c r="M58" i="21" a="1"/>
  <c r="M58" i="21" s="1"/>
  <c r="O58" i="21" a="1"/>
  <c r="O58" i="21" s="1"/>
  <c r="D40" i="21" a="1"/>
  <c r="D40" i="21" s="1"/>
  <c r="F40" i="21" a="1"/>
  <c r="F40" i="21" s="1"/>
  <c r="H40" i="21" a="1"/>
  <c r="H40" i="21" s="1"/>
  <c r="L40" i="21" a="1"/>
  <c r="L40" i="21" s="1"/>
  <c r="M40" i="21" a="1"/>
  <c r="M40" i="21" s="1"/>
  <c r="O40" i="21" a="1"/>
  <c r="O40" i="21" s="1"/>
  <c r="D65" i="21" a="1"/>
  <c r="D65" i="21" s="1"/>
  <c r="F65" i="21" a="1"/>
  <c r="F65" i="21" s="1"/>
  <c r="H65" i="21" a="1"/>
  <c r="H65" i="21" s="1"/>
  <c r="L65" i="21" a="1"/>
  <c r="L65" i="21" s="1"/>
  <c r="M65" i="21" a="1"/>
  <c r="M65" i="21" s="1"/>
  <c r="O65" i="21" a="1"/>
  <c r="O65" i="21" s="1"/>
  <c r="D63" i="21" a="1"/>
  <c r="D63" i="21" s="1"/>
  <c r="F63" i="21" a="1"/>
  <c r="F63" i="21" s="1"/>
  <c r="H63" i="21" a="1"/>
  <c r="H63" i="21" s="1"/>
  <c r="L63" i="21" a="1"/>
  <c r="L63" i="21" s="1"/>
  <c r="M63" i="21" a="1"/>
  <c r="M63" i="21" s="1"/>
  <c r="O63" i="21" a="1"/>
  <c r="O63" i="21" s="1"/>
  <c r="D59" i="21" a="1"/>
  <c r="D59" i="21" s="1"/>
  <c r="F59" i="21" a="1"/>
  <c r="F59" i="21" s="1"/>
  <c r="H59" i="21" a="1"/>
  <c r="H59" i="21" s="1"/>
  <c r="L59" i="21" a="1"/>
  <c r="L59" i="21" s="1"/>
  <c r="M59" i="21" a="1"/>
  <c r="M59" i="21" s="1"/>
  <c r="O59" i="21" a="1"/>
  <c r="O59" i="21" s="1"/>
  <c r="D48" i="21" a="1"/>
  <c r="D48" i="21" s="1"/>
  <c r="F48" i="21" a="1"/>
  <c r="F48" i="21" s="1"/>
  <c r="H48" i="21" a="1"/>
  <c r="H48" i="21" s="1"/>
  <c r="L48" i="21" a="1"/>
  <c r="L48" i="21" s="1"/>
  <c r="M48" i="21" a="1"/>
  <c r="M48" i="21" s="1"/>
  <c r="O48" i="21" a="1"/>
  <c r="O48" i="21" s="1"/>
  <c r="D45" i="21" a="1"/>
  <c r="D45" i="21" s="1"/>
  <c r="F45" i="21" a="1"/>
  <c r="F45" i="21" s="1"/>
  <c r="H45" i="21" a="1"/>
  <c r="H45" i="21" s="1"/>
  <c r="L45" i="21" a="1"/>
  <c r="L45" i="21" s="1"/>
  <c r="M45" i="21" a="1"/>
  <c r="M45" i="21" s="1"/>
  <c r="O45" i="21" a="1"/>
  <c r="O45" i="21" s="1"/>
  <c r="D22" i="21" a="1"/>
  <c r="D22" i="21" s="1"/>
  <c r="F22" i="21" a="1"/>
  <c r="F22" i="21" s="1"/>
  <c r="H22" i="21" a="1"/>
  <c r="H22" i="21" s="1"/>
  <c r="L22" i="21" a="1"/>
  <c r="L22" i="21" s="1"/>
  <c r="M22" i="21" a="1"/>
  <c r="M22" i="21" s="1"/>
  <c r="O22" i="21" a="1"/>
  <c r="O22" i="21" s="1"/>
  <c r="D66" i="21" a="1"/>
  <c r="D66" i="21" s="1"/>
  <c r="F66" i="21" a="1"/>
  <c r="F66" i="21" s="1"/>
  <c r="H66" i="21" a="1"/>
  <c r="H66" i="21" s="1"/>
  <c r="L66" i="21" a="1"/>
  <c r="L66" i="21" s="1"/>
  <c r="M66" i="21" a="1"/>
  <c r="M66" i="21" s="1"/>
  <c r="O66" i="21" a="1"/>
  <c r="O66" i="21" s="1"/>
  <c r="D64" i="21" a="1"/>
  <c r="D64" i="21" s="1"/>
  <c r="F64" i="21" a="1"/>
  <c r="F64" i="21" s="1"/>
  <c r="H64" i="21" a="1"/>
  <c r="H64" i="21" s="1"/>
  <c r="L64" i="21" a="1"/>
  <c r="L64" i="21" s="1"/>
  <c r="M64" i="21" a="1"/>
  <c r="M64" i="21" s="1"/>
  <c r="O64" i="21" a="1"/>
  <c r="O64" i="21" s="1"/>
  <c r="M62" i="21" a="1"/>
  <c r="M62" i="21" s="1"/>
  <c r="O62" i="21" a="1"/>
  <c r="O62" i="21" s="1"/>
  <c r="D62" i="21" a="1"/>
  <c r="D62" i="21" s="1"/>
  <c r="F62" i="21" a="1"/>
  <c r="F62" i="21" s="1"/>
  <c r="H62" i="21" a="1"/>
  <c r="H62" i="21" s="1"/>
  <c r="L62" i="21" a="1"/>
  <c r="L62" i="21" s="1"/>
  <c r="D57" i="21" a="1"/>
  <c r="D57" i="21" s="1"/>
  <c r="F57" i="21" a="1"/>
  <c r="F57" i="21" s="1"/>
  <c r="H57" i="21" a="1"/>
  <c r="H57" i="21" s="1"/>
  <c r="L57" i="21" a="1"/>
  <c r="L57" i="21" s="1"/>
  <c r="M57" i="21" a="1"/>
  <c r="M57" i="21" s="1"/>
  <c r="O57" i="21" a="1"/>
  <c r="O57" i="21" s="1"/>
  <c r="D54" i="21" a="1"/>
  <c r="D54" i="21" s="1"/>
  <c r="F54" i="21" a="1"/>
  <c r="F54" i="21" s="1"/>
  <c r="H54" i="21" a="1"/>
  <c r="H54" i="21" s="1"/>
  <c r="L54" i="21" a="1"/>
  <c r="L54" i="21" s="1"/>
  <c r="M54" i="21" a="1"/>
  <c r="M54" i="21" s="1"/>
  <c r="O54" i="21" a="1"/>
  <c r="O54" i="21" s="1"/>
  <c r="D30" i="21" a="1"/>
  <c r="D30" i="21" s="1"/>
  <c r="F30" i="21" a="1"/>
  <c r="F30" i="21" s="1"/>
  <c r="H30" i="21" a="1"/>
  <c r="H30" i="21" s="1"/>
  <c r="L30" i="21" a="1"/>
  <c r="L30" i="21" s="1"/>
  <c r="M30" i="21" a="1"/>
  <c r="M30" i="21" s="1"/>
  <c r="O30" i="21" a="1"/>
  <c r="O30" i="21" s="1"/>
  <c r="D26" i="21" a="1"/>
  <c r="D26" i="21" s="1"/>
  <c r="F26" i="21" a="1"/>
  <c r="F26" i="21" s="1"/>
  <c r="H26" i="21" a="1"/>
  <c r="H26" i="21" s="1"/>
  <c r="L26" i="21" a="1"/>
  <c r="L26" i="21" s="1"/>
  <c r="M26" i="21" a="1"/>
  <c r="M26" i="21" s="1"/>
  <c r="O26" i="21" a="1"/>
  <c r="O26" i="21" s="1"/>
  <c r="D61" i="21" a="1"/>
  <c r="D61" i="21" s="1"/>
  <c r="F61" i="21" a="1"/>
  <c r="F61" i="21" s="1"/>
  <c r="H61" i="21" a="1"/>
  <c r="H61" i="21" s="1"/>
  <c r="L61" i="21" a="1"/>
  <c r="L61" i="21" s="1"/>
  <c r="M61" i="21" a="1"/>
  <c r="M61" i="21" s="1"/>
  <c r="O61" i="21" a="1"/>
  <c r="O61" i="21" s="1"/>
  <c r="D60" i="21" a="1"/>
  <c r="D60" i="21" s="1"/>
  <c r="F60" i="21" a="1"/>
  <c r="F60" i="21" s="1"/>
  <c r="H60" i="21" a="1"/>
  <c r="H60" i="21" s="1"/>
  <c r="L60" i="21" a="1"/>
  <c r="L60" i="21" s="1"/>
  <c r="M60" i="21" a="1"/>
  <c r="M60" i="21" s="1"/>
  <c r="O60" i="21" a="1"/>
  <c r="O60" i="21" s="1"/>
  <c r="L53" i="21" a="1"/>
  <c r="L53" i="21" s="1"/>
  <c r="M53" i="21" a="1"/>
  <c r="M53" i="21" s="1"/>
  <c r="O53" i="21" a="1"/>
  <c r="O53" i="21" s="1"/>
  <c r="D53" i="21" a="1"/>
  <c r="D53" i="21" s="1"/>
  <c r="F53" i="21" a="1"/>
  <c r="F53" i="21" s="1"/>
  <c r="H53" i="21" a="1"/>
  <c r="H53" i="21" s="1"/>
  <c r="D23" i="21" a="1"/>
  <c r="D23" i="21" s="1"/>
  <c r="F23" i="21" a="1"/>
  <c r="F23" i="21" s="1"/>
  <c r="H23" i="21" a="1"/>
  <c r="H23" i="21" s="1"/>
  <c r="L23" i="21" a="1"/>
  <c r="L23" i="21" s="1"/>
  <c r="M23" i="21" a="1"/>
  <c r="M23" i="21" s="1"/>
  <c r="O23" i="21" a="1"/>
  <c r="O23" i="21" s="1"/>
  <c r="D56" i="21" a="1"/>
  <c r="D56" i="21" s="1"/>
  <c r="F56" i="21" a="1"/>
  <c r="F56" i="21" s="1"/>
  <c r="H56" i="21" a="1"/>
  <c r="H56" i="21" s="1"/>
  <c r="L56" i="21" a="1"/>
  <c r="L56" i="21" s="1"/>
  <c r="M56" i="21" a="1"/>
  <c r="M56" i="21" s="1"/>
  <c r="O56" i="21" a="1"/>
  <c r="O56" i="21" s="1"/>
  <c r="D55" i="21" a="1"/>
  <c r="D55" i="21" s="1"/>
  <c r="F55" i="21" a="1"/>
  <c r="F55" i="21" s="1"/>
  <c r="H55" i="21" a="1"/>
  <c r="H55" i="21" s="1"/>
  <c r="L55" i="21" a="1"/>
  <c r="L55" i="21" s="1"/>
  <c r="M55" i="21" a="1"/>
  <c r="M55" i="21" s="1"/>
  <c r="O55" i="21" a="1"/>
  <c r="O55" i="21" s="1"/>
  <c r="L44" i="21" a="1"/>
  <c r="L44" i="21" s="1"/>
  <c r="M44" i="21" a="1"/>
  <c r="M44" i="21" s="1"/>
  <c r="O44" i="21" a="1"/>
  <c r="O44" i="21" s="1"/>
  <c r="D44" i="21" a="1"/>
  <c r="D44" i="21" s="1"/>
  <c r="F44" i="21" a="1"/>
  <c r="F44" i="21" s="1"/>
  <c r="H44" i="21" a="1"/>
  <c r="H44" i="21" s="1"/>
  <c r="D21" i="21" a="1"/>
  <c r="D21" i="21" s="1"/>
  <c r="F21" i="21" a="1"/>
  <c r="F21" i="21" s="1"/>
  <c r="H21" i="21" a="1"/>
  <c r="H21" i="21" s="1"/>
  <c r="L21" i="21" a="1"/>
  <c r="L21" i="21" s="1"/>
  <c r="M21" i="21" a="1"/>
  <c r="M21" i="21" s="1"/>
  <c r="O21" i="21" a="1"/>
  <c r="O21" i="21" s="1"/>
  <c r="D52" i="21" a="1"/>
  <c r="D52" i="21" s="1"/>
  <c r="F52" i="21" a="1"/>
  <c r="F52" i="21" s="1"/>
  <c r="H52" i="21" a="1"/>
  <c r="H52" i="21" s="1"/>
  <c r="L52" i="21" a="1"/>
  <c r="L52" i="21" s="1"/>
  <c r="M52" i="21" a="1"/>
  <c r="M52" i="21" s="1"/>
  <c r="O52" i="21" a="1"/>
  <c r="O52" i="21" s="1"/>
  <c r="D51" i="21" a="1"/>
  <c r="D51" i="21" s="1"/>
  <c r="F51" i="21" a="1"/>
  <c r="F51" i="21" s="1"/>
  <c r="H51" i="21" a="1"/>
  <c r="H51" i="21" s="1"/>
  <c r="L51" i="21" a="1"/>
  <c r="L51" i="21" s="1"/>
  <c r="M51" i="21" a="1"/>
  <c r="M51" i="21" s="1"/>
  <c r="O51" i="21" a="1"/>
  <c r="O51" i="21" s="1"/>
  <c r="D50" i="21" a="1"/>
  <c r="D50" i="21" s="1"/>
  <c r="F50" i="21" a="1"/>
  <c r="F50" i="21" s="1"/>
  <c r="H50" i="21" a="1"/>
  <c r="H50" i="21" s="1"/>
  <c r="L50" i="21" a="1"/>
  <c r="L50" i="21" s="1"/>
  <c r="M50" i="21" a="1"/>
  <c r="M50" i="21" s="1"/>
  <c r="O50" i="21" a="1"/>
  <c r="O50" i="21" s="1"/>
  <c r="D49" i="21" a="1"/>
  <c r="D49" i="21" s="1"/>
  <c r="F49" i="21" a="1"/>
  <c r="F49" i="21" s="1"/>
  <c r="H49" i="21" a="1"/>
  <c r="H49" i="21" s="1"/>
  <c r="L49" i="21" a="1"/>
  <c r="L49" i="21" s="1"/>
  <c r="M49" i="21" a="1"/>
  <c r="M49" i="21" s="1"/>
  <c r="O49" i="21" a="1"/>
  <c r="O49" i="21" s="1"/>
  <c r="D47" i="21" a="1"/>
  <c r="D47" i="21" s="1"/>
  <c r="F47" i="21" a="1"/>
  <c r="F47" i="21" s="1"/>
  <c r="H47" i="21" a="1"/>
  <c r="H47" i="21" s="1"/>
  <c r="L47" i="21" a="1"/>
  <c r="L47" i="21" s="1"/>
  <c r="M47" i="21" a="1"/>
  <c r="M47" i="21" s="1"/>
  <c r="O47" i="21" a="1"/>
  <c r="O47" i="21" s="1"/>
  <c r="D46" i="21" a="1"/>
  <c r="D46" i="21" s="1"/>
  <c r="F46" i="21" a="1"/>
  <c r="F46" i="21" s="1"/>
  <c r="H46" i="21" a="1"/>
  <c r="H46" i="21" s="1"/>
  <c r="L46" i="21" a="1"/>
  <c r="L46" i="21" s="1"/>
  <c r="M46" i="21" a="1"/>
  <c r="M46" i="21" s="1"/>
  <c r="O46" i="21" a="1"/>
  <c r="O46" i="21" s="1"/>
  <c r="D39" i="21" a="1"/>
  <c r="D39" i="21" s="1"/>
  <c r="F39" i="21" a="1"/>
  <c r="F39" i="21" s="1"/>
  <c r="H39" i="21" a="1"/>
  <c r="H39" i="21" s="1"/>
  <c r="L39" i="21" a="1"/>
  <c r="L39" i="21" s="1"/>
  <c r="M39" i="21" a="1"/>
  <c r="M39" i="21" s="1"/>
  <c r="O39" i="21" a="1"/>
  <c r="O39" i="21" s="1"/>
  <c r="D31" i="21" a="1"/>
  <c r="D31" i="21" s="1"/>
  <c r="F31" i="21" a="1"/>
  <c r="F31" i="21" s="1"/>
  <c r="H31" i="21" a="1"/>
  <c r="H31" i="21" s="1"/>
  <c r="L31" i="21" a="1"/>
  <c r="L31" i="21" s="1"/>
  <c r="M31" i="21" a="1"/>
  <c r="M31" i="21" s="1"/>
  <c r="O31" i="21" a="1"/>
  <c r="O31" i="21" s="1"/>
  <c r="D43" i="21" a="1"/>
  <c r="D43" i="21" s="1"/>
  <c r="F43" i="21" a="1"/>
  <c r="F43" i="21" s="1"/>
  <c r="H43" i="21" a="1"/>
  <c r="H43" i="21" s="1"/>
  <c r="L43" i="21" a="1"/>
  <c r="L43" i="21" s="1"/>
  <c r="M43" i="21" a="1"/>
  <c r="M43" i="21" s="1"/>
  <c r="O43" i="21" a="1"/>
  <c r="O43" i="21" s="1"/>
  <c r="D42" i="21" a="1"/>
  <c r="D42" i="21" s="1"/>
  <c r="F42" i="21" a="1"/>
  <c r="F42" i="21" s="1"/>
  <c r="H42" i="21" a="1"/>
  <c r="H42" i="21" s="1"/>
  <c r="L42" i="21" a="1"/>
  <c r="L42" i="21" s="1"/>
  <c r="M42" i="21" a="1"/>
  <c r="M42" i="21" s="1"/>
  <c r="O42" i="21" a="1"/>
  <c r="O42" i="21" s="1"/>
  <c r="D41" i="21" a="1"/>
  <c r="D41" i="21" s="1"/>
  <c r="F41" i="21" a="1"/>
  <c r="F41" i="21" s="1"/>
  <c r="H41" i="21" a="1"/>
  <c r="H41" i="21" s="1"/>
  <c r="L41" i="21" a="1"/>
  <c r="L41" i="21" s="1"/>
  <c r="M41" i="21" a="1"/>
  <c r="M41" i="21" s="1"/>
  <c r="O41" i="21" a="1"/>
  <c r="O41" i="21" s="1"/>
  <c r="D38" i="21" a="1"/>
  <c r="D38" i="21" s="1"/>
  <c r="F38" i="21" a="1"/>
  <c r="F38" i="21" s="1"/>
  <c r="H38" i="21" a="1"/>
  <c r="H38" i="21" s="1"/>
  <c r="L38" i="21" a="1"/>
  <c r="L38" i="21" s="1"/>
  <c r="M38" i="21" a="1"/>
  <c r="M38" i="21" s="1"/>
  <c r="O38" i="21" a="1"/>
  <c r="O38" i="21" s="1"/>
  <c r="D37" i="21" a="1"/>
  <c r="D37" i="21" s="1"/>
  <c r="F37" i="21" a="1"/>
  <c r="F37" i="21" s="1"/>
  <c r="H37" i="21" a="1"/>
  <c r="H37" i="21" s="1"/>
  <c r="L37" i="21" a="1"/>
  <c r="L37" i="21" s="1"/>
  <c r="M37" i="21" a="1"/>
  <c r="M37" i="21" s="1"/>
  <c r="O37" i="21" a="1"/>
  <c r="O37" i="21" s="1"/>
  <c r="D36" i="21" a="1"/>
  <c r="D36" i="21" s="1"/>
  <c r="F36" i="21" a="1"/>
  <c r="F36" i="21" s="1"/>
  <c r="H36" i="21" a="1"/>
  <c r="H36" i="21" s="1"/>
  <c r="L36" i="21" a="1"/>
  <c r="L36" i="21" s="1"/>
  <c r="M36" i="21" a="1"/>
  <c r="M36" i="21" s="1"/>
  <c r="O36" i="21" a="1"/>
  <c r="O36" i="21" s="1"/>
  <c r="L35" i="21" a="1"/>
  <c r="L35" i="21" s="1"/>
  <c r="M35" i="21" a="1"/>
  <c r="M35" i="21" s="1"/>
  <c r="O35" i="21" a="1"/>
  <c r="O35" i="21" s="1"/>
  <c r="D35" i="21" a="1"/>
  <c r="D35" i="21" s="1"/>
  <c r="F35" i="21" a="1"/>
  <c r="F35" i="21" s="1"/>
  <c r="H35" i="21" a="1"/>
  <c r="H35" i="21" s="1"/>
  <c r="D34" i="21" a="1"/>
  <c r="D34" i="21" s="1"/>
  <c r="F34" i="21" a="1"/>
  <c r="F34" i="21" s="1"/>
  <c r="H34" i="21" a="1"/>
  <c r="H34" i="21" s="1"/>
  <c r="L34" i="21" a="1"/>
  <c r="L34" i="21" s="1"/>
  <c r="M34" i="21" a="1"/>
  <c r="M34" i="21" s="1"/>
  <c r="O34" i="21" a="1"/>
  <c r="O34" i="21" s="1"/>
  <c r="D33" i="21" a="1"/>
  <c r="D33" i="21" s="1"/>
  <c r="F33" i="21" a="1"/>
  <c r="F33" i="21" s="1"/>
  <c r="H33" i="21" a="1"/>
  <c r="H33" i="21" s="1"/>
  <c r="L33" i="21" a="1"/>
  <c r="L33" i="21" s="1"/>
  <c r="M33" i="21" a="1"/>
  <c r="M33" i="21" s="1"/>
  <c r="O33" i="21" a="1"/>
  <c r="O33" i="21" s="1"/>
  <c r="D32" i="21" a="1"/>
  <c r="D32" i="21" s="1"/>
  <c r="F32" i="21" a="1"/>
  <c r="F32" i="21" s="1"/>
  <c r="H32" i="21" a="1"/>
  <c r="H32" i="21" s="1"/>
  <c r="L32" i="21" a="1"/>
  <c r="L32" i="21" s="1"/>
  <c r="M32" i="21" a="1"/>
  <c r="M32" i="21" s="1"/>
  <c r="O32" i="21" a="1"/>
  <c r="O32" i="21" s="1"/>
  <c r="D29" i="21" a="1"/>
  <c r="D29" i="21" s="1"/>
  <c r="F29" i="21" a="1"/>
  <c r="F29" i="21" s="1"/>
  <c r="H29" i="21" a="1"/>
  <c r="H29" i="21" s="1"/>
  <c r="L29" i="21" a="1"/>
  <c r="L29" i="21" s="1"/>
  <c r="M29" i="21" a="1"/>
  <c r="M29" i="21" s="1"/>
  <c r="O29" i="21" a="1"/>
  <c r="O29" i="21" s="1"/>
  <c r="D28" i="21" a="1"/>
  <c r="D28" i="21" s="1"/>
  <c r="F28" i="21" a="1"/>
  <c r="F28" i="21" s="1"/>
  <c r="H28" i="21" a="1"/>
  <c r="H28" i="21" s="1"/>
  <c r="L28" i="21" a="1"/>
  <c r="L28" i="21" s="1"/>
  <c r="M28" i="21" a="1"/>
  <c r="M28" i="21" s="1"/>
  <c r="O28" i="21" a="1"/>
  <c r="O28" i="21" s="1"/>
  <c r="D27" i="21" a="1"/>
  <c r="D27" i="21" s="1"/>
  <c r="F27" i="21" a="1"/>
  <c r="F27" i="21" s="1"/>
  <c r="H27" i="21" a="1"/>
  <c r="H27" i="21" s="1"/>
  <c r="L27" i="21" a="1"/>
  <c r="L27" i="21" s="1"/>
  <c r="M27" i="21" a="1"/>
  <c r="M27" i="21" s="1"/>
  <c r="O27" i="21" a="1"/>
  <c r="O27" i="21" s="1"/>
  <c r="D25" i="21" a="1"/>
  <c r="D25" i="21" s="1"/>
  <c r="F25" i="21" a="1"/>
  <c r="F25" i="21" s="1"/>
  <c r="H25" i="21" a="1"/>
  <c r="H25" i="21" s="1"/>
  <c r="L25" i="21" a="1"/>
  <c r="L25" i="21" s="1"/>
  <c r="M25" i="21" a="1"/>
  <c r="M25" i="21" s="1"/>
  <c r="O25" i="21" a="1"/>
  <c r="O25" i="21" s="1"/>
  <c r="D24" i="21" a="1"/>
  <c r="D24" i="21" s="1"/>
  <c r="F24" i="21" a="1"/>
  <c r="F24" i="21" s="1"/>
  <c r="H24" i="21" a="1"/>
  <c r="H24" i="21" s="1"/>
  <c r="L24" i="21" a="1"/>
  <c r="L24" i="21" s="1"/>
  <c r="M24" i="21" a="1"/>
  <c r="M24" i="21" s="1"/>
  <c r="O24" i="21" a="1"/>
  <c r="O24" i="21" s="1"/>
  <c r="D20" i="21" a="1"/>
  <c r="D20" i="21" s="1"/>
  <c r="F20" i="21" a="1"/>
  <c r="F20" i="21" s="1"/>
  <c r="H20" i="21" a="1"/>
  <c r="H20" i="21" s="1"/>
  <c r="L20" i="21" a="1"/>
  <c r="L20" i="21" s="1"/>
  <c r="M20" i="21" a="1"/>
  <c r="M20" i="21" s="1"/>
  <c r="O20" i="21" a="1"/>
  <c r="O20" i="21" s="1"/>
  <c r="D19" i="21" a="1"/>
  <c r="D19" i="21" s="1"/>
  <c r="F19" i="21" a="1"/>
  <c r="F19" i="21" s="1"/>
  <c r="H19" i="21" a="1"/>
  <c r="H19" i="21" s="1"/>
  <c r="L19" i="21" a="1"/>
  <c r="L19" i="21" s="1"/>
  <c r="M19" i="21" a="1"/>
  <c r="M19" i="21" s="1"/>
  <c r="O19" i="21" a="1"/>
  <c r="O19" i="21" s="1"/>
  <c r="D18" i="21" a="1"/>
  <c r="D18" i="21" s="1"/>
  <c r="F18" i="21" a="1"/>
  <c r="F18" i="21" s="1"/>
  <c r="H18" i="21" a="1"/>
  <c r="H18" i="21" s="1"/>
  <c r="L18" i="21" a="1"/>
  <c r="L18" i="21" s="1"/>
  <c r="M18" i="21" a="1"/>
  <c r="M18" i="21" s="1"/>
  <c r="O18" i="21" a="1"/>
  <c r="O18" i="21" s="1"/>
  <c r="L14" i="20" a="1"/>
  <c r="L14" i="20" s="1"/>
  <c r="H14" i="20" a="1"/>
  <c r="H14" i="20" s="1"/>
  <c r="J14" i="20" a="1"/>
  <c r="J14" i="20" s="1"/>
  <c r="F14" i="20" a="1"/>
  <c r="F14" i="20" s="1"/>
  <c r="D14" i="20" a="1"/>
  <c r="D14" i="20" s="1"/>
  <c r="AA19" i="20" l="1" a="1"/>
  <c r="AA19" i="20" s="1"/>
  <c r="AB18" i="20" a="1"/>
  <c r="AB18" i="20" s="1"/>
  <c r="AE21" i="20" a="1"/>
  <c r="AE21" i="20" s="1"/>
  <c r="AD22" i="20" a="1"/>
  <c r="AD22" i="20" s="1"/>
  <c r="AD23" i="20" s="1" a="1"/>
  <c r="AD23" i="20" s="1"/>
  <c r="AE23" i="20" s="1" a="1"/>
  <c r="AE23" i="20" s="1"/>
  <c r="AM27" i="21" a="1"/>
  <c r="AM27" i="21" s="1"/>
  <c r="AM28" i="21" s="1" a="1"/>
  <c r="AM28" i="21" s="1"/>
  <c r="AM29" i="21" s="1" a="1"/>
  <c r="AM29" i="21" s="1"/>
  <c r="AM30" i="21" s="1" a="1"/>
  <c r="AM30" i="21" s="1"/>
  <c r="AM31" i="21" s="1" a="1"/>
  <c r="AM31" i="21" s="1"/>
  <c r="AM32" i="21" s="1" a="1"/>
  <c r="AM32" i="21" s="1"/>
  <c r="AM33" i="21" s="1" a="1"/>
  <c r="AM33" i="21" s="1"/>
  <c r="AM34" i="21" s="1" a="1"/>
  <c r="AM34" i="21" s="1"/>
  <c r="AM35" i="21" s="1" a="1"/>
  <c r="AM35" i="21" s="1"/>
  <c r="AM36" i="21" s="1" a="1"/>
  <c r="AM36" i="21" s="1"/>
  <c r="AM37" i="21" s="1" a="1"/>
  <c r="AM37" i="21" s="1"/>
  <c r="AM38" i="21" s="1" a="1"/>
  <c r="AM38" i="21" s="1"/>
  <c r="AM39" i="21" s="1" a="1"/>
  <c r="AM39" i="21" s="1"/>
  <c r="AM40" i="21" s="1" a="1"/>
  <c r="AM40" i="21" s="1"/>
  <c r="AM41" i="21" s="1" a="1"/>
  <c r="AM41" i="21" s="1"/>
  <c r="AM42" i="21" s="1" a="1"/>
  <c r="AM42" i="21" s="1"/>
  <c r="AM43" i="21" s="1" a="1"/>
  <c r="AM43" i="21" s="1"/>
  <c r="AM44" i="21" s="1" a="1"/>
  <c r="AM44" i="21" s="1"/>
  <c r="AM45" i="21" s="1" a="1"/>
  <c r="AM45" i="21" s="1"/>
  <c r="AM46" i="21" s="1" a="1"/>
  <c r="AM46" i="21" s="1"/>
  <c r="AM47" i="21" s="1" a="1"/>
  <c r="AM47" i="21" s="1"/>
  <c r="AM48" i="21" s="1" a="1"/>
  <c r="AM48" i="21" s="1"/>
  <c r="AM49" i="21" s="1" a="1"/>
  <c r="AM49" i="21" s="1"/>
  <c r="AM50" i="21" s="1" a="1"/>
  <c r="AM50" i="21" s="1"/>
  <c r="AM51" i="21" s="1" a="1"/>
  <c r="AM51" i="21" s="1"/>
  <c r="AM52" i="21" s="1" a="1"/>
  <c r="AM52" i="21" s="1"/>
  <c r="AM53" i="21" s="1" a="1"/>
  <c r="AM53" i="21" s="1"/>
  <c r="AM54" i="21" s="1" a="1"/>
  <c r="AM54" i="21" s="1"/>
  <c r="AM55" i="21" s="1" a="1"/>
  <c r="AM55" i="21" s="1"/>
  <c r="AM56" i="21" s="1" a="1"/>
  <c r="AM56" i="21" s="1"/>
  <c r="AM57" i="21" s="1" a="1"/>
  <c r="AM57" i="21" s="1"/>
  <c r="AM58" i="21" s="1" a="1"/>
  <c r="AM58" i="21" s="1"/>
  <c r="AM59" i="21" s="1" a="1"/>
  <c r="AM59" i="21" s="1"/>
  <c r="AM60" i="21" s="1" a="1"/>
  <c r="AM60" i="21" s="1"/>
  <c r="AM61" i="21" s="1" a="1"/>
  <c r="AM61" i="21" s="1"/>
  <c r="AM62" i="21" s="1" a="1"/>
  <c r="AM62" i="21" s="1"/>
  <c r="AM63" i="21" s="1" a="1"/>
  <c r="AM63" i="21" s="1"/>
  <c r="AM64" i="21" s="1" a="1"/>
  <c r="AM64" i="21" s="1"/>
  <c r="AM65" i="21" s="1" a="1"/>
  <c r="AM65" i="21" s="1"/>
  <c r="AM66" i="21" s="1" a="1"/>
  <c r="AM66" i="21" s="1"/>
  <c r="AI23" i="21" a="1"/>
  <c r="AI23" i="21" s="1"/>
  <c r="AJ21" i="21" a="1"/>
  <c r="AJ21" i="21" s="1"/>
  <c r="AN21" i="21" a="1"/>
  <c r="AN21" i="21" s="1"/>
  <c r="AL21" i="21" a="1"/>
  <c r="AL21" i="21" s="1"/>
  <c r="AK22" i="21" a="1"/>
  <c r="AK22" i="21" s="1"/>
  <c r="AH22" i="21" a="1"/>
  <c r="AH22" i="21" s="1"/>
  <c r="AB19" i="20" l="1" a="1"/>
  <c r="AB19" i="20" s="1"/>
  <c r="AA20" i="20" a="1"/>
  <c r="AA20" i="20" s="1"/>
  <c r="AE22" i="20" a="1"/>
  <c r="AE22" i="20" s="1"/>
  <c r="AD24" i="20" a="1"/>
  <c r="AD24" i="20" s="1"/>
  <c r="AI24" i="21" a="1"/>
  <c r="AI24" i="21" s="1"/>
  <c r="AI25" i="21" s="1" a="1"/>
  <c r="AI25" i="21" s="1"/>
  <c r="AI26" i="21" s="1" a="1"/>
  <c r="AI26" i="21" s="1"/>
  <c r="AI27" i="21" s="1" a="1"/>
  <c r="AI27" i="21" s="1"/>
  <c r="AI28" i="21" s="1" a="1"/>
  <c r="AI28" i="21" s="1"/>
  <c r="AI29" i="21" s="1" a="1"/>
  <c r="AI29" i="21" s="1"/>
  <c r="AI30" i="21" s="1" a="1"/>
  <c r="AI30" i="21" s="1"/>
  <c r="AI31" i="21" s="1" a="1"/>
  <c r="AI31" i="21" s="1"/>
  <c r="AI32" i="21" s="1" a="1"/>
  <c r="AI32" i="21" s="1"/>
  <c r="AI33" i="21" s="1" a="1"/>
  <c r="AI33" i="21" s="1"/>
  <c r="AI34" i="21" s="1" a="1"/>
  <c r="AI34" i="21" s="1"/>
  <c r="AI35" i="21" s="1" a="1"/>
  <c r="AI35" i="21" s="1"/>
  <c r="AI36" i="21" s="1" a="1"/>
  <c r="AI36" i="21" s="1"/>
  <c r="AI37" i="21" s="1" a="1"/>
  <c r="AI37" i="21" s="1"/>
  <c r="AI38" i="21" s="1" a="1"/>
  <c r="AI38" i="21" s="1"/>
  <c r="AI39" i="21" s="1" a="1"/>
  <c r="AI39" i="21" s="1"/>
  <c r="AI40" i="21" s="1" a="1"/>
  <c r="AI40" i="21" s="1"/>
  <c r="AI41" i="21" s="1" a="1"/>
  <c r="AI41" i="21" s="1"/>
  <c r="AI42" i="21" s="1" a="1"/>
  <c r="AI42" i="21" s="1"/>
  <c r="AI43" i="21" s="1" a="1"/>
  <c r="AI43" i="21" s="1"/>
  <c r="AI44" i="21" s="1" a="1"/>
  <c r="AI44" i="21" s="1"/>
  <c r="AI45" i="21" s="1" a="1"/>
  <c r="AI45" i="21" s="1"/>
  <c r="AI46" i="21" s="1" a="1"/>
  <c r="AI46" i="21" s="1"/>
  <c r="AI47" i="21" s="1" a="1"/>
  <c r="AI47" i="21" s="1"/>
  <c r="AI48" i="21" s="1" a="1"/>
  <c r="AI48" i="21" s="1"/>
  <c r="AI49" i="21" s="1" a="1"/>
  <c r="AI49" i="21" s="1"/>
  <c r="AI50" i="21" s="1" a="1"/>
  <c r="AI50" i="21" s="1"/>
  <c r="AI51" i="21" s="1" a="1"/>
  <c r="AI51" i="21" s="1"/>
  <c r="AI52" i="21" s="1" a="1"/>
  <c r="AI52" i="21" s="1"/>
  <c r="AI53" i="21" s="1" a="1"/>
  <c r="AI53" i="21" s="1"/>
  <c r="AI54" i="21" s="1" a="1"/>
  <c r="AI54" i="21" s="1"/>
  <c r="AI55" i="21" s="1" a="1"/>
  <c r="AI55" i="21" s="1"/>
  <c r="AI56" i="21" s="1" a="1"/>
  <c r="AI56" i="21" s="1"/>
  <c r="AI57" i="21" s="1" a="1"/>
  <c r="AI57" i="21" s="1"/>
  <c r="AI58" i="21" s="1" a="1"/>
  <c r="AI58" i="21" s="1"/>
  <c r="AI59" i="21" s="1" a="1"/>
  <c r="AI59" i="21" s="1"/>
  <c r="AI60" i="21" s="1" a="1"/>
  <c r="AI60" i="21" s="1"/>
  <c r="AI61" i="21" s="1" a="1"/>
  <c r="AI61" i="21" s="1"/>
  <c r="AI62" i="21" s="1" a="1"/>
  <c r="AI62" i="21" s="1"/>
  <c r="AI63" i="21" s="1" a="1"/>
  <c r="AI63" i="21" s="1"/>
  <c r="AI64" i="21" s="1" a="1"/>
  <c r="AI64" i="21" s="1"/>
  <c r="AI65" i="21" s="1" a="1"/>
  <c r="AI65" i="21" s="1"/>
  <c r="AI66" i="21" s="1" a="1"/>
  <c r="AI66" i="21" s="1"/>
  <c r="AJ22" i="21" a="1"/>
  <c r="AJ22" i="21" s="1"/>
  <c r="AN22" i="21" a="1"/>
  <c r="AN22" i="21" s="1"/>
  <c r="AL22" i="21" a="1"/>
  <c r="AL22" i="21" s="1"/>
  <c r="AK23" i="21" a="1"/>
  <c r="AK23" i="21" s="1"/>
  <c r="AH23" i="21" a="1"/>
  <c r="AH23" i="21" s="1"/>
  <c r="AA21" i="20" l="1" a="1"/>
  <c r="AA21" i="20" s="1"/>
  <c r="AB20" i="20" a="1"/>
  <c r="AB20" i="20" s="1"/>
  <c r="AE24" i="20" a="1"/>
  <c r="AE24" i="20" s="1"/>
  <c r="AD25" i="20" a="1"/>
  <c r="AD25" i="20" s="1"/>
  <c r="AJ23" i="21" a="1"/>
  <c r="AJ23" i="21" s="1"/>
  <c r="AN23" i="21" a="1"/>
  <c r="AN23" i="21" s="1"/>
  <c r="AL23" i="21" a="1"/>
  <c r="AL23" i="21" s="1"/>
  <c r="AK24" i="21" a="1"/>
  <c r="AK24" i="21" s="1"/>
  <c r="AH24" i="21" a="1"/>
  <c r="AH24" i="21" s="1"/>
  <c r="AA22" i="20" l="1" a="1"/>
  <c r="AA22" i="20" s="1"/>
  <c r="AB21" i="20" a="1"/>
  <c r="AB21" i="20" s="1"/>
  <c r="AD26" i="20" a="1"/>
  <c r="AD26" i="20" s="1"/>
  <c r="AE25" i="20" a="1"/>
  <c r="AE25" i="20" s="1"/>
  <c r="AJ24" i="21" a="1"/>
  <c r="AJ24" i="21" s="1"/>
  <c r="AN24" i="21" a="1"/>
  <c r="AN24" i="21" s="1"/>
  <c r="AL24" i="21" a="1"/>
  <c r="AL24" i="21" s="1"/>
  <c r="AK25" i="21" a="1"/>
  <c r="AK25" i="21" s="1"/>
  <c r="AH25" i="21" a="1"/>
  <c r="AH25" i="21" s="1"/>
  <c r="AA23" i="20" l="1" a="1"/>
  <c r="AA23" i="20" s="1"/>
  <c r="AB22" i="20" a="1"/>
  <c r="AB22" i="20" s="1"/>
  <c r="AD27" i="20" a="1"/>
  <c r="AD27" i="20" s="1"/>
  <c r="AE26" i="20" a="1"/>
  <c r="AE26" i="20" s="1"/>
  <c r="AJ25" i="21" a="1"/>
  <c r="AJ25" i="21" s="1"/>
  <c r="AN25" i="21" a="1"/>
  <c r="AN25" i="21" s="1"/>
  <c r="AL25" i="21" a="1"/>
  <c r="AL25" i="21" s="1"/>
  <c r="AK26" i="21" a="1"/>
  <c r="AK26" i="21" s="1"/>
  <c r="AH26" i="21" a="1"/>
  <c r="AH26" i="21" s="1"/>
  <c r="AA24" i="20" l="1" a="1"/>
  <c r="AA24" i="20" s="1"/>
  <c r="AB23" i="20" a="1"/>
  <c r="AB23" i="20" s="1"/>
  <c r="AD28" i="20" a="1"/>
  <c r="AD28" i="20" s="1"/>
  <c r="AE27" i="20" a="1"/>
  <c r="AE27" i="20" s="1"/>
  <c r="AN26" i="21" a="1"/>
  <c r="AN26" i="21" s="1"/>
  <c r="AJ26" i="21" a="1"/>
  <c r="AJ26" i="21" s="1"/>
  <c r="AL26" i="21" a="1"/>
  <c r="AL26" i="21" s="1"/>
  <c r="AK27" i="21" a="1"/>
  <c r="AK27" i="21" s="1"/>
  <c r="AH27" i="21" a="1"/>
  <c r="AH27" i="21" s="1"/>
  <c r="AB24" i="20" l="1" a="1"/>
  <c r="AB24" i="20" s="1"/>
  <c r="AA25" i="20" a="1"/>
  <c r="AA25" i="20" s="1"/>
  <c r="AE28" i="20" a="1"/>
  <c r="AE28" i="20" s="1"/>
  <c r="AD29" i="20" a="1"/>
  <c r="AD29" i="20" s="1"/>
  <c r="AN27" i="21" a="1"/>
  <c r="AN27" i="21" s="1"/>
  <c r="AJ27" i="21" a="1"/>
  <c r="AJ27" i="21" s="1"/>
  <c r="AL27" i="21" a="1"/>
  <c r="AL27" i="21" s="1"/>
  <c r="AK28" i="21" a="1"/>
  <c r="AK28" i="21" s="1"/>
  <c r="AK29" i="21" s="1" a="1"/>
  <c r="AK29" i="21" s="1"/>
  <c r="AH28" i="21" a="1"/>
  <c r="AH28" i="21" s="1"/>
  <c r="AA26" i="20" l="1" a="1"/>
  <c r="AA26" i="20" s="1"/>
  <c r="AB25" i="20" a="1"/>
  <c r="AB25" i="20" s="1"/>
  <c r="AD30" i="20" a="1"/>
  <c r="AD30" i="20" s="1"/>
  <c r="AE29" i="20" a="1"/>
  <c r="AE29" i="20" s="1"/>
  <c r="AN28" i="21" a="1"/>
  <c r="AN28" i="21" s="1"/>
  <c r="AJ28" i="21" a="1"/>
  <c r="AJ28" i="21" s="1"/>
  <c r="AL29" i="21" a="1"/>
  <c r="AL29" i="21" s="1"/>
  <c r="AL28" i="21" a="1"/>
  <c r="AL28" i="21" s="1"/>
  <c r="AK30" i="21" a="1"/>
  <c r="AK30" i="21" s="1"/>
  <c r="AH29" i="21" a="1"/>
  <c r="AH29" i="21" s="1"/>
  <c r="AB26" i="20" l="1" a="1"/>
  <c r="AB26" i="20" s="1"/>
  <c r="AA27" i="20" a="1"/>
  <c r="AA27" i="20" s="1"/>
  <c r="AD31" i="20" a="1"/>
  <c r="AD31" i="20" s="1"/>
  <c r="AE30" i="20" a="1"/>
  <c r="AE30" i="20" s="1"/>
  <c r="AN29" i="21" a="1"/>
  <c r="AN29" i="21" s="1"/>
  <c r="AJ29" i="21" a="1"/>
  <c r="AJ29" i="21" s="1"/>
  <c r="AH30" i="21" a="1"/>
  <c r="AH30" i="21" s="1"/>
  <c r="AL30" i="21" a="1"/>
  <c r="AL30" i="21" s="1"/>
  <c r="AK31" i="21" a="1"/>
  <c r="AK31" i="21" s="1"/>
  <c r="AA28" i="20" l="1" a="1"/>
  <c r="AA28" i="20" s="1"/>
  <c r="AB27" i="20" a="1"/>
  <c r="AB27" i="20" s="1"/>
  <c r="AD32" i="20" a="1"/>
  <c r="AD32" i="20" s="1"/>
  <c r="AE31" i="20" a="1"/>
  <c r="AE31" i="20" s="1"/>
  <c r="AN30" i="21" a="1"/>
  <c r="AN30" i="21" s="1"/>
  <c r="AJ30" i="21" a="1"/>
  <c r="AJ30" i="21" s="1"/>
  <c r="AL31" i="21" a="1"/>
  <c r="AL31" i="21" s="1"/>
  <c r="AK32" i="21" a="1"/>
  <c r="AK32" i="21" s="1"/>
  <c r="AH31" i="21" a="1"/>
  <c r="AH31" i="21" s="1"/>
  <c r="AA29" i="20" l="1" a="1"/>
  <c r="AA29" i="20" s="1"/>
  <c r="AB28" i="20" a="1"/>
  <c r="AB28" i="20" s="1"/>
  <c r="AD33" i="20" a="1"/>
  <c r="AD33" i="20" s="1"/>
  <c r="AE32" i="20" a="1"/>
  <c r="AE32" i="20" s="1"/>
  <c r="AN31" i="21" a="1"/>
  <c r="AN31" i="21" s="1"/>
  <c r="AJ31" i="21" a="1"/>
  <c r="AJ31" i="21" s="1"/>
  <c r="AH32" i="21" a="1"/>
  <c r="AH32" i="21" s="1"/>
  <c r="AL32" i="21" a="1"/>
  <c r="AL32" i="21" s="1"/>
  <c r="AK33" i="21" a="1"/>
  <c r="AK33" i="21" s="1"/>
  <c r="AA30" i="20" l="1" a="1"/>
  <c r="AA30" i="20" s="1"/>
  <c r="AB29" i="20" a="1"/>
  <c r="AB29" i="20" s="1"/>
  <c r="AD34" i="20" a="1"/>
  <c r="AD34" i="20" s="1"/>
  <c r="AE33" i="20" a="1"/>
  <c r="AE33" i="20" s="1"/>
  <c r="AN32" i="21" a="1"/>
  <c r="AN32" i="21" s="1"/>
  <c r="AJ32" i="21" a="1"/>
  <c r="AJ32" i="21" s="1"/>
  <c r="AH33" i="21" a="1"/>
  <c r="AH33" i="21" s="1"/>
  <c r="AL33" i="21" a="1"/>
  <c r="AL33" i="21" s="1"/>
  <c r="AK34" i="21" a="1"/>
  <c r="AK34" i="21" s="1"/>
  <c r="AA31" i="20" l="1" a="1"/>
  <c r="AA31" i="20" s="1"/>
  <c r="AB30" i="20" a="1"/>
  <c r="AB30" i="20" s="1"/>
  <c r="AD35" i="20" a="1"/>
  <c r="AD35" i="20" s="1"/>
  <c r="AE34" i="20" a="1"/>
  <c r="AE34" i="20" s="1"/>
  <c r="AN33" i="21" a="1"/>
  <c r="AN33" i="21" s="1"/>
  <c r="AJ33" i="21" a="1"/>
  <c r="AJ33" i="21" s="1"/>
  <c r="AH34" i="21" a="1"/>
  <c r="AH34" i="21" s="1"/>
  <c r="AL34" i="21" a="1"/>
  <c r="AL34" i="21" s="1"/>
  <c r="AK35" i="21" a="1"/>
  <c r="AK35" i="21" s="1"/>
  <c r="AA32" i="20" l="1" a="1"/>
  <c r="AA32" i="20" s="1"/>
  <c r="AB31" i="20" a="1"/>
  <c r="AB31" i="20" s="1"/>
  <c r="AE35" i="20" a="1"/>
  <c r="AE35" i="20" s="1"/>
  <c r="AD36" i="20" a="1"/>
  <c r="AD36" i="20" s="1"/>
  <c r="AN34" i="21" a="1"/>
  <c r="AN34" i="21" s="1"/>
  <c r="AJ34" i="21" a="1"/>
  <c r="AJ34" i="21" s="1"/>
  <c r="AH35" i="21" a="1"/>
  <c r="AH35" i="21" s="1"/>
  <c r="AL35" i="21" a="1"/>
  <c r="AL35" i="21" s="1"/>
  <c r="AK36" i="21" a="1"/>
  <c r="AK36" i="21" s="1"/>
  <c r="AA33" i="20" l="1" a="1"/>
  <c r="AA33" i="20" s="1"/>
  <c r="AB32" i="20" a="1"/>
  <c r="AB32" i="20" s="1"/>
  <c r="AD37" i="20" a="1"/>
  <c r="AD37" i="20" s="1"/>
  <c r="AE36" i="20" a="1"/>
  <c r="AE36" i="20" s="1"/>
  <c r="AN35" i="21" a="1"/>
  <c r="AN35" i="21" s="1"/>
  <c r="AJ35" i="21" a="1"/>
  <c r="AJ35" i="21" s="1"/>
  <c r="AL36" i="21" a="1"/>
  <c r="AL36" i="21" s="1"/>
  <c r="AH36" i="21" a="1"/>
  <c r="AH36" i="21" s="1"/>
  <c r="AK37" i="21" a="1"/>
  <c r="AK37" i="21" s="1"/>
  <c r="AA34" i="20" l="1" a="1"/>
  <c r="AA34" i="20" s="1"/>
  <c r="AB33" i="20" a="1"/>
  <c r="AB33" i="20" s="1"/>
  <c r="AE37" i="20" a="1"/>
  <c r="AE37" i="20" s="1"/>
  <c r="AD38" i="20" a="1"/>
  <c r="AD38" i="20" s="1"/>
  <c r="AN36" i="21" a="1"/>
  <c r="AN36" i="21" s="1"/>
  <c r="AJ36" i="21" a="1"/>
  <c r="AJ36" i="21" s="1"/>
  <c r="AH37" i="21" a="1"/>
  <c r="AH37" i="21" s="1"/>
  <c r="AL37" i="21" a="1"/>
  <c r="AL37" i="21" s="1"/>
  <c r="AK38" i="21" a="1"/>
  <c r="AK38" i="21" s="1"/>
  <c r="AB34" i="20" l="1" a="1"/>
  <c r="AB34" i="20" s="1"/>
  <c r="AA35" i="20" a="1"/>
  <c r="AA35" i="20" s="1"/>
  <c r="AD39" i="20" a="1"/>
  <c r="AD39" i="20" s="1"/>
  <c r="AE38" i="20" a="1"/>
  <c r="AE38" i="20" s="1"/>
  <c r="AN37" i="21" a="1"/>
  <c r="AN37" i="21" s="1"/>
  <c r="AJ37" i="21" a="1"/>
  <c r="AJ37" i="21" s="1"/>
  <c r="AL38" i="21" a="1"/>
  <c r="AL38" i="21" s="1"/>
  <c r="AH38" i="21" a="1"/>
  <c r="AH38" i="21" s="1"/>
  <c r="AK39" i="21" a="1"/>
  <c r="AK39" i="21" s="1"/>
  <c r="AA36" i="20" l="1" a="1"/>
  <c r="AA36" i="20" s="1"/>
  <c r="AB35" i="20" a="1"/>
  <c r="AB35" i="20" s="1"/>
  <c r="AD40" i="20" a="1"/>
  <c r="AD40" i="20" s="1"/>
  <c r="AE39" i="20" a="1"/>
  <c r="AE39" i="20" s="1"/>
  <c r="AN38" i="21" a="1"/>
  <c r="AN38" i="21" s="1"/>
  <c r="AJ38" i="21" a="1"/>
  <c r="AJ38" i="21" s="1"/>
  <c r="AH39" i="21" a="1"/>
  <c r="AH39" i="21" s="1"/>
  <c r="AL39" i="21" a="1"/>
  <c r="AL39" i="21" s="1"/>
  <c r="AK40" i="21" a="1"/>
  <c r="AK40" i="21" s="1"/>
  <c r="AA37" i="20" l="1" a="1"/>
  <c r="AA37" i="20" s="1"/>
  <c r="AB36" i="20" a="1"/>
  <c r="AB36" i="20" s="1"/>
  <c r="AE40" i="20" a="1"/>
  <c r="AE40" i="20" s="1"/>
  <c r="AD41" i="20" a="1"/>
  <c r="AD41" i="20" s="1"/>
  <c r="AN39" i="21" a="1"/>
  <c r="AN39" i="21" s="1"/>
  <c r="AJ39" i="21" a="1"/>
  <c r="AJ39" i="21" s="1"/>
  <c r="AH40" i="21" a="1"/>
  <c r="AH40" i="21" s="1"/>
  <c r="AL40" i="21" a="1"/>
  <c r="AL40" i="21" s="1"/>
  <c r="AK41" i="21" a="1"/>
  <c r="AK41" i="21" s="1"/>
  <c r="AB37" i="20" l="1" a="1"/>
  <c r="AB37" i="20" s="1"/>
  <c r="AA38" i="20" a="1"/>
  <c r="AA38" i="20" s="1"/>
  <c r="AD42" i="20" a="1"/>
  <c r="AD42" i="20" s="1"/>
  <c r="AE41" i="20" a="1"/>
  <c r="AE41" i="20" s="1"/>
  <c r="AN40" i="21" a="1"/>
  <c r="AN40" i="21" s="1"/>
  <c r="AJ40" i="21" a="1"/>
  <c r="AJ40" i="21" s="1"/>
  <c r="AH41" i="21" a="1"/>
  <c r="AH41" i="21" s="1"/>
  <c r="AL41" i="21" a="1"/>
  <c r="AL41" i="21" s="1"/>
  <c r="AK42" i="21" a="1"/>
  <c r="AK42" i="21" s="1"/>
  <c r="AA39" i="20" l="1" a="1"/>
  <c r="AA39" i="20" s="1"/>
  <c r="AB38" i="20" a="1"/>
  <c r="AB38" i="20" s="1"/>
  <c r="AD43" i="20" a="1"/>
  <c r="AD43" i="20" s="1"/>
  <c r="AE42" i="20" a="1"/>
  <c r="AE42" i="20" s="1"/>
  <c r="AN41" i="21" a="1"/>
  <c r="AN41" i="21" s="1"/>
  <c r="AJ41" i="21" a="1"/>
  <c r="AJ41" i="21" s="1"/>
  <c r="AH42" i="21" a="1"/>
  <c r="AH42" i="21" s="1"/>
  <c r="AL42" i="21" a="1"/>
  <c r="AL42" i="21" s="1"/>
  <c r="AK43" i="21" a="1"/>
  <c r="AK43" i="21" s="1"/>
  <c r="AA40" i="20" l="1" a="1"/>
  <c r="AA40" i="20" s="1"/>
  <c r="AB39" i="20" a="1"/>
  <c r="AB39" i="20" s="1"/>
  <c r="AE43" i="20" a="1"/>
  <c r="AE43" i="20" s="1"/>
  <c r="AD44" i="20" a="1"/>
  <c r="AD44" i="20" s="1"/>
  <c r="AN42" i="21" a="1"/>
  <c r="AN42" i="21" s="1"/>
  <c r="AJ42" i="21" a="1"/>
  <c r="AJ42" i="21" s="1"/>
  <c r="AH43" i="21" a="1"/>
  <c r="AH43" i="21" s="1"/>
  <c r="AL43" i="21" a="1"/>
  <c r="AL43" i="21" s="1"/>
  <c r="AK44" i="21" a="1"/>
  <c r="AK44" i="21" s="1"/>
  <c r="AA41" i="20" l="1" a="1"/>
  <c r="AA41" i="20" s="1"/>
  <c r="AB40" i="20" a="1"/>
  <c r="AB40" i="20" s="1"/>
  <c r="AD45" i="20" a="1"/>
  <c r="AD45" i="20" s="1"/>
  <c r="AE44" i="20" a="1"/>
  <c r="AE44" i="20" s="1"/>
  <c r="AN43" i="21" a="1"/>
  <c r="AN43" i="21" s="1"/>
  <c r="AJ43" i="21" a="1"/>
  <c r="AJ43" i="21" s="1"/>
  <c r="AH44" i="21" a="1"/>
  <c r="AH44" i="21" s="1"/>
  <c r="AL44" i="21" a="1"/>
  <c r="AL44" i="21" s="1"/>
  <c r="AK45" i="21" a="1"/>
  <c r="AK45" i="21" s="1"/>
  <c r="AA42" i="20" l="1" a="1"/>
  <c r="AA42" i="20" s="1"/>
  <c r="AB41" i="20" a="1"/>
  <c r="AB41" i="20" s="1"/>
  <c r="AD46" i="20" a="1"/>
  <c r="AD46" i="20" s="1"/>
  <c r="AE45" i="20" a="1"/>
  <c r="AE45" i="20" s="1"/>
  <c r="AN44" i="21" a="1"/>
  <c r="AN44" i="21" s="1"/>
  <c r="AJ44" i="21" a="1"/>
  <c r="AJ44" i="21" s="1"/>
  <c r="AH45" i="21" a="1"/>
  <c r="AH45" i="21" s="1"/>
  <c r="AL45" i="21" a="1"/>
  <c r="AL45" i="21" s="1"/>
  <c r="AK46" i="21" a="1"/>
  <c r="AK46" i="21" s="1"/>
  <c r="AB42" i="20" l="1" a="1"/>
  <c r="AB42" i="20" s="1"/>
  <c r="AA43" i="20" a="1"/>
  <c r="AA43" i="20" s="1"/>
  <c r="AE46" i="20" a="1"/>
  <c r="AE46" i="20" s="1"/>
  <c r="AD47" i="20" a="1"/>
  <c r="AD47" i="20" s="1"/>
  <c r="AN45" i="21" a="1"/>
  <c r="AN45" i="21" s="1"/>
  <c r="AJ45" i="21" a="1"/>
  <c r="AJ45" i="21" s="1"/>
  <c r="AH46" i="21" a="1"/>
  <c r="AH46" i="21" s="1"/>
  <c r="AL46" i="21" a="1"/>
  <c r="AL46" i="21" s="1"/>
  <c r="AK47" i="21" a="1"/>
  <c r="AK47" i="21" s="1"/>
  <c r="AA44" i="20" l="1" a="1"/>
  <c r="AA44" i="20" s="1"/>
  <c r="AB43" i="20" a="1"/>
  <c r="AB43" i="20" s="1"/>
  <c r="AD48" i="20" a="1"/>
  <c r="AD48" i="20" s="1"/>
  <c r="AE47" i="20" a="1"/>
  <c r="AE47" i="20" s="1"/>
  <c r="AN46" i="21" a="1"/>
  <c r="AN46" i="21" s="1"/>
  <c r="AJ46" i="21" a="1"/>
  <c r="AJ46" i="21" s="1"/>
  <c r="AH47" i="21" a="1"/>
  <c r="AH47" i="21" s="1"/>
  <c r="AL47" i="21" a="1"/>
  <c r="AL47" i="21" s="1"/>
  <c r="AK48" i="21" a="1"/>
  <c r="AK48" i="21" s="1"/>
  <c r="AA45" i="20" l="1" a="1"/>
  <c r="AA45" i="20" s="1"/>
  <c r="AB44" i="20" a="1"/>
  <c r="AB44" i="20" s="1"/>
  <c r="AD49" i="20" a="1"/>
  <c r="AD49" i="20" s="1"/>
  <c r="AE48" i="20" a="1"/>
  <c r="AE48" i="20" s="1"/>
  <c r="AN47" i="21" a="1"/>
  <c r="AN47" i="21" s="1"/>
  <c r="AJ47" i="21" a="1"/>
  <c r="AJ47" i="21" s="1"/>
  <c r="AH48" i="21" a="1"/>
  <c r="AH48" i="21" s="1"/>
  <c r="AL48" i="21" a="1"/>
  <c r="AL48" i="21" s="1"/>
  <c r="AK49" i="21" a="1"/>
  <c r="AK49" i="21" s="1"/>
  <c r="AA46" i="20" l="1" a="1"/>
  <c r="AA46" i="20" s="1"/>
  <c r="AB45" i="20" a="1"/>
  <c r="AB45" i="20" s="1"/>
  <c r="AD50" i="20" a="1"/>
  <c r="AD50" i="20" s="1"/>
  <c r="AE49" i="20" a="1"/>
  <c r="AE49" i="20" s="1"/>
  <c r="AN48" i="21" a="1"/>
  <c r="AN48" i="21" s="1"/>
  <c r="AJ48" i="21" a="1"/>
  <c r="AJ48" i="21" s="1"/>
  <c r="AH49" i="21" a="1"/>
  <c r="AH49" i="21" s="1"/>
  <c r="AL49" i="21" a="1"/>
  <c r="AL49" i="21" s="1"/>
  <c r="AK50" i="21" a="1"/>
  <c r="AK50" i="21" s="1"/>
  <c r="AA47" i="20" l="1" a="1"/>
  <c r="AA47" i="20" s="1"/>
  <c r="AB46" i="20" a="1"/>
  <c r="AB46" i="20" s="1"/>
  <c r="AE50" i="20" a="1"/>
  <c r="AE50" i="20" s="1"/>
  <c r="AD51" i="20" a="1"/>
  <c r="AD51" i="20" s="1"/>
  <c r="AN49" i="21" a="1"/>
  <c r="AN49" i="21" s="1"/>
  <c r="AJ49" i="21" a="1"/>
  <c r="AJ49" i="21" s="1"/>
  <c r="AH50" i="21" a="1"/>
  <c r="AH50" i="21" s="1"/>
  <c r="AL50" i="21" a="1"/>
  <c r="AL50" i="21" s="1"/>
  <c r="AK51" i="21" a="1"/>
  <c r="AK51" i="21" s="1"/>
  <c r="AA48" i="20" l="1" a="1"/>
  <c r="AA48" i="20" s="1"/>
  <c r="AB47" i="20" a="1"/>
  <c r="AB47" i="20" s="1"/>
  <c r="AD52" i="20" a="1"/>
  <c r="AD52" i="20" s="1"/>
  <c r="AE51" i="20" a="1"/>
  <c r="AE51" i="20" s="1"/>
  <c r="AN50" i="21" a="1"/>
  <c r="AN50" i="21" s="1"/>
  <c r="AJ50" i="21" a="1"/>
  <c r="AJ50" i="21" s="1"/>
  <c r="AH51" i="21" a="1"/>
  <c r="AH51" i="21" s="1"/>
  <c r="AL51" i="21" a="1"/>
  <c r="AL51" i="21" s="1"/>
  <c r="AK52" i="21" a="1"/>
  <c r="AK52" i="21" s="1"/>
  <c r="AA49" i="20" l="1" a="1"/>
  <c r="AA49" i="20" s="1"/>
  <c r="AB48" i="20" a="1"/>
  <c r="AB48" i="20" s="1"/>
  <c r="AE52" i="20" a="1"/>
  <c r="AE52" i="20" s="1"/>
  <c r="AD53" i="20" a="1"/>
  <c r="AD53" i="20" s="1"/>
  <c r="AN51" i="21" a="1"/>
  <c r="AN51" i="21" s="1"/>
  <c r="AJ51" i="21" a="1"/>
  <c r="AJ51" i="21" s="1"/>
  <c r="AH52" i="21" a="1"/>
  <c r="AH52" i="21" s="1"/>
  <c r="AL52" i="21" a="1"/>
  <c r="AL52" i="21" s="1"/>
  <c r="AK53" i="21" a="1"/>
  <c r="AK53" i="21" s="1"/>
  <c r="AA50" i="20" l="1" a="1"/>
  <c r="AA50" i="20" s="1"/>
  <c r="AB49" i="20" a="1"/>
  <c r="AB49" i="20" s="1"/>
  <c r="AD54" i="20" a="1"/>
  <c r="AD54" i="20" s="1"/>
  <c r="AE53" i="20" a="1"/>
  <c r="AE53" i="20" s="1"/>
  <c r="AN52" i="21" a="1"/>
  <c r="AN52" i="21" s="1"/>
  <c r="AJ52" i="21" a="1"/>
  <c r="AJ52" i="21" s="1"/>
  <c r="AH53" i="21" a="1"/>
  <c r="AH53" i="21" s="1"/>
  <c r="AL53" i="21" a="1"/>
  <c r="AL53" i="21" s="1"/>
  <c r="AK54" i="21" a="1"/>
  <c r="AK54" i="21" s="1"/>
  <c r="AB50" i="20" l="1" a="1"/>
  <c r="AB50" i="20" s="1"/>
  <c r="AA51" i="20" a="1"/>
  <c r="AA51" i="20" s="1"/>
  <c r="AD55" i="20" a="1"/>
  <c r="AD55" i="20" s="1"/>
  <c r="AE54" i="20" a="1"/>
  <c r="AE54" i="20" s="1"/>
  <c r="AN53" i="21" a="1"/>
  <c r="AN53" i="21" s="1"/>
  <c r="AJ53" i="21" a="1"/>
  <c r="AJ53" i="21" s="1"/>
  <c r="AH54" i="21" a="1"/>
  <c r="AH54" i="21" s="1"/>
  <c r="AL54" i="21" a="1"/>
  <c r="AL54" i="21" s="1"/>
  <c r="AK55" i="21" a="1"/>
  <c r="AK55" i="21" s="1"/>
  <c r="AA52" i="20" l="1" a="1"/>
  <c r="AA52" i="20" s="1"/>
  <c r="AB51" i="20" a="1"/>
  <c r="AB51" i="20" s="1"/>
  <c r="AD56" i="20" a="1"/>
  <c r="AD56" i="20" s="1"/>
  <c r="AE55" i="20" a="1"/>
  <c r="AE55" i="20" s="1"/>
  <c r="AN54" i="21" a="1"/>
  <c r="AN54" i="21" s="1"/>
  <c r="AJ54" i="21" a="1"/>
  <c r="AJ54" i="21" s="1"/>
  <c r="AH55" i="21" a="1"/>
  <c r="AH55" i="21" s="1"/>
  <c r="AL55" i="21" a="1"/>
  <c r="AL55" i="21" s="1"/>
  <c r="AK56" i="21" a="1"/>
  <c r="AK56" i="21" s="1"/>
  <c r="AA53" i="20" l="1" a="1"/>
  <c r="AA53" i="20" s="1"/>
  <c r="AB52" i="20" a="1"/>
  <c r="AB52" i="20" s="1"/>
  <c r="AD57" i="20" a="1"/>
  <c r="AD57" i="20" s="1"/>
  <c r="AE56" i="20" a="1"/>
  <c r="AE56" i="20" s="1"/>
  <c r="AN55" i="21" a="1"/>
  <c r="AN55" i="21" s="1"/>
  <c r="AJ55" i="21" a="1"/>
  <c r="AJ55" i="21" s="1"/>
  <c r="AH56" i="21" a="1"/>
  <c r="AH56" i="21" s="1"/>
  <c r="AL56" i="21" a="1"/>
  <c r="AL56" i="21" s="1"/>
  <c r="AK57" i="21" a="1"/>
  <c r="AK57" i="21" s="1"/>
  <c r="AK58" i="21" s="1" a="1"/>
  <c r="AK58" i="21" s="1"/>
  <c r="AL58" i="21" s="1" a="1"/>
  <c r="AL58" i="21" s="1"/>
  <c r="AA54" i="20" l="1" a="1"/>
  <c r="AA54" i="20" s="1"/>
  <c r="AB53" i="20" a="1"/>
  <c r="AB53" i="20" s="1"/>
  <c r="AE57" i="20" a="1"/>
  <c r="AE57" i="20" s="1"/>
  <c r="AD58" i="20" a="1"/>
  <c r="AD58" i="20" s="1"/>
  <c r="AN56" i="21" a="1"/>
  <c r="AN56" i="21" s="1"/>
  <c r="AJ56" i="21" a="1"/>
  <c r="AJ56" i="21" s="1"/>
  <c r="AL57" i="21" a="1"/>
  <c r="AL57" i="21" s="1"/>
  <c r="AH57" i="21" a="1"/>
  <c r="AH57" i="21" s="1"/>
  <c r="AK59" i="21" a="1"/>
  <c r="AK59" i="21" s="1"/>
  <c r="AA55" i="20" l="1" a="1"/>
  <c r="AA55" i="20" s="1"/>
  <c r="AB54" i="20" a="1"/>
  <c r="AB54" i="20" s="1"/>
  <c r="AD59" i="20" a="1"/>
  <c r="AD59" i="20" s="1"/>
  <c r="AE58" i="20" a="1"/>
  <c r="AE58" i="20" s="1"/>
  <c r="AN57" i="21" a="1"/>
  <c r="AN57" i="21" s="1"/>
  <c r="AJ57" i="21" a="1"/>
  <c r="AJ57" i="21" s="1"/>
  <c r="AH58" i="21" a="1"/>
  <c r="AH58" i="21" s="1"/>
  <c r="AL59" i="21" a="1"/>
  <c r="AL59" i="21" s="1"/>
  <c r="AK60" i="21" a="1"/>
  <c r="AK60" i="21" s="1"/>
  <c r="AB55" i="20" l="1" a="1"/>
  <c r="AB55" i="20" s="1"/>
  <c r="AA56" i="20" a="1"/>
  <c r="AA56" i="20" s="1"/>
  <c r="AE59" i="20" a="1"/>
  <c r="AE59" i="20" s="1"/>
  <c r="AD60" i="20" a="1"/>
  <c r="AD60" i="20" s="1"/>
  <c r="AN58" i="21" a="1"/>
  <c r="AN58" i="21" s="1"/>
  <c r="AJ58" i="21" a="1"/>
  <c r="AJ58" i="21" s="1"/>
  <c r="AH59" i="21" a="1"/>
  <c r="AH59" i="21" s="1"/>
  <c r="AL60" i="21" a="1"/>
  <c r="AL60" i="21" s="1"/>
  <c r="AK61" i="21" a="1"/>
  <c r="AK61" i="21" s="1"/>
  <c r="AA57" i="20" l="1" a="1"/>
  <c r="AA57" i="20" s="1"/>
  <c r="AB56" i="20" a="1"/>
  <c r="AB56" i="20" s="1"/>
  <c r="AD61" i="20" a="1"/>
  <c r="AD61" i="20" s="1"/>
  <c r="AE60" i="20" a="1"/>
  <c r="AE60" i="20" s="1"/>
  <c r="AN59" i="21" a="1"/>
  <c r="AN59" i="21" s="1"/>
  <c r="AJ59" i="21" a="1"/>
  <c r="AJ59" i="21" s="1"/>
  <c r="AH60" i="21" a="1"/>
  <c r="AH60" i="21" s="1"/>
  <c r="AL61" i="21" a="1"/>
  <c r="AL61" i="21" s="1"/>
  <c r="AK62" i="21" a="1"/>
  <c r="AK62" i="21" s="1"/>
  <c r="AA58" i="20" l="1" a="1"/>
  <c r="AA58" i="20" s="1"/>
  <c r="AB57" i="20" a="1"/>
  <c r="AB57" i="20" s="1"/>
  <c r="AD62" i="20" a="1"/>
  <c r="AD62" i="20" s="1"/>
  <c r="AE61" i="20" a="1"/>
  <c r="AE61" i="20" s="1"/>
  <c r="AN60" i="21" a="1"/>
  <c r="AN60" i="21" s="1"/>
  <c r="AJ60" i="21" a="1"/>
  <c r="AJ60" i="21" s="1"/>
  <c r="AH61" i="21" a="1"/>
  <c r="AH61" i="21" s="1"/>
  <c r="AL62" i="21" a="1"/>
  <c r="AL62" i="21" s="1"/>
  <c r="AK63" i="21" a="1"/>
  <c r="AK63" i="21" s="1"/>
  <c r="AA59" i="20" l="1" a="1"/>
  <c r="AA59" i="20" s="1"/>
  <c r="AB58" i="20" a="1"/>
  <c r="AB58" i="20" s="1"/>
  <c r="AD63" i="20" a="1"/>
  <c r="AD63" i="20" s="1"/>
  <c r="AE63" i="20" s="1" a="1"/>
  <c r="AE63" i="20" s="1"/>
  <c r="AE62" i="20" a="1"/>
  <c r="AE62" i="20" s="1"/>
  <c r="AN61" i="21" a="1"/>
  <c r="AN61" i="21" s="1"/>
  <c r="AJ61" i="21" a="1"/>
  <c r="AJ61" i="21" s="1"/>
  <c r="AH62" i="21" a="1"/>
  <c r="AH62" i="21" s="1"/>
  <c r="AL63" i="21" a="1"/>
  <c r="AL63" i="21" s="1"/>
  <c r="AK64" i="21" a="1"/>
  <c r="AK64" i="21" s="1"/>
  <c r="AA60" i="20" l="1" a="1"/>
  <c r="AA60" i="20" s="1"/>
  <c r="AB59" i="20" a="1"/>
  <c r="AB59" i="20" s="1"/>
  <c r="X14" i="20" a="1"/>
  <c r="X14" i="20" s="1"/>
  <c r="Y14" i="20" s="1"/>
  <c r="AN62" i="21" a="1"/>
  <c r="AN62" i="21" s="1"/>
  <c r="AJ62" i="21" a="1"/>
  <c r="AJ62" i="21" s="1"/>
  <c r="AH63" i="21" a="1"/>
  <c r="AH63" i="21" s="1"/>
  <c r="AL64" i="21" a="1"/>
  <c r="AL64" i="21" s="1"/>
  <c r="AK65" i="21" a="1"/>
  <c r="AK65" i="21" s="1"/>
  <c r="AB60" i="20" l="1" a="1"/>
  <c r="AB60" i="20" s="1"/>
  <c r="AA61" i="20" a="1"/>
  <c r="AA61" i="20" s="1"/>
  <c r="X15" i="20" a="1"/>
  <c r="X15" i="20" s="1"/>
  <c r="Y15" i="20" s="1"/>
  <c r="AN63" i="21" a="1"/>
  <c r="AN63" i="21" s="1"/>
  <c r="AJ63" i="21" a="1"/>
  <c r="AJ63" i="21" s="1"/>
  <c r="AH64" i="21" a="1"/>
  <c r="AH64" i="21" s="1"/>
  <c r="AL65" i="21" a="1"/>
  <c r="AL65" i="21" s="1"/>
  <c r="AK66" i="21" a="1"/>
  <c r="AK66" i="21" s="1"/>
  <c r="AL66" i="21" s="1" a="1"/>
  <c r="AL66" i="21" s="1"/>
  <c r="X16" i="20" l="1" a="1"/>
  <c r="X16" i="20" s="1"/>
  <c r="Y16" i="20" s="1"/>
  <c r="AA62" i="20" a="1"/>
  <c r="AA62" i="20" s="1"/>
  <c r="AB61" i="20" a="1"/>
  <c r="AB61" i="20" s="1"/>
  <c r="AN64" i="21" a="1"/>
  <c r="AN64" i="21" s="1"/>
  <c r="AJ64" i="21" a="1"/>
  <c r="AJ64" i="21" s="1"/>
  <c r="AH65" i="21" a="1"/>
  <c r="AH65" i="21" s="1"/>
  <c r="AH66" i="21" a="1"/>
  <c r="AH66" i="21" s="1"/>
  <c r="X17" i="20" l="1" a="1"/>
  <c r="X17" i="20" s="1"/>
  <c r="Y17" i="20" s="1"/>
  <c r="AA63" i="20" a="1"/>
  <c r="AA63" i="20" s="1"/>
  <c r="AB63" i="20" s="1" a="1"/>
  <c r="AB63" i="20" s="1"/>
  <c r="AB62" i="20" a="1"/>
  <c r="AB62" i="20" s="1"/>
  <c r="AN65" i="21" a="1"/>
  <c r="AN65" i="21" s="1"/>
  <c r="AN66" i="21" a="1"/>
  <c r="AN66" i="21" s="1"/>
  <c r="AJ65" i="21" a="1"/>
  <c r="AJ65" i="21" s="1"/>
  <c r="AJ66" i="21" a="1"/>
  <c r="AJ66" i="21" s="1"/>
  <c r="X18" i="20" l="1" a="1"/>
  <c r="X18" i="20" s="1"/>
  <c r="Y18" i="20" s="1"/>
  <c r="U14" i="20" a="1"/>
  <c r="U14" i="20" s="1"/>
  <c r="V14" i="20" s="1"/>
  <c r="U15" i="20" s="1" a="1"/>
  <c r="U15" i="20" s="1"/>
  <c r="V15" i="20" s="1"/>
  <c r="AF32" i="21"/>
  <c r="AE17" i="21" a="1"/>
  <c r="AE17" i="21" s="1"/>
  <c r="AF37" i="21"/>
  <c r="AF24" i="21"/>
  <c r="AF20" i="21"/>
  <c r="AF44" i="21"/>
  <c r="AF61" i="21"/>
  <c r="AF60" i="21"/>
  <c r="AF62" i="21"/>
  <c r="AF64" i="21"/>
  <c r="AF59" i="21"/>
  <c r="AF56" i="21"/>
  <c r="AF54" i="21"/>
  <c r="AF46" i="21"/>
  <c r="AF25" i="21"/>
  <c r="AF35" i="21"/>
  <c r="AF27" i="21"/>
  <c r="AF19" i="21"/>
  <c r="AF22" i="21"/>
  <c r="AF30" i="21"/>
  <c r="AF38" i="21"/>
  <c r="AF47" i="21"/>
  <c r="AF55" i="21"/>
  <c r="AF65" i="21"/>
  <c r="AF58" i="21"/>
  <c r="AF28" i="21"/>
  <c r="AF49" i="21"/>
  <c r="AF50" i="21"/>
  <c r="AF17" i="21"/>
  <c r="AF33" i="21"/>
  <c r="AF41" i="21"/>
  <c r="AF29" i="21"/>
  <c r="AF63" i="21"/>
  <c r="AF21" i="21"/>
  <c r="AF57" i="21"/>
  <c r="AF52" i="21"/>
  <c r="AF48" i="21"/>
  <c r="AF43" i="21"/>
  <c r="AF39" i="21"/>
  <c r="AF31" i="21"/>
  <c r="AF23" i="21"/>
  <c r="AF18" i="21"/>
  <c r="AF26" i="21"/>
  <c r="AF34" i="21"/>
  <c r="AF42" i="21"/>
  <c r="AF51" i="21"/>
  <c r="AF45" i="21"/>
  <c r="AF40" i="21"/>
  <c r="AF36" i="21"/>
  <c r="AF66" i="21"/>
  <c r="AF53" i="21"/>
  <c r="AC26" i="21"/>
  <c r="AC40" i="21"/>
  <c r="AC48" i="21"/>
  <c r="AC61" i="21"/>
  <c r="AC28" i="21"/>
  <c r="AC54" i="21"/>
  <c r="AC33" i="21"/>
  <c r="AC45" i="21"/>
  <c r="AC17" i="21"/>
  <c r="AC43" i="21"/>
  <c r="AC55" i="21"/>
  <c r="AC62" i="21"/>
  <c r="AC56" i="21"/>
  <c r="AC44" i="21"/>
  <c r="AC29" i="21"/>
  <c r="AC58" i="21"/>
  <c r="AC65" i="21"/>
  <c r="AC64" i="21"/>
  <c r="AC22" i="21"/>
  <c r="AC46" i="21"/>
  <c r="AC23" i="21"/>
  <c r="AC42" i="21"/>
  <c r="AC30" i="21"/>
  <c r="AC60" i="21"/>
  <c r="AC37" i="21"/>
  <c r="AC35" i="21"/>
  <c r="AC47" i="21"/>
  <c r="AC57" i="21"/>
  <c r="AC50" i="21"/>
  <c r="AC19" i="21"/>
  <c r="AC49" i="21"/>
  <c r="AC32" i="21"/>
  <c r="AC31" i="21"/>
  <c r="AC24" i="21"/>
  <c r="AC52" i="21"/>
  <c r="AC25" i="21"/>
  <c r="AC34" i="21"/>
  <c r="AC38" i="21"/>
  <c r="AC59" i="21"/>
  <c r="AC63" i="21"/>
  <c r="AC53" i="21"/>
  <c r="AC20" i="21"/>
  <c r="AC39" i="21"/>
  <c r="AC51" i="21"/>
  <c r="AC36" i="21"/>
  <c r="AC18" i="21"/>
  <c r="AC21" i="21"/>
  <c r="AC41" i="21"/>
  <c r="AC27" i="21"/>
  <c r="AB17" i="21" a="1"/>
  <c r="AB17" i="21" s="1"/>
  <c r="AC66" i="21"/>
  <c r="X19" i="20" l="1" a="1"/>
  <c r="X19" i="20" s="1"/>
  <c r="Y19" i="20" s="1"/>
  <c r="X20" i="20" s="1" a="1"/>
  <c r="X20" i="20" s="1"/>
  <c r="Y20" i="20" s="1"/>
  <c r="U16" i="20" a="1"/>
  <c r="U16" i="20" s="1"/>
  <c r="V16" i="20" s="1"/>
  <c r="U17" i="20" s="1" a="1"/>
  <c r="U17" i="20" s="1"/>
  <c r="V17" i="20" s="1"/>
  <c r="AE42" i="21" a="1"/>
  <c r="AE42" i="21" s="1"/>
  <c r="AE31" i="21" a="1"/>
  <c r="AE31" i="21" s="1"/>
  <c r="AE24" i="21" a="1"/>
  <c r="AE24" i="21" s="1"/>
  <c r="AE63" i="21" a="1"/>
  <c r="AE63" i="21" s="1"/>
  <c r="AE29" i="21" a="1"/>
  <c r="AE29" i="21" s="1"/>
  <c r="AE36" i="21" a="1"/>
  <c r="AE36" i="21" s="1"/>
  <c r="AE65" i="21" a="1"/>
  <c r="AE65" i="21" s="1"/>
  <c r="AE34" i="21" a="1"/>
  <c r="AE34" i="21" s="1"/>
  <c r="AE60" i="21" a="1"/>
  <c r="AE60" i="21" s="1"/>
  <c r="AE64" i="21" a="1"/>
  <c r="AE64" i="21" s="1"/>
  <c r="AE48" i="21" a="1"/>
  <c r="AE48" i="21" s="1"/>
  <c r="AE55" i="21" a="1"/>
  <c r="AE55" i="21" s="1"/>
  <c r="AE32" i="21" a="1"/>
  <c r="AE32" i="21" s="1"/>
  <c r="AE39" i="21" a="1"/>
  <c r="AE39" i="21" s="1"/>
  <c r="AE50" i="21" a="1"/>
  <c r="AE50" i="21" s="1"/>
  <c r="AE25" i="21" a="1"/>
  <c r="AE25" i="21" s="1"/>
  <c r="AE28" i="21" a="1"/>
  <c r="AE28" i="21" s="1"/>
  <c r="AE41" i="21" a="1"/>
  <c r="AE41" i="21" s="1"/>
  <c r="AE58" i="21" a="1"/>
  <c r="AE58" i="21" s="1"/>
  <c r="AE19" i="21" a="1"/>
  <c r="AE19" i="21" s="1"/>
  <c r="AE30" i="21" a="1"/>
  <c r="AE30" i="21" s="1"/>
  <c r="AE37" i="21" a="1"/>
  <c r="AE37" i="21" s="1"/>
  <c r="AE62" i="21" a="1"/>
  <c r="AE62" i="21" s="1"/>
  <c r="AE27" i="21" a="1"/>
  <c r="AE27" i="21" s="1"/>
  <c r="AE23" i="21" a="1"/>
  <c r="AE23" i="21" s="1"/>
  <c r="AE33" i="21" a="1"/>
  <c r="AE33" i="21" s="1"/>
  <c r="AE47" i="21" a="1"/>
  <c r="AE47" i="21" s="1"/>
  <c r="AE20" i="21" a="1"/>
  <c r="AE20" i="21" s="1"/>
  <c r="AE40" i="21" a="1"/>
  <c r="AE40" i="21" s="1"/>
  <c r="AE35" i="21" a="1"/>
  <c r="AE35" i="21" s="1"/>
  <c r="AE57" i="21" a="1"/>
  <c r="AE57" i="21" s="1"/>
  <c r="AE66" i="21" a="1"/>
  <c r="AE66" i="21" s="1"/>
  <c r="AE59" i="21" a="1"/>
  <c r="AE59" i="21" s="1"/>
  <c r="AE54" i="21" a="1"/>
  <c r="AE54" i="21" s="1"/>
  <c r="AE21" i="21" a="1"/>
  <c r="AE21" i="21" s="1"/>
  <c r="AE18" i="21" a="1"/>
  <c r="AE18" i="21" s="1"/>
  <c r="AE43" i="21" a="1"/>
  <c r="AE43" i="21" s="1"/>
  <c r="AE51" i="21" a="1"/>
  <c r="AE51" i="21" s="1"/>
  <c r="AE44" i="21" a="1"/>
  <c r="AE44" i="21" s="1"/>
  <c r="AE38" i="21" a="1"/>
  <c r="AE38" i="21" s="1"/>
  <c r="AE46" i="21" a="1"/>
  <c r="AE46" i="21" s="1"/>
  <c r="AE61" i="21" a="1"/>
  <c r="AE61" i="21" s="1"/>
  <c r="AE56" i="21" a="1"/>
  <c r="AE56" i="21" s="1"/>
  <c r="AE22" i="21" a="1"/>
  <c r="AE22" i="21" s="1"/>
  <c r="AE52" i="21" a="1"/>
  <c r="AE52" i="21" s="1"/>
  <c r="AE53" i="21" a="1"/>
  <c r="AE53" i="21" s="1"/>
  <c r="AE49" i="21" a="1"/>
  <c r="AE49" i="21" s="1"/>
  <c r="AE26" i="21" a="1"/>
  <c r="AE26" i="21" s="1"/>
  <c r="AE45" i="21" a="1"/>
  <c r="AE45" i="21" s="1"/>
  <c r="AB44" i="21" a="1"/>
  <c r="AB44" i="21" s="1"/>
  <c r="AB49" i="21" a="1"/>
  <c r="AB49" i="21" s="1"/>
  <c r="AB40" i="21" a="1"/>
  <c r="AB40" i="21" s="1"/>
  <c r="AB41" i="21" a="1"/>
  <c r="AB41" i="21" s="1"/>
  <c r="AB38" i="21" a="1"/>
  <c r="AB38" i="21" s="1"/>
  <c r="AB26" i="21" a="1"/>
  <c r="AB26" i="21" s="1"/>
  <c r="AB25" i="21" a="1"/>
  <c r="AB25" i="21" s="1"/>
  <c r="AB58" i="21" a="1"/>
  <c r="AB58" i="21" s="1"/>
  <c r="AB39" i="21" a="1"/>
  <c r="AB39" i="21" s="1"/>
  <c r="AB37" i="21" a="1"/>
  <c r="AB37" i="21" s="1"/>
  <c r="AB59" i="21" a="1"/>
  <c r="AB59" i="21" s="1"/>
  <c r="AB55" i="21" a="1"/>
  <c r="AB55" i="21" s="1"/>
  <c r="AB46" i="21" a="1"/>
  <c r="AB46" i="21" s="1"/>
  <c r="AB32" i="21" a="1"/>
  <c r="AB32" i="21" s="1"/>
  <c r="AB57" i="21" a="1"/>
  <c r="AB57" i="21" s="1"/>
  <c r="AB20" i="21" a="1"/>
  <c r="AB20" i="21" s="1"/>
  <c r="AB48" i="21" a="1"/>
  <c r="AB48" i="21" s="1"/>
  <c r="AB42" i="21" a="1"/>
  <c r="AB42" i="21" s="1"/>
  <c r="AB35" i="21" a="1"/>
  <c r="AB35" i="21" s="1"/>
  <c r="AB30" i="21" a="1"/>
  <c r="AB30" i="21" s="1"/>
  <c r="AB54" i="21" a="1"/>
  <c r="AB54" i="21" s="1"/>
  <c r="AB29" i="21" a="1"/>
  <c r="AB29" i="21" s="1"/>
  <c r="AB33" i="21" a="1"/>
  <c r="AB33" i="21" s="1"/>
  <c r="AB62" i="21" a="1"/>
  <c r="AB62" i="21" s="1"/>
  <c r="AB43" i="21" a="1"/>
  <c r="AB43" i="21" s="1"/>
  <c r="AB21" i="21" a="1"/>
  <c r="AB21" i="21" s="1"/>
  <c r="AB27" i="21" a="1"/>
  <c r="AB27" i="21" s="1"/>
  <c r="AB19" i="21" a="1"/>
  <c r="AB19" i="21" s="1"/>
  <c r="AB47" i="21" a="1"/>
  <c r="AB47" i="21" s="1"/>
  <c r="AB51" i="21" a="1"/>
  <c r="AB51" i="21" s="1"/>
  <c r="AB63" i="21" a="1"/>
  <c r="AB63" i="21" s="1"/>
  <c r="AB18" i="21" a="1"/>
  <c r="AB18" i="21" s="1"/>
  <c r="AB60" i="21" a="1"/>
  <c r="AB60" i="21" s="1"/>
  <c r="AB24" i="21" a="1"/>
  <c r="AB24" i="21" s="1"/>
  <c r="AB45" i="21" a="1"/>
  <c r="AB45" i="21" s="1"/>
  <c r="AB34" i="21" a="1"/>
  <c r="AB34" i="21" s="1"/>
  <c r="AB36" i="21" a="1"/>
  <c r="AB36" i="21" s="1"/>
  <c r="AB53" i="21" a="1"/>
  <c r="AB53" i="21" s="1"/>
  <c r="AB65" i="21" a="1"/>
  <c r="AB65" i="21" s="1"/>
  <c r="AB66" i="21" a="1"/>
  <c r="AB66" i="21" s="1"/>
  <c r="AB61" i="21" a="1"/>
  <c r="AB61" i="21" s="1"/>
  <c r="AB64" i="21" a="1"/>
  <c r="AB64" i="21" s="1"/>
  <c r="AB56" i="21" a="1"/>
  <c r="AB56" i="21" s="1"/>
  <c r="AB52" i="21" a="1"/>
  <c r="AB52" i="21" s="1"/>
  <c r="AB22" i="21" a="1"/>
  <c r="AB22" i="21" s="1"/>
  <c r="AB28" i="21" a="1"/>
  <c r="AB28" i="21" s="1"/>
  <c r="AB50" i="21" a="1"/>
  <c r="AB50" i="21" s="1"/>
  <c r="AB31" i="21" a="1"/>
  <c r="AB31" i="21" s="1"/>
  <c r="AB23" i="21" a="1"/>
  <c r="AB23" i="21" s="1"/>
  <c r="X21" i="20" l="1" a="1"/>
  <c r="X21" i="20" s="1"/>
  <c r="Y21" i="20" s="1"/>
  <c r="X22" i="20" s="1" a="1"/>
  <c r="X22" i="20" s="1"/>
  <c r="U18" i="20" a="1"/>
  <c r="U18" i="20" s="1"/>
  <c r="V18" i="20" s="1"/>
  <c r="O17" i="21" a="1"/>
  <c r="O17" i="21" s="1"/>
  <c r="M17" i="21" a="1"/>
  <c r="M17" i="21" s="1"/>
  <c r="L17" i="21" a="1"/>
  <c r="L17" i="21" s="1"/>
  <c r="J17" i="21" a="1"/>
  <c r="J17" i="21" s="1"/>
  <c r="H17" i="21" a="1"/>
  <c r="H17" i="21" s="1"/>
  <c r="F17" i="21" a="1"/>
  <c r="F17" i="21" s="1"/>
  <c r="D17" i="21" a="1"/>
  <c r="D17" i="21" s="1"/>
  <c r="Y22" i="20" l="1"/>
  <c r="X23" i="20" a="1"/>
  <c r="X23" i="20" s="1"/>
  <c r="U19" i="20" a="1"/>
  <c r="U19" i="20" s="1"/>
  <c r="V19" i="20" s="1"/>
  <c r="Y23" i="20" l="1"/>
  <c r="X24" i="20" s="1" a="1"/>
  <c r="X24" i="20" s="1"/>
  <c r="U20" i="20" a="1"/>
  <c r="U20" i="20" s="1"/>
  <c r="V20" i="20" s="1"/>
  <c r="Y24" i="20" l="1"/>
  <c r="X25" i="20" a="1"/>
  <c r="X25" i="20" s="1"/>
  <c r="U21" i="20" a="1"/>
  <c r="U21" i="20" s="1"/>
  <c r="V21" i="20" s="1"/>
  <c r="Y25" i="20" l="1"/>
  <c r="X26" i="20" s="1" a="1"/>
  <c r="X26" i="20" s="1"/>
  <c r="U22" i="20" a="1"/>
  <c r="U22" i="20" s="1"/>
  <c r="V22" i="20" s="1"/>
  <c r="U23" i="20" s="1" a="1"/>
  <c r="U23" i="20" s="1"/>
  <c r="Y26" i="20" l="1"/>
  <c r="X27" i="20" a="1"/>
  <c r="X27" i="20" s="1"/>
  <c r="V23" i="20"/>
  <c r="U24" i="20" a="1"/>
  <c r="U24" i="20" s="1"/>
  <c r="Y27" i="20" l="1"/>
  <c r="X28" i="20" a="1"/>
  <c r="X28" i="20" s="1"/>
  <c r="V24" i="20"/>
  <c r="U25" i="20" a="1"/>
  <c r="U25" i="20" s="1"/>
  <c r="Y28" i="20" l="1"/>
  <c r="X29" i="20" s="1" a="1"/>
  <c r="X29" i="20" s="1"/>
  <c r="V25" i="20"/>
  <c r="U26" i="20" a="1"/>
  <c r="U26" i="20" s="1"/>
  <c r="Y29" i="20" l="1"/>
  <c r="X30" i="20" a="1"/>
  <c r="X30" i="20" s="1"/>
  <c r="Y30" i="20" s="1"/>
  <c r="X31" i="20" s="1" a="1"/>
  <c r="X31" i="20" s="1"/>
  <c r="V26" i="20"/>
  <c r="U27" i="20" a="1"/>
  <c r="U27" i="20" s="1"/>
  <c r="Y31" i="20" l="1"/>
  <c r="X32" i="20" a="1"/>
  <c r="X32" i="20" s="1"/>
  <c r="V27" i="20"/>
  <c r="U28" i="20" a="1"/>
  <c r="U28" i="20" s="1"/>
  <c r="Y32" i="20" l="1"/>
  <c r="X33" i="20" a="1"/>
  <c r="X33" i="20" s="1"/>
  <c r="V28" i="20"/>
  <c r="U29" i="20" a="1"/>
  <c r="U29" i="20" s="1"/>
  <c r="Y33" i="20" l="1"/>
  <c r="X34" i="20" a="1"/>
  <c r="X34" i="20" s="1"/>
  <c r="V29" i="20"/>
  <c r="U30" i="20" a="1"/>
  <c r="U30" i="20" s="1"/>
  <c r="Y34" i="20" l="1"/>
  <c r="X35" i="20" a="1"/>
  <c r="X35" i="20" s="1"/>
  <c r="V30" i="20"/>
  <c r="U31" i="20" s="1" a="1"/>
  <c r="U31" i="20" s="1"/>
  <c r="Y35" i="20" l="1"/>
  <c r="X36" i="20" a="1"/>
  <c r="X36" i="20" s="1"/>
  <c r="V31" i="20"/>
  <c r="U32" i="20" a="1"/>
  <c r="U32" i="20" s="1"/>
  <c r="Y36" i="20" l="1"/>
  <c r="X37" i="20" a="1"/>
  <c r="X37" i="20" s="1"/>
  <c r="V32" i="20"/>
  <c r="U33" i="20" a="1"/>
  <c r="U33" i="20" s="1"/>
  <c r="Y37" i="20" l="1"/>
  <c r="X38" i="20" a="1"/>
  <c r="X38" i="20" s="1"/>
  <c r="V33" i="20"/>
  <c r="U34" i="20" a="1"/>
  <c r="U34" i="20" s="1"/>
  <c r="Y38" i="20" l="1"/>
  <c r="X39" i="20" a="1"/>
  <c r="X39" i="20" s="1"/>
  <c r="V34" i="20"/>
  <c r="U35" i="20" a="1"/>
  <c r="U35" i="20" s="1"/>
  <c r="Y39" i="20" l="1"/>
  <c r="X40" i="20" s="1" a="1"/>
  <c r="X40" i="20" s="1"/>
  <c r="V35" i="20"/>
  <c r="U36" i="20" a="1"/>
  <c r="U36" i="20" s="1"/>
  <c r="Y40" i="20" l="1"/>
  <c r="X41" i="20" a="1"/>
  <c r="X41" i="20" s="1"/>
  <c r="V36" i="20"/>
  <c r="U37" i="20" s="1" a="1"/>
  <c r="U37" i="20" s="1"/>
  <c r="Y41" i="20" l="1"/>
  <c r="X42" i="20" a="1"/>
  <c r="X42" i="20" s="1"/>
  <c r="V37" i="20"/>
  <c r="U38" i="20" a="1"/>
  <c r="U38" i="20" s="1"/>
  <c r="Y42" i="20" l="1"/>
  <c r="X43" i="20" a="1"/>
  <c r="X43" i="20" s="1"/>
  <c r="V38" i="20"/>
  <c r="U39" i="20" a="1"/>
  <c r="U39" i="20" s="1"/>
  <c r="Y43" i="20" l="1"/>
  <c r="X44" i="20" s="1" a="1"/>
  <c r="X44" i="20" s="1"/>
  <c r="V39" i="20"/>
  <c r="U40" i="20" s="1" a="1"/>
  <c r="U40" i="20" s="1"/>
  <c r="Y44" i="20" l="1"/>
  <c r="X45" i="20" a="1"/>
  <c r="X45" i="20" s="1"/>
  <c r="V40" i="20"/>
  <c r="U41" i="20" a="1"/>
  <c r="U41" i="20" s="1"/>
  <c r="Y45" i="20" l="1"/>
  <c r="X46" i="20" s="1" a="1"/>
  <c r="X46" i="20" s="1"/>
  <c r="V41" i="20"/>
  <c r="U42" i="20" a="1"/>
  <c r="U42" i="20" s="1"/>
  <c r="Y46" i="20" l="1"/>
  <c r="X47" i="20" a="1"/>
  <c r="X47" i="20" s="1"/>
  <c r="V42" i="20"/>
  <c r="U43" i="20" a="1"/>
  <c r="U43" i="20" s="1"/>
  <c r="Y47" i="20" l="1"/>
  <c r="X48" i="20" a="1"/>
  <c r="X48" i="20" s="1"/>
  <c r="V43" i="20"/>
  <c r="U44" i="20" a="1"/>
  <c r="U44" i="20" s="1"/>
  <c r="Y48" i="20" l="1"/>
  <c r="X49" i="20" a="1"/>
  <c r="X49" i="20" s="1"/>
  <c r="V44" i="20"/>
  <c r="U45" i="20" a="1"/>
  <c r="U45" i="20" s="1"/>
  <c r="Y49" i="20" l="1"/>
  <c r="X50" i="20" a="1"/>
  <c r="X50" i="20" s="1"/>
  <c r="V45" i="20"/>
  <c r="U46" i="20" a="1"/>
  <c r="U46" i="20" s="1"/>
  <c r="Y50" i="20" l="1"/>
  <c r="X51" i="20" a="1"/>
  <c r="X51" i="20" s="1"/>
  <c r="V46" i="20"/>
  <c r="U47" i="20" a="1"/>
  <c r="U47" i="20" s="1"/>
  <c r="Y51" i="20" l="1"/>
  <c r="X52" i="20" a="1"/>
  <c r="X52" i="20" s="1"/>
  <c r="V47" i="20"/>
  <c r="U48" i="20" a="1"/>
  <c r="U48" i="20" s="1"/>
  <c r="Y52" i="20" l="1"/>
  <c r="X53" i="20" a="1"/>
  <c r="X53" i="20" s="1"/>
  <c r="V48" i="20"/>
  <c r="U49" i="20" s="1" a="1"/>
  <c r="U49" i="20" s="1"/>
  <c r="Y53" i="20" l="1"/>
  <c r="X54" i="20" a="1"/>
  <c r="X54" i="20" s="1"/>
  <c r="V49" i="20"/>
  <c r="U50" i="20" s="1" a="1"/>
  <c r="U50" i="20" s="1"/>
  <c r="Y54" i="20" l="1"/>
  <c r="X55" i="20" a="1"/>
  <c r="X55" i="20" s="1"/>
  <c r="V50" i="20"/>
  <c r="U51" i="20" a="1"/>
  <c r="U51" i="20" s="1"/>
  <c r="Y55" i="20" l="1"/>
  <c r="X56" i="20" a="1"/>
  <c r="X56" i="20" s="1"/>
  <c r="V51" i="20"/>
  <c r="U52" i="20" a="1"/>
  <c r="U52" i="20" s="1"/>
  <c r="Y56" i="20" l="1"/>
  <c r="X57" i="20" a="1"/>
  <c r="X57" i="20" s="1"/>
  <c r="V52" i="20"/>
  <c r="U53" i="20" a="1"/>
  <c r="U53" i="20" s="1"/>
  <c r="Y57" i="20" l="1"/>
  <c r="X58" i="20" s="1" a="1"/>
  <c r="X58" i="20" s="1"/>
  <c r="V53" i="20"/>
  <c r="U54" i="20" a="1"/>
  <c r="U54" i="20" s="1"/>
  <c r="Y58" i="20" l="1"/>
  <c r="X59" i="20" a="1"/>
  <c r="X59" i="20" s="1"/>
  <c r="V54" i="20"/>
  <c r="U55" i="20" s="1" a="1"/>
  <c r="U55" i="20" s="1"/>
  <c r="Y59" i="20" l="1"/>
  <c r="X60" i="20" s="1" a="1"/>
  <c r="X60" i="20" s="1"/>
  <c r="V55" i="20"/>
  <c r="U56" i="20" a="1"/>
  <c r="U56" i="20" s="1"/>
  <c r="Y60" i="20" l="1"/>
  <c r="X61" i="20" a="1"/>
  <c r="X61" i="20" s="1"/>
  <c r="V56" i="20"/>
  <c r="U57" i="20" a="1"/>
  <c r="U57" i="20" s="1"/>
  <c r="Y61" i="20" l="1"/>
  <c r="X62" i="20" a="1"/>
  <c r="X62" i="20" s="1"/>
  <c r="V57" i="20"/>
  <c r="U58" i="20" s="1" a="1"/>
  <c r="U58" i="20" s="1"/>
  <c r="Y62" i="20" l="1"/>
  <c r="X63" i="20" a="1"/>
  <c r="X63" i="20" s="1"/>
  <c r="Y63" i="20" s="1"/>
  <c r="V58" i="20"/>
  <c r="U59" i="20" s="1" a="1"/>
  <c r="U59" i="20" s="1"/>
  <c r="V59" i="20" l="1"/>
  <c r="U60" i="20" a="1"/>
  <c r="U60" i="20" s="1"/>
  <c r="V60" i="20" l="1"/>
  <c r="U61" i="20" a="1"/>
  <c r="U61" i="20" s="1"/>
  <c r="V61" i="20" l="1"/>
  <c r="U62" i="20" a="1"/>
  <c r="U62" i="20" s="1"/>
  <c r="V62" i="20" l="1"/>
  <c r="U63" i="20" a="1"/>
  <c r="U63" i="20" s="1"/>
  <c r="V63" i="20"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<sst xmlns="http://schemas.openxmlformats.org/spreadsheetml/2006/main" count="40619" uniqueCount="6235">
  <si>
    <t>순</t>
    <phoneticPr fontId="2" type="noConversion"/>
  </si>
  <si>
    <t>공종</t>
  </si>
  <si>
    <t>작업명</t>
  </si>
  <si>
    <t>단위작업명</t>
  </si>
  <si>
    <t>기인물 분류(VlookUp)</t>
    <phoneticPr fontId="2" type="noConversion"/>
  </si>
  <si>
    <t>기인물</t>
  </si>
  <si>
    <t>위험도 순위 (~12위)</t>
  </si>
  <si>
    <t>3년간 사고비중(19~21년)</t>
  </si>
  <si>
    <t>재해년월 추출(함수)</t>
    <phoneticPr fontId="2" type="noConversion"/>
  </si>
  <si>
    <t>재해년월추출</t>
    <phoneticPr fontId="2" type="noConversion"/>
  </si>
  <si>
    <t>재해월추출</t>
    <phoneticPr fontId="2" type="noConversion"/>
  </si>
  <si>
    <t>혹서기</t>
    <phoneticPr fontId="2" type="noConversion"/>
  </si>
  <si>
    <t>재해형태</t>
    <phoneticPr fontId="2" type="noConversion"/>
  </si>
  <si>
    <r>
      <t xml:space="preserve">재해개요 : </t>
    </r>
    <r>
      <rPr>
        <b/>
        <sz val="11"/>
        <color rgb="FFFF0000"/>
        <rFont val="맑은 고딕"/>
        <family val="3"/>
        <charset val="129"/>
        <scheme val="minor"/>
      </rPr>
      <t>재해시기 추출</t>
    </r>
    <phoneticPr fontId="2" type="noConversion"/>
  </si>
  <si>
    <r>
      <t xml:space="preserve">재해유발요인  </t>
    </r>
    <r>
      <rPr>
        <b/>
        <sz val="11"/>
        <color rgb="FFFF0000"/>
        <rFont val="맑은 고딕"/>
        <family val="3"/>
        <charset val="129"/>
        <scheme val="minor"/>
      </rPr>
      <t>재해형태 추출(떨어짐, 추락 등 &gt;&gt; 맨오른쪽 2글자)</t>
    </r>
    <phoneticPr fontId="2" type="noConversion"/>
  </si>
  <si>
    <t>위험성 감소대책(예시)</t>
  </si>
  <si>
    <t>1. 토공사</t>
  </si>
  <si>
    <t>1.1 굴착 작업</t>
  </si>
  <si>
    <t>1.1.1 굴착 장비반입</t>
  </si>
  <si>
    <t>건설기계</t>
  </si>
  <si>
    <t>굴착기</t>
  </si>
  <si>
    <t>12대 기인물</t>
  </si>
  <si>
    <t>2017년 9월경</t>
  </si>
  <si>
    <t>-</t>
  </si>
  <si>
    <t>맞음</t>
  </si>
  <si>
    <t>2017년 9월경 OO공사에서 화물차에 적재된 공업용수관(L=9.1m)을 지상으로 내리기 위해 굴착기를 이용하여 인양·하역 중 달기체인 부재(커넥트링)이 하중을 버티지 못하고 파손되어 관이 낙하하면서 하부에 있던 재해재가 머리에 맞아 사망</t>
    <phoneticPr fontId="2" type="noConversion"/>
  </si>
  <si>
    <t>굴삭기 붐에 달기체인을 연결한 후 공업용수관의 양단에 훅을 걸어 인양 및 하역하던 중 커넥트링이 하중에 버티지 못하고 파손되어 관이 낙하하여 하부에 있던 재해자가 맞음</t>
  </si>
  <si>
    <t>▶ 중량물 인양시 Sling rope 각도에 따른 안전하중 값을 고려해 줄걸이 안전수칙 준수
▶ 양중용 달기구의 변형 여부 사전점검 실시
▶ 자재 인양에 적합한 기계장비 사용</t>
  </si>
  <si>
    <t>이동식크레인</t>
  </si>
  <si>
    <t>2017년 12월</t>
  </si>
  <si>
    <t>혹한기</t>
  </si>
  <si>
    <t>떨어짐</t>
  </si>
  <si>
    <t>2017년 12월경 OO공사에서 흙막이가시설 1단 버팀대 위에 있는 이동식 화장실을 크레인으로 양중하던 중 양중물이 흔들리면서 주변에 있던 재해자가 양중물에 충돌 후 약 20m 아래 굴착면으로 추락하여 사망</t>
  </si>
  <si>
    <t>흙막이가시설 상부에서 이동식크레인을 이용한 양중작업 중 양중물이 흔들리면서 작업반경 내에 있던 재해자(줄걸이 작업)가 양중물에 충돌 후 추락</t>
  </si>
  <si>
    <t>▶ 중량물 취급 작업 시 근로자 출입 통제 및 유도자 배치
▶ 중량물 취급시 작업계획서를 사전에 작성하고 관리감독자를 배치하여 작업계획서에 맞게 작업</t>
  </si>
  <si>
    <t>2018년 3월경</t>
  </si>
  <si>
    <t>깔림 뒤집힘</t>
  </si>
  <si>
    <t>2018년 3월경 OO공사에서 재해자가 굴착기(0.8㎥)를 운전하여 하천의 보 일부를 파쇄하기 위해 보 본체 물받이공에서 이동 하던 중 굴착기 슈(무한궤도) 한쪽이 물받이공 단부에서 미끄러져 전도되면서 운전석이 물속에 잠겨 익사하여 사망</t>
  </si>
  <si>
    <t>하천의 보 일부를 파쇄하기 위해 물받이공에서 이동 중 굴삭기 무한궤도가 단부에서 미끄러지며 전도되어 재해자가 물속에 잠겨 익사</t>
  </si>
  <si>
    <t>▶ 굴삭기 등 건설기계를 사용하여 하천 내 보 파쇄작업 등을 하는 경우, 수심, 지형 및 지반 등의 상태점검 실시하며 그에 따른 작업경로 및 방법 등의 계획수립
▶ 굴삭기 등 건설기계를 사용하여 하천 내 보 파쇄작업 등을 하는 경우, 흙탕물 발생 등으로 인해 수심아래 지형을 파악할 수 없는 경우에 대비하여 사전에 웨빙띠를 사용하여 단차가 있는 작업 반경을 표시하고 운전자가 후사경 및 후방카메라 등으로 확인이 가능하도록 조치</t>
  </si>
  <si>
    <t>1.1 굴착 작업</t>
    <phoneticPr fontId="2" type="noConversion"/>
  </si>
  <si>
    <t>개구부</t>
  </si>
  <si>
    <t>개구부(기타개구부)</t>
  </si>
  <si>
    <t>2019년 3월경</t>
  </si>
  <si>
    <t>2019년 3월경 OO공사에서 재해재가 장비 진입로를 위해 방호시설(나무합판, 석자재, 고체연료통)을 이동시키던 중 개구부에 빠져 약 4.7m 아래인 지하층 바닥으로 추락하여 사망</t>
  </si>
  <si>
    <t>장비 진입을 위한 현장 정리 중 개구부를 인식하지 못하고 실족하여 추락</t>
  </si>
  <si>
    <t>▶ 추락 위험 구간 접근금지 표지 설치
▶ 개구부 덮개 설치 및 위험표지 부착</t>
  </si>
  <si>
    <t>1.1.2 굴착</t>
  </si>
  <si>
    <t>2013년 12월</t>
  </si>
  <si>
    <t>2013년 12월경 OO공사에서 재해자가 굴착 중이던 굴착기의 버킷에 충돌하여 약 2m 깊이의 굴착 저면으로 추락하여 사망</t>
  </si>
  <si>
    <t>작업중 붐을 회전하는 굴착기의 버킷에 부딪힌 후 굴착저면으로 추락</t>
  </si>
  <si>
    <t>▶ 차량계 건설기계에 의한 작업 시 근로자 출입 통제 및 유도자 배치
▶ 차량계 건설기계 이동 시 작업경로 및 방법 등의 계획수립
▶ 차량계 건설기계 작업 시 후방카메라의 작동유무 파악, 후사경 각도 조절 등 운전자의 시야 확보 실시</t>
  </si>
  <si>
    <t>벽체</t>
  </si>
  <si>
    <t>해당없음</t>
  </si>
  <si>
    <t>2015년 7월경</t>
  </si>
  <si>
    <t>혹서기</t>
  </si>
  <si>
    <t>2015년 7월경 OO공사에서 재해자 등이 급수관 교체 작업을 위해 굴착저면에서 바닥 평탄화 작업을 하던 중 인접해 있는 주택의 조적벽이 굴착부 방향으로 전도되면서 깔려 2명 부상</t>
  </si>
  <si>
    <t>굴착저면 평탄화 작업 중 인접해 있는 주택 조적벽이 굴착부 방향으로 전도되면서 재해자를 덮침</t>
  </si>
  <si>
    <t>▶ 해당 작업장 주변의 지형∙지반 및 지층 상태 등에 대한 사전조사 실시
▶ 해당작업장 지반의 침하방지, 주변 건물의 전도방지 등의 조치 실시</t>
  </si>
  <si>
    <t>개구부(바닥개구부)</t>
  </si>
  <si>
    <t>2016년 1월경</t>
  </si>
  <si>
    <t>2016년 1월경 OO공사에서 재해자가 하천 유입수가 고인 기초 굴착부 주변으로 설치해둔 로프에 위험표지를 부착하던 중 몸의 중심을 잃고 굴착부로 빠져 익사로 사망</t>
  </si>
  <si>
    <t>기초 굴착부에 하천수 유입으로 생긴 물 웅덩이 주변으로 설치된 로프에 위험표지를 부착하던 중 동결된 토사에서 미끄러지면서 물웅덩이에 빠져 익사</t>
  </si>
  <si>
    <t>▶ 기초 굴착부에 PE드럼 및 로프를 설치하며 PE 드럼이 안전난간의 역할을 수행할 수 있게 안에 중량물(물, 모래, 흙 등)을 채움
▶ 교각 기초굴착 단부에 근로자가 추락할 위험이 있는 경우 충분한 강도가 지닌 안전난간 등의 추락방지 조치 실시</t>
  </si>
  <si>
    <t>토사</t>
  </si>
  <si>
    <t>2016년 3월경</t>
  </si>
  <si>
    <t>무너짐</t>
  </si>
  <si>
    <t>2016년 3월경 OO공사에서 재해자가 굴착저면에서 해수유입관(PVC백관)을 연결하던 중 터파기 사면의 토사 일부가 붕괴(약 2.5m3)되면서 상반신이 토사에 매몰되어 사망</t>
  </si>
  <si>
    <t>굴착저면에서 작업 중 굴착사면의 토사가 붕괴되어 매몰</t>
  </si>
  <si>
    <t>▶ 굴착대상 지반의 지형, 지질, 지층상태 및 함수 유무 등 사전조사 실시
▶ 굴착작업 시 굴착면의 기울기 기준 준수
▶ 지반의 붕괴 또는 토석의 낙하에 의한 근로자에게 위험 발생 위험이 있을 시 작업 전 흙막이 지보공을 설치 붕괴위험방지 조치
▶ 굴착토사나 자재 등 굴착 선단부에 적치 금지</t>
  </si>
  <si>
    <t>화학물질</t>
  </si>
  <si>
    <t>2016년 6월경</t>
  </si>
  <si>
    <t>폭발</t>
  </si>
  <si>
    <t>2016년 6월경 OO공사에서 재해자 등이 교량 기초 하부 통과를 위한 문형구조물 벽체 철근조립 작업 중 굴착된 공간에 누출된 LP가스가 폭발하여 4명 사망 및 10명 부상</t>
  </si>
  <si>
    <t>교량 하부 골조작업 중 재해발생 전일 사용 후 수거하지 않은 가스용기(LPG)에서 누출된 가스가 용단작업 불티에 의해 폭발</t>
  </si>
  <si>
    <t>▶ 가스용접,용단 등의 작업에 대한 폭발,화재 예방조치 준수
▶ LP가스 등 위험물 보관 규정 준수
▶ 지하작업장 통풍, 환기조치 실시</t>
  </si>
  <si>
    <t>2017년 5월경</t>
  </si>
  <si>
    <t>2017년 5월경 OO공사에서 굴착기를 이용하여 관로 매설작업 후 이동을 위해 붐을 회전하는 순간 주변에 있던 재해자가 굴착기 붐에 머리를 맞아 사망</t>
  </si>
  <si>
    <t>작업 중 이동을 위해 회전하는 굴착기의 붐에 머리를 맞음</t>
  </si>
  <si>
    <t>2017년 5월경 OO공사에서 하수관로 매설작업 중 굴착 선단부에 적치되어 있던 토사와 트랜치 굴착 법면 일부가 붕괴(1.73㎥, 2.94ton)되면서 굴착 저면에서 굴착기 신호를 하던 재해자가 토사에 매몰되어 사망</t>
  </si>
  <si>
    <t>2017년 7월경</t>
  </si>
  <si>
    <t>2017년 7월경 OO공사에서 재해자가 배관연결 작업중 맨홀연결부(깊이 약 3.2m, 폭 약 3.3m) 사면의 일부가 붕괴되면서 매몰되어 사망</t>
  </si>
  <si>
    <t>2017년 7월경 OO공사에서 재해자가 오수관로 매설작업 중 굴착벽면의 토사가 무너지며 매몰되어 사망</t>
  </si>
  <si>
    <t>2017년 8월경</t>
  </si>
  <si>
    <t>2017년 8월경 OO공사에서 재해자가 굴착저면에서 오수관 설치 높이를 조절하던 중 수직으로 굴착(폭1.1m, 높이1.7m)한 사면이 무너지면서 무너진 토사에 매몰되어 사망</t>
  </si>
  <si>
    <t>2017년 10월</t>
  </si>
  <si>
    <t>2017년 10월경 OO공사에서 재해자가 통신관 매설을 위해 터파기 바닥면에서 지장물 및 레벨 확인 작업 중 터파기 사면의 토사 일부(약 7.2㎥)가 붕괴되면서 매몰되어 사망</t>
  </si>
  <si>
    <t>2017년 11월</t>
  </si>
  <si>
    <t>끼임</t>
  </si>
  <si>
    <t>2017년 11월경 OO공사에서 상수도관 접합을 위해 굴착기가 터파기 경사면에서 이동하던 중 전도되면서 하부에서 작업준비를 하던 재해자가 굴착기 블레이드(삽날)에 끼어 사망</t>
  </si>
  <si>
    <t>굴착기가 굴착사면에서 이동 중 전도되면서 하부에서 작업 중이던 재해자가 굴착기 블레이드에 끼임</t>
  </si>
  <si>
    <t>▶ 차량계 건설기계 전도 방지를 위해 유도자 배치 및 지반의 침하방지 등의 조치 실시
▶ 해당 작업장의 지형∙지반 및 지층 상태 등에 대한 사전조사 실시</t>
  </si>
  <si>
    <t>2017년 12월경 OO공사에서 재해자가 절토사면(H≒5m) 하부에서 수준측량을 하던 중 절토사면 일부가(H≒2~4m)이 붕괴 되면서 토사에 매몰되어 사망</t>
  </si>
  <si>
    <t>2018년 7월경</t>
  </si>
  <si>
    <t>2018년 7월경 OO공사에서 재해자가 덤프트럭 후방에서 이동하던 중 굴착사면이 붕괴되면서 전석(약 1m³, 중량 2.4톤)이 재해자를 덮쳐 덤프트럭 좌측후면에 하반신이 협착되어 사망</t>
  </si>
  <si>
    <t>작업 중 굴착사면 붕괴로 인해 전석이 재해자를 덮치면서 덤프트럭 좌측 후면에 하반신이 끼임</t>
  </si>
  <si>
    <t>▶ 작업전 페이스맵핑(육안관찰)등 실시 후 굴착사면의 기울기 준수
▶ 굴착 전 해당지반에 대한 사전조사 실시하여 법면붕괴 방지 조치</t>
  </si>
  <si>
    <t>2019년 3월경 OO공사에서 재해자가 도로 청소작업 중 굴착작업을 위해 주행하는 굴착기 바퀴에 깔려 사망</t>
  </si>
  <si>
    <t>작업 중 후진하는 굴착기에 부딪힌 후 뒷바퀴에 깔림</t>
  </si>
  <si>
    <t>2020년 3월경</t>
  </si>
  <si>
    <t>2020년 3월경 OO공사에서 재해자가 굴착기를 운전하여 이동하던 중 굴착기가 전도되어 굴착기와 농로(콘크리트 포장도로) 바닥 사이에 끼어 사망</t>
  </si>
  <si>
    <t>굴착기를 운전하여 이동 중 전도되면서 굴착기와 농로 바닥사이에 끼임</t>
  </si>
  <si>
    <t>2021년 4월경</t>
  </si>
  <si>
    <t>2021년 4월경 OO공사에서 재해자가 전력케이블 지중화 작업 중 후진하는 굴착기(0.6㎥)에 부딪친 후 우측 뒷바퀴에 깔려 사망</t>
  </si>
  <si>
    <t>2021년 5월경</t>
  </si>
  <si>
    <t>2021년 5월경 OO공사에서 하천 준설작업을 위해 재해자가 굴착기를 운전하여 하천으로 이동하던 중 대전차 저지 장애물 덮개가 함몰되면서 굴착기가 전도되어 물에 빠져 익사로 사망</t>
  </si>
  <si>
    <t>굴착기에 탑승하여 하천으로 이동하던 중 대전차 저지 장애물 덮개가 함몰되면서 굴착기가 전도되어 물에 빠져 익사</t>
  </si>
  <si>
    <t>▶ 준설작업구간 주변으로 굴삭기가 이동할 경우 지반 세굴 등에 의해 굴삭기가 넘어질 가능성이 있어 유도자 배치하여 세굴 등이 없는 곳으로 이동 조치
▶ 세굴 발생위험이 있는 구간에는 접근하지 않도록 깃발을 꽂아 접근금지 표시 등 전도방지조치 실시</t>
  </si>
  <si>
    <t>암석</t>
  </si>
  <si>
    <t>2021년 12월</t>
  </si>
  <si>
    <t>2021년 12월경 OO공사에서 재해자 등이 옹벽 거푸집 설치작업을 하던 중 절토 법면 상부(h≒8m)에서 낙하한 토석에 맞아 1명 사망 및 1명 부상</t>
  </si>
  <si>
    <t>옹벽 거푸집 설치작업 중 절토 법면 상부에서 낙하한 토석에 맞음</t>
  </si>
  <si>
    <t>▶ 작업 전 작업장 주변 위험요인 사전조사 및 돌 제거
▶ 작업장 주변 법면 상부 등에 쌓아둔 돌이 사면 아래로 굴러 떨어지는 위험상황을 사전에 관리하고 해당 작업을 안전하게 수행하는 관리감독자 배치</t>
  </si>
  <si>
    <t>1.1.3 굴착 토사반출</t>
  </si>
  <si>
    <t>트럭</t>
  </si>
  <si>
    <t>2016년 4월경</t>
  </si>
  <si>
    <t>2016년 4월경 OO공사에서 재해자가 작업준비을 위한 이동 중 토사반출을 위해 진입하던 덤프트럭에 깔려 사망</t>
  </si>
  <si>
    <t>작업장소를 이동하던 중 진입하던 덤프트럭에 부딪힌 후 깔림</t>
  </si>
  <si>
    <t>▶ 차량계 건설기계 작업시 근로자 출입 통제 및 장비에 부딪칠 위험이 없는 장소에 유도자 배치 
▶ 덤프트럭 운전자 간 명확한 신호방법 설정 및 신호수의 안전한 배치 위치 등을 준수 하에 유도업무 수행
▶ 후방카메라 설치 등 장비에 의한 접촉방지조치 실행
▶ 작업장 내 안전한 근로자 통행로 설치</t>
  </si>
  <si>
    <t>2016년 7월경</t>
  </si>
  <si>
    <t>2016년 7월경 OO공사에서 굴착기를 이용하여 CIP 천공 배출토사를 정리하던 중 굴착기 후방을 지나던 재해자가 굴착기 오른쪽 궤도에 끼어 사망</t>
  </si>
  <si>
    <t>작업장소 이동 중 전〮후진을 반복하며 배출토사를 정리하던 굴착기에 깔림</t>
  </si>
  <si>
    <t>▶ 차량계 건설기계 전담 신호수 또는 유도자를 배치하여 작업반경 내에 근로자의 출입을 통제함 
▶ 굴삭기 후사경, 후방카메라, 후방감지장치 등 방호장치 설치</t>
  </si>
  <si>
    <t>기타건설장비</t>
  </si>
  <si>
    <t>2017년 2월경</t>
  </si>
  <si>
    <t>2017년 2월경 OO공사에서 재해자가 지반개량장비 해체작업으로 롯드 연결핀을 제거하기 위해 하부 밴드위에서 상승하던 중  달기체인에 고정되어 있던 상부밴드가 떨어지면서 맞아 사망</t>
  </si>
  <si>
    <t>지반개량장비 해체작업으로 롯드 연결 핀을 제거하기 위해 하부밴드 위에서 상승하던 중 달기체인에 고정되어 있던 상부밴드가 낙하하여 맞음</t>
  </si>
  <si>
    <t>▶ 상부밴드 낙하 등으로 근로자에게 위험을 미칠 우려가 있는 장소에 출입금지하고 작업발판 설치 후 작업 실시
▶ 차량계 건설기계 해체작업 시 안전조치 하기 위해 안전지주 또는 안전블록 등 설치</t>
  </si>
  <si>
    <t>2017년 3월경</t>
  </si>
  <si>
    <t>2017년 3월경 OO공사에서 재해자가 굴착 바닥면에서 집수정 양수기를 점검 후 올라오기 위해 이동하던 중 상부에서 내려오던 토사 양중용 버킷에 깔려 사망</t>
  </si>
  <si>
    <t>작업장소 이동 중 지상에서 하강하는 크램쉘 버켓에 깔림</t>
  </si>
  <si>
    <t>▶ 차량계 건설기계 사용 시 유도자 배치 후 인원 통제 실시
▶ 차량계 건설기계를 사용하는 작업 전 작업장 상태에 관한 사전조사 실시</t>
  </si>
  <si>
    <t>물</t>
  </si>
  <si>
    <t>2017년 5월경 OO공사에서 재해자가 용수잠관(L=25.3m,직경=1,000mm)내부에서 용수 잠관 바닥의 퇴적토사 및 오폐물제거 작업 중 용수잠관과 연결된 집수정(수직피트,1.5m×1.5m,H=6.8m)으로 유입되는 용수를 인지 후 대피과정에서 빠져나오지 못하여 익사로 사망</t>
  </si>
  <si>
    <t>용수잠관 바닥의 퇴적토사 및 오폐물제거 작업 중 용수잠관과 연결된 집수정으로 유입되는 용수를 인지하지 못하고 익사</t>
  </si>
  <si>
    <t>▶ 집수정 및 용수잠관 등 밀폐공간 작업 시 통신설비(무전기 등) 구비 및 위험 상황 발생시 즉시 연락
▶ 집수정 및 용수잠관 등 밀폐공간 작업 시 승강설비 설치방법을 준수하며 안전대나 구명줄을 착용하여 안전하게 이동할 수 있는 설비 설치</t>
  </si>
  <si>
    <t>2017년 8월경 OO공사에서 재해자가 지하 6층(GL=-28.0m)에서 숏크리트 압송 배관 정리 작업을 하며 이동하던 중 지상에서 하강하는 크램쉘 버켓(1.68x1.4x1.25m, 1.2ton)에 깔려 사망</t>
  </si>
  <si>
    <t>2017년 10월경 OO공사에서 재해자가 현장 내 제방 진입도로(농로)에서  일반차량 진입을 통제하던 중 후진하는 덤프트럭에 부딪혀 사망</t>
  </si>
  <si>
    <t>작업 중 후진하는 덤프트럭에 부딪힌 후 깔림</t>
  </si>
  <si>
    <t>2017년 11월경 OO공사에서 재해자가 현장 내 가설도로를 이동하던 중 토사반출을 위해 주행하던 덤프트럭(25.5ton)에 부딪혀 사망</t>
  </si>
  <si>
    <t>2017년 12월경 OO공사에서 재해자가 복공판 위에서 토사 상차 중이던 굴착기 후미에 부딪쳐 그 충격으로 복공판 하부 8.0M 아래 굴착면으로 추락하여 사망</t>
  </si>
  <si>
    <t>복공판 위에서 토사 상차작업 중 회전하는 굴착기 후미에 부딪힌 후 복공판 하부로 추락</t>
  </si>
  <si>
    <t>2018년 1월경</t>
  </si>
  <si>
    <t>2018년 1월경 OO공사에서 덤프트럭(41.7ton)을 운전하여 비포장도로(폭≒8m)를 올라가던 중 덤프트럭이 전복되면서 약 35m아래 비포장도로로 추락하여 사망</t>
  </si>
  <si>
    <t>상차작업을 위해 덤프트럭 운전원이 비포장도로를 올라가던 중 미상의 이유로 전복되면서 차량과 함께 추락</t>
  </si>
  <si>
    <t>▶ 차량운행 중 넘어지거나 굴러 떨어질 위험이 있는 운행구간에서 차량 유도자를 배치하여 전복사고 예방
▶ 덤프트럭 하역작업 시 차량 전도 등 비상사태를 예방하기 위해 안전벨트 등 보호구 상시 착용</t>
  </si>
  <si>
    <t>2018년 8월경</t>
  </si>
  <si>
    <t>2018년 8월경 OO공사에서 덤프트럭(25.5ton)을 운전하여 토사반출 작업 중 현장 출입구를 나와 인근 외부도로에 정차 후 적재함 위에 올라가 덮개를 점검하다가 도로 바닥으로 추락(약 2.55m)하여 사망</t>
  </si>
  <si>
    <t>덤프트럭을 정차 후 적재함에 올라가 덮개를 점검하다가 실족하여 바닥으로 추락</t>
  </si>
  <si>
    <t>▶ 불안정한 자세 등으로 무리하게 수리, 점검작업 금지
▶ 점검 전 추락 위험 방지 조치 실시 
▶ 차량계 건설기계 운전자가 운전위치 이탈 시 브레이크 또는 고임목 설치 등 차량 이탈 방지를 위한 조치 실시</t>
  </si>
  <si>
    <t>2018년 8월경 OO공사에서 재해자가 현장 출입구에서 토사반출 차량을 유도하던 중 도로에서 우회전하여 현장으로 진입하던 덤프트럭에 부딪혀 사망</t>
  </si>
  <si>
    <t>진출 차량을 유도하던 중 우회전하여 진입하는 덤프트럭에 깔림</t>
  </si>
  <si>
    <t>2018년 10월</t>
  </si>
  <si>
    <t>2018년 10월경 OO공사에서 재해자가 사토지에서 덤프트럭을 정차하고 운전석에서 내려 대기하던 중 트럭이 밀리면서 내려오는 덤프트럭과 정차 중인 덤프트럭 사이에 머리가 끼어 사망</t>
  </si>
  <si>
    <t xml:space="preserve">덤프트럭 운전원이 정차 후 주차 브레이크를 작동하지 않고 하자한 상태에서 트럭이 밀리는 것을 인지하고 후방에 있던 다른 차량과의 충돌을 막기 위해 트럭 뒷편으로 이동하다가 두 차량 사이에 끼임   </t>
    <phoneticPr fontId="2" type="noConversion"/>
  </si>
  <si>
    <t>▶ 차량계 건설기계 운전원이 운전위치 이탈 시 브레이크 또는 고임목 설치 등 차량 이탈 방지를 위한 조치 실시
▶ 차량계 건설기계를 경사로에 주차하는 경우 핸드(주차) 브레이크와 풋 브레이크를 함께 사용
▶ 차량계 건설기계가 경사로로 밀려 내러가는 경우, 무리하게 인력으로 차량을 막아서는 행위 금지</t>
  </si>
  <si>
    <t>2018년 11월</t>
  </si>
  <si>
    <t>2018년 11월경 OO공사에서 재해자가 현장 출입구에서 도로 측으로 덤프트럭을 유도하던 중 재해자 위치를 인지하지 못하고 우회전하는 덤프트럭에 깔려 사망</t>
  </si>
  <si>
    <t>덤프트럭 전면부에서 도로측으로 유도하던 중 유도자 위치를 인지하지 못하고 우회전하는 덤프트럭에 낄림</t>
  </si>
  <si>
    <t>2019년 5월경</t>
  </si>
  <si>
    <t>2019년 5월경 OO공사에서 재해자가 덤프트럭을 정차한 후 트럭뒷문 주변에 남아있는 잔여 토사를 제거하던 중 굴착기가 덤프트럭 쪽으로 후진하면서 그 사이에 끼어 사망</t>
  </si>
  <si>
    <t xml:space="preserve">덤프트럭 후면에서 트럭점검 중 후진하는 굴삭기와 덤프트럭 사이에 끼임 </t>
  </si>
  <si>
    <t>전기</t>
  </si>
  <si>
    <t>전주</t>
  </si>
  <si>
    <t>2019년 6월경</t>
  </si>
  <si>
    <t>2019년 6월경 OO공사에서 재해자가 후진하는 덤프트럭(25톤) 유도작업 중 후방에 있던 전신주와 덤프트럭이 충돌하면서 전도되는 전신주에 맞아 사망</t>
  </si>
  <si>
    <t>덤프트럭 유도작업 중 후진하던 덤프트럭이 전신주와 충돌하면서 전도하는 전신주에 맞음</t>
  </si>
  <si>
    <t>▶ 차량계 건설기계 사용 시 유도자 배치 및 신호 준수
▶ 작업 전 작업장 주변 상황 사전조사 실시 및 위험요인 조치 후 실시</t>
  </si>
  <si>
    <t>2019년 8월경</t>
  </si>
  <si>
    <t>2019년 8월경 OO공사에서 재해자가 덤프트럭에 상차한 토사 및 쇄석을 하역하기 위해 매립지 단부로 후진하던 중 매립지 단부가 붕괴되면서 덤프트럭과 함께 바다에 빠져 익사로 사망</t>
  </si>
  <si>
    <t>덤프트럭 후진하던 중 매립지 단부가 붕괴되며 덤프트럭과 함께 바다로 빠져 익사</t>
  </si>
  <si>
    <t>2020년 7월경</t>
  </si>
  <si>
    <t>2020년 7월경 OO공사에서 저수지 내 임시물막이 접속구간 진입로 개설작업 중 재해자가 토사하차를 위해 덤프트럭을 후진하다가 뒷바퀴 부근의 토사가 무너지면서 저수지 내부로 굴러떨어져 차량에 끼어 사망</t>
  </si>
  <si>
    <t>덤프트럭을 후진하던 중 뒷바퀴 부위의 토사가 붕괴되어 저수지로 굴러 떨어져 협착</t>
  </si>
  <si>
    <t>▶ 차량계 건설기계의 전도방지를 위한 유도자 배치, 침하방지 등 조치 실시
▶ 침하 위험이 있는 구역은 접근금지표시, 방지턱, 스토퍼 설치</t>
  </si>
  <si>
    <t>2020년 12월</t>
  </si>
  <si>
    <t>2020년 12월경 OO공사에서 재해자가 토사운반 중이던 굴착기 주변에서 삽으로 토사(뻘) 잔재물을 정리하던 중 후진하던 굴착기에 깔려 사망</t>
  </si>
  <si>
    <t>작업 중 후진하는 굴착기에 깔림</t>
  </si>
  <si>
    <t>2021년 2월경</t>
  </si>
  <si>
    <t>2021년 2월경 OO공사에서 재해자가 토사 하차과정을 확인하던 중 후진하던 굴착기와 정차한 덤프트럭 후방 사이에 끼어 사망</t>
  </si>
  <si>
    <t xml:space="preserve">덤프트럭 후면에서 토사 하차를 확인하던 중 후진하는 굴착기와 덤프트럭 사이에 끼임 </t>
  </si>
  <si>
    <t>2021년 4월경 OO공사에서 재해자가 토사 반출차량 유도 및 운반송장 회수 작업 중 후진하는 덤프트럭 우측 후미부에 충돌 후 뒷바퀴에 깔려 사망</t>
  </si>
  <si>
    <t>2021년 11월</t>
  </si>
  <si>
    <t>2021년 11월경 OO공사에서 재해자가 적재함 확인을 위해 덤프트럭을 정차한 후 적재함 하부로 상체를 진입시켜 점검하던 중 적재함이 불시에 하강하면서 그 사이에 끼어 사망</t>
  </si>
  <si>
    <t>작업 중 덤프트럭 적재함 이상여부 확인을 위해 적재함 하부에 상체를 넣어 점검하던 중 적재함이 불시에 하강하면서 그 사이에 끼임</t>
  </si>
  <si>
    <t>▶ 적재함 하부 유압장치 등을 점검할 경우, 적재함에 적재된 토사 등을 제거한 후 점검
▶ 불안정한 자세 등으로 무리하게 수리, 점검작업 금지
▶ 차량계 건설기계 운전자가 운전위치 이탈 시 브레이크 또는 고임목 설치 등 차량 이탈 방지를 위한 조치 실시</t>
  </si>
  <si>
    <t>2021년 11월경 OO공사에서 재해자가 야적장에서 토사를 내리기 위해 적재함을 상승한 상태에서 덤프트럭(25톤, 17m3)이 무게중심을 잃고 보조석 쪽으로 넘어지면서 재해자가 운전석에서 추락하여 사망</t>
  </si>
  <si>
    <t>토사 야적을 위해 덤프트럭 적재함을 들어올리는 순간 지면의 경사 및 차량의 판스프링 구조 등에 의해 무게중심이 한쪽으로 쏠리면서 트럭이 전도되어 운전석에서 추락</t>
  </si>
  <si>
    <t>1.2 흙막이 지보공 작업</t>
  </si>
  <si>
    <t>1.2.1 흙막이 지보공 자재반입</t>
  </si>
  <si>
    <t>2016년 1월경 문화집회시설 신축공사에서 재해자가 작업 준비작업을 하던 중 후진하면서 자재 운반중인 굴착기에 치여 사망</t>
  </si>
  <si>
    <t>시야가 미확보된 상태에서 후진하던 차량계 건설기계에 주변 근로자가 깔림</t>
  </si>
  <si>
    <t>▶ 차량계 건설기계 작업계획서를 사전에 작성하고 관리감독자를 배치하여 작업계획서에 맞게 작업
▶ 굴삭기 이용 작업 시 후방경고시스템 설치를 권고하여 사고를 예방함
▶ 차량계 건설기계 접촉을 방지하기 위해 근로자 출입금지 및 신호수(유도자)를 배치함</t>
  </si>
  <si>
    <t>맞음(낙하물체)</t>
  </si>
  <si>
    <t>2016년 7월경 배수로 건설현장에서 재해자가 작업을 위해 대기하던 중 자재 이동하던 굴착기의 체인블록의 후크에서 자재가 탈락하여 맞아 사망</t>
  </si>
  <si>
    <t>해지장치가 불량한 체인블록 후크에서 자재가 이탈하여 근로자에게 낙하</t>
  </si>
  <si>
    <t>흙막이가시설</t>
  </si>
  <si>
    <t>2017년 2월경 아파트 신축공사현장에서 재해자가 흙막이 지보공 1단 코너 띠장 상부에서 이동하던 중 몸의 중심을 잃고 10m 아래 바닥으로 추락하여 사망</t>
  </si>
  <si>
    <t>이동통로가 설치되지 않은 흙막이지보공을 통해 굴착저면 바닥으로 이동 중 추락</t>
  </si>
  <si>
    <t xml:space="preserve">▶ 흙막이지보공 상부 등 고소작업 장소에서 작업을 할 경우 작업구간에 작업발판을 설치하는 등 근로자 추락을 방지하기 위한 조치 실시 
▶ 근로자가 작업할 안전한 이동통로 설치 
▶ 이동통로는 안전하고 항상 사용할 수 있는 상태로 유지 </t>
  </si>
  <si>
    <t>건설자재</t>
  </si>
  <si>
    <t>기초파일</t>
  </si>
  <si>
    <t>2017년 8월경 오수관 정비공사 현장에서 재해자가 차량 유도작업을 하던 중 인양하던 자재와 적재함 사이에 끼여 사망</t>
  </si>
  <si>
    <t>적재함 상부에서 지상에 적재된 시트 파일 상차하기 위해 유도하던 중 인양된 시트파일과 물품적재장치 격벽 사이에 끼인 후 지상으로 추락</t>
  </si>
  <si>
    <t>2020년 1월경</t>
  </si>
  <si>
    <t>2020년 1월경 지하차도 건설공사 현장에서 재해자가 이동하던 중 이동식크레인으로 인양하던 PS띠장이 이탈되면서 맞아 사망</t>
  </si>
  <si>
    <t>▶ 흙막이 지보공 해체 등 중량물 취급 작업 시 근로자 출입 통제 및 유도자 배치
▶ 중량물 취급시 작업계획서를 사전에 작성하고 관리감독자를 배치하여 작업계획서에 맞게 작업</t>
  </si>
  <si>
    <t>1.2.2 흙막이 지보공 설치</t>
  </si>
  <si>
    <t>2015년 5월경</t>
  </si>
  <si>
    <t>2015년 5월경 빌딩 신축공사현장에서 재해자가 용접작업을 위해 띠장 상부에서 대기 중 토류판이 쏟아져 그 충격으로 4m 아래 굴착 하부로 추락하여 사망</t>
  </si>
  <si>
    <t>백호 버킷으로 엄지말뚝을 밀다가(수직도를 맞추기 위해) 버킷이 미끌어져 토류판을 가격하고 그 충격으로 기설치된 토류판이 쏟아져 깔림</t>
  </si>
  <si>
    <t>▶ 차량계 건설기계 사용에 따른 작업계획서 작성 및 작업지휘자 지정 
▶ 흙막이 지보공 조립작업 시 현장 여건을 반영한 위험요소 배제 후 안전한 작업 방법으로 실시</t>
  </si>
  <si>
    <t>2016년 4월경 하수처리시설 설치공사에서 재해자가 흙막이 가시설에 사용하는 후판(철판)을 토사 무너짐 방지를 목적으로 설치하려 던 중에 후판(철판)을 고정하였던 고리(후크)가 빠지면서 넘어지고 깔려 사망</t>
  </si>
  <si>
    <t>후크해지장치 미설치한 상태에서 철판을 고정하였던 후크가 빠지면서 넘어져 근로자가 깔림</t>
  </si>
  <si>
    <t>▶ 중량물 인양시 전도방지를 위해 후크해지장치 설치 확인 후 작업 수행
▶ 중량물 취급 작업 시 근로자 출입 통제 및 유도자 배치</t>
  </si>
  <si>
    <t>2016년 6월경 OO(주) OO편의시설 설치공사 현장에서 재해자가 흙막이 지보공 위에 설치된 점검통로를 해체하는 과정에서 몸의 중심을 잃고 약 5.45m 아래 콘크리트 바닥으로 떨어져 사망</t>
  </si>
  <si>
    <t>안전대를 착용하지 않고 버팀보 위를 이동 중 근로자가 균형을 잃고 굴착저면으로 추락</t>
  </si>
  <si>
    <t>▶ 추락위험이 있는 장소에서 작업 시 안전난간이나 추락방호망을 설치
▶ 추락위험이 있는 장소에서 작업 시 안전대를 지급하고 착용한 상태에서 작업 실시
▶ 근로자 안전하게 이동 가능한 가설통로 설치</t>
  </si>
  <si>
    <t>2016년 9월경</t>
  </si>
  <si>
    <t>2016년 9월경 근린생활시설 신축현장에서 재해자가 흙막이가시설 코너 버팀보(4번) 설치를 위한 간격측정(3-4번)을 하려고 상체를 숙이는 중 굴착저면(약 7m)으로 추락하여 사망</t>
  </si>
  <si>
    <t>2016년 10월</t>
  </si>
  <si>
    <t>2016년 10월경 배수관 정비공사 현장에서 재해자가 흙막이 가시설 설치 작업 중 굴착기로 인양하던 H형강이 이탈되면서 머리를 가격당해 사망</t>
  </si>
  <si>
    <t>▶ 중량물 인양시 작업순서 및 방법, 사용장비, 인양물 탈락방지 및 근로자 출입금지 관련 작업계획서 작성
▶ 중량물 취급 작업 시 근로자 출입 통제 및 유도자 배치</t>
  </si>
  <si>
    <t>부딪힘 접촉</t>
  </si>
  <si>
    <t>2017년 2월경 주상복합 신축공사 현장에서 재해자가 흙막이 가시설 6단 띠장 지지용 브라켓을 용접하기 위해 굴착 토사 반출위치(크램쉘 버킷 수직 이동구간) 흙막이 벽체 쪽으로 이동중 하강중이던 크램쉘 버킷에 깔려 사망</t>
  </si>
  <si>
    <t>시야가 미확보된 상태에서 회전하는 차량계 건설기계 붐대에 충돌</t>
  </si>
  <si>
    <t>▶ 차량계 건설기계 작업을 하는 경우 작업지휘자 지정 및 안전한 작업 지휘
▶ 차량계 건설기계를 사용하여 작업하는 경우 장비와 근로자가 부딪힐 위험이 있는 장소에는 근로자 출입 통제 및 유도자 배치</t>
  </si>
  <si>
    <t>천공기/항타기</t>
  </si>
  <si>
    <t>2017년 2월경 오피스텔 신축공사 현장에서 재해자가 차수공 천공 주입 중 천공장비 상부 리더에 부착되어 있던 로프걸이용 도르레가 30m 낙하하여 맞아 사망</t>
  </si>
  <si>
    <t>천공장비 상부 리더에 부착되어 있건 로프걸이용 도르레가 파단되어 낙하하여 운전중이던 근로자가 맞음</t>
  </si>
  <si>
    <t>▶ 차량계 건설기계 사용에 따른 작업계획서 작성 및 작업지휘자 지정 
▶ 작업 전 재료∙기구의 결함 유무를 점검하고 불량품 제거 후 작업 실시</t>
  </si>
  <si>
    <t>2017년 2월경 호텔 신축현장에서 재해자가 흙막이 가시설인 쉬트파일의 항타작업을 위해 지반에 세워진 쉬트파일 수직도를 조정한 후 쐐기 설치를 하려는 순간 크롤러 크레인의 와이어로프에 매달려 있던 바이브로 해머를 쉬트파일에 물리는 과정에서 바이브로 해머가 약 10mn 아래로 낙하되어 맞아 사망</t>
  </si>
  <si>
    <t>크레인의 와이어 로프에 매달려있던 바이브로 해머가 운전 조작방법 미숙 등으로 낙하</t>
  </si>
  <si>
    <t>작업발판/가설계단</t>
  </si>
  <si>
    <t>2017년 4월경</t>
  </si>
  <si>
    <t>2017년 4월경 주상복합 신축공사 현장에서 재해자가 지상1층 #2 복공 주형보 사이에 거치 된 가설 작업발판 위에서 복공의 가새(X-Bracing)를 산소절단기로 절단하기 위해 가설 작업발판을 이동하는 도중 몸의 중심을 잃고 약 5.4m 아래 지하 1층 콘크리트 바닥으로 추락하여 사망</t>
  </si>
  <si>
    <t>안전난간이 미설치된 작업발판 단부에서 이동 중 실족하여 추락</t>
  </si>
  <si>
    <t>▶ 추락할 위험이 있는 작업 시 가설 작업발판을 설치, 안전난간 또는 안전대 부착설비 설치 등 추락방지조치 실시
▶ 추락할 위험이 있는 작업 시 근로자에게 안전대 지급 및 착용상태 확인</t>
  </si>
  <si>
    <t>2018년 1월경 복합문화시설 신축공사에서 재해자가 어스앵커(Earth Anchor) 강선 인장작업 중 어스앵커 대좌(Bracket)가 회전하면서 인장기 실린더에 머리를 맞아 사망</t>
  </si>
  <si>
    <t>어스앵커 강선 인장작업 중 사용자재 불량에 따른 어스앵커 대좌가 회전하면서 근로자가 인장기실린더에 충돌</t>
  </si>
  <si>
    <t>▶ 어스앵커 등 흙막이지보공 부재에 대한 검수(단면결손 및 변형, 용접불량, 부식, 재사용 가설기자재 여부 등)를 사전에 수행
▶ 주기적인 점검을 통해 결함이 있는 부재에 대해 교체 및 보강 실시</t>
  </si>
  <si>
    <t>2018년 10월경 업무시설 신축공사 현장에서 재해자가 굴착 바닥면에 표식을 하던 중 인접건물 하부의 토사가 흘러내리면서 그 영향으로 벽체가 넘어져 벽체에 깔려 사망</t>
  </si>
  <si>
    <t>작업 중 인접건물 하부의 토사가 흘러내리면서 그 영향으로 벽체가 넘어져 근로자가 깔림</t>
  </si>
  <si>
    <t>▶ 인접건물 또는 구축물 등이 굴착 등으로 침하 균열이 발생하여 붕괴 등 위험이 예상되는 경우 안전진단 등으로 안전성을 평가하여 위험성 제거
▶ 지반 굴착시 지층상태, 매설물 유무 등을 사전조사 실시</t>
  </si>
  <si>
    <t>충전부</t>
  </si>
  <si>
    <t>2019년 1월경</t>
  </si>
  <si>
    <t>감전</t>
  </si>
  <si>
    <t>2019년 1월경 빌딩 신축공사 현장에서 재해자가 파손된 케이블 접속기구(콘센트)를 교체하던 중 전기에(220V) 감전 되어 사망</t>
  </si>
  <si>
    <t>이동식케이블에 연결되어 있는 파손된 케이블 접속기구(콘센트)를 교체하던 중 전기에 감전</t>
  </si>
  <si>
    <t>▶ 충전부 및 전기 임시 배전반 등 방호조치 실시 
▶ 전기기계기구 및 전선 등의 정비, 보수작업 시에는 반드시 전원을 차단 후 검전기로 정전 상태여부 확인 후 작업 수행</t>
  </si>
  <si>
    <t>2019년 3월경 도시철도 건설현장에서 재해자가 수직구 굴착바닥으로 이동하던 중 토사 상차를 위해 상부에서 하강하던 크램쉘의 버킷에 충돌하여 사망</t>
  </si>
  <si>
    <t>2020년 5월경</t>
  </si>
  <si>
    <t>2020년 5월경 오피스텔 신축공사 현장에서 재해자가 흙막이지보공(코너스트럿 6단) 위를 이동하던 중 실족하여 높이 약 8m아래 추락하여 사망</t>
  </si>
  <si>
    <t>2020년 5월경 재해자가 흙막이지보공 H-PILE 사이에 토류판 설치 작업 중 배면 토사 일부가 붕괴되어 매몰되어 사망</t>
  </si>
  <si>
    <t>▶ 흙막이 지보공 조립도 순서에 맞게 작업 진행 및 Pipe rack 등 지장물 간섭이 예상되는 경우 미리 굴착하지 않은 안전한 방법으로 설치
▶ 흙막이 지보공 조립작업 시 관리감독자 배치 및 안전한 방법으로 작업 지휘</t>
  </si>
  <si>
    <t>2020년 6월경</t>
  </si>
  <si>
    <t>2020년 6월경 상수도 인입공사 1공구 현장에서 재해자가 흙막이가설재인 Sheet pile을 바이브로 해머로 지중에 박던 중 더 이상 근입이 되지 않아 Sheet pile의 높이를 맞추기 위해 튀어나온 부분 절단 작업을하던 중 Sheet pile이 전도되어 사망</t>
  </si>
  <si>
    <t>Sheet pile의 높이를 맞추기 위해 튀어나온 부분 절단 작업을하던 중 Sheet pile이 전도되어 깔림</t>
  </si>
  <si>
    <t>▶ 차량계 건설기계 사용에 따른 작업계획서 작성 및 작업지휘자 지정 
▶ 흙막이 지보공 조립작업 시 현장 여건을 반영한 위험요소(추락, 낙하, 전도) 배제 후 안전한 작업 방법으로 실시</t>
  </si>
  <si>
    <t>2020년 7월경 하수처리시설 건설공사 현장에서 재해자가 흙막이 가시설 6단 띠장 용접작업 중 지상에서 면고르기 작업하던 굴착기의 버킷이 탈락으로 낙하되어 맞아 사망</t>
  </si>
  <si>
    <t>굴삭기 버켓과 철재 플레이트의 용접작업 중 버켓이 굴착 사면 하부로 굴러내려가 흙막이가시설 6단 띠장 홈메우기 용접작업 중이던 재해자를 강타</t>
  </si>
  <si>
    <t>▶ 차량계 건설기계의 수리나 부속장치의 장착 및 제거작업을 하는 경우 작업지휘자 지정 및 안전한 작업 지휘
▶ 차량계 건설기계를 사용하여 작업하는 경우 장비와 근로자가 부딪힐 위험이 있는 장소에는 근로자 출입 통제 및 유도자 배치</t>
  </si>
  <si>
    <t>2020년 7월경 업무시설 신축공사 현장에서 재해자가 흙막이 가시설 두 번째 단의 우각부 스트러트 밀림방지 부재 설치 작업 중 작업구간 상부에서 설치 중이던 띠장(H-440×300, L≒17m, W≒2.1t)이 하부로 떨어지면서(H≒40cm) 두부를 강타하여 사망</t>
  </si>
  <si>
    <t>낙하물 위험구간에서 작업중이던 근로자가 상부에서 설치중이던 띠장이 낙하하여 맞음</t>
  </si>
  <si>
    <t xml:space="preserve">▶ 중량물 낙하 위험이 있는 곳에 출입금지 구역 설정 및 출입인원 통제
▶ 낙하물 위험구간 상하 동시 작업 제한 </t>
  </si>
  <si>
    <t>2020년 7월경 플랜트 현장에서 재해자가 H-pile(엄지말뚝) 설치 위치를 잡아주기 위하여 기다리던 중 굴착법면이 붕괴되면서 매몰되어 사망</t>
  </si>
  <si>
    <t>고소작업대</t>
  </si>
  <si>
    <t>2020년 8월경</t>
  </si>
  <si>
    <t>2020년 8월경 OO토건이 시공하는 OO 정비사업 현장에서 협력업체 소속 재해자가 차량탑재형 고소작업대(일명 스카이)에 탑승하여 사면 천공작업 후 고소작업대가 움직이지 않아 확인하는 과정에서 작업대에 충격이 가해졌고 이로 인해 재해자가 약 15m 아래로 추락하여 사망</t>
  </si>
  <si>
    <t>고소작업대를 사용하여 지붕에서 지상으로 이동하려던 중 지붕강판에 걸려있던 작업대가 떨어져 나감과 동시에 그 충격으로 몸의 중심을 잃고 바닥으로 추락</t>
  </si>
  <si>
    <t>▶ 고소작업대를 사용하여 작업 시, 지붕강판 등 구조물에 걸려 작업대의 승하강이 어려울 경우, 운전자는 작업대가 걸려있는 상황을 직접 파악한 후 조작 실시
▶ 고소작업대를 통해 작업 시, 전면부에 웨빙띠 및 안전 난간 등과 같은 추락방지조치 철저</t>
  </si>
  <si>
    <t>2020년 12월경 문화 및 근린생활 사옥 신축현장에서 재해자가 코너 스트러트 2단 설치를 위해 H-Beam 상부에서 이동 중 몸의  중심을 잃고 굴착 저면으로 추락(H≒2.9m)하여 사망</t>
  </si>
  <si>
    <t>1.2.3 흙막이 지보공 해체</t>
  </si>
  <si>
    <t>2016년 3월경 진입도로 개설공사 내 지하차도 15블럭에서 재해자가 원형강관버팀대 해체작업을 하던 중 몸의 중심을 잃고 4.8m아래 콘크리트 바닥으로 추락하여 사망</t>
  </si>
  <si>
    <t>▶ 추락위험 구간에서 작업시 근로자의 추락재해예방을 위해 추락방호망, 안전난간 설치 또는 안전대 부착설비 설치 및 착용 후 작업 수행
▶ 흙막이 띠장 조립·해체 작업 시 작업높이 등의 조건을 고려하여 작업발판 설치 등 작업자가 안전한 자세로 작업할 수 있도록 작업방법 개선
▶ 낙하물 위험구간 상하 동시 작업 통제 철저</t>
  </si>
  <si>
    <t>2016년 10월경 재건축 정비사업 현장에서 재해자가 흙막이가시설의 띠장 (Wale, H 형강) 해체 중 1줄걸이 와이어로프에 빔클램프로 연결하여 인양하던 띠장에 복부를 맞아 사망</t>
  </si>
  <si>
    <t>흙막이지보공 띠장 해체작업 중 설치지점에서 이탈된 띠장(이동식크레인 붐에 결속)에 1차 충돌 후 2차로 콘크리트 옹벽에 부딪힘</t>
  </si>
  <si>
    <t>▶ 중량물 인양시 작업순서 및 방법, 사용장비, 인양물 탈락방지 및 근로자 출입금지 관련 작업계획서 작성
▶ 중량물 취급 작업 시 근로자 출입 통제 및 유도자 배치
▶ 흙막이가시설 해체 시 단계별 해체계획을 수립하고 순서대로 이행</t>
  </si>
  <si>
    <t>2016년 11월</t>
  </si>
  <si>
    <t>2016년 11월경 우수저류시설 설치사업현장에서 재해자가 흙막이가시설(1단 버팀보) 해체작업 중 토압으로 인하여 튕겨 나온 버팀보 부재에 맞아 사망</t>
  </si>
  <si>
    <t>2017년 2월경 빌딩 신축공사 현장에서 재해자가 흙막이가시설 상단에서 약 12m 아래로 떨어지는 토석에 머리를 맞아 사망</t>
  </si>
  <si>
    <t>흙막이가시설 상단에서 약 12m 아래로 떨어지는 토석에 머리를 맞음</t>
  </si>
  <si>
    <t>▶ 흙막이가시설 해체작업구간 낙하에 의한 위험방지를 위해 토질에 따른 적정 기울기를 확보하여 적치하며 성토재 사면에서 낙하 위험이 있는 토석 제거
▶ 낙하물 위험구간 작업반경내 근로자 출입 통제 실시</t>
  </si>
  <si>
    <t>2017년 5월경 OO타워 신축공사 현장에서 재해자가 1단 버팀대 위에 서서 3단 띠장 해체 신호를 하는 중 떨어진 중간말뚝에 맞아 몸의 균형을 잃고 기계실 하부(H≒9.0m) 콘크리트 바닥으로 추락하여 사망</t>
  </si>
  <si>
    <t>▶ 추락위험이 있는 장소에서 작업 시 안전난간이나 추락방호망을 설치
▶ 추락위험이 있는 장소에서 작업 시 안전대를 지급하고 착용한 상태에서 작업 실시</t>
  </si>
  <si>
    <t>2017년 10월경 물류센터 신축공사현장에서 재해자가 흙막이 띠장 5단 해체작업 중 흙막이와 구조물 벽체가 순간적으로 붕괴되어 1명이 사망, 중상 2명, 경상 7명</t>
  </si>
  <si>
    <t>흙막이 해체작업 중 흙막이와 구조물 벽체가 순간적으로 붕괴되어 근로자가 토사에 매몰</t>
  </si>
  <si>
    <t>▶ 하중계 계측결과를 통해 항복응력 초과 여부 판단, 토압 증가 등 이상 발생 시 보강조치 실시
▶ 구조물 벽체 작업방법 및 순서 준수
▶ 구조물 벽체가 슬라브와 일체화 여부 확인 및 캔틸레버와 같이 불안전한 상태에서는 작업 중지</t>
  </si>
  <si>
    <t>철골(철골자재)</t>
  </si>
  <si>
    <t>2017년 11월경 복합건물 신축공사 현장에서 재해자가 지상1층 바닥의 가설 버팀보(스트러트) 보강용 Cross Beam(H-형강)을 해체하던 중 지하2층 램프에서 지상1층의 해체된 Cross Beam을 로프에 매달아 하부로 내리다가 로프가 끊어지면서 맞아 사망</t>
  </si>
  <si>
    <t>손상된 로프를 사용하여 가설 버팀보 보강용 Cross Beam을 해체하던 중 해체된 Cross Beam을 로프에 매달아 하부로 내리다가 끊어져 근로자가 부딪힘</t>
  </si>
  <si>
    <t>▶ 중량물 양중작업에 사용할 장비는 사전에 상태 확인 후 실시
▶ 심하게 손상되거나 부식된 섬유로프 등 사용금지 또는 교체</t>
  </si>
  <si>
    <t>2018년 4월경</t>
  </si>
  <si>
    <t>2018년 4월경 터널 건설공사 현장에서 재해자가 지하차도 구간의 흙막이 가시설(띠장) 해체 구간 하부에서 작업 중 절단되어 떨어지는 흙막이 가시설(띠장)에 맞아 사망</t>
  </si>
  <si>
    <t>H-Beam 을 이동식크레인에 달아매어 해체하던 중 흔들리는 H-beam에 맞아 근로자가 바닥으로 추락</t>
  </si>
  <si>
    <t>2018년 5월경</t>
  </si>
  <si>
    <t>2018년 5월경 아파트 신축공사 현장에서 재해자가 흙막이가설재인 H-beam을 이동식크레인에 달아매어 해체 중 달아맨 H-beam에 맞아 지하1층 바닥으로 떨어져(높이 약5m) 사망</t>
  </si>
  <si>
    <t>2018년 8월경 도로확포장공사 현장에서 재해자가 콘크리트옹벽 설치구간 굴착저면에서 흙막이지보공 띠장 해체작업 중 갑자기 설치지점에서 이탈된 띠장(H-beam, 차량탑재형 이동식크레인 붐에 결속)에 1차 충돌 후 2차로 콘크리트 옹벽에 부딪혀 사망</t>
  </si>
  <si>
    <t>2018년 9월경</t>
  </si>
  <si>
    <t>2018년 9월경 재해자가 흙막이가시설 볼트해체 작업 중 스트럿과 사보부재가 띠장에서 탈락되어 약 3.3m아래 콘크리트 바닥으로 떨어져 사망</t>
  </si>
  <si>
    <t>가스트럿 상부에서 띠장과 스트럿 접속부 볼트해체 작업 중 스트럿이 띠장에서 이탈되며 근로자가 콘크리트 바닥으로 떨어짐</t>
  </si>
  <si>
    <t>▶ 바닥 개구부 주변에서 거푸집 운반 등의 작업 시 개구부로의 떨어짐을 방지하기 위해 견고하게 설치 
▶ 개구부에도 덮개 또는 추락방호망 등 방호조치 실시</t>
  </si>
  <si>
    <t>2019년 6월경 지하공공보도 설치공사현장에서 재해자가 G.L.-7m 지점 굴착 바닥에서 기존 매립되어 있던 지반보강 흙막이 가설구조물 해체(H-Pile 절단) 작업 중 배면의 토사와 기존 그라우팅 잔재물이 붕괴 및 도괴되어 사망</t>
  </si>
  <si>
    <t>▶ 인접건물 또는 구축물 등이 굴착 등으로 붕괴 등 위험이 예상되는 경우 안전진단 등으로 안전성을 평가하여 위험성 제거
▶ 지반 굴착시 지층상태, 매설물 유무 등을 사전조사 실시</t>
  </si>
  <si>
    <t>2019년 7월경</t>
  </si>
  <si>
    <t>2019년 7월경 아파트 신축공사현장에서 재해자가 흙막이지보공 파일을 인발하기 위해 굴삭기 무한궤도에 묻어 있는 흙을 제거한 후 이동 중 후진하는 굴삭기의 무한궤도에 깔려 사망</t>
  </si>
  <si>
    <t>시야가 확보되지 않은 상태로 후진중인 굴삭기에 주변 근로자가 충돌</t>
  </si>
  <si>
    <t>▶ 건설기계와 근로자 접촉방지를 위해 신호수 또는 유도자를 배치한 후 이동, 접촉에 위험이 있는 장소는 인원을 통제
▶ 굴삭기 후방감지센서, 후방카메라, 경보장치 등 설치 및 정상 작동여부 확인
▶ 장비동선과 근로자 안전통로를 구분하여 운영</t>
  </si>
  <si>
    <t>2019년 8월경 복선전철 노반신설 기타공사 현장에서 재해자가 신석 제1고가교 교각(No.43) 굴착부의 엄지말뚝(H-Pile)에 용접 접합되어 있는 흙막이 띠장(Wale)을 산소절단기로 해체 중, 용접 접합부(8개소 중 7번째 절단 중)가 파단되어 띠장(H-beam)이 굴러 떨어지면서 얼굴을 맞아 사망</t>
  </si>
  <si>
    <t>2019년 8월경 도시침수 예방사업 현장에서 재해자가 하수관로(PC BCX) 매설 후 흙막이지보공(H-pile)을 해체하기 위하여 굴삭기로 흙막이지보공(H-pile)을 인양하는 과정에서 클램프에서 이탈되어 떨어지는 흙막이지보공(H-pile)에 맞아 사망</t>
  </si>
  <si>
    <t xml:space="preserve">▶ 흙막이 지보공 해체작업 시 낙하 등의 사고예방을 위해 근로자 출입금지조치
▶ 중량물 인양시 현장 여건을 ㅈ반영하여 적절한 인양방법, 인양 장비 등 적용 </t>
  </si>
  <si>
    <t>2021년 3월경</t>
  </si>
  <si>
    <t>2021년 3월경 도시형생활주택 신축공사 현장에서 재해자가 흙막이 해체작업 중 안전대 부착설비가 미설치된 띠장(폭=35cm) 위에서 몸의 중심을 잃고 떨어져(H≒3.3m) 사망</t>
  </si>
  <si>
    <t>1.2.4 흙막이 지보공 자재반출</t>
  </si>
  <si>
    <t>2016년 6월경 아파트 신축공사 현장에서 재해자가 흙막이 벽체 상단부에서 가스절단기(산소+LPG)를 인양·수거하던 중 몸의 중심을 잃고 6m 아래 바닥으로 추락하여 사망</t>
  </si>
  <si>
    <t>▶ 흙막이가시설 굴착단부에 안전난간을 견고하게 설치</t>
  </si>
  <si>
    <t>2016년 7월경 경기장 신축공사 현장에서 재해자가 주경기장 지붕철골(Truss)공사 중 SEMALLOY Cable 설치를 위해 차량탑재형 고소작업대(차)의 작업대에 탑승하여 이동 중(Boom 약36m 확장) 선회부의 턴테이블 체결볼트가 파단되면서 Boom과 동시에 아래로 떨어져 1명 사망, 1명 부상</t>
  </si>
  <si>
    <t>차량탑재형 고소작업대의 작업대에 탑승하여 이동 중 선회부의 턴테이블 체결볼트가 파단되면서 근로자 추락</t>
  </si>
  <si>
    <t>▶ 고소작업대의 붐 선회부 등 주요구조부 체결볼트의 충분한 강도유지 및 이상유무 확인 철저
▶ 고소작업대의 붐 길이ㆍ각도 등에 따른 허용 작업반경 초과 사용금지</t>
  </si>
  <si>
    <t>2016년 8월경</t>
  </si>
  <si>
    <t>2016년 8월경 하수관로 신설공사 현장에서 재해자가 하수관로 흙막이로 사용했던 TS 판넬을 야적장에서 부재별로 분리하는 과정에서부재의 일부인 버팀대(Strut, H=1.35m, 1,048kg)를 평탄하지 않은 지반 위에 수직으로 세워 놓고 연결볼트를 해체하던 중 버팀대가 전도되면서 재해자가 지면과 버팀대 사이에 협착되어 사망</t>
  </si>
  <si>
    <t>버팀대를 평탄하지 않은 지반위에 수직으로 세워놓고 연결볼트 해체하던 중 버팀대의 전도로 버팀대 사이에 협착</t>
  </si>
  <si>
    <t xml:space="preserve">▶ TS판넬 버팀대 해체시 수평으로 작업하며 버팀대를 세울 시 삼각지지대, 지지벽 등을 활용하여 버팀대를 견고하게 고정하여 전도방호조치 실시
▶ 해당작업에 적합한 작업방법 선택 및 장비를 사용하고 발생가능한 위험 조치후 작업 실시  </t>
  </si>
  <si>
    <t>1.3 기초파일 작업</t>
  </si>
  <si>
    <t>1.3.1 기초파일 자재, 장비반입, 운반, 보관</t>
  </si>
  <si>
    <t>2015년 4월경</t>
  </si>
  <si>
    <t>2015년 4월경 OO정비공사 현장에서 재해자가 굴삭기로 시트파일 적재를 보조하던 중, 고리걸이 훅에 설치된 단기 와이어로프가 이탈되면서 시트파일(약 300kg)에 머리와 복부 등을 맞아 사망</t>
  </si>
  <si>
    <t>기초 파일 자재를 굴삭기를 이용하여 이동시키던 중 와이어로프가 훅으로부터 이탈되면서 철판에 맞음</t>
  </si>
  <si>
    <t>▶ 차량계 건설기계 작업시 근로자 출입 통제 및 유도자 배치
▶ 중량물 취급시 작업계획서를 사전에 작성하고 관리감독자를 배치하여 작업계획서에 맞게 작업
▶ 중량물 인양 시 외줄달기 지양 및 중량물취급 안전작업방법(두줄걸이) 준수</t>
  </si>
  <si>
    <t>2016년 3월경 OO건설 아울렛 신축공사 현장에서 재해자 등 3명이 기초보강 마이크로파일 설치작업 중 마이크로파일이 지중에 걸려 이를 빼내기 위하여 무리하게 작업하는 과정에서 마이크로 파일을 들고 있던 로더크레인(카고크레인)의 턴테이블이 파손되어 붐대가 지면으로 떨어지면서 밑에서 작업 중이던 재해자가 맞아 사망</t>
  </si>
  <si>
    <t>기초보강 마이크로파일 설치작업 중 지중에 걸린 파일을 무리하게 인양하여 로더크레인의 턴테이블 파손으로 붐대가 지면으로 낙하</t>
  </si>
  <si>
    <t>▶ 중량물 인양 시 과부하방지장치의 경보가 울리는 경우 인양작업 중단 또는 분할하여 작업 수행 
▶ 지중에 지장물 등으로 작업이 중단될 경우 무리한 단독작업 금지
▶ 중량물 인양 시 크레인을 차량엔진 반대방향으로 설치하여 차량의 엔진부가 카운터웨이트 역할을 하도록 설치</t>
  </si>
  <si>
    <t>2016년 3월경 OO기업(주) OO 건설공사 자재야적장에서 협력업체 소속 토목 가시설공인 재해자가 쐐기파일 위에 코너파일을 올려놓고 해체된 인양고리를 잡기위해 머리를 숙이던 중 코너파일이 넘어지면서 재해자를 덮쳐 기적재된 시트파일 사이에 끼여 사망</t>
  </si>
  <si>
    <t>쐐기파일 위에 코너파일을 놓고 해체된 인양고리를 잡던 중 코너파일이 넘어져 근로자를 덮쳐 시트파일 사이에 협착</t>
  </si>
  <si>
    <t>▶ 자재 적재 기준에 따른 자재 적치 및 적재상태 상시 점검 
▶ 협착위험이 있는 작업반경 내에 직접 들어가서 작업 금지</t>
  </si>
  <si>
    <t>2016년 4월경 OO(주)에서 시공 중인 업무시설 신축공사 현장에서 재해자는 굴삭기의 훅에 슬링벨트를 걸어 인양·운반 작업 중이던 천공기의 완충기(약 1ton)가 흔들리지 않도록 직접 손으로 잡고 운반하던 중, 굴삭기의 버킷(약 420kg)이 떨어져(H≒2.2m) 깔려 사망</t>
  </si>
  <si>
    <t>굴삭기의 훅에 슬링벨트를 걸어 인양 및 운반 작업 중 안전핀이 설치되지 않은 굴삭기의 버킷이 떨어져 하부에 있던 근로자가 깔림</t>
  </si>
  <si>
    <t>▶ 차량계 건설기계의 주 용도에 맞게 사용하는지 확인
▶ 중량물 인양 작업 시 두 군데 이상 결속하여 부재의 흔들림 및 이탈 방지</t>
  </si>
  <si>
    <t>2016년 4월경 OO건설(주) OO 주상복합 개발사업 중 토목공사 현장에서 협력업체 OO(주) 소속의 재해자가 굴삭기 훅에서 이탈된 천공기 전도방지용 철판(6.25m×2.45m×0.015m, 무게 약 1.8t)에 머리를 맞아 사망</t>
  </si>
  <si>
    <t xml:space="preserve">2016년 4월경 OO(주) 항타기 자재 야적장에서 재해자(비계  보조공)가 케이싱 더미 속에 있던 케이싱을 빼내기 위해, 위에 놓인 케이싱(외경 : 540~600㎜, 길이 : 7.4m)을 인양하던 중 회전하던 케이싱 비트 부분에 왼쪽 가슴을 강타 당하여 약 2.2m 아래 케이싱으로 추락하여 사망 </t>
  </si>
  <si>
    <t>자재 야적장에서 케이싱을 인양하여 유도작업을 하던 중 회전하던 케이싱 비트에 맞아 아래로 추락</t>
  </si>
  <si>
    <t xml:space="preserve">▶ 작업 시작 전 사용 장비의 안전장치(와이어로프 등) 설치 및 작동상태 확인
▶ 중량물 인양 시 중량물이 작업자의 머리 위로 통과하지 않도록 통제
▶ 중량물 인양 시 인양을 유도하기 위한 보조로프 사용 </t>
  </si>
  <si>
    <t>2016년 7월경 OO공장 신축공사 현장에서 지면이 견고하지 못한 상태에서 항타기를 다른 작업지점으로 이동하는 과정에서 항타기의 균형유지 등을 위하여 이동 할 지면에 깔아놓을 무게3ton 철판(깔판)을 항타기에 부착된 인양장치를 이용 인양하는 중에 보조 작업자인 재해자가 후크를 완전히 고정하지 않은 상태에서 인양 중에 철판이 고리에서 탈락하면서 재해자를 덮쳐 철판과 지면 사이에서 협착하여 사망</t>
  </si>
  <si>
    <t>항타기 이동을 위해 항타기에 부착되어 있는 인양장치를 이용하여 철판을 인양하던 중 후크를 완전히 고정하지 않아 철판이 탈락하여 근로자를 덮쳐 철판과 지면사이에 협착</t>
  </si>
  <si>
    <t>2017년 9월경 ㈜OO건설 OO 신축공사 현장에서 항타기를 사용하여 자재함을 지면에 내려놓는 작업 중 장비신호수인 재해자가 자재함에 깔려 사망</t>
  </si>
  <si>
    <t>항타기 리더에 와이어로프를 부착하여 자재함을 인양하여 지면에 내려놓는 작업 중 장비신호수가 자재함에 깔림</t>
  </si>
  <si>
    <t>2017년 10월경 OO건설에서 시공중인 OO설치공사 현장에서 OO건설 소속 재해자가 바지선에 적재된 강관파일(지름≒0.5m, L≒14.3m, 무게≒2톤)을 굴삭기(06W)를 이용하여 하역작업을 하기위해 와이어로프를 연결한 후 바지선 상부에 서있던 중 굴삭기에 의해 끌려오던 강관파일이 측면으로 구르며 서있던 재해자와 1차 충돌 후 재해자와 함께 바다 바닥(H≒3.5m)으로 떨어져 사망</t>
  </si>
  <si>
    <t>바지선에 적재된 강관파일을 굴삭기를 이용하여 하역 중 굴삭기에 의해 끌려오던 강관파일이 측면으로 구르며 부딪힘</t>
  </si>
  <si>
    <t>2018년 1월경 공동주택 신축공사 현장에서 재해자가 페이로더 장비의 전면에서 PHC 파일하역작업을 신호하던중 파일하역작업 시 받침목 위에서 구르는 파일과 파일 사이로 넘어지면서 안면부가 파일 사이에 끼여 협착하여 사망</t>
  </si>
  <si>
    <t>PHC 파일하역 작업을 신호하던 근로자가 파일 하역작업 시 받침목 위에서 구르는 파일과 파일 사이로 넘어지면서 안면부가 파일사이에 끼임</t>
  </si>
  <si>
    <t>▶ 천장 작업시 비계, 고소작업대 등의 적절한 작업발판을 설치하는 적절한 작업방법으로 수행 
▶ 작업 전 해체대상 구조물에 대한 사전조사 실시 
▶ 해체 방법 및 해체 순서 도면, 가설설비∙방호설비∙환기설비 및 살수∙방화설비 등의 방법이 포함된 작업계획서 작성 및 준수</t>
  </si>
  <si>
    <t>2018년 9월경 OO(주) OO공장 신축공사 현장에서 보조파일 2~3m 옆에서 항타기 신호업무를 하던 재해자는 항타기 기사가 지반에 기근입된 PHC파일 위에 보조파일(보조항)을 올려 항타작업을 한 후 보조파일을 항타기로 인양하여 바닥에 내려놓던 중 보조파일에 체결한 섬유밸트가 파단되어 넘어지면서 깔려 사망</t>
  </si>
  <si>
    <t>항타작업 후 보조파일을 항타기로 인양 시 체결한 섬유벨트가 파단되어 넘어져 깔림</t>
  </si>
  <si>
    <t>▶ 줄걸이 자재는 작업중 수시로 상태를 점검하며 예비를 두어 손상 발생 시 즉시 교체함 
▶ 중량물 취급 시 작업계획서를 사전에 작성하고 관리감독자를 배치하여 작업계획서에 맞게 작업</t>
  </si>
  <si>
    <t>2019년 6월경 OO(주)에서 OO호텔 신축공사 현장에서 기 반입된 항타기 리더를 야적장으로 반출하기 위한 작업 중 항타기 리더(Leader)의 승강용 트랩에 카고크레인(5t)의 보조훅을 걸고 운반하던 중 승강용트랩의 용접부위가 파단되면서 리더가 떨어져(H ≒ 3m) 재해자(항타보조공)의 가슴부위를 타격하여 사망</t>
  </si>
  <si>
    <t>항타기 반출을 위해 항타기 리더의 승강용 트랩에 카고크레인의 보조훅을 걸고 운반하던 중 승강용트랩의 용접부위가 파단되면서 리더가 떨어져 맞음</t>
  </si>
  <si>
    <t>▶ 크레인 작업 시 승강용 트랩 등 취약한 지점에 훅을 걸지 않도록 작업 방법 개선
▶ 크레인 작업 시 근로자의 출입 통제 및 인양중인 화물이 근로자의 머리 위를 통과하지 않게 작업 수행
▶ 항타기 운반 작업 시 사용메뉴얼 준수</t>
  </si>
  <si>
    <t>2019년 10월</t>
  </si>
  <si>
    <t>2019년 10월경 ㈜OO 재건축아파트 신축공사 현장에서 굴착기를 이용하여 천공기 전도방지용 철판을 운반 및 내려놓던 중, CIP공사를 위하여 이동 중이던 천공기와 굴착기가 충돌하여 훅 해지장치가 없는 인양 훅에 걸려있던 철판이 훅으로부터 이탈되어 재해자(보통인부)가 협착되어 사망</t>
  </si>
  <si>
    <t>2019년 10월경 ㈜OO에서 시공하는 파일공사 현장에서, 재해자(용접공)가 이동식크레인 운반 및 조립작업을 하던 중 붐이 전도되면서 협착되어 사망</t>
  </si>
  <si>
    <t xml:space="preserve">이동식크레인 조립작업 중 활차뭉치 및 후크블록 중량 등으로 붐이 무게중심을 잃고 전도되며 협착 발생 </t>
  </si>
  <si>
    <t>▶ 이동식크레인 붐대 조립 및 해체작업 시 장비 사용메뉴얼 준수
▶ 중량물 취급작업 시 전도 및 협착 등의 위험을 방지하기 위한 안전블록 및 지지대 설치 등 안전 조치 실시
▶ 작업지휘자 배치 및 크레인 붐 조립작업 경험이 있는 숙련공이 작업 진행</t>
  </si>
  <si>
    <t xml:space="preserve">2020 8월경 </t>
  </si>
  <si>
    <t>2020 8월경 ㈜OO에서 시공하는 공사 현장에서 PHC파일 운반 및 이동식크레인 이동 중 붐이 넘어져 근로자인 재해자(용접공)가 붐에 맞아 사망</t>
  </si>
  <si>
    <t>이동식크레인을 사용하여 PHC 파일을 운반 중 지반이 침하하면서 이동식크레인 붐이 넘어져 맞음</t>
  </si>
  <si>
    <t>2020년 10월</t>
  </si>
  <si>
    <t>2020년 10월경 ㈜OO이 시공하는 행복주택 건설공사 현장에서 재해자(화물차 운전원)가 천공기(흙막이공사용 건설장비)의 부속품들을 25톤 화물트럭에서 하역하던 중, 트럭 적재함(높이 약 1.4m)에서 굴러 떨어지는 스크류(길이 약 6.4m, 중량 약 700kg) 자재에 깔려 사망</t>
  </si>
  <si>
    <t>천공기의 부속품들을 화물트럭에서 하역하던 중 트럭 적재함에서 낙하하는 스크류에 깔림</t>
  </si>
  <si>
    <t>▶ 차량계 하역운반기계 작업 시 작업지휘자 배치 및 근로자 외 출입금지 실시
▶ 하역작업 시 낙하위험장소 출입금지 조치 및 울타리 설치</t>
  </si>
  <si>
    <t>2021년 1월경</t>
  </si>
  <si>
    <t>2021년 1월경 ㈜OO건설 OO공동주택 신축공사 현장에서 작업자가 PHC파일을 서비스홀로 이동 중 PHC파일 와이어로프 줄걸이가 빠지면서 인근 타워크레인 기초 거푸집작업을 하던 재해자(형틀공)가 파일에 깔려 사망</t>
  </si>
  <si>
    <t>2021년 2월경 OO㈜ 주택 재개발 정비사업 현장에서 협력업체 OO건설(주) 소속 재해자(작업반장)가 항타기의 와이어 드럼 점검·정비 등 작업 중 항타기 운전기사가 항타기 리더를 들어올려 와이어로프가 드럼에 감기는 순간 드럼과 와이어로프 사이에 끼어 사망</t>
  </si>
  <si>
    <t>항타기의 와이어 드럼 점검 중 항타기 리더를 들어올려 와이어로프가 드럼에 감기는 순간 드럼과 와이어로프 사이에 끼임</t>
  </si>
  <si>
    <t>▶ 항타기 점검·정비 작업 시 사용메뉴얼 준수
▶ 작업 순서에 따른 안전조치 실시 후 작업
▶ 항타기 점검·정비 작업 시 작업지휘자 배치 및 경험이 있는 숙련공이 작업 진행</t>
  </si>
  <si>
    <t>2021년 3월경 체육센터 건립현장에서, 재해자가 흙막이 말뚝삽입에 사용한 항타기를 해체·반출하기 위해 연결부(리더) 하부에서 볼트를 풀던 중, 연결부가 꺾이면서 낙하하는 리더에 깔려 사망</t>
  </si>
  <si>
    <t>말뚝삽입에 사용한 항타기를 해체·반출하기 위해 연결부 하부에서 볼트를 풀던 중 연결부가 꺾이면서 낙하하는 리더에 깔림</t>
  </si>
  <si>
    <t>▶ 파일 항타 전 부속품에 손상, 마모, 변형, 부식이 없는 것을 사용하며, 이상유무를 확인하는 등 정기점검 실시
▶ 차량계 건설기계(항타기 등)의 수리 또는 장착 및 제거 작업 시 작업지휘자 배치
▶ 항타기 조립·해체 작업 시 사용메뉴얼 준수</t>
  </si>
  <si>
    <t>2021년 10월</t>
  </si>
  <si>
    <t>2021년 10월경 근린생활시설 신축공사 현장에서 굴착기 기사가 CIP 케이싱 내 콘크리트 타설 목적으로 굴착 용도의 버킷방향과 반대방향으로 안전핀 없이 버킷을 체결한 상태에서 케이싱에 깔대기관을 연결하던 중 버킷이 떨어져 그 밑에서 작업하던 재해자의 머리를 타격하여 사망</t>
  </si>
  <si>
    <t>CIP 케이싱 내 콘크리트 타설 목적으로 굴착 용도의 버킷 방향과는 반대방향으로 안전핀 없이 버킷을 체결한 상태에서 케이싱에 깔대기관을 연결하던 중 버킷이 떨어짐</t>
  </si>
  <si>
    <t>▶ 차량계 건설기계 작업시 근로자 출입 통제 및 유도자 배치
▶ 굴착기 버킷 탈락방지용 안전핀 체결 및 고정 여부 확인
▶ 낙하위험이 있는 작업반경 내에 직접 들어가서 작업 금지</t>
  </si>
  <si>
    <t>1.3.2 기초파일 천공</t>
  </si>
  <si>
    <t>2016년 2월경</t>
  </si>
  <si>
    <t>2016년 2월경 OO공사 현장에서 협력업체 소속 재해자(비계공)가 부지 내 파일 천공작업을 위하여 천공기(2호기)의 오거 헤더 교체작업을 하던 중, 케이싱 구동모터 부분에 끼어 있던 전석이 낙하하여 재해자를 강타하여 사망</t>
  </si>
  <si>
    <t>천공기의 오거 헤더 교체작업을 하던 중 케이싱 구동모터 부분에 끼어 있던 전석이 낙하하여 근로자 강타</t>
  </si>
  <si>
    <t xml:space="preserve">▶ 낙하물에 따른 방지망 또는 방호선반 설치 필요
▶ 높은 위치에서 전석∙잔토 제거 작업 시 하부에 근로자가 있는지 확인 후 작업 실시
▶ 사전에 낙하물에 의한 위험요인 제거 및 방호선반 설치
▶ 사전 하부오거 내∙외부에 있는 토사 제거, 또는 케이싱 분리하여 지상에서 보수작업 실시 </t>
  </si>
  <si>
    <t>2016년 8월경 OO에서 시공중인 OO아파트 신축공사 현장에서 재해자(파일공)가 PHC파일(D=600) 이음을 위해 천공한 가설홀(700, 깊이 GL-14m)에 인접한 상태에서, 가설홀 굴착후 케이싱(18m)을 인발하던 중  케이싱 주변 토사가 함몰되면서(직경≒2.3m～2.6m, 깊이≒1.5m), 케이싱 인근에 있던 재해자가 함께 매몰되어 사망</t>
  </si>
  <si>
    <t>PHC 파일 이음을 위해 천공한 가설홀에 인접한 상태에서 가설홀 굴착후 케이싱을 인발하던 중 케이싱 주변 토사가 함몰되면서 인근 근로자 매몰</t>
  </si>
  <si>
    <t>▶ 사전 근로자의 매몰 위험을 방지하기 위해 지반의 상태, 공벽 붕괴 위험, 근로자의 출입 상태 점검 후 작업 수행
▶ 파일 이음을 위한 가설홀 천공작업 시 지반의 붕괴에 위험이 있는 경우 케이싱을 인발하는 과정이 없는 방법으로 진행하여 지반의 함몰 방지</t>
  </si>
  <si>
    <t>2017년 2월경 재해자(공기압축기 운전자)가 오피스텔 신축공사 현장진입구 옆 도로에 위치한 CIP 천공작업용 공기압축기가 적재되어 있는 트럭뒤에서 현장 진입로 확보하기 위하여 후진하던 카고크레인 사이에 끼어 사망</t>
  </si>
  <si>
    <t>근로자가 CIP 천공작업용 공기압축기를 적재하여 주차해 놓은 트럭과 현장진입로를 확보하려고 후진 중이던 카고크레인 사이에 끼임</t>
  </si>
  <si>
    <t>▶ 작업 내 차량계 건설기계 이동시 신호수 또는 유도자를 배치하여 안전하게 이동시킴
▶ 차량계 건설기계 후진 시 후방감지장치 설치</t>
  </si>
  <si>
    <t>2017년 9월경 오피스텔 신축현장에서 협력업체 소속 재해자(비계공)이 자재야적장에서 천공기 보조작업을 하던 중, 인근에서 자재운반중이던 굴삭기에 재해자가 충돌하면서 재해자 가슴 부위가 굴삭기 바퀴에 깔려 사망</t>
  </si>
  <si>
    <t>자재야적장에서 천공기 보조작업을 하던 중 인근에서 자재운반중이던 굴삭기에 피재자가 충돌하면서 굴삭기 바퀴에 깔림</t>
  </si>
  <si>
    <t>▶ 차량계 건설기계와 근로자가 부딪칠 위험이 있는 장소에 근로자 출입 통제 및 유도자 배치
▶ 굴삭기를 사용하는 경우 장비의 사용목적에 맞는 용도로 사용</t>
  </si>
  <si>
    <t>2019년 2월경</t>
  </si>
  <si>
    <t>2019년 2월경 ㈜OO 교육연구 및 근린생활시설 신축공사 현장에서 협력업체 소속 OOO(천공기 소유주 겸 운전원)가 천공기를 이용하여 지반 천공 및 H-Beam 근입 작업을 하던 중, 천공기 리더 상부에 부착된 부속철물(W≒20kg)이 탈락되어 지면으로 자유낙하 되면서 작업을 지휘하던 재해자(협력업체 관리이사)의 두부를 강타하여 사망</t>
  </si>
  <si>
    <t>천공기를 이용하여 지반 천공 및 H-Beam 근입 작업을 하던 중 천공기 리더 상부에 부착된 부속철물이 탈락되며 지면으로 낙하하여 근로자의 두부 강타</t>
  </si>
  <si>
    <t>▶ 중량물의 탈락 및 낙하 방지 예방을 위해 근로자 접근 통제 및 작업지휘자 배치
▶ 건설기계가 넘어지거나 붕괴 방지를 위해 조립 후 용접상태 점검 등 안정도를 확보
▶ 작업 전 사용 기계의 이상유무를 점검하고 유해, 위험 방지조치 실시</t>
  </si>
  <si>
    <t xml:space="preserve">2019년 8월 </t>
  </si>
  <si>
    <t>2019년 8월 OO(주)에서 시공 중인 철도 노반신설공사 현장에서 천공기의 스크류를 해체하여 권상장치(와이어로프)에 매달아 지면에 내려놓던 중 매달려 있던 스크류가 수평으로 회전하며 주변에 서 있던 재해자의 복부 강타하여 사망</t>
  </si>
  <si>
    <t>천공기의 스크류를 해체하여 권상장치(와이어로프)에 매달아 지면에 내려놓던 중 바닥에 닿은 부분을 중심으로 체인에 매달려있던 스크류의 상부가 회전하며 주변에 서 있던 재해자의 복부 강타</t>
  </si>
  <si>
    <t>▶ 중량물의 탈락 및 낙하 방지 예방을 위해 근로자 접근 통제 및 작업지휘자 배치
▶  작업 전 기계의 이상유무를 점검하고 유해, 위험 방지조치 실시</t>
  </si>
  <si>
    <t>2019년 10월경 OO(주) 발전소 건설공사현장에서 파일공사 협력업체 소속 재해자(용접공)이 천공기 케이싱 하단부 보수 용접작업 중 재해자 안전모 위로 큰 자갈이 떨어져 머리에 심한 충격을 받고 사망</t>
  </si>
  <si>
    <t>2019년 10월경 재해자가 PRD(현장타설말뚝) 콘크리트 타설 후에 물청소용으로 사용할 물 호스를 뒷걸음(추정)으로 이동 시키던 중, 측량을 위하여 덮개를 열어 놓았던 개구부[PRD 천공 컷팅홀(□ 100x100Cm)]에 추락[지하2층 바닥(H≒9.95m)]하여 사망</t>
  </si>
  <si>
    <t>콘크리트 말뚝 타설 후 물청소용으로 사용할 물 호스를 이동 중 측량을 위해 덮개를 열어놓은 개구부[PRD 천공 컷팅홀]에 추락</t>
  </si>
  <si>
    <t>▶ 추락 위험이 있는 장소에 방호조치를 가진 안전울(안전난간), 추락방망 등을 설치 및 개구부 표시 조치
▶ 측량을 위해 개구부 덮개를 제거할 시 측량작업에 영향이 없는 안전울(안전난간)을 제작 및 설치</t>
  </si>
  <si>
    <t>2020년 6월경 ㈜OO 복합시설 건설현장에서 하청업체 ㈜OO 소속 재해자가 CIP 파일  작업 중 탈락한 항타기 케이싱 모터 케이블에 맞아 사망</t>
  </si>
  <si>
    <t>1.3.3 기초파일 항타</t>
  </si>
  <si>
    <t>2016년 2월경 ㈜OO이 시공하는 아파트 신축공사 현장에서 재해자(파일공)가 항타기의 최상단 스크류[안테나 스크류, 1단 스크류]를 해체하기 위해 케이싱 모터 상부에서 스크류 연결핀을 해체 후, 들려있던 스크류 모터와 케이싱 모터를 동시에 지면으로 내리던 중 케이싱 모터 상부에 있던 재해자가 스크류 모터와 케이싱 모터 사이에 끼여 사망</t>
  </si>
  <si>
    <t>항타기의 스크류를 해체하기 위해 케이싱 모터 상부에서 스크류 연결핀을 해체 후 들려있던 스크류 모터와 케이싱 모터를 동시에 지면으로 내리던 중 케이싱 모터 상부에 있던 재해자가 스크류 모터와 케이싱 모터 사이에 끼임</t>
  </si>
  <si>
    <t>▶ 장비 해체 작업계획서 작성후 관련 내용 작업자 공유후 작업 실시
▶ 끼임 위험지역에의 근로자 이동여부 확인을 위한 스크류 모터 부위 하방에 감시카메라 부착, 운영 등 안전대책 실시
▶ 안전지주, 안전블럭 설치를 통한 케이싱 모터의 불시 하강에 따른 위험 방지</t>
  </si>
  <si>
    <t>2016년 3월경 ㈜OO에서 시공하는 아파트 신축공사 현장에서 재해자가 항타기 리더(leader) 지상 조립 작업 중 리더 받침대가 넘어지면서 재해자가 리더 받침대와 리더부재에 끼여 사망_x000D_</t>
  </si>
  <si>
    <t>항타기 리더 지상 조립 작업 중 리더 받침대가 넘어지면서 피재자가 리더 받침대와 리더부재에 끼임</t>
  </si>
  <si>
    <t>▶ 매립지반상에 장선재 설치 상태 확인 후 리더 받침대 설치
▶ 항타기 리더 지상 조립시 전도 등에 대비하여 깔판∙깔목 등을 사용하여 지반의 침하를 방지한 후 리더 받침대 설치
▶ 끼임 위험지역에의 근로자 이동여부 확인을 위한 스크류 모터 부위 하방에 감시카메라 부착, 운영 등 안전대책 실시
▶ 안전지주, 안전블럭 설치를 통한 케이싱 모터의 불시 하강에 따른 위험 방지</t>
  </si>
  <si>
    <t>2016년 6월경 OO㈜ 교량설치공사 현장에서 강관파일 항타 작업 시 보조해머를 강관파일 상부에 인양 후 결속하던 중, 보조해머가 넘어져 작업보조를 하고 있던 협력업체 소속 재해자(항타보조원)가 보조해머에 맞아 사망</t>
  </si>
  <si>
    <t>강관파일 항타 작업 시 보조해머가 강관파일 상부에 인양 후 결속하던 중 보조해머가 넘어져 근로자가 맞음</t>
  </si>
  <si>
    <t>▶ 항타기 후크에 보조해머의  와이어 로프 줄걸이가 고정되어 있기 때문에 전도방지를 위해 후크해지장치 설치 확인 후 작업 수행
▶ 항타 시 작업과 직접 관련이 없는 근로자가 작업반경 내 출입 금지
▶ 작업반경 내 안전모 지급 및 착용상태 확인</t>
  </si>
  <si>
    <t>절단 베임 찔림</t>
  </si>
  <si>
    <t>2016년 11월경 ㈜OO 전철 노반신설 공사 현장에서 항타기로 천공작업이 진행되면서 운전석 유리창에 흙이 묻자 재해자가 유리창 청소를 하던중 공내 폭발로 인한 갑작스런 오거의 상승으로 느슨해진 와이어로프에 재해자의 신체일부가 감겼고 이어 오거가 다시 하강하자 와이어로우프가 팽팽하게 당겨지면서 재해자의 몸의 일부가 절단되어 사망</t>
  </si>
  <si>
    <t>항타기 운전석 유리창 청소를 하던 중 공내 폭발로 인한 갑작스런 오거의 상승으로 느슨해진 와이어로우프에 신체일부가 감겼고 이어 오거가 다시 하강하면서 몸의 일부를 절단</t>
  </si>
  <si>
    <t>▶ 사용 장비의 작업 전 정비·정검 실시
▶ 건설기계 이상 발생시 해당기계의 운전을 정지시킨 후 정비·정검 수행
▶ 항타작업 중 와이어로프가 늘어지는 등 이상 상황 발생시에는 위협장소에 근로자 출입금지</t>
  </si>
  <si>
    <t>2017년 1월경</t>
  </si>
  <si>
    <t>2017년 1월경 (주)OO에서 시공하는 근린생활시설 및 다가구주택 신축공사 현장에서, 재해자가 항타기의 상부오거(Auger)와 스크류 사이에 완충기(항타기의 오거 부속장치)를 장착하기 위해 완충기를 벨트-슬링(Belt-sling)으로 묶어 올려 매단(H≒5.0m) 상태에서, 재해자가 완충기 하부의 케이싱 모터(하부오거)에 올라 작업하던 중, 매달린 완충기가 떨어지며 아래에 있던 재해자를 가격하여 사망</t>
  </si>
  <si>
    <t>근로자가 항타기의 스크류모터와 스크류 사이에 완충기를 장착하던 중 완충기의 벨트-슬링이 풀리면서 완충기가 떨어져 하부 근로자를 가격함</t>
  </si>
  <si>
    <t>▶ 벨트-슬링이 후크레서 이탈되지 않도록 양 끝단이 고리 등 구비된 것 사용하여 1줄 걸이 또는 2줄 걸이 방법 사용
▶ 물체에 맞을 위험이 있는 작업 시 근로자 출입금지 조치 실시</t>
  </si>
  <si>
    <t>2017년 3월경 하천환경 조성공사 현장에서 협력업체 ㈜OO건설 소속 재해자(수리공)가 파일 항타기 도르래에 엉킨 와이어로프를 절단하기 위해 눕혀놓은 항타기 리더 상부에 올라가 절단 작업 중, 리더기 접합부의 볼트가 파단되면서 리더기 상부에서 지상 바닥으로 떨어져(H≒6.5m) 사망</t>
  </si>
  <si>
    <t>근로자가 눕혀놓은 항타기 리더 상부에 올라가 절단작업 중 리더기 접합부의 볼트가 파단되면서 리더기 상부에서 지상 바닥으로 추락</t>
  </si>
  <si>
    <t>▶ 작업 전 장비에 대한 점검 실시
▶ 추락 위험 장소 작업시 안전한 구조의 작업발판 설치
▶ 추락 방지용 안전난간 및 안전대 부착설비 설치</t>
  </si>
  <si>
    <t>2017년 7월경 OO(주) 연구시설 신축현장에서 파일항타 보조공인 재해자가 케이싱 인발 과정에서, 오거스크류 권상용 와이어가 장력을 잃고 권상기 드럼 주변 바닥으로 늘어져 있는(처진)것을 정리 하려고 접근하는 순간 바닥에 늘어져 있던 와이어가 갑자기 당겨지며 재해자 목을 가격(충돌)하여 사망</t>
  </si>
  <si>
    <t>파일 케이싱 인발 과정에서 오거스크류 권상용 와이어가 장력을 잃고 권상기 드럼 주변 바닥으로 늘어져 있는 것을 정리 하려고 접근하는 순간 바닥에 늘어져 있던 와이어가 갑자기 당겨지며 재해자 목을 가격</t>
  </si>
  <si>
    <t>2017년 9월경 OO(주) OO 신축공사 현장에서 재해자(파일공)가 PHC파일(L:22m) 근입 후 파일 두부에 덮혀 있는 토사를 제거하던 중 항타기 리더 상부에서 드롭해머 인양용 와이어로프가 파단되어 드롭해머가 떨어져(낙하높이≒2.5m) 드롭해머하부에 있던 재해자가 드롭해머(중량≒6.2톤)에 깔려 사망</t>
  </si>
  <si>
    <t>PHC파일 근입 후 파일 두부에 덮혀 있는 토사를 제거하던 중 항타기 리더 상부에서 드롭해머 인양용 와이어로프가 파단되어 드롭해머가 떨어져 깔림</t>
  </si>
  <si>
    <t>▶ 사용 장비의 정비·정검 수시 실시
▶ 천공기 양중작업 시 와이어로프의 상태 점검
▶ 중량물의 탈락 및 낙하 방지 예방을 위해 근로자 접근 통제</t>
  </si>
  <si>
    <t>2018년 1월경 공동주택 신축공사 현장에서 재해자(항타기 운전원)가 PHC(콘크리트)파일을 설치하기 위하여 지반 천공작업을 하려고 하던 중 항타기가 넘어지려고 하자 운전석에서 뛰어내려 대피하였으나 넘어지는 항타기 본체 등에 맞아 사망(추정)</t>
  </si>
  <si>
    <t>PHC 파일 천공 작업의 정확한 위치를 잡기 위해 철판 위에서 항타기를 전후 이동 및 좌우 회전하던 중 항타기가 넘어지려고 하자 운전석에서 뛰어내려 대피했지만 넘어지는 항타기 본체에 맞음</t>
  </si>
  <si>
    <t>▶ 항타기 등 차량계 건설기계를 사용하는 작업 전 작업장소의 지형 및 지반상태에 대한 사전조사 실시
▶ 항타기 등 차량계 건설기계를 사용하는 작업 시 지반의 부동침하 방지조치 실시</t>
  </si>
  <si>
    <t>2018년 5월경 OO(주)에서 시공중인 OO현장에서 협력업체 OO(주) 소속 근로자인 재해자(용접공)이 파일항타작업 중 토사의 비산을 방지하기 위한 가림막(약 1.5톤)을 해체하기 위하여 용단작업을 하던 중 가림막이 붕괴되며 가림막과 받침용 빔사이에 협착되어 사망</t>
  </si>
  <si>
    <t>파일 항타시 토사 비산 방지용 가림막을 해체하기 위하여 용단작업을 하던 중 가림막이 붕괴되며 가림막과 받침용 빔사이에 협착</t>
  </si>
  <si>
    <t>▶ 장비 조립·해체 등 의 작업시 낙하, 추락, 끼임 등의 재해 예방조치 후 작업
▶ 항타 시 작업과 직접 관련이 없는 근로자가 작업반경 내 출입 금지
▶ 작업반경 내 안전모 지급 및 착용상태 확인</t>
  </si>
  <si>
    <t>2018년 8월경 근린생활시설 신축공사에서 PHC 파일공인 재해자(작업반장)가 항타기 후면 발전기 상부에서 장비 점검 중 실족, 항타기 무한궤도로 추락(H≒3.6m) 사망</t>
  </si>
  <si>
    <t>근로자가 항타기 하부모터에 올라가 가이드레일에 그리스(윤활유)를 도포하는 작업을 마무리하고 내려오던 중 바닥 철판으로 떨어짐</t>
  </si>
  <si>
    <t>▶ 추락 위험 장소 작업시 안전한 구조의 작업발판 설치
▶ 추락 방지용 안전난간 및 안전대 부착설비 설치
▶ 장비 점검시 기계의 운전을 중지하여 전원을 차단한 후 검사 실시</t>
  </si>
  <si>
    <t>분류불능</t>
  </si>
  <si>
    <t>원인미상</t>
  </si>
  <si>
    <t>시트파일 인발 보조 및 삽을 이용한 뻘 제거, 흙막이용 띠장설치 보조작업을 하는 중 휴식장소로 이동하여 휴식 중 갑작스런 경련</t>
  </si>
  <si>
    <t>▶ 원인 미상</t>
  </si>
  <si>
    <t>2018년 9월경 ㈜OO 공동주택 신축공사현장에서 파일공사 협력업체 소속 재해자(항타공)이 항타기 주변에서 대기하던 중 해머를 인양하고 있던 와이어로프(직경 22mm)가 리더의 최상단 위치에서 순간 파단되어 아래로 비래된 와이어로프 파단부가 재해자의 머리를 강타하여 사망</t>
  </si>
  <si>
    <t>2018년 11월경 ㈜OO OO신축공사 현장에서 협력업체 소속 재해자(보통인부)가 항타기 하부모터에 올라가 가이드레일에 그리스(윤활유)를 도포하는 작업을 마무리하고 내려오려던 중, 높이 약 4.5m 아래 바닥 철판으로 떨어져 사망</t>
  </si>
  <si>
    <t>2019년 3월경 ㈜OO 고속도로 현장에서 협력업체 OO(주) 소속 재해자가 교각(P1) 시공을 위해 쉬트파일 설치작업 중 항타기 보조크레인의 훅이 빠지면서 바이브로 해머가 낙하(H≒12m)하여 하부에 있던 재해자의 두부를 강타, 사망</t>
  </si>
  <si>
    <t>교각 시공을 위해 쉬트파일 설치작업 중 항타기 보조크레인의 훅을 고정하는 너트의 용접부위 탈락으로 낙하하는 바이브 해머에 맞음</t>
  </si>
  <si>
    <t>2019년 3월경 OO건설 OO신축공사 현장에서 재해자(작업반장)가 항타기 상부에 위치한  상부 굴진기 컨트롤박스의 전원케이블을 해체하던 중, 항타기 운전원이 항타기 붐대를 작동시켜 와이어로프가 드럼에 감기는 순간 드럼과 와이어로프 사이에 오른쪽 다리가 끼면서 절단되어 사망</t>
  </si>
  <si>
    <t>2019년 5월경 ㈜OO 공사현장 재해자(RCD공)은 이동식크레인을 이용하여 오실레이터 구동용 유압호스를 해당 장비 상부에 똬리형태로 감아 정돈하던 중 크레인 붐대에 매달린 권과방지장치의 추 매달기용 와이어로프의 파단으로 추가 지상으로 떨어지면서(약40m) 재해자의 두부를 강타하여 사망(추정)</t>
  </si>
  <si>
    <t>이동식크레인을 이용하여 오실레이터 유압호스를 정돈하던 중이동식크레인 붐대에 매달린 권과방지장치의 추 매달기용 와이어로프의 파단으로 추가 지상으로 낙하</t>
  </si>
  <si>
    <t>▶ 사용 장비의 정비·정검 수시 실시
▶ 이동식 크레인 양중작업 시 와이어로프의 상태 점검
▶ 중량물의 탈락 및 낙하 방지 예방을 위해 근로자 접근 통제</t>
  </si>
  <si>
    <t>2020년 10월경 OO(주)이 물류센터 신축공사에서 파일공사 협력업체 OO건설(주) 소속의 재해자(파일공)가 PHC 파일 항타 후 파일 지지력 확인을 위해 리바운드량(Rebound) 측정을 하고 드롭해머(Drop hammer)를 들어 올리던 중 샤클핀(Pin)이 이탈되면서 샤클과 체결되어 있던 베어링슈벨(Bearing swivel)이 약 8m 높이에서 낙하되면서 재해자의 두부를 강타하여 사망</t>
  </si>
  <si>
    <t>PHC 파일 항타 후 파일 지지력 확인을 위해 리바운드량 측정을 하고 드롭해머를 들어 올리던 중 샤클핀이 이탈되면서 샤클과 체결된 베어링슈벨이 낙하하면서 근로자를 강타</t>
  </si>
  <si>
    <t>▶ 파일 항타 시 부속품에 손상, 마모, 변형, 부식이 없는 것을 사용함 
▶ 항타 또는 리바운드량 측정 시 샤클 및 와이어로프 등 비틀림 발생되지 않도록 올바른 방법을 사용</t>
  </si>
  <si>
    <t xml:space="preserve">2021년 2경 </t>
  </si>
  <si>
    <t>2021년 2경 OO(주)에서 시공하는 OO신축공사 현장에서, 협력업체인 OO산업(주)에서 장비 임대차 계약을 맺은 OO건설기계 소속 근로자 OOO이 흙막이 가시설공사(C.I.P공사) 작업 중 항타기에 의해 인발된 케이싱이 재해자의 가슴을 강타하여 사망</t>
  </si>
  <si>
    <t>항타기를 사용해 CIP 설치용 케이싱 근입작업 중 인발된 케이싱에 채워져 있던 토사와 물이 토출되며 케이싱이 유동하여 재해자의 가슴에 맞음</t>
  </si>
  <si>
    <t>▶ 중량물의 탈락 및 낙하 방지 예방을 위해 근로자 접근 통제
▶ 차량계 건설기계 작업계획서를 사전에 작성하고 관리감독자를 배치하여 작업계획서에 맞게 작업</t>
  </si>
  <si>
    <t>1.4 되메움 작업</t>
  </si>
  <si>
    <t>1.4.1 토사반입 및 되메움 실시</t>
  </si>
  <si>
    <t>2016년 9월경 ○○ 소하천 정비공사 현장에서 재해자 2명이 2톤 덤프트럭에 탑승하여 토사 임시야적장에서 되메우기용 토사를 적재한 후 고죽 소하천 상류지점 옹벽 상단 단부측으로 이동하여 하천 바닥 되메우기를 위해 적재함을 들어 올리던 중 덤프트럭이 높이 3.12m 아래 하천 바닥으로 떨어져 재해자 2명 부상</t>
  </si>
  <si>
    <t>덤프트럭이 토사 하역장소로 진입히다가 하역장소 단부 토사가 침하하여 트럭이 전도되며 운전자 또는 주변 작업자가 깔림</t>
  </si>
  <si>
    <t>▶ 차량계 건설기계의 전도방지를 위한 유도자 배치, 침하방지 등 조치 실시
▶ 덤프트럭 하역작업 시 차량 전도 등 비상사태를 예방하기 위해 안전벨트 등 보호구 상시 착용
▶ 토사 하역작업의 경우 유도자를 배치하고 지시에 따라 작업 실시</t>
  </si>
  <si>
    <t xml:space="preserve">2017년 10월경 00지역 재해 재난공사 현장에서 보강토 옹벽 뒷채움 골재 포설 작업 중 회전하는 굴삭기 뒷부분과 굴착사면 사이에 재해자가 끼여 사망 </t>
  </si>
  <si>
    <t>시야가 미확보된 상태에서 회전하는 굴착기 붐대에 충돌</t>
  </si>
  <si>
    <t>▶ 차량계 건설기계를 사용하여 작업하는 경우 유도자를 배치 및 작업반경 내 인원 통제 
▶ 운전자가 감지할 수 있는 센서 부착 및 차량 후진시 경보음 설비 설치</t>
  </si>
  <si>
    <t>2017년 11월경 OO건설이 시공하는 오수관거 정비공사 현장에서 현장 외부차량 교통통제 신호수인 재해자가 되메우기 및 노면정리를 하는 굴삭기(02) 옆을 돌아 뒤쪽으로 지나가던 중, 후진하던 굴삭기의 오른쪽 뒷바퀴에 다리가 깔려 사망</t>
  </si>
  <si>
    <t>2017년 12월경 토사 매립장에서 재해자가 25톤 덤프트럭의 화물칸에 실려있는 토사를 땅바닥으로 내리는 작업과정에서 동 차량을 수신호 하던 중 동 차량과 부딪힌 후 동 차량에서 내려지는 토사에 휩쓸려 사망</t>
  </si>
  <si>
    <t>2021년 3월경 택지개발사업 조성공사 현장에서 재해자가 25톤 덤프트럭으로 토사운반 작업 중 하역장소로 진입하다 후륜좌측 바퀴가 빠졌고, 그 상태에서 적재함을 들어 토사하역 중 차량이 좌측으로 전도되어 차량과 지면사이에 깔림</t>
  </si>
  <si>
    <t>2021년 5월경 주택재개발 정비사업 현장에서 재해자는 동료작업자와 아파트 지하구조물 되메우기 작업 전에 작업지시에 따라 지하 바닥면에 대한 청소작업을 실시하던 중, 지하 바닥면으로 부터 약 7m 높이의 굴착상부에서 되메우기 작업을 하던 굴착기가 떨어뜨린 암석에 깔려 사망</t>
  </si>
  <si>
    <t>굴착상부에서 되메우기 작업을 하던 굴착기가 떨어뜨린 암석에 깔림</t>
  </si>
  <si>
    <t>▶ 작업 전 작업장 주변 위험요인 사전조사 및 위험상황 작업자 공유
▶ 낙하물 위험구간 상하 동시 작업 금지</t>
  </si>
  <si>
    <t>1.4.2 되메움 토사다짐</t>
  </si>
  <si>
    <t>2016년 12월</t>
  </si>
  <si>
    <t>2016년 12월경 OO건설이 시공하는 전철 건설공사 현장에서 재해자 가 굴삭기(0.6㎥)를 이용하여 빔클램프(하카)로 매달아(외줄) 버팀보 인양 작업중 버팀보가 중앙파일에 부딪혀 빔클램프(하카)로부터 이탈되면서 낙하하여 버팀보를 잡고 있던 재해자가 협착되어 사망</t>
  </si>
  <si>
    <t>굴삭기를 이용하여 빔클램프(하카)로 매달아(외줄) 버팀보 인양 작업 중 버팀보가 중앙파일에 부딪혀 빔클램프(히카)로부터 이탈하면서 낙하하여 버팀보를 잡고있던 근로자가 협착됨</t>
  </si>
  <si>
    <t>▶ 중량물의 취급작업 계획서를 준수하여 버팀보를 2줄로 인양하여 설치함 
▶ 버팀보에 인양용 러그를 설치하여 인양, 유도로프를 설치하여 근로자와 최대한 이격하여 작업
▶ 버팀보(Flange) 등에 샤클을 활용하여 인양 등 버팀보 인양 작업 방법을 개선</t>
  </si>
  <si>
    <t>2016년 12월경 ㈜OO에서 시공하는 도시가스 배관공사 현장에서 재해자가 도시가스 배관(D400mm) 부설 후 되메우기용 토사 다짐작업을 위한 굴삭기(버킷용량:0.6㎥) 주변에서 청소작업 중 후진하던 굴삭기 오른쪽 뒷바퀴에 깔려 사망</t>
  </si>
  <si>
    <t>2018년 12월</t>
  </si>
  <si>
    <t>2018년 12월경 공공주택지구 조성공사 오수관로 매설공사 작업 중 재해자가 되메우기를 위한 다짐(콤팩트)작업을 수행하다 기매설되어 횡단하는 난방공사 송전관로의 주변 굴착면이 붕괴되어 사망</t>
  </si>
  <si>
    <t>작업장의 사전조사 미비 및 굴착면의 기울기 미준수 상태에서 오수관로 매설작업 중 되메우기 후 콤팩트로 다짐작업 중 굴착면 붕괴로 매몰</t>
  </si>
  <si>
    <t>▶ 굴착면의 기울기 기준 준수 또는 법면 붕괴방지조치(흙막이지보공 보강) 실시
▶ 굴착대상 지반의 지형, 지질, 지층상태 및 함수 유무 등 사전조사 실시</t>
  </si>
  <si>
    <t>2021년 2월경 다세대주택 신축공사현장에서 일용직 근로자인 재해자가 미상의 사유로 현장내 실내 계단실 1~2층 계단참에서 쓰러져 사망</t>
  </si>
  <si>
    <t>외부 주차장 토사 평탄화 작업 중 미상의 사유로 현장내 계단참에서 쓰러진 채 발견</t>
  </si>
  <si>
    <t>▶ 근로자가 현장 투입시 건강검진 소견 결과 확인 등
   - 배치전 건강검진 결과 확인
   - 의사 유소견자는 구분하여 관리 (주기적 상담 등)
▶ 오전 일일 TBM시 근로자 건강상태 확인</t>
  </si>
  <si>
    <t>2021년 8월경</t>
  </si>
  <si>
    <t>2021년 8월경 여관 부지조성공사 현장에서 재해자가 소형 진동롤러(1톤, 수동형)로 2단 보강토 옹벽 시공을 위해 배면 토사 다짐작업 중 옹벽 선단부에서 롤러 방향 전환을 시도하다, 롤러가 2단 옹벽 선단부에서 이탈(높이 32cm)하여 옹벽 1~2단 사이 소단(폭 1.75m)으로 기울어지면서 롤러 운전대를 잡고 있던 재해자가 1단 옹벽 외측으로 밀려 약 4.8m 아래 콘크리트 바닥으로 떨어져 사망</t>
  </si>
  <si>
    <t>1.5 발파 작업</t>
  </si>
  <si>
    <t>1.5.1 발파</t>
  </si>
  <si>
    <t>2018년 3월경 채석장에서 재해자가 발파 후 발생한 암석을 덤프트럭에 상차 하기 위해 80미터 떨어진 굴착기에서 대기하던 중 발파작업시 발생한 암석(11kg)이 날아와 운전석에 앉아있던 재해자의 가슴을 가격하여 사망</t>
  </si>
  <si>
    <t>발파 암처리(상차작업)를 위해 굴삭기에 탑승하여 대기하던 중 발파 작업으로 발생한 암석이 날아와 굴삭기 운전석에 앉아 있던 재해자의 가슴부위를 가격</t>
  </si>
  <si>
    <t>▶ 발파작업 시 비산석의 위험이 있는 지점까지 출입금지구역 설정 및 출입제한 철저
▶ 발파작업 시 위험구역 내 별도의 근로자 피난장소 설치 등 조치</t>
  </si>
  <si>
    <t>1.6 그라우팅작업</t>
  </si>
  <si>
    <t>1.6.1 그라우팅 장비 및 자재반입</t>
  </si>
  <si>
    <t>2020년 5월경 도로 보수보강공사 현장에서 재해자가 동료근로자(리모콘 조작)와 함께 화물차 리프트를 이용하여 몰탈 믹서기(120kg) 하역작업 중 동료근로자의 리모콘 오조작으로 리프트 운반구 기울어짐과 함께 몰탈 믹서기가 재해자 쪽으로 전도되면서 두부를 강타당해 사망</t>
  </si>
  <si>
    <t>미장보수공사 작업기계 반입 중 동료의 리모콘 오작동으로 인한 리프트 기울어짐으로 적재물(몰탈 믹서기)이 작업자 위로 낙하</t>
  </si>
  <si>
    <t>▶ 화물은 싣거나 내리는 작업 시 작업지휘자 배치 및 절차에 따른 작업 수행
▶ 떨어지는 물체에 대비하여 안전모 지급 및 착용</t>
  </si>
  <si>
    <t>1.6.2 그라우팅 천공 및 시공</t>
  </si>
  <si>
    <t>2021년 10월경 OOO항에서 재해자가 장비를 조립 하던 중 자재가 낙하하여 머리를 맞아 몸의 중심을 잃고 바지선 바닥(H≒10m)으로 추락하여 사망</t>
  </si>
  <si>
    <t>장비를 조립 하던 중, 로드 밴드가 낙하하여 작업자 머리를 타격한 후 몸의 중심을 잃고 바지선 바닥으로 추락</t>
  </si>
  <si>
    <t>▶ DCM장비의 로드 등 부속장비가 낙하 위험이 있는 장소에 직접 신체를 집어넣는 등의 불안정한 행동 지양
▶ 불가피하게 낙하 위험이 있는 곳에 신체를 집어넣을 경우 안전모 등 개인보호구 지급 및 착용</t>
  </si>
  <si>
    <t>10. 하천 및 항만공사</t>
  </si>
  <si>
    <t>10.1 준설매립</t>
  </si>
  <si>
    <t>10.1.1 준설매립 등</t>
  </si>
  <si>
    <t>유해위험물질 노출 접촉</t>
  </si>
  <si>
    <t>2016년 7월경 OO펌프장 내 저류조 내부 슬러지 준설작업 물량 확인을 위해 재해자1이 저류조 출입구를 통하여 하부(4m)로 내려가 확인 후 다시 올라오는 과정에서 의식을 잃고 쓰러지자, 재해자2가 구조를 위해 저류조 하부로 내려가던 중 의식을 잃고 쓰러져 2명 모두 사망</t>
  </si>
  <si>
    <t>저류조 내부 슬러지 준설작업 확인을 위해 저류조 내부로 내려가 확인 후 올라오던 중 황화수소 중독에 의해 의식을 잃고 쓰러진 후 사망</t>
  </si>
  <si>
    <t>▶ 사전 유해가스농도를 측정, 환기설비를 통해 급기하는 등 적정한 공기상태가 유지
▶ 밀폐공간에 관련공사 관계자 외 출입을 금지하도록 조치</t>
  </si>
  <si>
    <t>넘어짐</t>
  </si>
  <si>
    <t>2019년 3월경 OO건설공사 현장에서 준설선을 고정하는 선미방향의 닻줄(와이어로프, 직경40mm)이 파단되자 파단된 닻줄을 회수하여 교체할 목적으로 굴삭기를 이용하여 파단된 닻줄을 끌어당기던 중 재해자가 닻줄에 걸려 넘어져 사망</t>
  </si>
  <si>
    <t>준설선을 고정하는 닻줄이 파단되어 닻줄을 회수하기 위해 굴착기를 이용하여 끌어당기던 중 닻줄에 걸려 넘어짐</t>
  </si>
  <si>
    <t>▶ 굴삭기 주용도 외 사용
▶ 해당 작업자 외 근로자 작업반경내 출입의 금지</t>
  </si>
  <si>
    <t>2019년 8월경 OO준설공사에서 재해자가 작업을 마치고 덤프트럭을 주차 후 차량전면의 라디에이터를 육안점검 하던 중 재해자 차량 앞쪽에 정차 중인 덤프트럭이 뒤로 밀리면서 두 덤프트럭 사이에 끼여 사망</t>
  </si>
  <si>
    <t>작업을 마치고 경사구간 덤프트럭 주차 후 차량 전면구간 육안점검 중 앞쪽에 주차된 차량이 뒤로 밀리면서 트럭 사이에 끼임</t>
  </si>
  <si>
    <t>▶ 차량계 건설기계 안전 운행 매뉴얼 작성 및 준수
▶ 차량계 건설기계를 사용하는 작업 전 작업장소의 지형 및 지반상태에 대한 사전조사 실시</t>
  </si>
  <si>
    <t>슬라브단부</t>
  </si>
  <si>
    <t>2021년 12월경 OO호안축조공사 현장 동측호안 종점부에서 재해자가 복합매트 정리작업 중 3단 블록 상부에서 육측 기초사석(높이 약 5.5m) 으로 추락하여 사망</t>
  </si>
  <si>
    <t>호안 축조공사 현장에서 호안 종점부구간 복합매트 정리작업 중 단부에서 바닥으로 추락</t>
  </si>
  <si>
    <t>▶ 슬라브 등 추락단부 안전난간대 설치 등 추락방호조치 실시</t>
  </si>
  <si>
    <t>10.2 수중, 해상공사</t>
  </si>
  <si>
    <t>10.2.1 수중, 해상공사(잠수, 해상작업 등)</t>
  </si>
  <si>
    <t>보호구 이상</t>
  </si>
  <si>
    <t>2016년 3월경 OO방파제 보수보강공사 현장에서 잠수보조공인 재해자가 잠수자격 취득을 위한 연습 목적(진술에 따른 추정)으로 잠수부가 벗어둔 잠수 슈트를 입고 잠수를 했고 주변에 있던 바지선 선두가 재해자가 잠수한 곳에서 거품이 과다하게 발생하는 이상 징후를 발견하고 재해자를 바지선 위로 끌어올려 심폐소생술을 시도하였으나 사망</t>
  </si>
  <si>
    <t>수중 작업을 하던 중 보호구의 이상 등 이상징후 발생으로 의식을 잃어 익사</t>
  </si>
  <si>
    <t>▶ 수중 작업자 비상 연락용구 지급
▶ 작업 전 잠수기구 송기관(공기호스) 연결부 점검을 통한 이상유무 확인
▶ 잠수 작업 시 작업자와의 연락을 담당하는 감시자 배치를 통한 안전방호조치 실시</t>
  </si>
  <si>
    <t>2016년 4월경 OO면 OO리 남서 약24km 해상 수심 67m에서 모래채취선의 샌드펌프 인양 작업 중 의식을 잃고 사망</t>
  </si>
  <si>
    <t>2016년 11월경 OO항 부근의 해저에서 재해자가 수중(수심 약 2m) 이식플레이트 설치 작업 중 호흡곤란으로 의식을 잃어 사망</t>
  </si>
  <si>
    <t>2016년 12월경 OO부두에서 선박 수중 검사 현장에서 ㈜OO 소속 재해자가 선박 하부 수중에서 육안 검사 중 의식을 잃고 사망</t>
  </si>
  <si>
    <t>2016년 12월경 OO항 먼 바다에서 잠수사인 재해자가 정박 중인 선박(LNG선)의 외판 수중 청소작업을 하던 중 선박 바닥(수심9m)에 있는 것을 긴급 구조하였으나 사망</t>
  </si>
  <si>
    <t>2017년 2월경 OO제거 현장에서 침수된 SEP Barge 인양작업을 하기 위하여 재해자가 수심 23m 지점에서 인양용 체인 줄걸이작업을 하던 중 해수면으로 부상하여 해상크레인 보조후크를 가지고 재입수하였으나 작업위치로 돌아오지 않아 동료잠수사가 입수하여 확인결과 수심 15m 지점 수중 선체에서 의식이 없는 상태로 사망</t>
  </si>
  <si>
    <t>유해위험기계기구</t>
  </si>
  <si>
    <t>절단기/톱</t>
  </si>
  <si>
    <t>2019년 6월경 바지선 선상에서 재해자가 신규 유압식 연삭기의 절단숫돌(연삭공구) 성능을 확인하기 위하여 해저케이블 절단 시험을 하는 중 절단숫돌이 파괴되면서 날아오는 파편에 얼굴 안면부를 맞아 사망</t>
  </si>
  <si>
    <t>연삭공구의 성능을 확인 위해 해저케이블 절단 시험을 하던 중 절단 숫돌이 파괴되면서 날아오는 파편에 얼굴 안면부를 맞아 사망</t>
  </si>
  <si>
    <t>▶ 연삭기 최고사용회전속도 초과 사용 금지
▶ 유압 연삭기 방호덮개 설치</t>
  </si>
  <si>
    <t>2020년 4월경</t>
  </si>
  <si>
    <t>2020년 4월경 OO건설(주)이 시공하는 OO진입도로 및 OO축조공사현장에서 재해자가 해상 사석투하 작업완료 후 사석운반바지선에서 세팅바지선으로 굴삭기를 운전하여 이동 중 굴삭기와 함께 바다속으로 빠져(깊이 : 약 12m) 사망</t>
  </si>
  <si>
    <t>구명조끼 미착용한 상태로 사석운반바지선에서 세팅바지선으로 굴착기를 운전하여 이동하던 중 굴착기와 함께 바다로 빠짐</t>
  </si>
  <si>
    <t>▶ 작업 전 해상작업자 구명조끼 지급 준수
▶ 차량계 건설기계 작업계획서 작성</t>
  </si>
  <si>
    <t>용접(단)기</t>
  </si>
  <si>
    <t>2020년 6월경 OO현장 하행선 피난갱 구간에서 터널 침수구간 복구작업을 위한 수중용단 작업 중 수중폭발에 의한 충격으로 재해자 사망</t>
  </si>
  <si>
    <t>터널 침수구간 복구작업을 위해 수중용단 작업 중 수중폭발에 의한 충격으로 재해자 사망</t>
  </si>
  <si>
    <t>▶ 용단 구간 상부 구조물 및 기체 체류부 제거를 통한 폭발 또는 화재 예방
▶ 벤트부 천공 계획 수립 및 사전 안전점검, 위험성 평가 실시</t>
  </si>
  <si>
    <t>2020년 9월경</t>
  </si>
  <si>
    <t>2020년 9월경 OO면 북서방 약 1.5마일 떨어진 해상에 있는 침몰선박 잔존유 확인 현장에서 부선(바지선, Barge)에 설치된 크레인을 이용한 등부표 해체작업을 하던 중 크레인에 매달려 있던 엉킨 체인이 풀리면서 침추(Sinker)가 낙하하여 아래에 있던 재해자가 맞아 사망</t>
  </si>
  <si>
    <t>바지선에 설치된 크레인을 이용하여 등부표 해체작업을 하던 중 크레인에 매달려있던 엉킨체인이 풀리면서 침추(sinker)가 낙하하여 아래에 있던 재해자 맞음</t>
  </si>
  <si>
    <t>▶ 인양 작업반경 내 근로자 출입금지 조치</t>
  </si>
  <si>
    <t>2020년 12월경 OO항만 부지조성공사에서 관리업무를 수행하는 재해자가 예인선과 크레인선 선미 사이 인근 해상에 빠져 익사</t>
  </si>
  <si>
    <t>해상블록 거치 작업 중 안전난간이 미설치된 크레인선에서 예인선을 확인하다 추락하여 해상에서 익사</t>
  </si>
  <si>
    <t>▶ 해상작업선 안전난간 설치
▶ 구명장구 이상 유무 확인</t>
  </si>
  <si>
    <t>11. 기타 토목공사</t>
  </si>
  <si>
    <t>11.1 부대 토목 작업</t>
  </si>
  <si>
    <t>11.1.1 부대토목 옹벽시공</t>
  </si>
  <si>
    <t>각재(파이프,강관,합판)</t>
  </si>
  <si>
    <t>2015년 12월</t>
  </si>
  <si>
    <t>2015년 12월경 군부대 방호문 설치공사에서 재해자가 보강초 벽체에 각재를 대어 기울어진 보강토 블록 벽체를 바로 세우는 작업 중 굴착기 버킷으로 힘을 가하다 각재가 갑자기 이탈되면서 힘을 가하던 굴착기 버킷에 맞아 사망</t>
  </si>
  <si>
    <t>보강토 벽체에 각재를 대어 굴삭기 버켓으로 힘을 가하던 과정에서 각재가 갑자기 이탈되면서 타격함</t>
  </si>
  <si>
    <t>▶ 굴삭기 작업시 토사의 굴착, 절토 등 장비용도에 맞게 사용
▶ 건설기계 제원, 성능, 작업반경 등을 고려하여 작업</t>
  </si>
  <si>
    <t>2016년 1월경 아파트 신축공사에서 재해자가 조립식 패널 옹벽을 설치하던 중 옹벽 소단부에서 이동 중 미끄러지면서 몸의 중심을 잃고 10m 아래 바닥으로 추락하여 사망</t>
  </si>
  <si>
    <t>안전난간이 설치되지 않은 소단부에서 이동 중 미끄러져 몸의 중심을 잃고 지면으로 떨어짐</t>
  </si>
  <si>
    <t>▶ 작업자가 법면 상부 등으로 불필요한 이동을 금하고 작업자 이동통로 설치
▶ 근로자가 추락하거나 넘어질 위험이 있는 상부에서 작업 시 안전난간을 설치하고 추락방지조치 실시하고 부득이한 경우 접근방책 등을 설치
▶ 근로자가 추락하거나 넘어질 위험이 있는 상부에서 작업 시 개인보호구(안전모, 안전대 등) 지급 및 착용</t>
  </si>
  <si>
    <t>2016년 2월경 공장 신축공사 현장에서 보강토 옹벽에서 콘크리트 철거 작업 중 보강토 옹벽(10m) 일부가 무너지면서 토사 및 자재에 매몰되어3명 사망, 1명 부상</t>
  </si>
  <si>
    <t>보강토 옹벽 상부에서 천단 콘크리트 철거 작업 중 옹벽의 일부가 무너지며 토사 및 자재에 매몰</t>
  </si>
  <si>
    <t>▶ 보강도 옹벽 상부의 천단 콘크리트 철거작업 시, 구조물에 균열, 들뜸, 부동침하 등이 발생하였을 경우, 안전진단 및 구조검토 후 적절한 보수 보강 실시
▶ 보강토 옹벽와 같이 우수 등에 취약한 구조물에 대해 배수로 설치 등 유지관리 철저</t>
  </si>
  <si>
    <t>2016년 4월경 공장부지 옹벽공사 현장에서 재해자가 거푸집 조립작업 중 2.4m 높이의 작업발판에서 추락하여 사망</t>
  </si>
  <si>
    <t>안전난간이 미설치된 비계 작업발판, 가설계단 위에서 이동 또는 작업 중 추락</t>
  </si>
  <si>
    <t>▶ 떨어짐 위험이 있는 고소작업의 경우 작업자의 무게 등의 하중을 지지할 수 있는 견고한 구조로 작업발판 설치
▶ 2m 이상 높이의 장소에서 작업 시 안전난간이나 추락방호망을 설치하기 곤란할 경우 안전대 착용 및 안전대 부착설비 설치</t>
  </si>
  <si>
    <t>비계</t>
  </si>
  <si>
    <t>2016년 4월경 근린생활시설 증축공사에서 재해자가 지상 2층 바닥위치의 외부비계에서 도장작업을 하던 중 몸의 중심을 잃고 지상 1층(높이 3.7m)으로 추락하여 사망</t>
  </si>
  <si>
    <t>외부비계 위에서 옥상 외벽 도장작업 중 몸의 중심을 잃고 안전난간이 설치되지 않은 작업발판 단부로 추락</t>
  </si>
  <si>
    <t>▶ 비계 내·외측에 안전난간 2단으로 견고하게 설치
▶ 외벽 마감작업을 위해 비계 내측 안전난간을 임의 해체하는 경우 구조물과 비계 작업발판 사이에 추락방지망 설치하고 안전대를 체결한 후 작업토록 관리감독</t>
  </si>
  <si>
    <t>2016년 6월경 아파트 현장에서 재해자가 산벽 석축쌓기 작업 중 조경석을 인양하기 위해 회전하는 굴착기의 붐대와 충돌하여 사망</t>
  </si>
  <si>
    <t>운전자 시야가 미확보된 상태에서 회전하는 굴삭기 붐대와 주변 근로자가 충돌</t>
  </si>
  <si>
    <t>▶ 굴삭기 등 건설기계를 사용하여 작업 시, 작업구획 표시(웨빙띠), 신호수 배치, 접근금지 조치 등과 같은 안전조치 실시 후 작업 수행
▶ 굴삭기 등 건설기계를 사용하여 작업 시, 후방카메라의 작동유무 파악, 후사경 각도 조절 등 운전자의 시야 확보 실시
▶ 차량계 건설기계 작업전 안전 점검 실시 및 후방카메라 등 방호장치 확인</t>
  </si>
  <si>
    <t>2017년 7월경 공공주택지구 조경공사에서 재해자가 자재 전달 작업을 하던 중 이상증세를 보여 쉬던 중 쓰러져 사망</t>
  </si>
  <si>
    <t>옹벽 거푸집 공사를 위해 사면에 걸쳐있는 무늬목을 형틀공에게 전달하는 작업 중 몸을 가누지 못하는 등 이상증세를 보여 들고 있던 무늬목을 놓고 앉은 상태에서 바로 쓰러짐</t>
  </si>
  <si>
    <t>콘크리트펌프카</t>
  </si>
  <si>
    <t>2017년 11월경 도로 개설공사에서 재해자가 옹벽 벽체 콘크리트 타설 중 콘크리트 펌프카 붐대가 파단되면서 등부분을 타격당해 사망</t>
  </si>
  <si>
    <t>옹벽 콘크리트 타설 중 콘크리트 펌프카 붐대가 파단됨에 따라 근로자 가격</t>
  </si>
  <si>
    <t>▶ 차량계 건설기계(펌프카)를 사용하여 작업하는 경우에는 사용하는 차량계 건설기계(펌프카)의 종류 및 성능, 운행경로 및 적정한 작업방법에 대한 작업계획을 수립
▶ 차량계 건설기계를 사용하여 작업 시 붐∙암의 파괴를 방지하기 위해 최대사용하중 준수
▶ 펌프카의 법적 안전검사 주기적 실시</t>
  </si>
  <si>
    <t>2017년 12월 수리시설 보수공사에서 재해자가 계단식 옹벽 위에서 보양작업 중 실족하여 6.6m 아래 바닥으로 추락하여 사망</t>
  </si>
  <si>
    <t>2017년 12월경 산사태 개량공사 현장에서 재해자가 절토사면 상부 60m 지점에서 낙석방지용 고정 와이어로프 설치작업 중 50m 아래 절토사면으로 추락하여 사망</t>
  </si>
  <si>
    <t>안전대를 착용하지 않고 낙석방지망 고정용 와이어로프 설치작업 중 절토사면으로 추락</t>
  </si>
  <si>
    <t>▶ 추락 위험이 있는 작업 시 안전대 부착설비 설치를 통한 추락방호조치 실시
▶ 작업 전 안전대 지급 및 체결상태 관리</t>
  </si>
  <si>
    <t>기타구조물</t>
  </si>
  <si>
    <t>2017년 12월경 도로 건설공사에서 재해자가 보강토 옹벽 단부에 안전난간을 체결하던 중 안전난간 기둥이 자중과 재해자의 몸무게를 이기지 못하고 12m 바닥으로 추락하여 사망</t>
  </si>
  <si>
    <t>옹벽 단부의 안전난간 기둥에 안전난간을 체결하던 중 안전난간 기둥이 안전난간 자중과 피재자의 몸무게를 이기지 못하여 안전난간과 함께 지면으로 추락</t>
  </si>
  <si>
    <t>▶ 보강토옹벽에 안전난간 설치 시 기존의 안전난간을 고정하기 어려운 경우, 보강토블록 전용 브라켓 사용하여 안전난간 설치
▶ 안전난간 기둥, 수평재 등이 완벽하게 고정되지 않은 상태에서 안전난간 기둥에 기대는 행위 금지</t>
  </si>
  <si>
    <t>2018년 5월경 단지조성공사에서 암석제거 및 다짐작업을 하던 중 옹벽 설치를 위해 굴착해 놓은 법면이 붕괴되면서 매몰되어 1명 사망, 2명 부상</t>
  </si>
  <si>
    <t>보강압성토옹벽 위에서 근로자가 흙고르기 및 다짐작업을 하던 중 굴착해놓은 법면이 무너지면서 근로자가 토사에 매몰</t>
  </si>
  <si>
    <t>▶ 굴착작업 사전에 지반점검 및 안전조치(근로자 출입 통제, 사면보강, 방호망 설치)
▶ 굴착면의 토층이 균일하지 않은 경우 흙막이가시설 설치 후 작업 수행
▶ 굴착 시 굴착면 기울기를 준수하고 굴착사면 인근에 중량물 또는 토사적치 금지
▶ 옹벽, 콘크리트 벽 등의 건설물에 근접한 장소에서 굴착 시 붕괴 위험 요인 보강 또는 이설, 제거 등의 위험 방지 조치 실시
▶ 굴착작업 주변 지반 사전조사 및 작업계획서 작성</t>
  </si>
  <si>
    <t>2018년 9월경 옹벽설치 공사현장에서 옹벽 앞에서 건축물 부지 측량을 하던 중 4.5m 높이로 쌓아 놓은 식생축조블록 옹벽이 토압을 견디지 못하고 무너지면서 토사에 매몰되어 2명 사망, 1명 부상</t>
  </si>
  <si>
    <t>2018년 9월경 참숯가마 설치공사에서 보강토옹벽의 배면에서 방수작업을 하던 중 옹벽의 일부(높이 약 2.7m)가 무너지면서 옹벽과 석축사이에 끼어 1명 사망, 떨어지는 옹벽 블록에 맞아 1명 부상</t>
  </si>
  <si>
    <t>보강토 옹벽 공사 중 보강토 옹벽이 붕괴되면서 깔림</t>
  </si>
  <si>
    <t>▶ 옹벽 상부 인근에 중량물 또는 토사적치 금지
▶ 옹벽, 콘크리트 벽 등의 건설물에 근접한 장소에서 굴착 시 붕괴 위험 요인 보강 또는 이설, 제거 등의 위험 방지 조치 실시
▶ 충분한 다짐과 뒷채움 작업을 수행하고 무리한 공사진행 금지
▶ 옹벽작업 주변 지반 사전조사 및 작업계획서 작성</t>
  </si>
  <si>
    <t>2018년 11월경 석축공사 현장에서 재해자가 돌쌓기 하부 기초부분 작업 중 사면 붕괴로 매몰되어 사망</t>
  </si>
  <si>
    <t>돌쌓기 하부 기초부분 작업 중 기존 석축을 제거한 부위의 사면이 붕괴되며 그 아래 근로자 매몰</t>
  </si>
  <si>
    <t>▶ 기존 석축 해체 후 노출 사면에 대한 사면 구배를 준수하여 흙깎기 실시
▶ 사전 구조검토에 따라 흙깎기가 곤란한 경우 흙막이 가시설 설치</t>
  </si>
  <si>
    <t>2018년 12월경 도로확포장공사에서 재해자가 작업대차에 탑승한채로 이동식 크레인을 사용하여 작업장소 주변으로 이동하던 중 와이어로프 이탈로 8.5m 아래 바닥으로 추락하여 사망</t>
  </si>
  <si>
    <t>이동식 크레인 후크에 연결된 와이어로프 파단으로 인양중인 작업대차와 함께 추락</t>
  </si>
  <si>
    <t>▶ 중량물을 인양 전 작업계획서를 작성하고 인양하중, 양중기 제원 등을 확인하여 작업계획에 맞게 작업실시
▶ 작업 전 와이어로프의 손상여부를 확인하고, 작업 중 와이어로프 손상 시 즉시교체 후 작업 실시</t>
  </si>
  <si>
    <t>2019년 2월경 공영주차장 조성공사에서 재해자가 주차장 배면부 전석쌓기 작업 중 회전하면서 굴착기 돌집게에서 이탈된 전석에 맞아 사망</t>
  </si>
  <si>
    <t>굴삭기 붐 끝단에 장착 된 돌집게로 전석을 집어 붐대를 회전하던 중 돌집게에서 낙하하는 전석에 맞음</t>
  </si>
  <si>
    <t>▶ 중량물 제원 및 작업장소를 고려하여 적합한 건설장비 선정 및 사용
▶ 차량계 하역운반기계 사용할 경우 작업계획서를 작성하고 작업계획에 맞게 작업실시
▶ 자재인양 등 중량물 취급작업 시 낙하위험 지역에 대해 근로자 출입 통제</t>
  </si>
  <si>
    <t>2019년 5월경 옹벽설치 및 포장공사현장에서 재해자가 옹벽 앞 바닥정리를 하던 중 배면토압을 견디지 못하고 갑자기 옹벽이 무너지면서 옹벽과 토사에 매몰되어 사망</t>
  </si>
  <si>
    <t>2019년 6월경 도로 확장공사에서 PC옹벽 판넬을 설치하던 중 미고정된 PC판넬이 전도되면서 협착으로 1명 사망, 전도되는 PC판넬을 잡다 1명 부상</t>
  </si>
  <si>
    <t>PC옹벽 판넬 설치 중 미고정된 PC판넬이 전도되면서 근로자가 협착</t>
  </si>
  <si>
    <t>▶ P.C 판넬을 임시 거치하는 경우 고정이 되지 않은 판넬 하부에서 작업을 금지하고거나 가고정하는 등의 전도방지조치 실시
▶ 안전성이 확보된 시공방법(골재 뒷채움 선행 등) 사용
▶ 중량물을 운반하여 설치하는 경우 작업계획서를 작성하고 작업계획에 맞게 작업실시</t>
  </si>
  <si>
    <t>로울러</t>
  </si>
  <si>
    <t>2019년 7월경 근린생활시설 신축공사에서 재해자가 방호벽 설치를 위해 수동형 진동롤러를 사용하여 다짐을 진행하던 중 진동롤러와 함께 13m 아래 하천 바닥으로 떨어져 사망</t>
  </si>
  <si>
    <t>근로자가 수동형 진동롤러를 사용하여 기초 터파기가 완료된 바닥면 다짐을 진행하던 중 수동형 진동롤러와 함께 보강토옹벽 배면 상단에서 아래 하천으로 떨어짐</t>
  </si>
  <si>
    <t>▶ 옹벽상부에서 진동롤러로 다짐을 실시하는 경우 무리하게 단부에 접근을 금지
▶ 단부에서 다짐을 실시할 경우 안전대를 착용하여 추락방지조치 실시
▶ 기계 운전 시작 시 근로자 배치 및 교육, 작업방법, 방호장치 등 위험방지를 위한 조치 실시</t>
  </si>
  <si>
    <t>2019년 7월경 재해자가 OO 도로 개설공사 현장에서 수로박스 상부도로의 장마철 수방용 마대 쌓기 작업을 위해 대기 중 상부 턴테이블을 돌려 운전자가 뒤를 보며 전진하던 굴삭기 앞바퀴에 깔려 사망</t>
  </si>
  <si>
    <t>▶ 작업 전 굴삭기의 후방 경보기 점검을 통한 작동유무 확인
▶ 유도자 배치, 굴삭기 작업구역 설정 및 근로자 출입금지를 통한 접촉방지조치 실시</t>
  </si>
  <si>
    <t>2019년 8월경 택지조성공사에서 재해자가 유로폼을 적재하기 위해 고임목 설치작업을 하던 중 굴착기 훅에 걸린 슬링벨트가 풀리면서 낙하한 유로폼 묶음(703kg)에 깔려 사망</t>
  </si>
  <si>
    <t>굴삭기 훅에 걸린 슬링벨트가 풀리며 유로폼 묶음이 근로자 위로 낙하함</t>
  </si>
  <si>
    <t>기타자재(내부마감재,시멘트,마대)</t>
  </si>
  <si>
    <t>2020년 3월경 아파트 신축공사장에서 재해자가 영구식 앵커 PC판넬 설치작업 중 판넬 후면의 버팀목이 부러져 넘어지면서 깔려 사망</t>
  </si>
  <si>
    <t>2020년 5월경 골재 생산 신설공사 현장에서 재해자가 보강토 옹벽 공사 중 보강토 옹벽(6단, 높이 3m)이 붕괴되면서 깔려 사망</t>
  </si>
  <si>
    <t>2020년 10월경 보강토 옹벽 블록공사 현장에서 재해재가 옹벽 기초부위 블록 정렬작업 중 굴착기 집게에 빠진 블록에 맞아 사망</t>
  </si>
  <si>
    <t>2021년 3월경 제조업소 신축공사 현장에서 재해자 옹벽 벽체거푸집 설치 중 굴착사면 토사 붕괴로 매몰되어 사망</t>
  </si>
  <si>
    <t>2021년 3월경 옹벽설치공사에서 재해자가 식생축조블럭 자재 하역작업 중 화물자동차 적재함 후미에서 몸의 중심을 잃고 1.5m 아래로 추락하여 사망</t>
  </si>
  <si>
    <t>식생축조블럭 자재 하역작업 중 블럭을 실은 화물자동차 적재함 후미에서 몸의 중심을 잃고 추락</t>
  </si>
  <si>
    <t>▶ 추락할 위험이 있는 장소에서 작업할 경우 이에 맞는 안전 보호구(안전모)착용
▶ 불안정한 상태에서 하역작업(로프 해체, 덮개 제거 등) 금지</t>
  </si>
  <si>
    <t>2021년 4월경 생활주택 신축공사에서 재해자가 옹벽단부에서 자재를 옮기던 중 몸의 중심을 잃고 3.5m 바닥으로 추락하여 사망</t>
  </si>
  <si>
    <t>2021년 5월경 공원 사면안정화공사에서 재해자가 굴착기 옆을 지나가다가 회전하는 굴착기에 부딪혀 사망</t>
  </si>
  <si>
    <t>2021년 7월경</t>
  </si>
  <si>
    <t>2021년 7월경 댐 절토사면 보강공사 현장에서 재해자가 절토사면 상부의 요철을 제거하던 중 70m 아래 바닥으로 추락하여 사망</t>
  </si>
  <si>
    <t>절토사면 보강을 위해 숏크리트가 시공된 사면에서 상부 요철을 제거하던 중 추락</t>
  </si>
  <si>
    <t>11.1.2 부대토목 구내포장</t>
  </si>
  <si>
    <t>2015년 4월경 하천 정비사업 현장에서 재해자가 폭 90cm 소단 위에서 석축쌓기 작업을 하던 중 몸의 중심을 잃고 2.3m 아래 하천바닥으로 떨어져 사망</t>
  </si>
  <si>
    <t>절토사면 보강을 위해 숏크리트가 시공된 사면에서 상부 요철을 제거하던 중 안전난간이 미설치된 사면 단부로 추락</t>
  </si>
  <si>
    <t>2016년 12월경 초등학교 신축공사 현장에서 재해자(장비운전원)가 경계석 설치작업 중 굴착기 버킷에 골재를 담아 이동 후 회전하다 무게중심을 잃고 전도되면서 장비에 깔려 사망</t>
  </si>
  <si>
    <t xml:space="preserve"> 굴삭기가 이동 중 붐을 펼치고 회전하는 순간 무게중심을 잃고 전도되어 근로자가 장비에 깔림</t>
  </si>
  <si>
    <t>▶ 중량물을 인양한 상태에서 무리한 속도로 회전하는 등의 장비조작 금지
▶ 전도를 예방하기 위해 굴삭기 이동경로 및 작업 장소 등의 지반을 평탄화 작업 실시
▶ 중량물 인양 시 굴삭기의 정격하중을 준수하여 무리한 중량물 인양 금지</t>
  </si>
  <si>
    <t>2018년 1월경 대지조성공사에서 골재를 지면에 쏟아 내리던 중 균형을 잃고 넘어지는 덤프트럭에 1명 부상, 골재에 매몰되어 1명 사망</t>
  </si>
  <si>
    <t>덤프트럭이 적재함을 들어올리고 이동중 균형을 잃고 전도됨</t>
  </si>
  <si>
    <t>▶ 근로자가 건설기계에 근접하여 작업을 수행하는 경우 유도자를 배치하여 안전한 상태에서 작업 진행
▶ 차량계 건설기계 접촉 가능 장소 및 사각지대 발생가능성이 높은 건설기계 사용 시 근로자 출입금지 및 유도자 배치
▶ 건설장비 작업 시 근로자와 장비의 동선을 분리
▶ 카메라 부착 또는 후방에 근로자의 접근을 알리는 후방센서, 경보장치 등 부착
▶ 차량계 건설기계 작업전 안전 점검 실시 및 후방카메라 등 방호장치 확인</t>
  </si>
  <si>
    <t>2018년 9월경 산업단지 진입도로 공사에서 재해자가 불도저(20.6Ton)의 작업지휘 업무를 수행하던 중 후진하던 불도저 궤도에 충돌, 협착되어 사망</t>
  </si>
  <si>
    <t>아스팔트 파편 정리작업 중 후진하는 굴삭기 바퀴에 깔림</t>
  </si>
  <si>
    <t>2021년 3월경 배수관로 설치공사에서 재해자가 빗자루를 이용하여 아스팔트 파편 정리작업을 하던 중 버킷을 교체하고 후진하던 굴착기 바퀴에 깔려 사망</t>
  </si>
  <si>
    <t>2021년 9월경</t>
  </si>
  <si>
    <t>2021년 9월경 철도 레일중량화 공사현장에서 재해자가 굴착기 후방에서 PC침목 교환 작업 준비 중 선회하는 굴착기 카운트웨이트와 도저블레이드 사이에 두부가 협착되어 사망</t>
  </si>
  <si>
    <t>시야확보가 되지 않은 상태로 선회하는 굴착기 카운터웨이트와 도저블레이드 사이에 근로자가 협착</t>
  </si>
  <si>
    <t>11.2 가설도로 작업</t>
  </si>
  <si>
    <t>11.2.1 가설도로 벌목 및 표토 제거</t>
  </si>
  <si>
    <t>수목</t>
  </si>
  <si>
    <t>2016년 10월경 부지조성공사에서 재해자가 벌목 작업을 하던 중 벌목 대상 나무에 기대어있던 나무가 넘어지면서 깔려 사망</t>
  </si>
  <si>
    <t>근로자가 벌목 작업을 하던 중 나무 밑둥 부분이 절단된 순간 나무가 넘어져 근로자가 깔림</t>
  </si>
  <si>
    <t>▶ 절단 대상수목의 수구작업 실시
▶ 벌도목이 쓰러지는 방향쪽은 위험구역으로 설정하여 접근금지 실시
▶ 벌목작업 시 대피로 및 대피장소 지정, 벌목작업 시 신호방법 지정
▶ 개인 보호구 지급 및 착용 철저</t>
  </si>
  <si>
    <t>2019년 4월경</t>
  </si>
  <si>
    <t>2019년 4월경 마을진입도로 개설공사에서 재해자가 느티나무를 벌목하던 중 쓰러지는 벌도목에 깔려 사망</t>
  </si>
  <si>
    <t>2019년 7월경 도로 사면정비공사에서 재해자가 로프에 의지하여 벌목작업을 하던 중 이동하다 20m 아래의 사면으로 추락하여 사망</t>
  </si>
  <si>
    <t>2019년 8월경 철도 건설공사에서 재해자가 폐기물 처리차량(24t)에 상차작업 중 압롤트럭이 비탈면으로 밀리면서 운전원이 차량 밖으로 뛰어내린 후 트럭 운전석 뒷바퀴에 깔려 사망</t>
  </si>
  <si>
    <t>경사로에 주차 중인 차량의 제동장치 이상으로 굴러 내려오는 차량에 충돌</t>
  </si>
  <si>
    <t>▶ 차량계 하역운반기계에서 운전자가 운전석을 이탈하는 경우 주차 브레이크의 확실한 체결 및 차량 고임목 설치
▶ 차량계 건설기계 사용 작업시 사전에 차량의 제동장치 기능 이상 유무 점검
▶ 경사로의 주차하는 경우 핸드(주차) 브레이크와 풋 브레이크를 함께 사용</t>
  </si>
  <si>
    <t>2020년 3월경 나들목 개량공사에서 재해자가 램프구간 벌도목을 베어 넘기던 중 인접 소나무에 걸려 부러진 소나무 가지(중량 47kg, 높이 11m)에 머리를 맞아 사망</t>
  </si>
  <si>
    <t>벌목작업 중 벌도목이 쓰러지며 부러진(또는 걸쳐져 있던) 나뭇가지가 낙하하여 인근 작업자의 머리를 강타</t>
  </si>
  <si>
    <t>▶ 나뭇가지 등 낙하물에 의한 위험 방지를 위해 낙하위험지역의 근로자 불필요한 출입 통제(출입 시 관리감독자 등 감독하에 출입)
▶ 안전모 및 개인보호구 지급 및 착용관리</t>
  </si>
  <si>
    <t>11.2.2 가설도로 시공</t>
  </si>
  <si>
    <t>2017년 7월경 시험실 건설공사 현장에서 재해자가 가설도로 지반다짐 작업을 하던 중 경사면을 따라 하향으로 이동하는 진동 롤러에서 지면으로 떨어져 사망</t>
  </si>
  <si>
    <t>브레이크 등이 파열되어 정상작동이 불가능한 진동 롤러에서 운전원이 추락</t>
  </si>
  <si>
    <t>▶ 건설기계 운전자는 작업중에는 안전벨트를 착용하고 장비운행 중 불필요한 자리이탈 금지
▶ 위험기계(진동 롤러) 대여시 점검 및 작업시작 전 점검 실시(브레이크, 클러치 등 기능, 유압유 누출, 레버 스위치)
▶ 위험기계(진동 롤러) 대여 받는 자는 운전 자격이 있는 인원만 운행 가능</t>
  </si>
  <si>
    <t xml:space="preserve">2017년 11월경 간선임도 신설현장에서 재해자가 전석을 운반하기 위해 곡선부 가설도로에서 덤프트럭을 운행하던 중 차량이 전도되어 15m 아래로 추락하여 사망 </t>
  </si>
  <si>
    <t>덤프트럭으로 이동 중 폭이 좁은 가설도로 측면으로 전도되어 근로자 사망</t>
  </si>
  <si>
    <t>▶ 차량계 건설기계를 사용하는 작업 시 장비유도자를 협소한 가설도로 곡선부 등에 배치 
▶ 지반의 부등침하, 갓길의 붕괴 방지 및 도로 폭을 유지한 뒤 작업 실시</t>
  </si>
  <si>
    <t>11.3 지장물 조사 및 이설 작업</t>
  </si>
  <si>
    <t>11.3.1 지장물 조사 굴착</t>
  </si>
  <si>
    <t>2019년 OO건</t>
  </si>
  <si>
    <t>X</t>
    <phoneticPr fontId="2" type="noConversion"/>
  </si>
  <si>
    <t>2019년 OO건설 OO공사현장에서 OO고속도로 IC램프 차로확장 작업을 하기위해 백호우 붐대에 브레이커를 장착 기존 램프도로 가장자리 U형 측구 구조물 파쇄 작업도중 파쇄된 콘크리트 파편이 비산 되면서 재해자의 왼쪽 안면 턱 부위를 강타하여 사망</t>
  </si>
  <si>
    <t>브레이커를 이용하여 도로측구 구조물 파쇄 작업을 하던 중 파쇄된 콘크리트 파편이 비산되면서 재해자 얼굴 강타</t>
  </si>
  <si>
    <t>▶ 비래위험구간 작업반경 내 작업자의 출입을 금지하며 유도자 및 신호수 배치
▶ 구조물 파쇄 작업 시 인근에 작업자 존재 유무를 수시로 파악, 관리</t>
  </si>
  <si>
    <t>11.3.2 지장물 이설</t>
  </si>
  <si>
    <t>2017년 3월경 통신선로 이설공사에서 재해자가 강관전주 근입 터파기 부위에서 되메우기 작업 중 미끄러져 3.5m 아래 하천바닥으로 추락하여 사망</t>
  </si>
  <si>
    <t>전주 위에서 전선 이설작업 후 지상으로 내려오던 중 몸의 균형을 잃고 바닥으로 추락</t>
  </si>
  <si>
    <t>▶ 전주로의 승하강 시, 발판볼트, 고소작업차, 안전대부착설비 등 추락방지조치 실시
▶ 작업 전 안전대 지급 및 체결상태 관리</t>
  </si>
  <si>
    <t>2017년 6월경</t>
  </si>
  <si>
    <t>2017년 6월경 지중화 전기공사 현장에서 재해자가 굴착기의 버킷에 전신주를 걸어 이동하던 중 경사로 구간에서 전도되는 굴착기에 협착되어 사망</t>
  </si>
  <si>
    <t>굴삭기 버켓에 줄걸이 후 운반중 굴삭기 전도에 의해 운전자가 운전석 이탈되어 굴삭기에 협착</t>
  </si>
  <si>
    <t>▶ 굴삭기 사용 중량물 양중시 정격하중 준수 
▶ 작업 시 장비 운전수 안전띠 착용 조치
▶ 중량물 인양 시 굴삭기의 정격하중을 준수하여 무리한 중량물 인양 금지
▶ 차량계 건설기계 사용시 작업 장소 내에 근로자의 출입 통제
▶ 유도자를 배치하여 차량계 건설기계 유도</t>
  </si>
  <si>
    <t>2018년 4월경 송전선로 순시점검 현장에서 재해자가 철탑 점검을 마친 후 전선을 밟고 손으로 접지선을 분리하던 중 유도전류(353V이상 추정)에 감전되어 사망</t>
  </si>
  <si>
    <t>철탑 점검 완료 후 손으로 접지선 분리 후 인접활선에서 유도된 전류에 의해 감전</t>
  </si>
  <si>
    <t>▶ 감전 위험이 있는 작업 시, 절연장갑, 절연용 보호구 등 지급 및 착용상태 관리
▶ 활선작업용 장치(고소작업대차 등), 안전대 부착설비 등의 안전방호조치 실시
▶ 활선 인근에서 작업 시, 감전방지를 위해 적정 이격거리 준수
▶ 감전 위험이 있는 작업 시, 배선의 절연조치, 충전부 방호조치 등 안전방호조치 실시</t>
  </si>
  <si>
    <t>2018년 9월경 지장전주 이설공사에서 재해자가 전선 이설작업 후 지상으로 내려오던 중 4.5m 지상 바닥으로 추락하여 사망</t>
  </si>
  <si>
    <t>2018년 10월경 통신설비 이설공사 현장에서 재해자가 부재를 정리하던 중 후진하던 굴착기에 충돌하여 사망</t>
  </si>
  <si>
    <t>근로자가 빗자루로 아스콘 부재를 정리하던 중 후진하던 굴삭기에 충돌</t>
  </si>
  <si>
    <t>2019년 11월</t>
  </si>
  <si>
    <t>산소결핍 질식</t>
  </si>
  <si>
    <t>2019년 11월경 가스배관 이설공사 현장에서 재해자가 가스배관(직경 500mm) 내부로 들어가 용접작업 하던 중 갑자기 의식을 잃고 쓰러져 사망</t>
  </si>
  <si>
    <t>곡관 부위 티그 용접작업 후 내부 용접 비드 확인 및 사상작업 실시를 위한 배관내부 진입 후 산소결핍에 의한 의식상실</t>
  </si>
  <si>
    <t xml:space="preserve">▶ 질식 위험이 있는 작업 시 질식위험공간 파악 후 출입금지조치 실시
▶ 작업 전 가스농도 측정을 통한 환기조치 후 작업 실시 </t>
  </si>
  <si>
    <t>11.4 맨홀 및 관부설작업</t>
  </si>
  <si>
    <t>11.4.1 맨홀 및 관부설 굴착</t>
  </si>
  <si>
    <t>2016년 4월경 OO도 OO군 소재 OOOO에서 시공하는「OOOO 하수관로 정비사업」 현장에서 협력업체 ㈜OOOO 소속 OOO이 하수관로 맨홀(PE)에 하수관로(PE, D200)를 연결하기 위해 맨홀 하부를 휴대용 천공기를 이용하여 천공작업 중 절연이 파괴되어 천공기 금속제 외함에 인가된 누설전류에 감전되어 병원으로 후송 치료 중 사망한 재해임</t>
  </si>
  <si>
    <t>하수관로 맨홀(PE)에 하수관로를 연결하기 위해 맨홀 하부를 휴대용 천공기를 이용하여 천공 작업 중 절연의 파괴로 천공기 금속제 외함에 인가된 누설전류에 근로자가 감전</t>
  </si>
  <si>
    <t>▶ 금속제 외함, 금속제 외피, 철대 등은 접지를 실시 
▶ 전기기계에 대하여 누전에 의한 감전위험을 방지하기 위해 감전방지용 누전차단기 설치
▶ 이동형 또는 휴대용 전기기계 사용시 절연손상에 의한 감전위험 방지를 위해 이중절연구조 또는 보호되는 전기기구 사용</t>
  </si>
  <si>
    <t>2016년 5월경</t>
  </si>
  <si>
    <t xml:space="preserve">2016년 5월경 OO도 OO시 OO동 소재 OOOO(주) OOOO 시설공사현장에서 재해자 OOO가 오수관(D 0.3m, L 42m(6m*7) 매설작업을 위해 터파기 작업을 실시 후, 관로하부로 내려가 굴착바닥면 고르기 작업을 하던 중 굴착사면이 붕괴되면서 매몰되어 사망한 재해임. </t>
  </si>
  <si>
    <t>관로 부설을 위한 굴착 중 굴착사면이 무너지면서 근로자 매몰</t>
  </si>
  <si>
    <t>▶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t>
  </si>
  <si>
    <t>2016년 7월경 OOO도 OO시 OO동 소재 OOOO 공업용수 호환관로 설치공사 현장 STA No.84 지점에서 원청업체 소속 배관공인 재해자가 굴착깊이 2.5m에 매설된 관로 모래 포설 작업 중 수직으로 굴착된 굴착사면 일부가 무너지면서 하반신이 매몰되어 사망한 재해임.</t>
  </si>
  <si>
    <t>2016년 10월경, OOO도 OO군 소재 ㈜OOOO, OOOO 공사 현장에서 관로 매설 공사를 위한 굴착 법면의 토사가 붕괴되면서, 굴착면 하부에 있던 근로자가 붕괴 토사에 매몰되어 사망한 재해임</t>
  </si>
  <si>
    <t xml:space="preserve">2016년 10월경 OOO도 OO군 OO면 소재 OOOO(주) OOOO 통합상수도 시설공사 현장에서 재해자가 지상 약 5m 아래 우수관로 터파기 저면에서 우수관(콘크리트흄관) 접합부의 몰탈작업중 굴착사면이 붕괴되면서 토사에 매몰되어 구출하였으나 사망한 재해임  </t>
  </si>
  <si>
    <t>2016년 11월 경 OOOO(주)이 시공하는 OO도 OO시 OO면 OOOO 일원의 OOOO 조성사업 현장에서 출렁다리 공사 협력업체인 ㈜OOOO 소속 착암공 4명 및 측량공 3명이 파도가 거세지자 출렁다리 주탑 기초부에서 철수하기 위해 갯바위상으로 이동하던 중, 협곡의 저지대를 통과하던 OOOO이 너울성 파도에 휩쓸려 실종되어 해경 및 119에서 수색, 사고발생지점 인근에서 구조하였으나 사망한 재해임</t>
  </si>
  <si>
    <t>출렁다리 주탑 기초부 공사에서 악천 후 및 강풍 시 작업을 강행하였으나 작업철수시 너울성 파도로 인한 익사</t>
  </si>
  <si>
    <t>▶ 작업 전 기상상태를 파악하여 악천후 또는 강풍이 예상될 경우 작업중지 
▶ 해상 등에 빠질위험이 있는 경우 구명대 등을 곳곳에 배치하여 익사사고 예방</t>
  </si>
  <si>
    <t>2017년 2월경 OOO도 OO군 OO면 소재 OOOO하수도 설치공사현장에서 협력업체 소속 배관공인 재해자가 굴착깊이 약 2.5m인 터파기 구간 하부에서 맨홀 접속관 주변 토사 제거 작업 중 굴착면 일부가 무너지면서 상부의 기존 도로포장 일부 파손, 아래로 떨어지면서 재해자의 머리를 가격하여  사망함.</t>
  </si>
  <si>
    <t xml:space="preserve">2017년 10월경 OO시 OO구 OO동 소재 OOOO(주)에서 시공하는 OOOO개선사업 현장에서 배수관로(PVC, Φ450) 설치를 위한 굴착작업 중 굴착부와 인접해 있는 주택의 노후된 담장이 굴착부 방향으로 전도되면서 굴착부 저면의 평탄 및 정리작업 중이던 재해자(관로공)을 덮쳐 병원으로 후송, 치료하였으나 1명은 사망, 1명은 부상당한 재해임 </t>
  </si>
  <si>
    <t>관로 부설을 위한 굴착 중 굴착사면과 옹벽(담장)이 무너지면서 근로자 매몰</t>
  </si>
  <si>
    <t>▶ 굴착작업 중 인접 구조물의 전도위험 방지(견고한 지지대 설치 등) 조치 실시
▶ 기존 구조물 등이 근접해있는 경우 진동 및 충격 등에 의한 사전 안전성평가 실시
▶ 굴착면의 기울기 기준 준수 및 간이 흙막이 등 설치 
▶ 굴착작업 주변 지반 사전조사 및 작업계획서 작성</t>
  </si>
  <si>
    <t>2018년 5월경, OOO도 OO군 소재 OOOO 중앙처리구역(10분구) 하수관로 정비사업 현장에서 협력업체 소속 관로공인 재해자가 굴착저면(폭1.1m, 깊이1.6m)에서 스타프(Staff)를 들고 레벨 측량을 마치고 나오던 중 굴착 사면과 굴착사면 상부의 주차장 옹벽(조적조, 높이 약 1.6m)이 무너지면서 매몰되어 동료 작업자들에 의해 구조, 병원으로 이송하였으나 사망한 재해임.</t>
  </si>
  <si>
    <t>배관</t>
  </si>
  <si>
    <t xml:space="preserve"> 2018년 5월</t>
  </si>
  <si>
    <t xml:space="preserve"> 2018년 5월경 OOO도 OO시 OOO읍 소재 OOOO 현장에서 OOOO 소속 재해자가 동료작업자 1명과 함께 기존에 설치했던 관로를 수정하기 위해 터파기 하부에서 흄관(D=800mm)을 새로 부설하던 중, 경사면 상부에 적치해 놓았던 흄관이 미끄러지면서 재해자가 깔려 사망한 재해임.</t>
  </si>
  <si>
    <t>크레인으로 인양된 강관파이프를 차량에 적재하던 중, 3단으로 불안정하게 적재된 강관파이프가 붕괴되어 강관파이프에 깔림</t>
  </si>
  <si>
    <t>▶ 자재를 야적하는 경우 평탄한 곳에 적재하며 구름방지조치 실시
▶ 경사면에서 흄관을 고정하기 위해 쐐기 등을 이용
▶ 강관파이프를 3단이상 등 과도하게 적재 금지</t>
  </si>
  <si>
    <t>2018년 7월경 OO도 OO시 OO 소재 OOOO(주) OOOO 하수관로 정비사업 현장에서 재해자 OOO이 굴착 저면(폭 0.87m, 깊이 1.5m)에서 바닥면 고르기 작업 중 굴착면이 무너져 매몰되었고, 동시에 기존 매설된 상수관(∮40mm, 재질 : PVC)이 파손 되면서 누수된 수돗물에 잠겨 사망한 재해임.</t>
  </si>
  <si>
    <t>2018년 8월경 OO도 OO시 OO동 소재 ㈜OOOO, OO지구 열배관공사 현장에서 백호를 사용하여 열배관 터파기(L=5.5m) 작업 중 터파기 사면 한쪽 면 일부(12m3)가 붕괴되어 바닥면에서 면고르기 및 측량 작업 중이던 재해자 2인이 매몰되어 1명이 사망하고, 1명이 대피 중 부상한 재해임.</t>
  </si>
  <si>
    <t>2018년 10월경 OOO남 OO군 소재, OOOO 일원 OOOO(주)가 시공하는 OOOO 하수관로 정비 공사현장에서 협력업체 소속 재해자가 파손된 오수관 (D250㎜, PE이중벽관)을 교체하기 위해 맨홀 설치지점 주변 폭 2.4m, 깊이 2.7m 정도의 트렌치(Trench) 굴착 바닥면에 내려가 작업 중 굴착면 일부가 무너지면서(약 5.5톤) 토사에 매몰되어 사망한 재해임.</t>
  </si>
  <si>
    <t>2019년 2월경 OO시 OO구 소재 OOOO(주)에서 시공하는 OOOO 지하배관 설치공사 현장에서 트렌치 굴착*(h≒3.3m) 저면에서 재해자가 핀홀 테스트기를 사용하기 위해 접지선을 연결하던 중 굴착법면 토사가 무너지면서 매몰되어 사망한 재해임._x000D_</t>
  </si>
  <si>
    <t>2019년 5월경 OOOO(주)이 시공중인 OO시 OO군 소재  OOOO 개보수공사 현장에서 직영 근로자인 OOO이 지상1층 바닥에 기 설치된 상수도 계량기 이전 설치를 위하여 약 0.8m 굴착작업 중 근처에 있던 담장의 일부(1.8m×1.6m, w≒1,457kg)가 재해자 방향으로 쓰러지며, 지면과 쓰러진 담장사이에 협착되어 병원으로 후송 치료 중 재해발생당일 사망한 재해임.</t>
  </si>
  <si>
    <t>2019년 9월경</t>
  </si>
  <si>
    <t>2019년 9월경 OOO시 OO구 소재 OOOO 노후하수관로 정비 공사 현장에서 OOOO(주) 소속 노동자인 재해자가 배관 합류구간에 맨홀설치를 위해 굴삭기로 굴착된 굴착저면(H≒1.9M)을 정리하던 중 굴착법면 토사가 일부 무너져 재해자가 넘어지면서 골반이 골절되어 병원으로 이송되었으나, 저혈량성 쇼크로 인해 사망한 재해임.</t>
  </si>
  <si>
    <t>2020년 1월경 OO시 OO구 소재 하수관로 정비 현장에서 ㈜OOOO 소속 재해자(OOO)는 파쇄된 콘크리트 등을 덤프트럭에 싣기 위해 차량 시동 후 하차하여 고임목을 제거하였고, 차량이 경사진 도로 전방으로 미끄러지자 차량을 정지 시키려하다 벽과 덤프트럭 사이에 끼여 사망한 재해임._x000D_</t>
  </si>
  <si>
    <t>차량운행을 위해 고임목 제거 후 갑자기 차량이 경사면으로 미끄러져 운전자가 벽과 덤프트럭 사이에 끼임</t>
  </si>
  <si>
    <t>▶ 차량계 하역운반기계에서 운전자가 운전석을 이탈하는 경우 주차 브레이크의 확실한 체결 및 차량 고임목 설치
▶ 차량계 건설기계 사용 작업시 사전에 차량의 제동장치 기능 이상 유무 점검
▶ 경사로의 주차하는 경우 핸드(주차) 브레이크와 풋 브레이크를 함께 사용
▶ 차량계 하역운반기계가 경사로로 밀려 내러가는 경우, 무리하게 인력으로 차량 앞을 막아서는 행위 금지</t>
  </si>
  <si>
    <t>2020년 3월경 OOO도 OO시 OO면 소재 OOOO(주) OOOO 도로확포장공사 현장에서 굴삭기(0.6㎥)가 도로 측면 터파기 작업장소로 이동하기 위하여 약 6m 폭의 도로를 주행하던 중 맞은편에서 다가오는 재해자와 충돌하여 사망한 재해임.</t>
  </si>
  <si>
    <t>굴삭기가 도로 측면 터파기 작업장소로 이동 중 근로자 통로가 별도로 구획되어 있지 않아 주행 중 맞은편 근로자와 충돌</t>
  </si>
  <si>
    <t>▶ 작업장 내 건설장비와 근로자의 이동동선이 겹치지 않도록 별도로 구획하며, 부득이한 경우 신호수를 배치하여 장비 및 근로자 이동
▶ 건설장비 사용 전 작업계획서를 작성하여 작업방법, 이동통로 등 계획</t>
  </si>
  <si>
    <t>2020년 4월경 OOO시 OO구 OO동 소재 OOOO정비사업 현장에서 직영 근로자인 재해자가 굴착구간 하부(H=1.6m)에서 관로 접합 작업 중 작업구간에 인접한 노후된 담장(H=2.0m, L=13m)이 무너지며 재해자가 이를 피하지 못하고 깔려 병원으로 이송 중 사망함.</t>
  </si>
  <si>
    <t>2020년 5월경 OOO도 OO시 소재 OOOO(주) OOOO 신축공사 현장에서 오수관로(D300, L=6.0m) 부설을 위한 지반 굴착 작업을 하던 중, 한 쪽 사면(H=2.7m)이 무너져 굴착면 바닥에 있던 작업자가 토사에 매몰, 병원으로 이송하였으나 사망한 재해임.</t>
  </si>
  <si>
    <t>2020년 6월경 OO시 OOO구 OO동 소재 OOOOO(주)가 시공하는 OOOO 하수관로 보수공사 현장에서 재해자가 트렌치 굴착면 바닥(수직굴착, 깊이 약 2m, 폭 약 2.5m)에서 맨홀 천공 작업 중 굴착면이 붕괴되면서 토사에 매몰되어 사망한 재해임.</t>
  </si>
  <si>
    <t>2020년 6월경 OOO도 OO군 OOO면 소재 (주)OOOO 자재 야적장에서 재해자가 화물차량(25.5톤) 높이 약 1.7 m 적재함 위에서 크레인(10톤)으로 인양된 강관파이프(하수관거*)를 차량에 적재하던 중, 3단으로 불안정하게 적재된 강관파이프가 붕괴되어 재해자가 야적장 바닥으로 떨어졌으며, 이때 차량 적재함에서 낙하한 강관파이프(약 390kg)에 깔려서 사망한 재해임._x000D_</t>
  </si>
  <si>
    <t>2020년 7월경 ㈜OOOO 소속 재해자(OOO)는 근린생활시설 건설공사 상수도 연결 관로공사 현장에서 덤프트럭 통행을 위한 굴착구간 상부면 철판 설치작업을 하다가 굴삭기에 철판을 결속한 슬링벨트가 파단되며 철판에 깔려 사망함</t>
  </si>
  <si>
    <t>덤프트럭 통행을 위한 굴착구간 상부면 철판 설치작업을 하다가 굴삭기에 철판을 결속한 슬링벨트가 파단되며 철판에 깔림</t>
  </si>
  <si>
    <t>▶ 작업 전 슬링벨트의 노후상태를 확인하고 사용불가 시 즉시교체
▶ 인양물 양중 시 슬링벨트를 감고 샤클 등으로 견고하게 고정한 후 양중 준수
▶ 인양물 작업 시 인양물이 작업자 머리 위에 위치하거나 통과하지 않도록 작업지휘자 및 전담 신호수 배치</t>
  </si>
  <si>
    <t>2020년 8월경, OOO도 OO시 소재 ㈜OOOO 시공하는 ㈜OOOO 공장부지 보수공사 현장에서, 배관공이 콘크리트 포장면을 파쇄한 후 수직 굴착한 사면(깊이 약 3.7m, 폭 약 1.5m) 바닥에서 파형강관(D500, L=6m) 설치 작업 중 콘크리트 포장면 하부의 토사와 콘크리트 덩어리(약 1.7톤)가 붕괴되면서 재해자를 덮쳐 사망한 재해임.</t>
  </si>
  <si>
    <t>2020년 9월경, OOO도 OO시 소재 OOOO(주) OOOO 기반시설공사 현장에서, 하도급업체 OOOO(주) 소속 재해자 두 명이 오수관로 설치를 위해 굴착저면에서 작업 중 굴착법면 및 조경석이 붕괴되면서 재해자 2명이 매몰되어 1명은 사망하고 1명이 부상한 재해임.</t>
  </si>
  <si>
    <t>관로 부설을 위한 굴착 중 굴착사면과 조경석이 무너지면서 근로자 매몰</t>
  </si>
  <si>
    <t>2020년 9월경 OOO시 OO구 OO동 소재 OOOO(주)가 시공 중인 「OOOO 일원 노후관 교체공사」현장에서 재해자가 굴삭기를 운전하여 화물자동차에서 내리던 중 넘어지는 굴삭기에 깔려 병원으로 이송치료 중 사망한 재해임.</t>
  </si>
  <si>
    <t>굴삭기를 현장으로 반입하기 위해 화물차에서 굴삭기를 내리는 중 전도되는 굴삭기에 깔림</t>
  </si>
  <si>
    <t>▶ 화물자동차에서 발판 등을 사용하여 굴삭기를 내리는 경우 충분한 길이, 폭, 강도를 가진것을 사용
▶ 굴삭기 스스로 화물차에서 하역하는 경우 지반이 평탄한 곳에서 작업하며, 작업계획서에 따른 작업실시</t>
  </si>
  <si>
    <t>2020년 10월경 OO시 OO군 소재 OOOO(주) OOOO 오수관로 설치공사 현장에서 협력업체 ㈜OOOO 소속 근로자 OOO가 오수관로 설치를 하기 위해 지장물인 우수암거(1.4m×1.6m) 하부 터파기 저면 바닥고르기 작업 중 굴착 진행방향 좌측사면의 토사가 붕괴되면서 근로자가 매몰되어 사망한 재해임.</t>
  </si>
  <si>
    <t>2020년 10월경 OOO도 OO시 OO구 소재 OOO 공장 신축공사 현장에서 OOOO 소속 재해자 OOO이 우수관로 흄관(D600㎜) 부설작업을 위하여 굴착한 굴착면의 토사(길이 4.2m×높이 2.4m×두께 0.7m, 약 13톤)가 무너지면서 매몰되어 사망한 재해임.</t>
  </si>
  <si>
    <t>2020년 11월</t>
  </si>
  <si>
    <t>2020년 11월경 OOO시 OO구 소재 OOOO(주)가 시공 중인 「OOOO」현장에서 협력업체 OOOO(주) 소속 재해자가 집수정 설치를 위해 굴착해놓은 피트(우천으로 물이 고인상태)에 빠져있는 것을 동료근로자가 발견 구조하여 병원으로 이송하였으나 당일 사망한 재해임.</t>
  </si>
  <si>
    <t>집수정 설치를 위해 굴착해놓은 피트(우천으로 물이 고인상태)에 빠져 익사</t>
  </si>
  <si>
    <t>▶ 후속시공이 연속하여 이어지지 않는 경우, 발생한 개구부(집수정 등)는 개구부 덮개 등을 이용하여 막음조치
▶ 개구부 부근에서 작업 시 안전난간 설치 등 추락방지조치 실시</t>
  </si>
  <si>
    <t>2021년 6월경</t>
  </si>
  <si>
    <t>2021년 6월경 OO도 OO시 OO구 소재 ㈜OOOO, OOOO 신축공사 중 토목공사 현장에서, 토공사 협력업체 소속의 재해자(남, 관로공) 2명이 오수관로 부설 후 모래 되메우기 작업을 하던 중, 트렌치 굴착부위에 인접한 약 9m 높이 굴착사면이 붕괴되면서 재해자를 덮쳐 매몰된 재해임._x000D_</t>
  </si>
  <si>
    <t>2021년 12월경 근린시설신축공사 현장에서 재해자는 현장입구 진입로를 굴착하여 우수관로 설치 작업중 높이 약 2.1m의 굴착면 상부의 붕괴된 토사에 매몰되면서 두부를 암석에 부딪혀 구조 후 병원 이송중 사망한 재해임.</t>
  </si>
  <si>
    <t>2021년 12월경, 흙막이 가시설 설치 전 지장물(한전관로 등) 확인을 위하여 약 1.8m 수직 줄파기 작업한 상태에서, 재해자가 굴착한 장소에 들어가 지장물 확인 중 한쪽 굴착면 붕괴로 40cm 정도 토사에 깔림</t>
  </si>
  <si>
    <t>11월경, OOO</t>
  </si>
  <si>
    <t>11월경, OOO시 소재 OO지구 지방상수도 매설공사 현장에서 재해자 OOO이 경사도로면 토사 상차작업을 위해 트럭에 탑승한 상태로 정차하여 대기하던 중 덤프트럭이 갑자기 내리막길로 움직여 약 40m 아래 반대편 차선의 옹벽에 충돌하면서 재해자가 트럭에서 이탈되어 쓰러진 채로 발견됨._x000D_</t>
  </si>
  <si>
    <t>11.4.2 맨홀 및 관 부설</t>
  </si>
  <si>
    <t>2015년 9월경</t>
  </si>
  <si>
    <t>2015년 9월경 OO시 OO읍 소재 OOOO 농지에서 PVC관(길이 4m, 지름 20Cm) 매설 작업중이던 재해자가 관을 매설하기 위해 굴삭기가 파놓은 트렌치 내에서 작업 중 깊이 2m의 굴착면 토사가 갑자기 무너져 매몰되어 병원으로 이송 중 사망한 재해임.</t>
  </si>
  <si>
    <t>2016년 2월경 OO시 OO구 OO읍 소재, ㈜OOOO이 시공 중인 아파트 신축공사 현장에서 배관공인 재해자가 관로 부설 작업 중 굴삭기에 부딪쳐 사망한 재해임</t>
  </si>
  <si>
    <t>장비유도자 없이 관로 부설 작업 중 굴삭기와 근로자가 충돌</t>
  </si>
  <si>
    <t>▶ 유도자 배치하여 근로자 접촉방지 조치 실시
▶ 굴삭기 되메우기 등 장비작업에 의한 부딪힘과 같은 재해 발생위험이 높을 경우 타작업의 동시 수행금지
▶ 카메라 부착 또는 후방에 근로자의 접근을 알리는 후방센서, 경보장치 등 부착
▶ 차량계 건설기계 작업전 안전 점검 실시 및 후방카메라 등 방호장치 확인</t>
  </si>
  <si>
    <t>2016년 3월경 OOO시 OO면에 위치한 OOOO상수도 노후관 갱생공사현장 OO번 작업구로부터 OO번 작업구 방향으로891m지점에서 ㈜OOOO 소속 작업자 3명이 지하상수도관 내부 물을 빼내기 위해 제수변실 내 상수도관 천공작업 중 유해가스 질식</t>
  </si>
  <si>
    <t>노후 상수도관 교체를 위해 제수변실에서 상수도관 천공 중 유해가스 질식</t>
  </si>
  <si>
    <t>▶ 밀폐공간 내부 작업 시 작업 전 산소 및 유해가스 농도 측정을 통한 작업여부 확인 
▶ 밀폐공간 내부 작업 시 송기마스크, 구명밧줄, 안전대 및 사다리 등 대피용 기구 비치</t>
  </si>
  <si>
    <t>2016년 4월경 OOO도 OO군 OO읍 소재 OOOO(주) 『OOOO 하수관거정비사업』현장에서 오수관교체 작업 후 되메우기 작업 중 굴착 법면의 토사가 유실되면서 아스콘 조각이 굴착 하부에서 진동다짐을 준비하던 재해자 방향으로 떨어지면서 가격한 재해임.</t>
  </si>
  <si>
    <t>2016년 4월경 OO도 OO시 OO동 소재 OOOO(주) 부지조성 공사현장에서 재해자가 흄관(D 0.6m, L 2.5m) 매설작업 중 굴착사면이 붕괴되면서 매몰되어 사망한 재해임</t>
  </si>
  <si>
    <t xml:space="preserve">2016년 5월경, OOO도 OO시 OO면 소재 ㈜OOOO OOOO상수도사업 제O공구 OOOO시설공사현장에서 협력업체 소속 배관공이 관로매설을 위해 3M 깊이의 굴착저면에 들어가,부설해 놓은 관로(직경1.1M/길이6M/주철관)의 접합(볼팅)작업 중 적정한 기울기(보통흙 습지/1:1이상)를 확보하지 못한 굴착사면이 붕괴되면서 매몰되어 사망한 재해임. </t>
  </si>
  <si>
    <t>2016년 5월경 OO시 OO구 OO동 소재 OOOO(주) 『OOOO 오수관로 정비공사』현장에서 오수관로 매설작업을 위한 터파기(GL=-2.4m) 작업 후 굴삭기를 이용하여 오수관로 운반 및 연결 작업을 하다가 굴삭기 바퀴(무한궤도) 호안기초에 일부 걸쳐져 있다 내려앉으며 굴삭기 붐이 재해자 방향으로 순식간에 기울어지며 버켓이 체결되어 있지 않은 굴삭기 붐 단부가 재해자의 두부를 타격하여  사망한 재해임.</t>
  </si>
  <si>
    <t xml:space="preserve">2016년 6월경 OOO도 OO군 OO읍 소재 OOOOO(주)가 시공하는 OOO유도배수로공사 현장에서 OOOO(주) 현장소장 OOO과 OOOO(주) 전무 OOO이 공사 착공전 기존 수로구조물 내부를 사전조사 하려고 기존 수로 구조물 내부로 들어가 구조물에 고정 설치되어 있던 PP로프(Poly Propylene Rope)를 손으로 잡고 급경사구간(경사도 약 45도)을 내려가다가 OOO은 잡고 있던 PP로프를 놓치면서 경사로(약 20~30m)를 굴러 떨어져 인근병원으로 후송 치료중 사망하였고, OOO은 수로 구조물에 부딪혀 부상을 당한 재해임  </t>
  </si>
  <si>
    <t>기존 관로 구조물 내부 사전조사를 위해 PP로프를 잡고 급경사구간 하강 중 PP로프를 놓쳐 떨어짐</t>
  </si>
  <si>
    <t>▶ 추락위험 장소에 대해 근로자가 임의 출입을 방지하도록 방책 등 설치
▶ 관로부설 위치로의 이동을 위해 근로자 이동 통로 설치 또는 가설계단 등 안전한 통로 설치</t>
  </si>
  <si>
    <t>2016년 7월경, OOO도 OO군 OO읍 소재, 『OOOO(주) OOO 하수관로 정비사업 시설공사』현장에서 맨홀과 오수관로 연결부에서 인력굴착한 잔여토사를 반출하려던 굴삭기 버켓에 관로배관 연결 준비작업 중이던 재해자가 굴삭기 버켓과 흙막이지보재 사이에 협착하여 사망한 재해임</t>
  </si>
  <si>
    <t>관로작업 중 굴삭기 버켓과 흙막이 지보재 사이에 협착</t>
  </si>
  <si>
    <t>▶ 굴착면적에 따를 버킷 교체시 유압이 해제될 경우에도 연결장치(Quick coupler)에서 버킷 이탈방지를 위해 안전핀 체결하여 이중 잠금장치 실시
▶ 차량계 건설기계를 사용하여 굴착 등 작업을 하는 경우 유도자를 배치하여 안전하게 작업 수행</t>
  </si>
  <si>
    <t>2016년 10월경 OOO도 OO시 소재 OOOO하수관로 정비공사 현장에서 원청 직영 근로자가 약2.7m 굴착 저면에서 하수관로 매설작업 중 인접 굴착사면의 토사붕괴(약 2.16㎥)로 매몰되어 사망한 재해임.</t>
  </si>
  <si>
    <t>2016년 12월경 OOO도 OO군 OO읍 소재 OOOO상수관로 설치공사현장에서 재해자가 폐기물 운반용 트럭(2.5ton)을 운전하여 적재장소(경사지) 상부에 도착하였을 때, 차량 작동 상태 이상을 감지하여 차량 하부를 점검하던 중 유니버셜 조인트가 탈락되면서 차량이 아래로 굴러 바퀴에 깔린 것으로 추정되는 재해임_x000D__x000D_</t>
  </si>
  <si>
    <t>차량 하부를 점검 시 유니버셜 조인트가 탈락되면서 차량이 아래로 굴러 근로자가 깔림</t>
  </si>
  <si>
    <t>2017년 5월경 OOO도 OO시 OO면 소재 OOOO(주)이 시공하는 (주)OO 화물용 엘리베이터 증축 및 부대공사 현장에서 통신맨홀을 굴착저면(깊이 약 1m)에 재설치 한 후 재해자는 재설치한 맨홀을 다시 위치 조정하여 재설치하기 위해 맨홀을 설치한 바닥면으로 내려가 슬링벨트로 맨홀 줄걸이작업 준비중이었고 굴삭기 운전자는 재해자가 작업중인 맨홀 바로 위에 버킷을 정지시킨 상태에서 재해자가 굴착저면으로 내려간걸 보지 못하고 버킷을 움직이는 순간 퀵커플러에 부착된 버킷(용량 0.2㎥,중량 약 200kg)이 탈락되어 약 1m 아래 굴착부로 떨어지면서  재해자를 강타하여 사망한 재해임</t>
  </si>
  <si>
    <t>관로작업 중 굴삭기에서 갑자기 버킷이 탈락하여 근로자에게 낙하</t>
  </si>
  <si>
    <t>2017년 5월경, OOO도 OO시 소재 OOOO공공주택지구 조성공사 현장에서 재해자가 휴대용 엔진절단기를 사용하여 우수관로(콘크리트흄관, D=250mm)를 절단 작업 중 휴대용 엔진절단기가 튀어 오르면서 재해자의 상체를 강타하여 사망.</t>
  </si>
  <si>
    <t>근로자가 휴대용 엔진절단기를 사용하여 우수관로를 절단 작업 중 휴대용 엔진 절단기가 튀어 오르면서 근로자를 강타</t>
  </si>
  <si>
    <t>▶ 엔진절단기 사용시 절단 작업 중 회전날 노출이 최소화 되도록 날 접촉예방장치 보완 설치
▶ 엔진절단기 사용시 물체를 고정한 상태에서 작업을 수행하며 물체에 크기에 따른 엔진절단기 장비 사용</t>
  </si>
  <si>
    <t>2017년 6경,</t>
  </si>
  <si>
    <t>2017년 6경, OO시 OO구 OO동 소재 OOOO(주) OOOO토양환경개선공사 현장에서, 재해자가 유류탱크 상부 맨홀 접속관(맨홀가이드)을 탱크 곡면에 맞춰 설치하기 위해 산소절단기로 접속관의 아래부위를 용단하던 중, 불티가 탱크 속으로 들어가 유증기에 발화, 폭발하면서 그 충격으로 높이 5.1m 상부 주유소 천장에 부딪힌 후 바닥에 떨어져 사망한 재해임.</t>
  </si>
  <si>
    <t>근로자가 유류탱크 상부 맨홀가이드를 탱크 곡면에 맞춰 산소절단기로 접속관의 아래부위를 용단하던 중 발생한 불티가 유증기에 발화, 폭발하면서 천장에 부딪힌 후 바닥으로 떨어짐</t>
  </si>
  <si>
    <t>▶ 유증기 발생을 고려하여 청소 후 지속적으로 환기 실시
▶ 현장에 가스 검지 및 경보성능을 갖춘 장치 설치
▶ 사전에 작업현장 내에 위험성 평가를 실시하여 폭발사고 발생위험 예방</t>
  </si>
  <si>
    <t>2017년 7월경 OO시 OO군 소재 OOOO 배수로정비공사 현장에서 재해자가 배수로 수로관 안에 쌓인 모래를 정리하는 작업 중 인근에서 작업중이던 굴삭기에 충돌 후 바퀴에 깔려 사망한 재해임.</t>
  </si>
  <si>
    <t xml:space="preserve">2018년 1월경 OO도 OO시 OO구 소재 ㈜OOOO, OOOO하수관로 정비공사 현장에서 재해자가 하수관로 맨홀을 운반하기 위해 차량(덤프트럭)으로 이동중 뒤 따라오던 굴삭기에 깔려 현장에서 사망한 재해임 </t>
  </si>
  <si>
    <t xml:space="preserve">2018년 3월경, OOO도 OO군 소재 ㈜OOOO이 시공하는  OOOO정비사업 현장에서 재해자가 우수관(콘크리트 U관) 설치작업 중 우수관 연결부 이음재료인 모르타르의 비빔에 필요한 물을 긷기 위해 현장에서 약 5m 떨어진 곳에 있는 개울로 양동이를 들고 내려가던 중 몸의 중심을 잃고 높이 약 1.8m 아래 개울로 떨어지면서 그 충격으로 기절한 뒤 익사하여 사망한 재해임. </t>
  </si>
  <si>
    <t>관 연결부 이음재료인 모르타르 비빔을 위해 인근 개울로 물을 뜨러 내려가던 중 개울에 떨어져 익사</t>
  </si>
  <si>
    <t>2018년 5월경 OOOO(주) OO시 관내 국도대체 우회도로 현장에서 직영근로자인 재해자가 우수관 배치작업 중 마지막 우수관을 굴삭기로 당겨 끼워넣던 중 순간적으로 우수관이 빠지면서 회전하는 우수관과 토사면 사이에 재해자의 가슴이 끼여 치료 중 사망한 재해임</t>
  </si>
  <si>
    <t>굴삭기로 관부설 작업 중 관이 이탈하며 근로자와 충돌</t>
  </si>
  <si>
    <t>▶ 관로를 굴삭기로 굴착하단부에 운반하는 작업을 하는 경우 관로가 회전하거나 슬링벨트에서 빠지는 것을 막기위해 두줄걸이를 시행하고, 관이 회전을 방지하기 위한 조치 실시
▶ 중량물 취급 시 작업지휘자 및 신호수 배치</t>
  </si>
  <si>
    <t>2018년 6월경</t>
  </si>
  <si>
    <t>2018년 6월경 OO시 OO군 소재 (주) OOOO/OOOO 심정공사 현장에서 협력사 소속 재해자가 천공이 완료된 심정의 공벽 붕괴 방지를 위해 PVC수도관 설치 작업을 실시하던 중 PVC관을 매달아 지지하던 와이어로프가 파단되면서 재해자의 오른쪽 다리를 절단하여 병원으로 이송하여 치료  중, 사망한 재해임.</t>
  </si>
  <si>
    <t>PVC수도관 설치 작업 중 PVC관을 매달던 와이어로프가 손상(변형) 및 파단되어 근로자 베임</t>
  </si>
  <si>
    <t>▶ 작업 전 와이어로프의 손상여부를 확인하고, 작업 중 와이어로프 손상 시 즉시교체 후 작업 실시
▶ 자재 등 중량물 운반 중 작업자의 불필요한 접촉 금지</t>
  </si>
  <si>
    <t>2018년 6월경, OOO시 OO면 소재 OOOO 하수처리시설 설치공사 현장에서, 재해자 OOO가, 오수관로매설 후 토사를 되 메우는 과정에서, 다짐작업을 진행하던 굴삭기 뒤에서 주변토사를 정리하던 중, 후진하는 굴삭기 오른쪽 바퀴에 깔려 사망한 재해임.</t>
  </si>
  <si>
    <t>2018년 7월경 OO(주) OO지구 지중화 정비 현장에서 재해자가 기계톱을 사용하여 토류판 절단작업 중 토류판에 끼인 톱날을 빼다가 톱날에 목 부위를 베여 사망</t>
  </si>
  <si>
    <t>토류판 절단 작업 중 토류판에 끼인 톱날을 빼다가 톱날에 목 부위를 베어 사망</t>
  </si>
  <si>
    <t>▶ 기계톱을 사용하여 토류판 절단작업 중 토류판이 내려앉아 톱날이 끼이지 않도록 톱날 양측에 받침목 설치
▶ 기계톱을 사용 전 취급방법 숙지 및 방호장치 설치</t>
  </si>
  <si>
    <t>2018년 8월경 OOO도 OO시 OO면 소재 ㈜OOOO, OOOO주변도로 통신공사 현장에서 재해자가 통신관로 매설을 위해 굴착된 바닥면에서 모래포설 등의 작업 중 굴착 사면 일부가 붕괴되면서 토사에 매몰되어 사망한 재해임.</t>
  </si>
  <si>
    <t>2018년 9월경, OOO도 OO군 OO면 소재 (자)OOOO OOOO 농촌 생활용수 개발공사현장에서 유도자 OOO이 상수도 관로매설작업 진행 도로(왕복2차선)에서 이동차량 및 차량계건설기계 유도업무 중 후진하는 덤프트럭 (14.5톤)에 접촉되며 뒷바퀴에 깔려 사망한 재해임</t>
  </si>
  <si>
    <t>관로매설작업 중 유도업무를 하는 작업자가 후진하는 덤프트럭에 접촉되며 뒷바퀴에 깔림</t>
  </si>
  <si>
    <t>▶ 근로자가 건설기계에 근접하여 작업을 수행하는 경우 유도자를 배치하여 안전한 상태에서 작업 진행
▶ 차량계 건설기계 접촉 가능 장소 및 사각지대 발생가능성이 높은 건설기계 사용 시 근로자 출입금지 및 유도자 배치
▶ 카메라 부착 또는 후방에 근로자의 접근을 알리는 후방센서, 경보장치 등 부착
▶ 차량계 건설기계 작업전 안전 점검 실시 및 후방카메라 등 방호장치 확인</t>
  </si>
  <si>
    <t>2018년 9월경, OOO시 OO구 OO동 소재 ㈜OOO에서 시공하는 OOOO 배전간선 설치공사 현장에서 재해자가 합성수지 파형관로 이음관 운반 중 인접하여 작업 중이던 굴삭기(0.6m3)의 후방 타이어에 부딪히며 깔려 사망한 재해임.</t>
  </si>
  <si>
    <t>철근콘크리트자재(철근,콘크리트,PC)</t>
  </si>
  <si>
    <t xml:space="preserve"> 2018년 9월</t>
  </si>
  <si>
    <t xml:space="preserve"> 2018년 9월경 OOOO도 OO시 OO읍 소재 OOOO 배수로 정비공사 현장에서 콘크리트 수로관(규격:1500B, 길이:2m)을 설치하던 재해자가 기존 토사 배수로 상단에 적재된 수로관 인양을 위해 줄걸이용 슬링벨트를 걸어주는 작업을 진행하던 중수로관이 미끄러지면서 넘어져 재해자가 콘크리트 포장도로 가장자리와 수로관 사이에 흉부가 협착되어 사망한 재해임</t>
  </si>
  <si>
    <t>2018년 10월경 OOO도 OO군 소재 OOOO(주) OOOO 하수관거 정비사업 현장에서 재해자가 맨홀내부에서 토사제거 작업 중 무너지는 토사에 매몰되어 사망.</t>
  </si>
  <si>
    <t xml:space="preserve"> 2018년 11</t>
  </si>
  <si>
    <t xml:space="preserve"> 2018년 11월경 OO도 OO시 소재 OOOO(주) OOOO보행안전 및 가로환경 현장에서 우수관로 흄관 매설작업 중 굴착면 붕괴로 재해자가 매몰되어 1명 사망, 1명 부상</t>
  </si>
  <si>
    <t>2018년 12월경 OOOO(주) OO시 OOO동 OOOO배수공사 현장의 트랜치 굴착(h≒3.5m) 저면에서 작업자 2명이 콘크리트 흄관(D=300mm, L=2.5m) 매설작업을 진행하던 중 무너지는 굴착법면 토사에 매몰되어 사망한 재해임.</t>
  </si>
  <si>
    <t>2018년 12월경 OOO도 OO군 OO면 소재 OOOO보완사업 현장에서, 우수유도용 배수관(플륨관,400×400mm,L=2m,430kg)을 백호(06LC)로 양중하던 중, 플륨관이 낙하되면서 재해자 머리를 강타하여 사망한 것으로 추정되는 재해임.</t>
  </si>
  <si>
    <t>관부설 작업을 위해 굴삭기로 관 운반 작업 중 근로자와 충돌</t>
  </si>
  <si>
    <t>2019년 1월경, OOO도 OO시 OO면 소재 「OOOO조성공사」현장에서 직영공사 소속 OOO가 배수관로 설치작업을 위해 콘크리트 맨홀(1.2×1.2×1m, 2.4톤)에 슬링벨트를 고정한 후 굴삭기 후크에 걸어 끌어당겨 옮기던 중 맨홀이 배수관로 굴착 법면 아래로 떨어져(H=1.3m) 굴착면 아래에서 바닥면 고르기 작업중에 있는 재해자의 머리를 강타하여 사망한 재해임.</t>
  </si>
  <si>
    <t>맨홀에 슬링벨트를 걸어 굴삭기를 사용하여 끌어당겨 옮기던 중 맨홀이 굴착법면 아래로 떨어져 하부 작업자 깔림</t>
  </si>
  <si>
    <t>▶ 중량물 인양 시 굴삭기의 정격하중을 준수하여 무리한 중량물 인양 금지
▶ 차량계 건설기계 사용시 작업 장소 내에 근로자의 출입 통제
▶ 유도자를 배치하여 차량계 건설기계 유도</t>
  </si>
  <si>
    <t>2019년 4월경, OOO도 OO시 소재 OOOO파쇄공사 현장에서, 재해자가 폐기물 상차용 덤프트럭을 후방에서 신호하던 중, 정차된 집게차 측면부와 덤프트럭 후미 사이에 협착</t>
  </si>
  <si>
    <t>2019년 4월경 OOO도 OO시 OO면 소재 OOOOOO(주)가 시공하는「OOOO생활용수 개발 확충사업」 현장에서 지방도 포장면 아스콘을 컷팅 및 굴착 후 상수도관을 매설하고, 토사 되메우기와 골재를 덤프트럭으로 다짐하는 과정에서 직영 보통인부인 재해자가 주변에서 빗자루로 청소·정리작업을 하던 중, 후진하던 덤프트럭에 깔려 사망한 재해임.</t>
  </si>
  <si>
    <t>2019년 5월경 OO시 OO읍 소재 ㈜OOOO 하수관로 정비공사 현장에서 재해자 OOO가 하수관로 연결 작업을 위해 굴착구간(H≒2.5m)내부에서 동료작업자(OOO)와 하수관로 연결 작업을 하던 중 차도방향의 굴착면이 붕괴되어 무너진 토사에 재해자가 매몰됨</t>
  </si>
  <si>
    <t>2019년 5월경 OO도 OO시 OO면 소재 OOOO(주) OOOO정비사업 현장의 OO교 취수보 설치구간 내 가배수로 재설치 작업 장소에서 재해자는 배수관(흄관, D=1,000mm, L=2,500mm) 연결부 접합을 위해 관 내부에서 모르타르(시멘트, 모래를 섞어서 물에 갠 것)를 연결부위에 채우고 외부로 나오던 중 굴착사면 토사가 붕괴, 매몰되어 사망한 재해임.</t>
  </si>
  <si>
    <t>2019년 5월경 OOO도 OO시 OO면 소재 OOOO(주)이 시공하는 OOOO 샌드위치판넬 제거 및 기타실 증축공사 현장에서 배관공인 재해자가 사각 집수정 맨홀 매설 및 파형강관 연결작업을 위해 약 2m 굴착하부에서 대기 중 굴착을 위해 버킷을 교체하고 선회한 굴삭기에서 버킷이 탈락해 아래로 굴러 떨어져 재해자의 등을 가격하였고, 맨홀과 탈락한 버킷 사이에 낀 재해자를 구조해 병원이송 후 치료 중 사망한 재해임.</t>
  </si>
  <si>
    <t>2019년 5월경 OOO시 OO구 소재, OOOO 상수도 맨홀 작업장에서 작업자 3명이 맨홀 내부 배수 작업에 이용한 양수기(내연기관)에서 발생한 일산화탄소 등 유해가스에 의해 중독되어, 1명이 사망하고 2명이 부상을 입은 재해임</t>
  </si>
  <si>
    <t>맨홀내부에서 배수 작업에 이용한 양수기 일산화탄소에 중독</t>
  </si>
  <si>
    <t>2019년 6월경 OOO도 OO군 소재 OOOO(주)「OOOO도로 개선공사」현장에서 재해자 OOO가 PE이중벽관 설치를 위해 굴착구간에 내려가 있던 중, 굴삭기에 의해 운반되어 온 PE이중벽관에 1차로 맞아 넘어졌고 이에 놀란 굴삭기 기사가 빠르게 PE이중벽관을 굴착저면에 내려놓는 순간 쓰러져 있던 재해자의 머리와 가슴 등에 충격이 가해지고 굴착사면과 관 사이에 끼이며 사망한 재해임.</t>
  </si>
  <si>
    <t>2019년 6월경 OOO도 OO군 소재 OOOO(주) OOOO 시설공사 현장에서 개착식 흙막이구간 강관부설 받침작업을 위하여 지상에서 제작한 콘크리트 구조물(2.7×1.9×0.32m, 약 4톤) 인양용 고리(굵은철선※-반생 6번선)에 줄걸이기구(샤클, 섬유벨트)를 체결하여 굴삭기를 이용하여 흙막이 굴착 저면으로 내리는 작업과정에서 인양용 고리(반생 6번선)가 파단되어 하부에서 바닥 평탄작업을 하던 있던 재해자가 콘크리트 구조물에 깔려 사망한 재해임_x000D_</t>
  </si>
  <si>
    <t>사전 제작한 관 기초 콘크리트(2.7×1.9×0.32m, 약 4톤) 양중 작업 중 굵은 철선(6번선)으로 만든 인양용 고리가 파단되어 낙하하여 하부 작업자가 깔림</t>
  </si>
  <si>
    <t>2019년 8월경 OO시 소재, OOOO(주)이 시공하는 상구도관(D600mm, L=6.0m) 매설현장에서 재해자가 깊이 약3m 굴착 저면에서 상수도관 연결작업중 굴착사면 토사가 일부 붕괴되면서 재해자를 덮쳐, 가슴이 상수관에 충돌하여 갈비뼈 손상으로 사망한 재해임.</t>
  </si>
  <si>
    <t>2019년 9월경 OO도 OO시 OO동 소재 OOOO(주) OOOO 주상복합 신축공사 현장에서 강제 집수정 양중 작업을 지휘하던 재해자가 집수정 하부에 설치되어 있던 유도로프가 흙막이 버팀대에 걸려있는 것을 확인하고 유도로프를 반대방향으로 넘겨주기 위하여 안전대 미착용 상태로 버팀대 상부를 걸어가던 중 기초 버림 콘크리트 바닥으로 떨어져(H≒7.3m) 사망</t>
  </si>
  <si>
    <t>강제 집수정 양중 작업 중 유도로프가 흙막이 버팀대에 걸려 버팀대 상부 이동 중 추락</t>
  </si>
  <si>
    <t xml:space="preserve">2019년 10월경 OO시 OO면 소재 ㈜OOOO이 시공하는 OOOO마을하수도 설치사업 현장에서 ㈜OOOO 소속 재해자(관로공) 2명이 트렌치 굴착(깊이≒1.8m~1.9m, 폭≒1m)저면에서 오수관 매설작업 중 굴착 사면(사질토) 붕괴와 함께 지반 상부 콘크리트 포장이 붕괴되면서 재해자를 덮쳐 1명 사망, 1명이 부상당한 재해임  </t>
  </si>
  <si>
    <t>2019년 10월경 OOO도 OO시 OO동 소재 OOOO(주)에서 시공하는 아파트 건설공사 현장에서 OOOO(주) 소속 재해자는 오수 맨홀 구조물 설치작업을 하던 중 굴삭기 훅에 연결된 P.E(Poly-Ethylene)로프가 파단 되면서 떨어진 오수 맨홀 구조물에 가슴부위를 맞아 사망한 재해임.</t>
  </si>
  <si>
    <t>굴삭기로 맨홀 양중 설치작업 중 인양줄걸이가 파단되면서 떨어지는 맨홀에 맞음</t>
  </si>
  <si>
    <t>2019년 11월경,  OO시 OO구 일대 OOOO(주) OOOO구역 인근 정압기 및 본·공급관 공사 현장에서 재해자 2명이 도시가스 공급관(Φ315mm) 설치 작업중 토사 일부가 붕괴, 매몰되어 3개월 이상의 요양이 필요한 재해 발생.</t>
  </si>
  <si>
    <t>2019년 12월</t>
  </si>
  <si>
    <t>2019년 12월경 OO시 소재 OOOO 배수로 정비공사 현장에서 PC(Precast Concrete)사각맨홀(약1.83ton, 가로1m×세로1m×높이1.7m)을 설치하기 위해 굴삭기를 사용하여 맨홀을 인양·운반하고, 매설 지점에서 내리는 순간굴삭기가 전도되어 우측면에 있던 재해자 OOO이 굴삭기에 깔려 사망한 재해임</t>
  </si>
  <si>
    <t>굴삭기를 사용하여 맨홀 인양 및 운반 중 균형을 잃고 전도되어 근로자 깔림</t>
  </si>
  <si>
    <t>2020년 1월경 OO시 OO구 OO동 소재 관로정비공사 현장에서 재해자1 OOO이 굴착기를 운전하여 계단(경사 약30°)을 내려오던 중 장비가 중심을 잃어 넘어지며 재해자1이 깔리고, 재해자2 OOO가 재해자1을 구하려 장비에 다가가던 중 장비가 2차로 넘어지며 재해자2도 장비에 깔리며 부상당한 재해임.</t>
  </si>
  <si>
    <t>굴착기가 계단(경사로) 이동중 전도되어 굴삭기운전원(또는 근로자) 깔림</t>
  </si>
  <si>
    <t>2020년 3월경 OOOO도 OO시 소재 OOO OOOO 도로개설공사 현장에서 재해자가 굴착면 하부에서 삽 등으로 관로 연결 작업을 하던 중, 굴착면 상부에 위치한 굴착기의 버킷이 탈락 및 낙하하여 하부에 있던 재해자가 맞아 사망한 재해임.</t>
  </si>
  <si>
    <t>2020년 4월경 OOO도 OO군 OO읍 소재 OOOO현장에서 재해자가 굴착면 바닥(수직으로 굴착, 깊이 약 2m, 폭 1.1m)에서 우수관로(내경 300mm, pvc이중주름관) 연결작업을 하던 중 굴착면이 붕괴(약 1.4㎥) 되면서 매몰되어 사망한 재해임.</t>
  </si>
  <si>
    <t>2020년 4월경 OOO도 OO군 OO면 소재 (주)OO OOOO개발사업 토목 및 전기공사 중 지중선로 설치공사 현장에서 지중선로 설치구간 되메우기 후 후진하는 굴착기(OOOO 소속) 후방으로 OOOO(주) 소속 재해자가 이동하던 중 굴착기 바퀴에 깔려 사망한 재해임_x000D_</t>
  </si>
  <si>
    <t>2020년 4월경 OOO도 OO시 OO면 소재 『OOOO 토목건축기계공사』현장에서, 재해자가 이동식 크레인(7톤, 카고크레인) 적재함에 적재되어 있는 강관(직경 700mm, 길이 6m)을 떨어지지 않도록 섬유벨트(폭 50mm, 슬링벨트)로 거는 작업 중, 강관이 재해자 방향으로 굴러 떨어지면서 재해자의 얼굴 및 가슴을 덮쳐 사망한 재해임.</t>
  </si>
  <si>
    <t>카고크레인 적재함에 있는 강관 하역 중 강관이 굴러 떨어지면서 충돌</t>
  </si>
  <si>
    <t>2020년 4월경 OO시 OO구 소재 OOOO앞 하수관로신설(확충)공사[OOOO] 현장에서 지하 하수관 신설공사(직경800mm 강관압입공법) 중 강관내부 폐기물(철근, 쇠, 철재류 등으로 추정) 용단작업을 위해 재해자(OOO)가 용단용 토치(산소+LPG)를 가지고 들어간 후 폭발이 발생하였고, 폭발음을 감지한 동료 재해자(OOO, OOO)가 구출을 위해 강관내부로 차례로 들어가 폭발연소 시 발생한 일산화탄소에 재해자 모두 중독 사망한 재해임</t>
  </si>
  <si>
    <t xml:space="preserve">하수관 강관압입공사 현장에서 강관내부 폐기물 용단작업 중 폭발 발생. 이 후 구조를 위해 들어간 동료근로자 2명이 폭발로 인해 발생한 일산화탄소에 중독 </t>
  </si>
  <si>
    <t>바닥(바닥에 걸려 넘어짐)</t>
  </si>
  <si>
    <t>2020년 5월경, OOO도 OO군 OO면 소재 OOOO(주) OOOO 보강개발사업 현장에서 재해자가 저수지 농업용수 토출조 구조물내의 플랩밸브에 연결된 송수관 용접 및 설치작업을 하다가 인근 작업차량에서 물을 마시고 토출조 내부로 돌아오던 중 제방 법면 사석위에서 미끄러져 토출조 내부로 미끄러져 추락 사망한 재해임.</t>
  </si>
  <si>
    <t>근로자가 이동 중 제방 법면 사석위에서 저수지 토출조 내부로 미끄러져 추락</t>
  </si>
  <si>
    <t>2020년 5월경 OOO시 OO구에 소재한 ㈜OOOO이 시공하는 상수도 시설물 정비공사 현장에서 ㈜OOOO 소속 근로자 OOO이 신설된 상수도관(Ø1200㎜, L=5.2m) 내부에서 용접작업을 하던 중 상수도 임시 차단밸브(라인스토퍼)가 파손되며 누수된 수돗물의 압력으로 상수도관 밖으로 밀려나와 물이 차 오른 피트(가로 5.2m * 세로 3.6m * 깊이 2.4m)에서 익사한 재해임.</t>
  </si>
  <si>
    <t>상수도관 내부에서 용접작업을 하던 중 상수도 임시 차단밸브가 파손되어 누수된 수돗물의 압력으로 상수도 관 밖으로 밀려나와 물이 차오른 피트에서 근로자가 익사</t>
  </si>
  <si>
    <t xml:space="preserve">
▶ 수돗물이 유입되는 것을 막기 위한 시설물 설치 시 수압 등 외력에 의한 파손의 위험에 예방하기 위해 구조검토 실시
▶ 관리감독자를 두어 기계, 기구 또는 설비의 안전보건점검 및 이상 유무의 확인 실시</t>
  </si>
  <si>
    <t>2020년 6월경 OOOOOO 앞 빗물받이 신설공사 현장에서 빗물받이 설치를 위한 사전조사 작업 중 재해자1(OOO)이 맨홀뚜껑을 열고 맨홀내부로 들어가기 위해 맨홀입구에 양팔꿈치로상체를 걸친 후 내려가려다 맨홀내부에 약 2.8m 높이로 쌓여있던 슬러지가 쌓여 있는물로 떨어져 재해자1(OOO)의 신체가 확인되지 않자 사고맨홀 주변에 있던 포크레인 기사 재해자2(OOO)가 포크레인 버켓에 로프(길이 약 2m)를 묶은 후 로프를 잡고 맨홀내부로 진입하여 한손엔 로프, 다른한손엔 맨홀내부 사다리를 잡은 상태에서 발로 슬러지를 수 초간 휘저으며 재해자1(OOO)을 찾으려다 산소결핍으로 인하여 슬러지가 있는 물에 빠진 것으로 추정. 이 후 소방서 구조작업에 의해 재해자(OOO, OOO)가 사망한 상태로 발견된 재해임</t>
  </si>
  <si>
    <t xml:space="preserve">빗물받이 설치 사전조사를 위해 맨홀내부로 들어가던 중 유해가스에 질식되어 작업자 추락. 이를 구하려던 굴삭기 기사도 질식되어 함께 추락 </t>
  </si>
  <si>
    <t>2020년 7월경 OOO도 OO시 OO읍 소재 OOOO(주) OOOO상수관로 유지사업 구간 내 5번 이토밸브실(깊이:4.8m) 내부에서 재해자가 전일 설치한 제수밸브의 밀림방지용 임시 지지대를 교체하기 위하여 임시 지지대(강관파이프: D48.6㎜) 4개 중 1개를 제거하는 순간, 밸브 반대편 주철관(이토관, D400㎜) 접합부가 벌어지며(이탈방지압륜이 관에서 이탈) 물이 터져 나왔고, 이로 인한 수압으로 재해자가 지상으로 튀어나와 이토밸브실로부터 약 4m 떨어진 위치에 떨어져 사망한 재해임.</t>
  </si>
  <si>
    <t>상수도관 이토변실 내부에서 제수밸브 교체 작업 중 주철관 접합부가 벌어지며 물이 터져 나와 수압으로 이토변실 밖으로 튕겨져 약 4m 떨어진 위치에 떨어져 사망</t>
  </si>
  <si>
    <t>▶ 관리감독자를 두어 기계, 기구 또는 설비의 안전점검 및 이상 유무의 확인 실시
▶ 관로 내부 가압중 갑작스러운 파단 등에 대비하기 위한 상황에 맞는 개인보호구 지급 및 착용</t>
  </si>
  <si>
    <t xml:space="preserve">2020년 7월경 OOO도 OO시 OO동 소재 ㈜OO OOOO복원사업 토목공사 현장에서 굴착기를 이용하여 차집관로(레진관, D1200, 약 1.8톤)의 높낮이 조절을 위해 들어 올리던 중 강널말뚝과 차집관로 사이에 있던 재해자가 차집관로에 가슴부위를 맞아 당일 병원으로 이송 치료 중 사망함. </t>
  </si>
  <si>
    <t>2020년 8월경, OOO도 OO군 소재 ㈜OOOO이 시공하는 OOOO신축공사 현장에서, 협력업체 소속 보통인부가 굴착저면에서 오수관로(D200, L=6.0m) 연결작업을 하던중, 굴착사면(H=1.5~2.0m)의 토사가 붕괴 되어 재해자의 하반신이 매몰, 병원으로 이송되어 치료 중 사망한 재해임</t>
  </si>
  <si>
    <t>익사</t>
  </si>
  <si>
    <t>2020년 9월경 OOO도 OO시 OO구 소재 (주)OO이 시공하는「OOOO 하수도 준설공사(연간단가)」현장에서 협력업체 소속 보통인부가 원형 콘크리트 오수맨홀 내부 바닥(깊이 4.4m, 직경 1m)에서 토사 및 돌 등으로 막혀 있던 유입관로(PE관, D300mm)를 뚫기 위해  준설차 흡입 호스(D125mm)로 준설작업을 하던 중 갑자기 뚫리면서 관로 내부(약 50m 구간)에 고여 있던 오수가 유입되면서 맨홀 내부에 오수가 순식간에 차올라(발목이 찰 정도에서 약 1.8m로 수위 상승)  익사한 재해임</t>
  </si>
  <si>
    <t>준설작업 중 관로 내부에 고여 있던 오수가 유입되며 오수가 순식간에 차올라 익사</t>
  </si>
  <si>
    <t xml:space="preserve">▶ 대피용 기구(사다리, 섬유로프, 구조용 삼각대 등) 비치 내부 작업자와 연락을 할 수 있는 무전기 등 통신장비 지급
▶ 관로 내부에서 작업을 하는 경우 해당 작업장의 지형ㆍ지반, 기상작용에 의한 위험성 등을 사전에 조사하고 그 결과를 고려하여 근로자에게 주지시킬 것 </t>
  </si>
  <si>
    <t>2020년 10월경 OO시 OO구 소재 ㈜OOOO이 시공하는 OO지구 도로개설공사 현장에서 협력업체 OOOO(주) 소속 재해자가 우수관로 매설작업 중 굴착면이 무너지며 토사에 깔려 병원으로 이송치료 중 사망한 재해임</t>
  </si>
  <si>
    <t>2020년 10월경 OO도 OO군 소재 ㈜OOOO OOOO오수(압송)관로 신설공사 현장에서 오수관로 설치 작업을 하기 위해 재해자가 트럭 적재함에 있는 오수관로(약60kg)를 하역작업 중 몸의 중심을 잃고 추락(H≒80cm)하여   병원으로 이송 치료 중에 사망함</t>
  </si>
  <si>
    <t>관로 하역작업 중 트럭 적재함에서 균형을 잃고 추락</t>
  </si>
  <si>
    <t>▶ 추락할 위험이 있는 장소에서 작업할 경우 이에 맞는 안전 보호구(안전모)착용
▶ 하역작업 등으로 트럭 적재함을 오를 경우 승강 사다리를 이용
▶ 불안정한 상태에서 하역작업(로프 해체, 덮개 제거 등) 금지</t>
  </si>
  <si>
    <t>2020년 11월경 OOO도 OO군 OO면 OOOO일원 ㈜OOOO이 시공하는 OOOO 생활용수 급수구역 확장공사 현장에서 재해자(현장관리자)가 상수도 유량계실(철재)를 부설한 후 기존도로와 수평을 맞추기 위해 깊이 2.6m 굴착 바닥면으로 내려가 삽으로 평탄작업 중 굴착면 일부가 무너져(약2.8톤) 토사에 매몰되면서 유량계실 보강재에 머리를 부딪혀 사망한 재해임.</t>
  </si>
  <si>
    <t>교통수단</t>
  </si>
  <si>
    <t>2020년 12월분 경, OOO도 OO시 OO구 소재 「㈜OOOO / OOOO 배수시설 설치공사」 현장에서, OO-OO상 103.475km 지점의 배수로 설치(굴착 및 벤치플룸관 매설)를 위해 선로 상에 올라간 굴착기가, 해당 작업지점을 통과하던 화물열차와 충돌하면서 굴착기 운전원 OOO와 작업을 지휘하던 ㈜OOOO 대표이사 OOO가 사망한 재해임</t>
  </si>
  <si>
    <t>배수로 설치(굴착 및 벤치플룸관 매설)를 위해 선로 상에 올라간 굴착기가, 해당 작업지점을 통과하던 화물열차와 충돌</t>
  </si>
  <si>
    <t>▶ 철도운행 안전협의 완료 전에 출입 통제구역 내로 임의 출입금지조치 실시
▶ 작업인원 안전보호구(안전조끼, 안전모, 안전화) 및 휴대용품(열차감시용 무전기, 호루라기, 경보기, 손전등) 지급 및 착용상태 확인
▶ 철도 내 작업 시, 근로자 안전을 위한 신호수 역할의 열차감시원 배치</t>
  </si>
  <si>
    <t>2020년 12월경 OOOO 노후된 상수도 배관 교체공사 현장에서 배관교체와 되메우기가 완료된 구간에 비산먼지 방지를 위한 부직포 씌우기 작업을 하던 재해자가 잔여 토사를 싣고 전진하는 덤프트럭에 깔려 치료 중 사망한 재해임</t>
  </si>
  <si>
    <t>비산먼지 방지를 위한 부직포 씌우기 작업 중 전진하던 덤프트럭에 깔림</t>
  </si>
  <si>
    <t>2021년 2월경 OOO도 OO군 OO면 소재 「OOOO 구축사업」 현장에서 ㈜OO 소속 근로자가 상수도관(D=200mm) 설치 후 누설시험(기압시험)을 수행하던 중 배관 내부 압력(약 0.7Mpa)에 의해 이탈된 누설시험용 연결 배관부에 맞아(안면부) 사망한 재해임</t>
  </si>
  <si>
    <t>상수도관 설치 후 누설시험(기압시험)을 수행하던 중 배관 내부 압력에 의해 이탈된 누설시험용 연결 배관부에 맞음</t>
  </si>
  <si>
    <t>2021년 2월경 OO시 OO면 소재 「OOOO 토목공사」현장에서 도수관 매설작업 후 되메우기 작업 중 청소를 하던 재해자가 후진하던 굴착기에 부딪혀 사망함</t>
  </si>
  <si>
    <t>2021년 4월경 OOO도 OO시 OO동 소재 OOOO(주) OOOO 노후 상수관망 정비 공사 현장에서 화물차에 적재되어 있는 주철관을 슬링벨트로 묶어 하역하는 준비 작업 중 주철관이 슬링벨트 밖으로 이탈하며 재해자를 덮쳐 약 1.85m 높이의 차량 측면에서 바닥으로 떨어져 사망한 재해임</t>
  </si>
  <si>
    <t>관로 정비 공사 현장에서 화물차에 적재되어 있는 주철관을 슬링벨트로 묶어 하역하는 준비 작업 중 주철관이 슬링벨트 밖으로 이탈하며 재해자를 덮침</t>
  </si>
  <si>
    <t>▶ 화물적재 작업 시 최대 적재량 및 한쪽으로 치우치지 않은 적재 등의 조치 준수
▶ 로프 풀기 작업 전 적재함 주변에 근로자의 통행을 통제한 뒤 하역작업 실시</t>
  </si>
  <si>
    <t>2021년 5월경 OO도 OO면 소재, OOOO현장에서 재해자가 굴착면 바닥(깊이 약 1.5m)에서 우수관로(내경 450㎜) 연결부 청소작업 중 굴착면이 붕괴되며 붕괴물에 매몰되어 사망한 재해임.</t>
  </si>
  <si>
    <t>2021년 6월경, OOO도 OO시 OO읍 소재 『OOOO 개축공사』 현장에서 기 설치 된 보강토 옹벽 하부 우수관로 공사를 위한 터파기 후, 굴착저면에서 우수배관(PE,φ=600mm,L=4.0m) 연결작업을 하던 재해자가 굴착사면 및 보강토 옹벽이 붕괴되면서 매몰되어 사망한 재해로 추정됨.</t>
  </si>
  <si>
    <t>2021년 6월경 OOO도 OO시 OO구 소재 (주)OOOO 「OOOO 상수도공사」 현장에서 협력업체 OOOO 소속 재해자와 동료작업자 1명이 #7번 작업구를 통해 기존 노후 상수도관(￠500mm) 내부로 들어가서 세관갱생작업 중 갑작스러운 집중호우로 인해 관로 안으로 물이 차오르자 뒤늦게 나오던 재해자가 빠져나오지 못하고 사망한 재해임._x000D_</t>
  </si>
  <si>
    <t>작업구를 통해 기존 노후 상수도관 내부로 들어가서 세관갱생작업 중 갑작스러운 집중호우로 인해 관로 안으로 물이 차오르자 뒤늦게 나오던 재해자가 빠져나오지 못하고 익사</t>
  </si>
  <si>
    <t>▶ 관로 내부에서 작업을 하는 경우 해당 작업장의 지형ㆍ지반, 기상작용에 의한 위험성 등을 사전에 조사하고 그 결과를 고려하여 근로자에게 주지시킬 것 
▶ 사업주는 산업재해가 발생할 급박한 위험이 있을 경우 즉시 작업 중지 후 근로자를 대피시키는 등 필요한 조치 준수
▶ 대피용 기구(사다리, 섬유로프, 구조용 삼각대 등) 비치 내부 작업자와 연락을 할 수 있는 무전기 등 통신장비 지급</t>
  </si>
  <si>
    <t>2021년 8월경 OOO도 OO시 소재 OOOO 신축공사 현장에서 ㈜OOOO에서 시공하는 우수관로 설치작업 중 맨홀과 흄관 연결부 외경이 상이하여 콘크리트 파쇄작업 준비를 위해 우수관로 설치작업을 잠시 대기 사이, 굴착기 운전기사가 다음 우수관 설치를 위해 굴착기를 이용하여 미리 지반을 정리하던 중 인접해 있는 근로자를 확인하지 못하고 굴착기 버킷과 충돌하여 사망한 재해임</t>
  </si>
  <si>
    <t>2021년 9월경 OOO도 OO시 OO동 소재 상수도관 신설공사 현장에서 상수도관 매설을 위해 폭 0.7m, 깊이 0.8m로 굴착된 관로에 재해자 2명이 내려가 바닥 평탄화 작업 및 상수도관 매설 작업 중 굴착구간에 인접한 조경석이 굴착된 관로로 무너지며 1명은 사망하고 1명은 부상을 입음.</t>
  </si>
  <si>
    <t>2021년 9월경, OOO시 OO구 OO동 소재 신축공사 현장에서 OOOO 긴급누수복구공사 연간단가 계약업체인 OOOOO(주) 소속근로자 재해자 OOO이 현장내부 물웅덩이에 빠져 익사한 재해임.</t>
  </si>
  <si>
    <t>상수도 긴급누수복구공사 현장에서 현장내부 물웅덩이에 빠져 익사</t>
  </si>
  <si>
    <t>2021년 11월경 OOOO도 OO시 OO읍 소재 OOOO신축공사 현장에서 토공사 협력업체인 ㈜OOOO에서 우수관 매설작업을 위해 흙막이지보공 없이 굴착기를 이용하여 3.5m 깊이(경사≒1:0.18)로 터파기를 진행하던 중, 재해자가 우수관(흄관) 연결부에 토사를 제거하기 위하여 굴착면으로 내려가 작업하려는 순간 굴착 사면 토사가 붕괴ㆍ매몰되어 사망한 재해임. _x000D_</t>
  </si>
  <si>
    <t>2021년 11월경, OOO도 OO시 OO읍 소재 「㈜OOOO/OO상수도 시설공사」 현장에서, OO O-O호 구간의 상수도관 매설작업 상황을 사진촬영 중이던 근로자 OOO이 상수도관 매설 후 되메우기 작업을 진행하며 후진 중이던 굴착기(0.6㎡)의 우측 뒷바퀴와 충돌하여 병원으로 이송되었으나 재해발생 당일 사망한 재해임.</t>
  </si>
  <si>
    <t>11.5 특수댐 작업</t>
  </si>
  <si>
    <t>11.5.1 양수발전용 댐</t>
  </si>
  <si>
    <t>2018년 6월경 OO소류지에서 재해자가 잠수상태(수심 9~10m)로 수문밸브 확인 작업 중 왼쪽다리가 배수구(직경 약 40㎝)에 빨려 들어가익사</t>
  </si>
  <si>
    <t>잠수상태로 배수구 수문 및 권양기 상태 확인 및 보수작업 중 왼쪽다리가 배수구에 빨려 들어가 고립됨</t>
  </si>
  <si>
    <t>▶ 스쿠버 잠수작업 시 비상기체통, 수중시계, 수중압력계 등 구비 등 안전조치 철저
▶ 배수구 입구에 접근 시 철망 또는 그물망 등을 설치하여 방호 조치</t>
  </si>
  <si>
    <t>12. 공통공사</t>
  </si>
  <si>
    <t>12.1 철거, 해체</t>
  </si>
  <si>
    <t>12.1.1 철거 및 해체</t>
  </si>
  <si>
    <t>마감재</t>
  </si>
  <si>
    <t>천장(판넬 등 마감재)</t>
  </si>
  <si>
    <t>2015년 11월</t>
  </si>
  <si>
    <t>2015년 11월경 OO공장 크린룸 해체·설치공사현장에서 재해자가 크린룸 천장(샌드위치 판넬) 위에 올라가서 에어 덕트 및 환기장치를 해체하던 중 천장이 떨어지면서 2.8m아래 크린룸 바닥으로 추락하여 사망</t>
  </si>
  <si>
    <t>천장 위에 올라가서 덕트 및 환기장치를 해체하던 중 천장이 떨어지면서 바닥으로 추락</t>
  </si>
  <si>
    <t>▶ 해체방법 및 해체 순서도면 등이 포함된 작업계획서 작성</t>
  </si>
  <si>
    <t>지붕(처마,홈통)</t>
  </si>
  <si>
    <t>2016년 1월경 OO건설(주) OO철거공사 현장에서 재해자가 정미소 지붕(슬레이트+칼라강판)해체 작업을 하던중 미끄러지면서 슬레이트가 파손되어 높이 약 7.2m 아래 지상 바닥으로 추락하여 사망</t>
  </si>
  <si>
    <t>지붕 철거작업 중 해체 및 해체된 자재 운반 작업하다 밟고 있던 지붕 패널의 손상, 탈락으로 바닥으로 추락</t>
  </si>
  <si>
    <t>▶ 충분한 강도와 규격으로 제작된 지붕사다리 설치
▶ 안전대 부착설비,  추락방지망 등의 안전방호조치 실시
▶ 고소작업대, 이동식 비계 등을 사용하는 등 작업 방법 적정성 검토</t>
  </si>
  <si>
    <t>철골(철골구조물)</t>
  </si>
  <si>
    <t>2016년 1월경 OO기계설비 철거공사 현장에서 재해자가 천정크레인 주행빔(H-700×300×13×24)에 설치된 고정용 볼트를 해체하고, 승하강설비가 설치된 장소로 이동하던 중 몸의 중심을 잃고 지상 콘크리트바닥(H≒8.94m)으로 추락하여 사망</t>
  </si>
  <si>
    <t>철골빔 상부에서 안전대를 미착용하던 재해자가 이동하던 중 몸의 중심을 잃고 바닥으로 추락</t>
  </si>
  <si>
    <t>▶ 안전대 부착설비,  추락방지망 등의 안전방호조치 실시
▶ 근로자 개인보호구, 안전대 체결여부 점검 및 관리감독</t>
  </si>
  <si>
    <t>2016년 2월경 OO주택 해체작업 시 전주에 남겨 놓은 전기 인입전선을 해체하려고 재해자가 전주의 스텝볼트를 밟고 올라가던 중, 아스팔트 바닥으로 추락하여(H≒6m) 사망</t>
  </si>
  <si>
    <t>전주에 남아있는 전기 인입전선을 해체하기 위해 전주의 스텝볼트를 밟고 올라가던 중 바닥으로 추락</t>
  </si>
  <si>
    <t>▶ 고소작업대차 사용 등 적절한 작업방법 검토
▶ 근로자 개인보호구, 안전대 체결여부 점검 및 관리감독</t>
  </si>
  <si>
    <t>2016년 3월경 OO인테리어 공사 현장에서 조적벽체 철거작업 중 조적벽체가 재해자 측으로 전도되면서 머리를 부딪혀 사망</t>
  </si>
  <si>
    <t>벽체철거 작업 중 조적벽체가 전도되어 깔림</t>
  </si>
  <si>
    <t>▶ 부재와 기 고정된 구조물(벽체 등)을 사전에 파악
▶ 작업반경 내에 작업자의 출입을 금지
▶ 순차적으로 상부에서 하부로 파쇄하며 작업을 실시</t>
  </si>
  <si>
    <t>2016년 3월경 OO공장동 증축을 위해 재해자가 천장에 설치된 각종 전기설비의 해체작업을 수행하던 중 높이 4.4m 건축구조물에서 츠락하여 사망</t>
  </si>
  <si>
    <t>전기설비 및 계단 등 해체작업을 하던 중 몸의 중심을 잃고 추락</t>
  </si>
  <si>
    <t>▶ 개구부 등 추락단부 안전난간대 설치 등 추락방호조치 실시
▶ 근로자의 개인보호구, 안전대 체결여부 점검 및 관리감독</t>
  </si>
  <si>
    <t>2016년 3월경 OO 신축공사 현장에서 굴삭기(백호)를 이용해 기존건물 철거작업 중 굴삭기 옆에서 살수작업을 하던 재해자가 회전하는 굴삭기와 담장 사이에 끼여 사망</t>
  </si>
  <si>
    <t>철거 작업하던 중 회전하는 굴착기와 담장, 덤프트럭 사이 협착</t>
  </si>
  <si>
    <t>▶ 유도자 배치, 근로자 접근 통제를 통한 굴삭기 접촉방지조치 준수
▶ 장비 몸체의 회전반경에 따른 인접 구조물 및 차량과의 적정 거리를 유지하도록 장비를 위치한 후 작업 진행</t>
  </si>
  <si>
    <t>2016년 4월경 OO철거현장에서 재해자가 해체작업으로 지상3층 부분 철골빔(폭20cm)상부를 이동하던 중 몸의 중심을 잃고 약 8m아래 지상 바닥으로 추락하여 사망</t>
  </si>
  <si>
    <t>2016년 5월경 OO 리모델링 공사현장에서 OO 소속 재해자가 지상2층 내 기존 내부 마감재 철거작업을 하기 위하여 소형굴삭기에 탑승하여 지상3층에서 계단실을 내려가던 중 굴삭기가 경사방향으로 전도되어 재해자가 깔려 사망</t>
  </si>
  <si>
    <t>내부 마감재 철거작업을 위해 소형굴착기에 탑승하여 계단을 내려가던 중 굴착기 전도되어 깔림</t>
  </si>
  <si>
    <t>▶ 차량계 건설기계 작업계획서 작성</t>
  </si>
  <si>
    <t>2016년 5월경 OO리모델링공사 현장에서 재해자가 지상 3층 기존 병실의 조적벽체(시멘트 벽돌, 가로×세로=1.2m×1.4m)를 해체하기 위해 3층 바닥에서 약 1.0m 높이로 벽체 하부를 한꺼번에 핸드브레이커로 파쇄하던 중 조적벽체가 균형을 잃고 앞쪽으로 넘어지면서 재해자를 강타하여 사망</t>
  </si>
  <si>
    <t>2016년 5월경 OO리모델링 공사 현장에서 창고동 지붕의 판넬(7.7m×1m, 무게≒80kg) 9개를 해체하고 고소작업대를 사용하여 지상으로 내리는 작업을 하기위해 지붕위에서 재해자가 동료 1명과 함께 분리된 판넬을 인력으로 들고 옮기던 중 발이 미끌어져 판넬 하부의 슬레이트를 밟자 슬레이트가 파단되면서 재해자가 지붕위에서 창고동 바닥으로 추락하여(높이 약 9.1m) 사망</t>
  </si>
  <si>
    <t>지붕(채광판,선라이트)</t>
  </si>
  <si>
    <t>2016년 5월경 OO보수공사 현장에서 재해자가 지붕 선라이트 등의 해체작업 중 지상으로 추락하여(H≒7.4m) 사망</t>
  </si>
  <si>
    <t>지붕철거 작업 중 밟고있던 노후화된 선라이트가 파단되면서 바닥으로 추락</t>
  </si>
  <si>
    <t>▶ 노후화되거나 강도가 약한 자재로 덮힌 지붕 위에서 지붕재의 해체 또는 설치 작업을 할 경우, 알루미늄 또는 철재 등 충분한 강도와 규격으로 제작된 지붕사다리 설치, 추락방호망 설치, 안전대 부착설비 설치 등의 안전방호조치 실시
▶ 지붕 위에서 지붕재의 해체 또는 설치 작업 시, 날씨 또는 지붕재의 노후화 등의 이유로 표면의 마찰력이 없어 미끄러질 위험이 있을 경우, 논슬립 안전화를 착용하도록 조치
▶ 지붕재의 해체 또는 설치 작업 시, 고소작업대, 타워형 계단 등을 사용하여 지붕 위에서의 작업을 최소화할 수 있는 작업 방법을 검토</t>
  </si>
  <si>
    <t>2016년 6월경 OO해체공사 현장에서 재해자가 1층 지붕 위에 올라가 지붕판넬 해체작업 중 몸의 중심을 잃고 3.5m 아래 바닥으로 추락하여 사망</t>
  </si>
  <si>
    <t>지붕철거 작업 중 넘어 이동을 하다 중심을 잃고 바닥으로 추락</t>
  </si>
  <si>
    <t>2016년 7월경 OO리모델링 공사 현장에서 재해자가 지상1층에서 후속 작업을 위해 미니 굴삭기(0.17㎥)의 브레이커를 버켓으로 교체하려고 브레이커를 해체 후 지상 1층 출입구 쪽으로 이동 중 건물이 무너져 내려 매몰되어 사망</t>
  </si>
  <si>
    <t>해체작업을 하던 중 충격 또는 폐기물 하중 등으로 슬라브가 붕괴되어 작업자 추락 및 깔림</t>
  </si>
  <si>
    <t>▶ 구조검토를 실시한 후, 그에 맞는 해체방법 및 순서 등 작업계획을 수립
▶ 작업층 하부에 잭서포트 보강 실시하며 구조상 충분한 잭서포트 개수를 설치 적정 개소에 설치
▶ 균열, 콘크리트 강도, 철근 배근상태, 노후정도 등과 같은 해당 건물의 안정성 검토 후 해체계획 수립</t>
  </si>
  <si>
    <t>2016년 8월경 OO철거 작업장에서 재해자가 해체된 샌드위치 패널을 폐기물 처리를 위하여 정리하던 중 조적벽(높이 3.5m, 폭 18m)이 붕괴되며 재해자를 덮쳐 사망</t>
  </si>
  <si>
    <t>2016년 8월경 OO철거현장 지상에서 지하 1층 슬래브 철거작업 비산먼지를 방지하기 위한 살수작업 중이던 재해자가 지하층 철거작업 충격으로 인하여 슬라이딩되는 콘크리트 파쇄물(약 1.5㎥)과 함께 지하 3층으로 추락하여(H≒9.0m) 사망</t>
  </si>
  <si>
    <t>2016년 8월경 OO리모델링공사 현장에서 재해자가 건물 3층 내부벽체 일부를 해체하기 위해 해머로 타격하여 작업하던 중 지붕슬래브가 무너지며 매몰되어 사망</t>
  </si>
  <si>
    <t>2016년 9월경 OO철거공사 현장에서 재해자가 지붕층 철골 보 상부에 설치된 목재트러스 철거작업 중 몸의 중심을 잃고 지상 1층 바닥으로 추락하여(높이 11.4m) 사망</t>
  </si>
  <si>
    <t>지붕층 철골 보 상부에 설치된 목재트러스 철거 작업 중 몸의 중심을 잃고 바닥으로 추락</t>
  </si>
  <si>
    <t>2016년 9월경 OO철거공사 현장에서 OO 소속 재해자가 건물 옥상 슬래브에서 살수작업을 마치고 굴삭기(버켓용량:0.6㎥) 버켓을 타고 지상 바닥으로 내려오던 중 몸의 균형을 잃고 높이 3.5m 아래 콘크리트 바닥으로 추락하여 사망</t>
  </si>
  <si>
    <t>철거현장에서 굴착기 버킷에 탑승하여 내려오던 중 균형을 잃고 아래로 추락</t>
  </si>
  <si>
    <t>▶ 차량계 건설기계의 주용도 외 사용제한
▶ 퀵커플러에 있는 장착물 이탈방지 핀 체결유무 확인</t>
  </si>
  <si>
    <t>2016년 10월경 OO철거공사 현장에서 테레프탈산(TPA) 저장용 사일로 해체를 위해 사일로 지붕과 본체 측면부의 맨홀 덮개 용단작업중 사일로 내부에서 폭발이 발생하여 사일로 지붕 상부에 있던 재해자가 사망</t>
  </si>
  <si>
    <t>TPA(테레프탈산) 저장용 사일로 해체 및 용단작업 중 사일로 내부 폭발</t>
  </si>
  <si>
    <t>▶ 화재 및 폭발에 대한 위험작업 계획 수립 후 작업실시
▶ 내부의 가연성 분진을 제거한 후 용단작업실시</t>
  </si>
  <si>
    <t>기계설비</t>
  </si>
  <si>
    <t>2016년 10월경 OO공장철거공사 현장에서 재해자가 로터리킬른(회전소성로)을 회전시키던 중, 원동기에서 감속기로 동력을 전달하는 부분인 베어링과 드럼이 파열되면서 비래되어 재해자가 맞아 사망</t>
  </si>
  <si>
    <t>기계설비 작동 중 동력부가 파단되면서 기계설비 점검하던 재해자 맞음</t>
  </si>
  <si>
    <t>▶ 회전축 등이 파열되어 날아오는 등 위험상황에 대비하여 해당 부위에 덮개 등의 안전조치 실시</t>
  </si>
  <si>
    <t>2016년 10월경 OO건설공사 현장에서 재해자가 철거되는 원유배관을 매립하기 위하여 배관청소 작업을 준비 하던 중 인화성 증기에 의한 폭발로 사망함</t>
  </si>
  <si>
    <t>원유배관을 매립하기 위해 배관청소 작업을 준비하던 중 마찰로 인화성 증기에 의한 폭발</t>
  </si>
  <si>
    <t>▶ 화재 및 폭발에 대한 위험작업 계획 수립 후 작업실시
▶ 마찰이나 충격에 의한 불꽃 발생의 우려가 있는 공구 등의 사용금지</t>
  </si>
  <si>
    <t>2016년 10월경 OO에서 시공하는 OO철거 공사 현장에서 굴삭기를 이용해 기존건물 철거작업 중 굴삭기 옆에서 살수작업을 하는 재해자가 회전하는 굴삭기 몸체 후미와 담장에 부딪혀 사망</t>
  </si>
  <si>
    <t>철거현장 내 굴착기 옆에서 살수작업을 하던 중 회전하는 굴착기 몸체와 충돌 후 담장에 2차 충돌</t>
  </si>
  <si>
    <t>▶ 작업구획 표시, 신호수 배치, 접근금지 조치 등과 같은 안전조치 실시 후 작업 수행
▶ 장비 몸체의 회전반경에 따른 인접 구조물과의 적정 거리를 유지하도록 장비를 위치한 후 작업 진행</t>
  </si>
  <si>
    <t>2016년 10월경 OO설치공사 현장에서 해체되어 운반차에 안착되어 있던 노후 모터(중량 약 4.5ton 추정)가 전도되면서 재해자와 부딪혀 사망</t>
  </si>
  <si>
    <t>해체작업을 하던 중 방음벽 및 배관 등 해체물이 재해자쪽으로 전도되어 맞음, 깔림</t>
  </si>
  <si>
    <t>▶ 해체물, 자재 등 현장 내 존치할 경우 전도방지조치 실시
▶ 건축물의 해체 작업시 작업반경 내 작업자의 출입 금지조치</t>
  </si>
  <si>
    <t>2016년 10월경 OO공사 현장에서 재해자가 레이더 돔 해체작업을 위한 신호를 하던 중 차량탑재형 이동식크레인(카고 크레인)으로 탈거하던 레이더 돔 부재가 재해자를 충격하여, 재해자가 기상대 건물 옥상에서 지상 바닥(H=10.4m)으로 추락하여 사망</t>
  </si>
  <si>
    <t>해체작업을 하던 중 파이프, 조적벽체 등 해체물이 낙하하면서 근로자 맞음</t>
  </si>
  <si>
    <t>▶ 해체 순서 및 지지방법 등의 작업계획 수립 후 관련한 안전교육 실시
▶ 해체작업 작업구획 표시, 신호수 배치, 접근금지 조치 등과 같은 안전조치 실시</t>
  </si>
  <si>
    <t>2016년 11월경 OO철거 현장에서 지상 2층 바닥에 철거 폐기물을 반출하고자 만든 개구부를 넓히기 위해 재해자가 엔진커터기를 사용하여 바닥 슬라브의 절단을 완료하고, 몸을 일으키던 중 중심을 잃어 지상 1층 바닥으로 떨어졌으며(H=3.5m), 동시에 절단된 슬라브(w≒1.75ton)가 떨어져 재해자가 깔려 사망</t>
  </si>
  <si>
    <t>철거공사 중 슬라브 단부에서 합판, 목재 등 자재를 지상으로 내리던 중 실족하여 바닥으로 추락</t>
  </si>
  <si>
    <t>▶ 슬라브 등 추락단부 안전난간대 설치 등 추락방호조치 실시
▶ 근로자의 개인보호구, 안전대 체결여부 점검 및 관리감독</t>
  </si>
  <si>
    <t>2016년 12월경 OO증축공사 현장 지상4층(옥상)에서 철거공인 재해자가  폐기물 반출작업 중 몸의 중심을 잃고 슬래브 단부 약 10.7m아래 엘리베이터 피트 바닥에 추락하여 사망</t>
  </si>
  <si>
    <t>엘레베이터 옥상 슬라브 단부에서 윈치를 이용하여 폐기물을 반출하기 위해 안전난간대 하부 개구부로 몸을 내밀어 윈치 인양고리 잡으려던 중 몸의 중심을 잃고 엘리베이터 피드 바닥으로 추락</t>
  </si>
  <si>
    <t>▶ 개구부 등 추락단부 안전난간대 설치 등 추락방호조치 실시
▶ 불가피한 사유로 안전난간대 해체해야하는 경우 안전대부착설비 설치 및 안전대 체결 후 작업</t>
  </si>
  <si>
    <t>2017년 1월경 OO건설(주) OO철거공사 현장에서 압쇄기가 부착된 굴삭기(0.8m3,21.0ton) 로 지상 1층 바닥슬래브에서 계단실 벽체를 철거하던 중 지상 1층 바닥슬래브가 굴삭기 및 철거 잔재물 등의 고정하중 및 작업하중을 견디지 못하고 지하 2층 바닥까지 붕괴되어 지상 1층에서 살수작업 중이던 재해자가 매몰되어 사망</t>
  </si>
  <si>
    <t>화재</t>
  </si>
  <si>
    <t>2017년 2월경 OO(주)에서 시공하는 OO공사 현장에서 운영 종료된 매장 내 남아있던 인테리어시설을 철거하는 작업 중 용단작업으로 인한 불티가 가연성 자재에 옮겨 붙으면서 화재가 발생하여 재해자가 사망</t>
  </si>
  <si>
    <t>인테리어시설을 철거하는 작업 중 용단작업으로 인한 불티가 인근에 있던 가연성 자재에 옮겨 붙으면서 화재</t>
  </si>
  <si>
    <t>▶ 소화기 배치, 불티방지커버 설치, 가연성 물질의 정리 및 제거 등과 같은 화재예방조치 실시
▶ 소화설비를 비치 및 소화설비의 작동유무 수시로 점검</t>
  </si>
  <si>
    <t>2017년 2월경 OO철거현장에서 지게차와 합성섬유로프를 이용하여 천장크레인 점검통로에 있는 전력케이블을 공장바닥으로 내리는 작업 중 재해자가 반발력에 의해 출렁이던 전력케이블 단부에 머리하부를 맞아 사망</t>
  </si>
  <si>
    <t>철거공사 현장에서 이동하다가 상부에서 떨어지는 철거잔해물에 맞음</t>
  </si>
  <si>
    <t>▶ 근로자 이동통로 내 장애물 제거 등 현장정리정돈 철저
▶ 근로자의 개인보호구, 안전대 체결여부 점검 및 관리감독</t>
  </si>
  <si>
    <t>2017년 2월경 OO(주)가 시공하는 OO신축공사 현장에서 철근콘크리트공사 협력업체인 (주)OO건설 소속 재해자가 방음벽 Post(지지대) 해체작업을 하다가 중심을 잃은 방음벽 Post가 재해자 쪽으로 넘어지면서 재해자를 타격하여 사망</t>
  </si>
  <si>
    <t>외부마감재</t>
  </si>
  <si>
    <t>2017년 3월경 OO철거공사 현장에서 재해자가 동료작업자 4명과 함께 공장동 지붕 패널을 철거 하는 도중 패널이 아래 방향으로 꺾이면서 약 9.4m 아래 지상 1층 콘크리트 바닥으로 추락하여 사망한 재해임.</t>
  </si>
  <si>
    <t>2017년 5월경 OO철거공사 현장에서 재해자가 주택 2층 거실 창호틀을 떼어내던 중 창호틀과 맞닿아 있던 조적벽(콘크리트블록, 너비 0.4m*높이 2.3m)이 재해자 쪽으로 넘어지면서 깔려 사망</t>
  </si>
  <si>
    <t>2017년 5월경 OO리모델링 공사현장에서 재해자가 지하 1층 안방 내부 샤워실 벽체(폭2.2m × 높이2.5m × 두께 0.12m)를 핸드 브레이커를 사용하여 해체하던 중 벽체(벽돌조적)의 일부가 넘어지면서 재해자를 덮쳐 벽체에 협착되어 사망</t>
  </si>
  <si>
    <t>2017년 5월경 OO보수공사 현장에서 재해자가 지상 1층 출입구 상부에 설치된 캐노피 콘크리트 슬라브 위에서 슬라브 해체 작업 중 콘크리트 슬라브(무게 1.5톤, 폭2.0m × 길이1.45m × 두께 0.23m)가 무너져 내리면서 무너진 슬라브에 함께 추락하여 사망</t>
  </si>
  <si>
    <t>2017년 6월경 아파트 건설현장에서 기존 아파트 철거작업을 위해 재해자 2명이 고소작업대(차량탑재형)에 탑승하여 아파트 주위에 가림막 설치를 위한 비계를 설치하던 중, 고소작업대 붐이 꺾이면서 추락(H≒27m) 사망</t>
  </si>
  <si>
    <t>고소작업대에 탑승하여 아파트 주위에 비계를 설치하던 중 고소작업대 붐이 꺾이면서 바닥으로 추락</t>
  </si>
  <si>
    <t>▶ 고소작업대 사용 시, 허용 작업반경을 초과하여 붐대 인출 금지
▶ 고소작업대 사용 시, 과부하 방지장치의 작동유무 점검</t>
  </si>
  <si>
    <t>2017년 6월경 ㈜OO이 시공하는 건축물 철거공사 현장에서 높이 약 3m 위치에 있던 철골빔(H형강) 철거를 위해 재해자 2명이 굴삭기 암에 장착된 크러셔 상부에서 작업 중 크러셔와 같이 약 3m 아래 바닥으로 추락하여 3개월 이상의 요양이 필요한 부상</t>
  </si>
  <si>
    <t>2017년 7월경 OO해체공사 현장에서 철거공인 재해자가 창고 지붕 슬레이트 해체 후 하부 단열재로 사용한 스티로폼을 제거하기위해 지붕 단부 창고벽체와 물받이 위치에서 앉은 상태로 스티로폼을 당기는 작업 중몸의 중심을 잃고 높이 약 6m 아래 창고 콘크리트 바닥으로 추락하여 사망</t>
  </si>
  <si>
    <t>창고 하부 단열재로 사용한 스티로폼을 제거하기 위해 지붕 단부 창고벽체와 물받이 위치에서 앉은 상태로 스티로폼을 당기는 작업 중 몸의 중심을 잃고 바닥으로 추락</t>
  </si>
  <si>
    <t>▶ 안전대 부착설비,  추락방지망 등의 안전방호조치 실시
▶ 근로자 개인보호구, 안전대 체결여부 점검 및 관리감독
▶ 고소작업대, 이동식 비계 등을 사용하는 등 작업 방법 적정성 검토</t>
  </si>
  <si>
    <t>2017년 10월경 OO석면해체 공사 현장에서 재해자가 지붕 석면 슬레이트 해체 작업을 하던 중 밟고있던 지붕 슬레이트가 부서지면서 약 5.6m 높이에서 공장동 바닥으로 추락하여 사망</t>
  </si>
  <si>
    <t>2017년 11월경 OO건설(주) OO신축공사 현장에서 기도원 내부 2층 조적벽체 철거작업 중 전도되는 조적식벽체에 재해자가 깔려 사망</t>
  </si>
  <si>
    <t>2017년 11월경 모델하우스 해체공사 현장에서 이동식 크레인으로 선회·운반 중 미끄러진 철골부재(9.7m, 700kg)가 하부에서 절단작업을 하던 재해자의 상반신(등에서부터 머리)을 강타하여 사망</t>
  </si>
  <si>
    <t>이동식크레인을 이용해 강관파이프 다발을 하역작업 중, 크레인의 보조원치 와이어로프가 파단되어 강관파이프가 근로자에게 낙하</t>
  </si>
  <si>
    <t>▶ 작업 시작 전 안전장치(와이어로프 등) 설치 및 작동상태 확인 철저 
▶ 권과방지장치가 정상 작동될 수 있도록 작업 전 설치 및 조정
▶ 주기적인 이동식 크레인 안전검사 철저
▶ 하역작업을 하는 경우 근로자의 출입을 통제하여 인양중인 화물이 작업자의 머리 위로 통과하지 않도록 조치</t>
  </si>
  <si>
    <t>2017년 11월경 OO철거공사 현장에서 재해자가 노후창고의 지붕재 해체작업 중 지붕마감재인 밤라이트가 파손되면서 높이 약4m 아래 창고 콘크리트 바닥으로 추락하여 사망</t>
  </si>
  <si>
    <t>2017년 11월경 OO철거공사 현장에서 재해자가 2층 슬라브 단부에서 바닥용 합판을 지상으로 내리던중 실족하여 6m아래 바닥으로 추락하여 사망</t>
  </si>
  <si>
    <t>2018년 1월경 OO철거공사 현장에서 재해자가 덕트에 배선된 전선의 상태를 확인하기 위해 덕트 철거 작업장소을 지나가다가 떨어지는(h=3.5m) 덕트와 바닥 슬래브에 협착되어 사망</t>
  </si>
  <si>
    <t>배관, 덕트 등 해체작업 중 배관이 바닥으로 떨어지며 근로자 맞음</t>
  </si>
  <si>
    <t>▶ 해체작업시 주변 근로자 통제</t>
  </si>
  <si>
    <t>2018년 1월경 OO도로개설공사 현장에서 재해자가 철거 작업을 위해 외부 분진망과 구조물간 연결된 벽이음 강관파이프(L=4m)를 해체하던 중 벽이음 강관파이프와 약 2m 인근 철도 급전선(부산방향, 25kV)에 접촉하면서 감전하여 약 8m 아래 바닥으로 추락하여 사망</t>
  </si>
  <si>
    <t>외부 분진망과 구조물간 연결된 벽이음 강관파이프를 해체하던 중 인근철도 급전선에 접촉되며 감전하여 바닥으로 추락</t>
  </si>
  <si>
    <t>▶ 감전위험경보를 위한 감시인 배치
▶ 감전방지를 위해 적정 이격거리(3m) 준수</t>
  </si>
  <si>
    <t>2018년 2월경</t>
  </si>
  <si>
    <t>2018년 2월경 ㈜OO에서 시공하는 OO철거공사 현장에서 재해자가 모델하우스 2층 천장 소방용 스프링클러 해체작업을 위해 천장 마감재(합판, t=6mm) 위에서 해체된 자재 운반 및 이동 중 밟고 지나던 천장 마감재가 재해자의 하중을 견디지 못하고 파손되면서 2층 바닥으로 추락하여(H≒4m) 사망</t>
  </si>
  <si>
    <t>2018년 2월경 OO대수선 공사 현장에서 재해자가 창고 건물의 경사지붕에서 지붕 판넬 해체 작업 중 돌출된 볼트에 발이 걸리거나 표면이 미끄러운 지붕에서 미끄러지며 지상 시멘트 바닥으로 추락하여(약 3m) 사망</t>
  </si>
  <si>
    <t>지붕판넬 해체 작업 중 돌출된 볼트에 발이 걸리거나 표면이 미끄러운 지붕에서 미끄러지면서 바닥으로 추락</t>
  </si>
  <si>
    <t>▶ 경사지붕 해체작업에 대한 사전조사 및 작업계획 수립</t>
  </si>
  <si>
    <t>사다리</t>
  </si>
  <si>
    <t>2018년 3월경 OO인테리어공사 현장에서 재해자가 식당 외부벽체를 해체하려고 사다리(LS형)에 올라가 샌드위치 판넬을 절단하던 중 몸의 중심을 잃고 바닥으로 추락하여(H=1.5m) 사망</t>
  </si>
  <si>
    <t>외부벽체를 해체하려고 사다리에 올라가 샌드위치 판넬을 절단하던 중 몸의 중심을 잃고 바닥으로 추락</t>
  </si>
  <si>
    <t>▶ 작업높이에 적합한 안전한 작업발판(비계, 고소작업대 등)을 설치하고 안전대를 체결한 후 안전하게 작업
▶ 추락할 위험이 있는 장소에서 작업하는 경우 안전모, 안전대 등 개인보호구 착용여부 관리감독 철저
▶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t>
  </si>
  <si>
    <t>2018년 3월경 OO개량공사 현장에서 재해자가 지붕 철거작업 중 밟고 있던 노후된 썬라이트가 파손되면서 약 3.5m 아래 축사 바닥으로 추락하여 사망</t>
  </si>
  <si>
    <t>2018년 3월경 OO교체공사 현장에서 재해자가 썬라이트 재질의 축사 지붕위에서 썬라이트 교체 작업 중 밟고 있던 노후된 썬라이트가 파손되며 바닥으로 추락하여(H≒4m) 사망</t>
  </si>
  <si>
    <t>2018년 3월경 OO철거공사 현장에서 구조물 철거 후 가림막으로 사용중이던 비계용 강관파이프를 철거하던 중 실족하여 약 3.1m 아래 바닥(인도)으로 추락하여 사망</t>
  </si>
  <si>
    <t>2018년 3월경 OO철거공사 현장의 건물 B동 내부에서 재해자가 산소-LPG로 철골기둥을 용단한 후 건물 외부로 이동 중 붕괴되는 철골 구조물에 깔려 사망</t>
  </si>
  <si>
    <t>철거공사 현장에서 산소-LPG로 철골기둥을 용단한 후 건물 외부로 이동 중 붕괴되는 철골 구조물에 깔림</t>
  </si>
  <si>
    <t>▶ 구조물의 형상, 중량 등을 고려하여 해체의 방법 및 순서 등이 포함된 작업계획서 작성</t>
  </si>
  <si>
    <t>2018년 3월경 재해자가 OO철거공사 현장에서 3층 철거작업이 얼마나 진행되었나 작업상황을 확인하고 계단을 통해 내려오던 중 철거 잔해물인 조적 블럭에 맞아 사망</t>
  </si>
  <si>
    <t>2018년 4월경 건물 구조물 상부 벽체 일부(블럭벽)가 낙하하여 하부에서 정리 작업 중이던 재해자가 무너지는 가건물에 깔려 사망</t>
  </si>
  <si>
    <t>2018년 4월경 OO(주)에서 시공중인 OO철거공사 현장에서 재해자가 빔 절단기를 장착한 굴삭기를 이용하여 철골조 건축물을 철거하는 작업에서 분진발생을 억제하기 위하여 살수기를 이용하여 살수작업을 하던 중 건물외벽에 설치된 빗물배관(L≒17.8m)이 쓰러지며 재해자의 머리에 맞아 사망</t>
  </si>
  <si>
    <t>2018년 5월경 OO리모델링 현장 2층에서 재해자가 주방조적벽체 해체를 위해 주방발코니쪽에서 그라인더를 이용 벽체를 상단에서 하단으로 절단 중 그라인더날이 상단 조적벽체에 끼여 힘을 주어 빼내던중 기계와 함께 발코니 난간(H=70cm) 아래로(H=6m) 추락하여 사망</t>
  </si>
  <si>
    <t>주방조적벽체 해체 작업 중 그라인더날이 조적벽체에 끼여 빼내던 중 기계와 함께 발코니 난간 아래로(70CM) 추락</t>
  </si>
  <si>
    <t>2018년 5월경 OO증축공사 현장에서 재해자가 기존 퇴비저장소 지붕에서 이동 중 지붕이 파손되면서 지상 1층 바닥으로 추락(H≒7.9m)하여 사망</t>
  </si>
  <si>
    <t>▶ 충분한 강도와 규격으로 제작된 지붕사다리 설치
▶ 안전대 부착설비,  추락방지망 등의 안전방호조치 실시</t>
  </si>
  <si>
    <t>2018년 6월경 OO외벽 현수막 철거 작업장에서 OO 소속 재해자가OO외벽에 설치된 현수막 철거 작업을 위해 고소작업대의 작업대에 탑승하여 철거준비 작업 중 고소작업대 붐 인출용 체인 고정볼트가 파단되며, 붐이 갑자기 인입되어(H≒5m) 작업대에 탑승했던 재해자가작업대에 신체를 부딪혀 사망</t>
  </si>
  <si>
    <t>배관작업 중 고소작업대 붐 인출용 체인 고정용 볼트 파단에 의한 붐이 갑자기 인입되어 작업대 탑승 근로자 추락</t>
  </si>
  <si>
    <t>▶ 작업 전 반복 하중에 의해 균열 등이 육안검사로 확인 즉시 작업 중단
▶ 안전대ㆍ안전모 지급, 착용 철저</t>
  </si>
  <si>
    <t>2018년 6월경 ㈜OO 공사현장에서 재해자가 조적벽체 해체작업 중 발생한 해체물을 해체작업장 인근에서 정리하던 중 천장과 접한 벽체 상부 조적벽체가 재해자 상체로 낙하하여 사망</t>
  </si>
  <si>
    <t>2018년 7월경 OO개선공사 현장에서 재해자가 학교 건물 4층 화장실 외부 캐노피 상부에서 핸드브레이커를 사용하여 조적벽돌 철거작업 중 몸의 중심을 잃고 지상 1층 바닥으로  추락하여(H≒8m) 사망</t>
  </si>
  <si>
    <t>건물 외부 캐노피 상부에서 핸드브레이커를 사용하여 조적벽돌 철거작업 중 몸의 중심을 잃고 바닥으로 추락</t>
  </si>
  <si>
    <t>2018년 7월경 OO철거공사 현장에서 재해자가 공장동 조적벽체 외부에서 휴식중 공장동 천장 철제 트러스와 연결 설치되어 있던 조적 벽체일부가 전도 되면서 조적 벽체에 깔려 사망</t>
  </si>
  <si>
    <t>2018년 8월경 OO철거공사 현장에서 재해자가 건물 옥상 바닥에 서서 상부 이동식크레인의 인양물(산소통 등 용단기구)을 신호하던 중 폐기물 투척구 겸 자재반입구(90cm x 120cm)에서 실족하여 지상 1층 바닥(H≒10m)으로 추락하여 사망</t>
  </si>
  <si>
    <t>건축물 철거현장 옥상에서 이동식 크레인의 인양물 신호를 하던 중 실족하여 자재반입구를 통해 바닥으로 추락</t>
  </si>
  <si>
    <t>2018년 8월경 OO용역 현장에서 재해자가 시장 실내상가 출입구의 대형 간판 철거 준비 작업 중 220V 활선 상태의 전선을 뺀찌로 절단하다 감전되어 사망</t>
  </si>
  <si>
    <t>대형 간판 철거 준비 작업 중 전선을 펜치로 절단하다 감전</t>
  </si>
  <si>
    <t>▶ 전기 작업 시 해당 전도 차단 후 작업 실시
▶ 충전전로를 취급하는 근로자에게 적합한 절연용 보호구 지급</t>
  </si>
  <si>
    <t>2018년 8월경 OO(주) OO현장에서 재해자가 승강기 설치를 위한 사전 해체작업 중 카운터웨이트와 케이스 사이에 두부가 끼어 사망</t>
  </si>
  <si>
    <t>승강기 설치를 위한 사전 해체작업 중 카운터웨이트와 케이스 사이 두부가 끼임</t>
  </si>
  <si>
    <t>▶ 낙하물에 의한 방호조치 실시
▶ 작업지휘자 배치</t>
  </si>
  <si>
    <t>2018년 8월경 OO공장 지붕 위에서 작업(이동) 중이던 재해자가 지붕 슬레이트 파손으로 공장내부 지상 1층 콘크리트 바닥으로 추락하여(H≒4.7) 사망</t>
  </si>
  <si>
    <t xml:space="preserve"> 2018년 8월</t>
  </si>
  <si>
    <t xml:space="preserve"> 2018년 8월경 OO현장에서 지붕판넬 해체작업을 하던 재해자가 이동 중 중심을 잃고 지상 1층 바닥으로 추락(H≒6.2m)하여 사망</t>
  </si>
  <si>
    <t>2018년 8월경 OO신축공사 현장에서 보통인부인 재해자가 기존구조물(2층 주택)의 철거폐기물을 덤프트럭에 상차하기 위해 집토중인 굴삭기 옆에서 폐기잔재물정리 작업을 하던 중 회전하는 굴삭기와 덤프트럭 사이에 끼여 사망</t>
  </si>
  <si>
    <t>2018년 8월경 OO철탑 철거현장에서 재해자가 철골 기둥 해체 작업 중 접합부의 마지막 볼트를 해체하는 순간 상·하부 주각이 순간 벌어졌고 그 사이로 U자걸이가 빠지면서 10m 아래 바닥으로 추락하여 사망</t>
  </si>
  <si>
    <t>통신철탑 철거현장에서 철탑 철거를 위한 접합부 볼트 해체작업에서 마지막 볼트 해체 순간 상·하부 주각이 벌어지면서 U자걸이 안전대가 벌어진 사이로 빠지면서 바닥으로 추락</t>
  </si>
  <si>
    <t>▶ 추락방호망, 안전대 부착설비 설치
▶ 철골해체 작업계획서 작성</t>
  </si>
  <si>
    <t>고정식크레인</t>
  </si>
  <si>
    <t>2018년 10월경 OO(주)에서 천장크레인 해체공사를 수행하던 OO 소속 재해자가 20m 높이에 설치된 통로에서 천장크레인 구조물(새들)을 내리기 위해 줄걸이 작업을 하던 중 새들과 함께 바닥으로 추락하여 사망</t>
  </si>
  <si>
    <t>천장크레인 해체를 위해 줄걸이 작업을 하던 중 천장크레인 구조물(새들)과 함께 바닥으로 추락</t>
  </si>
  <si>
    <t>▶ 중량을 견딜 수 있는 적정한 정격하중을 갖는 줄걸이 용구를 사용
▶ 훅 해지장치의 유무, 변형, 탈락을 점검</t>
  </si>
  <si>
    <t xml:space="preserve"> 2018년 12</t>
  </si>
  <si>
    <t xml:space="preserve"> 2018년 12월경 OO철거 현장에서 굴삭기(압쇄기 부착)를 사용하여 탱크(Overflow Tank) 상부에 설치된 플랫폼 등을 해제하던 중 파단된 소방 스프링쿨러 배관(3.5m)이 바닥으로 떨어진 후 인접 건물(공기압축기실) 내부로 튕겨 작업 중이던 재해자의 안전모에 맞아 사망</t>
  </si>
  <si>
    <t>2019년 2월경 OO신축공사 현장에서 기존 1층 건물 해체작업을 위해 재해자 2명이 지붕위에 올라가 경사지붕 샌드위치판넬 해체작업 중 판넬이 부러지면서 몸의 중심을 잃고 약 5m 아래 바닥으로 추락하여 3개월 이상의 요양이 필요한 부상</t>
  </si>
  <si>
    <t>2019년 2월경 OO철거공사 현장에서 OO 소속 재해자가 지붕 위에서 철거한 폼판넬을 받아 임시 적재하던 중 노후화된 선라이트(채광창)를 밟아 파단되면서 약 4.7m 아래 축사 콘크리트 바닥으로 추락하여사망</t>
  </si>
  <si>
    <t>2019년 3월경 OO해체공사 현장에서 철거작업을 하던 재해자가 지붕구조물을 철거하기 위해 콘크리트 옹벽위에 서서 지붕구조물을 크레인에 줄걸이한 상태에서 지붕받침기둥을 절단하여 해체하던 중 줄걸이한 지붕기둥의 용접부위가 떨어지며 지붕구조물이 재해자를 강타하여 몸의 균형을 잃고 콘크리트 바닥(H≒3.6m)으로 추락하여 사망</t>
  </si>
  <si>
    <t>지붕구조물 철거하기 위해 크레인을 이용하여 지붕받침기둥을 절단, 해체하던 중 줄걸이한 지붕기둥의 용접부위가 떨어지며 지붕구조물이 떨어져 재해자 강타, 이후 바닥으로 추락</t>
  </si>
  <si>
    <t>2019년 4월경 OO철거 및 벽체 도장 공사를 위해 재해자가 동료작업자 2명과 함께 샌드위치 판넬 철거 작업 중에 의식을 잃고 바닥에 쓰러져 사망</t>
  </si>
  <si>
    <t>지붕판넬 철거작업 중 경사면에 미끄러지면서 철거된 판넬 개구부를 통해 추락</t>
  </si>
  <si>
    <t>▶ 추락방호망, 안전대 부착설비 설치, 근로자의 안전대 체결 등 안전방호조치 실시
▶ 근로자의 개인보호구, 안전대 체결여부 점검 및 관리감독</t>
  </si>
  <si>
    <t>2019년 7월경 OO철거공사 현장에서 재해자가 해머드릴로 샤워실 칸막이벽(시멘트블록 벽체) 철거작업 중 넘어지는 벽체(넓이 : 3?, 높이 : 2?, 중량 : 약1,404kg)에 맞아 사망</t>
  </si>
  <si>
    <t>2019년 8월경 OO건설(주) OO철거공사 현장에서 재해자 2명이 자재창고 천장부 경량 철골 프레임을 해체하기 위해 고소작업대(시저형)에 탑승하여 상승 조작 중 철골 프레임과 고소작업대 최상부 안전난간대 사이에 재해자들의 손이 끼어 3개월 이상의 요양이 필요한 부상</t>
  </si>
  <si>
    <t>철골프레임 해체작업을 위해 고소작업대 상승 조작 중 철골프레임과 안전난간대 사이 재해자의 손이 끼임</t>
  </si>
  <si>
    <t xml:space="preserve">▶ 고소작업대 사용시 안전장치(과상승방지장치)의 설치
▶ 작업 중 프레임 등에 끼임, 협착되는 사고를 방지하기 위해 주의 철저 </t>
  </si>
  <si>
    <t xml:space="preserve">2019년 9월경 OO의 화재복구공사 현장에서 재해자가 건물 3층의 외부 창틀에 지지된 이삿짐운반용 리프트 운반구(1,520mm ×2,440mm) 또는 창틀 위에 서서 철거된 화재 폐기물을 이삿짐운반용 리프트 운반구에 적재하던 중 몸의 중심을 잃고 약 12m 아래 지상으로 추락하여 사망  </t>
  </si>
  <si>
    <t>이삿짐 운반용 리프트 운반구 및 창틀 위에서 폐기물을 적재하던 중 몸의 중심을 잃고 바닥으로 추락</t>
  </si>
  <si>
    <t>▶ 이삿짐운반용 리프트(사다리차)를 사용할 시, 운반구에 올라타는 행위 등 자재의 운반목적 이외의 행동 금지
▶ 창과 같은 개구부를 통해 자재를 운반할 시, 추락방지를 위한 안전대 부착설비, 안전난간대 등의 안전방호조치 실시</t>
  </si>
  <si>
    <t>2019년 9월경 OO건설이 시공중인 OO현장에서 재해자가 지상9층 보 상부에 서서 외부 철제계단 해체작업 중, 몸의 중심을 잃고 지상9층 바닥(H≒5.2m)으로 추락하여 사망</t>
  </si>
  <si>
    <t>2019년 10월경 OO철거공사 현장에서 재해자가 창고건물 지붕 위에서 지붕패널 해체 후 고소작업대에 싣기 위해 패널을 들어서 밀던 중 몸의 중심을 잃고 패널이 해체된 지붕 단부 개구부로 추락하여(H≒5.7m) 사망</t>
  </si>
  <si>
    <t>2019년 11월경 OO리모델링 공사 현장에서 재해자가 내부 조적벽체 해체작업 중 핸드브레이커로 중간부분을 컷팅하여 하부벽체를 먼저 철거하고 상부벽체를 철거하기 위해 망치로 두드리는 순간 상부에 남아있던 조적벽체가 떨어지며 깔려 사망</t>
  </si>
  <si>
    <t>2019년 11월경 OO공장 철거공사 현장에서 재해자가 바닥에 놓여진 겐트리크레인의 해체 및 반출을 위해 거더 상부의 핸드레일 절단작업을 하던 중 3m 아래로 추락하여 사망</t>
  </si>
  <si>
    <t>크레인으로 인양한 작업대에서 외장패널을 설치하던 중 작업대가 흔들려 몸의 균형을 잃고 바닥으로 추락</t>
  </si>
  <si>
    <t>▶ 고소작업 시 양중기를 이용한 불안정한 작업방법을 대체하여 고소작업대 등을  배치 후 작업 진행
▶ 고소작업 시 근로자에게 안전대를 지급하고 착용 관리감독</t>
  </si>
  <si>
    <t>2020년 1월경 OO시설사업 환기구 현장에서 재해자가 가설 계단(철골) 해체를 위하여 계단참에서 용단 작업을 하던 중 가설계단이 붕괴되어 함께 약 34m 아래로 추락하여 사망</t>
  </si>
  <si>
    <t>가설계단 해체를 위해 계단참에서 용접작업을 하던 중 가설계단이 붕괴되어 바닥으로 추락</t>
  </si>
  <si>
    <t>▶ 중량물 취급 작업계획서 작성하여 인양방법 등 작업방법 검토
▶ 근로자의 개인보호구, 안전대 체결여부 점검 및 관리감독</t>
  </si>
  <si>
    <t>2020년 2월경</t>
  </si>
  <si>
    <t>2020년 2월경 OO부분철거 현장에서 재해자 3명이 지붕 패널 상부의 배관 및 부속물을 철거하기 위해 패널을 밟고 작업하던 중, 패널이 무너지면서 콘크리트 바닥으로 추락(H≒3.7m)하여 3개월 이상의 요양이 필요한 부상</t>
  </si>
  <si>
    <t>2020년 2월경 OO철거공사 현장에서 재해자가 20층 가장자리에서 살수작업 중 외부비계와 빌딩 벽체 사이를 통해 약 67m 아래의 4층 바닥으로 추락하여 사망</t>
  </si>
  <si>
    <t>철거공사 현장 슬라브 단부에서 살수작업 중 외부비계와 벽체사이를 통해 바닥으로 추락</t>
  </si>
  <si>
    <t>▶ 슬라브 등 추락단부 안전난간대 설치 등 추락방호조치 실시
▶ 작업반경 내 근거리에서 살수작업 금지</t>
  </si>
  <si>
    <t xml:space="preserve">2020년 2월경 OO건설이 시공하는 OO공사현장에서 재해자가 공장동 내 소방배관 용단작업 중 배관에 걸쳐져 있던 물탱크 철재받침대가 재해자 방향으로 넘어지면서 철재받침대에 깔려 사망 </t>
  </si>
  <si>
    <t>2020년 2월경 OO 용도변경공사 현장에서 지상 1층 용도변경을 위한 내부 작업 중 주택이 붕괴되면서 재해자가 매몰되어 사망</t>
  </si>
  <si>
    <t>2020년 3월경 OO보수공사 현장에서 공장동 내부 창고실 해체공사를 위해 재해자가 샌드위치판넬 구조로 된 천장판넬을 발판 삼아 밟고 해체작업을 하던 중 천장판넬이 고정용철물(U-Bar)에서 이탈되면서 재해자와 동료작업자가 함께 높이 약 3m 아래 공장바닥으로 추락하여 사망</t>
  </si>
  <si>
    <t>이동식비계</t>
  </si>
  <si>
    <t>2020년 3월경 OO철거 작업 현장에서 가설창고로 사용하던 창고 지붕 합판을 철거 하던 중 이동식비계 단부에서 실족하여 콘크리트 바닥으로 추락(H=1.7m)하여 사망</t>
  </si>
  <si>
    <t>창고 지붕합판을 철거하던 중 이동식비계 단부에서 실족하여 바닥으로 추락</t>
  </si>
  <si>
    <t>▶ 이동식비계 설치 시 안전난간 설치 등 추락방호조치 실시
▶ 근로자 개인보호구, 안전대 체결여부 점검 및 관리감독</t>
  </si>
  <si>
    <t>2020년 4월경 OO공사 현장에서 통신전주(L=7m, 약 370kg) 철거를 위해 전주를 와이어로프(Ø16mm) 한 줄로 묶은 후 이동식크레인(4.5톤)으로 전주를 세워 인양한 후 적재함에 쌓인 전주들 위에 밑둥을 대고 눕히는 과정에서 재해자가 전주 인발부 되메우기 작업을 위해 이동하던 중 크레인 훅(Hook)에서 와이어로프가 이탈되어 전주가 낙하(H≒8m)하면서 적재함 옆에 있던 재해자의 두부를 강타하여 사망</t>
  </si>
  <si>
    <t>크레인으로 전주 해체작업을 하던 중 크레인 훅에서 와이어로프가 이탈되어 전주가 낙하하면서 주변에 있던 재해자 두부 강타</t>
  </si>
  <si>
    <t>▶ 전주형상에 맞게 2줄 이상의 와이어로프를 체결한 후 인양작업 실시
▶ 훅 해지장치의 설치유무 점검 및 작업반경 내 작업자의 접근 금지조치</t>
  </si>
  <si>
    <t>2020년 5월경 OO해체공사 현장에서 재해자 2명이 가설사무실 천정 샌드위치 판넬 상부에서 C-형강을 해체 하던 중,밟고 있던 샌드위치 판넬이 파단되어 높이 약 2.4m아래 지상 바닥으로 추락하여 3개월 이상의 요양이 필요한 부상</t>
  </si>
  <si>
    <t>2020년 5월경 OO보수공사 현장에서 재해자가 축사 지붕 자재인 성형강판을 철거하던 중 밟고 있던 성형강판 자재가 꺾이면서 약 4.3m 아래 축사 바닥으로 추락하여 사망</t>
  </si>
  <si>
    <t>2020년 5월경 OO보수공사 현장에서 재해자가 지붕 위에서 지붕 해체작업을 하던 중 노후된 슬레이트 밟는 순간 파손되면서 하부 콘크리트 바닥으로 추락(H≒8m)하여 사망</t>
  </si>
  <si>
    <t>2020년 5월경 OO(주)가 시공하는 OO부대공사 현장에서 공장 내부 엘리베이터 설치를 위해 기 설치되어있던 천장 우레탄 판넬을 1층 천장내부에서 해체하던 중, 우레탄 판넬의 일부분(L≒30cm)이 절단되면서 고정력을 잃은 판넬과 함께 동시에 2명의 재해자가 1층 Con’c 바닥(H≒6.0m)으로 추락하여 3개월 이상의 요양이 필요한 부상</t>
  </si>
  <si>
    <t>2020년 5월경 ㈜OO 창고에서 재해자가 창고 우측 편 천장에 설치된 샌드위치판넬을 해체하기 위해 창고 샌드위치판넬(1,000mmX1,500mmX50mm)위로 올라가 이동하던 중, 판넬이 거치되어있던 각관(75mmX50mm)에서 이탈하여 판넬과 함께 약 2.9m 아래 창고 바닥으로 추락하여 사망</t>
  </si>
  <si>
    <t>2020년 5월경 OO(주) 공장건물 지붕에서 재해자가 지붕 판넬 철거작업을 위해 공장건물 지붕에서 판넬 고정나사를 제거 후 이동하던 중 판넬이 경사면을 따라 미끄러지면서 재해자가 판넬과 함께 공장 바닥(H≒3m)으로 추락하여 사망</t>
  </si>
  <si>
    <t>2020년 5월경 OO(주)이 시공 중인 OO철거현장에서 재해자가 가림막을 비계에 묶어 고정하기 위하여 약 4.5M~6M 높이의 강관비계 수평재 위에서 작업 중 몸의 중심을 잃고 추락하여 사망</t>
  </si>
  <si>
    <t>철거현장에서 가림막을 비계에 묶어 고정하기 위해 강관비계 수평재 위에서 작업 중 몸의 중심을 잃고 바닥으로 추락</t>
  </si>
  <si>
    <t>▶ 근로자의 개인보호구, 안전대 체결여부 점검 및 관리감독</t>
  </si>
  <si>
    <t>2020년 7월경 OO신축공사 현장에서 재해자 6명이 노후(부식)가 심한 지상2층 바닥 슬래브 철근을 해체하던 중 슬래브 거푸집 위에 적치해 놓은 철근의 하중을 거푸집동바리가 견디지 못하고 무너지면서 지상1층 바닥으로 추락하여(약3.6m) 3개월 이상의 요양이 필요한 부상</t>
  </si>
  <si>
    <t>노후화 된 바닥 슬라브 철근을 해체하던 중 거푸집 위에 적치해 놓은 철근의 하중을 거푸집동바리가 견디지 못하고 무너지면서 바닥으로 떨어짐</t>
  </si>
  <si>
    <t>▶ 장기간 공사 중지된 구축물에서 공사를 재개하는 경우 시설물의 안전성평가 실시
▶ 거푸집 동바리 조립시 상하고정 철저, 경사재 조립 등 보강조치</t>
  </si>
  <si>
    <t>2020년 7월경 OO철거공사 현장에서 굴착기(06W) 운전자가 지붕 해체 작업을 위해 붐대를 조작하던 중 외벽(약 2.6m×2.5m, 2.5ton, 조적벽)을 버켓으로 강타, 외벽 근처에서 잔재물 정리를 하고 있던 재해자가 전도 및 붕괴되는 외벽에 깔려 사망</t>
  </si>
  <si>
    <t>2020년 8월경 OO건설(주)에서 시공 중인 OO개선공사 현장에서 조적벽체 철거 작업 중 재해자는 내실에서 철거작업 중인 동료작업자들의 반대편 공간(외실, 복도)으로 이동하였으며 파쇄 작업 중인 조적벽체가 재해자 쪽으로 넘어지면서 깔려 사망</t>
  </si>
  <si>
    <t>2020년 8월경 OO대수선공사 현장에서 재해자가 이동식비계 상부 작업발판에서 중도리 중도리(퍼린, Purlin) : 지붕 트러스와 트러스를 연결하는 부재로 지붕재의 지지대 역할을 함. (C형강) 용단작업을 하던 중 절단된 중도리가 휘어져 이동식비계에 부딪히는 순간 충격으로 몸의 균형을 잃고 바닥(콘크리트)으로 추락(H≒6.0m)하여 사망</t>
  </si>
  <si>
    <t>이동식비계 상부에서 퍼린용 C형강 용단작업을 하던 중 절단된 철골부재가 휘어져 이동식 비계에 부딪히는 순간 충격으로 몸의 균형을 잃고 바닥으로 추락</t>
  </si>
  <si>
    <t>▶ 이동식비계 아웃트리거 설치, 안전난간 설치 등의 전도방지조치 실시
▶ 근로자 개인보호구, 안전대 체결여부 점검 및 관리감독</t>
  </si>
  <si>
    <t>2020년 8월경 OO철거공사 현장에서 재해자가 공장 지붕 철골 위에 올라가 외부 벽체 샌드위치 패널 철거 작업을 하던 중 몸의 중심을 잃고 지상 콘크리트 바닥(h≒7.0m)으로 추락하여 사망</t>
  </si>
  <si>
    <t>2020년 8월경 OO건설(주) OO현장에서 굴착기로 철근콘크리트 해체물 정리작업 중 굴착기 주변(거리 약 7m)에서 살수작업을 하던 재해자가 해체물(콘크리트 덩어리, 무게 약 50kg)에 가슴을 강타 당하여 사망</t>
  </si>
  <si>
    <t>2020년 9월경 OO(주) OO개축공사 현장에서 기존 교량 해체 작업을 진행하던 중 교량슬래브가 붕괴되어 교량 하부에서 철거 부재 와이어로프를 풀고 있던 재해자가 붕괴 구조물에 깔려 사망</t>
  </si>
  <si>
    <t>2020년 10월경 OO건설(주)가 시공하는 OO리모델링공사 현장에서 재해자가 지상2층 용도변경을 위한 내부 칸막이 (조적)벽체 해체작업 중 조적벽체 하부를 해체한 상태에서 상부에 남아있던 벽체 더미 일부가 아래로 떨어져 재해자를 강타하여 사망</t>
  </si>
  <si>
    <t>2020년 10월경 OO용도변경공사 현장에서 재해자가 지상 1층 내부 조적벽체(4.9m×3.6m) 해체작업 중 전도되는 조적기둥에 부딪혀 사망</t>
  </si>
  <si>
    <t>2020년 10월경 OO철거공사 현장에서 지붕 위에 있던 재해자가 지붕을 철거하기 위한 줄걸이 등을 한 후, 지붕에서 지면으로 내려오기 위해 이동하던 중 지붕강판을 미리 철거한 부위(폭1m, 길이6.8m)를 넘어가는 과정에서 균형을 잃고 2.5m 아래 축사 바닥으로 추락하여 사망</t>
  </si>
  <si>
    <t>2020년 10월경 OO개축공사 현장에서 재해자가 건물내부에서 해체된 고철 및 목재류를 3층 발코니에서 외부로 투하 하던 중 지하 1층 바닥(H≒6.8m)으로 추락하여 사망</t>
  </si>
  <si>
    <t>2020년 10월경 OO건설(주)에서 시공 중인 OO조성공사 현장에서 굴착기의 버킷을 반대방향으로 체결한 후 근로자가 탑승하여 철제 펜스 상부 안전망 해체 작업 중 굴착기의 버킷이 갑자기 낙하되면서 작업공간 하부에 대기 중이던 재해자를 덮쳐 사망</t>
  </si>
  <si>
    <t>펜스 상부 안전망 해체 작업 중 굴착기 버킷이 탈락되어 하부에 있던 근로자 맞음</t>
  </si>
  <si>
    <t>▶ 퀵커플러에 있는 장착물 이탈방지 핀 체결유무 확인
▶ 유도자 배치, 근로자 접근 통제를 통한 굴착기 접촉방지조치 준수</t>
  </si>
  <si>
    <t>2020년 11월경 OO철거공사 현장에서 재해자가 블록 조적벽 철거 폐기물을 정리하는 과정에서 동료근로자가 해머로 철거중이던 블록 조적벽이 재해자 쪽으로 쓰러져 전신이 협착되어 사망</t>
  </si>
  <si>
    <t>2020년 11월경 OO철거공사 현장에서 재해자가 철거작업 중 옥탑단부에서 약 4.2M 아래의 옥상바닥으로 추락하여 사망</t>
  </si>
  <si>
    <t>옥탑에 설치된 중계기 철거작업 중 몸의 중심을 잃고 옥탑단부에서 바닥으로 추락</t>
  </si>
  <si>
    <t>2020년 11월경 OO철거공사 현장에서 재해자가 건물 옥상 벽체 구조물을 철거하기 위해 굴착기에 부착된 압쇄기를 타고 상부로 이동 중 압쇄기가 철거 잔재물인 철근에 부딪히며 회전함과 동시에 압쇄기 위에 있던 재해자가 약 5.5m 아래로 추락하여 사망</t>
  </si>
  <si>
    <t>2020년 11월경 OO공장 신축공사 현장에서 재해자가 잘못 설치된 외부 계단실의 철골 기둥(길이:13m, 중량:800kg)을 해체하기 위해 기둥 상부 브라켓(높이:12m, 폭:150㎜)에 올라가서 이동식크레인(25톤, 유압식) 줄걸이 작업(벨트슬링의 샤클을 체결)을 진행하던 중 철골 기둥이 넘어지면서 몸의 균형을 잃고 약 12m아래 바닥으로 추락하여 사망</t>
  </si>
  <si>
    <t>철골 기둥을 해체하기 위해 기둥 상부 브라켓에 올라가 이동식 크레인 줄걸이 작업을 진행하던 중 전도방지조치가 되어 있지 않던 철골 기둥이 넘어지면서 몸의 균형을 잃고 바닥으로 추락</t>
  </si>
  <si>
    <t>▶ 철골 기둥 구조물의 전도 위험 예방조치 실시
▶ 비계를 조립하거나 고소작업대를 이용하는 등의 방법</t>
  </si>
  <si>
    <t>2020년 12월경 OO이 시공하는 OO 철거공사 현장에서 재해자가 ‘ㄱ’자 형태의 곡관 해수파이프(W≒550kg, L≒7.4m) 위에 걸터 앉아 해수파이프를 절단하던 중 해수파이프가 낙하하면서 지면으로 함께 추락(H≒3.6m) 하여 사망</t>
  </si>
  <si>
    <t>2021년 2월경 OO 증축공사 현장에서 기존 호텔 본동 대수선공사의 지하 2층 바닥 슬래브 보강작업을 위해 기존 슬래브 하부 블록벽체 등 철거 작업 중 기절단된 지하 2층 바닥 슬래브가 붕괴되면서 재해자가 깔려 사망</t>
  </si>
  <si>
    <t>2021년 4월경 ㈜OO에서 시공 중인 OO철거공사 현장에서 상부 건축물 철거 후 생성된 폐기물이 쌓여있던 지상 3층 바닥이 붕괴되며, 지상 3층에서 살수작업을 하던 재해자가 매몰되어 사망함.</t>
  </si>
  <si>
    <t>2021년 6월경 OO철거작업를 위해 A형 사다리를 설치하고 해체작업을 하던 중 해체 작업시 패널이 낙하하는 것을 방지하기 위해 1줄로 로프를 걸어 고정하였으나, 패널 고정 볼트를 해체하면서 편하중으로 기울어지며 재해자와 부딪쳐 재해자가 A형 사다리에서 중심을 잃고 지면으로 추락하여 사망</t>
  </si>
  <si>
    <t>사다리 위에서 가건물 해체작업을 하던 중 패널이 낙하하는 것을 방지하기 위해 1줄로프를 걸어 고정하였으나 패널 고정볼트를 해체하면서 편하중 발생으로 패널이 기울어지며 재해자와 부딪혀 중심을 잃고 바닥으로 추락</t>
  </si>
  <si>
    <t>▶ 자재인양 작업시 편하중이 발생하지 않게 2지점 이상 고정
▶ 이동식 사다리를 사용 시 2인 1조로 작업, 아웃트리거 체결 철저</t>
  </si>
  <si>
    <t>2021년 6월경 OO신축공사 현장에서 재해자가 8층 옥상에서 폐자재 정리작업 중 옥상슬래브 단부의 턱에 걸려 넘어지면서 7층 바닥(H≒12m)으로 추락하여 사망</t>
  </si>
  <si>
    <t>폐자재 정리작업 중 옥상 슬라브 단부에 걸려 넘어지면서 바닥으로 추락</t>
  </si>
  <si>
    <t>▶ 슬라브 등 추락단부 안전난간대 설치 등 추락방호조치 실시
▶ 근로자 이동통로 내 장애물 제거 등 현장정리정돈 철저</t>
  </si>
  <si>
    <t>2021년 8월경  OO철거공사 현장에서 재해자가 철거폐기물 상부에서 살수 작업을 하던 중 현장 내부에서 작업을 마치고 후진하던 굴착기의 궤도에 깔려 사망</t>
  </si>
  <si>
    <t>철거폐기물 상부에서 살수 작업을 하던 중 후진하던 굴착기의 궤도에 깔림</t>
  </si>
  <si>
    <t>▶ 건설기계와 근로자 접촉방지를 위해 신호수 또는 유도자를 배치
▶ 굴착기 후방감지센서, 후방카메라, 경보장치 등 설치 및 정상 작동여부 확인
▶ 장비동선과 근로자 안전통로를 구분하여 운영</t>
  </si>
  <si>
    <t>2021년 9월경 OO철거공사 현장에서 굴삭기로 건물을 철거하던 중 남아있던 조적 벽체의 상단 일부가 재해자 쪽으로 넘어지면서 벽체에 깔려 사망</t>
  </si>
  <si>
    <t>2021년 10월경 OO보수공사 현장에서 지붕개량(철거) 공사를 위해 재해자가 최상부 철물(함석)을 제거한 지붕을 밟고 이동하던 중 지붕구조물이 깨지면서 바닥(H≒11.6m)으로 추락하여 사망</t>
  </si>
  <si>
    <t>2021년 11월경 OO철거공사 현장에서 콘크리트 단층 창고의 지붕 슬래브를 잘라내던 중 지붕 슬래브가 무너져 창고 내부에 있던 재해자가 벽과 떨어진 슬래브 사이에 협착되어 사망</t>
  </si>
  <si>
    <t>지붕 슬라브 잘라내던 중 지붕 슬라브가 무너져 창고 내부에 있던 재해자가 벽과 떨어진 슬라브 사이에 흉부가 협착</t>
  </si>
  <si>
    <t>▶ 구조물의 형상, 중량 등을 고려하여 해체의 방법 및 순서 등이 포함된 작업계획서 작성
▶ 관계 근로자가 외 근로자 출입통제</t>
  </si>
  <si>
    <t>축사 철거 현장에</t>
  </si>
  <si>
    <t>축사 철거 현장에서 재해자와 동료근로자 3명이 지붕에 올라가 작업을 진행하던 중, 혼자 전화통화를 하면서 이동하던 재해자가 선라이트를 밟아 파단되면서 6.8m 아래 축사 콘크리트 바닥에 추락하여 사망</t>
  </si>
  <si>
    <t>재해자가 경사 슬</t>
  </si>
  <si>
    <t>재해자가 경사 슬레이트 지붕 상부에서 안전시설물을 설치하기 위해 이동 중 실족, 콘크리트 바닥으로 추락(H≒5.4m)하여 사망</t>
  </si>
  <si>
    <t>지붕상부에서 안전대부착설비 설치를 위해 이동 중 실족하여 바닥으로 추락</t>
  </si>
  <si>
    <t>▶ 지상에서 안전대부착설비 설치 후 철골 조립
▶ 철골 상부에서 이동시 임시로 철골 홈에 안전대 체결 등 관리감독</t>
  </si>
  <si>
    <t>OO증설공사 현장</t>
  </si>
  <si>
    <t>OO증설공사 현장에서 재해자가 폐수처리장 침전조 해체를 위해 철재 벽체를 수직, 수평으로 절단작업을 완료한 상태에서 벽체판 1개소를 크레인으로 인양하는 순간 인접 철재 벽체판(무게 약 764kg)이 내측으로 넘어지면서 침전조 내부에 있던 재해자가 깔려 사망</t>
  </si>
  <si>
    <t>폐수처리장 침전조 해체를 위해 벽체 수직, 수평으로 해체 후 벽체판을 크레인으로 인양하는 순간 인접한 벽체 철제판이 넘어지면서 침전조 내부에 있던 근로자가 깔림</t>
  </si>
  <si>
    <t>▶ 자재 인양 시, 인양물의 재료, 형상에 맞는 적절한 줄걸이 방법 사용
▶ 크레인으로 자재 인양 시, 작업반경 내 근로자의 출입을 통제
▶ 작업자와 운전수 간의 적절한 신호체계 수립</t>
  </si>
  <si>
    <t>12.2 안전가시설 작업</t>
  </si>
  <si>
    <t>12.2.1 안전가시설(개구부)</t>
  </si>
  <si>
    <t>엘리베이터피트</t>
  </si>
  <si>
    <t>2016년 11월경 OO건설 도시형 다세대주택 신축공사 현장에서 재해자가 지상 5층 E/V PIT 단부에서 쓰레기 마대를 외부로 반출하기 위하여 E/V PIT로 쓰레기 마대를 달기로프로 묶어 내리던 도중 중심을 잃고 기 반출된 쓰레기 마대 적재된 E/V PIT 바닥으로 떨어져 사망</t>
  </si>
  <si>
    <t>안전난간이 미설치된 엘리베이터 피트 개구부로 실족하여 피트 바닥으로 추락함</t>
  </si>
  <si>
    <t>▶ 계단실 등 추락단부 안전난간대 설치 등 추락방호조치 실시
▶ 근로자 개인보호구, 안전대 체결여부 점검 및 관리감독</t>
  </si>
  <si>
    <t>2017년 12월경 OO건설 토목공사현장에서 재해자 등 2명이 수로박스 내부 준공청소를 위해 수로박스 점검구 덮개(스틸 그레이팅)를 맨손으로 몸쪽으로 당기며 개방하던 중 걸침턱이 없던 좌측방향으로 전도되며 하부로 떨어질 때 동료작업자는 손을 놓았지만 재해자는 덮개와 함께 하부로 떨어져(H≒3m) 사망</t>
  </si>
  <si>
    <t>수로박스 내부 준공청소를 위해 점검구 덮개를 맨손으로 당기며 개방하던 중 걸침턱이 없던 좌측방향으로 전도되며 하부로 떨어짐</t>
  </si>
  <si>
    <t>▶ 근로자 추락 위험이 있는 장소에 안전대 부착 설비 설치, 안전대 착용 등 추락방지 조치 실시
▶ 스틸 그레이팅 덮개 개방시 근로자가 직접 하는 것이 아닌 이동식 크레인 등 인양장비를 이용하여 Belt Sling 등 사용</t>
  </si>
  <si>
    <t>2019년 4월경 OO공장 신축공사 현장에서 재해자는 건물내부 청소작업 중 발생되는 쓰레기를 반출하고자 카리프트 겸용 화물용승강기 운반구에 싣던 중 벽체와 일부 개방된 화물용 승강기 운반구 도어의 수직 개구부를 통해 아래(약 H=22m)로 추락</t>
  </si>
  <si>
    <t>자재 운반 및 작업 중 안전난간이 미설치된 창호 개구부 등을 통해 근로자 추락</t>
  </si>
  <si>
    <t>▶ 창호 개구부 등 추락의 위험이 있는 장소에는 안전난간대 설치 또는 수직형 추락방망 등 추락방지용 안전시설물을 설치하여 근로자 추락을 예방
▶ 설치된 안전시설물에 대해 유지관리하고, 임의 해체 예방을 위한 관리감독</t>
  </si>
  <si>
    <t>2019년 8월경 지하주차장 청소작업을 하던 재해자가 폐쇄형 점검구 내부에서 몸의 중심을 잃고, 점검구 내 개구부(△2.3x2.4x3.2m) 약 5m 아래 콘크리트 바닥으로 떨어져 사망</t>
  </si>
  <si>
    <t>덮개가 고정되지 않은 개구부 인근에서 작업 중 바닥으로 추락함</t>
  </si>
  <si>
    <t>▶ 추락을 방지하기 위한 안전대 체결
▶ 개구부 덮개 설치 및 위험표지 부착</t>
  </si>
  <si>
    <t>2020년 2월경 OO건설 공사현장에서 청소 작업을 하던 작업자가 지하1층 바닥 개구부(1.2mX0.7m)에서 지하2층 저수조 바닥으로 추락(H=5.0m)하여 사망</t>
  </si>
  <si>
    <t>▶ 방지하기 위한 안전대 착용
▶ 개구부 덮개 설치 및 위험표지 부착</t>
  </si>
  <si>
    <t>2020년 10월경 OO 공동주택 신축공사 현장에서 재해자가 옥상 비상용 엘리베이터 자재반입구로 들어가 피트 개구부로 실족하여 지하2층 피트바닥으로 떨어져(높이 약47.4m) 사망</t>
  </si>
  <si>
    <t>▶ 추락 위험이 있는 곳에 근로자 출입 통제
▶ 엘리베이터 피트에 난간 설치 및 추락방호망 설치</t>
  </si>
  <si>
    <t>12.2.10 안전가시설(휀스, 안전난간)</t>
  </si>
  <si>
    <t>2018년 7월경 OO 철거공사 현장에서 재해자가 사다리에서 분진망 설치용 가설울타리를 설치하던 중 높이 3m에서 사다리와 함께 넘어지면서 가설울타리의 2단 띠장(강관 파이프)에 흉부를 부딪쳐 사망</t>
  </si>
  <si>
    <t>분진망 설치용 가설울타리의 3~4단 띠장(강관 파이프) 설치 중 사다리와 함께 넘어지면서 가설울타리의 2단 띠장(강관 파이프)에 흉부 강타</t>
  </si>
  <si>
    <t>▶ 추락 위험이 있는 고소 작업 시, 작업발판 설치, 이동식비계 조립 등 추락방지조치 실시
▶ 전도 위험이 있는 사다리 작업 시, 아웃트리거 부착을 통한 전도방지조치 실시
▶ 작업 전 안전대 지급 및 착용, 체결상태 관리</t>
  </si>
  <si>
    <t>2019년 7월경, OO 공장부지 조성 공사현장에서 재해자가 현장 구획을 위한 가림막 설치용 가설구조물의 중간 수평부재(강관파이프)위에서 가림막 설치작업 후 이동 중 몸의 균형을 잃고 지면(H≒2.5m)으로 추락</t>
  </si>
  <si>
    <t>현장 구획을 위한 가림막 설치용 가설구조물의 중간 수평부재(강관파이프)위에서 가림막 설치작업 후 이동 중 몸의 균형을 잃고 지면으로 추락</t>
  </si>
  <si>
    <t xml:space="preserve">▶ 추락 위험이 있는 장소에서 작업 시, 작업발판을 설치 후 작업 진행
▶ 개인보호구 지급 및 착용 관리 철저
▶ 작업에 적합한 안전통로 설치 </t>
  </si>
  <si>
    <t>2021년 2월경 OO건설의 아파트 공사현장에 가설울타리 설치를 위해 H-Beam이 반입되었으며, 화물차에서 지게차로 하역하던 중 적재되어 있던 H-Beam이 낙하하면서 근처에 있던 재해자 2명이 깔려 1명 사망, 1명 부상</t>
  </si>
  <si>
    <t>가설울타리 설치를 위해 H빔 자재를 지게차로 하역하던 중 적재되어 있던 자재가 무너져 내려 주변 근로자에게 낙하</t>
  </si>
  <si>
    <t>▶ 하역운반 작업반경 내 근로자 통제
▶ 차량계 하역운반기계등을 사용하는 작업 시 작업계획서 작성 및 작업지휘자 지정</t>
  </si>
  <si>
    <t>2021년 10월경 OO신축공사 현장에서 가설울타리 설ㆍ해체공사 협력업체 ㈜OO 소속 재해자가 가설울타리 철거를 위해 당일 가스 절단기를 사용해 6번째 H빔(126kg, 6m)을 절단하던 중 해당 빔이 재해자 쪽으로 전도되어 사망</t>
  </si>
  <si>
    <t>가설울타리 철거를 위해 가스절단기를 사용하여 H빔을 절단하던 중 재해자 쪽으로 전도</t>
  </si>
  <si>
    <t>▶ 용단 시 부재의 반발상황 등을 고려하여 작업 실시
▶ H빔을 해체하는 경우 철골구조물 자중, 주변 진동, 충격 등을 고려하여 전도방지조치 실시</t>
  </si>
  <si>
    <t>12.2.2 안전가시설(작업발판)</t>
  </si>
  <si>
    <t>2016년 3월경 인테리어 공사현장에서 재해자가 환기구 내 바닥개구부 위에 얹혀진 작업발판을 들어올리다 몸의 중심을 잃고 실족하여 개구부를 통해 지하 3층 바닥으로 떨어져(H≒15.0m) 사망</t>
  </si>
  <si>
    <t>환기구 내 바닥개구부 위에 얹혀 있는 작업발판을 들어 올리다 몸의 중심을 잃고 개구부를 통해 바닥으로 추락</t>
  </si>
  <si>
    <t>▶ 환기를 위한 바닥개구부 등 추락의 위험이 있는 장소에 철재 덮개, 웨빙띠, 안전난간 설치, 적정 조도확보 등을 통해 작업자의 추락 및 접근을 방지
▶ 환기를 위한 바닥개구부 등의 입구를 임시로 작업발판, 합판 등으로 덮을 경우, 흔들리지 않도록 단단히 고정하고 개구부 표시 조치를 취하며 이후, 임시 조치한 자재를 제거하고 철재 덮개, 안전난간 설치 등의 안전방호조치를 실시</t>
  </si>
  <si>
    <t>2016년 4월경 냉각탑 설치공사 현장에서 냉각탑 2기 신규 설치 중 냉각탑 상부 점검용 발판의 핸드레일(안전난간) 설치를 위해 작업하다가 재해자가 점검용 발판 끝부분에서 몸의 중심을 잃고 떨어져(H≒7.9m) 사망</t>
  </si>
  <si>
    <t>안전대를 착용하지 않고 비계 작업발판 설치 작업 중 몸의 중심을 잃고 작업발판 단부로 추락</t>
  </si>
  <si>
    <t>▶ 작업발판의 단부와 같이 근로자가 떨어질 위험이 있는 장소에는 안전난간 및 안전방망 설치
▶ 안전난간 및 안전방망 설치가 곤란한 경우 안전대의 부착설비 설치
▶ 근로자에게 안전대를 착용하도록 하는 등 떨어짐 방지조치 실시</t>
  </si>
  <si>
    <t>2016년 11월경 OO 내화물 보수공사 현장에서 재해자가 소성로 싸이클론 내화물 코팅 제거 작업 중 통나무 작업발판에서 떨어져 사망</t>
  </si>
  <si>
    <t>내화물 코팅제거 작업 중, 근로자가 몸의 중심을 잃고 통나무 작업발판에서 추락</t>
  </si>
  <si>
    <t xml:space="preserve">▶ 작업에 적합한 구조의 작업발판 설치
▶ 낙하물에 의한 위험방지 조치 실시
▶ 개인보호구 착용 및 관리감독자 업무 수행 철저 </t>
  </si>
  <si>
    <t>2016년 11월경 OO드라마타운 건립 캣워크 설치공사 현장에서 재해자가 캣워크 발판 설치작업의 진행 상황 확인 및 작업지시를 위해 이동 중 캣워크 발판에서 약 19.5m 아래 지상 바닥으로 떨어져 사망</t>
  </si>
  <si>
    <t>2017년 3월경 OO대학교 화재개보수공사 현장에서 재해자가 지상 1층 외벽에 설치된 강관비계 작업발판 청소 및 차광막 해체 작업 중 작업발판이 기울어져 몸의 균형을 잃고 지하 3층 환기창 바닥으로 떨어져(H≒18.0m) 사망</t>
  </si>
  <si>
    <t>안전대를 착용하지 않고 비계 해체 작업 중 몸의 중심을 잃고 작업발판 단부로 추락</t>
  </si>
  <si>
    <t>2017년 4월경 OO고등학교 교사 신축공사 현장에서 재해자가 중앙계단 측면 중정부에 설치된 내부비계에서 외부비계로 건너가기 위한 통로(작업발판)를 설치하던 중 몸의 중심을 잃고 약 14.4m아래 지상1층 콘크리트 바닥으로 추락하여 사망</t>
  </si>
  <si>
    <t>2017년 4월경 OO발전본부 내 보일러 및 통풍설비 점검을 위한 비계 설치 및 해체공사 현장에서 재해자가 보일러 내부의 비계 작업발판을 해체하던 중 미 고정된 작업발판이 아래로 내려앉으면서 약 55m 아래 보일러 내부 바닥으로 떨어져 사망</t>
  </si>
  <si>
    <t>2017년 11월경 OO신축공사 현장에서, 재해자가 지상2층 EPS실 내부 청소작업 중, 수직트레이 설치용 바닥개구부 바닥면에 부착되어 있던 합판(개구부 설치용 박스거푸집의 바닥면)을 밟고, 합판 위에 있었던 쓰레기를 치우던 중 합판이 탈락되며 높이 약10m아래로 떨어져 사망</t>
  </si>
  <si>
    <t>▶ 개구부로 근로자가 추락할 위험이 있는 장소에 덮개를 뒤집히거나 떨어지지 않도록 설치
▶ 덮개해체 시 안전방망 설치 또는 근로자에게 안전대를 지급하여 착용 및 부착설비에 걸고 작업 실시</t>
  </si>
  <si>
    <t>2018년 09월</t>
  </si>
  <si>
    <t>2018년 09월경 부두 보수공사 현장에서 재해자 2명과 동료 작업자 1명이 부두 철골구조물의 도장공사를 위한 작업발판을 설치하던 중, 파이프서포트와 와이어로프로 연결된 작업발판이 무게(약 897.32kg)를 버티지 못하고 붕괴되며 동료 작업자는 안전대에 매달려 구조되고, 재해자 2명은 바다로 빠져 사망</t>
  </si>
  <si>
    <t>규격에 밎지않은 작업발판을 임의로 설치 중 하중에 의해 붕괴</t>
  </si>
  <si>
    <t xml:space="preserve">▶ 작업도구 등의 목적 외 사용금지 준수
▶ 추락 위험이 있는 작업 시 안전대 부착설비 등 추락방호조치 준수
▶ 작업발판 내 최대적재하중 준수 </t>
  </si>
  <si>
    <t>2020년 3월경 다가구주택 신축공사 현장에서 재해자가 다가구주택 외부작업용 시스템비계의 작업발판 (우측면)에서 치장벽돌을 묶었던 노끈을 줍는 작업 중 작업발판(2∼6단 추정) 외측 단부에서 약 3.8∼11.4.m 아래 지상 흙바닥으로 추락하여 사망</t>
  </si>
  <si>
    <t xml:space="preserve">안전난간이 미설치된 작업발판 외측 단부에서 근로자가 몸의 중심을 잃고 추락 </t>
  </si>
  <si>
    <t>▶ 작업발판 단부에 안전난간이 설치된 상태에서 자재를 작업발판으로 인양하기 위해 여건 상 임시로 안전난간 해체 시 해당작업 완료 후 즉시 안전난간 재설치
▶ 안전난간의 설치가 곤란할 경우 작업발판 하부에 추락방호망 설치
▶ 2m 이상 높이에서 작업 시 안전대 부착설비 설치 및 안전대 착용</t>
  </si>
  <si>
    <t>2020년 11월경 토목시설 복구공사 현장에서 재해자1이 옹벽 구조물작업구간 높이 약 2.0m 위치에서 작업발판 설치작업 중 작업발판 지지용 강관파이프(수평부재)가 순간적으로 탈락하여 작업발판과 함께 지상바닥으로 떨어져 부상, 아래 주변에서 함께 작업하고 있던 재해자2는 떨어지는 강관파이프에 목부위를 맞아 부상</t>
  </si>
  <si>
    <t>옹벽 구조물작업구간에서 작업발판 설치작업 중 작업발판 지지용 강관파이프(수평부재)가 순간적으로 탈락하여 작업발판과 함께 지상바닥으로 떨어지고, 아래 주변에서 함께 작업하고 있던 작업자가 떨어지는 강관파이프에 목부위를 맞음</t>
  </si>
  <si>
    <t>▶ 비계 높이가 2미터 이상인 장소에 작업발판 설치 시, 발판재료의 전도 및 이탈방지를 위해 2개 이상의 지지물에 연결하거나 고정해야하는 작업방식 준수
▶ 비계 위 작업발판 설치 시 추락방지를 위한 안전방망, 울타리 설치를 통한 추락방호조치 실시</t>
  </si>
  <si>
    <t>12.2.3 안전가시설(비계)</t>
  </si>
  <si>
    <t>2015년 2월경</t>
  </si>
  <si>
    <t>2015년 2월경 OO건설이 시공하는 공장 신축공사 현장에서 재해자가 신축공장 사무동 외부쌍줄 비계 작업을 하던 중 지상높이 약 12.5m 작업발판에서 몸의 중심을 잃고 지상바닥으로 떨어져 사망</t>
  </si>
  <si>
    <t>안전대를 미착용하고 외부비계 작업발판을 설치해체하던 중 몸의 중심을 잃고 바닥으로 추락</t>
  </si>
  <si>
    <t>2016년 1월경 자재야적장 정리공사 현장에서 재해자가 차량 탑재형 이동식크레인을 이용하여 EGI 휀스자재 다발을 하역하던 중, 와이어로프가 파단되어 자재다발이 떨어지면서 재해자를 강타하여 사망</t>
  </si>
  <si>
    <t>2016년 4월경 OO건설에서 시공 중인 공동주택 신축공사 현장에서 재해자가 건물 5층 높이 외부 비계발판 위에서 바람에 날아갈 우려가 있는 합판조각 등 폐목재를 정리하던 중 비계 외부 안전난간이 설치되지 않은 구간으로 떨어져(H : 13.7m) 사망</t>
  </si>
  <si>
    <t>2016년 4월경 OO빌딩 신축공사 현장에서 재해자가 건물 옥상 파라펫 상부에서 외부 강관비계 해체작업 중 몸의 중심을 잃어 22m 아래 콘크리트 바닥으로 떨어져 사망</t>
  </si>
  <si>
    <t>2016년 5월경 OO건설이 시공하는 국도건설공사 현장에서 재해자가 승강용 가설 비계 해체작업 중 약 19.1m 아래 콘크리트 바닥으로 떨어져 사망</t>
  </si>
  <si>
    <t>2016년 5월경 OO건설이 시공중인 OO대교 보수공사 현장에서 재해자가 대교 상류측 교각 사이 공중비계 해체작업을 하고 작업 마무리를 위하여 교각 상단 점검통로로 이동하던 중 약 10m 아래 한강 수면으로 떨어져 사망</t>
  </si>
  <si>
    <t>2016년 6월경 OO건설 주상복합 신축공사 현장에서 재해자가 가설계단 발판이 일부 해체된 상태에서 공구를 동료작업자에게 전달하던 중 3.9m 하부 옹벽으로 떨어져 사망</t>
  </si>
  <si>
    <t>가설계단 해체작업 중 계단 아래쪽 작업자에게 임팩트 렌치를 전달하던 중 상부 계단참에서 해체된 작업발판 사이로 추락</t>
  </si>
  <si>
    <t>▶ 가설계단 진입로 일부구간 해체작업 시 계단참 단부 개방에 의해 개구부 발생 시 안전난간, 울타리 설치를 통한 개구부 방호조치 실시
▶ 안전난간 또는 울타리 설치가 힘들 경우, 안전방망 설치 또는 안전대 지급 및 착용을 통한 추락방지조치 실시</t>
  </si>
  <si>
    <t>지게차</t>
  </si>
  <si>
    <t>2016년 8월경 OO센터 건설공사 공장동 2층에서 재해자가 지게차 운전(후진) 중 지게차의 마스트가 시스템 비계 수평재에 걸려 마스트 지주와 헤드가드를 밟고 수평재를 해체하는 과정에서 몸의 중심을 잃고 실족하여 지게차 운전석의 마스트 작동 레버(틸트 레버)를 오작동시켜 마스트와 지게차 본체 앞 사이에 협착되어 사망</t>
  </si>
  <si>
    <t>지게차 운전(후진)중 지게차 운전석의 틸트 레버를 오작동시켜 근로자가 운전석과 마스트사이에 협착</t>
  </si>
  <si>
    <t>▶ 지게차 등 차량계 하역운반기계의 운전자가 운전위치를 이탈할 경우 불시주행 및 오작동 등을 방지를 위해 지게차 정지 및 시동키 분리
▶ 차량계 하역운반기계에 대해 화물의 운반, 적재, 하역 작업 등 주 용도로만 사용
▶ 시스템비계 해체 등 고소작업 시 이동식비계, 고소작업대 등을 사용하여 작업발판 위에서 작업</t>
  </si>
  <si>
    <t>2016년 9월경 ㈜OO 지하철 고가 및 교량구조물 내진 보강공사 현장에서 재해자가 철교 박스 거더 하부에 설치되었던 이동 통로용 비계 해체 중 실족하여 약 11.0m 아래 중랑천으로 떨어져 사망</t>
  </si>
  <si>
    <t>2016년 10월경 OO건설이 시공하는 업무시설 신축공사 현장에서 재해자가 건축물 외부에 설치된 외부 강관비계의 9단(높이 약 16m)에서 비계 띠장(수평재) 위에 발을 딛고 수평강관파이프 부재(띠장, 길이 6m)의 비계기둥에 붙어있던 클램프를 제거하여 비계띠장(수평재)해체 작업을 하던 중 비계기둥강관파이프(길이 3.66m)가 연결핀에서 탈락하여 수평강관파이프 및 비계기둥강관파이프와 함께 16.2m 바닥으로 떨어져 콘크리트 흄관에 부딪쳐 사망</t>
  </si>
  <si>
    <t>2016년 12월경 OO(주)에서 시공 중인 공장 증축공사 중 철거공사 현장에서 재해자가 철거공사 현장 외부에 설치된 비계(비산먼지 방지를 위한 분진막) 해체작업(7단 수평부재 위에 올라서서 8단 수평부재 해체) 중 몸의 중심을 잃고 지면으로 떨어져(H≒12m) 사망</t>
  </si>
  <si>
    <t>2016년 12월경 다세대주택 신축공사 현장에서 재해자가 외부 강관비계 해체 중 몸의 중심을 잃고 지상1층 바닥으로 떨어져(H≒3.4m) 사망</t>
  </si>
  <si>
    <t>2017년 1월경 OO건설 공사현장에서 재해자가 지하1층 계단실에 설치된 강관비계를 해체하던 중 비계에서 실족하여 높이 약 6m 아래 계단참으로 추락하여 사망</t>
  </si>
  <si>
    <t>2017년 2월경 근린생활시설 신축공사 현장에서 재해자가 2층 외벽 비계 발판 4단위에서 강관 파이프를 상부 발판으로 이동 중 실족 지상 7m 아래 바닥으로 떨어져 사망</t>
  </si>
  <si>
    <t>가설 울타리의 강관지지대 해체작업 중 기 해체한 수평재를 밟고 바닥으로 추락</t>
  </si>
  <si>
    <t>▶ 비계 해체 작업 등 고소작업 시, 강관지지대로 올라가 작업하는 행위름 금지하고 이동식비계 또는 고소작업대를 사용하여 작업하도록 조치
▶ 비계 해체 작업 등 고소작업 시, 해체장소가 협소하거나 지형이 가파름 등의 이유로 이동식비계, 고소작업대 등을 사용할 수 없을 경우, 굴삭기 등 건설장비를 사용하여 인명피해가 없도록 조치 후 작업 진행</t>
  </si>
  <si>
    <t>2017년 2월경 도시형생활주택 신축공사 현장에서 재해자가 동 외부 시스템비계를 통해 약 1.2m 건너편에 설치된 다른 동 외부 시스템비계로 건너가던 중 몸의 중심을 잃고 약 14.3m아래 지상으로 추락하여 사망</t>
  </si>
  <si>
    <t xml:space="preserve">외부비계 내∙외부 안전난간을 해체 하던 중, 근로자가 비계 내부 구조물 바닥으로 추락 </t>
  </si>
  <si>
    <t>▶ 추락위험 장소에서 임시로 안전난간 해체 시 추락방호망 등 추가 안전조치 실시
▶ 추락방호망 등의 설치가 곤란할 경우 안전대 부착설비 설치 및 안전대 착용</t>
  </si>
  <si>
    <t>2017년 2월경 건물 증축 및 리모델링 공사 현장에서 재해자가 외부 비계에서 비계 해체 작업 중 인근 고압선(22.9 kV)에 비계 파이프가 접촉되면서 감전되어 지상 4층 높이에서 지하 1층 콘크리트 바닥으로 추락(H≒12.8m)하여 사망</t>
  </si>
  <si>
    <t>외부비계 해체를 위해 비계에 오르던 중 가공전로에 접촉, 감전에 의해 바닥으로 추락</t>
  </si>
  <si>
    <t>▶ 가공전로 인근 작업 시 가공전로 차단, 절연용 방호구 등 감전방지조치 실시
▶ 작업 전 절연용 안전보호구(절연장갑, 절연화, 안전작업복, AE형 안전모 등) 지급 및 착용상태 관리</t>
  </si>
  <si>
    <t>2017년 4월경 ㈜OO 사무실 증축공사 현장에서 재해자가 건물의 우측면 외부 강관비계를 해체하던 중 중심을 잃고 3m 아래 지상 바닥으로 떨어져 사망</t>
  </si>
  <si>
    <t>2017년 6월경 단독주택 신축공사 현장에서 재해자가 외부 강관비계(좌측-정면 코너부) 3단에서 비계 해체작업 중, 몸의 중심을 잃고 약 5.4m 아래 지상1층 바닥으로 떨어져 사망</t>
  </si>
  <si>
    <t>2017년 6월경 고속국도 건설공사 현장에서 재해자가 터널 시점부 갱문 좌측 옹벽 비계설치작업을 진행하던 중 외부비계 작업발판 단부에서 높이 3.8m 아래 콘크리트 바닥으로 떨어져 사망</t>
  </si>
  <si>
    <t>2017년 7월경 OO(주) 주택 재개발 정비사업 현장에서 재해자가 동 우측 외부에 설치된 쌍줄비계 4단 작업발판 상에서 비계 넘어짐 방지용 사재를 설치하던 중, 몸의 중심을 잃고 높이 7.4M 아래로 추락 및 바닥 돌출철근에 머리가 찔려 사망</t>
  </si>
  <si>
    <t>쌍줄비계 작업발판 위 비계 넘어짐 방지용 사재 설치 중 몸의 중심을 잃고 바닥으로 추락, 바닥 슬래브에 적치된 유로폼 더미에 1차 충돌 후 튕겨져 나오면서 바닥 슬래브에 돌출된 철근에 머리 관통</t>
  </si>
  <si>
    <t>▶ 작업 전 안전모 지급 및 착용상태, 턱끈 체결상태 관리
▶ 쌍줄비계 보강시 5m마타 벽이음 및 버팀 설치를 해야하며, 창틀의 부착 또는 벽면의 완성 등 작업의 필요상 부득이한 경우 비계기둥 또는 띠장에 사재를 설치하여야 함
▶ 추락 위험이 있는 작업 시 작업발판, 안전난간 설치를 통한 추락방호조치 실시
▶ 부득이한 경우, 안전대 부착설비 설치를 통한 추락방호조치 실시</t>
  </si>
  <si>
    <t>2017년 7월경 액체화물 저장시설 축조현장에서 재해자가 탱크 내부에 세정작업용 비계를 설치하기 위하여 내부 비계 최상부에서 작업발판을 설치하던 중, 몸의 중심을 잃고 지상 바닥으로 추락(H≒18m)하여 사망</t>
  </si>
  <si>
    <t>2017년 8월경 OO중학교 신축공사 현장에서 재해자 등 2명은 교사동 앞 지상에서 작업을 하던중 교사동 전면에 설치된 높이 약 16.6m의 비계가 전도되면서 하부에 깔려 1명은 사망, 1명은 부상</t>
  </si>
  <si>
    <t>기준에 맞지 않게 설치된 비계 위에서 작업 중 비계가 붕괴되어 비계 위 작업자가 추락</t>
  </si>
  <si>
    <t>▶ 비계 조립시 비계기둥 및 띠장 간격, 벽이음 간격, 교차가새 설치 등 설치 기준을 준수하여 설치</t>
  </si>
  <si>
    <t>2017년 8월경 OO신축공사 현장에서 재해자가 외부비계(작업발판)를 해체하던 중 지상바닥으로 떨어져(H≒8.9m) 사망</t>
  </si>
  <si>
    <t>2017년 8월경 OO건축 교회 사택 리모델링 공사 현장에서 재해자가 외부비계 작업발판 위에서 비계해체작업을 진행하던 중 비계기둥이 기울어지면서 몸의 중심을 잃고 약 2.5m아래 지면으로 추락하여 사망</t>
  </si>
  <si>
    <t>2017년 8월경 OO건설 다세대주택 신축공사 현장에서 재해자가 지상3층 높이의 외부비계 작업발판 위에서 비계 외부에 부직포망 설치작업을 진행하던 중 몸의 균형을 잃고 약 2.4m아래 지상2층 콘크리트 바닥으로 추락하여 사망</t>
  </si>
  <si>
    <t>외부비계의 작업발판 단부에 안전난간을 설치하려던 중 몸의 중심을 잃고 바닥으로 추락</t>
  </si>
  <si>
    <t>2017년 11월경 지장철탑 이설 현장에서 비계공 6명(재해자 포함)이 154KV 송전전로 연선 작업시 지상에 설치되어 있는 지장물(22.9KV 활선전로)과 접촉방지를 위한 발받침 비계를 조립하던 중 비계 9단에서 작업 중이던 재해자가 절연방호관이 부분 누락되어 충전부가 노출된 22.9KV 충전전로에 근접(약 50cm 이내)하여 작업하는 과정에서 충전부에 직접접촉 또는 유도전류에 의해 감전되면서 지상 바닥으로 떨어져(H≒14m) 사망</t>
  </si>
  <si>
    <t>2017년 12월경 재해자가 비계 해체 후 적재되어있던 비계용 강관파이프(4m, 75EA, 약750kg)를 카고크레인(정격3.5t)을 이용하여 인양하던 중 차량우측(자재인양 방향)의 아웃트리거 하부의  지반이 침하되며 전도되는 차량과 인접하여 적재된 자재(타일)사이에 끼어 사망</t>
  </si>
  <si>
    <t>카고크레인에 설치된 아웃트리거를 지면에 거치한 후 강관비계용 파이프다발을 인양하던 중, 아웃트리거 하부 지반이 침하되면서 전도되는 크레인과 자재 사이에 근로자가 협착됨</t>
  </si>
  <si>
    <t>▶ 이동식크레인을 이용한 작업 시, 작업전 작업장소의 지반상태 사전점검 실시
▶ 지반 침하 위험이 있는 작업 시, 깔판, 깔목 설치를 통한 침하방지조치 실시</t>
  </si>
  <si>
    <t>2018년 1월경 OO건설(주) 신축공사 현장에서 재해자가 외부 강관비계 해체 작업 중 몸의 중심을 잃고 지상 1층 바닥(H≒20m)으로 떨어져 사망</t>
  </si>
  <si>
    <t>2018년 1월경 OO 신축공사 현장에서 재해자가 동 외부비계 해체작업을 위해 작업발판 11단에서 10단으로 이동 중 몸의 중심을 잃고 자재 인양구 측 지상 바닥으로 떨어져(H≒21.2m) 사망</t>
  </si>
  <si>
    <t>2018년 1월경 ㈜OO지점이 시공중인 (주)OOO코리아 신사옥 건설공사 현장에서 협력업체 OO건설 소속 재해자(비계공)가 전면부 지상4층 외부 강관비계 작업발판 상부에서 비계기둥 연장설치 작업 중 쓰러지는 강관파이프(6m, 약 15.78kg)와 함께 지상1층 바닥(H≒15m)으로 떨어져 사망</t>
  </si>
  <si>
    <t>추락방지조치 미흡한 상태에서 지상층 전면부 철골기둥의 비계 외측 수직 강관설치작업을 도와주기 위해 비계 작업발판 상부에서 외측 수직강관 설치작업 중 쓰러지는 강관파이프와 함께 지면으로 추락</t>
  </si>
  <si>
    <t>▶ 추락 위험이 있는 작업 시, 안전방망, 안전난간, 안전대 부착설비 등 안전방호조치 실시
▶ 작업 전 안전대 지급 및 착용, 체결상태 관리감독자 확인 철저</t>
  </si>
  <si>
    <t>2018년 5월경 다가구주택 신축공사 현장에서 재해자가 건물 전면도로상 외부 비계에 인접한 전신주의 변압기통 충전전로(22.9kv)에 접근하여 이동하던 중 접촉, 감전되어 지상으로 떨어져(H≒10m) 사망</t>
  </si>
  <si>
    <t>2018년 5월경 다가구주택 신축공사 현장에서 건물 배면 외부 강관비계의 4단 작업발판 단부에 안전난간을 설치하려던 재해자가 몸의 중심을 잃고 지상 약 9.4m 높이에서 떨어져 사망</t>
  </si>
  <si>
    <t>2018년 6월경 OO근린생활시설 신축공사 현장에서 외부 비계 해체작업 중 재해자가 해체한 작업발판을 지면으로 던지다가 작업발판 고리가 장갑에 걸리며 작업발판과 함께 지면(H=5.7m)으로 떨어져 사망</t>
  </si>
  <si>
    <t>2018년 6월경 주택 리모델링 공사현장에서 재해자가 3단 띠장에서 비계 조립작업을 위해 이동 중 떨어져(H≒6m) 사망</t>
  </si>
  <si>
    <t xml:space="preserve">2018년 6월경 OO건설에서 시공하는 업무시설 신축공사 현장에서 지상 8층 외부 비계 해체 작업을 위해 재해자 2명이 강관파이프(L=4m)를 해체하여 운반 중, 강관파이프가 옆 건물 옥상에 설치된 고압수전설비 충전전로(22.9kV)에 접촉(이격거리 약 1.0m) 하여 감전, 강관파이프를 건네주던 재해자1은 감전되어 사망, 지상 7층 외부비계에서 강관파이프를 건네받던 재해자2는 통전되며 3층과 4층 사이에 설치된 비계 작업발판에 추락하며 부상 </t>
  </si>
  <si>
    <t>2018년 7월경 OO건설이 시공하는 근린생활시설 신축현장에서 재해자가 외부비계 연장설치작업을 위해 4m비계(2개)를 어깨에 메고 지상2층 계단실쪽의 외부비계로 이동하던 중, 고정되지 않은 계단실 벽체거푸집 작업발판을 밟아 작업발판이 뒤집히면서 작업발판과 함께 높이 5.4m아래 지상콘크리트 바닥으로 떨어져 사망</t>
  </si>
  <si>
    <t>외부비계 작업발판에서 자재 운반 중 고정되지 않은 작업발판이 뒤집히며 추락</t>
  </si>
  <si>
    <t>▶ 비계 작업발판은 2개소 이상 견고하게 고정하고 작업 실시
▶ 작업발판의 단부와 같이 근로자가 떨어질 위험이 있는 장소에는 안전난간 및 안전방망 설치</t>
  </si>
  <si>
    <t>2018년 8월경 OO 지식산업센터 신축공사 현장에서 재해자가 현장 대지경계선에 설치되어 있던 가설 울타리의 강관지지대 해체를 위해 하단 수평재를 밟고 서서 상단 수평재를 해체하던 중 해체한 수평재와 함께 약 3.5m 바닥에 추락하여 사망</t>
  </si>
  <si>
    <t>2018년 8월경 OO오피스텔 신축공사 현장에서 재해자가 주차타워 내부에 설치된 시스템비계 해체작업 중 시스템비계에 설치되어 있던 수직·수평재를 해체하는 과정에서 몸의 중심을 잃고 약 16미터 아래 지하5층 주차타워 바닥으로 떨어져 사망</t>
  </si>
  <si>
    <t>2018년 11월경 OO건설이 시공하는 근린생활시설 및 주택신축공사 현장에서 차량탑재형 이동식크레인을 이용해 강관파이프 다발(무게 347kg)을 하역작업 중 크레인의 보조윈치 와이어로프(ø10)가 파단되면서 하역 작업구간 아래를 지나던 재해자가 떨어지는 강관파이프 다발에 맞아 사망</t>
  </si>
  <si>
    <t>2018년 12월경 크레인으로 벽체 조립용 철근을 지상에서 4F 바닥으로 인양작업 중 크레인 붐대에 외부비계(System)의 안전난간이 간섭되자 재해자가 5F 높이의 외부비계 내외부 안전난간을 해체하던 중 구조물 4F 바닥으로 추락(H≒4.6m)하여 사망</t>
  </si>
  <si>
    <t>2019년 1월경 축사(돈사) 토목공사 현장에서 재해자가 외부비계 작업발판(4단) 위에서 단부 안전난간 밖으로 몸을 내밀어서 상부에서 해체한 작업발판을 받아서 지상으로 던지던 중 몸에 중심을 잃고 지면으로 떨어져(H=7.35m) 사망</t>
  </si>
  <si>
    <t>비계 안전난간 밖으로 과도하게 몸을 내밀어서 작업 중 몸의 중심을 잃고 추락</t>
  </si>
  <si>
    <t>▶ 자재 반입 및 인양 등의 이유로 외부비계의 안전난간을 해체하는 행위 절대 금지 조치
▶ 외부 비계의 안전난간 보수, 설치 등 안전시설물의 보수작업을 진행하는 경우, 개인보호구를 착용하며 추락에 대비하여 안전대를 반드시 체결한 후 작업을 실시</t>
  </si>
  <si>
    <t>2019년 1월경 OO건설에서 시공하는 공동주택 및 오피스텔 신축공사 현장에서 재해자가 지상10층, 외부비계 작업발판 17단 위치에서 비계 설치를 위하여 자재를 인양하여 들어올리는 과정에서 몸의 중심을 잃고 외부비계 아래 지상 바닥(높이 약 32m)으로 떨어져 사망</t>
  </si>
  <si>
    <t>2019년 1월경 OO건설에서 시공하는 주상복합 신축공사 현장에서 재해자가 지하 4층 주차장 합벽거푸집 콘크리트 타설용 강관비계 위에서 작업발판을 해체하던 중 약 3.6m 아래 콘크리트 바닥으로 떨어져 사망</t>
  </si>
  <si>
    <t>2019년 1월경 OO건설의 지식산업센터 신축공사 현장의 주차타워 내부 비계 위에서 재해자 2명이 타워크레인으로 인양되는 비계재료(강관, 클램프 등)를 받기 위해 신호 및 대기하던 중 지상 14층 주차타워 개구부 단부에 설치된 안전난간에 인양하물이 걸려 기울어지면서 강관파이프 등 비계재료가 줄걸이에서 이탈되어 약 26.8m 아래에 있던 재해자 2명이 떨어지는 비계 재료에 맞거나 피하던 중 지하바닥 등으로 추락하여 사망</t>
  </si>
  <si>
    <t>적재된 단관비계다발 하역을 위한 화물고정용 섬유벨트 해체 후 비계다발이 차량하부로 낙하하며 근로자 강타</t>
  </si>
  <si>
    <t>▶ 화물적재 작업 시 최대 적재량 및 한쪽으로 치우치지 않은 적재 등의 조치 준수
▶ 로프 풀기 작업 시 적재함의 화물이 떨어질 위험이 없음을 확인 호 주치 실시</t>
  </si>
  <si>
    <t>2019년 3월경 OO건설에서 시공하는 건물 철거공사 현장에서 외부 비산방지시설 지지용 외줄비계 해체 작업 중이던, 재해자가 기설치 되어 있던 수직강관파이프를 해체 하던 중 약 9m 높이에서 지상바닥으로 추락하여 사망</t>
  </si>
  <si>
    <t>2019년 4월경 OO건설에서 시공하는 공동주택 신축공사 현장에서 재해자가 외부 시스템비계 설치 작업 중, 완전히 고정되지 않는 상부 안전난간용 수평재가 분리되면서 약 13.5m 아래 아스팔트 바닥으로 추락하여 사망</t>
  </si>
  <si>
    <t>2019년 6월경 OO건설 근린생활 및 공동주택 신축공사 현장에서 재해자가 외부비계 해체작업을 위해 허리에 해체작업용 공구 주머니를 차고 비계 위를 올라가던 중 1층 바닥으로 떨어져(높이≒12m) 사망</t>
  </si>
  <si>
    <t>2019년 6월경 ㈜OO에서 시공하는 OO사옥 업무시설 신축공사 현장에서 재해자가 지하3층에 설치되어 있던 작업발판단부 가설안전난간대를 설치하기 위하여 작업발판 위를 이동하던 중 작업발판을 지지하고 있던 비계기둥 연결부가 이탈되면서 약12m아래 지하6층 바닥으로 추락하여 사망</t>
  </si>
  <si>
    <t>2019년 7월경 OO(주)가 시공하는 PLANT 공사 현장에서 재해자가 공장 타워동 3.5층(3층과 4층사이 Work Plate)에 비계설치 작업을 위해 자재를 운반하던 중, 몸의 균형을 잃고 개구부(1.8m×1.7m)에서 공장 1층 바닥(H≒24m)으로 추락하여 사망</t>
  </si>
  <si>
    <t>안전난간이 미설치된 개구부 주변에서 작업 중 몸의 중심을 잃고 추락</t>
  </si>
  <si>
    <t>2019년 7월경 교회 증축공사 현장에서 재해자가 건물우측 외부비계 4단 띠장(H≒7.4m) 작업발판 위에서 5단 장선 조립 작업 중 발을 헛디뎌 7.4m 아래 콘크리트 바닥으로 떨어져 사망</t>
  </si>
  <si>
    <t>2019년 10월경 OO건설에서 시공하는 아파트 신축공사 현장에서 재해자가 중력식 옹벽의 외부비계의 수직사다리를 타고 내려오던 중 몸의 균형을 잃고 바닥면으로 떨어져(H≒3.8m) 사망</t>
  </si>
  <si>
    <t>비계 바깥면으로 설치된 수직 사다리를 이용하여 승하강 이동 중 몸의 균형을 잃고 추락</t>
  </si>
  <si>
    <t>▶ 비계 작업발판 상하단 승하강 이동통로는 비계 내부에 설치하는 등 안전한 구조로 설치
▶ 비계 외부로 승하강 사다리를 설치하는 경우 안전대 부착설비를 설치하고 안전대를 반드시 체결한 후 작업을 실시</t>
  </si>
  <si>
    <t>2019년 11월경 ㈜OO 직업체험관 건립사업 시설공사 현장에서 재해자가 지상3층 우측면 외부계단에서 해체된 외부비계 자재 정리 중 몸의 중심을 잃고 약 7.8m 지상1층 바닥으로 떨어져 사망</t>
  </si>
  <si>
    <t>비계 해체자재인 승강사다리를 외부계단 단부에서 낙하시켜 반출하던 중 몸의 중심을 잃고 바닥으로 추락</t>
  </si>
  <si>
    <t>▶ 개구부 등 추락위험구간에 덮개, 안전난간, 수직형방망 등 추락방지조치 준수</t>
  </si>
  <si>
    <t>2019년 11월경 축사 신축공사 현장에서 재해자가 건물 외부의 강관비계 위에서 비계 설치작업을 하던 중, 몸의 중심을 잃고 지상으로 떨어져(H=7.6m) 사망</t>
  </si>
  <si>
    <t>2019년 12월경 OO건설이 시공하는 다세대주택 신축공사 현장에서 재해자가 건물의 좌측면 비계 3단(높이: 6.1m)에서 비계 자재(강관 파이프)를 지상으로 내리는 도중 실족하여 건물 밖 도로 위로 추락하여 사망</t>
  </si>
  <si>
    <t>▶ 추락 위험이 있는 비계 해체작업 시 작업발판 설치, 안전대 부착설비 등 추락방호조치 실시
▶ 작업 전 안전대 지급 및 체결상태 관리</t>
  </si>
  <si>
    <t>2019년 12월경 OO건설㈜의 연결도로 건설공사 현장에서 재해자 등 4명이 구조물(수로암거)공사 작업에 사용할 작업발판 1묶음[작업발판 1개당 중량 11.8kg,5줄×10단 총50개, 총 중량 590kg] 운반하는 과정에서, 차량탑재형 크레인(7.3ton)으로 양중한 인양물(작업발판)을 암거 벽체철근 사이의 콘크리트 바닥에 하역하던 중 차량탑재형 크레인의 턴테이블 링기어 고정볼트가 파단되며, 작업발판과 차량탑재형 크레인(7.3ton)의 붐대가 재해자를 덮쳐 수로암거의 벽체철근과 낙하된 작업발판 사이에 깔려 사망</t>
  </si>
  <si>
    <t>이동식크레인을 통한 전주 인양 후 상차 도중 붐 파손에 의한 붐 낙하 및 근로자 충돌</t>
  </si>
  <si>
    <t>▶ 중량물 인양 시 낙하 위험장소의 근로자 출입금지구역 설치
▶ 작업 전 반복 하중에 의해 균열 등이 육안검사로 확인 즉시 작업 중단
▶ 주기적인 이동식 크레인 안전검사 철저</t>
  </si>
  <si>
    <t>거푸집</t>
  </si>
  <si>
    <t>2020년 1월경 OO건설 공동주택 신축공사 현장에서 재해자가 11층 측면부 벽체 부분에 비계를 설치하기 위해 바닥 정리 작업 중 측면 벽체거푸집(약 2.4톤) 일부가 전도되면서 적재되어 있는 유로폼과 거푸집 사이에 재해자의 두부가 협착되어 사망</t>
  </si>
  <si>
    <t>바닥 정리 작업 중 측면 벽체거푸집 일부가 전도되면서 근로자가 적재되어 있는 유로폼과 거푸집 사이에 끼임</t>
  </si>
  <si>
    <t>▶ 거푸집 전도방지를 위한 버팀대 또는 지지대 설치
▶ 거푸집 조립 후 인양하여 설치하는 경우 전도방지를 위해 안전대책(버팀대와 당김줄 등 설치) 수립</t>
  </si>
  <si>
    <t>2020년 2월경 OO건설 오피스텔 신축공사 현장에서 재해자가 지상7층 높이 외부비계 위에서 시스템비계 분진망 설치 작업 중 발판 단부에서 실족, 높이 20.3m 아래 지상으로 추락하여 사망</t>
  </si>
  <si>
    <t>2020년 6월경 단독주택 신축공사 현장에서 재해자가 건물 동측면에 설치된 강관비계 2단 작업발판 해체작업 중 약 1.8m아래 콘크리트 바닥으로 떨어져 사망</t>
  </si>
  <si>
    <t>2020년 8월경 OO건설에서 시공하는 주택재개발정비사업 중 철거작업 현장에서 재해자가 철거대상 건물에 설치된 외부비계 해체를 위해 비계에 오르던 중 인접 가공전로(22.9kV)에 접촉·감전되어 바닥으로 떨어져(H≒10m) 사망</t>
  </si>
  <si>
    <t>2020년 8월경 OO공사 현장에서 재해자가 카고트럭 적재함에 적재된 단관비계 다발을 하역하기 위해 짐걸이로 사용했던 화물고정용 섬유벨트(자동바)를 해체하는 순간 상단에 적재되어 있던 단관비계 다발이 차량하부로 떨어지면서(H≒2.3m) 재해자의 상반신(두부 및 흉부)이 충돌되어 사망</t>
  </si>
  <si>
    <t>2020년 11월경 OO건설 도시형생활주택 신축공사에서 재해자가 지상1층에서 시스템비계 자재의 양중작업 과정 떨어진(H≒20m) 자재에 맞아 사망</t>
  </si>
  <si>
    <t>2021년 2월경 OO건립공사 현장에서 지상 1층 주출입구 앞 벽체 마감 작업을 위한 작업발판 설치 작업 중 재해자가 1단 작업발판 위에서 바닥으로 추락하여 사망</t>
  </si>
  <si>
    <t>2021년 4월경 OO건설 다가구주택 신축공사에서 재해자가 외부비계 해체 작업 중 3단위치 작업발판에서 해체된 비계부재(원형강관, 직경 48.6mm, 길이6.0m)를 아래로 던지는 과정에 몸의 중심을 잃고 추락(H≒4.6m)하여 사망</t>
  </si>
  <si>
    <t>2021년 4월경 OO동 철거공사 현장에서 비계해체 작업 중 해체된 강관파이프가 주변에 있는 전주의 22,900V 특별고압 충전전로에 접촉되어 재해자 2명 부상</t>
  </si>
  <si>
    <t>2021년 6월경 실내 천정 및 철 구조물 도장공사 현장에서 재해자가 강관비계의 기둥을 연결하는 작업 중 재해자가 잡고 있던 강관 파이프가 자중에 의해 옆으로 쓰러지며 강관의 단부가 재해자의 얼굴을 가격하여, 재해자의 안전모가 벗겨진 채로 높이 약 3.3M 아래 수영장 바닥으로 추락하여 사망</t>
  </si>
  <si>
    <t>강관비계의 기둥을 연결하는 작업 중 강관 파이프가 자중에 의해 옆으로 쓰러지며 강관의 단부에 얼굴을 맞아 수영장 바닥으로 추락</t>
  </si>
  <si>
    <t>▶ 강관비계 설치 작업 시 강관을 가조립 하는 등 임시로 연결할 경우 전도방지조치 실시
▶ 안전모, 작업대 등 개인보호구 착용에 대한 관리 철저</t>
  </si>
  <si>
    <t>2021년 8월경 OO건축에서 시공하는 교회 신축공사 중 인테리어공사 현장에서 재해자가 대예배실 내 기(旣)설치 되어있던 강관비계를 일부 철거 후 재설치를 위해 강관비계 2단 발판 위에서 작업 중 약 6m 아래 바닥으로 추락 후 사망</t>
  </si>
  <si>
    <t>2021년 8월경 OO건설 상가주택 신축공사 현장에서 재해자는 구조물 외부 시스템비계 4단 계단부위 상부에서 안전대 등 보호구를 착용하지 않고 비계 해체작업 중 8.3m 바닥으로 떨어져 사망</t>
  </si>
  <si>
    <t>2021년 9월경 단독주택 신축공사 현장에서 강관비계 철거 작업 중, 2단 작업발판 위에서 수평재를 잡고 있던 재해자가 발을 헛디디며 높이 약 3m 아래 바닥으로 추락하여 사망</t>
  </si>
  <si>
    <t>2021년 9월경 OO건설의 외벽 및 화장실 리모델링 공사 현장에서 비계 해체 작업 중인 재해자가 건물 외부 강관비계 작업발판에서 약 6m 바닥으로 떨어져 사망</t>
  </si>
  <si>
    <t>재해자가 카고트럭</t>
  </si>
  <si>
    <t>재해자가 카고트럭 상부에서 강관파이프 다발(중량≒630kg) 적재작업을 하는 중 굴착기 운전원의 오조작에 의해 붐대와 함께 강관파이프 다발이 회전하면서 재해자의 안면을 강타하여 사망</t>
  </si>
  <si>
    <t>굴삭기 운전원의 오조작에 의해 붐대와 함께 강관파이프 다발이 회전하면서 안면을 강타</t>
  </si>
  <si>
    <t xml:space="preserve">▶ 관리감독자의 유해ㆍ위험방지 업무 철저
▶ 중량물 취급시에는 운반 등의 작업에 있어서 계획서를 작업하고 그 계획에 따라 작업하도록 지시
▶ 개인보호구 착용 및 관리 철저 </t>
  </si>
  <si>
    <t>OO건설(주) 소</t>
  </si>
  <si>
    <t>OO건설(주) 소속 재해자가 지하주차장 램프 출입구 석공사 작업용 강관비계 설치작업 중 시스템 비계 2단에서 “쿵”소리와 함께 약 4m 아래 콘크리트 바닥으로 추락하여 사망</t>
  </si>
  <si>
    <t>12.2.4 안전가시설(이동식비계)</t>
  </si>
  <si>
    <t>2016년 8월경 은행 신축공사 현장에서 협력업체 소속 재해자가 이동식틀비계 부재(수직틀)를 운반 하던 중 후진하던 타이어롤러와 충돌, 협착하여 사망한 재해임.</t>
  </si>
  <si>
    <t xml:space="preserve">2018년 4월경 OO건설 OO신축공사 현장 5층에서 재해자가 이동식비계 위에서 천장의 철선 제거작업 중 몸의 중심을 잃고 바닥으로 떨어져(H≒1.8m) 사망 </t>
  </si>
  <si>
    <t>이동식비계 위에서 천장의 철선 제거작업 중 몸의 중심을 잃고 바닥으로 추락</t>
  </si>
  <si>
    <t>▶ 이동식 비계 조립 시, 안전난간대 높이 준수, 아웃트리거 설치 등 안전조치 실시
▶ 작업자의 개인보호구, 안전대 체결여부 점검 및 관리감독</t>
  </si>
  <si>
    <t>12.2.5 안전가시설(달비계)</t>
  </si>
  <si>
    <t>2016년 4월경 OO교 내진보강공사 현장에서 재해자가 교각 코핑구조물에서 달대비계 해체작업 중, 지지 수직 현수재(와이어로프)가 풀리면서 작업발판이 기울어져 재해자가 강으로 떨어져(H=13.6m) 사망</t>
  </si>
  <si>
    <t>달비계</t>
  </si>
  <si>
    <t>2017년 9월경 OO건물 신축공사 현장에서 재해자가 달비계를 이용하여 건물 전면부 외벽 준공 청소를 진행 중 작업용 로프(∮20mm, P.P로프)가 파단되면서 약 10m 하부 바닥면으로 추락하여 사망</t>
  </si>
  <si>
    <t>달비계를 이용한 외벽 준공 청소 중 작업용 로프의 파단으로 근로자가 추락</t>
  </si>
  <si>
    <t>▶ 달비계 작업 시 구명줄 설치 및 안전대(추락방지대)를 걸고 작업 실시
▶ 작업용 로프의 상태 확인 후 노후되었을 시 교체 실시</t>
  </si>
  <si>
    <t>2018년 9월경 OO(주)에서 시공하는 내·외부 균열보수 및 재도장 공사에서 단지 내 외벽 재도장공사 중 외벽 달비계 작업자 3명을 보조하는 재해자가 로프 재설치를 위해 옥상에서 이동 중(추정) 약 45m 아래 지상 1층 바닥으로 추락하여 사망</t>
  </si>
  <si>
    <t>로프 재설치를 위해 옥상에서 이동 중, 근로자가 몸의 균형을 잃고 추락</t>
  </si>
  <si>
    <t>▶ 작업발판 및 통로의 끝이나 개구부로서 근로자가 추락할 위험이 있는 장소에는 안전난간 등 방호조치 실시
▶ 안전난간 설치가 곤란한 경우 안전대 부착설비 설치 실시</t>
  </si>
  <si>
    <t>12.2.6 안전가시설(추락방지망)</t>
  </si>
  <si>
    <t>2017년 1월경 OO건설의 공사현장에서 안전시설물 설치 협력업체 소속의 재해자가 아파트 갱폼 최상단 작업발판(지상 6층부위) 위에서 기 적재되어 있던 보양용 천막자재 한 묶음을 약 2.8m 아래 지상 5층 슬라브 바닥으로 던져 내리던 중 천막자재와 함께 추락, 슬라브 바닥에 돌출되어 있던 벽체철근(D10mm)에 가슴부위를 찔려 사망</t>
  </si>
  <si>
    <t>작업발판에서 보양용 천막자재 하역작업 중 천막자재와 함께 바닥으로 추락하며 철근에 가슴 관통</t>
  </si>
  <si>
    <t>▶ 개구부 등 추락위험구간에 안전난간 등 추락방지조치 준수
▶ 작업 전 안전대 지급 및 체결상태 관리
▶ 작업 중 안전대 체결여부 및 체결상태 확인</t>
  </si>
  <si>
    <t>2017년 5월경 ㈜OO에서 시공중인 공장 철거공사 현장에서 하청 소속 근로자 재해자가 좌측 외줄비계 4단에서 분진망 해체작업 중, 몸의 중심을 잃고 약 4.8m 아래 바닥으로 떨어져 사망</t>
  </si>
  <si>
    <t>지붕 트러스구조물에 설치된 추락방호망 해체작업 중 고정로프 파단에 의해 개구부로 추락</t>
  </si>
  <si>
    <t>▶ 추락 위험이 있는 작업 시, 안전대 부착설비, 추락방호망 등 안전방호조치 실시
▶ 작업 전 클램프 체결상태 안전점검 실시
▶ 작업 전 안전보호구(안전대) 지급 및 체결상태 관리</t>
  </si>
  <si>
    <t>방망</t>
  </si>
  <si>
    <t>2019년 5월경 OO시설공사(PVF 막구조물 설치공사) 현장에서 재해자가 지붕 트러스구조물에 설치된추락방호망 위에서 같은 추락방호망 해체작업을 하던 중, 지붕 트러스 구조물에 고정해놓은 로프가 끊어진 개구부(높이 : 약14.4m) 아래 관람석 바닥으로 떨어져 사망</t>
  </si>
  <si>
    <t>2019년 5월경 OO 주상복합 신축공사 현장에서 협력업체 소속 재해자가 추락방호망(낙하물방지망 겸용)에 떨어져 있는 공사잔재물 및 쓰레기를 치우는 작업을 하기 위하여, 지상7층에 위치한 추락방호망 위로 올라가 이동하며 작업하던 중 철선(D:0.86㎜)으로 연결된 추락방호망 구간을 밟는 순간 철선(D:0.86㎜)이 파단되며 약 7.77m 아래 지상5층 바닥으로 추락하여 사망</t>
  </si>
  <si>
    <t>12.2.7 안전가시설(가설통로 또는 가설계단)</t>
  </si>
  <si>
    <t>2016년 10월경 OO건설에서 시공하는 OO교회 신축공사(토목공사)현장에서 재해자가 지하2층으로 내려가는 가설계단 철거작업중 높이 약7.3m 지하2층 콘크리트바닥으로 떨어져 사망</t>
  </si>
  <si>
    <t>가설계단 철거작업 중, 계단발판이 이탈되어 발판에 있던 근로자가 바닥으로 추락</t>
  </si>
  <si>
    <t>▶ 작업 전 안전대 지급 및 체결상태 관리
▶ 추락 위험이 있는 작업 시 안전대 부착설비, 추락방지망 등 추락방지조치 실시</t>
  </si>
  <si>
    <t>2017년 8월경 OO건설이 시공하는 국도 보수공사현장에서 재해자가 교각에 안전난간을 설치하기 위해 교량위에서 점검용 수직통로(사다리)를 타고 내려가, 수직통로 끝단부에서 교각으로 이동하려다 하천 바닥으로 떨어져(h=7m) 사망</t>
  </si>
  <si>
    <t>수직통로(사다리) 끝단부에서 구조물으로 이동 중 실족하여 추락함</t>
  </si>
  <si>
    <t>▶ 수직통로(사다리) 설치 및 교각 단부에 안전난간 설치
▶ 추락 방지를 위한 비계 조립 시 작업발판 설치 또는 고소작업대 사용
▶ 수작통로(사다리) 끝단부 통로(그레이팅)에서 이동 시 안전대 착용</t>
  </si>
  <si>
    <t>2018년 7월경 OO공원 내 현장설비보수작업장에서 재해자가 집진시설에 고정된 승강용 사다리를 시설과 5cm 추가 이격하여 재설치하는 작업 중 집진시설에서 분리해 놓은 사다리를 밟고 집진시설(H=2M) 상단에 올라가기 위해서 집진시설 상단의 안전난간을 잡고 오르다 안전난간이 집진시설로부터 탈락되며 재해자가 건물 밖 서측 외부 바닥으로 떨어짐(H≒11.8m)</t>
  </si>
  <si>
    <t>2018년 10월경 OO공장 내 안전통로 및 안전난간대 개선공사 현장에서 재해자가 천정크레인 이동통로의 바닥발판을 교체하던 작업을 하던중 실족하여 높이 약 27m 지상아래 바닥으로 떨어져 사망</t>
  </si>
  <si>
    <t>2019년 4월경 OO 청사 증축 현장 내 재해자 2명이 지하3층 구간의 가설계단 수정 및 안전난간 연결 작업 중 가설계단이 무너지며 바닥으로 떨어져(h≒3.0m, 2.0m) 3개월 이상의 요양이 필요한 부상</t>
  </si>
  <si>
    <t>2020년 4월경 ㈜OO의 OO 신축공사 현장에서 토공사 협력업체 재해자가 주출입구 통제용 가림막 고정작업을 위해 흙막이 단부에서 이동 중 지하 1층 바닥으로 추락(H≒3.9m), 바닥에 설치된 벽체 수직철근에 흉부가 관통되어 사망</t>
  </si>
  <si>
    <t>안전난간이 미설치 된 흙막이 상부 이동 중 몸의 중심을 잃고 추락</t>
  </si>
  <si>
    <t>▶ 개구부 등 추락위험구간에 덮개, 안전난간 등 추락방지조치 준수
▶ 근로자 안전통로 설치</t>
  </si>
  <si>
    <t>12.2.8 안전가시설(낙하물방지망)</t>
  </si>
  <si>
    <t>2016년 1월경 OO산업(주) OO고속도로현장에서, 교량 상부 구조물(Steel Box Girder) 하단에 설치된 낙하물방지공(비계 Pipe+합판) 위로 올라가 비계 Pipe와 합판을 해체하던 비계공 2명이 약 6.9m 아래 지상 도로 바닥면으로 떨어져 부상</t>
  </si>
  <si>
    <t xml:space="preserve">안전대 미착용한 근로자가 낙하물 방지망 설치 해체를 위해 일부 체결부 해체 작업 중  갑작스런 낙하물방지망 낙하로 몸의 중심을 잃고 추락 </t>
  </si>
  <si>
    <t>▶ 추락 위험이 있는 작업 시, 안전대 부착설비, 추락방호망 등 안전방호조치 실시
▶ 작업 전 안전보호구(안전대) 지급 및 체결상태 관리
▶ 낙하물방지망 해체 작업 시 상부로부터 하부로 순차적으로 해체하는 식의 작업방식 준수</t>
  </si>
  <si>
    <t>2016년 4월경 OO건설(주) OO대학교증축공사 현장에서 재해자가 낙하물방지망을 해체하는 작업 중 낙하물방지망 지지용 사다리를 고정하던 와이어로프가 풀리면서 떨어져 (H≒7.4m)사망</t>
  </si>
  <si>
    <t>2016년 6월경 OO업무시설 신축공사현장에서, 재해자가 지상 4층(약 11m) 높이의 외부비계에서 강관파이프를 이용하여 낙하물방지망 설치용 비계를 설치하던 중, 강관파이프(6m)가 가공전로(22.9KV 배전선로)의 충전부에 닿으며 발생한 아아크 및 전격에 의해 전신 화상을 당하고 지상 바닥으로 추락</t>
  </si>
  <si>
    <t>강관파이프를 이용한 낙하물방지망 설치용 비계 설치 중 강관파이프의 충전부 접촉에 따른 아크 발생 후 감전 및 화상</t>
  </si>
  <si>
    <t>▶ 감전위험이 있는 작업 시 정전작업, 절연용 보호구 등 안전방호조치 실시
▶ 충전전로 인근 접근금지 조치 실시</t>
  </si>
  <si>
    <t>2017년 4월경 OO종합건설㈜ OO신축공사 현장에서 재해자가 3층(높이 약8m) 옆에 설치되어 있던 낙하물방지망을 해체하는 과정에서 낙하물방지망이 탈락 되면서 지상으로 추락하여 사망</t>
  </si>
  <si>
    <t>2017년 6월경 OO아파트 신축공사 현장에서 재해자가 OO동 낙하물방지망 해체작업 중 상부에서 하강하는 건설작업용 리프트와 낙하물방지망 틀이 충돌하여 낙하물방지망 고정용 와이어로프를 지지하는 볼트가 휘어지면서 와이어로프가 이탈, 약 16m 아래 바닥으로 떨어져 사망</t>
  </si>
  <si>
    <t>2018년 2월경 OO건설(주) OO호텔 신축공사 현장에서, 협력업체 소속 재해자가 지상 3층 외벽(H=8.5m)의 안전방망(추락/낙하방지망 겸용) 설치 작업 중 몸의 중심을 잃고 지상바닥으로 떨어져 사망</t>
  </si>
  <si>
    <t>외벽의 안전방망 설치 완료 후 안전방망을 인양 고정하던 T/C크레인의 훅을 제거하기 위해 안전방망 사이를 이동하던 중 안전방망 사이로 떨어져 바닥으로 추락</t>
  </si>
  <si>
    <t>▶ 추락 위험이 있는 작업 시 추락방호망, 안전대부착설비 등 추락방호조치 실시
▶ 추락방호망 설치가 불가피한 경우, 안전대 부착설비 설치 및 이동시 안전대 체결 후 이동조치 실시</t>
  </si>
  <si>
    <t>2018년 5월경 재해자가 OO공사 현장의 구조물 2층 외부비계에서 낙하물방지망(1단)을 설치하던 중 지하1층 바닥으로 추락(H≒10m)하여  사망</t>
  </si>
  <si>
    <t>외부비계에서 낙하물방지망을 설치하던 중 몸의 중심을 잃고 안전난간이 미설치된 건물 외벽방향으로 실족하여 추락</t>
  </si>
  <si>
    <t>▶ 추락 위험이 있는 작업 시, 낙하물방지망, 쌍줄비계의 작업발판, 안전난간 등 안전방호조치 실시
▶ 작업 전 안전대 지급 및 착용, 체결상태 관리</t>
  </si>
  <si>
    <t>2018년 8월경 OO건설(주)에서 시공 중인 OO복구공사 현장에서 하도급업체 소속 재해자가 절개지(높이 20m)에 낙석방지망 와이어로프 설치를 위해 와이어로프를 잡고 있던 중 하단부 동료작업자의 신호를 받고 재해자가 와이어로프를 놓는 순간 와이어로프가 재해자를 타격하여 안전대걸이설비(훅,hook)가 체결되어 있던 낙석방지망의 철망이 풀려 떨어져서 사망</t>
  </si>
  <si>
    <t>낙석방지망 설치 작업 중 지지하는 와이어로프가 근로자를 타격하여 근로자가 몸의 중심을 잃은 충격으로 인해 안전대걸이설비가 체결되어 있던 낙석방지망철망이 파단되어 추락</t>
  </si>
  <si>
    <t>▶ 안전대 부착설비를 설치한 후 안전대 체결하고 작업 실시
▶ 관리감독자를 배치하여 낙석방지망 설치작업에 대한 위험성 평가를 실시
▶ 종 와이어로프 이동설치 작업시 와이어로프가 작업자를 타격하여 떨어질 위험이 있어 작업자의 위치는 이동방향 반대에 위치</t>
  </si>
  <si>
    <t>2018년 12월경 (주)O건설에서 시공하는 아파트 신축공사 현장에서 재해자가 지상3층에서 창 밖으로 몸을 내밀어 외부 낙하물 방지망 1단 설치작업 중 몸의 중심을 잃고 지상1층 바닥(H=9m)으로 떨어져 사망</t>
  </si>
  <si>
    <t xml:space="preserve"> 2018년 12월경 OO주택 신축공사 현장에서 재해자가 OO동 20층(H=56m) 2호 세대 침실3에서 아파트 외벽에 설치할 낙하물방지망 설치를 위해 외벽 길이 확인 작업을 하던 중 몸의 중심을 잃고 42m 아래 1단 낙하물방지망(H=14m)으로 추락하여 사망</t>
  </si>
  <si>
    <t>안전대 미착용한 상태에서 낙하물방지망 설치 작업을 위해 개구부 밖으로 몸을 내밀고 외벽 길이 확인을 하던 중 몸의 중심을 잃고 추락</t>
  </si>
  <si>
    <t>▶ 추락 위험이 있는 작업 시, 안전대 부착설비, 추락방호망 등 안전방호조치 실시
▶ 작업 전 안전보호구(안전대) 지급 및 체결상태 관리</t>
  </si>
  <si>
    <t>2019년 1월경 OO종합건설(주)에서 시공하는 근린생활시설신축공사 현장에서 재해자가 외부 1단 낙하물방지망 설치작업을 하던 중 낙하물방지망 지지대의 경사지지용 와이어로프가 풀리면서 약 7m 아래 콘크리트 바닥으로 떨어져 사망</t>
  </si>
  <si>
    <t>2019년 3월경 OOOO(주) 공동주택 신축공사 현장에서 재해자가 OO동 건설용리프트 설치구간 낙하물방지망 해체작업 중 건설용리프트 기초로 추락(H≒19.8m)하여 사망</t>
  </si>
  <si>
    <t>2020년 1월경 OO현장에서 재해자 2명이 높이 약 6m 위에 설치된 매달기형 작업네트(이하 네트) 해체 작업을 위해 네트 위에 올라 네트와 네트를 연결한 U볼트를 풀던 중 네트가 탈락되면서 근로자 2명이 바닥으로 떨어져 부상</t>
  </si>
  <si>
    <t>2020년 2월경 아파트 공사현장에서, 재해자가 낙하물 방지망(시스템형)을 추가 설치하기 위하여 4층 에어컨 실외기 설치용 바닥(1.2×0.6m)에서 와이어 로프 길이를 조절하던 중 지상 콘크리트 바닥으로 추락(H≒9.5m)</t>
  </si>
  <si>
    <t>2020년 8월경 (주)OO건설  OO중학교 건설현장에서 지상 2층 외부 낙하물방지망 설치작업 중 낙하물방지망 상부지지대와 하부지지대를 체결한 클램프가 풀리면서 재해자가 지상1층 바닥으로 추락(H≒7m)하여 사망</t>
  </si>
  <si>
    <t>2020년 11월경 (주)OO건설에서 시공하는 OO오피스텔 신축공사 현장에서 재해자가 지상 14층 개구부 단부에서 낙하물방지망 설치작업 중 1층 바닥으로 약 47m 추락하여 사망</t>
  </si>
  <si>
    <t xml:space="preserve"> 2021년 1월</t>
  </si>
  <si>
    <t xml:space="preserve"> 2021년 1월경 OO조성사업 현장에서 재해자가 낙하물 방지망 설치 후 휴식을 취하기 위해 이동 중 절벽 아래로 떨어져(H≒30m) 사망</t>
  </si>
  <si>
    <t>잔도설치 작업을 위해 벼량에서 낙하물 방지망 설치 후 휴식을 취하기 위해 이동 중 실족하여 벼량 아래로 떨어짐</t>
  </si>
  <si>
    <t>▶ 단부 등 추락 가능성이 있는 장소에 대해 조립식 안전난간 설치
▶ 임시로 난간 등을 해체하여야 하는 경우 해당 구간에 추락방호망 설치
▶ 추락방호망 설치가 곤란한 경우 안전대 착용 등 추락 방지 조치 수행</t>
  </si>
  <si>
    <t>기타가설구조물</t>
  </si>
  <si>
    <t>2021년 11월경 OO종합건설(주) OO다세대 신축공사 현장에서 재해자가 낙하물방지망을 전용 지지대를 사용하여 재설치하는 작업 중 와이어로프로 결속되어있는 낙하물방지망의 지지대 교체작업 중 아이볼트와 클램프의 결속에서 아이볼트가 풀리면서 탈락되어 추락(H≒5.95m, 비계 5단)하여 사망</t>
  </si>
  <si>
    <t>2021년 12월경 교량개량공사 현장에서 재해자가 차량탑재형 고소작업대에 탑승하여 교량슬래브 하부 낙하물방지망 철거작업 중 기존구조물 일부가 탈락되어 재해자와 함께 떨어지며(높이4.7M), 재해자가 탈락된 기존구조물에 깔려 사망</t>
  </si>
  <si>
    <t>차량탑재형 고소작업대에 탑승하여 교량슬래브 하부 낙하물방지망 철거작업 중 기존구조물 일부가 탈락되어 재해자와 함께 떨어지며 탈락된 구조물에 깔림</t>
  </si>
  <si>
    <t>▶ 사전 조사 및 작업계획서 작성
▶ 주기적으로 계측을 실시하고 계측 결과에 따른 보강조치 실시</t>
  </si>
  <si>
    <t>12.2.9 안전가시설(방호선반)</t>
  </si>
  <si>
    <t>2018년 7월경 OO건설 교량 이설공사 현장에서 재해자가 교량 슬래브 하부 방호선반 해체작업을 하다가 발판을 지지하는 브라켓이 꺽이면서 발판과 함께 약 20m 아래의 바닥으로 추락</t>
  </si>
  <si>
    <t>12.3 가설전기 작업</t>
  </si>
  <si>
    <t>12.3.1 가설전기(분전반)</t>
  </si>
  <si>
    <t>고속도로 건설공사</t>
  </si>
  <si>
    <t>고속도로 건설공사 현장에서 터널공사 협력업체 소속 재해자가 터널입구에 설치되어 있던 수전반을 터널내부 대인용 피난갱으로 옮겨 설치하기위해 전기판넬(VCB판넬, 1.8m×0.9m×2.7m,W=500kg)과 변압기를 차량탑재형 크레인으로 실어서 터널 내부 대인용 피난갱으로 옮겨(이동거리 L=500m) 하역한 후, 다시 최종 설치 위치로 전기판넬을 옮기기 위해 굴삭기에 지게포크를 달아 판넬을 드는 순간 판넬이 균형을 잃고 넘어지면서, 옆에 있던 재해자가 깔려 사망</t>
  </si>
  <si>
    <t>전기판넬을 옮기기 위해 굴착기에 지게포크를 달아 판넬을 들다 균형을 잃고 넘어지면서 옆에 있던 재해자가 깔림</t>
  </si>
  <si>
    <t>▶ 자재운반에 적합한 작업 방법 및 장비 사용
▶ 자재운반 시 고정방법 검토 및 고정상태 확인 후 수행</t>
  </si>
  <si>
    <t>12.3.2 가설전기(전선)</t>
  </si>
  <si>
    <t>2016년 8월경 OO공장 내에서 재해자 2명이 사업장 입구에 있는 컨테이너 사무실에 전원선을 연결하기 위해 샌드위치 판넬로 지은 휴게실 지붕위로 올라가 작업 중 약 3m 아래 바닥으로 떨어져 1명 사망, 1명 부상</t>
  </si>
  <si>
    <t>컨테이너 사무실에 전원선을 연결하기 위해 샌드위치 판넬로 지은 휴게실 지붕으로 올라가 3미터 아래로 추락</t>
  </si>
  <si>
    <t>▶ 추락방지를 위한 보조로프, 안전대 부착설비, 고소작업대 등 안전방호조치 실시
▶ 근로자의 개인보호구, 안전대 체결여부 점검 및 관리감독</t>
  </si>
  <si>
    <t>2019년 7월경 OO건설 배수시설 및 방재시설 확충공사 현장에서 재해자 2명이 배수터널 내부에서 가설전선 정리 작업을 진행하던 중 기습적인 폭우로 배수 터널과 연결된 기존 우수박스의 수문이 자동 개방되면서 우수가 배수 터널 내부로 유입되어, 비상상황 전파 및 대피유도를 위해 터널 내부로 들어간 원청 직원을 포함하여 재해자 3명이 수몰되어 사망</t>
  </si>
  <si>
    <t>배수터널 내부 가설전선 정리작업 중 기습적 폭우로 인해 우수가 터널 내부로 유입되면서 재해자가 익사</t>
  </si>
  <si>
    <t>▶ 터널 내부작업 시 경보용 설비 설치
▶ 터널 내부에 비상용 기구 배치 및 상시 점검
▶ 우기 시 터널 내부 작업 중지</t>
  </si>
  <si>
    <t>2020년 6월경 근린생활시설 신축공사 현장에서 재해자가 기존도로 상의 전주에서 가설전선 인입작업 완료 후 가설전선을 전주에 고정하던 중 약 4m 아래 기존도로 바닥으로 추락하여 사망</t>
  </si>
  <si>
    <t>안전대를 미착용하고 가설전선을 전주에 고정하던 중 중심을 잃고 추락</t>
  </si>
  <si>
    <t>2021년 1월경 OO건설이 시공하는 근린생활시설 신축공사 현장에서재해자가 지하 2층에서 지상 1층 복공구조물로 통하는 가설계단의 난간에 거치(설치)된 이동전선 정리 작업을 하던 중 실족하여 계단 난간 너머 높이 약 7m 아래 지하 2층 바닥으로 추락하여 사망</t>
  </si>
  <si>
    <t>계단 난간에 거치된 이동전선 정리작업 하던 중 난간 아래 지하 바닥으로 추락</t>
  </si>
  <si>
    <t>12.3.3 가설전기(충전부)</t>
  </si>
  <si>
    <t>2016년 7월경 전기인입선 교체공사 현장에서 재해자가 알루미늄 사다리 위에서 전주 측의 전기인입선을 건물의 인입구에 연결작업 중 충전부에 접촉·감전되어 사망</t>
  </si>
  <si>
    <t>건물의 인입구에 연결작업 중 충전부에 접촉되어 감전</t>
  </si>
  <si>
    <t>▶ 전기 작업 시 해당 전도 차단 후 작업 실시
▶ 활선작업 시 절연용 보호구 지급 등 활선작업조치 실시</t>
  </si>
  <si>
    <t>2018년 12월경 OO센터 전기공사 현장에서 재해자 등 4명이 전산실 구축을 위해 지하 1층에서 부스덕트(대용량 전력케이블) 설치 작업 중, 인접한 활선 부스덕트 충전부에 설치중인 부스덕트가 부딪혀 단락으로 인한 전기아크가 발생하여 4명이 모두 화상을 입고 재해자 1명 사망</t>
  </si>
  <si>
    <t>대용량 전력케이블 설치작업 중 부스덕트가 부딪혀 전기아크가 발생하여 화상</t>
  </si>
  <si>
    <t>▶ 작업구간 인접하여 설치되어 있던 부스바는 활선 상태인 경우 덮개를 통한 임시 절연조치 실시
▶ 충전전로 인근 작업 시 충전전로 정전, 충전부 절연덮개 등을 통한 안전조치 실시</t>
  </si>
  <si>
    <t>12.3.4 가설전기(조명등)</t>
  </si>
  <si>
    <t>2018년 1월경 OO(주) 공장 내 창고동에서 고소작업대의 작업대에 재해자 2명이 탑승하여 천장 LED등 교체공사를 진행하던 중 턴테이블 고정볼트 파단으로 붐대가 낙하하면서, 탑승한 재해자 2명이 약 10.5m 바닥으로 떨어져 1명 사망, 1명 부상</t>
  </si>
  <si>
    <t>고소작업대의 턴베이블 고정볼트 파단으로 인해 붐대가 낙하하면서 추락</t>
  </si>
  <si>
    <t>▶ 작업 전 고소작업대 과부하방지장치 기능점검을 통한 정상작동 여부 확인
▶ 고소작업대의 각 부위의 이상 유무에 대한 정기점검 실시</t>
  </si>
  <si>
    <t>2018년 10월경 인테리어 공사 현장에서 재해자가 건물 2층 발코니 하부 전등 교체작업을 위해 이동식 사다리(A형) 위에서 작업을 하던 중, 사다리가 넘어지면서 높이 2.9m 아래 바닥(석재타일)으로 떨어져 사망</t>
  </si>
  <si>
    <t>A형 사다리가 넘어지면서 추락</t>
  </si>
  <si>
    <t>▶ 이동식 사다리를 사용 시 2인 1조로 작업, 아웃트리거 체결 철저
▶ 근로자의 개인보호구, 안전대 체결여부 점검 및 관리감독</t>
  </si>
  <si>
    <t>12.3.5 가설전기(교류아크용접기)</t>
  </si>
  <si>
    <t>2016년 3월경 ㈜OO에서 시공 중인 오피스텔 신축공사 현장 지하 1층에서 천장 단열재(경질 우레탄폼)에 용접불티 착화로 화재(국과수 추정) 발생 후 지하 1층 연결통로를 통해 인접현장으로 화재가 확산되면서 2명 사망, 6명 부상</t>
  </si>
  <si>
    <t>소방용수배관 연결 용접 작업 중 지하층 천장단열재에 용접불티 착화로 화재 및 인근현장으로 확산</t>
  </si>
  <si>
    <t>▶ 화재발생 위험 장소에서 화기작업 금지 등 화재방지 조치 준수
▶ 경보용 설비 및 기구 설치 및 유지관리 준수</t>
  </si>
  <si>
    <t>2020년 8월경 야외 자재 제작 작업장에서 재해자가 제철소내 Roll 운반용 운반대차를 제작하기 위하여 철판(t=20mm)을 산소 절단기로 용단하던 중 착용하고 있던 방진복에 불이 붙어 상반신에 화상(2도)을 입어 사망</t>
  </si>
  <si>
    <t>운반대차를 제작하기 위해 철판을 산소절단기로 용단하던 중 착용하고 있던 방진복에 불이 붙어 화상</t>
  </si>
  <si>
    <t>▶ 화재발생 위험 장소에서 화기작업 금지 등 화재방지 조치 준수
▶ 보호복, 보호장갑 등 개인보호구 지급 및 착용상태 관리</t>
  </si>
  <si>
    <t>12.3.6 가설전기(이동식 전기 기계기구)</t>
  </si>
  <si>
    <t>2019년 6월경 OO건설에서 시공하는 풀빌라 신축공사 현장에서 재해자가 O동 1층 2호실 콘크리트옹벽에 습식코어드릴로 천공작업중 코어드릴 금속외함에 누설된 220v 전류에 감전되어 사망</t>
  </si>
  <si>
    <t>코어드릴로 천공작업 중 코어드릴 금속외함에 누설된 220V전류에 감전</t>
  </si>
  <si>
    <t>12.4 가설플랜트 작업</t>
  </si>
  <si>
    <t>12.4.1 가설플랜트(크라샤 Plant)</t>
  </si>
  <si>
    <t>2016년 4월경 고속도로 건설공사에서 재해자가 크랴사 벨트컨베이 윤활유 주입 중 갑작스런 벨트컨베이어의 가동으로 몸의 중심을 잃고 쓰러지며 두부를 강타당해 사망</t>
  </si>
  <si>
    <t>급작스런 벨트컨베이어 가동으로 근로자가 중심을 잃고 쓰러지면서 자석에 두부를 강타</t>
  </si>
  <si>
    <t>▶ 크라샤 동력전달부 윤활유 주입작업 시 컨베이어 정지
▶ 운전을 정지한 경우 운전하는 것을 방지하기 위해 크라샤 벨트 컨베이어의 기동장치에 잠금장치 설치</t>
  </si>
  <si>
    <t>2020년 8월경 부지조성공사 현장에서 재해자가 크라샤 콘베이어 상부 모터에 천막을 덮기 위해 로더 버킷을 타고 올라가던 중 콘베이어 작업발판 단부와 로더 버킷사이에 협착되어 사망</t>
  </si>
  <si>
    <t>근로자가 크라샤 콘베이어 상부에 위치한 구동 모터를 폐고무벨트로 덮기 위해 로더 버킷을 타고 올라가던 중 실족하여 콘베이어 작업발판 단부와 로더 버킷 사이에 근로자 협착</t>
  </si>
  <si>
    <t>▶ 크라샤 컨베이어 구동 모터 등 수시로 정비 작업이 이루어지는 구간에 근로자가 상부 작업발판으로 이동 가능한 통로 설치
▶ 차량계건설기계(로더)의 (버킷 탑승 등)목적외 사용 금지</t>
  </si>
  <si>
    <t>12.5 양중기 작업</t>
  </si>
  <si>
    <t>12.5.1 양중기(타워크레인)</t>
  </si>
  <si>
    <t>2016년 2월경 교회 신축공사 현장에서 재해자 2명이 지하2층 슬라브 보 거푸집 제작작업 중, 사고지점으로부터 약 9m 높이에서 타워크레인으로 인양중이던 자재(거푸집제작용, 1.9톤)의 갑작스러운 떨어짐에 의하여 재해자들이 맞음으로써 1명 사망, 1명 부상</t>
  </si>
  <si>
    <t>타워크레인으로 거푸집 제작용 목재 등을 인양하던 중 미고정된 인양물의 인양물 낙하</t>
  </si>
  <si>
    <t>▶ 타워크레인 등 유해·위험한 기계·기구를 설치 시 안전인증을 받은 후 사용
▶ 크레인 작업 시 낙하물에 의한 위험방지를 위해 사전에 근로자 출입 통제
▶ 크레인 등을 사용하여 작업 시 작업 전 감속기 등 기계적 상태 점검 실시 후 작업</t>
  </si>
  <si>
    <t>2016년 4월경 OO건설 지식산업센타 신축공사 현장에서 재해자가 타워크레인 인양 고리 연결 준비 작업을 위해 메인 지브 끝단으로 이동 중 메인지브 좌측 앞부분 작업대가 지브에서 탈락되어 높이 약 50m지점에서 작업대와 함께 추락하여 사망</t>
  </si>
  <si>
    <t>타워크레인 설치를 위해 지브 작업대에서 작업 중 작업대의 이탈로 인한 추락</t>
  </si>
  <si>
    <t>▶ 타워크레인 설치를 위해 지브 끝에서 작업하는 경우, 지브 작업대의 고정볼트 체결 유무 파악
▶ 추락 위험이 높은 타워크레인 설치 작업의 경우 2중 안전고리 체결을 권장</t>
  </si>
  <si>
    <t>2016년 4월경 공동주택 공사현장에서 재해자가 타워크레인 마스트 인상 준비 작업을 위해 케이지 2단 작업발판에서 자재 인양 중 미고정된 작업발판이 전면으로 기울면서 몸의 중심을 잃고 약 10m 하부로 추락하여 사망</t>
  </si>
  <si>
    <t>타워크레인 텔레스코핑 작업을 위해 케이지 발판 위로 이동중 몸의 중심을 잃고 추락</t>
  </si>
  <si>
    <t>▶ 안전대 결합 등 추락 및 재해 방지에 관한 사항을 포함하는 안전교육 실시
▶ 추락 위험이 높은 타워크레인 설치 작업의 경우 2중 안전고리 체결을 권장
▶ 텔레스코핑 케이지 작업발판의 연결 및 고정상태 점검 철저</t>
  </si>
  <si>
    <t>2016년 4월경 OO건설 주상복합아파트 신축공사 현장에서 재해자 등 3명이 타워크레인의 텔레스코픽 케이지 하강작업(타워크레인 해체 선행작업) 중 클라이밍 슈(Climbing Shoe)가 마스트 훅에서 이탈(추정)되며 케이지가 낙하, 케이지 작업발판에서 작업 중이던 재해자가 기계식주차장 바닥으로 떨어져(H=75m) 사망</t>
  </si>
  <si>
    <t>타워크레인 해체 작업 시 클라이밍 슈 이탈로 텔레스코픽 케이지의 하강으로 인한 추락</t>
  </si>
  <si>
    <t>▶ 타워크레인 해체를 위한 텔레스코픽 하강작업 시, 클라이밍 슈와 마스트 훅의 장착상태 점검 철저
▶ 타워크레인 설치, 해체 작업 시, 유자격자에 의한 작업 여부 파악</t>
  </si>
  <si>
    <t>2016년 9월경 아파트 건설현장에서 재해자가 타워크레인의 텔레스코핑 케이지 발판 설치하기 위해 이동 중 몸의 중심을 잃고, 약12M 아래 콘크리트 바닥으로 떨어져 사망</t>
  </si>
  <si>
    <t>2016년 9월경 OO건설이 시공하는 공동주택 현장에서 타워크레인 해체작업 중 이동식 크레인으로 카운터지브를 들고 카운터지브와 타워헤드 연결부위를 해체하는 순간 카운터지브가 타워헤드에서 갑자기 이탈하여 기울어지면서 작업 중이던 재해자가 협착되어 사망</t>
  </si>
  <si>
    <t>타워크레인의 카운터 지브 해체 중 지브 앞부분이 들리면서 지브 전면과 사다리 방호울 사이에 협착</t>
  </si>
  <si>
    <t>▶ 타워크레인 해체 시, 카운터 지브와 타워헤드를 연결하는 소켓핀을 적절하게 빼내어 고정판이 움직이지 않도록 조치거나 소켓핀을 제거하기 전 체인블럭 등으로 카운터 지브와 타워헤드를 묶어 이탈되지 않도록 조치
▶ 타워크레인 해체 시, 카운터 지브의 균형유지를 위해 적절한 줄걸이 위치 검토 실시</t>
  </si>
  <si>
    <t>2016년 10월경 ㈜OO에서 시공 중인 OO대 기숙사 신축공사 현장에서 재해자가 현장 옆에 설치한 현장사무실(컨테이너)에 있던 중 태풍으로 인해 타워크레인이 전도, 전도된 타워크레인 마스트에 깔려 사망</t>
  </si>
  <si>
    <t>현장 사무실 대기 중 타워크레인 전도로 인한 깔림</t>
  </si>
  <si>
    <t>▶ 태풍과 같은 악조건의 기상상황 발생 시, 타워크레인의 선회브레이크 개방
▶ 태풍과 같은 악조건의 기상상황이 예측되는 경우, 마스트 해체, 와이어로프, 전용지지프레임 설치 등 체결볼트에 발생하는 응력을 분산하도록 조치</t>
  </si>
  <si>
    <t>2016년 11월경 아파트 건설공사 현장에서 타워크레인 해체 작업 중 재해자는 12층 세대 내 실외기실에서 타워크레인 브레이싱 해체를 위하여 15층에 고정되어 내려진 섬유로프에 윈치를 거는 작업을 하던 중 떨어져 사망</t>
  </si>
  <si>
    <t xml:space="preserve">타워크레인 브레이싱 해체 작업을 위해 건물 내부에서 안전난간대를 넘어서 섬유로프에 윈치를 거는 작업 중 추락 </t>
  </si>
  <si>
    <t>▶ 타워크레인의 브레이싱 해체작업 시, 브레이싱 해체 구간을 기준으로 하부층에 추락방지망을 설치하여 작업자의 추락, 낙하물의 낙하를 방지
▶ 건물 내 실외기실 단부 등 추락할 위험이 있는 곳에서 작업할 시, 안전대를 체결한 상태로 작업하도록 조치</t>
  </si>
  <si>
    <t>2016년 11월경 주상복합 신축현장에서 재해자가 타워크레인 마스트 연장작업을 하기 위하여 인양된 마스트에서 가드레일 고정작업 중, 마스트 내부 사다리가 탈락하면서 사다리와 함께 재해자 2명이 지상으로 추락(H≒15m)하여 사망</t>
  </si>
  <si>
    <t>타워크레인 텔레스코핑 작업 중  마스트 내부에 설치된 사다리의 탈락으로 인해 지상 바닥으로 추락</t>
  </si>
  <si>
    <t>▶ 마스트와 내부 사다리(안전대 부착설비)의 연결부 연결철물 상태 점검 및 설치도면 검토
▶ 마스트 내부 사다리를 안전대 부착 설비로 사용하는 행위 금지조치하며 별도의 안전대 부착설비 설치</t>
  </si>
  <si>
    <t>2016년 11월경 OO선착장 물량장에서 재해자가 Crane(자중 2.7ton) 해체를 위해 굴착기에 슬링벨트를 걸고 크레인을 지탱한 상태에서 장착베이스 마지막 볼트를 제거하는 순간, 무게 중심이 한쪽 방향으로 쏠리면서 크레인 Boom 방향은 내려가고 Post 방향은 올라오면서 크레인 가동용 발전기 외함과 Post 하단부에 재해자 흉부가 협착되어 사망</t>
  </si>
  <si>
    <t>2016년 12월경 OO건설 OO번지 신축공사 현장에서 타워크레인(무인, 2.9Ton) 해체하는 과정 중 메인 지브를 해체한 후 카운터 지브를 해체하기 위해 카운터 지브의 4개소 인양고리(러그)에 이동식크레인(200ton)을 사용한 인양줄을 설치하고 타이바와 연결핀을 모두 해체한 상태에서 재해자가 유도로프를 설치하기 위해 카운터지브의 단부 방향으로 이동 중 카운터 지브가 수직으로 기울어지며 바닥으로 떨어져(H≒30m) 사망</t>
  </si>
  <si>
    <t>타워크레인의 카운터 지브 해체 중 카운터 지브가 수직으로 기울어 단부방향으로 이동 중이던 작업자가 바닥으로 추락</t>
  </si>
  <si>
    <t>▶ 카운터 지브 해체 시, 카운터 지브의 무게중심을 고려하여 인양고리에 줄걸이 설치하며 무게중심이 맞지 않은 상태에서 연결핀 해체 금지
▶ 카운터 지브 해체 시, 작업자의 임의대로 작업하는 행위를 금지하고 T/C의 제원에 따른 설치, 해체 방법 등과 같은 매뉴얼을 준수하여 작업실시</t>
  </si>
  <si>
    <t>2017년 1월경 숙박시설 신축공사 현장에서 타워크레인(2.9t : 무인)텔리스코핑 작업을 하기 위하여 건물외부 지상에서 철제공구함(1m * 0.5m * 0.6m)을 타워크레인을 이용하여 인양하던 중, 철제공구함이 웹슬링(2줄 choke)에서 이탈하며 하부에 있던 재해자 위로 떨어지며 머리를 가격하여 사망</t>
  </si>
  <si>
    <t xml:space="preserve"> 타워크레인으로 자재 인양 중 자재와 슬링벨트의 불완전 체결로 인해 자재가 낙하하며 지상 작업자들의 머리 등을 가격</t>
  </si>
  <si>
    <t>▶ 인양작업 시 자재와 슬링벨트 체결상태 점검 철저
▶ 인양작업 시 신호수 배치, 작업지휘자 지정, 근로자 출입통제 등의 재해예방조치 실시</t>
  </si>
  <si>
    <t>2017년 5월경 공동주택 신축공사 현장의 타워크레인에서 재해자 5명이 타워크레인 텔레스코핑 작업 중, 타워크레인 마스트가 전도되면서 재해자가 떨어져(H≒50m) 3명 사망, 2명 부상</t>
  </si>
  <si>
    <t>타워크레인 텔레스코핑 작업 중 마스트 전도로 인한 추락</t>
  </si>
  <si>
    <t>▶ 보조 포올 등 타워크레인의 주요 부품 제작 및 교체 시, 원제조사와 동등 이상의 치수, 형상, 성능 확보 여부를 검토
▶ 추락 위험이 높은 타워크레인 설치 작업의 경우 2중 안전고리 체결을 권장</t>
  </si>
  <si>
    <t>2017년 10월경 ㈜OO에서 시공하는 아파트 건설공사 현장에서 타워크레인 해체작업 중 타워크레인 상부구조물이 붕괴되면서 재해자가 떨어져(H≒64m) 3명 사망, 2명 부상</t>
  </si>
  <si>
    <t>타워크레인의 텔레스코픽 케이지 해체 작업 중 상부 구조물의 균형 상실 및 메인 슈 이탈로 인한 타워크레인 붕괴</t>
  </si>
  <si>
    <t>▶ 텔레스코픽 케이지 하강작업 시 메인 슈를 클라이밍 플레이트 안쪽까지 완전밀착하여 메인 슈의 이탈을 방지
▶ 텔레스코픽 케이지 하강작업 시 메인 슈 이탈방지 브라켓의 변형 및 파손 여부 확인
▶ 텔레스코픽 케이지 하강작업 시 케이지와 턴테이블 연결부위의 노후화, 용접불량 등을 점검</t>
  </si>
  <si>
    <t>2017년 12월경 OO건설 농수산물 유통센터 신축공사 현장에서 타워크레인(40톤) 재해자 7명이 마스트 14단 텔레스코핑(상승) 작업 중 타워크레인 지브가 중심을 잃고 11단 마스트 상부 구조물이 넘어지면서 3명 사망, 4명 부상</t>
  </si>
  <si>
    <t>타워크레인 텔레스코핑 작업 중 지브가 중심을 잃어 마스트 상부 구조물의 전도 인한 추락</t>
  </si>
  <si>
    <t>▶ 타워크레인의 제원에 따른 설치, 조립 방법 등의 매뉴얼 준수 및 관련 교육 실시
▶ 타워크레인 텔레스코핑 작업 시, 슬라이더 크로스 잠금장치 체결 철저</t>
  </si>
  <si>
    <t>2017년 12월경 OO건설 공동주택 신축공사 현장에서 재해자 5명이 타워크레인(14톤, L형) 텔레스코픽 케이지 상승작업 중 써포트 슈가 이탈하면서 상승되었던 텔레스코픽 케이지가 3m 아래로 내려앉았고, 그 충격으로 텔레스코픽 케이지에 부착된 작업발판 및 안전난간이 파손되어 작업발판에 있던 1명이 약 70m 아래로 떨어져 사망, 4명 부상</t>
  </si>
  <si>
    <t>2018년 3월경 OO아파트 신축공사 현장에서 옥탑층 및 옹벽 콘크리트 타설을 위하여 타워크레인으로 콘크리트 타설용 호퍼 양중 작업 중 옥상층에 대기 중이던 재해자가 하강하던 콘크리트 타설용 호퍼를 미쳐 발견하지 못하고 하강하는 호퍼 하부와 트러스 지지대 옹벽 상부 사이에 깔려 사망</t>
  </si>
  <si>
    <t>타워크레인으로 콘크리트 타설용 호퍼 양중 작업 중, 근로자가 호퍼를 발견하지 못하고 호퍼 하부와 트러스 지지대 상부 사이에 깔림</t>
  </si>
  <si>
    <t>▶ 타워크레인을 사용하여 작업 시 호퍼 용량을 준수하여 작업 실시
▶ 타워크레인 작업 시 인양중인 화물 낙하방지를 위해 신호수 배치 및 경적신호 실시
▶ 타워크레인 인양 시 작업반경 하부에 근로자 출입 통제</t>
  </si>
  <si>
    <t>2018년 9월경 OO공장 갠트리크레인 전기 개·보수공사 현장에서 갠트리크레인(20톤)의 노후화된 전기설비를 교체하기 위해 재해자가 옥외작업장에 설치된 갠트리 크레인 위에 올라가 동료와 함께 거더(폭50cm) 위에 앉아 횡행트롤리선 레일을 배열하던 중 몸의 중심을 잃고 뒤로 넘어지면서 약 11m 하부 지상 바닥으로 떨어져 사망</t>
  </si>
  <si>
    <t>2019년 1월경 OO건설에서 시공하는 사옥 신축공사 현장에서 재해자가 타워크레인 상승(Telescoping)을 위한 마스트내 수직사다리 위치에서 타워 운전작업 중 케이지 유압실린더 수축 과정에서 슈 서포트(받침 지지대)가 마스트에서 재해자 방향으로 이탈하면서 재해자를 강타하여 사망</t>
  </si>
  <si>
    <t>마스트 내 사다리 위치에서 타워크레인 텔레스코핑 위해 리모컨을 조작하던 중 슈 서포트가 이탈하며 재해자를 강타</t>
  </si>
  <si>
    <t>▶ 타워크레인 텔레스코핑 작업 시, 균형유지의 방법으로 육안조정법 보다는 제조사의 방법을 우선적으로 적용
▶ 타워크레인 텔레스코핑 작업 시, 슈 서포트의 이탈을 방지하기 위해 유압 실린더와 마스트가 안착하는 형태와 유사한 구조를 띈 슈 서포트 발톱으로 보강
▶ 타워크레인에 풍속계를 설치하여 외부 풍속에 대해 수시로 확인
▶ 타워크레인의 설치, 사용, 해체 시 작업자의 자격증 등 자격요건 파악</t>
  </si>
  <si>
    <t>2020년 1월경 OO건설에서 시공 중인 사옥 및 연구소 신축공사 현장에서 타워크레인 해체 작업을 위하여 이동식크레인(330톤)으로 메인지브를 들어올리던 중, 카운터웨이트(약 8.5톤)의 무게로 인해 턴테이블 상부 구조물이 붕괴되면서 상부에서 작업 중이던 재해자 3명이 지상 1층으로(약 40m) 떨어져, 2명은 사망, 안전대에 의해 구조물에 매달려진 1명은 부상</t>
  </si>
  <si>
    <t>타워크레인 해체작업 중 턴테이블 상부 구조물 붕괴로 인한 추락</t>
  </si>
  <si>
    <t>▶타워크레인 해체작업 시, 카운터웨이트 선 해체 후, 메인지브 해체 작업 실시
▶타워크레인 해체작업 시, 부재 간 연결부의 견고한 볼트 체결상태 점검</t>
  </si>
  <si>
    <t>2020년 6월경 국민임대주택 건설공사 현장에서 재해자가 타워크레인 텔레스코핑 케이지 작업발판을 설치하던 중 작업발판이 뒤집어지면서 약 22m 아래로 추락하여 사망</t>
  </si>
  <si>
    <t>러핑형 타워크레인의 타워헤드 앞쪽 프레임을 이동식 크레인으로 인상하여 타워헤드 뒤쪽 프레임에 연결하는 작업 도중 타워헤드 앞쪽 프레임과 이동식 크레인을 연결한 섬유로프가 파단 되며 낙하한 타워헤드 앞쪽 프레임에 깔림</t>
  </si>
  <si>
    <t>▶ 자재 인양 시, 인양물의 재료, 형상에 맞는 적절한 줄걸이 방법 사용
▶ 추락의 위험이 있는 작업 시, 추락방지망, 작업발판 등의 추락방지조치 실시
▶ 작업자와 운전수 간의 적절한 신호체계 수립</t>
  </si>
  <si>
    <t>2021년 3월경 지식산업센터 신축 현장 내에서 신규 설치하는 타워크레인의 7번째 마스트 인상작업 중 타워크레인 상부구조물(운전석, 메인지브, 카운터지브 등)이 붕괴되며 재해자 1명이 운전석에서 추락(H≒43m)하여 사망, 설치 중인 재해자 1명 부상</t>
  </si>
  <si>
    <t>타워크레인 7번째 마스트 인상작업 중 타워크레인 상부구조물(운전석, 메인지브, 카운터지브 등)이 붕괴되며 운전석에 타고 있던 운전원이 함께 추락</t>
  </si>
  <si>
    <t>▶ 타워크레인 텔레스코핑 작업 시, 서포트 슈와 러그의 고정상태 및 안전핀 체결 여부 파악
▶ 작업자에게 현장 내 사용중인 타워크레인의 제원에 따른 설치, 조립 방법 등의 교육 및 숙지 여부 파악
▶ 작업자의 안전대 착용 및 안전대 결합 유무 파악 등 추락에 의한 위험방지조치 실치</t>
  </si>
  <si>
    <t>2021년 4월경 OO건설에서 가로주택정비사업 현장에서 재해자는 타워크레인 인상작업 중 Wall Bracing을 설치하던 작업자를 지원하기 위하여 갱폼 작업발판으로 이동(작업) 중 갱폼 바닥 개구부를 통해 약 53m 아래 리프트 방호선반으로 떨어져 사망</t>
  </si>
  <si>
    <t>타워크레인 인상작업중 Wall Bracing을 설치하던 작업자를 지원하기 위하여 갱폼 작업발판으로 이동(작업)중 갱폼 바닥 개구부를 통해 아래 리프트 방호선반으로 떨어짐</t>
  </si>
  <si>
    <t>▶ 갱폼 작업발판과 구조물 사이 개구부가 발생하여 추락위험 장소에는 안전방망 설치
▶ 갱폼 작업발판에 개구부가 발생한 경우 즉시 덮개 설치 등 방호조치 실시
▶ 개구부에 난간 등 설치가 어려운 경우 근로자에게 안전대를 착용토록 하고 안전대 부착 설비 설치</t>
  </si>
  <si>
    <t>2021년 6월경 OO건설에서 시공하는 아파트 건설현장에서 러핑형 타워크레인의 타워헤드 앞쪽 프레임(무게 약 2.8ton)을 지상에서 이동식 크레인(51ton)으로 인상하여 타워헤드 뒤쪽 프레임에 연결하는 작업 도중 타워헤드 앞쪽 프레임과 이동식 크레인을 연결한 섬유로프가 파단되며 낙하한 타워헤드 앞쪽 프레임에 재해자가 깔려 사망</t>
  </si>
  <si>
    <t>2021년 6월경 OO건설에서 시공 중인 오피스텔 신축공사 현장에서 재해자가 타워크레인(러핑형) 월 브레이싱(Wall Bracing) 해체 작업 중 지상1층(H≒20m) 바닥으로 떨어져 사망</t>
  </si>
  <si>
    <t>타워크레인 해체업체인 재해자가 타워크레인(러핑형) 월 브레이싱(Wall Bracing) 해체 작업 중 지상1층 바닥으로 떨어짐</t>
  </si>
  <si>
    <t>▶ 타워크레인의 브레이싱 해체작업 시, 브레이싱 해체 구간을 기준으로 하부층에 추락방지망을 설치하여 작업자의 추락, 낙하물의 낙하를 방지
▶ 건물 단부 등 추락할 위험이 있는 곳에서 작업할 시, 안전대를 체결한 상태로 작업하도록 조치</t>
  </si>
  <si>
    <t>2021년 8월경 주택재개발 정비사업현장에서 재해자가 타워크레인 캣헤드 설치 후 이동식 크레인 줄걸이를 해체하고 사다리로 내려오던 중 사다리 끝단에서 실족하여 약 21m 아래 지상 콘크리트 바닥으로 추락하여 사망</t>
  </si>
  <si>
    <t>타워크레인 캣헤드 설치 후 이동식 크레인 줄걸이를 해체하고 승강 사다리로 내려오던 중 사다리 끝단에서 실족하여 추락</t>
  </si>
  <si>
    <t>▶ 추락 위험이 높은 타워크레인 설치 작업의 경우 2중 안전고리 체결을 권장
▶ 타워크레인 설치, 해체 작업 시, 유자격자에 의한 작업 여부 파악</t>
  </si>
  <si>
    <t>리프트</t>
  </si>
  <si>
    <t>리프트 해체작업을</t>
  </si>
  <si>
    <t>리프트 해체작업을 위해 리프트 운반구(Cage) 상부에서 마스트(Mast) 연결볼트를 해체하고 마스트를 운반구 상부에 적재하는 작업을 진행하던 중 리프트 운반구가 연결볼트를 기(旣) 해체완료한 마스트(#15번)로 과상승하여 지지력이 없는 마스트(#15번)와 운반구가 함께 지상으로 떨어져(H=23m) 운반구 상부에서 작업 중이던 재해자 2명이 추락하여 사망</t>
  </si>
  <si>
    <t>건설용 리프트 해체를 위해 운반구에서 작업 중 운반구가 기 적재된 마스트로 과상승 및 낙하하여 추락</t>
  </si>
  <si>
    <t>▶ 리프트 해체작업 시, 근로자의 추락 방지를 위한 안전대 부착설비 설치 및 안전대 착용 및 체결 철저
▶ 리프트 해체작업 시, 운반구의 과상승 및 이탈 위험 방지를 위해 권과방지장치 설치
▶ 리프트 사용 및 해체 시, 작업자에게 조작 스위치 작동방법에 관한 교욱실시</t>
  </si>
  <si>
    <t>12.5.2 양중기(리프트)</t>
  </si>
  <si>
    <t>2016년 6월경 물류센터 리뉴얼공사 현장에서 해체작업 중인 화물용승강기 카(약 1톤)가 불시에 상승하였고 동시에 균형추(3.75톤)가 하강하면서 1층에서 해체작업 중인 재해자 2명이 균형추에 충돌하여 1명 사망, 1명 부상</t>
  </si>
  <si>
    <t>화물용승강기 해체작업 중 승강기 카와 균형 추의 무게균형이 쏠리고 승강기가 불시에 상승하여 하강하는 균형추에 깔림</t>
  </si>
  <si>
    <t>▶ 화물용 승강기 해체 시, 승강기 카의 전면도어, 상부〮측면 판넬 등을 해체할 경우, 승강기 카와 균형 추의 무게균형을 맞추기 위해 승강기 카에 중량물을 적재하는 등의 조치를 취한 후 작업 진행
▶ 화물용 승강기 해체 시, 무면허업체에 의한 해체작업 절대금지 조치</t>
  </si>
  <si>
    <t>2017년 2월경 주상복합 신축공사 현장에서 재해자가 건설작업용 리프트 해체 작업을 위하여 리프트 케이지 상부에서 지상 14층에 설치된 리프트 벽이음(월타이) 해체 작업 중 몸의 중심을 잃고 지상 3층 낙하물 방지망 위로 추락(H≒38.0m)하여 사망</t>
  </si>
  <si>
    <t>건설용 리프트 해체를 위해 케이지 상부에서 작업중 몸의 중심을 잃고 추락</t>
  </si>
  <si>
    <t>▶ 리프트 해체작업 시, 근로자의 추락 방지를 위한 안전대 부착설비 설치 및 안전대 착용 및 체결 철저
▶ 리프트 해체작업 시, 운반구의 과상승 및 이탈 위험 방지를 위해 권과방지장치 설치
▶ 리프트 해체작업 시, 케이지 상부 전면에 안전난간 설치</t>
  </si>
  <si>
    <t>2018년 6월경 OO지역주택조합 아파트 신축공사 현장에서 재해자가 건설용 리프트 운반구 지붕상판을 발판삼아 연장작업 인 월타이(Wall-Tie)＊ 고정용 앵커볼트 천공작업 준비 중 몸의 중심을 잃고 떨어져 14층 월타이에 부딪치고 다시 하부 콘크리트 바닥(H≒45m)으로 떨어져 사망</t>
  </si>
  <si>
    <t>건설용 리프트 연장 설치를 위해 운반구 지붕상판에서 작업 중, 몸의 중심을 잃고 추락</t>
  </si>
  <si>
    <t>▶ 건설용 리프트 연상설치 작업 시 별도의 안전대 부착설비 설치 및 안전대 체결 등 추락방지조치 실시
▶ 건설용 리프트 연상설치 작업 시, 운반구 지붕상판 전면에 안전난간 설치</t>
  </si>
  <si>
    <t>2019년 1월경 축사시설 현대화사업 개축공사 현장에서 재해자가 2층 출입용 외부계단 및 돈사내부 칸막이 설치 전 실측을 위해 리프트를 이용하여 2층에서 내린 후 옥상층(3층)으로 계속 상승중인 리프트에 다시 탑승하려고 하다가 리프트 운반구 바닥과 골조로 된 출입구 상부에 가슴이 끼여 사망</t>
  </si>
  <si>
    <t>건설용 리프트를 이용하여 하차 후 계속 상승중인 리프트에 재탑승 하려던 중 운반구과 출입구 상부 골조에 협착</t>
  </si>
  <si>
    <t>▶ 건설용 리프트의 안전인증 실시 여부 파악 및 조치
▶ 건설용 리프트의 조작 스위치의 명칭 및 관련내용의 표시 여부 확인
▶ 건설용 리프트 이외의 작업자들이 안전하게 이동할 수 있는 가설 계단 등을 설치</t>
  </si>
  <si>
    <t>2019년 8월경 OO건설 주상복합 신축공사 현장에서 건설작업용 리프트의 마스트 해체작업 중 마스트 연결볼트의 선해체로 인하여 마스트가 붕괴되면서 지상 22층 높이에 있던 운반구가 마스트와 함께 바닥으로 떨어져 운반구 내부 및 위에서 작업 중이던 재해자 2명이 사망하고 재해자 1명이 부상, 무너져 내린 리프트의 파편으로 인해 지상에 있던 재해자 1명이 사망하고 재해자 2명이 부상</t>
  </si>
  <si>
    <t>건설용 리프트 해체작업 중 마스트 연결볼트 선해체로 인한 붕괴</t>
  </si>
  <si>
    <t>▶ 마스트 해체작업 시, 마스트 연결볼트의 선해체 및 불완전체결 금지
▶ 추락 방지를 위한 별도의 안전대 부착설비 설치</t>
  </si>
  <si>
    <t>2020년 9월경 OO건설 아파트 건설공사 현장에서 재해자 2명이 건설작업용 리프트 해체를 위해 지상 6층 높이에 위치해 있던 운반구 상단에서 마스트 연결볼트 해체 후 해체된 마스트를 적재하기 위해 수동조작으로 운반구를 상승시키던 중 운반구 과상승(오조작 추정)으로 인해 기 해체된 마스트와 함께 운반구가 약 18m 하부의 지상 바닥으로 떨어져 2명이 모두 사망</t>
  </si>
  <si>
    <t>리프트 해체작업 후 적재를 위한 운반구 상승 중 운반구 과상승에 의해 기해제된 마스트와 함께 바닥으로 추락</t>
  </si>
  <si>
    <t>▶ 과상승으로 인한 이탈방지를 위한 임시 안전장치 조치 실시
▶ 추락할 위험이 있는 작업 시, 안전대 부착설비, 안전난간대 등의 안전방호조치 실시</t>
  </si>
  <si>
    <t>12.5.3 양중기(이동식 크레인)</t>
  </si>
  <si>
    <t>2016년 1월경 OO공장 내 집진설비 설치공사 현장에서 재해자가 이동식 크레인의 보조붐을 확장하던 중 메인붐 끝단과 보조붐의 연결핀을 체결하지 않은 상태에서 측면의 연결핀을 풀다가 보조붐과 함께 3m 아래 콘크리트 바닥으로 떨어져 사망</t>
  </si>
  <si>
    <t xml:space="preserve"> 보조붐 확장 중 연결핀 미체결 상태에서의 측면 연결핀 해제로 인한 보조붐 낙하</t>
  </si>
  <si>
    <t>▶ 보조붐 확장 시 메인붐 끝단과 보조붐 연결핀 체결철저
▶ 작업 전 특별안전보건교육 실시 및 관리감독자 배치 후 작업 실시 준수</t>
  </si>
  <si>
    <t>2017년 9월경 OO건설 열병합발전소 건설공사 현장에서 탈황설비 자재 하역작업 중 이동식크레인의 턴테이블 볼트가 파단되어 전도되는 붐대에 깔려 재해자1 사망, 재해자2(운전원) 부상</t>
  </si>
  <si>
    <t>2018년 6월경 OO의 Rail 보수공사 현장에서 재해자가 6 Block 컨테이너 야드에서 점심시간에 휴식을 취하고 컨테이너 적재 야드 내부로 이동하는 과정에서 야드 크레인으로 인양중이던 컨테이너를 미쳐 발견하지 못하고 컨테이너 하부에 깔리며 사망</t>
  </si>
  <si>
    <t>컨테이너 야적장 내부로 이동하는 과정에서 크레인으로 인양중이던 컨테이너를 발견하지 못하고 컨테이너 하부에 깔림</t>
  </si>
  <si>
    <t>▶ 자재인양 등 중량물 취급작업 시 낙하위험 지역에 대해 근로자 출입 통제
▶ 하역작업 등 장비 사각지대 발생가능성이 높은 작업 시 근로자 출입금지 및 유도자 배치</t>
  </si>
  <si>
    <t>2019년 4월경 OO사업장에서 이동식 크레인(700톤 하이드로 러핑 지브 크레인) 출고 전 검사를 위해 조립작업 중 크레인 부재[러핑 플라이 지브(Luffing fly jib)]를 들어 올리는 작업 전에 해체해야 할 고정핀을 분리하지 않고 지브 상승 조작을 진행하다 핀이 체결되어 있는 러그가 하중을 견디지 못하고 파단되는 순간 지브가 낙하하면서 크레인 부재 위에서 조립작업을 수행하던 재해자가 지브 낙하 충격 및 진동에 의해 약 2.25m 아래 지상 바닥으로 떨어져 사망</t>
  </si>
  <si>
    <t>이동식 크레인 출고 전 검사를 위한 조립작업 중 러그 파단으로 인한 지브 낙하와 그로 인한 근로자 추락</t>
  </si>
  <si>
    <t>▶ 추락할 위험이 있는 작업 시, 추락방호망, 안전난간대, 안전대 부착설비 설치 등의 안전방호조치 실시
▶ 이동식 크레인 조립작업시 조립매뉴얼에 맞게 작업</t>
  </si>
  <si>
    <t>2019년 9월경 OO에서 시공하는 OO건립공사 현장에서 이동식타워크레인으로 자재 양중작업을 하던 중 크레인을 지지하고 있던 아웃트리거 하부지반 침하로 장비가 전도되어 지면과 충돌되는 과정에서 운전기사가 튕겨져 나오고 조종실 내 운전석 뒤편에서 견습하고 있던 재해자는 협착하여 사망</t>
  </si>
  <si>
    <t xml:space="preserve">이동식타워크레인으로 자재양중작업을 하던 중, 크레인을 지지하고 있던 아웃트리거 하부지반 침하로 장비 전도 </t>
  </si>
  <si>
    <t>▶ 이동식크레인을 설치하는 경우 장비 주의사항에 따라 작업장소의 지반상태를 작업 시작 전 점검ㆍ확인하고 작업토록 함
▶ 지반상태가 불량한 경우 받침목, 철판 등을 설치하여 충분한 지지력 확보 후 작업실시</t>
  </si>
  <si>
    <t>2019년 10월경 OO건설 사업장내에서 재해자가 크롤러 크레인(80ton) 임대를 위해 운전실 후방에 설치되어 있는 카운터 웨이트(중량=4.87ton)를 분리하는 과정에서 카운터 웨이트가 미끄러져 떨어지면서(높이≒2m) 재해자를 가격하여 사망</t>
  </si>
  <si>
    <t>크롤러크레인 운전실 후방에 설치되어 있는 카운터 웨이트를 분리(해체)하던 중 미끄러져 낙하하는 카운터 웨이트에 맞음</t>
  </si>
  <si>
    <t>▶ 중량물을 인양하는 등의 작업 시 중량물 취급작업계획서를 작성하고 작업계획에 따라 작업진행
▶ 중량물을 해체하는 경우 낙하 위험장소의 근로자 출입금지구역 설치</t>
  </si>
  <si>
    <t>2019년 12월경 OO건설의 재생센터 처리시설 설치공사 현장에서 재해자가 55톤 기중기(크롤러크레인) 반출을 위하여 보조붐대에 설치된 권과방지장치의 전선을 해체하는 작업 중, 인근에서 작업 중인 동료작업자가 주붐대에 고정된 와이어로프를 해체하자 보조붐 지지대가 재해자쪽으로 넘어가면서 머리 등을 강타하여 사망</t>
  </si>
  <si>
    <t>보조붐대에 설치된 권과방지장치의 전선을 해체하던 중 주붐대에 고정된 로프를 해체 후 보조붐 지지대가 전도되며 피재자의 머리를 강타</t>
  </si>
  <si>
    <t>▶ 차량계 건설기계의 해체작업 시, 장비의 제원, 해체 매뉴얼 등 사전조사를 실시한 후, 해체의 방법 및 순서 등의 해체계획을 수립
▶ 크레인 해체 등 위험작업 시, 작업반경 내 작업자의 접근금지 조치, 작업자와 운전자, 신호수 간의 신호체계 수립</t>
  </si>
  <si>
    <t>2020년 7월경 방파제 보수보강을 위한 T.T.P 제작 현장에서 재해자가 와이어로프 줄걸이 작업을 하고 대피 중 크레인으로 인양되는 T.T.P와 지상에 놓여진 T.T.P 사이에 협착되어 사망</t>
  </si>
  <si>
    <t>근로자가 와이어로프 줄걸이 작업을 완료하고 다른 공간으로 움직이는 중 크레인 운전수가 근로자를 보지못하고 인양 중인 T.T.P(테트라포드)와 기 놓여진 T.T.P(테트라포드) 사이에 근로자 협착</t>
  </si>
  <si>
    <t>▶ 근로자가 장비에 근접하여 작업을 수행하는 경우 유도자를 배치하여 안전한 상태에서 작업 진행
▶ 장비에 접촉 가능 장소 및 사각지대 발생가능성이 높은 건설기계 사용 시 근로자 출입금지 및 유도자 배치
▶ 중량물을 인양하는 등의 작업 시 중량물 취급작업계획서를 작성하고 작업계획에 따라 작업진행</t>
  </si>
  <si>
    <t>2020년 7월경 스포츠복합시설 신축공사 현장에서 재해자가 카고 크레인 아웃트리거를 밟고 적재함에 오르려하다, 아웃트리거가 인입되면서 재해자의 좌측다리가 아웃트리거와 적재함 사이에 끼여 사망</t>
  </si>
  <si>
    <t>근로자가 카고 크레인 아웃트리거를 밟고 적재함에 오르려하다 아웃트리거가 인입되면서 근로자의 좌측다리가 아웃트리거와 적재함 사이에 끼임</t>
  </si>
  <si>
    <t>▶ 하역작업 등으로 적재함을 오를 경우 승강 사다리를 이용
▶ 운전 중인 장비, 작동부 근처 접근 금지</t>
  </si>
  <si>
    <t>12.5.4 양중기(윈치)</t>
  </si>
  <si>
    <t>2018년 8월경 OO건설에서 시공중인 OO초등학교 교실증축공사 현장에서 재해자가 1층 유치원 내부 벽체 내진보강을 위해 전동윈치에 ㄷ형강(149.45kg)을 걸어 인양하여 벽체에 세우던 중 벽체에 설치했던 전동윈치 걸이용 앵커볼트가 휘어지며 전동윈치가 탈락, 인양중인 ㄷ형강이 넘어져 재해자의 머리부위에 충돌해 사망</t>
  </si>
  <si>
    <t>전동윈치에 ㄷ형강을 걸어 인양하여 벽체에 세우던 중, 전동윈치 걸이용 앵커볼트가 휘어지며 전동윈치가 탈락하여 ㄷ형강이 넘어져 근로자 두부 강타</t>
  </si>
  <si>
    <t xml:space="preserve">▶ 내진보강을 위한 ㄷ형강 설치 등 중량물 취급작업 시 제원파악이 가능한 출처분명의 앵커볼트를 사용
▶ 천장부위 해체 시 ㄷ형강의 길이고려 등을 통해 양중 중 발생할 수 있는 낙하 및 전도 방지 </t>
  </si>
  <si>
    <t>2021년 12월경 OO건설 다세대 신축공사 현장에서 재해자가 윈치 상태를 파악하기 위해 외부 강관비계 작업발판 상부에 올라갔다가 약 14.4m 아래 바닥으로 떨어져 사망</t>
  </si>
  <si>
    <t>손수레에 담긴 시멘트 벽돌을 윈치를 이용하여 4층 자재 인양 개구부로 인양하여 건물 내부로 옮기던 중 중심을 잃고 개구부로 근로자 추락</t>
  </si>
  <si>
    <t>▶ 조적작업을 위해 시멘트 벽돌을 건물 각 층 자재인양 개구부를 통해 반입 시 하이랜더 등의 건설 인양장비 사용 및 내부 엘리베이터를 통해 소운반
▶ 추락위험이 있는 작업발판 및 통로의 끝이나 개구부에는 안전난간 등 설치
▶ 인양작업용 양중기는 훅 걸이용 줄걸이가 벗겨지는 것을 방지하기 위한 해지장치 설치</t>
  </si>
  <si>
    <t>12.5.5 양중기(특수작업대)</t>
  </si>
  <si>
    <t>2016년 3월경 OO건축공사 현장에서 재해자가 동료작업자 1명과 함께 고소작업대(차량 탑재형) 위에서 건물 7층 창문을 통해 해체물을 작업대에 적재하던 중, 작업대의 붐 인출용 와이어로프의 파단과 동시에 붐이 인입되면서 작업대가 낙하하여 건물 3층 부위에 충돌하는 과정에서 충격에 의해 약 29m 아래 지면으로 떨어져 사망</t>
  </si>
  <si>
    <t>고소작업대에 탑승하여 해체물(폐벽돌, 바닥몰탈)을 작업대에 적재하던 중 붐 인출용 로프가 파단되고 작업대와 함께 바닥으로 추락</t>
  </si>
  <si>
    <t>▶ 고소작업대 사용 시, 차량의 정격하중을 초과하는 자재 등을 작업대에 적재 및 운반하는 행위를 원칙적으로 금지하며 자재를 운반해야 하는 경우, 사다리 차, 건물의 계단, 리프트, E/V 등과 같은 차량 및 통로를 통한 자재 운반방식을 우선하고 불가피하게 고소작업대를 사용해야 하는 경우, 정격하중을 넘어서지 않는 범위 내에서 자재 등을 소분하여 운반하도록 조치
▶ 고소작업대 사용시, 방호장치 컨트롤러의 작동유무 및 전원상태 확인</t>
  </si>
  <si>
    <t>2019년 1월경 주식회사OO에서 시공하는 OO작업 현장에서 차량탑재형 고소작업대(일명 스카이)가 하강 하려던 중 작업대 가드가 Main Stack의 수직 비계파이프에 걸려 동료작업자가 핸드그라인더로 비계파이프를 절단하는 순간 작업대가 출렁이면서 작업대에 있던 재해자가 약 35m 바닥으로 추락하여 사망</t>
  </si>
  <si>
    <t>고소작업대 위에서 도장작업 중, 고소작업대 상부난간대가 이탈되어 근로자가 몸의 중심을 잃고 추락</t>
  </si>
  <si>
    <t>▶ 고소작업대 안전난간 설치 철저
▶ 고소작업대 안전난간 잠금핀 등 방호장치 점검 철저
▶ 안전대ㆍ안전모 지급, 착용 철저</t>
  </si>
  <si>
    <t>2019년 10월경 공장 주행크레인 레일 설치를 위하여 재해자가 고소작업대에 탑승하여 고소작업대를 상승시킨 채 이동하던 중 고소작업대 바퀴가 평탄하지 않은 작업면(개구부)에 빠진 후 고소작업대가 전도되면서 재해자가 하부 바닥으로 추락(높이 7.2m)하여 사망</t>
  </si>
  <si>
    <t>고소작업대에 탑승하여 고소작업대를 상승시킨 채 이동하던 중, 고소작업대 바퀴가 개구부에 빠진 후 고소작업대가 전도되어 근로자 추락</t>
  </si>
  <si>
    <t>▶ 고소작업대 이동통로의 요철상태 확인 및 조치
▶ 고소작업대 이동시 작업대를 가장 낮게 내린 채 운행
▶ 안전모 착용 관리 철저</t>
  </si>
  <si>
    <t>12.6 위험기계기구 작업(장비수리, 이동 등)</t>
  </si>
  <si>
    <t>12.6.1 건설기계 장비수리, 개량, 이동 등</t>
  </si>
  <si>
    <t>2016년 1월경 OO냉장 사업장에서 재해자가 신규로 설치한 수직반송기 시운전 중 운반구에서 추락하여 사망</t>
  </si>
  <si>
    <t>신규로 설치한 수직반송기 운반구에 탑승하여 시운전 중 운반구에서 떨어져 바닥으로 추락</t>
  </si>
  <si>
    <t>▶ 차량계 건설기계 승차석 외의 탑승금지</t>
  </si>
  <si>
    <t>2016년 2월경 재해자가 쇼트 공장 내에서 제품에 테이프를 부착하는 작업 중에 지게차(7톤)로 입고 중이던 제품과 기 작업 중이던 제품 사이에 끼여 사망</t>
  </si>
  <si>
    <t xml:space="preserve">지게차를 이용하여 자재운반 중 시야확보가 되지 않아 자재와 지게차 사이에 끼임 </t>
  </si>
  <si>
    <t>▶ 유도자를 배치하여 차량계 건설기계 유도
▶ 후방카메라 설치 등 장비에 의한 접촉방지조치 실행
▶ 지게차 포크 화물 적재 시 전방 시야 확보</t>
  </si>
  <si>
    <t>2016년 6월경 OO현장에서 재해자가 지하 3층에서 조적용 레미탈 자재를 정리하기 위해 지게차(2.98ton)를 직접 운전하여 목재 파레트를 이용하여 작업을 하던 중 지게차와 잭써포트*(H=3.0m, Ф=140mm) 사이에 얼굴이 협착되어 사망</t>
  </si>
  <si>
    <t>2016년 7월경 OO건설㈜ OO신축공사 현장에서 재해자가 사고지점 인근에서 지게차 견인작업을 지켜보다가 전도되는 지게차에 부딪혀 사망</t>
  </si>
  <si>
    <t>콘크리트 펌프카를 이용하여 지게차 견인작업을 하던 중 견인작업을 지켜보던 재해자가 전도되는 지게차에 충돌</t>
  </si>
  <si>
    <t>▶ 주용도 외에 사용제한(전용 견인차를 불러 지게차를 견인하도록 조치)
▶ 위험작업 시, 주변의 관리자를 포함한 근로자 모두 작업 반경 내 접근 금지</t>
  </si>
  <si>
    <t>2016년 8월경 OO신축공사 현장에서 재해자가 오후 T.B.M(Tool Box Meeting)을 위하여119동 남측 가설도로(폭:8m)를 횡단하여 이동하던 중 운행 중이던 지게차(8ton) 오른쪽 바퀴에 깔려 사망</t>
  </si>
  <si>
    <t>현장 내 운행중이던 건설기계(굴착기, 지게차)가 이동하던 재해자를 발견하지 못하고 충돌</t>
  </si>
  <si>
    <t>▶ 유도자를 배치하여 차량계 건설기계 유도
▶ 후방카메라 설치 등 장비에 의한 접촉방지조치 실행
▶ 차량계 건설기계 운행경로와 별도로 근로자가 이동할 수 있는 안전 통로 설치</t>
  </si>
  <si>
    <t>2016년 10월경 OO사무실 뒤 야적장에서 재해자는 동료작업자가 덤프트럭 정비를 위해 공기압축기를 작동시켜 덤프트럭 뒷바퀴를 교체하는 작업을 도와주던 중 과압상태로 충압된 공기저장용기의 배면부분이 파열되면서 압축공기가 옆 적재함을 타격, 적재함에 실려 있던 공구함이 날아가 재해자를 타격하여 사망</t>
  </si>
  <si>
    <t>덤프트럭 정비를 위해 공기압축기를 이용하여 트럭 뒷바퀴 교체작업 중 공기압축기가 파열되면서 주변에 있던 적재함을 타격하고 적재함에 있던 공구함이 날아가 재해자가 맞음</t>
  </si>
  <si>
    <t>▶ 공기압축기 압력방출장치(안전밸브) 설치
▶ 위험작업 반경내 접근금지</t>
  </si>
  <si>
    <t>2017년 5월경 OO호텔 신축공사 현장에서 지게차를 운전하여 지하 3층에서 지상으로 폐기물 운반 중  지하 2층 경사로(Ramp) 구간에서 덕트 보온 작업중이던 재해자를 발견하지 못했고, 재해자는 지게차 포크에 부딪혀 사망</t>
  </si>
  <si>
    <t>지하에서 지상으로 폐기물 운반 중 지하층에서 덕트 보온작업 중이던 재해자를 발견하지 못하고 운전하다 지게차 포크로 재해자 충돌</t>
  </si>
  <si>
    <t>▶ 유도자를 배치하여 차량계 건설기계 유도
▶ 지게차 포크 화물 적재 시 전방 시야 확보</t>
  </si>
  <si>
    <t>2017년 10월경 지방하천 정비사업 현장 내 제방 진입도로(농로)에서 협력업체 소속 재해자가 덤프트럭의 이동경로 상에 일반차량 진입을 통제하던 중 후진하는 덤프트럭에 치어 사망</t>
  </si>
  <si>
    <t>근로자가 덤프트럭의 이동경로 상에 일반차량 진입을 통제하던 중 후진하는 덤프트럭에 치임</t>
  </si>
  <si>
    <t>▶ 차량계 건설기계 사용시 근로자 통제 또는 유도자 배치
▶ 후방카메라 설치 등 장비에 의한 접촉방지조치 실행</t>
  </si>
  <si>
    <t>2017년 10월경 OO조성공사 및 진입도로 개설공사 현장에서 잔디 식재공사 OO 소속의 재해자가 작업구역으로 이동하기 위해 소형 덤프트럭(1톤)을 타고 관리도로(아스콘포장, 폭 2.8m, 하향경사 약 22%)를 통해 이동하던 중 차량이 도로를 이탈하여 약 15m 아래의 경사지로 추락하여 사망</t>
  </si>
  <si>
    <t>덤프트럭의 승차석과 외부 적재함에 다수의 근로자가 나눠타고 현장 내 이동하던 중 차량이 급 경사도로에서 이탈하여 경사지로 떨어짐</t>
  </si>
  <si>
    <t>2017년 10월경 OO조성공사 현장에서 재해자가 굴삭기를 운전하여 준설선 앙카(닻) 이설 작업 후 육지로 복귀하던 중 굴삭기가 기 준설된 구간으로 전복되며 물속에 잠기면서(h≒4m), 익사</t>
  </si>
  <si>
    <t>매립현장 내에서 준설구역인 해상에서 육지로 이동 중이던 굴착기가 전도되며 물속에 잠겨 익사</t>
  </si>
  <si>
    <t>▶ 차량계 하역운반기계 사용시 작업계획서 작성
▶ 유도자 배치하여 세굴 등이 없는 곳으로 이동 조치
▶ 전도위험요인 발생구간은 접근금지 표시 등 전도방지조치 실시</t>
  </si>
  <si>
    <t>2017년 10월경 OO장비 차고지에서 크롤러크레인(320톤) 해제 작업 중에 해체 대상인 크롤러크레인의 러핑마스트에서 신호를 하던 재해자가 해체작업용 크롤러크레인(80톤)으로 인양 중이던 러핑마스트가 갑자기 낙하하여 사망</t>
  </si>
  <si>
    <t>크롤러 크레인(320t) 해체 작업 중 해체작업용 크레인(80t)으로 인양 중이던 러핑마스크가 크레인 오조작으로 낙하하여 러핑마스크 사이에 끼임</t>
  </si>
  <si>
    <t xml:space="preserve">▶ 차량계 하역운반기계 사용시 작업계획서 작성
▶ 건설기계장비 운전자 자격여부 확인 </t>
  </si>
  <si>
    <t>2017년 12월경 OO공동주택 건설현장에서 재해자가 지하 주차장 상부 제설작업 중 후진하는 굴삭기 바퀴에 깔려 사망</t>
  </si>
  <si>
    <t>2018년 6월경 OO크레인 차고지 내에서 재해자가 이동식크레인(176 ton)을 운전하여 트레일러 적재함에 적재되어 있는 카운터웨이트(24 ton)를 인양하던 중 이동식 크레인이 전도면서 운전실이 트레일러 적재함 상부에 끼어 운전실 내부에 있던 재해자가 협착되어 사망</t>
  </si>
  <si>
    <t>이동식 크레인을 이용하여 트레일러 적재함에 있는 카운터웨이트를 인양하던 중 이동식 크레인이 전도되면서 운전실이 트레일러 적재함 상부에 끼여 운전실 내부에 있던 근로자 협착</t>
  </si>
  <si>
    <t xml:space="preserve">▶ 차량계 하역운반기계 사용시 작업계획서 작성
▶ 이동식 크레인 인양 작업시 허용인양하중 검토 </t>
  </si>
  <si>
    <t>2018년 8월경 OO신축공사 현장에서 재해자가 지상1층에 적재된 모래를 지상4층으로 운반하기 위하여 모래질통을 메고 지상3층 계단실을 이동하던 중 엘리베이트 피트 개구부로 추락(H≒8.5m)하여 사망</t>
  </si>
  <si>
    <t>바닥에 적재된 모래를 운반하다 엘리베이터 탑승구에 기대어 휴식하던 중 엘리베이터 피트 개구부로 추락</t>
  </si>
  <si>
    <t>▶ 개구부 등 추락단부 안전난간대 설치 등 추락방호조치 실시
▶ 현장 내 별도의 휴식공간 제공</t>
  </si>
  <si>
    <t>2018년 9월경 OO건설(주)가 시공하는 OO정비사업 공사현장에서 재해자가 영운기의 적재함을 상승한 상태에서 적재함 하부를 점검하던 중 안전지주(받침대)가 미설치된 적재함이 불시하강 하면서 차체와 적재함 사이에 재해자가 끼여 사망_x000D_</t>
  </si>
  <si>
    <t>영운기(경운기 트럭)의 적재함을 상승한 상태에서 적재함 하부 점검 중 안전지주가 미설치된 적재함이 불시하강 하면서 차체와 적재함 사이에 근로자 끼임</t>
  </si>
  <si>
    <t>▶ 차량계 하역운반기계 점검 및 수리 작업 시 안전조치 실시
▶ 근로자가 산악지형과 같은 비일상적인 장소에서 작업 시 작업 전 안전점검 실시</t>
  </si>
  <si>
    <t>2019년 7월경 OO건설(주) OO신축공사 현장에서 조경용 옹벽(콘크리트) 내부 바닥에 있는 폐기물을 굴삭기를 사용하여 외부로 반출작업 중 재해자가 굴삭기와 인접 위치한 옹벽에 의식을 잃고 쓰러져 사망</t>
  </si>
  <si>
    <t>굴착기를 이용하여 폐기물을 외부로 반출작업 중 굴착기와 옹벽사이 협착</t>
  </si>
  <si>
    <t>▶ 차량계 건설기계 사용시 작업 장소 내에 근로자의 출입 통제
▶ 유도자를 배치하여 차량계 건설기계 유도
▶ 후방카메라 설치 등 장비에 의한 접촉방지조치 실행</t>
  </si>
  <si>
    <t>2019년 9월경 OO신축공사 현장에서 재해자가 지게차 포크에 팔레트를 끼우고 그 위에 올라가 마스트를 올린 상태(높이 약4m)에서 유리온실 천장 스크린(Screen) 고정용 와이어에 플라스틱 보호캡을 씌우는 작업을 하던 중 중심을 잃고 약 4m 높이에서 추락하여 사망</t>
  </si>
  <si>
    <t>지게차 포크 위에서 천장 스크린 고정용 와이어 작업을 하던 중 중심을 잃고 바닥으로 추락</t>
  </si>
  <si>
    <t>▶ 지게차 승차석이 아닌 위치에 근로자 탑승 금지</t>
  </si>
  <si>
    <t>2019년 10월경 OO신축공사 현장에서 470톤 이동식 크레인의 설치 작업 중 지상 2.5미터 높이에 있던 지브의 끝단이 지면으로 떨어져 지브위에서 지브 연장 작업 중이던 작업자 2명이 맞아  3개월 이상의 요양이 필요한 부상</t>
  </si>
  <si>
    <t>이동식 크레인 설치 작업 중 지브의 끝단이 지면으로 떨어지면서 지브위에서 지브 연장작업 중이던 근로자 맞음</t>
  </si>
  <si>
    <t>▶ 이동식 크레인 일일점검을 통한 장비의 파단여부 등 확인철저
▶ 해당 작업 근로자 외 근로자 출입 통제</t>
  </si>
  <si>
    <t>2020년 1월경 OO환경개선공사 소속 재해자가 1톤 트럭을 주차한 후 차량에서 내리는 순간 차량이 경사진 도로 전방으로 전진하자 차량을 멈추기 위해 운전대를 잡는 등의 행동을 하다 넘어지면서 전진하는 차량에 몸이 깔려 사망</t>
  </si>
  <si>
    <t>주차한 차량(1톤 트럭)이 경사진 도로 전방으로 전진하자 멈추기 위해 운전대를 잡다 넘어져 차량에 몸이 깔림</t>
  </si>
  <si>
    <t>▶ 운전위치 이탈 시 브레이크 또는 고임목 설치
▶ 경사진 노면에서 정지 시 확실하게 고정 후 이탈</t>
  </si>
  <si>
    <t>2020년 6월경 OO건설공사 현장에서 재해자가 크롤러크레인(150ton) 붐 길이 조정을 위하여 지면과 수평으로 내려놓은 붐의 하부로 들어가 고정핀을 제거하는 작업을 하던 중 붐이 하강하면서 재해자가 깔려 사망</t>
  </si>
  <si>
    <t>크롤러 크레인 붐 길이 조정을 위해 수평으로 내려놓은 붐의 하부로 들어가 고정볼트를 제거하던 작업 중 붐이 하강하면서 근로자 깔림</t>
  </si>
  <si>
    <t>▶ 크롤라 크레인의 해체작업 시 안전지지대 또는 안전블럭 설치
▶ 크롤라 크레인의 작업 시 신호방법을 정하여 운전자와 근로자에게 신호</t>
  </si>
  <si>
    <t>2020년 7월경 OO신축공사 현장에서 재해자가 경사로에서 지게차를 운전하여 폐기물을 버리기 위해 양중함을 들어 후진, 회전하던 중 지게차가 전도되면서 재해자가 깔려 사망</t>
  </si>
  <si>
    <t>폐기물을 반출하기 위해 양중함을 들어 후진 및 회전하던 중 지게차가 전도되어 재해자가 깔림</t>
  </si>
  <si>
    <t>▶ 중량물 적재 시 하중이 한쪽에 쏠리지 않게 무게중심의 위치를 고려하여 적재함
▶ 차량계 하역운반기계 사용 시 운전자는 좌석안전띠 및 개인보호구 착용</t>
  </si>
  <si>
    <t>2020년 9월경 OO이설공사 실시설계 중 지질조사를 위해 재해자가 운반차(경운기 엔진과 콤바인 변속기를 결합한 개조형태)로 자재를 운반하던 중, 경사지(11°)에서 조작실수 등으로 운반차가 후진하게 되었고, 운반차에 깔려 사망</t>
  </si>
  <si>
    <t>경사도로에서 자재 운반하던 운반차(개조차량)가 운전미숙으로 후진을 하게 되어 주변에 있던 재해자가 운반차에 깔림</t>
  </si>
  <si>
    <t>▶ 차량계 건설기계 안전 운행 매뉴얼 작성 및 준수</t>
  </si>
  <si>
    <t>2020년 10월경 OO건설공사 현장에서 재해자가 크롤러 크레인(200ton) 붐 연장을 위해 연결부 하부로 들어가서 상하부 총 4개의 연결핀 중 하부 연결핀 1개를 먼저 제거하고 남은 하부 연결핀 1개를 제거하는 순간 연결부가 아래쪽으로 꺾이면서 하강하여 하부에 있던 재해자가 깔려 사망</t>
  </si>
  <si>
    <t>크롤러 크레인 붐 연장을 위해 탑 붐 연결핀 제거작업하던 중 하부 연결핀 1개를 제거하는 순간 연결부가 아래쪽으로 꺾이면서 하강하여 하부에 있던 근로자 깔림</t>
  </si>
  <si>
    <t>2020년 11월경 OO도로건설 현장에서 재해자가 도로 방음벽 시공을 위해 차단된 도로(2개차로, 2~3차로)상에서 주행 중인 일반차량의 원활한 통행을 위해 교통신호를 하던 중 4차로에서 2,3차로로 진입하는 출처불명의 덤프트럭에 치어 사망</t>
  </si>
  <si>
    <t>도로 방음벽 시공 중 원활한 통행을 위해 교통신호를 하던 중 덤프트럭에 충돌</t>
  </si>
  <si>
    <t>▶ 차량계 하역운반기계 사용시 작업계획서 작성
▶ 교통 신호수 주변에 견고하고 충분한 크기의 방책이나 방호블럭을 설치</t>
  </si>
  <si>
    <t>급경사(경사도 1</t>
  </si>
  <si>
    <t>급경사(경사도 12.5%)인 경사터널에서 사고 덤프트럭 운전자인 재해자가 앞서가던 동료운전자의 덤프트럭을 비상등을 켠상태로 빠른 속도로 추월하여 내려갔고 차량의 브레이크 기계적 결함으로 정지하려는 흔적(스피드 마크) 없이 경사터널을 올라오던 덤프트럭과  충돌하여 사망</t>
  </si>
  <si>
    <t>차량의 기계적 결함(브레이트 오작동)으로 정지하지 못하고 앞서오던 차량과 충돌</t>
  </si>
  <si>
    <t xml:space="preserve">▶ 차량계 건설기계 정기검사 등 체계적인 점검 및 정비 실시 </t>
  </si>
  <si>
    <t>12.7 기타(작업환경, 청소 등)</t>
  </si>
  <si>
    <t>12.7.1 기타(작업환경, 청소 등)</t>
  </si>
  <si>
    <t>2015년 1월경</t>
  </si>
  <si>
    <t>2015년 1월경 OO공사 현장에서 재해자가 공장 지붕에서 동료작업자와 함께 폐기물을 담은 마대(약 30kg)를 지상으로 던지던 중 허리에 차고 있던 작업용 공구에 마대가 걸려 함께 지상으로 떨어져 사망</t>
  </si>
  <si>
    <t>지붕에서 폐기물을 담은 마대를 지상으로 던지던 중 작업용 공구가 걸려 마대와 함께 바닥으로 추락</t>
  </si>
  <si>
    <t>▶ 지붕 등 추락단부 안전난간대 설치 등 추락방호조치 실시
▶ 자재반출시 적재함에 담아 크레인을 이용하여 지상으로 반출하는 등 작업방법 검토</t>
  </si>
  <si>
    <t>2015년 12월경 OO하수처리장내 하수슬러지처리시설에서 용접공인 재해자가 건조기 B호기 보수작업중 건조기 내부 축부분 용접절단작업을 하기위하여 건조기 좌측 감속기에 체인을 체결하고 축을 회전시키던중 구동 체인이 끊겨 재해자의 머리부위에 체인부위(핀 링크)가 비래되어 사망</t>
  </si>
  <si>
    <t>상부설치된 배관 및 기계설비 체인 등이 노후화로 인해 떨어지고 끊기면서 하부에 작업하던 재해자 깔림 및 강타</t>
  </si>
  <si>
    <t xml:space="preserve">▶ 위험구간내 근로자 배치 및 작업지휘자 미배치
▶ 작업내용에 맞게 사용 체인의 충분한 인장강도 확보 후 작업 실시 </t>
  </si>
  <si>
    <t>2015년 12월경 OO(주) 「양방향라디오열차무선통신장치보수장비용」현장에서 재해자가 철도유지보수장비(밸러스터 레귤레이터) 상부에 무선송수신기 안테나를 설치 작업중 전차선(25KV)에 상체가 접촉되어 감전 및 아크에 의한 작업복 화재로 화상을 입어 사망</t>
  </si>
  <si>
    <t>정리 및 보수작업을 하던 중 충전부 방호가 되지 않은 충전선에 닿아 감전</t>
  </si>
  <si>
    <t>▶ 충전전로 인접 작업 시 전로의 전원차단 등 작업방법 개선
▶ 절연용 방호구 및 보호구 사용
▶ 감시인 배치 등 근로자의 관리 강화</t>
  </si>
  <si>
    <t>2016년 1월경 재해자가 OO백화점 지하1층 입구 상단부에 현수막(가로 5M, 세로 0.9M)을 설치하기 위해, 한손에 현수막을 들고 계단식(A형)사다리 위(높이 약 2.5M)로 올라가 현수막을 설치하려 하였으나, 사다리 높이가 낮아 현수막을 설치하지 못하고 내려오려다 바닥으로 떨어져 사망</t>
  </si>
  <si>
    <t>사다리를 이용하여 내려오던 중 중 몸의 균형을 잃고 바닥으로 추락</t>
  </si>
  <si>
    <t>▶ 이동식 사다리를 사용 시 2인 1조로 작업, 아웃트리거 체결 철저
▶ 작업 전 개인보호구 지급 및 착용상태 관리</t>
  </si>
  <si>
    <t>2016년 3월경 OO제강내 부원료(슬래그 진정제) 덤핑 작업장에서 부원료 덤핑작업을 위해 차량 적재함 상부에 올라가 포장덮개를 벗기던 중 몸의 중심을 잃고 지면으로 떨어져(H≒3.2m) 사망</t>
  </si>
  <si>
    <t>차량 적재함 상부에 올라가 포장덮개를 벗기던 중 몸의 중심을 잃고 바닥으로 추락</t>
  </si>
  <si>
    <t>▶ 포장덮개 등 중량물을 다루는 작업의 경우 2인 1조로 작업
▶ 근로자 개인보호구, 안전대 체결여부 점검 및 관리감독</t>
  </si>
  <si>
    <t>2016년 4월경 OO다세대 신축공사 현장에서 재해자가 지상1층 주차장에서 사용하고 남은 알콜을 폐기하기 위해 철제통에서 알콜을 태우던 중, 플라스틱 통에 담긴 알콜을 불붙은 철제통에 붓는 과정에서 플라스틱 통이 폭발하여 화상을 입고 사망</t>
  </si>
  <si>
    <t>알코올 폐기를 위해 철제통에 알코올을 태우던 중 플라스틱 통에 담긴 알코올을 추가로 붓는 과정에서 플라스틱통 또는 금속용기가 폭발하여 근처에 있던 근로자 화상</t>
  </si>
  <si>
    <t>▶ 알코올 폐기작업 시, 폭발, 화재 등의 위험이 없는 소각로 및 소각장에서 폐기작업 실시
▶ 폭발, 화재 발생 가능성이 있는 작업 시, 주변부 소화기 배치 및 점화원 물체의 배치를 금지</t>
  </si>
  <si>
    <t>2016년 4월경 OO 목조주택 신축공사 현장에서 재해자가 벽체를 설치하기 위하여 지상2층에서 다른 작업자와 2인 1조로 목재프레임(2,460×2,430mm, 약 70kg)을 운반하던 중, 몸의 중심을 잃고 지상1층 콘크리트 바닥으로 떨어져(H≒2.8m) 사망</t>
  </si>
  <si>
    <t>자재 운반 중 안전난간이 미설치된 바닥개구부로 추락</t>
  </si>
  <si>
    <t xml:space="preserve">▶ 개구부는 안전난간, 울타리 또는 덮개 등의 방호조치 실시
▶ 덮개를 설치하는 경우 뒤집히거나 떨어지지 않도록 설치 및 개구부임을 표시
▶ 높이 2m 이상에서 작업 시 추락방지를 위해 안전대 부착설비 설치 및 안전대 착용 </t>
  </si>
  <si>
    <t>2016년 5월경 OO건설(주) OO조성공사 현장에서 재해자가 우수맨홀 등의 시공상태(청소상태)를 점검하는 과정에서 인근의 PC Box 터파기면 상부를 이동하던 중 5.6m 아래 터파기면 하부로 떨어져 익사</t>
  </si>
  <si>
    <t>안전난간이 미설치된 슬라브 단부 근처에서 작업(자재반출, 점검 등)을 하다 바닥으로 추락</t>
  </si>
  <si>
    <t>▶ 추락할 위험이 있는 장소에서 작업 시, 안전난간대, 안전대 부착설비 설치 등의 안전방호조치 실시
▶ 작업자의 개인보호구, 안전대 체결여부 점검 및 관리감독
▶ 추락위험이 있는 곳에 안전난간 및 출입금지(추락위험) 표지 설치</t>
  </si>
  <si>
    <t>2016년 5월경 주거환경개선사업 지장물 철거공사(2공구) 현장에서 재해자가 17구역 지장가옥 철거를 위해 가설방진망(길이 68m×높이 10m) 설치 작업 중 인접하여 주차되어 있던 살수차(12ton)의 브레이크가 풀리면서 충돌하여 사망</t>
  </si>
  <si>
    <t>주차 중인 차량의 브레이크 불량으로 차량이 이동하며 충돌</t>
  </si>
  <si>
    <t>▶ 살수차 등 건설차량을 경사면에 정차 및 주차한 후 운전석에서 이탈할 경우, 핸드〮공기 브레이크 조치 및 고인목 설치 등 차량의 갑작스러운 주행을 방지하도록 조치
▶ 살수차 등 건설차량이 현장 내 출입할 시, 차량의 노후화, 브레이크의 작동 유무 등을 점검 후 출입 조치</t>
  </si>
  <si>
    <t>2016년 6월경 OO설비공사 현장에서 재해자가 공장동 2층 천정에서 폐자재 청소작업(비닐마대 속에 담음) 중 천정의 파손과 함께 6.0m 아래 계단실 바닥으로 추락하여 사망</t>
  </si>
  <si>
    <t>공장동 천장에서 폐자재 청소작업 중 천장재가 파손되어 천장재와 함께 바닥으로 떨어짐</t>
  </si>
  <si>
    <t>▶ 강도가 약한 천장 마감재 위에서 청소작업을 하는 경우, 추락할 위험이 있으므로 추락방호망, 안전대 부착설비 설치 등의 안전방호조치를 실시
▶ 강도가 약한 천장 마감재 위에서 작업 및 이동하는 경우, 적절한 조명기구를 설치하여 작업자가 실족하거나 넘어지지 않도록 조치</t>
  </si>
  <si>
    <t>2016년 6월경 OO에서 시공하는 「OO공장」현장에서 탈수용 열교환기(Glycol Dehydrator Reboiler) tube 내부를 고압의 물로 세척하던 중 분사용 노즐(lance)의 spin 부분이 빠지면서 수압에 의해 분사용 노즐이 Tube 내부에서 튕겨나가면서 재해자의 목 부위를 강타하여 사망</t>
  </si>
  <si>
    <t>기계설비 내부 고압의 물로 세척작업 중 수압에 의해 노즐이 튕겨나가면서 재해자 강타 후 넘어짐</t>
  </si>
  <si>
    <t>▶ 노후화 된 사용 정비 및 자재 관리 철저</t>
  </si>
  <si>
    <t>2016년 6월경 OO신축공사 현장에서 외부비계 상부에 있던(높이: 약 9m) 강관(길이: 약 2m, 무게: 약 5kg)이 떨어지면서 통로에서 자재정리를 하던 재해자의 머리에 맞아 사망</t>
  </si>
  <si>
    <t>외부 비계 상부에 있던 강관이 떨어지면서 통로에서 자재정리하던 재해자 맞음</t>
  </si>
  <si>
    <t>▶ 비계, 작업발판 등에는 재료, 공구 등 낙하물 방치되지 않도록 관리
▶ 근로자 개인보호구, 안전대 체결여부 점검 및 관리감독</t>
  </si>
  <si>
    <t>2016년 7월경 OO정비공사 현장에서 재해자가 선별장의 트롬멜스크린 좌측부 작업발판 등에서 후속작업 준비 및 시운전시 이상징후(소음 등) 확인 등의 작업 중 스크린망과 측면벽체 사이에 협착되어 사망</t>
  </si>
  <si>
    <t>장비 시운전 중 설비작동으로 인해 기계설비와 벽체사이 끼임</t>
  </si>
  <si>
    <t>▶ 설비 작동 전 근로자 안전확보 조치
▶ 설비 운전시작 전 신호방법 미흡</t>
  </si>
  <si>
    <t>2016년 8월경 교량 하부보강 작업장에서 OO건설(주) 소속 재해자(용접공)가 굴삭기로 운반하여 기초구조물 위에 올려놓은 지보재의 가장자리에서 노룻발못뽑이로 지렛대 원리를 이용하여 지보재 하단부 수평재를 이동 시키는 작업 중 지보재가 넘어지면서 회전, 재해자를 강타하여 사망</t>
  </si>
  <si>
    <t>교량 하부 보강을 위해 지보재 하단부 수평재를 이동시키는 작업 중 지보재가 넘어지면서 회전하여 재해자 강타</t>
  </si>
  <si>
    <t>▶ 중량물 취급작업계획서 작성 및 작업지휘자 지정
▶ 자재 전도방지를 위해 슬링벨트 연결 부위 및 이동방법 검토</t>
  </si>
  <si>
    <t>2016년 8월경 OO조합 소속 근로자 3명이 제초작업을 마치고, 임시도로를 통해 타 현장으로 차량이동 중 근로자가 탑승한 1톤트럭이 도로변 100m 경사지 아래로 굴러 떨어져(운전 부주의 추정) 운전자 1명은 부상, 동승자 2명은 사망</t>
  </si>
  <si>
    <t>임시도로를 통해 타 현장으로 이동중이던 트럭이 운전자의 부주의로 인해 경사지 아래로 굴러 떨어짐</t>
  </si>
  <si>
    <t>2016년 8월경 ㈜OO 철탑 점검 및 보수공사 현장에서 재해자가 철탑 암 끝부분에 있는 애자를 청소하기 위해 철탑을 오르던 중, 몸의 중심을 잃고 지면으로 떨어져(H=10m) 사망</t>
  </si>
  <si>
    <t>철탑 암 끝부분에 있는 애자를 청소하기 위해 수직로프가 미설치된 철탑을 오르던 중 몸의 중심을 잃고 바닥으로 추락</t>
  </si>
  <si>
    <t>▶ 안전대 부착설비(수직로프, 추락방지대, Key Lock) 설치
▶ 철탑 하부에 추락방지망 설치</t>
  </si>
  <si>
    <t>폭염</t>
  </si>
  <si>
    <t>2016년 8월경 OO구조물제작 설치공사현장에서 각관(가로보)을 2인1조로 작업장소로 운반하는 작업을 하고 휴식을 취하는 도중 재해자가 쓰러져 사망</t>
  </si>
  <si>
    <t>폭염 속 자재 운반 및 정리 등 작업을 하던 중 의식을 잃고 쓰러짐</t>
  </si>
  <si>
    <t>▶ 열사병 예방 3대 기본수칙(물/그늘/휴식) 준수
▶ 적절한 휴게시설 설치, 휴게시간 부여</t>
  </si>
  <si>
    <t>2016년 9월경 농촌용수개발 사업현장에서 재해자가 물웅덩이에 설치된 수중펌프 작동상태를 점검하던 중 감전</t>
  </si>
  <si>
    <t xml:space="preserve"> 수중펌프의 작동상태 확인을 위해 물웅덩이에 들어갔다가 누전된 수중펌프에 감전</t>
  </si>
  <si>
    <t>▶ 누전에 의한 감전위험 방지를 위해 해당 전로에 맞는 감전방지용 누전차단기 설치 실시
▶ 양수작업 전 전원케이블을 누전차단기가 부착된 전원단자에 연결하여 누전 이상유무를 점검하고 이상발견시 즉시 보수하거나 재설치후 작업할 것</t>
  </si>
  <si>
    <t>2016년 10월경 OO건설(주) OO신축공사 현장에서 재해자가 지하2층 냉각수 배관(Ø500) 수압시험 중 냉각수 배관을 지지하던 세트앵커(M12)가 천장에서 뽑히면서 떨어지는 냉각수 배관에 깔려 사망</t>
  </si>
  <si>
    <t>계단</t>
  </si>
  <si>
    <t>2016년 11월경 근생 및 단독신축 현장에서 재해자가 옥상에서 철근배근 작업을 하고 오전 간식을 먹기 위해 계단으로 내려오던 중 지상 1층 중간 계단참에서 실족하여 옹벽 외부 바닥으로 떨어져(높이 약 2.8m) 사망</t>
  </si>
  <si>
    <t>2016년 11월경 OO시설 현장에서 재해자가 대형 정비고 천장에 설치된 공조기(ERV, 높이:1.87m) Control Box 입선 및 결선작업을 하기위해 공조기 상부로 올라가려던 중 실족하여 높이 약 12m 아래 지상 콘크리트 바닥으로 추락하여 사망</t>
  </si>
  <si>
    <t>천장에 설치된 공조기 입선 및 결선작업을 하기 위해 상부로 올라가던 중 실족하여 바닥으로 추락</t>
  </si>
  <si>
    <t>▶ 방호울 설치 상태 등 기 설치된 안전통로의 기준 준수여부 확인
▶ 근로자의 개인보호구, 안전대 체결여부 점검 및 관리감독</t>
  </si>
  <si>
    <t>2016년 12월경 OO건설(주)에서 시공하는 OO도시형생활주택 신축공사 현장 내 O동 전면부지에서 현장 준공청소 등 주변정리를 위해 이동중인 재해자를 OO토건(주) 소속 덤프트럭이 후진하면서 재해자를 발견하지 못해 충돌하여 사망</t>
  </si>
  <si>
    <t>포장, 유지보수 등 도로작업 중 일반 차량통제하던 중 주행 중이던 차량과 충돌</t>
  </si>
  <si>
    <t>▶ 도로 유지보수 작업구간의 교통통제 조치
▶ 작업장 주변 안전휀스 및 무단횡단 금지표시 등 설치
▶ 차선 차단 시 작업공간과 충분한 안전거리 확보</t>
  </si>
  <si>
    <t>2017년 1월경 OO현장에서 재해자가 OO공장 OO세정작업을 위하여 탱크 내부에서 슬러지 처리(반출)작업을 하던 중, 과절취된 슬러지 단면이 붕괴되면서 슬러지 더미에 재해자가 매몰되어 사망</t>
  </si>
  <si>
    <t>세정작업을 위해 탱크내부에서 슬러지 반출작업을 하던 중 과절취된 슬러지 단면이 붕괴되면서 슬러지 더미에 재해자 매몰</t>
  </si>
  <si>
    <t>▶ 과절취로 인한 슬러지 낙하위험이 발생하지 않도록 안전하게 작업 실시</t>
  </si>
  <si>
    <t>2017년 2월경 OO보수작업 현장에서 재해자가 OO냉각시설 입구에 합판과 함께 원인미상으로 쓰러져 사망</t>
  </si>
  <si>
    <t>높이 2미터 이상되는 곳에서 작업 또는 이동을 하다 추락</t>
  </si>
  <si>
    <t>▶ 추락단부 등 추락위험구간에 안전난간대 설치 등 추락방호조치 실시
▶ 사다리 넘어짐을 방지하기 위해 2인 1조로 작업 투입</t>
  </si>
  <si>
    <t>2017년 2월경 석유화학제품인 OOO제조라인 증발기(vaporizer, 기액분리기) 내부에서 재해자가 증발기 내부와 배관내벽의 불순물 제거 및 세정 작업 중 유독성 유기용제에 중독(추정)되어 증발기 내부에 고인 물속에 쓰러진 후 사망</t>
  </si>
  <si>
    <t>세척설비 내부 청소작업 중 잔류되어있던 증기에 중독</t>
  </si>
  <si>
    <t>▶ 밀폐공간 내부 작업 시 작업 전 산소 및 유해가스 농도 측정을 통한 작업여부 확인
▶ 밀폐공간 작업 시 충분한 환기 실시</t>
  </si>
  <si>
    <t>2017년 3월경 OOO외 1인 건물공사 신축현장에서 OO인력 소속 재해자가 생수병에 담겨있던 세정제(백화제거제)를 생수로 오인하여 음용 후 사망</t>
  </si>
  <si>
    <t>작업 전 생수병에 담겨져 있는 세정제를 생수로 오인하여 음용</t>
  </si>
  <si>
    <t>▶ 물질안전보건자료 작성 및 제공
▶ 관리대상 유해물질의 운반ㆍ저장 장소 지정</t>
  </si>
  <si>
    <t>2017년 6월경 OO건설이 시공하는 OO하수관거 정비공사 현장 부근 오수맨홀에서 재해자가 맨홀 내부에 들어갔다가 의식을 잃고 사다리에서 추락하여 사망</t>
  </si>
  <si>
    <t>맨홀 내부 진입 중 의식을 잃고 추락</t>
  </si>
  <si>
    <t>▶ 밀폐공간 내부 작업 시 작업 전 산소 및 유해가스 농도 측정을 통한 작업여부 확인
▶ 밀폐공간 내부 작업 시 송기마스크, 구명밧줄, 안전대 및 사다리 등 대피용 기구 비치</t>
  </si>
  <si>
    <t>2017년 6월경 OO건설(주) OO공공임대주택 건설공사 현장에서 OO건설(주) 소속 근로자 OOO이 지상4층 비계 작업발판 위에서 쓰레기를 건물 외부로 반출하던 중 지상8층에서 떨어진 철근(D10, 길이2.4m)에 맞아 사망</t>
  </si>
  <si>
    <t>비계 작업발판 위에서 쓰레기를 건물 외부로 반출하던 중 상부에서 떨어진 철근에 맞음</t>
  </si>
  <si>
    <t>▶ 낙하물에 의한 위험의 방지조치
▶ 자재 이탈을 방지하기 위한 보관함 설치</t>
  </si>
  <si>
    <t>2017년 6월경 ㈜OO이 시공하는 OO교외 1개교 보수공사 현장에서 재해자가 OO교 신축이음장치 교체작업 완료 후 교량상부에서 약 85m에 걸쳐 설치된 차선차단용 라바콘(5m간격)을 수거하는 작업을 하던 중, 후진하는 1톤 트럭(차량통제 및 장비운반용 차량)에 깔려 사망</t>
  </si>
  <si>
    <t>2017년 6월경 OO포장도 보수공사 현장에서 재해자가 도로 포장이 완료된 구간에 설치된 임시차선이 탈락되어 교체를 하던 중 통과중이던 일반차량(승용차)에 부딪혀 사망</t>
  </si>
  <si>
    <t>2017년 6월경 OO건설에서 시공하는 OO학교 신축공사 현장에서 협력업체 소속 재해자가 기숙사동 폐자재 정리 및 청소 등의 작업 중 지하1층 바닥단부 또는 지상1층 개구부(추락발생장소 미상)에서 피트층 물탱크실 바닥으로 떨어져 사망</t>
  </si>
  <si>
    <t>환기용 개구부 주변 자재 정리하다 개구부 또는 개구부 덮개가 무너지면서 바닥으로 추락</t>
  </si>
  <si>
    <t>▶ 추락 위험이 있는 장소에 비계조립으로 작업발판 설치
▶ 작업발판 설치가 곤란할 시 추락방호망 설치
▶ 안전대 지급 및 체결 
▶ 바닥에 설치되는 개구부 덮개는 식별이 가능하도록 표시함</t>
  </si>
  <si>
    <t>2017년 7월경 OO구조물 보수공사 현장에서 협력업체 소속 재해자가 복개하천 내부에서 벽체 균열 보수작업을 하던 중 국지성호우로 빠르게 늘어난 하천 급류에 휩쓸려 사망</t>
  </si>
  <si>
    <t>보수작업을 하던 중 기상악화(국지성호우 및 태풍)으로 인해 휩쓸려가 익사</t>
  </si>
  <si>
    <t>▶ 악천후로 인해 근로자가 위험해질 우려가 있을 경우 즉시 작업을 중지시키고 근로자를 대피 시키는 등 안전 조치 실시
▶ 무전기 등 신호체계를 정하여 집중호우 등으로 빗물이 복개구조물 내부로 유입되는 경우 즉시 작업을 중단하고 신속하게 대피 할 수 있도록 조치</t>
  </si>
  <si>
    <t>2017년 7월경 OO부두 OO현장에서 재해자가 빈 마대(90*90*110) 약 10개를 백호우(06W) 붐대 고리에 걸고 야적장으로 이동 중 백호우 운전기사가 마대가 전방 시야를 가려 항만 도로를 걸어 가던 재해자를 보지 못하고 치어 사망</t>
  </si>
  <si>
    <t>빈마대 다수를 굴착기 붐대 고리에 걸고 이동하던 중 마대가 전방 시야를 가려 걸어가던 재해자를 보지 못하고 충돌</t>
  </si>
  <si>
    <t>▶ 차량계 건설기계 작업계획서 작성
▶ 굴착기 붐대를 이용하여 화물 적재 시 전방 시야 확보</t>
  </si>
  <si>
    <t>2017년 8월경 OO아파트 앞 도로 맨홀내부 제수변실에서 OO건설(주)소속 재해자 2명이 아파트 세대 상수도 공급을 위해 약 3m 깊이의 맨홀내부 제수변실의 밸브를 확인하러 내려간 후 의식을 잃고 쓰러지며  2명 모두 사망</t>
  </si>
  <si>
    <t>2017년 8월경 OO사옥 신축공사 현장에서 OO건설(주) 소속 재해자가 강당동 2층 복도에 의식을 잃고 쓰러져 사망</t>
  </si>
  <si>
    <t>원인미상의 사유로 쓰러진 재해자를 발견, 병원으로 이송 후 사망</t>
  </si>
  <si>
    <t>2017년 8월경 (주)OO건설이 시공하는 (주)OOO 건물 2층 내부인테리어공사 현장에서 직영 근로자 OOO가 동료작업자 OO과 함께 차량탑재형 고소작업대에 탑승하여 외벽 누수부위를 점검하던 중, 재해자가 탑승함 측면의 중간난간을 밟고 올라서는 순간 머리가 22.9㎸ 충전전로의 COS(CutOut Switch)에 닿아 감전된 후 탑승함과 건물 사이를 통해 약 9m 아래 지상 바닥에 떨어져 사망</t>
  </si>
  <si>
    <t>2017년 9월경 OO다가구주택 신축공사 현장에서 재해자가 청소를 위해 계단으로 이동중 계단참 단부에서 실족 외부비계와 건물 사이 이격공간으로 추락하여 사망</t>
  </si>
  <si>
    <t>계단실 창호를 통해 외부비계에서 내부 계단으로 이동하다 실족하여 외부비계와 건물사이 이격공간으로 추락</t>
  </si>
  <si>
    <t>▶ 비계와 구조물간의 이격공간에 추락방망 설치</t>
  </si>
  <si>
    <t>2017년 9월경 OO건설(주) OO육교 OO보수공사 현장에서 재해자가 경관시설물 내부 바닥에서 폐자재를 비닐마대에 담는 작업 중 바닥재(1,150mm × 2,500mm, 두께 4mm, 합성패널) 1개가 순간적으로 탈락되면서 6.6m 아래 교대 보호공 바닥으로 추락하여 사망</t>
  </si>
  <si>
    <t>교량 경관시설물 내에서 폐자재 정리 작업 중 바닥재가 순간적으로 탈락되면서 바닥으로 추락</t>
  </si>
  <si>
    <t>▶ 추락위험 장소에는 안전한 통로 및 작업발판 설치</t>
  </si>
  <si>
    <t>2017년 9월경 OO빌딩에서 재해자가 고소작업대(차량탑재용)에 탑승하여 지상 높이 약28미터 지점인 8층 건물외벽에서 광고 현수막 설치작업을 하던 중 추락하여 사망</t>
  </si>
  <si>
    <t xml:space="preserve">안전난간이 미설치된 고소작업차에서 건물 외벽 광고 현수막 설치작업 중 몸의 중심을 잃고 바닥으로 떨어짐 </t>
  </si>
  <si>
    <t>▶ 고소작업대의 작업대(운반구) 안전난간 설치
▶ 근로자 개인보호구, 안전대 체결여부 점검 및 관리감독</t>
  </si>
  <si>
    <t>2017년 10월경 OO건설(주)에서 시공하는 OO아파트 신축공사 현장에서 재해자가 안전순찰 업무 중 아파트 세대내(상세위치 불명) 발코니 개구부를 통해 지상 1층 외부 리프트 지붕 위로 추락하여 사망</t>
  </si>
  <si>
    <t>2017년 10월경 OO 재해대책시설(방파제 축조공사)현장에서 협력업체 소속의 재해자가 태풍의 영향으로 부서진 방파제 단부의 안전난간을 해체하고 재설치하기 위해 일용근로자인 동료작업자와 함께 작업하던 중 풍랑으로 발생이 된 월파가 재해자를 덮쳐 바닷속으로 빠져 익사</t>
  </si>
  <si>
    <t>2017년 10월경 OO공사 현장내 재해자가 선로주변 제초작업의 열차운행 감시업무를 하던 중 상선방향으로 화물열차가 접근하자 선로를 이동하던 동료 작업자에게 대피를 지시하던 중 하선방향으로 운행 중이던 열차에 치여 사망</t>
  </si>
  <si>
    <t>열차운행 감시업무를 수행하다 선로를 건너던 중 운행 중이던 열차에 부딪힘</t>
  </si>
  <si>
    <t>▶ 작업구간 열차 운행 정보 공유 및 열차 접근시 사전 통보하는 시스템 구축
▶ 열차운행 안전관리자 열차 접근경보 앱 설치 후 지참</t>
  </si>
  <si>
    <t>2017년 10월경 OO개량공사 현장에서 재해자가 OO교 교각(P2 NO.1지점)에서 교좌받침과 접하는 위치에 설치된 강판(Sole Plate)의 볼트 해체 작업 중 강판(Sole Plate)을 지지할 수 있는 자재(목재)가 필요하여 고속도로(교각P1→교각P2)를 횡단하다가 고속도로 나들목 진입 차량과 충돌하여 사망</t>
  </si>
  <si>
    <t>2017년 11월경 OO신축공장 3층 공사장에서 재해자가 동료작업자와 함께 성형기에서 생산된 가공품을 저장탱크로 이송하는 배관 연결 작업을 한 후 점심식사를 하기 위하여 통로를 이동하던 중 통로 중간이 장애물(안전난간)로 막혀 있자 이를 피해 돌아가려다 개구부(폭 약 77센티미터, 높이 약 3.27미터)에서 추락하여 사망</t>
  </si>
  <si>
    <t>현장 내 이동하던 중 통로 중간이 안전난간으로 막혀있자 이를 피해 돌아가려다 개구부에서 바닥으로 추락</t>
  </si>
  <si>
    <t xml:space="preserve">▶ 추락위험이 있는 장소에 안전난간, 수직형 추락방망 또는 덮개 등의 방호조치 설치, </t>
  </si>
  <si>
    <t>2017년 12월경 OO건설(주)에서 시공하는 OO신축현장에서 오피스동 지하 2층 주차장에서 코어(Core)벽체에 부분 매립되어 있는 높이 약 3.5m의 H-Beam을 산소절단기로 용단 작업 중 불티가 작업구간 후면에 야적된 단열재(0.9m × 1.8m, 우레탄보드, 약 180장)에 옮겨 붙어 화재가 발생하여 재해자가 질식 및 화상으로 사망</t>
  </si>
  <si>
    <t>H-Beam을 산소절단기로 용단작업 중 불티가 야적된 단열재에 옮겨붙어 화재</t>
  </si>
  <si>
    <t>▶ 화기 사용 시 가연물에 대한 정리 및 제거
▶ 화재감시자 배치</t>
  </si>
  <si>
    <t>2017년 12월경 OO건설(주)에서 시공하는 OO신축공사 현장에서 재해자가 건물후면 지상 1층 외부에서 주변 청소작업 중 환기구 창호 개구부(1,200mm× 1,200mm)를 통해 약 9.7m 아래의 지하2층 발전기실 콘크리트 바닥으로 추락하여 사망</t>
  </si>
  <si>
    <t>▶ 주락 위험이 있는 개구부 및 개구부 주변에 수직망, 안전난간 설치, 개구부 표시 등 추락위험 방지조치 실시하여 작업자의 접근을 금지하도록 조치
▶ 추락위험 방지조치가 되어있지 않은 DA 개구부 및 개구부 주변에서 불가피하게 작업을 해야 하는 경우, 안전대 부착설비, 안전난간대 등을 설치한 후, 안전대를 체결하여 작업진행거나 합판, 철제 덮개 등으로 개구부를 단단히 고정한 후 작업진행</t>
  </si>
  <si>
    <t>2018년 1월경 OO 교체 및 OO 개선공사 현장에서 재해자가 청소차 적재함(암롤박스) 상부의 해체된 폐기물 정리작업 후 지상으로 내려오던 중 추락하여(H≒1.7m) 사망</t>
  </si>
  <si>
    <t>2018년 1월경 OO변경공사 현장에서 재해자가 2층 장비반입구(H≒6.5)에서 폐기물(판넬) 반출작업 중 중심을 잃고 건물외부 바닥으로 추락하여 사망</t>
  </si>
  <si>
    <t>2018년 2월경 OO건설(주) OO증축공사 현장에서 재해자가 학교 건물 5층 외부비계 작업발판 위를 이동하던 중 고정되지 않은 작업발판이 탈락되면서   몸의 중심을 잃고 지상 1층 바닥으로 떨어져(H≒17m) 사망</t>
  </si>
  <si>
    <t>외부비계 작업발판 위 이동하던 중 고정되지 않은 작업발판이 탈락되면서 바닥으로 추락</t>
  </si>
  <si>
    <t>▶ 작업발판 설치시 2지점 이상 고정 철저</t>
  </si>
  <si>
    <t>2018년 3월경 OO건설이 시공하는 OO주상복합신축공사 현장에서 재해자가 구조물 지하1층 청소작업 중 바닥개구부(70㎝X50㎝, 지하층 콘크리트타설 압송관용 개구부)로 떨어져(H=7.2m) 사망</t>
  </si>
  <si>
    <t>2018년 4월경 OO건설(주) OO건설공사 현장에서 재해자가 아파트  지상 3층 발코니에서 외부로 돌출된 에어컨 실외기 설치용 바닥 슬라브로 넘어가 청소작업 중 몸의 중심을 잃고 약 10m 아래 지하1층(썬큰) 콘크리트 바닥으로 추락하여 사망</t>
  </si>
  <si>
    <t>2018년 4월경 OO에서 시공하는 2층 단독주택 도장공사 현장에서 재해자가 단독주택 2층 북·서향쪽 벽체의 표면 및 바탕처리 작업을 진행하던 중 계단(주택2층↔옥상용)옆에 엎드려 쓰러져 사망</t>
  </si>
  <si>
    <t>2018년 4월경 OO복합시설 신축공사 현장에서 재해자가 드라이 에어리어 인근에서 자재 반출을 위한 정리 작업 중 약 22.0m 아래 지하 6층 바닥으로 추락하여 사망</t>
  </si>
  <si>
    <t>2018년 5월경 OO교량보수보강 공사현장에서 재해자자 살수차에서 하차하던 중 해체되어 임시로 세워져있던 교량 난간을 밟는 순간 고정되어 있지 않던 난간이 교량 외측으로 넘어지며 난간과 함께 떨어져(H≒17m) 사망</t>
  </si>
  <si>
    <t>임시로 세워 고정되어 있지 않던 난간을 밟아 난간과 함께 외측으로 추락</t>
  </si>
  <si>
    <t>▶ 해체된 난간을 안정된 상태인지 점검 실시</t>
  </si>
  <si>
    <t>2018년 5월경 OO건설(주)에서 시공하는 근린생활시설 및 지식산업센터 신축공사 현장에서 재해자가 지하 1층 및 주차장 램프에서 폐자재 정리 작업(거푸집 연결 핀 등)과 청소 작업 등을 하던 중 주차장 램프 경사로에서 자재를 후진으로 옮기려던 지게차가 미끄러져 굴러 내려와 재해자와 충돌하여 사망</t>
  </si>
  <si>
    <t>폐자재 정리 중 경사로에서 자재를 후진으로 옮기려던 지게차가 미끄러져 굴러내려와 재해자와 충돌</t>
  </si>
  <si>
    <t>2018년 6월경 OO보수공사 현장에서 Main Silo 상부 콘베이어 보강작업을 위해 재해자와 동료작업자 3명이 콘베이어의 기존 바닥판을 철거하고 신규 바닥판과 덧댐 측판을 설치하던 중 재해자가 안전난간 바깥에서 이음부의 볼트체결 작업을 하면서 안전난간에 연결한 안전대를 풀고 이동하다가 약 22m 아래 바닥으로 추락하여 사망</t>
  </si>
  <si>
    <t>컨베이어 보수공사에서 볼트체결 작업을 위해 안전대를 풀고 이동하다 바닥으로 추락</t>
  </si>
  <si>
    <t>▶ 원동기·회전축·벨트 등의 위험 방지 조치 실시
▶ 컨베이어 등을 청소할 시, 해당기계의 운전을 정지시킨 후 작업 실시
▶ 비상시 컨베이어의 운전을 정지시킬 수 있는 비상정지장치 설치</t>
  </si>
  <si>
    <t>2018년 7월경 OO도로 개설공사 현장에서 재해자가 폐기물 선별 작업 중 컨베이어 벨트에 낀 토사를 삽으로 제거하던 중 삽과 함께 컨베이어 벨트에 협착되어 사망</t>
  </si>
  <si>
    <t>컨베이어 가동 중 컨베이어 점검 및 잔여물 제거하다 컨베이어 벨트에 협착</t>
  </si>
  <si>
    <t>2018년 7월경 OO도로조성공사 현장에서 재해자가 폭염 속에서 화단정리, 청소 등의 작업을 수행하던 중 휴식을 취하기 위하여 주변건물로 이동한후 열사병으로 쓰러져 사망</t>
  </si>
  <si>
    <t>2018년 7월경 OO빌딩 신축공사 현장에서 재해자가 점심식사 후 휴식 중 점심식사 장소 뒤편 주차장 소나무 그늘 아래에서 쓰러져 사망</t>
  </si>
  <si>
    <t>2018년 8월경 OO발전소 신축현장에서 석탄 이송 설비인 트랜스퍼 타워의 버킷 컨베이어 내부에서 석탄 분진이 폭발하여 비래한 파편 및 화염 등에 의해, 스피드 스위치 조정 작업 등을 하던 재해자가 사망</t>
  </si>
  <si>
    <t>버킷 컨베이어 케이싱 내부에서 내부 부유분진에 의한 분진폭발</t>
  </si>
  <si>
    <t>▶ 자연발화 우려 시 설비의 작동을 중지 후 잔류 석탄의 제거
▶ 버킷 컨베이어 가동 시 집진기를 가동하여 부유 분진 제거
▶ 불활성 가스 치환 등 발화 위험성 제거</t>
  </si>
  <si>
    <t>2018년 8월경 OO에서 시공하는 OO용역 현장에서 재해자가 정지된 컨베이어 벨트 상부에 서서 Silo 하부의 석탄 발화 여부를 확인하던 중 컨베이어 벨트가 기동되면서 쓰러진 상태로 컨베이어 끝단까지 이송되어 헤드 슈트로 추락하여(H≒3.5m) 사망</t>
  </si>
  <si>
    <t>정지된 컨베이어 벨트 상부에서 석탄 발화여부를 확인하던 중 컨베이어 벨트가 가동되면서 재해자가 쓰러진 상태로 컨베이어 끝단까지 이동되어 바닥으로 떨어짐</t>
  </si>
  <si>
    <t>▶ 컨베이어 벨트 탑승 제한 조치
▶ 비상시 컨베이어의 운전을 정지시킬 수 있는 비상정지장치 설치</t>
  </si>
  <si>
    <t>2018년 8월경 OO유지관리 현장에서 재해자가 제초작업 시 발생한 부산물을 차량에 적재하기 위해 정해놓은 임시적재장소로 손수레를 이용하여 옮기는 작업을 하는 중 작업장소에서 약 300m 떨어진 공원에서 쓰러져 사망</t>
  </si>
  <si>
    <t>제초작업 부산물의 차량적재를 위한 운반작업 중 열사병으로 쓰러짐</t>
  </si>
  <si>
    <t>▶ 근로자의 지속적 일사 노출방지를 위한 휴게시설 설치
▶ 폭염주의보 발령시 적절한 휴식시간 부여</t>
  </si>
  <si>
    <t>2018년 8월경 OO탱크코팅공사 현장에서 재해자가 지하 유류저장탱크 내부 보수공사 중 탱크 내부에서 발생한 원인미상의 화재에 의해 전신에 화상을 입고 사망</t>
  </si>
  <si>
    <t>지하 유류저장탱크 내부 보수공사 중 탱크 내부에서 발생한 원인미상의 화재발생</t>
  </si>
  <si>
    <t>▶ 탱크 내부 작업 시 작업 전, 후로 수시 통풍 및 환기 조치
▶ 화재위험작업 시 작업구간 불티 비산방지조치 실시</t>
  </si>
  <si>
    <t>2018년 8월경 OO현장에서 퇴근 시 재해자가 출구방향이 아닌 반대편으로 이동 중 비탈면에서 넘어진 후 OO현장 밖에서 열사병으로 사망</t>
  </si>
  <si>
    <t>2018년 8월경 OO건설(주) OO오피스텔 신축공사 현장에서 재해자가 단독으로 지하1층의 철근콘크리트 공사용 자재를 정리하는 작업 중 환기용 수직개구부(Dry Area)를 통해 약 19미터 아래 지하6층 바닥으로 떨어져 사망</t>
  </si>
  <si>
    <t>2018년 8월경 OO 안전시설물 개선공사 현장에서 재해자가 약품투입동 내부의 혼화지유입조 바닥 점검구 덮개와 약품투입용 FRP배관 교체작업 준비상태를 확인하기 위하여 이동 중 점검구 바닥 개구부로 추락(H≒3m)하여 익사</t>
  </si>
  <si>
    <t>2018년 9월경 OOOO(주) OO라인 사무동 지하1층에 위치한 CO2 소화설비 집합관실에서, 선택밸브 이탈로 CO2가스가 방출되어 집합관실 밖으로 누출되면서 집합관실 밖 이동통로에서 자재정리를 하던 ㈜OOO산업 소속 근로자 3명이 CO2가스를 흡입하여 2명이 사망하고 1명이 부상당한 재해임</t>
  </si>
  <si>
    <t>CO2 소화설비 집합관실에서 선택밸브 이탈로 CO2가스가 방출되어 집합관실 밖으로 누출되면서 집합관실 밖 이동통로에서 자재정리를 하던 증 근로자 3명이 CO2가스를 흡입</t>
  </si>
  <si>
    <t>▶ CO2 소화설비 설치완료 후 정상설치 여부 관리감독</t>
  </si>
  <si>
    <t>2018년 9월경 탈황 반응기 내부 밀폐공간에서 촉매 교체를 위한 언로딩 작업을 수행하던 근로자가 작업교대를 위하여 반응기 하부에서 상부에 위치한 개구부로 사다리를 타고 올라오던 중 개구부로부터 약 3m 지점에서 착용하고 있던 안전대 및 안전대와 연결된 송기마스크를 스스로 벗은 후 올라오려다가 떨어짐</t>
  </si>
  <si>
    <t>반응기 내부 폐촉매 제거작업 중 작업교대를 위해 사다리를 타고 올라오던 중 착용 중인 안전대 조정 과정에서 손이 미끄러지면서 바닥으로 추락</t>
  </si>
  <si>
    <t>▶ 사다리식 통로 설치 시 상단을 개구부로부터 60cm 이상 올라가도록 설치
▶ 밀폐공간 내부작업 시 작업 전 산소 및 유해가스 농도 측정 실시</t>
  </si>
  <si>
    <t>2018년 10월경 OO개설공사 현장내 폐콘크리트 파쇄 작업장에서  임펙트 크라샤 작동 상태의 이상을 느낀 재해자가  회전체(Roter)의 운전을 정지하고 덮개를 열어 걸린 원석(폐콘크리트) 등을 제거하던 중  Blow Bar와 임펙트 Curtain 사이에 빠지면서 사망</t>
  </si>
  <si>
    <t>쇄석기 로터에 걸린 원석을 제거하던 중 Blow bar와 임팩트 curtain 사이에 빠짐</t>
  </si>
  <si>
    <t>▶ 크라샤 컨베이어 구동 모터 등 수시로 정비 작업이 이루어지는 구간에 근로자가 상부 작업발판으로 이동 가능한 통로 설치</t>
  </si>
  <si>
    <t>2018년 10월경 OO(주) OO신축공사 현장에서 준공청소 업체 소속 재해자가 아파트 세대 내 아일랜드식탁 주위 거실 바닥에 쓰러져 사망</t>
  </si>
  <si>
    <t>준공청소 중 아일랜드 식탁 주변에 쓰러진 채 발견</t>
  </si>
  <si>
    <t>▶ 높은 장소에서 작업 시 말비계 등 안전한 작업발판을 설치하고 작업 수행
▶ 가구 청소 작업 시 사다리 사용을 지양</t>
  </si>
  <si>
    <t>2018년 10월경 OOOO(주) OO본부에서 석탄저장 사일로(D) 상부에 설치된 집진기(BF-15)의 백필터 교체작업 중 집진기 내부에서 발생하는 연기의 원인을 확인하기 위해 점검용 맨홀을 여는 순간 백드래프트가 발생하여 1명 사망, 4명 부상</t>
  </si>
  <si>
    <t>집진기 백필터 교체작업 중 집진기 내부에서 발생한 연기 파악을 위해 점검용 맨홀을 여는 순간 산소 유입에 의한 백드래프트가 발생하여 화상</t>
  </si>
  <si>
    <t>▶ 집진기 내부 등에 대해서는 잔류석탄 제거, 불연성 가스 소화설비 설치, 불활성 가스치환, 온도상승 방지용 살수설비 설치 등을 통한 자연발화 방지조치 실시
▶ 집진기 정비 시 주기적 점검(연 2회 이상), 백필터 교체(연 1회) 등 정비절차 기준 및 절차 준수 철저</t>
  </si>
  <si>
    <t>2018년 11월경 OO공사 현장에서 낙동강을 횡단하는 오탁방지막 설치를 위해 가슴장화를 입고 강물 속 바위 위에서 오탁방지막에 연결된 로프를 던지던 중 재해자가 바위에서 미끄러져 익사</t>
  </si>
  <si>
    <t>오탁방지망에 연결된 로프를 던지던 중 바위에서 미끄러져 익사</t>
  </si>
  <si>
    <t>▶ 작업 시 구명장구 비치 및 근로자 구명동의 착용</t>
  </si>
  <si>
    <t>2018년 12월경 OO아파트 신축공사 현장에서 재해자가 116동 지하 1층 PIT 내부에서 정리정돈 작업 중에 임시로 기대져 있던 벽체 거푸집이 전도되면서 깔려 사망</t>
  </si>
  <si>
    <t>지하층 내부에서 정리정돈 작업 중에 임시로 기대져있던 벽체거푸집이 전도되면서 재해자가 깔림</t>
  </si>
  <si>
    <t>▶ 자재 일부 거치작업시 안전한 각도 유지 및 버팀대 또는 지지대 설치
▶ 통로 주요 부분에 통로 표시 및 장애물 제거
▶ 장애물 제거가 어려운 경우 버팀대 및 밀림방지 목재 등을 고정</t>
  </si>
  <si>
    <t>2018년 12월경 재해자가 버스정류소 표지판 보강작업을 마치고 인근에 주차된 차량으로 이동 중 OO방면으로 주행 중인 일반차량(승용차)과 충돌하여 사망</t>
  </si>
  <si>
    <t>2019년 1월경, OO시설 공사현장 지하 전기실에서, 전기공사하청업체 재해자가 준공확인검사차 전기실 자재정리 및 청소 작업을 수행하던중 수전설비(전압 22.9kV)에 감전되어 사망</t>
  </si>
  <si>
    <t>2019년 2월경 OO비닐 설치작업 후 재해자가 천장 비닐 보수작업을 위해 이동식비계 위에 사다리를 올리고 작업을 하던 중 사다리와 함께 떨어져 사망</t>
  </si>
  <si>
    <t>사다리 위에서 시트지 제거 작업을 하던 중 몸의 중심을 잃고 바닥으로 추락</t>
  </si>
  <si>
    <t>▶ 사다리 보다 상대적으로 작업 안정성이 뛰어난 고소작업대, 이동식 비계 등을 사용하여 작업</t>
  </si>
  <si>
    <t>2019년 3월경 OO건설(주)가 시공하는 OO근린생활시설 신축공사 현장에서 재해자가 5층 베란다 바닥에 쓰러져 사망</t>
  </si>
  <si>
    <t>2019년 4월경 OO 구축사업현장 내 2층에서 재해자와 동료 작업자가 경사 벨트 컨베이어에서 발생하는 이상 소음의 원인을 파악하기 위해 컨베이어가 가동 중인 상태에서 방호덮개를 해체한 후 점검하던 중 재해자의 왼쪽 팔이 벨트와 드럼사이에 끼어 말려 들어가면서 사망</t>
  </si>
  <si>
    <t>2019년 5월경 OO보수공사 현장에서 재해자가 고소작업대를 사용하여 양식장 철골빔 녹제거 작업을 하던 중 고소작업대가 상승하여 재해자가 고소작업대 안전난간과 천장 철골빔 사이에 끼여 사망</t>
  </si>
  <si>
    <t>고소작업대를 사용하여 철골빔 녹제거 작업을 하던 중 고소작업대가 상승하여 고소작업대 안전난간과 철골빔 사이에 끼임</t>
  </si>
  <si>
    <t>▶ 고소작업대 사용시 안전장치(과상승방지장치) 체결</t>
  </si>
  <si>
    <t>2019년 5월경 OO단독주택 신축공사(개인) 현장에서, 작업시작 전 추위를 녹이기 위해 화목에 불을 피워놓고 쬐던 중 근처의 접착제*가 들어있던 금속용기가 폭발하여 근처에 있던 재해자가 2~3도 화상을 입고 사망</t>
  </si>
  <si>
    <t>2019년 5월경 ○○프라자 지하4층 보일러실에서 재해자가 LED 전등 교체 및 누전 수리 작업 중 연락이 두절된 후 2일 뒤 ○○사우나 보일러실 천장쪽 공조 덕트 위에서 사망</t>
  </si>
  <si>
    <t>2019년 6월경 OO설치현장에서 재해자가 비닐하우스 활대(폭10m, 높이 7m, 개당중량 30kg, 재질: 강관파이프(Ø50mm))설치 준비작업 중 작업대로 사용하던 철재선반(가로 5.5mX 세로 4.5m, H≒2.6m)위에서 중심을 잃고 미끄러지며 지상1층 바닥(H≒2.6m)으로 추락하여  사망</t>
  </si>
  <si>
    <t>비닐하우스 활대 설치 준비작업 중 작업대로 사용하던 철재선반 위에서 중심을 잃고 미끄러져 바닥으로 떨어짐</t>
  </si>
  <si>
    <t>▶ 불안전한 작업발판 위에서의 작업 금지</t>
  </si>
  <si>
    <t>2019년 6월경 재해자가 트리클로로에틸렌(Trichloroethylene, 이하 TCE) 세척설비 내부에 들어가 세척조에 있는 이물질 청소작업을 하다가, 세척설비 내부에 잔류되어 있던 TCE 증기에 중독되어 넘어지며 뒤에 있는 세척조에 빠져 사망</t>
  </si>
  <si>
    <t>2019년 6월경 OO건설공사 현장에서 재해자 포함 3명이 105동 1·2호 라인 1층 엘리베이터 승강로 내에 상부에서 떨어지는 잔재물 등을 받기 위해 설치해 놓은 가설 경사선반위에서 2명이 청소작업을 하던 중 가설 경사선반을 지지하고 있던 받침목이 무너지면서 재해자 2명이 약 12.0m아래 엘리베이터 pit 층으로 추락하여 사망</t>
  </si>
  <si>
    <t>현장 자재 정리 중 밟고 있던 임시발판이 무너지면서 바닥으로 추락</t>
  </si>
  <si>
    <t>2019년 7월경 OO공장에서 그늘천막 설치공사를 위해 재해자가 골조프레임 위에서 그늘천막을 덮는 작업 중, 바닥으로 추락(H≒4.0m)하여 사망</t>
  </si>
  <si>
    <t>골조 프레임 위에서 천막, 망 등을 고정하는 작업을 하다 몸의 균형을 잃고 바닥으로 추락</t>
  </si>
  <si>
    <t>2019년 9월경 OO인테리어공사 현장에서 재해자가 넘어져 사망</t>
  </si>
  <si>
    <t>2019년 11월경 OO신축공사 현장에서 재해자가 단독으로 지상 4층 드라이 에어리어(Dry Area)에서 콘크리트 잔재물 정리 작업 중 약 35.5미터 아래 지하 7층 바닥으로 추락하여 사망</t>
  </si>
  <si>
    <t>2019년 12월경 OO(주)에서 시공하는 OO공동주택 신축공사 현장에서 재해자가 발파용 에어방음벽을 세우기 위해 발전기의 전원을 켠 후 에어방음벽이 부풀어지는 과정에서 에어방음벽과 기둥 거푸집(일명 : 블루폼)에 부착 된 상부 안전난간대가 간섭이 되자 블루폼 상부로 올라가 에어방음벽을 손으로 밀던 중 블루폼이 전도되면서 높이 약 3m 아래 바닥에 떨어져 사망</t>
  </si>
  <si>
    <t>발파용 에어방음벽을 설치하기 위해 기둥 거푸집 상부에 올라가 에어방음벽을 손으로 밀던 중 거푸집이 전도되면서 바닥으로 추락</t>
  </si>
  <si>
    <t>2019년 12월경 OO방음시설 설치공사 현장에서 H-형강을 근입하여 지질의 상태를 파악하기 위하여 재해자가 H-형강을 잡고 있던 중 굴삭기 붐에 고정 되어있던 브레이커(약 800kg)가 낙하하자, 재해자가 피하려다 몸의 중심을 잃고 바닥에 있던 기존 구조물 잔여 철근에 왼쪽 허리와 옆구리 사이를 찔려 사망</t>
  </si>
  <si>
    <t>방음시설 설치현장에서 굴착기 붐에 고정되어있던 브레이커가 낙하하자 피하려다 중심을 잃고 기존 구조물 잔여 철근에 허리와 옆구리 찔림</t>
  </si>
  <si>
    <t>▶ 굴삭기 연결장치와 브레이커 고정용 후착핀 체결
▶ 낙하의 위험이 있을 시 근로자의 출입 통제</t>
  </si>
  <si>
    <t>2019년 12월경 OO LNG 설치 현장에서 재해자 2명이 보일러 건물 내부 1층에 설치될 분석기 패널(약 100kgf)을 전면이 아래로 향하게 눕힌 상태로 양쪽에서 들고 옮기던 중 불완전하게 체결되어 있던 잠금장치가 흔들림 등에 의해 해지되면서 열린 분석기 패널 문에 재해자 2명의 손가락이 끼여 3개월 이상의 요양이 필요한 부상</t>
  </si>
  <si>
    <t>분석기 패널 운반작업 중 잠금장치가 흔들림에 의해 해지되면서 열린 패널 문에 손가락 끼임</t>
  </si>
  <si>
    <t>▶ 중량물인 기계설비 운반 시 손잡이를 붙이거나 작업대차 등 적절한 보조도구를 활용한 중량물 운반방법 실시
▶ 불가피한 인력운반 시 흔들림에 의한 문짝 열림방지조치 실시</t>
  </si>
  <si>
    <t>2020년 1월경 OO공동주택 신축공사 현장에서 재해자가 옥상층에서 자재정리 등 청소작업을 마치고 현장 내부 계단으로 내려오던 중 몸의 중심을 잃고 떨어지면서 세대 내부 구조체에 부딪혀 사망</t>
  </si>
  <si>
    <t>옥상층에서 자재정리 등 청소작업을 하고 안전난간이 미설치된 내부계단으로 내려오던 중 중심을 잃고 넘어지면서 세대 내부 구조체에 부딪힘</t>
  </si>
  <si>
    <t>2020년 2월경 OO건설㈜ OO지식산업센터 건설현장에서 하청업체 소속 안전감시 요원이 안전순찰 중 토사반출을 위하여 후진하던 덤프트럭 바퀴에 깔려 사망</t>
  </si>
  <si>
    <t>2020년 4월경 OO개량공사 현장에서 재해자가 도로 파쇄물 상차 및 굴착작업 주변의 도로 청소 작업 중 후진하는 굴착기 바퀴에 깔려 사망</t>
  </si>
  <si>
    <t>굴착작업 주변 청소하던 중 후진하는 굴착기 바퀴에 깔림</t>
  </si>
  <si>
    <t>▶ 차량계 건설기계 작업계획서 작성
▶ 굴삭기와의 부딪힐 위험이 있는 장소에 근로자 출입통제 및 유도자 배치</t>
  </si>
  <si>
    <t>2020년 5월경 OO 이전에 따른 인테리어 공사 현장 엘리베이터 앞 전실에서 바닥 보양지를 정리하는 과정에서 벽에 세워둔 석재 대리석이 재해자에게 넘어져 부상</t>
  </si>
  <si>
    <t>엘리베이터 앞 바닥 보양지를 정리하는 과정에서 벽에 세워둔 대리석이 넘어져 재해자 맞음</t>
  </si>
  <si>
    <t>▶ 자재 등이 넘어지지 않도록 전도방지조치 실시</t>
  </si>
  <si>
    <t>2020년 5월경 OO건설에서 시공하는 OO공사 현장에서 비계공인 재해자가 가설 울타리용 판넬에 고정용 후크를 조립하기 위하여 부속자재(너트)를 가지러 이동하던 중 현장 내에서 벌목중이던 벌도목에 맞아 사망</t>
  </si>
  <si>
    <t>자재를 가지러 이동하던 중 현장 내에서 벌목 중이던 벌도목에 맞음</t>
  </si>
  <si>
    <t>▶ 벌도목에 대한 위험이 있는 작업 시 출입금지구역 설정 준수</t>
  </si>
  <si>
    <t>2020년 6월경 OO건설(주) 국도OO호선 방음벽공사 현장에서 차선도색 협력업체 소속의 재해자가 차선도색 작업을 마치고 작업물량을 확인하기 위해 차선을 따라 거리측정기를 굴리며 걸어가던 중, 재해자 뒤쪽에서 후진 중이던 싸인카(작업보호차량)에 깔려 사망</t>
  </si>
  <si>
    <t>2020년 6월경 재해자가 고속도로 1차로에서 고속도로 유지보수공사 현장조사를 위하여 TMA차량(충격완화장치 부착 차량)을 정차한 후 교통차단 및 유도를 하던 중 1차로로 고속주행 중이던 SUV차량이 TMA차량을 추돌하였고 추돌된 TMA차량이 재해자를 덮쳐 사망</t>
  </si>
  <si>
    <t>2020년 8월경 「20년 OO포장면 줄눈교체」공사현장에서 (유)OO건설 소속 재해자가 고압세척차(1TON 트럭) 적재함에 타고 시속20km로 달리던 중 재해자가 쓰고있던 모자가 바람에 날려 떨어지고 재해자가 고압세척차(1TON 트럭)에 떨어져 콘크리트 바닥에 머리 후두부가 충돌하여 사망</t>
  </si>
  <si>
    <t>고압세척차 적재함에 탑승하여 이동하던 중 모자를 잡으려다가 트럭에서 떨어짐</t>
  </si>
  <si>
    <t>▶ 화물자동차의 적재함에 근로자 탑승 제한
▶ 근로자 개인보호구, 안전대 체결여부 점검 및 관리감독</t>
  </si>
  <si>
    <t>2020년 8월경 OO인테리어 공사 현장에서 재해자가 외부 간판에 부착된 시트지 제거작업을 위해 A형 사다리에 올라가서 해당 시트지를 잡아당겨 제거하던 중 중심을 잃고 콘크리트 바닥으로 떨어져(추정높이 2.1~2.4m) 사망</t>
  </si>
  <si>
    <t>2020년 8월경 OO주택 신축공사 현장에서 재해자가 2층 단부에서 우천대비 점검을 하던 중 실족하여 1층 콘크리트 바닥으로 떨어져(높이 약 3.1m) 사망</t>
  </si>
  <si>
    <t>2020년 8월경 선로변 풀베기 상례작업 시 열차운행 감시 업무를 수행하던 재해자가 선로를 건너던 중 장폐단 운행으로 진행 중이던 기관차에 부딪혀 사망</t>
  </si>
  <si>
    <t>2020년 8월경 OO지장관로 이설공사 현장에서 현장 쓰레기 청소 등 정리정돈 작업 중 재해자가 더위에 탈진하여 현장에서 의식을 잃고 쓰러져 사망</t>
  </si>
  <si>
    <t>2020년 9월경 OO건설(주) OO주택 신축공사 현장에서 동료작업자가 지상 5층 계단실에 있는 각재를 운반하던 중 승강기 피트 개구부 전면에 있던 재해자가 각재를 피하는 과정에서 승강기 피트 내부로 추락(H≒12.9m)하여 사망</t>
  </si>
  <si>
    <t xml:space="preserve">각재를 운반하던 중 엘리베이터 피트 전면에 있던 재해자가 각재를 피하다 엘리베이터 피트 내부로 추락 </t>
  </si>
  <si>
    <t>2020년 9월경  재해자가 순시업무를 수행 중 부인과 전화 및 문자 연락이 되지 않아 부인이 실종신고를 하였고 경찰이 OO에 위치한 전신주 옆 배수로에서 사망한 재해자를 발견</t>
  </si>
  <si>
    <t>사다리를 이용하여 이동하던 중 사다리가 미끄러져 바닥으로 추락</t>
  </si>
  <si>
    <t>▶ 이동식 사다리를 사용 시 2인 1조로 작업, 아웃트리거 체결 철저</t>
  </si>
  <si>
    <t>2020년 10월경 OO아파트 1005동 지붕층에서 재해자(외벽청소공)가 아파트 외벽 물청소 작업 위해 달비계를 설치한 후 작업도구를 가지러 경사 지붕 또는 지붕 배수로 상에서 이동하던 중 미끄러지며 약 63.3m 아래 지면(화단)으로 추락하여 사망</t>
  </si>
  <si>
    <t>외벽 청소를 위해  달비계를 설치한 후 작업도구를 가지러 경사지붕으로 이동하던 중 미끄러져 바닥으로 추락</t>
  </si>
  <si>
    <t>▶ 옥상층 등 추락하거나 넘어질 위험이 있는 장소에 안전대 착용 등 추락방호조치 실시
▶ 관리감독자 및 추가 보조 근로자 배치하는 등 관리감독</t>
  </si>
  <si>
    <t>2020년 10월경 OO터널 내에서 탈선한 선로다짐기 복구 후 손상부분 정비에 필요한 부품이 있는 궤도안정기(1.14km)까지 자갈정리기로 이동 중 정지 상태의 궤도안정기를 추돌하여 사망</t>
  </si>
  <si>
    <t>자갈정리기로 운전하여 현장 내 이동하던 중 정지상태의 궤도안정기와 충돌</t>
  </si>
  <si>
    <t>▶ 현장 내 차량계 건설기계장비 운행시 제한속도 준수</t>
  </si>
  <si>
    <t>2020년 10월경 OO건설(주)에서 시공하는 OO시설』현장에서 재해자가 소각로에서 배출된 비산재(톤백2개,약 0.4톤)를 지게차를 사용하여 현장 외부로 반출하는 작업을 하는 중 비산재가 담겨진 톤백을 폐기물반출차량(압롤박스)에 적재하는 과정에서 지게차가 전도되면서 지게차 측면에 협착되어 사망</t>
  </si>
  <si>
    <t>지게차를 사용하여 자재를 반출하기 위해 폐기물 반출차량에 적재하는 과정에서 지게차가 전도되면서 운전원 끼임</t>
  </si>
  <si>
    <t>2020년 10월경 OO전기공사 현장에서 재해자가 현장 자재 정리를 하던 중 2층 수난구조훈련풀 상부에 설치되어 있던 합판을 밟음과 동시에 합판이 파손되며 약 5.5m 아래 지상 1층 바닥으로 추락하여 사망</t>
  </si>
  <si>
    <t>2020년 11월경 OO사업장에서 재해자가 사무실 지붕 위로 병풍을 옮기기 위해 사다리(현장제작,철재)를 이용하여 사무실 지붕 위로 이동하던 중 사다리가 미끄러지면서 떨어져(높이≒1.42m) 사망</t>
  </si>
  <si>
    <t>2020년 12월경 OO산업(주) OO신축공사 현장에서 재해자가 가설 울타리 상부에 설치되어있던 현수막 해체 작업 중, 벽에 기대어 설치한 이동식사다리에서 내려오다가 약 80cm 아래 바닥으로 떨어지며, 차수공사를 위해 주변에 설치되어 있던 H-빔에 머리가 부딪힌 후 사망</t>
  </si>
  <si>
    <t>2021년 1월경 OO보수공사 현장에서 재해자가 측면 골프망과 바닥 골프망을 고정하는 작업 중(와이어로프를 밟고 이동하면서 작업)추락(H≒10m)하여 사망</t>
  </si>
  <si>
    <t>2021년 1월경 지하 기초콘크리트 타설 과정에서 비로 인하여 재해자가 집수정에 양수기를 설치위한 전기선 교체 과정에서 상부 전기선을 내리던 중 1단 띠장에 전기선이 걸려 선을 빼기 위해 흙막이지보공 상부 소음차단용 샌드위치판넬로 내려가던 중 미끄러져 채광창(폴리카보네이트) 부분으로 추락(17.5m)</t>
  </si>
  <si>
    <t>지붕에서 이동 중 채광창 위로 미끄러지며 채광창이 파손되어 추락</t>
  </si>
  <si>
    <t>▶ 고소에서 흙막이가시설 상부를 이동 시 근로자의 추락재해예방을 위해 작업발판, 안전난간 설치 또는 추락방호망 설치함
▶ 안전대 부착설비 설치 및 착용 후 작업 수행</t>
  </si>
  <si>
    <t>2021년 1월경 OO건설(주) OO오피스텔 신축공사 현장 환기구(D/A) 지하 1층 바닥에서 지하 4층 바닥으로 추락하여 사망</t>
  </si>
  <si>
    <t>2021년 2월경 OO신축공사 현장에서 재해자가가 점심식사 후 13:10경 현장 인근 약 4.9m 옹벽 하부로 떨어져 사망</t>
  </si>
  <si>
    <t xml:space="preserve">2021년 3월경 보온작업장에서 재해자가 LPG탱크 블록의 보온작업을 위해 탱크상부 경사면에서 우레탄 스프레이 발포작업 중 착용한 작업벨트용 섬유로프의 고리가 도르래블록 훅에서 빠지면서 약 22m 높이에서 추락
</t>
  </si>
  <si>
    <t>LPG탱크상부 경사면에서 우레탄 스프레이 발포작업 중 착용한 작업벨트용 섬유로프의 고리가 도르래블록 훅에서 빠지면서 바닥으로 추락</t>
  </si>
  <si>
    <t>▶ 안전대 및 부속 설비의 이상유무를 작업을 시작 하기 전 점검 실시</t>
  </si>
  <si>
    <t>2021년 3월경 주택단지 내 농지조성을 위한 부지정리 현장에서 재해자가 토사반출용 차량 진출입로 비산먼지 발생방지 및 주변정리 업무하던 중 절토사면 하부에 있다가 낙석에 맞아 사망</t>
  </si>
  <si>
    <t>굴착작업이 완료된 절토사면 하부에 있다가 낙석에 맞음</t>
  </si>
  <si>
    <t>▶ 절토사면 하부에서 작업을 실시할 때 법면 등에 쌓아둔 암석 등이 사면 아래로 굴러 떨어지지 않도록 적정거리 이격
▶ 작업 전 작업장 주변 위험요인 사전조사 및 제거</t>
  </si>
  <si>
    <t>2021년 4월경 OO물량장 내 ㈜OO물류 작업장에서 재해자가 컨테이너에 화물(코일) 적입작업을 수행하며 작업장 내에서 이동하던 중 진출하는 차량(25톤,트레일러)에 부딪혀 사망</t>
  </si>
  <si>
    <t>2021년 5월경 복합문화센터 신축공사 현장에서 재해자가 흙막이지보공 스트러트 4단 상부에서 지하 양수기 배출호스 고정 작업을 하던 중 배출시 호스의 요동 등으로 인해 몸의 중심을 잃어 높이 약 6.0m 아래 지하3층 콘크리트 바닥으로 추락하여 사망</t>
  </si>
  <si>
    <t>안전대를 미착용한 상태에서 버팀대 보 상부에서 작업 중 몸의 중심을 잃고 추락</t>
  </si>
  <si>
    <t>▶ 추락 위험이 있는 장소에서 안전방망 또는 안전대 착용 등 추락방지조치 실시
▶ 안전모 및 안전대 등 개인보호구 지급 및 착용관리 감독
▶ 추락위험 장소에 대해 근로자가 임의 출입을 방지하도록 방책 등 설치</t>
  </si>
  <si>
    <t>2021년 6월경 OO신축공사 현장에서 재해자가 상가주택 외부 작업용 강관비계의 작업발판 (1단, 1.8m)에서 건물 전면 버스승강장 상부 물청소 중 작업발판(1단) 내측 끝부분에서 1.8M 아래 건물 상가 안쪽 바닥으로 떨어져 사망</t>
  </si>
  <si>
    <t>안전난간이 미설치된 외부비계에서 바깥으로 몸을 내밀어 작업하다 바닥으로 떨어짐</t>
  </si>
  <si>
    <t>▶ 안전난간 설치 철저, 작업을 위해 안전난간을 해체하는 경우 안전대 체결 철저
▶ 작업자의 개인보호구, 안전대 체결여부 점검 및 관리감독</t>
  </si>
  <si>
    <t>2021년 7월경 폐수처리시설 신축공사 현장에서 협력업체 소속 재해자가 차량진출입 램프의 캐노피 알루미늄 패널 하자(누수) 상태를 확인 중 램프 옹벽 구조물 상부에서 떨어짐(H≒5.9m)</t>
  </si>
  <si>
    <t>2021년 7월경 OO매장 원상복구 공사 현장에서 재해자가 지상 2층에서 해체한 내장재(석고보드, 합판 등)를 롤테이너에 적재하여 지상 1층 정문에 주차된 화물자동차(1ton)로 운반하는 작업 중 현장에서 약 500m 떨어진 옥외 주차장 바닥에 쓰러져 사망</t>
  </si>
  <si>
    <t>2021년 9월경 OOO아파트 공사 현장에서 부대토목 협력업체 OO건설(주) 소속 재해자가 단지 내 원형수로관 집수정 청소작업 중 관목 하차를 완료하고 전방으로 이동하던 트럭에 깔려 사망</t>
  </si>
  <si>
    <t>2021년 10월경 OO건설공사 현장에서 재해자가 교량 상부 콘크리트 바닥판 파손부위 보수 작업 후 이동 중 교각 상부에서 추락하여 사망</t>
  </si>
  <si>
    <t>2021년 12월경 OO에서 시공하는 OO공사 현장 야적장에서 재해재가 자재를 옮기는 작업 중 재해자 뒤에 2단으로 적재되어있던 목재 묶음(길이 3.8m, 지름 15cm 목재 48본, 무게 약 1.3ton)이 재해자 방향으로 무너져, 무너진 목재에 재해자가 깔려 사망</t>
  </si>
  <si>
    <t>자재를 옮기던 중 재해자 뒤 과적된 목재묶음이 재해자 방향으로 넘어져 깔림</t>
  </si>
  <si>
    <t>▶ 자재 야적 시 고임목, 쐐기 등을 설치하여 굴러떨어짐 방지
▶ 자재를 야적하는 경우 균등한 하중이 분포되도록 배치</t>
  </si>
  <si>
    <t>○○레미콘 공장에</t>
  </si>
  <si>
    <t>○○레미콘 공장에서 재해자가 로더 장비를 경사로 상부에 정차시킨 뒤 장비 후미의 라디에이터(Radiator)에 냉각수를 주입하던 중 로더 장비가 경사로를 따라 굴러 내려가면서(L≒23m) 재해자가 우측 뒷바퀴에 깔려 사망</t>
  </si>
  <si>
    <t>경사로에 정차시킨 로더장비가 굴러 내려가면서 냉각수를 주입하던 재해자가 깔림</t>
  </si>
  <si>
    <t>▶ 차량계 하역운반기계에서 운전자가 운전석을 이탈하는 경우 주차 브레이크의 확실한 체결 및 차량 고임목 설치</t>
  </si>
  <si>
    <t>지상3층에서 설비</t>
  </si>
  <si>
    <t>지상3층에서 설비작업 하던 중 지하1층의 냉장고에서 화재가 발생, 천장의 단열재로 번져 유독가스가 발생하자 외부비계를 통해 대피하다가 지상 1층으로 떨어져(H≒3.9m) 1명 사망, 2명은 연기흡입 등으로 부상함.</t>
  </si>
  <si>
    <t>지하층 설비작업하던 중 트레킹에 의해 전선이 단락되어 화재</t>
  </si>
  <si>
    <t>▶ 현장 내 화재발생 시, 신속한 대응이 가능하도록 경보운영체계의 확립 및 운영
▶ 습기, 먼지 등에 영향을 최소화하기 위해 주기적인 현장관리와 안전점검 실시</t>
  </si>
  <si>
    <t>2. 철근콘크리트공사</t>
  </si>
  <si>
    <t>2.1 거푸집 작업</t>
  </si>
  <si>
    <t>2.1.1 거푸집 자재반입, 가공, 운반</t>
  </si>
  <si>
    <t>2016년 2월경 OO건설 공동주택 신축공사 현장에서, 재해자가 벽체 거푸집 조립 중, 작업장 내 설치된 지하층의 자재를 인양하기 위하여 만들어 놓은 개구부를 통하여 지하1층 바닥으로 추락(5M)하여 사망</t>
  </si>
  <si>
    <t>개구부 등의 추락위험 방호조치 미실시한 상태에서 거푸집 동바리 자재 운반 중 지하 물탱크실 상부에 위치한 개구부로 추락</t>
  </si>
  <si>
    <t>▶ 추락 위험이 있는 작업발판, 통로 끝 및 개구부에는 안전난간 또는 덮개 등 설치
▶ 개구부 덮개 설치 시 개구부임을 표기하여 추락 위험 방지</t>
  </si>
  <si>
    <t>2016년 3월경 OO신축공사 현장에서 보 형틀 조립을 위해 지게차를 이용하여 테이블 폼(3.3m × 1.8m, H ≒ 3.0m, 약 400kgf)을 운반하여 바닥에 하역하는 과정에서 지게차 포크에 실려서 하역 중인 테이블 폼이 기울어져 쓰러지면서 바닥에 먼저 설치된 또 다른 테이블 폼을 가격하였고, 가격을 당한 테이블 폼이 형틀 작업을 하던 재해자를 덮쳐 재해자가 테이블 폼에 깔려 사망</t>
  </si>
  <si>
    <t>근로자 위험지역 출입 미통제한 상태에서 보 형틀 조립을 위해 지게차 포크에 실려 하역 중인 테이블 폼이 기울어져 쓰러지면서 바닥에 먼저 설치된 테이블 폼을 가격되어 쓰러지면서 근로자 깔림</t>
  </si>
  <si>
    <t>▶ 테이블 폼 등의 중량물 인양 시 인양 및 하역장비에 벨트 등을 이용하여 고정 후 작업
▶ 중량물 인양 시 차량계 하약운반기계의 최대 적재능력과 포크 최대 간격을 파악하여 적합한 장비로 작업
▶ 지게차와 같은 건설장비를 이용하여 작업 시 부딪힘 위험장소에 대해 근로자의 출입 통제</t>
  </si>
  <si>
    <t>2016년 4월경 OO증축공사 현장에서 이동식 크레인으로 수벽거푸집 인양 및 거치작업중 설치된 보거푸집이 전도되며 1층에서 크레인 장비유도를 하던 재해자가 피하지 못하고 거푸집에 깔려 사망</t>
  </si>
  <si>
    <t>대형거푸집 조립도 미작성 및 전도방지조치 미실시한 상태에서 크레인으로 수벽 보 거푸집을 양중 및 거치 상황에서 장비유도 중 편심으로 수벽 보 거푸집이 전도되어 근로자 깔림</t>
  </si>
  <si>
    <t>▶ 벽체, 보, 거푸집 등의 조립작업 시 발생하는 작업하중 및 그 밖의 외력에 대해 견딜 수 있도록 버팀 지지대 설치 등 전도방지조치 실시
▶ 수벽 보 거푸집 인양 시 상부의 작업하중 등으로 발생하는 수평력을 견딜 수 있는 지지버팀대 설치 후 줄걸이 해체</t>
  </si>
  <si>
    <t>2016년 4월경 OO건설 공사현장에서 재해자가 지하2층 슬라브 보 거푸집 제작작업 중, 타워크레인으로 인양 중이던 인양물(거푸집제작용 목재(약 0.5톤))이 작업부위 상부 약 4m위치로 접근하자, 작업부위와 인양물과의 충돌을 막기 위해 인양물 하부로 이동하는 순간, 인양물의 갑작스러운 떨어짐에 의하여 재해자가 맞음으로써 사망</t>
  </si>
  <si>
    <t>2016년 5월경 OO신축공사 현장에서 재해자가 1층 구조물의 해체된 거푸집 동바리 자재를 계단실을 통해 2층으로 운반하던 중 지하 물탱크실 상부에 위치한 개구부(0.93M × 0.5M)에 빠져 높이 4.5m 아래 지하물탱크실 바닥으로 떨어져 사망</t>
  </si>
  <si>
    <t>개구부 등의 방호조치 미실시한 상태에서 거푸집 설치 준비 중 시야미확보 또는 거푸집 편심으로 몸의 중심을 잃고 개구부로 넘어지면서 근로자 추락</t>
  </si>
  <si>
    <t>▶ 개구부로의 떨어짐 방지를 위해 개구부 덮개를 견고히 설치
▶ 어두운 장소에서도 육안 식별이 용이하도록 개구부임을 표시
▶ 개구부에는 덮개 또는 안전방망과 추락 위험이 있을 경우 안전난간, 안전대 부착설비 등 추락방지조치 실시</t>
  </si>
  <si>
    <t>2016년 5월경 고속도로 건설공사 현장에서 협력업체 재해자 두 명이 접속교 교각4번 부근에 설치 된 교량 상부슬라브 거푸집동바리용 멍에브라켓 등을 운반작업 중, 재해자들이 서있던 STEEL BOX GIRDER 사이의 방호선반(강관파이프+합판)이 무너지며, 지상바닥(H≒16m)으로 추락</t>
  </si>
  <si>
    <t>교각에 설치된 방호선반 위에서 교량 상부슬라브 거푸집동바리용 멍에브라켓 등을 운반작업 중 방호선반이 무너지며 근로자 추락</t>
  </si>
  <si>
    <t>▶ 중량물 취급하는 작업 할 시 작업계획서를 작성하고 작업지휘자를 지정한 후, 계획에 따라 작업 준수
▶ 추락위험이 있는 장소에서 작업 시 안전대 부착설비 설치 및 안전대 착용</t>
  </si>
  <si>
    <t>2017년 1월경 OO건설 근린생활시설 신축공사 현장에서 타워지브크레인(최대정격하중 2.9톤)을 사용하여 지상 4층 엘리베이터 피트 작업발판에 적재된 유로폼 다발(1,418kg)을 옥상층 바닥으로 운반하던 중 지브가 순간적으로 절단되며 옥상층 파라펫 거푸집 위로 떨어져, 주변에서 파라펫 거푸집 설치작업하던 재해자가 파손된  거푸집에 가슴 등 신체에 큰 충격을 받고 사망</t>
  </si>
  <si>
    <t>유로폼 다발을 옥상층 바닥으로 운반 중 지브 절단으로 옥상층 파라펫 거푸집 위로 떨어저 파라펫 거푸집 설치작업 중인 근로자 가격</t>
  </si>
  <si>
    <t>▶ 크레인 지브에 설치된 고정핀, 분할핀은 탈락방지를 위해 안전인증 서류에 따라 제조된 규격 제품 또는 동등 이상의 성능을 가진 자재 및 부품을 사용 준수
▶ 구조부분은 현저한 변형 등이 발생하지 않도록 강성을 유지할 것
▶ 타워지브크레인을 타인에게 대여하는 자는 해당 기계 등을 미리 점검하고 이상을 발견할 즉시 보수 실시</t>
  </si>
  <si>
    <t>2017년 2월경 OO건설(주)이 시공중인 OO주상복합 신축공사 현장에서 재해자가 지하1층에서 유로폼 및 합판 등 자재정리 작업 중, 바닥개구부(400mm*1160mm)를 덮어 놓은 합판을 치우던 순간 바닥의 개구부에 빠져 지하2층 바닥(H=10.6m)으로 떨어져 사망</t>
  </si>
  <si>
    <t>개구부 등의 방호조치 미실시한 상태에서 바닥 개구부 덮개 위에 서서 기 해체된 거푸집을 상부층 바닥 개구부를 통해 상부로 전달 중 바닥 개구부 덮개가 슬래브 가고정부에서 탈락되면서 근로자 추락</t>
  </si>
  <si>
    <t>▶ 개구부로의 떨어짐 방지를 위해 개구부 덮개를 견고히 설치
▶ 어두운 장소에서도 육안 식별이 용이하도록 개구부임을 표시
▶ 각층 린넨 슈트 개구부에도 덮개 또는 안전방망, 안전난간, 안전대 부착설비 등 추락방지조치 실시</t>
  </si>
  <si>
    <t>2017년 3월경 OO다세대주택 신축공사현장에서, 경사지붕 슬래브 위에 적재된 슬래브용 FRP거푸집(일명 “콘판넬”)을 인양하려던 중, 균형을 잃고 거푸집이 무너지며, 경사지붕위에 위치한 재해자가 FRP 거푸집과 함께 바닥으로 떨어져(높이 : 약13m)사망, 동료근로자는 떨어지는 자재에 맞아 부상</t>
  </si>
  <si>
    <t>추락방지조치 미실시한 상태에서 경사지붕 슬래브 위에 적재된 슬래브용  거푸집(FRP)과을 인양 중 균형을 잃어 거푸집(FRP)과 함께 추락</t>
  </si>
  <si>
    <t>▶ 중량물(5kg 이상)을 인양하는 경우 무게중심 표시 및 2줄걸이 하여 균형상실 방지
▶ 추락 및 넘어질 위험이 있는 장소에 작업발판 및 안전난간 설치</t>
  </si>
  <si>
    <t>2017년 3월경 OO종합건설(주)에서 시공 중인 OO주상복합 신축공사 현장에서 재해자가 4층 바닥에서 형틀 보 상부로 이동 중 유로폼과 함께 12m 아래 1층 콘크리트 바닥으로 떨어져 사망</t>
  </si>
  <si>
    <t>추락방지조치 미실한 상태에서 하부 바닥에서 유로폼을 들고 형틀 보 상부로 이동 중 몸의 중심을 잃고 유로폼과 함께 콘크리트 바닥으로 추락</t>
  </si>
  <si>
    <t>▶ 거푸집 조립 작업을 위한 강관비계, 이동식비계 등의 작업발판 설치
▶ 추락 방지를 위해 안전대 부착설비 설치 및 안전대 착용 등 추락방지조치 실시</t>
  </si>
  <si>
    <t>2017년 5월경 OO학교 신축공사 현장에서 재해자 2인이 교사동 3층 보 거푸집 설치를 위해 타워크레인으로 양중한 보 거푸집 위에서 양중 로프를 해체하던 중 타워크레인의 조작 실수로 인해 양중로프에 매달린 보 거푸집이 기울어 흔들리면서 몸의 중심을 잃고 약 3미터 아래 바닥으로 떨어져 부상(3개월이상 요양)</t>
  </si>
  <si>
    <t xml:space="preserve"> 타워크레인으로 양중한 보 거푸집 위에서 양중로프를 해체하던 중 타워크레인 조작실수로 중심을 잃고 근로자 추락</t>
  </si>
  <si>
    <t>▶ 양중기를 사용하는 작업 시 작업진행에 맞는 일정한 신호방법 선정 및 상호간 확인
▶ 추락위험이 있는 높이 2m 이상에서의 작업 시 안전대 부착설비 설치 및 안전대 착용</t>
  </si>
  <si>
    <t>2017년 5월경 OO종합건설㈜ OO신축공사 현장에서 거푸집 보 설치를 위해 보 상부에서 재해자 2명이 거푸집 보를 고정하던 중, 합판 고정부위가 파단되면서 거푸집 보가 약 3.4m 아래 바닥으로 떨어져 재해자 2명 중 1명은 사망, 1명은 부상, 하부에 있었던 재해자 1명은 떨어지는 보 거푸집에 부딪혀 부상</t>
  </si>
  <si>
    <t>거푸집동바리 조립도 미준수 및 추락방지조치 미실시한 상태에서 거푸집 보 설치를 위해 보 상부에서 거푸집 보 고정 중 합판 고정부위 파단으로 근로자 추락</t>
  </si>
  <si>
    <t>▶ 거푸집동바리 조립 시 조립도에 적합한 동바리 설치 및 거푸집 보 고정완료 상태에서 크레인 슬링벨트 해체
▶ 2m 이상 고소작업이 빈번한 작업자에 대해 안전대 지급 및 안전대 부착설비  설치</t>
  </si>
  <si>
    <t>2017년 7월경 OO건설(주) 공동주택 신축공사 현장에서 재해자가 동 배면 4층 외부 거푸집 설치상태를 점검하면서 이동하던 중, 외부 쌍줄비계 단부에 설치되어 있는 작업발판을 밟는 순간, 작업발판 반대편이 들리면서 재해자가 지면으로 떨어져(H≒10m) 사망</t>
  </si>
  <si>
    <t>고정이 불량한 외부비계 작업발판의 들림으로 근로자 추락</t>
  </si>
  <si>
    <t>▶ 외부비계 등 2m 이상의 추락위험장소에 설치되는 작업발판에 대해  둘 이상의 지지물에 고정 및 양단 걸림고리 체결 확인
▶ 외부비계 위에서 이동·작업 시 추락방지조치 실시</t>
  </si>
  <si>
    <t>2017년 7월경 OO다세대주택(지상 4층) 신축 현장에서 재해자가 지상 3층 외부비계 작업발판에서 작업발판 상부에 적재되어있는 슬래브 거푸집 자재(합판 등)를 운반하던 중, 작업발판 단부에서 신축건물 옆에 접해 있는 기존 단독주택(1층) 옥상바닥(콘크리트)으로 떨어져(높이:5.4m) 사망</t>
  </si>
  <si>
    <t>추락방지조치 미실한 상태에서 비계 작업발판 위에서 하부층 바닥에서 전달되는 유로폼을 받기 위해 돌아서는 중 왼쪽 발 헛디딤으로 근로자 추락</t>
  </si>
  <si>
    <t>▶ 작업발판 위에서 거푸집 조립 작업 시 충분한 강도의 안전난간 설치
▶ 안전난간의 설치가 곤란할 경우 안전대 부착설비 설치 및 안전대 착용</t>
  </si>
  <si>
    <t>열사병</t>
  </si>
  <si>
    <t>2017년 7월경 ㈜OO건설이 시공하는 OO신축공사 현장에서, 협력업체 소속 재해자가 O동 3호라인 3층의 계단실 알루미늄 폼 설치작업을 수행하던 중 지하1층 엘리베이트홀 앞에서 쓰러진 채 발견되어 사망</t>
  </si>
  <si>
    <t>폭염 속 계단실에서 알폼 설치작업 중 지하 E/V 전면 계단실에 쓰러져 있는 채로 발견</t>
  </si>
  <si>
    <t>▶ 폭염특보 발령 시, 1시간 주기로 10~15분 이상 규칙적으로 휴식시간을 부여하여 과도한 작업수행을 금지
▶ 하절기 작업 시, 폭염에 대비하여 부대시설, 임시 천막 등 현장 곳곳에 휴게공간을 마련하여 작업자들이 그늘진 곳에서 쉴 수 있도록 조치
▶ 하절기 작업 시, 작업자들에게 주기적으로 수분과 식염을 섭취할 것을 주지</t>
  </si>
  <si>
    <t>동바리</t>
  </si>
  <si>
    <t>2017년 9월경 복합시설 신축 공사 현장에서 형틀목공인 재해자와 동료 근로자 3명이 1층 기둥 거푸집 밴드 설치 작업을 진행하던 중, 높이 3.5m지점에서 콘크리트 바닥으로 추락하여 병원에서 치료 중 사망한 재해임.</t>
  </si>
  <si>
    <t>추락 방지조치를 미실시한 상태에서 기둥 거푸집 밴드 설치 작업 중 중심을 잃고 근로자 추락</t>
  </si>
  <si>
    <t>2017년 10월경 OO건설㈜ OOO신축현장에서 ㈜OO건설 소속 재해자가 OO동 지상층에서 먹매김 작업 후 건설용리프트를 타고 내려와 리프트탑승구에서 OO동 앞 창고로 이동 중 주행 중인 불도저(bulldozer)에 깔려 사망</t>
  </si>
  <si>
    <t>차량계 건설기계 작업 구간내 근로자 출입방지 조치 미흡한 상태에서 창고로 이동 중 주행중인 불도저에 깔림</t>
  </si>
  <si>
    <t>▶ 차량계 건설기계를 사용하여 작업 시 부딪칠 위험이 있는 장소에 근로자 출입 금지
▶ 차랑계 건설기계 운행경로의 장애물 제거 및 운전자 시야 확보
▶ 건설기계 운행경로 출입 시 차량통행 확인 및 유도자 배치</t>
  </si>
  <si>
    <t>2017년 10월경 ㈜OO건설에서 시공하는 OO상하수도시설 확장사업 현장에서 원청소속 재해자가 배수지 슬래브 콘크리트 타설을 위해 설치한 시스템 동바리 상부에서 작업발판 운반 작업을 위하여 동바리 수평재 위를 이동하던 중, 몸의 중심을 잃고 바닥으로 추락(H≒5.1m)하여 사망</t>
  </si>
  <si>
    <t>추락 방지조치를 미실시한 상태에서 슬래브 콘크리트 타설을 위해 설치한 시스템동바리 상부에서 작업발판 운반 작업을 위해 동바리 수평재 위를 이동 중 중심을 잃고 근로자 추락</t>
  </si>
  <si>
    <t>▶ 동바리 상부 등 추락위험이 있는 장소에는 비계 등의 설치를 통한 작업발판 및 안전난간 설치
▶ 동바리 상부에서 작업발판 설치 시 추락 위험 방지를 위해 추락방지망 등 설치
▶ 추락위험이 있는 장소에서 작업 시 안전대 부착설비 설치 및 안전대 착용</t>
  </si>
  <si>
    <t>2017년 11월경 OO건설㈜이 시공하는 OOO토건공사현장 내 공조기실에서, 협력업체 소속 재해자가 거푸집동바리(System Supprt)에 설치된 작업발판(800×400mm)에서 콘크리트 타설 시 보(Beam) 터짐 방지작업에 필요한 철선을 가져오기 위해 시스템동바리 부재 등을 밟고 바닥(H≒5.6m)으로 내려가던 중, 몸의 균형을 잃고 공조기실 콘크리트 바닥으로 떨어져 사망</t>
  </si>
  <si>
    <t>근로자 이동통로 설치 불량에 따른 작업발판에서 콘크리트 타설 시 보 거푸집 터짐 방지작업에 필요한 철선을 가져 오기 위해 시스템동바리 부재를 밟고 바닥으로 내려가던 중, 근로자가 몸의 중심을 잃고 추락</t>
  </si>
  <si>
    <t>▶ 거푸집동바리 등의 가설재 내부에서 이동가능한 승·하강설비 설치
▶ 고소작업 장소에서 이동 및 작업 중 추락방지를 위해  추락방지망 설치
▶ 2m 이상의 추락위험이 있는 장소에서 작업 시 안전대 부착설비 설치 및 안전대 착용</t>
  </si>
  <si>
    <t>2017년 11월경 OO건설(주) OO신축공사 현장에서 재해자(형틀목공)가 OO동 지상 1층 벽체거푸집 조립작업을 위한 사다리(알루미늄 재질, H형(12단, 4m))를 들고 차량통로 구간을 지나가다가 갑자기 불어온 강풍으로 인해 벽체 거푸집(유로폼,  크기 : 15m×3.45m, 중량 : 1.7ton)이 넘어지면서 재해자가 벽체 거푸집에 깔려 사망</t>
  </si>
  <si>
    <t>2017년 12월경 OO단독주택 신축공사 현장에서 재해자가 외부비계 최상단과 건물사이에  각재(산승각)을 거치하고, 그 위에 거푸집자재(각관, 각재 등)를 적재하던 중 하부에 거치된 각재가 부러지며 상부에 적재된 자재가 무너져 내리며 약 9m아래로 추락하여 사망</t>
  </si>
  <si>
    <t>작업발판 미설치한 상태에서 외부비계 최상단과 건물사이에 각재(산승각)을 거치하고, 그 위에 거푸집자재를 적재하던 중 하부에 거치된 각재가 부러지며 상부 적재된 자재 위에 서있던 근로자 추락</t>
  </si>
  <si>
    <t>▶ 추락 및 넘어질 위험이 있는 장소에 작업발판 및 안전난간 설치
▶ 자재적재 작업을 위한 작업발판 설치 시 상부 적재하중을 고려하여 구조 검토 후 설치
▶ 구조물 위에 자재적재가 어려워 거치목을 이용한 경우 최대적재하중에 대해 구조검토(휨, 전단) 실시</t>
  </si>
  <si>
    <t>2018년 3월경 ㈜OO건설 OO신축공사 현장 지상 2층 계단참에서 휴대용 원형톱으로 거푸집 제작 및 설치작업 중이던 재해자가 절연파괴된 원형톱 금속제 외함의 누설전류에 감전되어 사망</t>
  </si>
  <si>
    <t>거푸집 제작 작업 중 절연파괴된 원형톱금속제 외함의 누설전류에 감전</t>
  </si>
  <si>
    <t>2018년 5월경 OO건설에서 시공하는 단독주택현장에서 재해자가 내부비계 1단(높이 2m) 작업발판 위에서 지상 1층 바닥에 있는 동료작업자로부터 유로폼을 전달받기 위해 돌아서는 중 왼쪽 발을 헛디뎌 약 2m 아래 콘크리트 바닥으로 떨어져 사망</t>
  </si>
  <si>
    <t xml:space="preserve">2018년 6월경 OO건설(주) 주민센터 신축공사 현장 지상 1층에서 협력업체 소속 재해자가 작업발판 상에서 보 거푸집을 조립하던 중, 몸의 중심을 잃고 약 5.9M 아래 지하1층 바닥으로 추락하여 사망 </t>
  </si>
  <si>
    <t>개구부 구간 추락방지조치 미실시한 상태에서 엘리베이터 실외벽 거푸집조립 작업 중 작업발판 미고정으로 중심을 잃고 근로자 추락</t>
  </si>
  <si>
    <t xml:space="preserve">▶ 비계조립 시 건물벽체와 비계 틈 사이가 발생하지 않도록 설치
▶ 작업여건 상 틈 사이가 발생 된 경우 추락 방지를 위한 안전방망 설치
▶ 추락위험이 있는 작업장소에 작업발판 설치 시 규정에 부합하는 안전난간 설치 </t>
  </si>
  <si>
    <t>2018년 6월경 OO산업(주) 다중주택 신축공사현장에서 재해자가 지상3층 바닥에서 이동 중 몸의 중심을 잃고 쓰러지면서 수직철근(벽체)에 찔려 사망</t>
  </si>
  <si>
    <t>철근 상부 찔림 방호조치 미실시한 상태에서 슬래브 상판 바닥에서 이동 중 실족으로 몸의 중심을 잃고 쓰러지면서 수직철근(벽체)에 근로자 찔림</t>
  </si>
  <si>
    <t>▶ 근로자가 작업장에서 넘어지거나 미끄러지는 등의 위험이 없도록 통로용 발판 설치 등 안전한 통로 확보
▶ 철근 보호캡 설치 등 찔림 방호조치 실시</t>
  </si>
  <si>
    <t>2018년 7월경 OOO신축공사 현장에서 재해자가 11층 린넨슈트 바닥 개구부 덮개(1,030×890mm) 위에 서서 기 해체된 알루미늄 거푸집(1,200×600mm, 약 10kg)을 12층 바닥 개구부를 통해 위로 올려주던 중 바닥 개구부 덮개가 슬래브 고정부에서 탈락되면서 재해자가 개구부 덮개와 함께 1층 콘크리트 바닥으로 떨어져(H≒37m) 사망</t>
  </si>
  <si>
    <t>2018년 7월경 OO다가구 신축공사 현장에서 재해자가 외부비계 3단 작업발판 위에서 상하부 근로자간에 형틀자재(강관파이프, 합판류)를 인상하려고 준비하던 중 몸의 중심을 잃고 외부비계 바깥쪽 약 5.4m아래 지면으로 추락하여 사망</t>
  </si>
  <si>
    <t>개구부, 작업발판 단부 등 추락방지조치 미실시한 상태에서 상부층으로 거푸집 자재를 옮기기 위해 외부 비계에서 근로자가 받아치기 방법으로 작업 중 거푸집 편심 또는 실족으로 몸의 중심을 잃고 슬래브 단부와 비계 사이 개구부로 추락</t>
  </si>
  <si>
    <t>▶ 거푸집 자재 양중 시 자재에 따라 알맞은 결속과 도르래 및 양중장비를 사용하여 작업
▶ 추락위험이 있는 장소에서 작업 시 단부에 안전난간 설치 등 추락방호조치 실시</t>
  </si>
  <si>
    <t>2018년 7월경 OO소하천 수해복구 현장에서 재해자가 수로암거 벽체 상부에서 하천 바닥으로 거푸집을 던져 내려 놓던 중 하천 바닥으로 떨어져 사망</t>
  </si>
  <si>
    <t>추락방지조치 미실시한 상태에서 하상보호공의 콘크리트 타설 시 설치하는 거푸집을 하천 바닥 작업지점에 내려 놓기 위해 수로암거 벽체 상부경사면에서 거푸집을 한 장씩 들어 하천 바닥으로 던저 내려놓던 중 중심을 잃고 수로암거 벽체 상부 경사면에서 하천 바닥으로 근로자 추락</t>
  </si>
  <si>
    <t>▶ 추락위험이 있는 장소에서 작업 시 단부에 안전난간 설치 등 추락방호조치 실시
▶ 자재 운반 작업시 현장여건을 반영하여 안전한 작업방법 계획후 작업 실시</t>
  </si>
  <si>
    <t>2018년 8월경 ㈜OO건설이 시공하는 OO주상복합 신축공사 현장에서 ㈜OO건설 소속 재해자가 지상 1층 보 하부 거푸집 합판 연결부를 못으로 고정하는 작업 중 몸의 중심을 잃고 높이 2.6m 아래 지하 1층 콘크리트 바닥에 적재된 자재 상부로 추락하여 사망</t>
  </si>
  <si>
    <t>추락방지조치 미실한 상태에서 보 하부 거푸집에서 합판 연결부을 못으로 고정하는 작업 중 중심을 잃고 근로자다 추락하여 바닥 돌출된 수직 철근에 가슴부위가 찔림</t>
  </si>
  <si>
    <t>2018년 9월경 OO건설(주) OO공장 신축공사 현장에서 골조공사 협력업체 (주)OO산업 소속 재해자가 동료작업자 2명과 함께 지상 3층에서 지상 4층으로 합판, 나무각재 등 거푸집 자재를 옮기기 위해 외부 강관비계에서 작업자 3명이 받아치기 방법으로 자재를 순차적으로 올리던 작업을 진행하던 중, 재해자가 지상 4층 슬래브 단부와 강관비계 띠장 사이 개구부(폭=60cm)에서 지상 3층 슬래브로 추락(H=5.7m)하여 사망</t>
  </si>
  <si>
    <t>2018년 10월경 (주)OO건설 OO정비사업 신축공사현장에서 1층 바닥(X11~X12, Y7~Y8) PC Half 슬래브를 보 위에 올려 놓던 재해자가 인양체인을 해체하고 슬래브 중앙으로 이동하던 중, Half 슬래브가 보 위에서 낙하하면서 지하1층 바닥으로 떨어져(H=3.5m) 사망</t>
  </si>
  <si>
    <t>PC구조물 조립 시 낙하 위험 예방조치를 미실시한 상태에서 바닥에서 PC Half 슬래브를 보 위에 거치 작업 이후 인양체인을 해체하고 슬래브 중앙으로 이동 중 시공오차 등으로 걸침길이가 짧아 Half 슬래브가 보 위에서 낙하로 인한 근로자 추락</t>
  </si>
  <si>
    <t>▶ PC구조물 조립 시 낙하 위험 예방을 위해 작업 전 시공오차 확인 및 조정 실시
▶ 추락 방지를 위한 안전대 부착설비 설치 및 안전대 착용</t>
  </si>
  <si>
    <t>2018년 10월경 OO신축공사 현장에서, 자재 양중 작업하던 이동식크레인 붐 끝단에 부착되어 있던 권과방지장치가 불분명한 원인으로 탈락·비래하여 지상 1층에서 보 거푸집 조립 작업을 하던 재해자의 머리와 흉부를 강타하여 사망</t>
  </si>
  <si>
    <t>사용장비의 사전점검을 미실시한 상태에서 자재 양중 작업하던 이동식크레인 boom 끝단에 부착되어 있던 권과방지장치가 노후 등 원인으로 탈락·비래하여 근로자 머리를 강타</t>
  </si>
  <si>
    <t>▶ 건설기계 작업시 작업 전 주요구조부 체결볼트의 충분한 강도유지 및 이상유무 확인 철저
▶ 자재 양중 구간 양중 경로 하부에 근로자 출입 금지</t>
  </si>
  <si>
    <t>2018년 10월경 개인단독주택 신축공사 현장에서 철근콘크리트공사 협력업체 소속 재해자(형틀공)가 지상 2층 보 옆면 거푸집 설치작업을 마치고 현관문 상부 보 거푸집에서 대기하던 중, 몸의 중심을 잃고 1층 바닥으로 떨어지면서(H≒2.7m) 돌출된 수직 철근(L=13cm)에 가슴부위가 찔려 사망</t>
  </si>
  <si>
    <t>2018년 11월경 ㈜OO건설에서 시공하는 다세대 신축공사 현장에서 원청 소속 재해자가 지상 2층 바닥 슬래브의 보 측면 거푸집 설치 준비 중 몸의 중심을 잃고 개구부(500×1,390mm)로 넘어지면서 약 2.9m 아래 1층 바닥으로 추락하여 사망</t>
  </si>
  <si>
    <t>2018년 12월경 (주)OO건설이 시공중인 OO공동주택신축현장에서 협력업체(OO건설) 소속 재해자 2명이 O동 O층 외벽 거푸집 설치를 위해, 아래층에서 사용했던 외벽거푸집(유로폼 조립, 규격 10.5m * 2.8m , 중량 1톤)을 전동 체인블럭(인양용량 1톤) 2대를 이용하여 인양작업을 위해 외벽거푸집을 탈형하던 직후 외벽거푸집 좌측 인양용 걸이부위가 탈락하며 외벽거푸집이 좌측으로 기울어지는 충격으로, 우측 전동 체인블럭(높이 4m, 중량 25kg) 좌측방향으로 쓰러지며 재해자들과 충돌해 1명 사망, 1명 부상</t>
  </si>
  <si>
    <t>중량물 취급 계획서 작성 미실시한 상태에서 외벽거푸집 탈형 직후 외벽거푸집 좌측 인양용 걸이부위의 탈락으로 외벽거푸집이 좌측으로 기울어지는 충격으로 우측 전동 체인블럭 좌측방향으로 쓰러지며 근로자 충돌</t>
  </si>
  <si>
    <t xml:space="preserve">▶ 외벽거푸집과 같은 중량물은 거푸집을 일체화하고 이동식크레인을 이용하여 양중 실시
▶ 전체 거푸집 중량에 대한 유로폼 앵글의 허용 인장강도 고려하여 작업 실시 
▶ 1톤 중량의 거푸집을 인양하기 위해 걸이부위를 보강하여 충분한 인장강도 확보 후 작업 실시 </t>
  </si>
  <si>
    <t>2019년 1월경 ㈜OO 신축 현장에서 재해자가 의약품동 내부 시스템비계 6단에서 상부에 해체된 거푸집(유로폼) 정리작업 완료 후 시스템비계 외부를 통하여 지상으로 내려오던 중, 몸의 중심을 잃고 지상1층 바닥(H≒8m)으로 떨여져 사망</t>
  </si>
  <si>
    <t>승강통로가 미설치된 상태에서 외부비계 바깥으로 이동 중 실족하여 추락</t>
  </si>
  <si>
    <t>▶ 비계 상하단 작업발판 사이에는 사다리, 계단 등의 승하강 통로 설치
▶ 추락 위험이 있는 작업발판, 통로 끝 및 개구부에는 안전난간 또는 덮개 등 설치
▶ 개구부 덮개 설치 시 개구부임을 표기하여 추락 위험 방지</t>
  </si>
  <si>
    <t>2019년 1월경 OO단독주택 건설현장 옥탑층 지붕 슬라브 단부에서, 재해자가 옥탑층 방수턱 면 보수작업을 하기 위해 옥상 슬라브에서 동료작업자가 올려주는 거푸집(유로폼 30×120×6.35cm, 약 12.8kg)을 받아 옥탑층 지붕 바닥에 적재 후 몸의 중심을 잃고 약 3.2m 아래 몸의 중심을 잃고 떨어져 사망</t>
  </si>
  <si>
    <t>옥탑층 지붕 슬라브 단부에서 옥탑층 방수턱 면 보수작업을 위해 하부에서 전달된 유로폼을 받아 지붕 바닥에 적재 후 몸의 중심을 잃고 옥탑층 지붕 슬라브 단부로 추락</t>
  </si>
  <si>
    <t xml:space="preserve">▶ 작업자가 추락할 위험이 있는 장소에서 작업 시, 충분한 강도를 가진 안전난간 설치 준수
▶ 안전난간 등 설치하는 것이 곤란한 경우 안전대 부착 설비로 지지로프 등을 설치 </t>
  </si>
  <si>
    <t>2019년 2월경 (주)OO산업 OO오피스텔 신축공사 현장에서 골조공사 협력업체인 OO건설(주) 소속 재해자가 지상 1층 Dry Area 내부에서 거푸집 등 자재반출 작업 중, 미고정된 작업발판이 이탈되면서 작업발판과 함께 약 25m 아래 지하 6층 콘크리트 바닥으로 떨어져 사망</t>
  </si>
  <si>
    <t>2019년 3월경 ㈜OO건설 다세대주택 신축공사 현장에서 재해자(형틀공)가 지상1층 보 거푸집 설치를 위해 보밑판(합판)을 하부 근로자에게 받아 설치작업을 하던 중 약 2.5미터 아래 콘크리트 바닥 슬라브로 떨어져 사망</t>
  </si>
  <si>
    <t xml:space="preserve">2019년 8월경 OO건설㈜ 교육연구시설 신축공사 현장에서 재해자가 지상 8층 슬라브 작업을 위해 적재한 콘판넬(PVC합판)을 옮기던 중 콘판넬이 재해자 방향으로 쏟아져 재해자가 몸의 중심을 잃고 자재 인양구로(약 16.8m) 떨어져 사망한 재해임. </t>
  </si>
  <si>
    <t>2020년 1월경 OO건설(주) OO산업센터 신축공사 현장에서 동바리 자재 묶음을 인양 중이던 타워크레인 메인지브의 연결핀이 빠지면서, 꺾인 지브가 콘크리트 펌프카 붐대 위에 떨어져, 하부(지상 1층 주차램프 바닥)에서 콘크리트 타설 작업 중이던 재해자(콘크리트 타설공)를 강타하여 사망</t>
  </si>
  <si>
    <t>중량물 인양구간 상하 동시 작업하는 상태에서 동바리 자재 묶음 인양 중 타워크레인 메인지브의 연결핀의 탈락으로 꺾인 지브가 콘크리트 펌프카 붐대 위에 낙하하였고, 하부에서 콘크리트 타설 작업 중인 근로자 타격</t>
  </si>
  <si>
    <t>▶ 타워크레인 등 장비 사용 시 메인지브 등 주요구조부에 대해 사용 전 점검 및 관리
▶ 타워크레인을 이용하여 작업 시 양중 경로 하부에 근로자 출입 금지</t>
  </si>
  <si>
    <t>2020년 4월경 OO개발(주)이 시공하는 OO주상복합 신축공사 현장에서 재해자가 지상 1층 바닥에 유로폼 등 자재 적재를 위해 개구부를 덮어 놓았던 팔레트를 치우는 작업 중 개구부(90㎝X65㎝)로 떨어져(H=3.9m) 사망</t>
  </si>
  <si>
    <t>2020년 4월경 OO단독주택 신축공사 현장에서 재해자가 2층 슬래브 단부에서 2층 바닥 슬래브용 자재를 인양하던 중, 실족하여 높이 약 3.5m아래 지상바닥으로 추락하여 사망</t>
  </si>
  <si>
    <t>2020년 4월경 OO배수로 설치 공사현장 에서 OO개발(주) 소속 재해자가 1ton화물 트럭에 거푸집을 상차 하던 중 경사진 도로에서 1ton 화물 트럭이 앞으로 밀려 내려가면서 재해자가 1ton화물 트럭 앞에서 막다가 깔려 사망</t>
  </si>
  <si>
    <t>기계 운전자 운전석 이탈시 조치를 미실시한 상태에서 화물 트럭(1ton)에 거푸집 상차 중 경사진 도로에서 화물 트럭(1ton)이 앞으로 밀려 내려가면서 근로자 깔림</t>
  </si>
  <si>
    <t>▶ 차량계 하역운반기계에서 운전자가 운전석을 이탈하는 경우 주차 브레이크의 확실한 체결 및 차량 고임목 설치
▶ 차량계 하역운반기계가 경사로로 밀려 내러가는 경우, 무리하게 인력으로 차량 앞을 막아서는 행위 금지</t>
  </si>
  <si>
    <t>2020년 6월경 재해자가 지하3층 자재인양구 덮개(각파이프+합판) 위에 타워크레인을 사용하여 지게차(자체중량 약4톤)를 올려놓은 후 바퀴에 끼인 슬링벨트를 풀기 위해 지게차를 운전하던 순간 자재인양구 덮개가 붕괴되며 기계식주차장 PIT층 바닥으로 지게차와 함께 추락(H≒11.4m)하여 사망</t>
  </si>
  <si>
    <t>타워크레인을 사용하여 지게차를 올려놓은 후 바퀴에 끼인 슬링벨트를 풀기 위해 지게차를 운전하던 순간 자재인양구 덮개가 붕괴되며 추락</t>
  </si>
  <si>
    <t>▶ 구조물이 부가되는 하중 등으로 붕괴 위험이 있을 경우 사전에 안전성 평가 진행
▶ 공정상 불가피하게 자재인양구로 지게차를 양중하여 반입 시 구조적 안정성이 확보된 자재반입대 설치</t>
  </si>
  <si>
    <t>2020년 11월경 OO건설㈜이 시공 중인 OO지하주차장 건축공사 현장에서 재해자(형틀공) 2명이 지하 1층 보 거푸집을 기둥 거푸집에 고정하고 안전대 부착설비 설치작업 중, 타워크레인 후크블록을 권상하는 과정에서 보 거푸집 고정철물에 인양용 슬링벨트가 걸려 보 거푸집 상부에서 작업 중인 재해자 2명과 보 거푸집이 함께 약 4.0m 아래 바닥(지하2층 바닥 콘크리트면)으로 추락하여 부상</t>
  </si>
  <si>
    <t>추락 방지조치를 미실시한 상태에서 보 거푸집을 기둥 거푸집에 고정하고 안전대 부착설비 설치작업 중 타워크레인 후크블록을 권상하는 과정에서 보 거푸집 고정철물에 인양용 슬링벨트가 걸려 보 거푸집 상부에서 작업 중인 근로자 추락</t>
  </si>
  <si>
    <t>▶ 추락 방지를 위해 안전대 부착설비 설치 및 안전대 착용 등 추락방지조치 실시
▶ 타워크레인 작업 시 타워크레인마다 작업자와 신호교육을 이수한 신호업무 담당자 각각 배치</t>
  </si>
  <si>
    <t xml:space="preserve">철근콘크리트공사 </t>
  </si>
  <si>
    <t>철근콘크리트공사 협력업체 ㈜OO건설 소속 재해자가 지붕층 슬래브의 보(폭×춤=500×900mm, L=4.6m) 거푸집 설치작업을 하던 중 몸의 중심을 잃고 넘어지면서 보 측면 거푸집을 잡고 떨어지지 않으려고 버티다가, 지상 8층 바닥으로 떨어졌고(H=3.3m) 연이어 보 측면 거푸집이 떨어지면서 재해자를 가격하여 사망</t>
  </si>
  <si>
    <t>재해자가 4층 엘</t>
  </si>
  <si>
    <t>재해자가 4층 엘리베이터(Elevator)실 외벽 거푸집조립 작업 또는 이동 중, 몸의 중심을 잃고 실족하여 건물 외벽과 비계 틈(40cm)을 통해, 약 9.6m 아래 지상1층 콘크리트 바닥으로 떨어져 사망</t>
  </si>
  <si>
    <t>2.1.2 거푸집 동바리 조립</t>
  </si>
  <si>
    <t>2015년 10월</t>
  </si>
  <si>
    <t>2015년 10월경 (주)000이 시공하는 00교회 신축공사 현장에서, 재해자가 사고 당일 옥탑 1층의 콘크리트 타설하기 위하여 외벽거푸집 설치상태를 마무리 점검하던 중 몸의 중심을 잃고 옥상층 콘크리트 바닥으로 떨어짐(약 2.8m)</t>
  </si>
  <si>
    <t>추락 방지조치 미실시한 상태에서 슬래브 위에서 거푸집 설치작업 중 불안정한 상태에서 균형을 잃고 근로자 추락</t>
  </si>
  <si>
    <t>▶ 추락위험이 있는 구간에는 추락방호망, 안전난간 설치 또는 및 안전대 착용후 작업
▶ 개구부 등으로 인해 추락위험이 있을 경우 개구부 덮개 실시</t>
  </si>
  <si>
    <t>2015년 12월경 OO건설(주)이 시공하는 OO신축공사 현장에서 협력업체 소속 재해자가 화목이 타고 있는난로에 인화성액체(휘발유 또는 신너)를 넣는 순간 화염이 발생하여 본인과 다른 재해자의 옷에 불이 붙어 2명 부상</t>
  </si>
  <si>
    <t>위험물질의 불안전한 사용 등 화목이 타고 있는난로에 인화성액체(휘발유 또는 신너)를 넣는 순간 화염이 발생하여 옷에 불이 붙어 화상을 입음</t>
  </si>
  <si>
    <t>▶ 작업시 화재, 폭발 예방조치 준수
▶ 인화성액체(휘발유 또는 신너) 등 위험물 보관 규정 준수</t>
  </si>
  <si>
    <t>2016년 1월경 OO건설(주)이 시공하는 OO주거복합시설 신축현장에서 재해자가 지상14층 돌음계단 거푸집조립·해체 작업 중 계단실내 개구부로 추락하여 사망</t>
  </si>
  <si>
    <t>추락방지조치 미실시한 상태에서 지하층 바닥슬래브 거푸집 설치 작업 중 슬래브 개구부로 근로자 추락</t>
  </si>
  <si>
    <t>▶ 기둥 상부 작업 등 추락 위험이 있는 작업은 이동식 비계 등을 이용하여 발판 및 안전난간 등  설치
▶ 거푸집 조립 작업 등 추락 위험이 있는 장소에서 작업 시 추락방호망, 안전난간 설치, 안전대 착용 등 추락방호조치 실시
▶ 임시로 난간 등을 해체하여야 하는 경우 비계와 건물 사이에 추락방호망 설치</t>
  </si>
  <si>
    <t>2016년 4월경 (주)OO건설 숙박시설 신축공사 현장에서 형틀공인 재해자가 지상 4층 벽체거푸집 강재틀 상부에서 거푸집동바리 설치를 위한 장선재(81×81×2,400, 8kg) 고정작업 중 벽체철근에 옷이 걸려 몸의 중심을 잃고 2.9m 아래 콘크리트바닥에 떨어져 사망</t>
  </si>
  <si>
    <t>2016년 6월경 OO개발(주)이 시공하는 OO단독주택신축공사 현장에서 OO개발(주) 소속 재해자가 외부 쌍줄비계 최상단(3단) 작업발판에서 3층 벽체 외부 거푸집 조립(또는 이동) 중 작업발판 외측 단부로 떨어져(H=5.0m) 사망</t>
  </si>
  <si>
    <t>떨어짐 방지조치 미실시한 상태에서 지상층 외부 강관쌍줄비계 작업발판 상부에서 외벽 벽체거푸집 핀 고정 작업 후 외부 비계상부 작업발판 이동 중 실족하여 중심을 잃고 콘크리트 벽체와 강관쌍줄비계 사이 개구부로 근로자 추락</t>
  </si>
  <si>
    <t>▶ 비계와 구조물 사이 추락위험이 있는 구간에는 추락방호망 설치
▶ 추락 위험이 있는 작업 시 안전난간 설치 또는 안전대 부착설비 등 안전방호조치 실시</t>
  </si>
  <si>
    <t>2016년 6월경 OO건설(주) OO정비사업 현장에서 협력업체 소속 재해자가 제방 상류측 헌치부 슬래브의 측면 거푸집 조립작업 중 몸의 중심을 잃고 5m 높이의 지상 바닥으로 떨어져 사망</t>
  </si>
  <si>
    <t>2016년 8월경 (주)OO건설 OO공장 신축공사 현장에서 협력업체 소속 재해자가 사무동 콘크리트 옹벽 벽체거푸집 조립 작업 중 옹벽벽체 외벽 2단 거푸집(20m×2.4m, 약 1.2TON)이 재해자가 위치한 전면으로 넘어져 거푸집에 깔려 사망</t>
  </si>
  <si>
    <t>거푸집 조립시 구조검토에 의한 조립도 미작성, 거푸집 전도방지조치 미실시한 상태로 콘크리트 옹벽 벽체거푸집 조립 작업 중 옹벽벽체 외벽 거푸집이 근로자의 전면으로 넘어져 깔림</t>
  </si>
  <si>
    <t>▶ 거푸집을 설치 할 경우 자중 또는 외력에 의해 넘어지지 않도록 견고한 구조의 버팀대 또는 지지대를 설치 
▶ 벽체거푸집 조립 시 구조에 대해 자중, 풍하중, 작업하중 등에 의한 수평방향 하중에 대해 구조검토 후 부재의 재질, 간격, 고정방법 등이 포함된 조립도를 작성 
▶ 거푸집 조립 시 긴결재, 버팀대 또는 지지대 설치 등 전도방지조치 실행</t>
  </si>
  <si>
    <t>2016년 08월</t>
  </si>
  <si>
    <t>2016년 08월경 (주)OO건설 근린생활시설 신축공사현장에서 재해자가 지상 5층 외부 강관쌍줄비계 작업발판 상부에서 옥탑층 외부 벽체거푸집에 폼타이핀과 웨지핀 고정 작업을 하다가 이동(외부 비계상부 작업발판 11단→12단 상부) 중 발을 헛 딛어 콘크리트벽체와 강관쌍줄비계 사이(0.5m) 개구부로 떨어져(높이:약 27m) 사망</t>
  </si>
  <si>
    <t>2016년 9월경 OO건설주식회사 OO프라자 신축공사 현장에서 협력업체 소속 재해자가 지하 1층 자재 인양구(2,000mm×7,400mm) 위 임시 자재 적치대 위에서 거푸집 쌓기 작업을 진행하던 중 지상 3층 바닥보 하부에 설치된 동바리가 자재 인양구를 통해 약 3.9m 아래로 떨어져 재해자의 머리에 맞아 사망</t>
  </si>
  <si>
    <t>낙하물에 의한 위험 방지조치 미실시한 상태에서 자재 인양구 위 임시 자재 적치대 위에서 거푸집 쌓기 작업 중 지상 바닥보 하부에 설치된 동바리가 낙하하여 근로자의 머리 타격</t>
  </si>
  <si>
    <t>▶ 자재 인양용 개구부에 대해 낙하물방지망 등 설치
▶ 낙하물방지망 등 설치 불가 시 근로자 출입 통체
▶ 멍에제에 동바리 고정상태 확인 철저</t>
  </si>
  <si>
    <t>2016년 10월경 근생 및 다가구주택 신축공사 현장에서 재해자가 외부 쌍줄비계 작업발판(5단) 위에서 지상 3층 벽체 거푸집 조립작업을 실시하던 중 작업발판이 탈락되면서 약 9m 아래로 떨어져 사망</t>
  </si>
  <si>
    <t>작업발판 미고정한 상태에서 외부 쌍줄비계 작업발판 위에서 지상층 벽체 거푸집 조립작업 중 작업발판의 탈락으로 근로자 추락</t>
  </si>
  <si>
    <t>▶ 비계에 설치된 작업발판은 뒤집히거나 떨어지지 않도록 둘 이상의 지지물에 고정(직교 클램프 등)
▶ 추락위험이 있는 구간에는 추락방호망, 안전난간 설치 또는 및 안전대 착용후 작업</t>
  </si>
  <si>
    <t>2016년 10월경 (주)OO건설 OO주상복합 신축공사 현장에서 지하3층 기계식주차장 벽체 거푸집 설치를 위해 같은 형틀팀 동료작업자 7명이 시스템동바리 수평재 사이에 작업발판(합판)을 설치하던 중 재해자가 기계식주차장 주변 단차구간(기계실) 슬래브 단부에서 이동하는 과정에서 균형을 잃고 지하3층 기계식주차장 바닥(H=4m)으로 떨어져 사망</t>
  </si>
  <si>
    <t>2016년 10월경 OO건설(주) OO신축공사 현장에서 협력업체 소속 근로자 3명이 지상 8층 A-1구간 PC 슬래브 설치작업 중 슬래브의 설치 간격을 조정하기 위해 PC 슬래브 단부에서 쇠지렛대(현장명: 빠루)를 이용하여 PC 슬래브를 미는 과정에서 재해자의 쇠지렛대가 빠지면서 재해자가 균형을 잃고 5.5m 아래 지상 7층 바닥으로 떨어져 사망</t>
  </si>
  <si>
    <t>추락 방지조치 미실시한 상태에서 지상층 PC 슬래브 설치작업 중 슬래브의 설치 간격 조정을 위해 단부에서 쇠지렛대를 이용해 PC슬래브를 미는 과정에서 쇠지렛대가 빠지면서 균형을 잃고 근로자 추락</t>
  </si>
  <si>
    <t>2016년 10월경 복합주거시설 신축공사 현장에서 지하 1층 기둥 형틀(거푸집)에 매달려 플랫타이 및 핀 고정작업을 하던 재해자가 바닥으로 떨어져 사망</t>
  </si>
  <si>
    <t>추락방지조치 미실시한 상태에서 지하층 기둥 거푸집에 매달려 플랫타이 및 핀 고정작업 중 바닥으로 근로자 추락</t>
  </si>
  <si>
    <t>2016년 12월경 OO신축공사 현장의 OO동 지상 4층 시스템동바리 상부에 설치된 작업발판(높이: 약 4.7m)에서 보 형틀 조립작업을 하던 재해자가 작업을 마치고 내려오던 중 추락하여 사망</t>
  </si>
  <si>
    <t>수직통로 유지관리 불량한 상태에서 지상층 시스템동바리 상부에 설치된 작업발판에서 보 형틀 조립작업 후 사다리 설치부 하단에 통로형 작업발판이 세워져 있어 옆으로 이동하여 내려오던 중 추락</t>
  </si>
  <si>
    <t xml:space="preserve">▶ 근로자 사용 통로는 안전한 상태로 항상 사용할 수 있도록 유지
▶ 근로자 이동 중 안전대 착용 등 안전조치 준수 </t>
  </si>
  <si>
    <t>2017년 1월경 OO건설(주) OO호텔신축공사 현장에서 재해자가 지하1층 기계실 시스템동바리 상부에서 장선재 및 합판거푸집을 설치한 후, 하부로 내려오려던 중 또는 슬래브 거푸집 설치를 위해 이동 중 몸의 중심을 잃고 약 5.0m아래 지하1층 콘크리트 바닥으로 추락하여 사망</t>
  </si>
  <si>
    <t>거푸집 작업구간으로 이동통로 미확보한 상태에서 시스템동바리 상부에서 장선재 및 합판거푸집 설치 작업 후 하부로 내려오던 중 중심을 잃고 추락</t>
  </si>
  <si>
    <t>▶ 추락 위험이 있는 시스템동바리 상부 작업인 경우 이동식사다리 또는 이동식비계 등 안전한 통로를 설치
▶ 추락 위험이 있는 작업 시, 안전방망, 안전난간, 안전대 부착설비 등 안전방호조치 실시</t>
  </si>
  <si>
    <t>2017년 1월경, (주)OO건설 00아파트 신축공사 신축현장에서 협력업체  소속 재해자가 1층 계단실에서 바닥에 수평목을 설치하던 중 쓰러져 사망</t>
  </si>
  <si>
    <t>계단실에서 바닥에 수평목을 설치하던 중 알수없는 이유로 근로자 쓰러짐</t>
  </si>
  <si>
    <t>2017년 3월경 OO건설㈜ OO하수처리장 설치공사 현장에서 협력업체 소속 재해자가 하수처리장 지상1층 벽체 거푸집 내벽 및 상부 Slab 거푸집 설치작업 중 높이 약 7.35m아래 UMBR조(상향류 생물반응조) 콘크리트 바닥으로 떨어져 사망</t>
  </si>
  <si>
    <t>시스템 동바리 설치작업을 위한 작업발판 설치 불량 및 고정 미실시한 상태에서 하수처리장 지상층 벽체 거푸집 내벽 및 상부 Slab 거푸집 설치작업 중 고정되지 않은 작업발판이 뒤집힘에 따라 근로자 추락</t>
  </si>
  <si>
    <t>▶ 시스템동바리 설치 작업 시 추락방지를 위해 작업발판을 밀실하게 설치
▶ 작업발판이 뒤집히거나 탈락되지 않도록 2곳 이상 지지물에 고정
▶ 시스템동바리 설치 작업 시 추락위험이 있을 경우 추락방지망 설치 또는 안전대 부착설비 설치 및 안전대 착용</t>
  </si>
  <si>
    <t>2017년 3월경 OO건설(주) OO신축공사현장에서 협력업체 소속 재해자가 지하1층 형틀작업 과정에서 임시로 세워놓은 기둥거푸집의 버팀대가 이탈되어 넘어지는 기둥거푸집 상단부가 재해자의 뒷목을 타격하여 사망</t>
  </si>
  <si>
    <t>인양장비에 매달지 않고 버팀대를 견고하게 설치하지 않은 상태에서 지하층 형틀작업 중 임시로 세워놓은 기둥거푸집이 버팀대의 이탈로 넘어져 근로자 뒷목 타격</t>
  </si>
  <si>
    <t>▶ 기둥거푸집이 넘어지지 않도록 인양장비에 매단 후, 견고한 구조의 버팀대를 변형 되지 않은 부재에 설치하고 작업하는 등 필요한 조치
▶ 버팀대 설치 부재의 손상여부를 사전에 확인하고 이탈되지 않도록 쐐기ㆍ못 등으로 견고하게 고정</t>
  </si>
  <si>
    <t>2017년 4월경 OO오피스텔 신축 공사 현장에서 바람에 의해 현장가설휀스 1장(W550×H6000 mm, 13kg)이 탈락되어 지하 2층 계단실 형틀 작업 중이던 재해자 쪽으로 떨어져 재해자가 이에 맞고 지하 2층에서 지하 3층 바닥으로 추락(H≒4.95m)하여 사망</t>
  </si>
  <si>
    <t>가설 휀스 고정이 불량한 상태에서 바람에 의해 현장가설펜스 1장이 탈락되어 지하 계단실 형틀 작업중인 근로자 가격 이후 근로자 추락</t>
  </si>
  <si>
    <t>▶ 가설펜스 설치 시 재료 이탈 방지를 위해 강관, 클램프 등을 이용하여 설치
▶ 추락 위험이 있는 작업 시, 안전방망, 안전난간, 안전대 부착설비 등 안전방호조치 실시</t>
  </si>
  <si>
    <t>2017년 4월경 근생 신축공사 현장에서 재해자가 작업발판 상부에서 옥탑층 외벽 거푸집 설치작업 중 작업발판을 지지하는 장선재[비계용 강관(48.6㎜, L=1m)]가 비계 띠장에 미고정되어 작업발판이 탈락되면서 약 9.3m 아래 바닥으로 떨어져 사망</t>
  </si>
  <si>
    <t>비계 작업발판의 고정이 불량하여 작업발판이 탈락되면서 추락</t>
  </si>
  <si>
    <t xml:space="preserve">▶ 비계 조립 시 부재간 연결부는 전용철물을 사용하여 견고하게 조립하고 작업발판은 이탈되지 않도록 2개소 이상 고정하여 설치
▶ 추락위험이 있는 구간에는 추락방호망, 안전난간 설치 또는 및 안전대 착용후 작업
▶ 안전난간 설치 기준 준수하여 설치 및 관리감독자 확인 </t>
  </si>
  <si>
    <t>2017년 4월경 OO건설 공사현장에서, 재해자가 2층(h≒4.2m) 캐노피(10m×2.4m)에서 2층 바닥 콘크리트 측면 거푸집으로 사용했던 각재(4×5cm 각재 및 8×8cm 각재)를 쇠지레(일명 빠루)로 해체 및 자재 하역 중, 몸의 균형을 잃고 캐노피 단부에서 1층 아스팔트 바닥으로 떨어져(h≒4.2m) 사망</t>
  </si>
  <si>
    <t>안전난간이 미설치된 작업발판 위에서 작업 중 작업발판 단부로 추락</t>
  </si>
  <si>
    <t>2017년 5월경 OO토건(주)이 시공하는 야구장 건립현장에서 재해자 2명이 외부비계에서 백스크린 벽체거푸집(14m×8m) 조립작업 중 거푸집이 전도되어 전도되는 거푸집에 깔림</t>
  </si>
  <si>
    <t>2017년 10월경 단독 및 다가구주택 신축공사 현장에서 재해자가 외부비계에서 옥상층 방수턱 돌출부위 거푸집 고정(철선 결속)작업을 마친 후 건물 외벽의 창문을 통해 건물 내부로 이동하던 중 비계 작업발판과 건물 외벽 사이의 개구부에서 높이 약 6~8m 아래의 콘크리트 바닥면으로 추락하여 사망</t>
  </si>
  <si>
    <t>외부비계에서 건물 내부로 이동 중 이동통로가 미설치된 개구부에서 실족하여 추락</t>
  </si>
  <si>
    <t>▶ 외부비계와 구조물 사이에는 안전한 이동을 위한 이동통로 설치
▶ 추락위험이 있는 구간에는 추락방호망, 안전난간 설치 또는 및 안전대 착용후 작업
▶ 개구부 등으로 인해 추락위험이 있을 경우 개구부 덮개 실시</t>
  </si>
  <si>
    <t>2018년 2월경 개인이 시공하는 (주)OO공사 현장에서 재해자가 데크플레이트 판개 및 용접 작업을 위해 철골 상부 이동 중 몸의 중심을 잃고 약 5.8m 아래 바닥으로 떨어지며 사망</t>
  </si>
  <si>
    <t>추락 방지조치 미실시한 상태에서 데크플레이트 판개 및 용접 작업을 위해 철골 상부 이동 중 몸의 중심을 잃고 바닥으로 추락</t>
  </si>
  <si>
    <t xml:space="preserve">▶ 추락위험이 있는 구간에는 추락방호망, 안전난간 설치 또는 및 안전대 착용후 작업
▶ 안전난간 설치 기준 준수하여 살치 및 관리감독자 확인 </t>
  </si>
  <si>
    <t>2018년 3월경 OO단독주택 신축공사 현장에서 재해자 2명이 좌측면 벽체 거푸집 설치작업 중 벽체 거푸집(높이 2.4m, 중량 약 114kg)이 넘어져 재해자를 덮침</t>
  </si>
  <si>
    <t>2018년 4월경 OO주택 신축공사 현장에서 재해자가 4층 외부 비계 작업발판 위에서 4층 발코니 바닥에 수평목 설치 작업을 하던 중 몸의 균형을 잃고 외부 비계와 건물 벽체사이 개구부(약 70cm)로 추락(높이 약 8m)하여 사망</t>
  </si>
  <si>
    <t>2018년 5월경 OO설치공사 현장에서 작업자 3명이 비닐하우스 전면의 수평재(강관파이프 φ48.6mm) 상부에서 작업보조대 나사못 체결작업을 하던 중 클램프로 고정된 작업보조대 일체가 회전하면서 작업자 2명이 약 4m 아래 지상으로 떨어져 1명 사망, 1명 부상</t>
  </si>
  <si>
    <t>추락 방지조치 미실시한 상태의 시스템동바리 수평연결재 상부에서 작업보조대 나사못 체결작업을 하던 중 작업보조대가 회전하면서 지상으로 근로자 추락</t>
  </si>
  <si>
    <t xml:space="preserve">▶ 추락위험이 있는 구간에는 추락방호망, 안전난간 설치 또는 및 안전대 착용후 작업
▶ 안전난간 설치 기준 준수하여 설치 및 관리감독자 확인 </t>
  </si>
  <si>
    <t>2018년 7월경 OO 보건소 이전 신축공사 현장에서 재해자가 벽체 거푸집(1층 의약품창고 구간) 위에서 120cm 밑에 있는 보 거푸집(1층 사무실 구간)하단으로 내려가려고 발을 내딛던 중 몸의 중심을 잃고 약 3.6m 아래 지상 콘크리트 바닥으로 추락하여 사망</t>
  </si>
  <si>
    <t>추락방지조치 미실시한 상태에서 벽체 거푸집 위에서 보 거푸집 하단으로 내려가던 중 실족하여 중심을 잃고 바닥으로 근로자 추락</t>
  </si>
  <si>
    <t>2018년 7월경 OO건설(주) OO아파트 건설공사 현장에서, 협력업체 소속 재해자가 시스템동바리 수평재에서 벽체 유로폼에 플랫타이(Flat tie)*와 웨지핀(Wedge pin)**을 고정하는 작업을 하던 중, 지상 바닥(H≒2.0m)으로 추락하여 사망</t>
  </si>
  <si>
    <t>추락방지조치 미실시한 상태에서 시스템동바리 수평재에서 벽체 유로폼에 플랫타이와 웨지핀을 고정하는 작업 중 중심을 잃고 근로자 추락</t>
  </si>
  <si>
    <t>2018년 7월경 OO다가구주택 신축공사 현장에서 재해자가 비계 상부에서 3층 벽체 외부 거푸집 조립작업 중 비계와 건물 벽체 사이를 통해 약 6m 아래 지면으로 떨어져 사망</t>
  </si>
  <si>
    <t>2018년 8월경 OO동 지하 1층 벽체 거푸집 플랫타이 체결 작업 중 동료작업자가 바닥에 쓰러져 있는 재해자를 발견 후 병원에서 사망</t>
  </si>
  <si>
    <t>시스템동바리 수평재에 올라서서 작업 중 추락</t>
  </si>
  <si>
    <t>▶ 작업장 주변 정리정돈 및 작업에 적합한 작업발판 설치
▶ 넘어짐 또는 추락방지를 위해 안전대 착용
▶ 개인보호구 지급 및 착용</t>
  </si>
  <si>
    <t>2019년 3월경 위험지구 정비사업 현장에서 재해자가 BOX교량 안쪽 벽체 거푸집 설치작업 중 벽체거푸집(높이 2.3M, 폭 10M, 무게 약 845㎏)이 넘어지면서 가슴 등을 부딪혀 사망</t>
  </si>
  <si>
    <t>2019. 3월경</t>
  </si>
  <si>
    <t>2019. 3월경 OO건설(주)이 시공중인 OO신축공사 현장에서 협력업체  소속 재해자가 지상1층 보(0.5m×0.8m)상부에 서서 측면 거푸집(0.3m×1.2m) 조립 작업 중, 몸의 중심을 잃고, 지하1층 바닥(H≒3.6m)으로 떨어져 사망</t>
  </si>
  <si>
    <t>추락방지조치 미실시한 상태에서 지상층 내부 철골 내화페인트 뿜칠작업 중 중심을 잃고 이동식비계 작업발판 위에서 근로자 추락</t>
  </si>
  <si>
    <t>2019년 5월경 OO(주)에서 시공하는 근린생활시설 신축공사현장에서, 철근콘크리트공사 협력업체 소속 재해자가 동료작업자와 함께 지상4층 보거푸집 거치 후, 거푸집에 결속되어 있던 타워크레인 양중로프를 해제하던 중 로프의 끝단이 거푸집 부속철물(긴결재)에 걸려, 보거푸집이 흔들리면서 몸의 중심을 잃고 약 3.3m 아래 콘크리트 바닥으로 떨어져 사망</t>
  </si>
  <si>
    <t>중량물 취급 작업계획서 미흡 및 작업지휘 미실시한 상태에서 지상층에서 보거푸집에 결속되어있던 슬링벨트를 해체하여 상승시키는 과정 중 슬링벨트의 양 끝 고리부가 보거푸집에 걸려 전도됨에 따라 보거푸집 상부에 있던 근로자 추락</t>
  </si>
  <si>
    <t>▶ 추락위험이 있는 장소에서의 작업 시 안전대 부착설비 설치 및 안전대 지급 및 착용
▶ 크레인 작업 시 작업자와 신호교육을 이수한 신호업무 담당자 각각 배치</t>
  </si>
  <si>
    <t>2019년 6월경 (주)OO에서 시공하는 OO신축공사 현장에서 재해자가 건축물 좌측 옥상층 벽체 거푸집 조립작업용작업발판 설치를 위하여 기존 사용했던 작업발판을 가지러 노출보로 이동하던중 추락해서 1차로 2층 시스템동바리 수평재에 부딪힌 후 2차로 2층 바닥으로추락하여 사망</t>
  </si>
  <si>
    <t>개구부 등의 방호조치 미실시한 상태에서 지상층 보 측면 거푸집에 천공작업 후 계단실 개구부 주변을 하부에서 상부층으로 이동 중 중심을 잃고 개구부로 추락</t>
  </si>
  <si>
    <t>2019년 6월경 OO아파트 외부도장공사 현장에서 재해자가 균열보수작업을 위해 달비계 작업대에 탑승하여 작업을 준비하던 중, 달비계의 작업용 로프가 고정용 앵커에서 이탈하면서 달비계와 함께 약 37m 아래 지상 바닥으로 떨어져 사망</t>
  </si>
  <si>
    <t>달비계 작업 시 수직구명줄 미설치한 상태에서 균열보수작업을 위해 달비계 작업대에 탑승하여 작업 준비 중 달비계의 작업용 로프가 고정용 앵커에서 이탈하면서 달비계와 함께 근로자 추락</t>
  </si>
  <si>
    <t>▶ 달비계 작업 시 로프고정용 고리의 이탈방지조치 및 앵커 설치
▶ 달비계 작업 시 수직구명줄 설치 및 추락방지대를 수직구명줄에 체결</t>
  </si>
  <si>
    <t>2019년 6월경 OO건설(주) OO근생시설 신축공사 현장에서 재해자가 지하 1층 상부 슬래브의 보(0.5m×0.8m, L=9.4m) 거푸집수정(15cm 하향 설치)을 위해 거푸집 위에서 연결부 못 제거 등의 해체작업 중 보 거푸집 하부에 있던 동바리(파이프 서포트)가 넘어지면서 지지력을 상실하고 붕괴되는 충격에 의해 약 3.1m 아래 지하 1층 바닥 슬래브로 떨어져 사망</t>
  </si>
  <si>
    <t>보거푸집 수정작업 시 보거푸집을 인양장비에 매달아 하중 지지 후 작업하여야 하나 지하층 상부 슬래브의 보거푸집 수정을 위해 거푸집 위에서 연결부 못 제거 등 해체작업 중 보거푸집 하부에 있던 동바리가 넘어지면서 보거푸집 붕괴에 따른 근로자 추락</t>
  </si>
  <si>
    <t>▶ 거푸집 위치 수정작업 시 보거푸집을 인양장비에 매달아 하중 지지 후 작업 또는 버팀대 설치
▶ 추락 위험이 있는 장소에서의 작업 시 작업발판 설치 또는 고소작업대 투입</t>
  </si>
  <si>
    <t>2019년 6월경 OO건설㈜ OO건립공사 현장 내에서 재해자가 옥상층 파라펫 거푸집 조립작업을 진행하는 과정에서 건물 외벽 측의 거푸집 보강작업을 위해 파라펫을 넘어 외부 쌍줄비계의작업발판으로 내려가던 중 실족하여 건물과 비계 틈새(개구부)를 통해 지면바닥으로 추락(H≒11m)하여 사망</t>
  </si>
  <si>
    <t>2019년 7월경 (주)OOOO에서 시공하는 OO아파트 신축공사현장에서 협력업체 소속 재해자가 시스템비계 작업발판 위에서 거푸집 조립작업을 하던 중 시스템비계 작업발판단부 안전난간대가 이탈하면서 약5m아래 지상 콘크리트 바닥으로 떨어져 사망</t>
  </si>
  <si>
    <t>시스템비계 작업발판 단부 가설안전난간대 설치불량한 상태에서 시스템비계 작업발판 위에서 거푸집 조립작업 중 시스템비계 작업발판단부 안전난간대의 이탈로 근로자 추락</t>
  </si>
  <si>
    <t>▶ 시스템비계 작업발판 단부 등 추락위험이 있는 장소에서 작업 시 안전난간대을 견고히 설치
▶ 안전난간의 설치가 곤란할 경우 안전대 부착설비 및 안전대 착용</t>
  </si>
  <si>
    <t>2019년 7월경 OO건설(주)에서 시공하는 OO블럭 근린생활시설 신축공사 현장에서, 철근콘크리트공사 협력업체 소속 재해자가 동료작업자와 함께 지상2층 보거푸집 설치 후, 보거푸집에 결속되어 있던 이동식크레인의 슬링벨트를 해체하여 상승시키는 과정 중 슬링벨트의 아이(EYE)부가 보거푸집에 걸려 전도되면서, 보거푸집 상부에 있던 재해자가 약 5m 아래 콘크리트 바닥으로 떨어져 사망</t>
  </si>
  <si>
    <t>2019년 9월경 00건설(주)가 시공 중인 00증축공사 현장에서 협력업체  소속 재해자 2명이 이동식 크레인으로 인양된 지상 2층 바닥 보 거푸집 설치를 위해 거푸집 위에서 고정 작업을 마치고 슬링벨트와 샤클을 분리한 후 이동식 크레인을 상승하던 중 후크에 매달린 슬링벨트가 인양했던 보 거푸집 한쪽에 붙어있는 각재 고정용 헹거고리에 걸려 거푸집이 뒤집히면서 2층 바닥 보 거푸집과 함께 지상1층 바닥(H≒3.0m)으로 떨어져 1명 사망, 1명 부상</t>
  </si>
  <si>
    <t xml:space="preserve">작업순서 미 준수(중량물 취급계획서 미작성)한 상태에서 바닥 보 거푸집 인양 뒤 슬링벨트와 샤클 분리 후 이동식크레인 상승 중 슬링벨트가 인양했던 보 거푸집 한쪽에 붙어있는 각재 고정용 행거고리에 걸려 거푸집이 뒤집힘에 따라 거푸집과 함께 근로자 추락 </t>
  </si>
  <si>
    <t xml:space="preserve"> 2019년 9월</t>
  </si>
  <si>
    <t xml:space="preserve"> 2019년 9월경 OO근린생활시설 신축공사 현장에서 재해자가 안전난간이 미설치된 외부 시스템 비계의 4단 작업발판 단부에서 동료 작업자가 던져주는 다림추를 받으려다 덮개가 미설치된 개구부로 떨어지면서 약 2.1M 하부에 있는 계단실 벽체 이음철근에 목이 찔려 사망</t>
  </si>
  <si>
    <t>2019년 10월경 OO건설(주)가 시공 중인 근생시설신축공사 현장에서 재해자가 지상2층 경사지붕 바닥슬래브 거푸집 조립작업을 마치고 내려오던 중 약 4m 아래로 떨어져 사망</t>
  </si>
  <si>
    <t>2019년 10월경 OO병원 증축 및 리모델링 공사 현장에서 시스템 동바리 상부 멍에재의 간격을 맞추기 위해 보 거푸집에서 시스템 동바리로 이동하던 중 시스템 동바리 최상단에 걸쳐있는 합판(t≒ 10mm)을 밟고, 높이 5m 아래 바닥으로 추락</t>
  </si>
  <si>
    <t>2019년 11월경 (주)OO 소속 재해자 2명이 목재로 만든 임시 작업발판 위에서 지상4층 계단실 벽체 거푸집 조립작업 중 목재 작업발판이 무너지면서 계단실 슬래브 위로 떨어져 부상</t>
  </si>
  <si>
    <t>중량물 취급작업 계획서 미작성 및 작업지휘자 미지정한 상태에서 지상층 슬라브에서 타워크레인으로 인양된 거푸집동바리의 슬링벨트 해제를 위해 같은층 슬라브 외각부에 설치된 작업발판에 올라 이동 중 작업발판 탈락에 의한 근로자 추락</t>
  </si>
  <si>
    <t>▶ 작업발판 설치시 탈락방지를 위해 견고히 설치 및 설치 상태 관리감독자 확인
▶ 중량물 취급시 작업계획서를 사전에 작성하고 관리감독자를 배치하여 작업계획서에 맞게 작업행</t>
  </si>
  <si>
    <t>2019년 11월경 OO신축공사 현장에서 건물 8층 상부 슬라브 보·거푸집 공사 중, 비계 등 작업발판이 설치되어 있지 않은 보 거푸집 상부에서 90° 방향에 있는 다른 보로 이동하던 중, 약 3.4m 아래 콘크리트 바닥으로 추락하여 병원에서 치료 중 2021.10.21.(수)에 사망.</t>
  </si>
  <si>
    <t>2019년 12월경 단독주택신축공사 현장에서 재해자가 지상2층 보 측면 거푸집에 철선 연결·고정을 하기 위한 천공작업을 실시 완료한 후 계단실(2층→3층) 개구부 주변으로 이동하던 중 몸의 중심을 잃고 개구부 바닥(H≒2.7m)으로 떨어져 사망</t>
  </si>
  <si>
    <t>2019년 12월경 OO건설(주)에서 시공중인 주상복합 신축공사 현장에서 협력업체 소속 재해자가 지상 4층 배면부의 외부 실외기실(노대) 바닥 방수턱 파손부위 보강작업을 위해 실외기실(노대) 단부 안전난간 틈(상부난간~중간난간 사이)으로 머리를 빼고 작업을 하던 중 내려오는 리프트 운반구와 안전난간 사이에 머리가 끼여 사망</t>
  </si>
  <si>
    <t>출입금지조치 미실시 및 작업지휘자 미배치 상태에서 지상층 배면부의 외부 실외기실 바닥 방수턱 파손부위 보강작업을 위해 실외기실 단부 안전난간 틈(상부난간~중간난간 사이)으로 머리를 빼고 작업을 하던 중 내려오는 리프트 운반구와 안전난간 사이에 머리가 끼임</t>
  </si>
  <si>
    <t>▶ 위험구간 작업시 사용기계 장비 정지 등 위험요소 배제후 작업실시
▶ 작업지휘자 배치 및 근로자 출입 통제 실시</t>
  </si>
  <si>
    <t>비계(일체형비계)</t>
  </si>
  <si>
    <t>2020년 1월경 OOOO(주)가 시공 중인 OO신축공사 현장에서 협력업체 소속 재해자가 OO동 지상5층 슬라브에서 타워크레인으로 인양된 테이블서포트(거푸집동바리)의 슬링벨트 해제를 위해 지상5층 슬라브 외곽부에 설치된 케이지(작업발판)에 올라 테이블서포트 쪽으로 이동 중 슬라브에서 케이지가 탈락되며 케이지와 함께 지상1층 바닥으로(H≒21m)로 떨어져 사망</t>
  </si>
  <si>
    <t>2020년 1월경 OO건설(주) OO신축사업 현장에서 협력업체 재해자가 별관동 지하 1층 합벽 거푸집 전도방지를 위해 경사 지지대(동바리)를 버팀보에 설치 후, 버팀보 위에서 이동 중 몸의 중심을 잃고 지하 3층 바닥(H≒15m)으로 추락하여 사망</t>
  </si>
  <si>
    <t>추락 방지조치 미실시한 상태에서 지하층 합벽 거푸집 전도방지를 위해 동바리를 버팀보에 설치 후 버팀보 위에서 이동 중 중심을 잃고 근로자 추락</t>
  </si>
  <si>
    <t>2020년 2월경 00건설(주)에서 시공하는 다세대주택 신축공사 현장에서재해자가 지상1층 계단실 거푸집 조립작업중 엘리베이터 개구부로 넘어지면서 깊이 약 1.6.m 엘리베이터 핏트로 추락하여 사망</t>
  </si>
  <si>
    <t xml:space="preserve">추락 방지조치 미실시한 상태에서 지상층 계단실 거푸집 조립작업 중 엘리베이터 개구부로 넘어지면서 엘리베이터 피트로 근로자 추락 </t>
  </si>
  <si>
    <t>▶ 추락위험이 있는 구간에는 추락방호망, 안전난간 설치 또는 및 안전대 착용후 작업
▶ 엘리베이터 피트 내부에 작업발판 및 추락방지망 설치</t>
  </si>
  <si>
    <t>2020년 3월경 위험개선지구 정비사업 현장에서 OO건설(주) 소속 작업자 2명이 교량 차수벽 거푸집 사이에서 거푸집 조립(B≒4.8m, H≒1.2m,) 중, 거푸집(584kg)이 전도되면서 2명이 거푸집에 깔림</t>
  </si>
  <si>
    <t>2020년 3월경 (주)OO건설에서 시공 중인 근생시설 신축공사 현장에서 재해자 2명이 지상 7층에서 윈치(Winch)가 부착된 삼각인양대를 이용하여 대형거푸집 인상작업을 하던 중, 윈치와 거푸집의 연결부가 파손되며 건물 외부비계 위에 있던 재해자는 거푸집과 함께 떨어져(H≒22m) 부상을 입고, 건물 내부슬라브에 있던 재해자는 윈치 또는 윈치를 지지하던 삼각인양대에 머리를 맞아 사망</t>
  </si>
  <si>
    <t>달기구의 안전계수를 미준수한 상태에서 지상 7층 윈치가 부착된 삼각인양대를 이용하여 대형거푸집 인상작업 중 윈치와 거푸집의 연결부 파손으로 건물 외부비계 위에 있던 근로자 추락</t>
  </si>
  <si>
    <t>▶ 사전조립식 대형거푸집을 지지하는 달기구의 경우 안전계수 5 이상 확보된 인증제품 사용
▶ 조립된 대형거푸집 전체의 중량이 고르게 분포될 수 있도록 줄걸이 방법 결정 및 실행</t>
  </si>
  <si>
    <t>2020년 4월경 OO신축공사 현장에서, 재해자가 이동식크레인(정격하중 25ton)을 이용하여 지상 1층으로 인양된 외벽 대형 거푸집(L≒2,300mm×3,000~3,600mm), W≒185.9kg)을 설치하고 지하로 이동하여 다른 외벽 대형 거푸집 해체를 위해 지하로 이동 중, 전도되어 떨어지는 지상 1층 설치된 외벽 대형 거푸집이 재해자를 덮쳐 사망</t>
  </si>
  <si>
    <t>2020년 4월경 (주)OO이 시공하는 OO신축공사 현장에서 재해자가 시스템동바리 수평연결재에 설치된 작업발판(알루미늄 유공발판)에서 보 거푸집 긴결재(보타이) 불량품 교체를 위하여 이동하던 중 실족하여 지하 1층 바닥으로 떨어져 사망</t>
  </si>
  <si>
    <t>추락 방지조치 미실시한 상태의 시스템동바리 수평연결재에 설치된 작업발판에서 보 거푸집 긴결재 불량품 교체를 위하여 이동하던 중 실족하여 근로자 추락</t>
  </si>
  <si>
    <t>2020년  5월</t>
  </si>
  <si>
    <t>2020년  5월경 OO건설(주) OO신축공사 현장에서, 하도급업체 소속 재해자가 지하 1층 바닥슬래브 거푸집 설치 작업 중 슬래브 설치 예정 개구부에서 떨어진(H≒3.5m) 후 병원에 후송되어 치료 중 사망한 재해임.</t>
  </si>
  <si>
    <t>2020년 8월경 OO건설(주) OO신축공사 현장에서 협력업체 소속 재해자가 지하 3층 기계실 벽체거푸집의 마무리 고정 작업을 하기 위해 강관파이프(D=48.6mm, L=4m) 위에서 작업을 하던 중 몸의 균형을 잃고 약 2.5m 아래 콘크리트 바닥으로 떨어져 사망</t>
  </si>
  <si>
    <t>2020년 9월경 OO건설(주) OO아파트 건설공사 현장에서 OO동 후면 지하주차장 상부 슬래브 거푸집의 하부 강관 동바리 보강작업 중, 기 설치된 슬래브 거푸집이 넘어지면서 하부 작업자 3명이 깔림</t>
  </si>
  <si>
    <t>2020년 10월경 시설물연간유지보수공사 현장의 OO고속도로 내에서 재해자가 비탈면 계단식 옹벽 7단 상부에서 8단 거푸집을 설치하던 중 거푸집과 함께 옹벽 하단부(H:10.5m)로 추락하여 사망</t>
  </si>
  <si>
    <t>거푸집 조립시 구조검토에 의한 조립도 미작성, 거푸집 전도방지조치 미실시한 상태로 비탈면 계단식 옹벽 상부에서 거푸집을 설치하던 중 거푸집이 탈락하여 옹벽 하단부로 추락</t>
  </si>
  <si>
    <t>2020년 10월경 (주)00건설 근린생활시설 신축공사 현장에서 재해자가 지상2층 엘리베이터 피트 벽체거푸집 작업을 하던 중 가설 작업발판 상부에서 바닥으로 추락(H≒2m)하여 사망</t>
  </si>
  <si>
    <t xml:space="preserve">추락 방지조치 미실시한 상태에서 상부층 엘리베이터 피트 벽체거푸집 작업 중 가설 작업발판 상부에서 바닥으로 근로자 추락 </t>
  </si>
  <si>
    <t>2020년 11월경 (주)OO건설에서 시공하는 OO오피스텔 현장에서 협력업체 소속 재해자가 지하4층 자재반출구 내부에 임시로 설치된 작업발판 위에서 기둥 거푸집 지지대(일명: 밴드)를 설치하던 중 중간난간대가 난간기둥에서 탈락하여 지하 6층 바닥(h≒10m)으로 추락하여 사망</t>
  </si>
  <si>
    <t>안전난간의 설치요건 및 개구부 방호조치 미실시한 상태에서 지하층 자재반출구 내부에 임시로 설치된 작업발판 위에서 기둥 거푸집 지지대 설치 중 중간난간대가 난간기둥에서 탈락하여 근로자 추락</t>
  </si>
  <si>
    <t>2020년 11월경 개인 근린생활시설 신축공사 현장에서 재해자가 경사지붕 슬래브 거푸집 설치 작업 중 경사지붕에서 지상 2층 콘크리트 바닥으로 떨어져(H≒2.8m) 사망</t>
  </si>
  <si>
    <t>2020년 11월경 OO건설㈜ 공장 신축공사 현장에서 재해자 2명이 2층에서 데크플레이트 설치 작업 중 1층 바닥(H≒3.8m)으로 떨어져 각각 부상</t>
  </si>
  <si>
    <t>2020년 12월경 OO건설(주) OO근린생활 신축공사 현장에서 재해자가 지하 1층의 기둥 및 옹벽 콘크리트타설 준비를 위해 지하 1층으로 진입하여 작업 전 확인점검 과정에서 콘크리트 바닥으로 넘어져서 사망</t>
  </si>
  <si>
    <t>작업이동 통로 설치상태 불량한 상태에서 기둥 및 옹벽 콘크리트타설 준비를 위해 거푸집 조립상태를 점검하던 중 중심을 잃고 콘크리트 바닥으로 넘어짐</t>
  </si>
  <si>
    <t>▶ 이동통로 설치시 전도 및 넘어짐 위험조치 실시
▶ 근로자 이동통로에 자재 등 적치 금지</t>
  </si>
  <si>
    <t>2020년 12월경 OO건설(주) OO오피스텔신축공사 현장에서 협력업체  소속 재해자가 지상2층 바닥 보 거푸집 설치작업 중 높이 약 3.2m아래 콘크리트바닥으로 떨어져 사망</t>
  </si>
  <si>
    <t>2021년 1월경 (주)OO건설에서 시공 중인 OO정비사업 현장에서, 재해자 가 지상 1층과 지하 1층을 연결하는 계단참 바닥 거푸집 설치 작업 중 알 수 없는 이유로 쓰러져 사망</t>
  </si>
  <si>
    <t>지상층과 지하층을 연결하는 계단참 바닥 거푸집 설치 작업 중 알 수 없는 이유로 쓰러짐</t>
  </si>
  <si>
    <t>2021년 2월경 OO건설(주) OO신축공사현장 8층에서 하청업체 소속 재해자(형틀공)가 시스템동바리 멍에재 이어받기 작업 위치로 이동하기 위해 램프 바닥에서 비계 외측으로 이동하여 작업발판이 있는 내측으로 진입하는 과정에 몸의 중심을 잃고 2층 바닥(높이≒ 23.4미터)으로 추락하여 사망</t>
  </si>
  <si>
    <t>2021년 2월경 OO건설(주)에서 시공하는 OO신축공사 현장에서 협력업체  소속 재해자가 사다리에 올라가 지하1층 보 측면 거푸집에 못 고정작업을 마치고 내려오던 중(추정) 약 1.5~2m 아래 콘크리트 바닥으로 떨어져 사망</t>
  </si>
  <si>
    <t>추락 방지조치 미실시한 상태에서 사다리에 올라가 지하층 보 측면 거푸집에 못 고정작업을 마치고 내려오던 중 추락</t>
  </si>
  <si>
    <t>▶ 추락 위험이 있는 장소에서의 작업 시 비계 조립 등의 방법으로 작업발판과 작업발판 단부에 안전난간 설치
▶ 이동식 사다리를 작업에 사용 시 경작업에만 A형 사다리의 형태로 사용하고, 일자로 핀 경우 이동통로만으로 사용 
▶ 사다리 작업지침 준수</t>
  </si>
  <si>
    <t>2021년 3월경 OO개발(주)에서 시공 중인 OO신축공사 현장에서, 재해자가 지하 1층 개구부에서 13m아래의 지하4층 바닥(발전기실)으로 추락하여 사망</t>
  </si>
  <si>
    <t>2021년 4월경 OO신축공사 현장에서 재해자가 기계식주차장 개구부(5.8m×3.0m)에 설치된 시스템동바리의 멍에 교체를 위해 이동 중, 지하 3층 바닥(H≒10.0m)으로 떨어져 사망</t>
  </si>
  <si>
    <t>2021년 5월경 OO신축공사 현장 3층 정면 외부 시스템비계 작업발판에서 1층 바닥(H=7.7m)으로 떨어져 사망</t>
  </si>
  <si>
    <t>2021년 5월경 OO건설(주) OO근린생활시설 신축공사 현장에서 재해자가 구조물 지상 3층 외벽 거푸집 조립을 위해 외부비계상에서 작업중 작업발판상에서 실족하여 높이 11.3m 지상 바닥 아래로 추락하여 사망</t>
  </si>
  <si>
    <t>2021년 5월경 (주)OO건설에서 시공 중인 OO신축공사 현장에서, 재해자가 지상 2층 보 거푸집 설치작업 중 3.5m 아래로 추락하여 사망</t>
  </si>
  <si>
    <t>2021년 6월경 재해자가 지하4층 기계식주차장(H≒8.75m) 시스템동바리 최상단 수평재를 밟고 서서 멍에재를 옮기는 작업 중, 자재를 전달받고 몸을 돌리는 순간 약 7.3m 아래 콘크리트 바닥으로 떨어져 사망</t>
  </si>
  <si>
    <t>2021년 9월경 OO주상복합 신축공사 현장에서 협력업체 소속 재해자가 지상4층 주차장 우수조 기계실 벽체거푸집(H≒7.2m) 조립 후 긴결재(Flat Tie) 설치 작업 중 바닥(H≒5.5m)으로 떨어져 사망</t>
  </si>
  <si>
    <t>2021년 11월경 OO건설㈜ OO빌딩신축공사 현장에서 재해자가 지상2층 바닥 보 거푸집 상부에서 측면거푸집 수정(해체)작업 중 지상1층 바닥(H≒3.6m)으로 떨어져 사망</t>
  </si>
  <si>
    <t>2.1.3 거푸집 동바리 해체</t>
  </si>
  <si>
    <t>2015년 12월경 OO고속철도현장에서 협력업체 소속 재해자 2명이 수직구와 본선터널을 연결하는 횡갱 터널의 풍도(지하 공기를 순환 시키는 용도의 통로) PC 슬래브 하부 동바리를 해체 하던 중, 상부의 PC 슬래브가 붕괴되면서 매몰되어 1명 사망, 1명 부상</t>
  </si>
  <si>
    <t>콘크리트 양생기간 미준수한 상태에서 수직구와 본선터널을 연결하는 횡갱 터널의 풍도(지하 공기를 순환 시키는 용도의 통로) PC 슬래브 하부 동바리를 해체 하던 중, 상부의 PC 슬래브가 붕괴되면서 깔림</t>
  </si>
  <si>
    <t>▶ 동바리 해체 작업 시 슬래브 붕괴를 예방하기 위해 잭 서포트 설치 등 구조 보강 후 작업진행
▶ 동바리 해체 작업 시 슬라브의 구조 등과 같은 정보를 사전에 검토하여 적절한 작업방식을 수립 후 작업진행</t>
  </si>
  <si>
    <t>2016년 4월경 OO건설(주)에서 시공하는 도로공사 현장에서 재해자가 교각 1번 코핑 거푸집 해체작업 중 코핑 거푸집이 구조물과 분리되어 재해자가 코핑 거푸집과 함께 바닥으로 떨어져(H≒30m) 사망</t>
  </si>
  <si>
    <t>갱폼 작업시 안전조치사항을 미준수한 상태에서 옥탑층 갱폼 해체작업 중 갱폼이 외벽으로부터 탈락되어 근로자 추락</t>
  </si>
  <si>
    <t>▶ 갱폼을 해체ㆍ인양 작업을 하는 경우 갱폼을 인양장비에 매단 후 작업 실시
▶ 인양장비에 매달기 전에는 지지 또는 고정철물을 미리 해체하지 않도록 준수 
▶ 추락위험이 있는 구간에는 추락방호망, 안전난간 설치 또는 및 안전대 착용후 작업</t>
  </si>
  <si>
    <t>2016년 4월경 OO건설 주식회사 OO신축공사 현장에서  협력업체 소속 재해자가 띠장 4단 사각강관 버팀보(350mm×350mm×9t, L=34m(11m+11m+12m), W=3.33t) 하부에서 거푸집 정리작업을 하던 중 해체 준비 중이던 사각강관 버팀보가 떨어지면서 머리부위를 맞아 사망</t>
  </si>
  <si>
    <t>낙하물 위험구간 출입금지 미실시한 상태에서 띠장 버팀보 하부에서 거푸집 정리작업을 하던 중 해체 준비 중이던 사각강관 버팀보가 떨어지면서 머리에 맞음</t>
  </si>
  <si>
    <t>▶ 흙막이가시설 해체작업시 작업계획서 작성 및 준수
▶ 버팀보도 등 인양 단위부재에 줄걸이를 체결한 후 볼트 제거, 인양 하는 등 단계적으로 작업 실시
▶ 해체작업을 하는 장소에는 관계 근로자가 아닌 근로자 출입을 금지 철저</t>
  </si>
  <si>
    <t>2016년 7월경 OOOO(주) / OO사면보강공사 현장에서 재해자가 계단식 옹벽 상부에서 거푸집 해체 작업 중  몸의 중심을 잃고 약 7.0m 아래 지상 바닥으로 떨어져 사망</t>
  </si>
  <si>
    <t>추락방지조치 미실시한 상태에서 거푸집 일부 해체작업 중 중심을 잃고 근로자 추락</t>
  </si>
  <si>
    <t>▶ 경사진 바위나 이끼 등 평탄치 않은 곳에서의 작업 시 비계 조립등의 방법으로 작업발판 설치
▶ 추락위험이 있는 구간에는 추락방호망, 안전난간 설치 또는 및 안전대 착용후 작업</t>
  </si>
  <si>
    <t>2016년 8월경 OO건설(주) OO현장에서 재해자가 TETRANEO(방파제 보호블럭) 제작장에서 철제 거푸집 해체작업을 하던 중 해체중이던 거푸집에 깔려 사망</t>
  </si>
  <si>
    <t>낙하 , 붕괴 등 위험조치 미실시한 상태에서 거푸집 해체 작업에서 장선재를 받치고 있던 파이프 서포트의 방향을 조절하던 중 상부 해체 자재가 낙하하여 근로자 가격</t>
  </si>
  <si>
    <t>▶ 거푸집동바리 조립하거나 해체하는 작업 시 낙하에 의한 재해를 방지하기 위해 순차적으로 파이프 써포트를 제거하면서 부분적으로 해체 
▶ 버팀목을 설치하여 전도 및 낙하물에 의한 사고 예방 조치 실시 
▶ 해체작업을 하는 장소에는 관계 근로자가 아닌 근로자 출입을 금지 철저</t>
  </si>
  <si>
    <t>2016년 9월경 재해자가 OO건설에서 시공하는 OO신축공사 현장 1층에서 알미늄폼 해체작업을 하던 중 약 2.8m 높이의 보 하부 거푸집을 제거하는 작업을 수행 중에 시스템동바리에 임시로 설치한 작업발판이 고정되지 않아 흔들리면서 중심을 잃고 아래로 떨어져 사망</t>
  </si>
  <si>
    <t>추락 방지조치 미실시한 상태에서 지상층에서 알미늄폼 해체작업을 위해 상부층 보 하부 거푸집을 제거하는 작업 중 시스템동바리에 임시로 설치한 작업발판이 고정되지 않아 흔들리면서 중심을 잃고 떨어짐</t>
  </si>
  <si>
    <t>▶ 추락위험이 있는 구간에는 추락방호망, 안전난간 설치 또는 및 안전대 착용후 작업
▶ 작업발판 설치시 작업발판이 뒤집어지거나 떨어지지 않도록 견고히 고정</t>
  </si>
  <si>
    <t>2016년 9월경 OO건설(주) OO신축공사 현장에서 협력업체 소속의 재해자가 외부비계 위 작업발판에서 지상 3층 외벽 거푸집을 해체하던 중, 건물 외벽과 비계 사이의 개구부(길이1,700㎜ x 폭800㎜)를 통해 약 5.4m 아래의 지상 1층 콘크리트 바닥으로 추락하여 사망</t>
  </si>
  <si>
    <t>추락방지조치 미실시한 상태에서 외부비계 위 작업발판에서 지상층 외벽 거푸집 해체작업 중 건물 외벽과 비계 사이 개구부로 근로자 추락</t>
  </si>
  <si>
    <t>2016년 9월경 OO근생 및 다가구 주택 신축공사 현장에서 재해자가 지상 4층 높이에 설치된 외부 강관비계 작업발판 위에서 거푸집 해체 작업 중 바닥(H≒9.6)으로 떨어져 사망</t>
  </si>
  <si>
    <t>2016년 9월경 단독주택신축공사 현장에서 외부 계단슬래브 하부 거푸집동바리 해체작업 중이던 재해자가 무너져 내린 계단슬래브 구조물에 깔려 사망</t>
  </si>
  <si>
    <t>콘크리트 양생기간 미준수한 상태에서 거푸집동바리 해체작업 중 무너져 내려 깔림</t>
  </si>
  <si>
    <t>▶ 콘크리트 타설 후 양생기간을 준수하여 거푸집동바리 해체 실시
▶ 거푸집동바리 해체 작업 시 낙하에 의한 재해를 방지하기 위해 순차적으로 파이프 써포트를 제거하면서 부분적으로 해체
▶ 해체작업을 하는 장소에는 관계 근로자가 아닌 근로자 출입을 금지 철저</t>
  </si>
  <si>
    <t>2016년 10월경 OO다가구주택 신축공사 현장에서 재해자가 건물 5층 파라펫 내측 거푸집 해체작업 도중 몸의 균형을 잃고 떨어져 사망</t>
  </si>
  <si>
    <t>2016년 10월경 개인공장부지공사중 개인이 발주 받아 시공하는 OO 이전 및 부지 내 흙 성토작업 현장에서 근로자가 철근이 정착되지 않고 콘크리트만 타설(양생기간 5일)된 계단(무게 약 1.53ton, 끝단 높이 약 2.4m) 부위의 하부 거푸집을 제거하기 위해 거푸집 동바리를 해체 하던 중 옹벽에 붙어있던 경사 콘크리트 계단이 순간적으로 무너지면서 약 2m아래 하부에서 작업하던 재해자가 무너진 콘크리트계단에 협착 되어 사망</t>
  </si>
  <si>
    <t>콘크리트 붕괴 방지조치를 미실시한 상태에서 계단 하부 거푸집을 제거하기 위해 거푸집 동바리를 해체 하던 중 옹벽에 붙어 있던 경사 콘크리트 계단이 순간적으로 무너지면서 근로자가 무너진 콘크리트계단에 협착</t>
  </si>
  <si>
    <t xml:space="preserve">▶ 거푸집동바리 조립하거나 해체하는 작업 시 붕괴등의 재해를 방지하기 위해 순차적으로 파이프 써포트를 제거하면서 부분적으로 해체 
▶ 버팀목을 설치하여 낙하물에 의한 사고 예방 조치 실시 </t>
  </si>
  <si>
    <t>2016년 10월경 OO단독주택 리모델링 공사 현장에서 재해자가 1주일 전 타설한 콘크리트 계단의 거푸집 해체 작업을 위해 계단 하부를 지지하고 있던 강관 동바리를 제거하던 중 양생이 완료되지 않은 계단(H≒3.6m)이 무너지면서 재해자 하반신이 하부에 깔려 사망</t>
  </si>
  <si>
    <t>콘크리트 양생기간 미준수한 상태에서 콘크리트 계단의 거푸집 해체 작업을 위해 계단 하부를 지지하고 있던 강관 동바리를 제거하던 중 양생이 완료되지 않은 계단이 무너지면서 깔림</t>
  </si>
  <si>
    <t>▶ 동바리 해체 작업 시 콘크리트 붕괴를 예방하기 위해 잭 서포트 설치 등 구조 보강 후 작업진행
▶ 동바리 해체 작업 시 콘크리트의 구조 등과 같은 정보를 사전에 검토하여 적절한 작업방식을 수립 후 작업진행
▶ 동바리 해체 작업 시 콘크리트의 양생기간 준수</t>
  </si>
  <si>
    <t>2016년 11월경 OO다세대주택 신축공사 현장에서 재해자가 정화조 보호구조물 벽체 거푸집 해체작업 중 붕괴된 콘크리트 벽체와 토사에 깔려 사망</t>
  </si>
  <si>
    <t>2016년 12월경 OO산업(주) OO신축사업 현장에서 협력업체 소속 재해자가 아파트 정문의 비계 위에서 동바리 자재 정리 작업을 하던 중, 안전난간이 해체된 작업발판에서 약 6m 아래 지상 바닥으로 떨어져 사망</t>
  </si>
  <si>
    <t>안전난간이 해체된 비계 작업발판 상부에서 동바리 자재 정리작업 중 근로자 추락</t>
  </si>
  <si>
    <t>▶ 작업발판 단부로 근로자 추락 위험이 있는 장소에 대해 안전난간대 설치 
▶ 안전난간대 설치가 곤란할 경우 작업면으로부터 설치지점까지의 수직거리는 10m 이내에 추락방지망 설치</t>
  </si>
  <si>
    <t>2017년 1월경 OO근린생활시설 신축현장에서, 재해자가 건물 지상 2층 돌출 슬라브(Slab) 단부에서 거푸집(유로폼) 해체를 위해 유로폼 고정용 철선(6mm)을 절단하는 작업 중, 몸의 중심을 잃고 약 3.5m아래 콘크리트 바닥으로 떨어져 사망</t>
  </si>
  <si>
    <t>추락방지조치 미실시한 상태에서 지상층 돌출 슬라브 단부에서 거푸짐 해체를 위해 유로폼 고정용 철선 절단작업 중 중심을 잃고 추락</t>
  </si>
  <si>
    <t>▶ 돌출 슬라브 단부 등 추락 가능성이 있는 장소에서의 작업 시 쌍줄비계를 조립하는 방법으로 작업발판을 설치
▶ 추락위험이 있는 구간에는 추락방호망, 안전난간 설치 또는 및 안전대 착용후 작업</t>
  </si>
  <si>
    <t>2017년 4월경 (주)OO건설이 시공하는 OO공사 현장에서 재해자가 동료작업자 이정상과 함께 이동식비계를 이용하여 콘크리트 타설이 완료된 지상 1층 기둥 거푸집을 해체하던 중 이동식비계 3단 작업발판에서 2단 작업발판으로 내려가다가 3.6~5.4m 아래 지상1층 바닥으로 떨어져 사망</t>
  </si>
  <si>
    <t>근로자가 안전하게 통행할 수 통로표시를 하여야 하나 미실시한 상태에서 옥탑 엘리베이터 내부 외벽 거푸집 해체 및 정리작업 중 엘리베이터실 외부의 시스템 비계를 통해 지상층으로 내려가다 중심을 잃고 근로자 추락</t>
  </si>
  <si>
    <t>▶ 통로의 주요 부분에 통로 표시 및 작업장 내 모든 근로자들이 이를 인지하고 사용하도록 지시
▶ 추락위험이 높은 장소에 가설통로 설치 시 단부에 안전난간 설치
▶ 단부 및 개구부 등 추락위험이 있는 장소에서 작업 시 안전대 부착설비 설치 및 안전대 착용</t>
  </si>
  <si>
    <t>2017년 4월경 (주)OO건설에서 시공하는 OO공동주택 신축공사 현장에서 협력업체 소속 재해자가 엘리베이터실 내부(E/V Pit) 알루미늄 거푸집을 해체하여 작업발판(철근+합판구조)에 적재하던 중 작업발판을 지지하던 철근(D=13@300mm)이 벽체 콘크리트에서 탈락되며 지상 1층 바닥으로 떨어져(H≒35.8m) 사망</t>
  </si>
  <si>
    <t>엘리베이터실 내부 작업발판 지지구조 불량한 상태에서 엘리베이터실 내부 알루미늄 거푸집을 해체하여 작업발판에 적재하던 중 작업발판을 지지하던 철근이 콘크리트 벽체에서 탈락됨에 따라 근로자 추락</t>
  </si>
  <si>
    <t>▶ 엘리베이터실 내부 작업발판에 과다한 자재 적치 금지 
▶ 엘리베이터실 내부 작업발판 설치 시 지지 철근의 수평간격을 200mm 이내에 설치하되 적정한 묻힘 길이 확보
▶ 엘리베이터실 내부 작업발판 상부에서 거푸집 해체 작업 시 안전대 부착설비 설치 및 안전대 착용
▶ 해체 이후 하부에 10m 이내마다 추락방지망 설치</t>
  </si>
  <si>
    <t>2017년 5월경 (주)OO건설에서 시공하는 OO신축공사 현장에서 협력업체 (주)OO건설 재해자가 지상 5층 주계단실의 계단참 거푸집 해체작업을 위해 계단참에서 작업하던 중, 몸의 중심을 잃고 거푸집과 함께 4층 계단실 바닥으로 떨어져(H≒3~3.75m) 사망</t>
  </si>
  <si>
    <t>작업발판 설치 상태 미흡한 상태에서 보 거푸집 해체 작업 중 각재 상부에 올려놓은 거푸집을 밟는 순간 거푸집이 뒤집어짐에 따라 근로자 추락</t>
  </si>
  <si>
    <t>2017년 7월경 OO공동주택 신축공사 현장에서 재해자가 옥탑층 갱폼 해체작업 중 갱폼이 외벽으로부터 탈락되어 재해자가 갱폼과 함께 약 67m 아래 지상 콘크리트 바닥으로 떨어져 사망</t>
  </si>
  <si>
    <t>2017년 7월경 (주)OO에서 시공하는 OO공사 현장에서(주)OO소속 재해자가 통합제어실 보 거푸집 해체 작업 중 각재 상부에 올려놓은 거푸집을 밟는 순간 거푸집이 뒤집어지면서 높이 약 4.6m 아래 바닥으로 추락하여 사망</t>
  </si>
  <si>
    <t>낙하·비래방지조치 미흡한 상태에서 지상층 거푸집동바리 정리 및 운반작업 중 거푸집동바리 각재가 낙하 및 비래하여 낙하물방지망 끝부분에 튕긴 후 현장 건너편 인도와 도로사이 경계석에 앉아있던 근로자 가격</t>
  </si>
  <si>
    <t xml:space="preserve">▶ 낙하물에 의한 위험의 방지조치 기준을 철저히 준수하여 낙하물 방지망 설치
( 내민길이는 최소 2m이상으로 설치하되 가급적 3m 이상으로 설치)
▶ 낙하ㆍ비래 위험이 있는 현장주변에서 근로자가 휴식ㆍ이동ㆍ작업 중에는 반드시 안전모를 착용토록 관리 감독 철저 </t>
  </si>
  <si>
    <t>2017년 10월경 (주)OO건설 OO개선사업 현장에서 재해자가 콘크리트 벽체 거푸집 해체작업 중 넘어지는 콘크리트 벽체 구조물(중량 약 6.8톤)에 깔려 사망</t>
  </si>
  <si>
    <t>2017년 11월경 OO건설(주) OO신축공사 현장의 기존 건물 지하 1층 슬래브 단부(VOID구간)에서 철거업체 소속 재해자가 동료작업자와 잭써포트 위치 수정작업을 진행하던 중, 잭써포트가 쓰러지면서 재해자 다리에 걸려 몸의 중심을 잃고 잭써포트와 함께 지하 2층 바닥으로 추락(H≒3.95m) 하여 사망</t>
  </si>
  <si>
    <t>추락방지조치 미실시한 상태에서 지하층 슬래브 단부에서 잭써포트 위치 수정 작업 중 잭써포트가 쓰러지면서 근로자 다리에 걸려 중심을 잃고 잭써포트와 함께 아래층으로 추락</t>
  </si>
  <si>
    <t>▶ 슬래브 단부에 잭써포트 및 근로자의 하중을 견딜 수 있는 안전난간 및 안전방망 설치
▶ 잭써포트 해체·설치 작업에 있어 인력 작업 지양 및 집게 장착 소형 굴삭기 등 장비 사용 권장</t>
  </si>
  <si>
    <t>2018년 1월경 OO인테리어 공사 현장에서 재해자가 지하1층 한증막 황토 슬래브를 지지하고 있던 목재 거푸집동바리를 해체하던 중 붕괴되는 황토 슬래브에 깔려 사망</t>
  </si>
  <si>
    <t>낙하 , 붕괴 등 위험조치 미실시한 상태에서 지하층 한증막 황토 슬래브를 지지하고 있던 목재 거푸집동바리를 해체하던 중 붕괴되는 황토 슬래브에 근로자 깔림</t>
  </si>
  <si>
    <t>▶ 양생기간을 준수하여 거푸집동바리 해체 실시
▶ 거푸집동바리 해체 작업 시 낙하에 의한 재해를 방지하기 위해 순차적으로 파이프 써포트를 제거하면서 부분적으로 해체
▶ 해체작업을 하는 장소에는 관계 근로자가 아닌 근로자 출입을 금지 철저</t>
  </si>
  <si>
    <t>2018년 3월경 (주)OO건설 OO공원 조성사업 현장에서 재해자가 도교 기초(가로 4.5m × 세로 3.6m × 높이 5m) 측면에서 거푸집(유로폼) 해체 작업 중 바다(수심≒3m)로 추락하여 익사</t>
  </si>
  <si>
    <t>2018년 5월경 (주)OO건설에서 시공중인 OO신축공사 현장에서 협력업체  소속 재해자가 지하2층 외벽에 설치된 거푸집의 연결핀 해체작업을 하던 중, 굴착사면의 토사(약 5.6톤)가 무너지면서 깔려 사망</t>
  </si>
  <si>
    <t>붕괴ㆍ낙하에 의한 위험 방지 미실시한 상태에서 지하층 외벽에 설치된 거푸집의 연결핀 해체작업 중 굴착사면의 토사가 무너지면서 근로자 깔림</t>
  </si>
  <si>
    <t>▶ 지반은 안전한 경사로 하고 낙하의 위험이 있는 토석을 제거하거나 옹벽, 흙막이 지보공 등 설치
▶ 지반의 붕괴, 구축물의 붕괴 또는 토석의 낙하 등에 대한 위험이 있을 경우 사전 조사후 방지조치 실시</t>
  </si>
  <si>
    <t>2018년 6월경 OO다가구주택 신축공사 현장에서 형틀목공인 재해자가 옥탑 계단실 내 벽체 거푸집을 해체하기 위해 파이프 서포트(2열 설치, 폭17cm)를 작업발판 용도로 약80cm 높이에 설치한 후 그 위에 올라가 거푸집(유로폼:600×1200mm) 고정핀을 해체하던 중 몸의 균형을 잃고 인접 돌음계단 사이의 개구부(800×800mm)를 통해 13M 아래 1층 바닥으로 떨어져 사망</t>
  </si>
  <si>
    <t>옥탑 계단실 내 벽체 거푸집 해체를 위해 작업발판을 설치하지 않고 파이프 서프트를 작업발판 용도로 설치 후 그 위에 올라가 거푸집 고정핀을 해체하던 중 균형을 잃고 인접 돌음계단 사이 개구부로 근로자 추락</t>
  </si>
  <si>
    <t>▶ 추락 위험이 있는 장소에서의 작업 시 비계 조립 등의 방법으로 작업발판과 작업발판 단부에 안전난간 설치
▶ 작업장소 주변에 돌음계단 및 개구부 등이 있을 때에는 추락을 방지할 수 있도록 안전난간과 추락방지망 설치또는 및 안전대 착용후 작업</t>
  </si>
  <si>
    <t>2018년 7월경 OO단독주택 신축공사 현장에서, 재해자가 화장실 벽체 거푸집을 해체하기 위해 거푸집 면판 보강재(L 형강)를 밟고 올라가 거푸집 연결핀(Wedge pin, 유로폼 조립용 부속자재)을 제거하던 중, 몸의 중심을 잃고 약 1.0m 아래 콘크리트 바닥으로 떨어져 사망</t>
  </si>
  <si>
    <t>작업발판 미설치한 상태에서 화장실 벽체 거푸집을 해체하기 위해 거푸집 면판 보강재를 밟고 올라가 거푸집 연결핀을 제거하던 중 중심을 잃고 근로자 추락</t>
  </si>
  <si>
    <t>▶ 거푸집 해체작업 시 안전한 작업을 위해 말비계 등 기준에 적합한 작업발판 설치
▶ 추락위험이 있는 구간에는 추락방호망, 안전난간 설치 또는 및 안전대 착용후 작업</t>
  </si>
  <si>
    <t>2018년 11월경 OO건설(주) OO신축공사 현장 지하6층에서 협력업체 소속 재해자가 벽/기둥 형틀 해체 구간의 떨어진 콘크리트 잔재물을 슬리브덮개를 밟고 청소작업 중 지하 7층 바닥(높이 약 6.3m)으로 추락하여 사망</t>
  </si>
  <si>
    <t>개구부 방호조치 미흡한 상태에서 벽/기둥 형틀 해체 구간의 떨어진 콘크리트 잔재물을 슬리브덮개를 밟고 청소작업 중, 근로자 추락</t>
  </si>
  <si>
    <t xml:space="preserve">▶ 견고한 개구부 덮개 설치 및 개구부 위험표지 부착
▶ 이동식 조명 사용을 통한 적정 조도 확보
▶ 작업방법/안전 교육 실시 및 관리감독 철저 </t>
  </si>
  <si>
    <t>2019년 1월경 단독주택 신축공사 현장에서, 재해자가 건물 2층 테라스 단부에서 각재(해체거푸집 자재)를 지상 바닥으로 던져서 내리던 중 건물 외벽과 외부 강관비계 사이 지상1층 콘크리트 바닥으로 떨어져(H≒3.2m) 사망</t>
  </si>
  <si>
    <t>추락방지조치 미실시한 상태에서 테라스 단부에서 각재(해체거푸집 자재)를 지상 바닥으로 던져서 내리던 중 건물 외벽과 외부 강관비계 사이로 추락</t>
  </si>
  <si>
    <t xml:space="preserve">▶ 추락위험이 있는 구간에는 추락방호망, 안전난간 설치 또는 및 안전대 착용후 작업
▶ 해체 자재 정리시 던지지 않고 안전한 작업방법으로 실시 </t>
  </si>
  <si>
    <t>2019년 2월경 OOOO㈜ OO공장 신축공사 현장에서 협력업체 소속 재해자가 외부 강관쌍줄비계 작업발판(2단) 상부에서 건물 벽체 거푸집(유로폼) 해체 작업 중 몸의 중심을 잃고 약 4.7m 아래 콘크리트 바닥으로 떨어져 사망</t>
  </si>
  <si>
    <t>2019년 4월경 OOOO(주)가 시공하는 고속국도 현장에서 협력업체 소속 재해자가 OO2교 P2 코핑 상부에서 이동식 크레인(110ton)에 매단 좌측 코핑 거푸집 해체 작업 중, 우측 코핑 거푸집이 탈락되면서 높이 약 17.4m에서 떨어져 사망</t>
  </si>
  <si>
    <t>2019년 6월경 (주)OO건설이 시공중인 OO주상복합 현장에서 협력업체  소속 재해자가 지하1층 정화조 관리실 슬래브 거푸집 해체 작업 중, 장선재를 받치고 있던 파이프 써포트의 방향을 조절하던 중, 각재(장선,멍에)가 낙하하여 재해자의 등 부위를 타격하여 사망</t>
  </si>
  <si>
    <t>낙하 , 붕괴 등 위험조치 미실시한 상태에서 지하층 정화조 관리실 슬래브 거푸집 해체 작업에서 장선재를 받치고 있던 파이프 서포트의 방향을 조절하던 중 상부 해체 자재가 낙하하여 근로자 가격</t>
  </si>
  <si>
    <t>2019년 6월경 (주)OO이 시공중인 OO단독주택 현장에서 협력업체 소속 재해자가 지상2층 보 거푸집(0.86m×5.3m, 약 82kg) 해체 작업 중, 떨어지는 보 거푸집에 머리와 상체 등을 맞아 사망</t>
  </si>
  <si>
    <t>2019년 6월경 OO건설(주)에서 시공중인 OO빌딩신축공사 현장에서 협력업체 소속 재해자가 단독으로 지하1층 계단실 자재 정리·정돈 또는 청소작업 중, 몸의 중심을 잃고 지하1층 계단참으로 떨어져(H≒2.0m) 사망</t>
  </si>
  <si>
    <t>넘어지거나 미끄러지는 등 위험조치 미실시한 상태에서 지하층 계단실 자재 정리정돈 또는 청소작업 중 중심을 잃고 근로자 추락</t>
  </si>
  <si>
    <t>▶ 추락위험이 있는 구간에는 추락방호망, 안전난간 설치 또는 및 안전대 착용후 작업
▶ 작업장에서 넘어지거나 미끄러지는 등 위험이 없도록 작업장 바닥 등을 안전하고 청결한 상태로 유지 후 작업 시행</t>
  </si>
  <si>
    <t>2019년 10월경 OOOO(주)에서 시공하는 OO신축공사 현장에서 지상 10층 1,2구간을 연결하는 통로의 시스템동바리 해체 작업을 실시하던 중 재해자가 약 4M 아래 지상 9층 바닥으로 추락하여 사망</t>
  </si>
  <si>
    <t xml:space="preserve"> 2019년 11</t>
  </si>
  <si>
    <t xml:space="preserve"> 2019년 11월경 OO건설 OO주택신축 공사 현장에서 재해자가 이동식 사다리 위에서 천장에 있던 합판 거푸집 해체 작업을 하던 중 몸의 중심을 잃고 약 2m 아래 콘크리트 바닥으로 떨어져 사망</t>
  </si>
  <si>
    <t>작업발판 미설치한 상태에서 이동식 사다리 위에서 천장에 있던 합판 거푸집 해체 작업 중 중심을 잃고 근로자 추락</t>
  </si>
  <si>
    <t xml:space="preserve">▶ 추락 위험이 있는 장소에서의 작업 시 비계 조립 등의 방법으로 작업발판과 작업발판 단부에 안전난간 설치
▶ 이동식 사다리를 작업에 사용 시 경작업에만 A형 사다리의 형태로 사용하고, 일자로 핀 경우 이동통로만으로 사용 </t>
  </si>
  <si>
    <t>2019년 12월경 (주)OO건설이 시공하는 OO현장에서 재해자 2명이 수로암거 내부에서 상부 슬래브 합판거푸집을 해체하던 중 거푸집이 콘크리트면과 분리되어 떨어지면서(H=1.5m) 거푸집 하부에 위치하고 있던 재해자 2명이 협착되어 1명 사망, 1명 부상</t>
  </si>
  <si>
    <t>2020년 1월경 (주)OO에서 시공하는 OO아파트 신축공사 현장에서 협력업체 소속 재해자가 OO동 옥탑층(지상25층 부위) 외부에 설치된 갱폼을 해체하기 갱폼 내부에서 벽체에 고정된 갱폼 지지용 고정볼트를 해체하고 이동하는 중 갱폼이 벽체와 분리되면서 발생한 개구부로 떨어져 지상 4층 높이의 1단 낙하물방지망(H≒53m)에 충돌 후 지상2층 높이의 캐노피(H≒9m, 총 추락H≒62m)로 추락하여 사망</t>
  </si>
  <si>
    <t>2020년 2월경 OO신축현장에서 재해자가 3층 천정 거푸집 동바리 등을 해체하기 위해 거푸집을 지지하고 있던 강관 동바리를 제거하던 중, 상부에 조립되어 있던 거푸집(폼판넬, 합판, 장선, 멍에 등)이 떨어지면서 그 무게에 의해 강관 동바리가 미끄러져 넘어가 강관 동바리의 상단받침판이 재해자의 이마를 타격하여 사망</t>
  </si>
  <si>
    <t>2020년 3월경 OO건설(주) OO방파제공사 현장에서 방파제(호안도로) 옹벽 측면 계단 거푸집 일부를 재해자가 해체작업을 하던 중 몸의 중심을 잃고 실족 익사하여 사망</t>
  </si>
  <si>
    <t>2020년 5월경 OO건설(주)에서 시공 중인 OO근생시설현장에서 지상 8층 외벽 거푸집 해체작업을 하던 재해자가 콘크리트 구조물과 작업발판 사이로 빠지며 지상 5층 작업발판으로 떨어져(H≒13m) 사망</t>
  </si>
  <si>
    <t>추락 방지조치 미실시한 상태에서 지상층 외벽 거푸집 해체작업 중 콘크리트 구조물과 작업발판 사이 개구부로 추락</t>
  </si>
  <si>
    <t>▶ 개구부 등 추락위험 장소에서 작업 시 개구부 덮개 설치 및 가시성 있는 표지판 설치
▶ 추락위험이 있는 구간에는 추락방호망, 안전난간 설치 또는 및 안전대 착용후 작업</t>
  </si>
  <si>
    <t>2020년 6월경 OOOO(주), (주)OOO에서 시공하는 OO공공주택 건설사업 현장에서 협력업체 소속 재해자가 아파트 OO동 옥상층 파라펫(L=10m, H=42cm) 거푸집 해체 작업을 위하여 갱폼 최상부 작업발판 위에서 작업 중 갱폼(2.3톤, 10.6m×3.2m)이 외벽에서 탈락하여 갱폼과 함께 아래로 떨어져(H≒30m) 사망</t>
  </si>
  <si>
    <t>2020년 8월경 OO건설(주)에서 시공하는 OO터널공사 현장에서 협력업체 소속 재해자가 교각 원형 철재거푸집 해체작업 과정에서 원형 철재거푸집에 부착된 수직사다리에서 볼트를 해체하는 순간 몸의 균형을 잃고 약 9.6m 아래 바닥으로 추락하여 사망</t>
  </si>
  <si>
    <t>2020년 8월경 (주)OO이 시공하는 근생시설신축공사 현장에서 재해자가 지상 7층 옥탑 E/V Pit 외벽 거푸집 해체 및 정리작업을 하던 중, 동료작업자의 요청으로 지상1층으로 자재(못)를 가지러 옥탑 E/V Pit 외부의 시스템비계(H≒3.8m)에서 내려가려다 몸의 중심을 잃고 옥탑층 Con‘c 바닥으로 추락하여 사망</t>
  </si>
  <si>
    <t>2020년 9월경 (주)OO건설이 시공하는 OO현장에서 협력업체 소속 재해자가 실습동 3층 외부계단에서 거푸집 해체작업 중 이동식크레인을 이용하여 3층으로 인양하던 철골부재(H형강 4개, L=9.2m, 총중량 3.3톤)가 떨어지며 가한 충격으로 휘어지던 수직철근(Ø25mm, L≒1.5m)에 머리를 맞고 사망</t>
  </si>
  <si>
    <t>낙하물 방지조치 미실시한 상태에서 지상층 외부계단에서 거푸집 해체작업 중 이동식크레인을 이용하여 같은층으로 인양하던 철골부재가 낙하하며 가한 충격으로 휘어지던 수직철근이 근로자 머리 가격</t>
  </si>
  <si>
    <t>▶ 이동식 크레인을 이용하여 철골부재를 인양하는 경우 사전에 근로자 출입 통제
▶ 철골부재 인양작업 시 낙하물 발생에 대비하여 작업 통제 신호수 배치</t>
  </si>
  <si>
    <t>2020년 9월경 OO공사 현장에서 협력업체 소속 재해자가 방호벽 거푸집 해체 작업 중 약 17m 아래 바닥으로 추락하여 사망</t>
  </si>
  <si>
    <t>2021년 3월경 OO건설(주) OO신축공사 현장에서 재해자가 이동식비계 상부에서 지하1층 보측면의 거푸집 지지물(Flat Tie) 제거작업후 내려오던중 바닥(H=1.5m)으로 떨어져 사망</t>
  </si>
  <si>
    <t>2.1.4 거푸집 동바리 인양</t>
  </si>
  <si>
    <t>2016년 5월경 OO다가구주택 현장에서 재해자가 지상 3층 외벽 대형 거푸집(5,010㎜ x 3,200㎜)을 지상 4층으로 인양하던 중 전도되는 대형 거푸집에 깔리며 지상 4층 슬래브 바닥에 돌출되어 있던 수직철근에 머리 부위를 찔려 사망</t>
  </si>
  <si>
    <t>중량물의 취급 작업방법 불량한 상태에서 지상층 외벽 대형 거푸집을 상부층으로 인양하던 중 전도되는 대형 거푸집에 깔리며 상부층 바닥에 돌출되어 있던 수직철근에 머리부위 찔림</t>
  </si>
  <si>
    <t>▶ 중량물 양중작업 시 안전성 확보를 위한 줄걸이 종류별 안전계수(율) 확보 및 줄걸이 방법, 줄걸이 안전성 검토
▶ 대형 거푸집 패널 조립 시 불량 재료 사용 금지</t>
  </si>
  <si>
    <t>2016년 7월경 (주)00건설 00청사 신축공사 현장에서 재해자가 지하2층 저수조의 시스템동바리 상부 합판 위에서 해체된 거푸집동바리(무폼타이 거푸집, 51.8kg)를 작업용 로프에 묶어 하부 바닥으로 내리던 중 시스템동바리 상부 합판 위에 산재된 자재에 걸려 넘어지면서 하부 바닥(H≒3.3m)으로 추락하여 사망</t>
  </si>
  <si>
    <t>추락 방지조치 미실시한 상태에서 지하층 저수조 시스템동바리 상부 합판 위에서 해체된 거푸집동바리를 작업용 로프에 묶어 하부 바닥으로 내리던 중 합판 주변 산재된 자재에 걸려 넘어지면서 근로자 추락</t>
  </si>
  <si>
    <t xml:space="preserve">▶ 추락위험이 있는 구간에는 추락방호망, 안전난간 설치 또는 및 안전대 착용후 작업
▶ 낙하 및 전도 등의 위험구간에서 자재 인양 및 운반시 근로자 출입 통제 </t>
  </si>
  <si>
    <t>2016년 8월경 OO근생신축공사 현장에서 협력업체 소속 재해자(사망자)외 4명은 3층 외벽에 설치된 대형 거푸집을 해체하여 4층에 조립하기 위하여 크레인으로 인양하던 도중 거푸집에 걸어두었던 슬링벨트가 탈락하면서 그 충격으로 건물 3층 높이의 외부 비계에서 작업하던 재해자가 약 15m아래 인근현장으로 추락하여 1명 사망, 1명 부상</t>
  </si>
  <si>
    <t>대형폼 등 중량물 취급 작업계획서 미작성한 상태에서 지상층 외벽에 설치된 대형 거푸집 해체 후 다른층 조립을 위해 인양 중 거푸집에 걸어두었던 슬링벨트 탈락 시의 충격으로 외부 비계에서 작업하던 근로자 추락</t>
  </si>
  <si>
    <t>▶ 대형폼 등 중량물 취급 작업 시 올바른 줄걸이 방법(수직/수평부재를 함께 엮어 매듭을 짓는 방법 등) 실시
▶ 건물 외부 비계 위와 같은 추락 위험 장소에서 작업 시 작업구간으로부터 가까운 지점에 작업발판 설치
▶ 작업발판 설치가 곤란한 경우 안전대 부착설비 설치 및 안전대 착용</t>
  </si>
  <si>
    <t>2016년 11월경 OO건설(주) OO신축공사 현장에서 이동식크레인(50t)으로 2층 거푸집공사용 유로폼 다발(60장)을 1층 도로변에서 벨트로프 줄걸이 2개소를 묶고 들어 올려 운반하던 중 묶음 다발 최상단 모서리 유로폼 1개(10㎏)가 높이 약 4m에서 떨어져 약 2m 거리에서 서포트 등 자재 정리를 하고 서서 쉬고 있던 재해자 얼굴 측면을 가격하여 사망</t>
  </si>
  <si>
    <t>낙하물 방지조치 미실시한 상태에서 이동식크레인으로 거푸집공사용 유로폼 다발 운반 중 유로폼 낙하로 근로자 가격</t>
  </si>
  <si>
    <t>▶ 자재 인양 시 화물경로에 대해 사전에 모든 근로자의 작업 및 출입 통제
▶ 인양화물 이탈 및 분리 방지를 위해 달포 등을 사용하여 견고히 고정
▶ 자재인양함 사용</t>
  </si>
  <si>
    <t>2017년 6월경, OO건설(주)가 시공하는 OO현장에서 재해자가 강재거푸집을 인양·하역 작업 중 인양용 섬유로프가 파단되면서 낙하하는 강재거푸집에 깔려 사망</t>
  </si>
  <si>
    <t>인양용 자재 관리 불량한 상태에서 강재거푸집을 인양 및 하역 작업 중 인양용 섬유로프가 파단됨에따라 강재거푸집 낙하 연이어 근로자 깔림</t>
  </si>
  <si>
    <t>▶ 작업 전 인양용 섬유로프 점검 및 인양허용하중 이내 사용
▶ 차량용 건설기계인 굴삭기는 주 용도 외에 사용 금지</t>
  </si>
  <si>
    <t>2018년 4월경 OO건설의 신축공사 현장에서 재해자가 지상12층 엘리베이터 샤프트에 작업발판(파이프서포트+각재+합판)을 설치한 상태에서 벽체용 거푸집을 해체하여 적재한 후 타워크레인을 이용하여 양중하기 위하여 줄걸이를 걸어주는 순간, 적재된 벽체용 거푸집의 무게를 버티지 못하고 작업발판이 무너지면서 재해자가 지하1층 바닥으로 떨어져(H≒40m) 사망</t>
  </si>
  <si>
    <t>과도한 중량의 거푸집을 비계 작업발판에 적재하여 비계 작업발판이 붕괴되면서 주변 작업자가 추락</t>
  </si>
  <si>
    <t>2019년 9월경 OO신축공사 현장에서 재해자가 지상1층 보 거푸집을 설치하기 위하여 보 하부거푸집 상부에 서서 보 측판거푸집 인양작업을 보조하던 중 몸의 중심을 잃고, 지상1층 바닥(H≒2.85m)으로 떨어져 사망</t>
  </si>
  <si>
    <t>추락 방지조치 미실시한 상태에서 지상층 보 거푸집을 설치하기 위해 보 하부거푸집 상부에 서서 보 측판거푸집 인양작업 보조 중 중심을 잃고 근로자 추락</t>
  </si>
  <si>
    <t>▶ 추락 위험 장소에서의 작업 시 작업발판 설치 및 추락방호망 설치
▶ 추락방호망 설치가 곤란한 경우 안전대 부착설비 설치 및 안전대 착용</t>
  </si>
  <si>
    <t>2020년 4월경 (주)OO건설 OOOO신축공사 현장에서 재해자 2인이 지하 2층 보 거푸집 설치를 위해 타워크레인으로 양중한 보 거푸집 위에서 양중 로프를 해체하던 중 로프가 덜 풀어진 상태에서 상승하면서 매달린 보 거푸집이 기울어져 몸의 중심을 잃고 바닥으로 떨어져(H=3.9m) 부상(3개월이상 요양)</t>
  </si>
  <si>
    <t xml:space="preserve">지하층 보 거푸집 설치를 위해 타워크레인으로 양중한 보 거푸집 위에서 양중 로프를 해제하던 중 로프가 덜 풀어진 상태에서 상승하면서 매달린 보 거푸집이 기울어져 중심을 잃고 근로자 추락 </t>
  </si>
  <si>
    <t>2.2 갱폼 작업</t>
  </si>
  <si>
    <t>2.2.1 갱폼 자재반입</t>
  </si>
  <si>
    <t>2016년 5월경 (주)OOOO 근린생활시설 신축공사 현장에서 크레인(무인,2.9Ton)으로 1톤 마대에 담긴 자재(갱폼 고정볼트, 중량 약 350kg)를 이동시키는 과정에서, 샤클에 연결된 마대의 인양걸이가 풀리며 마대가 약 2m 높이에서 떨어져 재해자와 충돌하여 사망</t>
  </si>
  <si>
    <t>중량물 취급 방법 불량한 상태에서 크레인을 사용하여 1톤 마대에 담긴 자재 인양 중 샤클에 연결된 마대의 인양걸이가 풀려 추락 후 근로자 타격</t>
  </si>
  <si>
    <t>▶ 철재로 된 볼트 자재 등 중량물 운반 시 철재 제작 인양함 사용 및 과적 금지
▶ 크레인을 이용하여 자재 인양 등 중량물 취급작업 시 사전에 근로자 출입 통제</t>
  </si>
  <si>
    <t>2.2.2 갱폼 조립</t>
  </si>
  <si>
    <t>2016년 10월경 OO개발(주) 주상복합빌딩 신축공사 현장에서 재해자가 지상6층 갱폼 모서리 벌어진 구간 철선으로 조이는 작업후 갱폼 수직재(각파이프)를 잡고 내려오는 중 지상으로 약22m 바닥으로 떨어져 사망</t>
  </si>
  <si>
    <t>추락 방지조치 미실시한 상태에서 지상층 외벽 모서리 갱폼 연결부위의 벌어진 틈을 철선으로 조이는 작업 이후 갱폼 수직재(각파이프)를 잡고 내려오는 중 떨어짐</t>
  </si>
  <si>
    <t>▶ 통로의 주요 부분에 통로 표시 및 작업장 내 모든 근로자들이 이를 인지하고 사용하도록 지시
▶ 추락위험이 높은 장소에 가설통로 설치 시 단부에 안전난간 설치</t>
  </si>
  <si>
    <t>2018년 8월경  OO기업(주) 방조제공사 현장에서, 협력업체 소속 재해자가 통선문 클라이밍 발판과 발판 사이에 발판을 설치하기 위해 발판사이에 작업발판을 얹어 놓고, 설치해야 할 작업발판을 밟은 상태에서 철선을 이용하여 작업발판과 발판을 연결하려던 중, 갑자기 작업발판이 빠지면서 작업발판과 함께 콘크리트 바닥(H≒7.0m)으로 떨어져 사망</t>
  </si>
  <si>
    <t>추락 방지조치 미실시한 상태에서 통선문 클라이밍 발판과 발판 사이에 발판을 설치하기 위해 발판사이에 작업발판을 얹어놓고, 설치해야 할 작업발판을 밟은 상태에서 작업발판과 발판을 연결하려던 중 작업발판 탈락으로 근로자 추락</t>
  </si>
  <si>
    <t>▶ 클라이밍 발판과 발판 사이에 작업발판을 설치하는 작업 시 걸침걸이 지지부 확보
▶ 작업발판 설치 작업 시 추락방지를 위해 가급적 기 설치된 발판을 밟고 작업
▶ 작업발판 설치 시 안전대 부착설비 설치 및 안전대 착용</t>
  </si>
  <si>
    <t>2019년 2월경 OO건설(주)에서 시공하는 아파트 신축공사 현장 옥상(6층)에서 갱폼의 수평부재 용단작업을 하던 중 발생된 불티에 의해 1층에 놓여있던 부직포에 화재가 발생하고, 1층 천장의 단열재와 비계 외부의 분진망으로 옮겨 붙은 화염에 대피하던 작업자들이 화상을 입어 1명이 치료 중 사망하고, 2명이 부상</t>
  </si>
  <si>
    <t xml:space="preserve">화재 위험 방지조치 미실시한 상태로 옥상에서 갱폼 수평부재 용단작업 중 발생된 불티에 의해 하부층의 부직포에 화재가 발생하고, 같은층 천장의 단열재와 비계 외부의 분진망으로 불이 확산되어 근로자 화상 </t>
  </si>
  <si>
    <t>▶ 용단작업 등 화재위험 작업 시 불티 비산방지 덮개, 용접방화포 등 설치
▶ 금속부재 절단 시 화재발생 위험이 적은 핸드그라인더 등 사용</t>
  </si>
  <si>
    <t>2.2.3 갱폼 인양, 설치</t>
  </si>
  <si>
    <t>2016년 10월경 OO리조트 신축공사 현장에서 타워크레인 임대 업체인 소속 재해자가 타워크레인 설치 상태를 확인하기 위하여 타워크레인 지브의 트롤리 작업대(가동장치 유지 케이지) 난간에 벨트식 안전대를 걸고 작업 중, 몸의 중심을 잃고 작업대에서 추락</t>
  </si>
  <si>
    <t>갱폼의 안전조치 미실시한 상태에서 갱폼 인양 중 인근 갱폼에 대기중인 작업자가 갱폼 간의 충돌 및 충격으로 인해 추락</t>
  </si>
  <si>
    <t>▶ 갱폼 인양작업 시 위험범위 내 근로자의 출입금지조치 실시
▶ 근로자의 추락 방지를 위해 갱폼의 모서리, 단부개구부 등에 안전난간대 설치
▶ 근로자에게 안전대 결합 지시 및 이행 여부 확인</t>
  </si>
  <si>
    <t>2016년 10월경 OO건설(주)가 시공하는 OO지구 신축공사 현장에서 재해자 3명이 아파트 402동 지상 12층 계단실 갱폼(대형판넬폼) 인양작업을 위해 옥탑층으로 인양된 또 다른 갱폼 작업발판용 케이지로 이동하여 대기하던 중 갱폼이 벽체로부터 이탈되면서 낙하하여 재해자가 갱폼과 함께 지상 1층 외부 바닥으로 떨어져(높이≒35m) 2명 사망, 1명 부상</t>
  </si>
  <si>
    <t>갱폼의 안전조치 미실시한 상태에서 갱폼 인양작업을 위해 이동 중 갱폼 작업발판용 케이지가 벽체로부터 이탈되면서 근로자 추락</t>
  </si>
  <si>
    <t>▶ 갱폼을 인양 직후 최하부 전단볼트 9개소 모두 체결하고, 매입볼트와 전단볼트 연결부가 완전하게 체결될 수 있도록 고정
▶ 갱폼 조립도는 인양 시 고정볼트 위치, 부재의 이음 방법 등을 명시하여 근로자가 식별 가능하도록 작성 준수
▶ 갱폼 인양 후 와이어로프는 2개소 이상 지지하여 편심 발생 방지 및 수직도를 유지할 수 있도록 작업 준수</t>
  </si>
  <si>
    <t>2016년 11월경 OO건설(주) OO공동주택 신축공사 현장에서 갱폼설치공사 협력업체 소속의 재해자가 아파트 OO동 갱폼 하부케이지의 작업발판 설치작업 중 미고정된 발판이 탈락되어 낙하하면서 발판과 함께 약 14m아래의 지하3층 콘크리트 바닥으로 추락하여 사망</t>
  </si>
  <si>
    <t xml:space="preserve">갱폼 하부 케이지 작업발판 설치작업 중 미고정된 발판의 탈락으로 근로자 추락 </t>
  </si>
  <si>
    <t>▶ 갱폼 하부케이지 설치 높이 준수 (지하층 되메우기 선행)
▶ 케이지 설치 시 별도의 작업발판 설치
▶ 별도 작업발판 설치 불가 시 철선 등의 사용으로 발판 고정 및 구명줄 또는 안전대를 갱폼에 부착하여 이동ㆍ작업 실시</t>
  </si>
  <si>
    <t>2016년 12월경 OOOO(주) OO블럭 아파트 신축공사 현장에서 협력업체 소속 재해자가 OO동 20층 갱폼의 인양작업을 위하여 갱폼간의 연결핀 제거 후 갱폼 작업발판에서 대기하던 중 갱폼이 외벽으로부터 이탈되어 재해자가 갱폼과 함께 약 56m 아래 지상 바닥으로 떨어져 사망</t>
  </si>
  <si>
    <t>갱폼의 안전조치 미실시한 상태에서 지상층 갱폼 인양작업을 위해 갱폼간의 연결 핀 제거 후 갱폼 작업발판에서 대기 중 갱폼이 외벽으로부터 이탈됨에 따라 근로자 추락</t>
  </si>
  <si>
    <t>▶ 갱폼을 해체·인양 작업 시 갱폼을 인양장비에 매단 후 작업 실시
▶ 인양장비에 매달기 전 지지 또는 고정철물 우선 해체 금지</t>
  </si>
  <si>
    <t>2017년 3월경 (주)OOO OO아파트 현장에서 재해자가 갱폼작업발판 최하단(5단)에서 견출작업 중 작업발판하부 철재 지지물의 용접부가 탈락되면서 발판이 개방되어 4층(H=12.6m) 높이에서 지반으로 떨어져 사망</t>
  </si>
  <si>
    <t xml:space="preserve">작업발판 등 철재 지지물의 변형ㆍ손상 등 확인이 불량한 상태에서 갱폼작업발판 최하단에서 견출작업 중, 작업발판하부 철재 지지물의 용접부가 탈락되면서 발판이 개방되어 근로자 추락 </t>
  </si>
  <si>
    <t>▶ 추락 위험 장소에서의 작업 시 작업발판 설치 및 추락방호망 설치
▶ 추락방호망 설치가 곤란한 경우 안전대 부착설비 설치 및 안전대 착용
▶ 작업 전 철재 지지물의 변형ㆍ손상 등 확인 후 이상유무 점검 실시</t>
  </si>
  <si>
    <t>2017년 5월경 아파트 신축공사에서 재해자가 지상 4층에서 타워크레인으로 인양 운반되어온 부재를 받기 위해 유도로프를 잡고서 당기던 중 순간 라운드 슬링이 파단되며 부재가 낙하하여 머리, 어깨 등 맞아 사망</t>
  </si>
  <si>
    <t>타워크레인으로 인양 운반된 R.C.S폼 레일 부재를 받아 내리기 위해 유도로프를 잡아당기는 작업 중 라운드 슬링 파단으로 레일 부재 낙하 후 근로자 타격</t>
  </si>
  <si>
    <t>▶ 줄걸이 작업 시 섬유로프 등과 자재 4변 모퉁이 접촉부에 별도의 완충재를 설치하여 절단 또는 손상 방지
▶ 타워크레인 작업을 할 경우 작업계획서를 작성하고 작업계획에 맞게 작업실시
▶ 자재인양 등 중량물 취급작업 시 낙하위험 지역에 대해 근로자 출입 통제</t>
  </si>
  <si>
    <t>2017년 6월경 공동주택 신축공사 현장에서 재해자가 세대에서 갱폼을 통해 3호 세대로 넘어가던 중, 미고정 되어있던 갱폼의 작업발판을 밟자 작업발판이 탈락되면서 바닥으로 떨어져(H≒6.3m) 사망</t>
  </si>
  <si>
    <t>2017년 10월경 (주)OO 다세대 신축공사 현장에서, 지상6층 외벽 거푸집을 해체하고 윈치를 이용하여 옥상 바닥으로 인양하려는 중, 한쪽 윈치 지지대가 균형을 잃고 넘어져 재해자가 지지대에 맞아 1명 사망, 1명 부상</t>
  </si>
  <si>
    <t>변형·부식 및 손상이 발생된 거푸집 재료를 사용한 상태에서 지상층 외벽 거푸집을 윈치에 고정하고 해체하던 중 한쪽 윈치 지지대가 균형을 잃고 전도되어 근로자 가격, 다른 근로자는 가격에 의해 추락</t>
  </si>
  <si>
    <t>▶ 변형·부식 및 손상 발생 거푸집재료 사용 금지
▶ 작업 전 사용 자재의 변형ㆍ손상 등 확인 후 이상유무 점검 실시
▶ 추락 위험 장소에서의 작업 시 작업발판 설치 및 추락방호망 설치
▶ 추락방호망 설치가 곤란한 경우 안전대 부착설비 설치 및 안전대 착용</t>
  </si>
  <si>
    <t>2017년 10월경 OO건설(주) OO신축공사 현장에서 협력업체 소속 재해자 가 OO동 옥탑2층 엘리베이트 기계실의 외벽 갱폼 상승작업을 위해 타워크레인의 양중로프를 매달지 않은 갱폼케이지 1단 작업발판에서 갱폼과 콘크리트 벽체의 고정철물(앙카볼트)을 순차적으로 모두 해체 중 갱폼이 외벽에서 탈락되면서 갱폼과 함께 약 43m 아래 지상 콘크리트 바닥으로 추락하여 사망</t>
  </si>
  <si>
    <t>추락 방지조치 미실시한 상태에서 옥탑층 엘리베이트 기계실 외벽 갱폼 상승작업을 위해 갱폼케이지 작업발판에서 갱폼과 콘크리트 벽체의 고정철물을 순차적으로 해체 중 갱폼의 외벽 탈락으로 근로자 추락</t>
  </si>
  <si>
    <t>▶ 갱폼 상승작업을 하는 경우 갱폼을 인양장비에 매단 후 갱폼과 콘크리트 벽체 및 슬래브의 고정철물을 해체하는 작업 진행
▶ 인양장비에 매달기 전에는 지지 또는 고정철물을 미리 해체하지 않도록 준수 
▶ 갱폼 등의 중량물을 취급하는 작업에는 작업지휘자를 지정하고, 해당 작업을 지휘하도록 함</t>
  </si>
  <si>
    <t>2018년 1월경 (주)OOO건설에서 시공중인 OO신축공사 현장에서 협력업체 소속 재해자가 OO동 지상44층 외부에 설치된 G.C.S폼(K-06)을 해체하기 위하여 타워크레인의 와이어로프에 G.C.S폼(K-06)을 매달고, 벽체에 고정된 부재를 해체한 후 좌측에 기 설치된 G.C.S폼(K-07)으로 이동한 후 무전기를 이용하여 타워크레인 기사와 신호를 하던 중, 이동중이던 G.C.S폼(K-06)과 재해자가 서있던 G.C.S폼(K-07)이 충돌하며, 기 설치된 G.C.S폼(K-07)이 한쪽으로 기울어졌고, 몸의 중심을 잃은 재해자가 지상1층 바닥(H≒125m)으로 떨어져 사망</t>
  </si>
  <si>
    <t xml:space="preserve">작업발판 일체형 거푸집의 안전조치 미실시한 상태에서 지상층 외부에 설치된 G.C.S폼을 해체한 후 좌측에 설치된 G.C.S폼으로 이동하여 타워크레인 기사와 신호 중 해체한 폼과 서있던 폼이 충돌하며 서있던 폼이 기울이짐에 따라 중심을 잃고 근로자 추락 </t>
  </si>
  <si>
    <t xml:space="preserve">▶ G.C.S폼에 설치된 작업발판 끝 등 근로자가 추락할 위험이 있는 장소에는 안전난간을 설치하고, 작업의 필요상 임시로 난간 등을 해체해야 하는 경우 안전방망 설치 실시
▶ 높은 장소에서 작업 시 근로자에게 안전대를 착용시킨 경우 안전대를 안전하게 걸어 사용할 수 있는 안전대 부착설비 등 설치 실시 </t>
  </si>
  <si>
    <t>2018년 1월경 OO건설(주) OO오피스텔 신축공사 현장 지상 15층 바닥 상부에서 갱폼 인양작업 중 재해자가 갱폼 고정줄을 잡고 있다가 갑작스러운 돌풍으로 인하여 갱폼이 날리면서 고정줄을 놓지 못한 재해자가 지상으로 추락(H≒41m)하여 사망</t>
  </si>
  <si>
    <t>중량물취급 작업계획서 미작성한 상태에서 갱폼 인양작업 중 돌풍으로 고정되지 않은 갱폼이 아파트 골조면 외측으로 벗어남에 따라 갱폼 고정용 로프에 근로자의 신체 일부가 걸려서 따라 나가면서 추락</t>
  </si>
  <si>
    <t>▶ 갱폼 등 중량물을 취급하는 작업 시, 돌풍 등 예상치 못한 추락 사고 예방을 위한 안전대책을 수립하고 그 계획에 따라 작업을 진행
▶ 갱폼 고정용 와이어로프 및 고정용 러그를 견고히 체결 및 설치 후 작업 시행
▶ 갱폼 인양작업 등 추락위험이 있는 장소에서 작업 시 안전대 부착설비 설치 및 안전대 착용</t>
  </si>
  <si>
    <t>2018년 3월경 아파트 신축공사에서 유압 상승식 시스템 작업발판(PCS)을 55층에서 56층으로 상승시키는 작업 중 작업대를 지지하는 부재가 탈락되면서 작업판이 떨어져 이에 탑승한 재해자 3명이 201m 아래로 추락하여 사망, 하부 작업발판에 맞은 콘크리트 펌프카 운전원 1명 사망, 바닥에 떨어진 작업발판에 맞아 4명 부상</t>
  </si>
  <si>
    <t>외벽 커튼월 작업을 위해 PCS를 상승시키는 작업 중 작업대를 지지하는 슈 브라켓 고정용 콘이 콘크리트 벽체 내부 매립된 타이로드에서 탈락됨에 따라 작업대와 근로자 3명 추락 연이어 추락한 작업대 근로자 덮침 및 바닥에서 튕긴 작업대 부재 근로자 가격</t>
  </si>
  <si>
    <t>▶ 클라이밍 콘과 타이로드 체결상태 확인
▶ 동일 작업구역 내 상·하 동시작업 금지
▶ 건물 외벽에서 작업대 조립·해체 및 변경 시 관리감독자 배치</t>
  </si>
  <si>
    <t>2018년 3월경 (주)OO에서 시공하는 OO블럭 현장에서 협력업체 소속 재해자가 갱폼 인양작업중 돌풍이 불어 고정되지 않은 갱폼이 아파트 골조면 외측으로 벗어나자 갱폼 고정용 로프에 신체의 일부가 걸려 딸려 나가면서 지상1층 바닥으로 추락하여 사망</t>
  </si>
  <si>
    <t>2018년 6월경 OO종합건설(주)에서 시공 중인 OO오피스텔 신축공사 현장에서 철근콘크리트공사 협력업체 소속 재해자가 타워파킹(Tower Parking) 내부 갱폼을 16층에서 17층으로 인양하는 과정에서 갱폼 하부 고정볼트 설치를 위해 갱폼 최상부 작업발판위에서 체인블럭으로 미세 조정(인상)작업 중 갱폼 인양고리에 용접된 수직재와 수평재 사이 용접부분이 파단되며, 갱폼과 함께 추락(H≒63m)하여 사망</t>
  </si>
  <si>
    <t>갱폼인양시 추락 방지조치 미실시한 상태에서 지상층에서 갱폼 하부 고정볼트 설치를 위해 갱폼 최상부 작업발판 위에서 체인블럭으로 미세 조정(인양) 중 갱폼 인양고리에 용접된 수직재와 수평재 사이 용접부분의 파단으로 갱폼과 근로자 추락</t>
  </si>
  <si>
    <t>▶ 갱폼 인양 작업 전 연결부 용접상태 및 턴버클의 정상 작동상태 점검
▶ 갱폼 인양 시 인전 갱폼 등과의 간섭 최소화와 같은 작업 지시 및 실시</t>
  </si>
  <si>
    <t>2019년 4월경 (주)OO산업이 시공 중인 OO신축공사 현장에서 협력업체 소속의 갱폼인양 작업자인 재해자가 지상에서 약 36m 높이의 지상7층 외부에 설치되어 있던 갱폼을 8층으로 인양 작업 중 지상1층 바닥으로 떨어져 사망</t>
  </si>
  <si>
    <t>끼임 방지조치 미실시한 상태에서 지상층에서 경사 벨트 컨베이어에서 발생하는 이상 소음 원인 파악을 위해 작동중인 컨베이어의 방호덮개를 해체 후 점검 중 근로자의 왼쪽 팔이 벨트와 드럼사이에 끼임</t>
  </si>
  <si>
    <t>▶ 컨베이어 정비·검사 작업 시 운전 정지 실시
▶ 장력 유지장치 방호덮개 임의 해체 금지</t>
  </si>
  <si>
    <t>2019년 4월경 (주)OO종합건설이 시공중인 OO주상복합 신축공사 현장에서 협력업체 소속 재해자 2명이 지상7층 기계식 주차장 내부에 설치되어 있던 갱폼을 인상하기 위해 타워크레인에 매달기를 하지 않은 채 갱폼 작업발판에 올라가서 갱폼을 지지하고 있는 하부 고정볼트를 해체하던 중, 갱폼과 함께 지하3층 바닥(H≒35.8m)으로 떨어져 1명 사망, 1명 부상</t>
  </si>
  <si>
    <t>추락 방지조치 미실시한 상태에서 지상층 내부에 설치되어 있던 갱폼을 인상하기 위해 타워크레인에 매달기를 하지 않은채 갱폼 작업발판에 올라가서 갱폼을 지지 하부 고정볼트를 해체하던 중, 갱폼과 함께 바닥으로 추락</t>
  </si>
  <si>
    <t>2019년 6월경 (주)OO건설이 시공 중인 생활형숙박시설 신축공사 현장에서 협력업체 소속 재해자가 12층 주차타워 내벽 갱폼 인상작업 중 인접한 갱폼이 주차타워 내벽에서 탈락하였고, 그 갱폼 작업발판에서 작업대기 중이던 재해자가 갱폼과 함께 주차타워 바닥으로 떨어져(H≒43m) 사망</t>
  </si>
  <si>
    <t>갱폼인양시 추락 방지조치 미실시한 상태에서 지상층 주차타워 내벽 갱폼 인상작업 중 인접 갱폼이 주차타워 내벽에서 탈락하여 해당 갱폼 작업발판에서 작업대기 중이던 근로자 추락</t>
  </si>
  <si>
    <t>▶ 앵커볼트를 일부만 고정할 경우 자중과 작업ㆍ충격 및 풍하중 등에 의해 갱폼의 안전성이 저하되지 않도록 전도방지용 와이어로프를 설치 준수 
▶ 갱폼의 조립ㆍ해체 시 지지 또는 고정볼트의 이상유무를 수시로 점검하고 이상이 발견될 경우 즉시 교체 실시
▶ 갱폼 조립ㆍ해체 시 앵커볼트를 견고하게 설치 및 체결 후 작업 실시</t>
  </si>
  <si>
    <t>2.2.4 갱폼 해체, 반출</t>
  </si>
  <si>
    <t>2016년 8월경 OO건설(주) OO주택재개발 아파트 신축공사 현장에서 협력업체 소속 재해자가 아파트 21층에 설치된  측벽갱폼(10m*3.1m, 무게 약 3톤)을 T/C에 매단 상태에서 최하부 앵커볼트 해체후 발코니 쪽 갱폼 (400*3,100,무게 약 125kg)과 연결된 웨지핀(7개)을 해체하는 순간 발코니 쪽 갱폼과 같이 약67m 지상층 바닥으로 떨어져 사망</t>
  </si>
  <si>
    <t>갱폼의 안전조치 미실시한 상태에서 지상층에 설치된 측벽갱폼을 해체하기 위해 타워크레인에 매단 상태에서 최하부 고정앵커볼트 해체 후 측벽 갱폼에 연결된 발코니 쪽 갱폼의 웨지핀을 해체하는 순간 발코니 쪽 갱폼과 같이 근로자 추락</t>
  </si>
  <si>
    <t>▶ 2개 이상으로 분리된 갱폼을 조립하거나 해체하는 경우 분리된 갱폼 각각의 갱폼을 타워크레인 등 인양장비에 매단 후 연결볼트, 웨지핀 등 고정철물을 해체하도록 함
▶ 조립ㆍ해체 등의 범위 및 작업절차를 미리 그 작업에 종사하는 근로자에게 주지 시켜야 함</t>
  </si>
  <si>
    <t>2016년 10월경 OO산업(주) OO신축공사 현장에서 협력업체 소속 재해자가 아파트 OO동 28층 외벽에 설치되어 있던 갱폼 작업발판 위에서 갱폼을 해체·상승시키기 위해 연결철물을 해체하던 중 재해자가 서 있던 갱폼이 탈락되어 낙하하면서 갱폼과 함께 약 78미터 아래의 지상 1층 콘크리트 바닥으로 추락, 사망</t>
  </si>
  <si>
    <t>갱폼의 안전조치 미실시한 상태에서 아파트 외벽 갱폼 해체∙상승을 위한 연결철물 해체 중 갱폼 작업발판의 탈락으로 근로자 추락</t>
  </si>
  <si>
    <t>▶ 갱폼의 지지 또는 고정철물의 이상 유무를 항시 점검하고 이상이 발견될 경우 교체 또는 보완 조치
▶ 갱폼을 인양장비에 매단 후 작업 실시, 인양장비 매달기 전에 지지 또는 고정철물을 미리 해체하지 않도록 준수 
▶ 앵커의 내력을 고려한 구조검토를 실시하여 추락방지장치를 통해 제어 해야 하는 고정볼트 개수를 결정 후 작업 실시</t>
  </si>
  <si>
    <t>2016년 11월경 (주)OO건설이 시공중인 공동주택 신축공사 현장에서 재해자가 지상 11층 갱폼 2단 작업발판 위에서 타이볼트 해체작업을 마치고 이동 중 타워크레인 고정용 월 브레싱과 간섭되어 일부 절단한 갱폼 작업발판(약 500mm×700mm)이 탈락(용접부위)되면서 발판과 함께 약 25m 아래의 지상2층 바닥으로 떨어져 사망</t>
  </si>
  <si>
    <t>갱폼의 안전조치 미실시한 상태에서 지상층 갱폼 작업발판 위에서 타이볼트 해체작업 후 이동 중 타워크레인 고정용 월 브레싱과의 간선으로 일부 절단한 갱폼 작업발판 탈락에 의해 근로자 추락</t>
  </si>
  <si>
    <t>▶ 타워크레인 월 브레싱에 걸리는 갱폼의 작업발판 일부를 제거하여 개구부가 발생한 경우 갱폼 인상이 끝나는 즉시 덮개 설치 및 개구부 표기
▶ 추락 위험이 있는 2m 높이 이상의 장소에서 작업 시 작업발판을 둘 이상의 지지물에 고정</t>
  </si>
  <si>
    <t>2017년 1월경 (주)OO OO재건축정비사업현장에서 협력업체 소속 재해자가 아파트 OO동 4호세대 14층 옥상 전면부 발코니에 설치되어 있던 갱폼(작업발판일체형 거푸집)을 해체하기 위해 타워크레인에 매달기를 하지 않은 채, 갱폼 작업발판에 올라가서 갱폼을 지지하고 있는 하부 고정볼트를 해체하던 중 갱폼과 함께 약 45m 아래 지상바닥으로 떨어져 사망</t>
  </si>
  <si>
    <t>추락 방지조치 미실시한 상태에서 옥상 전면부 발코니에 설치되어 있던 갱폼을 해체하기 위해 갱폼 작업발판에 올라가서 하부 고정볼트를 해체하던 중 갱폼과 함께 근로자 추락</t>
  </si>
  <si>
    <t>▶ 갱폼해체작업 시 전도방지를 위해 갱폼을 타워크레인에 매단 후 실시
▶ 추락 위험 장소에서의 작업 시 작업발판 설치 및 추락방호망 설치
▶ 추락방호망 설치가 곤란한 경우 안전대 부착설비 설치 및 안전대 착용</t>
  </si>
  <si>
    <t>2017년 11월경 OOOO(주)이 시공는 OO아파트 현장에서 협력업체 소속 재해자가 OO동 29층의 갱폼을 옥탑층으로 인양하기 위한 해체작업 중, 인접갱폼으로 이동하여 인양하려던 갱폼과의 연결핀을 해체하는 순간, 재해자가 탑승한 갱폼이 탈락하며 낙하하여 약 3m 아래 건설작업용 리프트의 벽지지대에 걸리고 재해자는 약 80m 아래 지상으로 추락하여 사망</t>
  </si>
  <si>
    <t>2.3 철근 작업</t>
  </si>
  <si>
    <t>2.3.1 철근 반입</t>
  </si>
  <si>
    <t>2016년 7월경 OO개발㈜가 시공하는 근린생활 신축 현장에서 재해자가 지상 12층 피트(Pit) 이동 통로인 갱폼 작업발판에 기 적재된 철근다발을 밟는 순간 철근다발이 무너지면서 47m 아래 콘크리트 바닥으로 떨어져 사망</t>
  </si>
  <si>
    <t xml:space="preserve">이동 통로로 사용중인 갱폼 작업발판에 적재된 철근 다발을 밟아 지나가던중 철근 다발이 무너지며 근로자 추락 </t>
  </si>
  <si>
    <t>▶ 자재 인양 시 작업발판이 견딜 수 있는 하중을 고려하여 작업구간별 중량물 적재위치 확보
▶ 작업면으로부터 수직거리 10m 이내 마다 안전방망 설치</t>
  </si>
  <si>
    <t>2016년 7월경 OO성당 신축공사 현장에서 화물트럭 운전자가 인력으로 트럭 적재함에서 철근(1다발 D10mm, L=8m, 940kg)을 내리는 작업 중, 운전석 옆으로 지나가던 재해자가 떨어지는 철근다발의 끝부분에 머리를 맞아 사망</t>
  </si>
  <si>
    <t>트럭 적재함에서 하역작업 중 고정되지 않은 적재화물이 쏟아지며 근로자가 맞음</t>
  </si>
  <si>
    <t>▶ 철근 등 중량물 적재 시 붕괴의 우려가 없는 받침판 위에 적재 또는 최대 적재하중을 초과하지 않는 선에서의 적재
▶ 추락방지조치를 위한 안전대 부착설비 설치 및 안전대 착용</t>
  </si>
  <si>
    <t>2017년 8월경 OO진입로 개선공사 현장 내 철근야적장에서 굴삭기로 철근을 인양, 좌측으로 90° 회전(선회)하여 철근을 트럭에 상차하려는 순간 굴삭기가 중심을 잃고 넘어지면서, 철근을 트럭에 적재하는 것을 돕기 위해 트럭 옆에서 대기중이던 협력업체 소속 재해자의 두부(머리)를 철근다발이 강타하여 사망</t>
  </si>
  <si>
    <t>중량물 인양시 지반 조건 및 작업반경을 고려하지 않고 굴삭기로 철근을 상하차 중 굴삭기가 균형을 잃고 넘어지며 근로자를 강타</t>
  </si>
  <si>
    <t xml:space="preserve">▶ 건설기계 제원, 성능, 작업반경, 인양물 무게 등을 고려
▶ 굴삭기를 이용하여 중량물 인양 시 버켓 해체 등 정격 인양 하중표를 준수하여 작업 실시
▶ 굴착법면 상부에서 차량계 건설기계 작업 시 법면 하부에 대해 근로자 출입 통제, 신호수 배치 및 유도로프 사용 </t>
  </si>
  <si>
    <t>2018년 4월경 OO건설(주)가 시공하는 OO아파트 신축공사현장에서 협력업체 소속의 재해자가 지게차에 철근(D10mm, 3.76ton)을 싣고 경사진 가설도로에서 좌회전하다가 지게차가 중심을 잃고 넘어지려하자, 지게차에서 내려 대피하던 중 지게차가 넘어지면서 떨어지는 철근에 깔려 사망</t>
  </si>
  <si>
    <t xml:space="preserve">지게차에 철근을 싣고 경사진 가설도로에서 주행 중, 지게자가 중심을 잃고 넘어지면서 철근이 근로자에게 낙하 </t>
  </si>
  <si>
    <t>▶ 지게차를 운반할 경우 건설기계관리법에 따라 건설기계조종사 면허를 받은 자로 하여금 조종하도록 관리 감독
▶ 지게차를 사용하는 작업을 할 때 지게차가 넘어져 근로자에게 위험을 미칠 우려가 있을 경우 장비 유도자를 배치</t>
  </si>
  <si>
    <t>2018년 8월경 OO개발(주)가 시공하는 OO재해위험지구 정비사업 현장에서 굴삭기를 이용하여 굴착법면(H=4.5m) 하부로 철근을 내리던 중 굴삭기가 균형을 잃고 앞으로 기울어지며 아래로 미끄러졌고 법면하부에 있던 협력업체 소속 재해자가 굴삭기 버켓에 맞아 사망</t>
  </si>
  <si>
    <t>2019년 5월경 단독주택신축공사 현장에서 협력업체 소속 재해자가 혼자의 힘으로 기초공사용 철근하역작업이 어렵게 되자 공사현장에서 작업 중이던 굴삭기 기사에게 부탁하여 굴삭기 버킷으로 화물트럭에 실려 있던 철근을 하역하기 위하여 트럭위의 철근을 끌어당기는 순간 떨어지는 철근에 균형유지를 위하여 철근을 붙잡고 있던 재해자가 함께 걸려 배수로 아래로 떨어지면서(높이 : 약1.15m) 철근(1,114kg)에 깔려 사망</t>
  </si>
  <si>
    <t>굴삭기로 트럭에 실려있는 철근을 하역하던 중 철근을 잡고 있던 근로자가 철근에 걸려 추락</t>
  </si>
  <si>
    <t>▶철근 등 분할 가능한 중량물일경우 하역작업시 소단위로 분할하여 작업
▶작업반경을 확보하여 작업자의 안전성 확인 후 작업 실시 및 작업반경내 근로자 접근 통제, 유도자 배치</t>
  </si>
  <si>
    <t>2019년 7월경 (주)OO건설이 시공하는 OO주택재건축정비사업 현장에서 재해자가 25톤 화물차에서 지게차로 철근을 하역하는 곳을 지나는 도중 화물차에서 철근이 낙하하여 재해자의 두부와 하체를 강타하여 사망</t>
  </si>
  <si>
    <t xml:space="preserve">화물차에서 지게차로 철근을 하역하는 도중, 화물차에서 철근이 낙하하여 지나가는 근로자의 두부와 하체를 강타 </t>
  </si>
  <si>
    <t>▶ 중량물 인양을 위한 차량계 건설기계 사용 시 작업 전 작업자와 신호수간의 신호 조정 및 준수
▶ 지게차를 사용하여 화물의 하역작업 시 관계 근로자 이외의 근로자 출입 통제</t>
  </si>
  <si>
    <t>2.3.2 철근 가공 및 운반</t>
  </si>
  <si>
    <t>2016년 2월경 OO오피스텔 신축공사 현장 OO동의 최상층인 2층에서 협력업체 소속 재해자가 타워크레인으로 운반중인 철근 다발을 신호중 철근 운반구의 한쪽이 슬링벨트에서 탈락되면서 운반구에 실려있던 철근다발이 재해자를 강타, 사망</t>
  </si>
  <si>
    <t>타워크레인으로 운반중인 철근 다발을 신호 중 철근 운반구의 한쪽이 슬링벨트에서 탈락되면서 운반구에 실려있던 철근다발이 근로자 강타</t>
  </si>
  <si>
    <t>▶ 타워크레인으로 철근다발을 운반하는 경우 운반 중인 철근다발이 머리 위로 통과하지 않도록 안전조치
▶ 철근다발 등 타원크레인으로 운반하는 등 작업을 할때의 작업방법 및 운반구가 적절한지 작업 전 확인 조치 
▶ 철근다발 등 중량물 취급시에는 운반 등의 작업에 있어서 계획서를 작업하고 그 계획에 따라 작업하도록 지시</t>
  </si>
  <si>
    <t>2016년 3월경 OO 건설공사 주택재개발 정비사업 현장의 3층 높이 엘리베이터 피트에서 재해자는 동료작업자가 작업발판용으로 매립된 철근을 산소용접기 및 핸드그라인더를 사용하여 절단하면, 절단된 철근을 받아 바깥 측에 적재, 정리 등의 작업 중 작업상의 이유로 엘리베이터 피트 내부로 진입한 재해자가 밟은 발판(합판)이 뒤집어지며 지하 2층 바닥으로 떨어져(H=11.2) 사망</t>
  </si>
  <si>
    <t>고정되지 않은 작업발판을 밟고 작업 중 작업발판이 뒤집어지며 근로자 추락</t>
  </si>
  <si>
    <t>▶ 외부비계 상에서 작업 시 작업구간 전체에 걸쳐 작업발판 및 안전난간을 밀실하고 견고하게 설치 후 작업 실시
▶ 작업발판 및 안전난간 설치가 곤란한 경우 안전대 걸 수 있는 안전대 부착설비 설치
▶ 추락할 위험이 있는 장소에서 작업 시 개인보호구 착용 철저</t>
  </si>
  <si>
    <t>2016년 8월경 OO 공사현장에서 재해자가 슬라브의 철근조립 및 운반작업 후 휴식을 취하던 중 계단실 부위 개구부(폭 1m× 길이 2.6m)를 통해 약 3m 아래의 지하1층 콘크리트 바닥으로 추락하여 사망</t>
  </si>
  <si>
    <t>안전난간이 설치되지 않은 바닥 개구부 주변 작업 중 근로자 추락</t>
  </si>
  <si>
    <t>▶ 자재 반입구와 같이 개구부로서 떨어질 위험이 있는 경우 안전난간 또는 안전방망과 같이 추락방호시설 설치
▶ 안전난간 또는 안전방망 설치가 곤란한 경우 안전대 지급 및 안전대를 걸 수 있는 안전대 부착설비 설치</t>
  </si>
  <si>
    <t>2016년 8월경 (주)OO종합건설에서 시공중인 OO공장신축공사 현장에서 재해자가 A동 지상2층 바닥 철근배근 작업을 위해 자재(철근-D13 L≒0.8m 약200EA)를 화물용 리프트 구간으로 운반작업 중, 받침판으로 사용한 각재(80mm×80mm×3,630mm) 4개중 3개가 파단되며, 지상1층 바닥(H≒5.8m)으로 떨어져 사망한 재해임</t>
  </si>
  <si>
    <t>철근배근 작업을 위해 자재를 화물용 리프트 구간으로 운반작업 중, 받침판으로 사용한 각재가 파단되어 근로자 추락</t>
  </si>
  <si>
    <t>2016년 8월경 해수담수화 시설공사 현장에서 재해자가 휴대용 유압절단기를 사용하여 철근 가공작업을 하던 중 절연이 파괴되어 유압절단기 외함에 흐르는 누설전류에 감전되어 사망</t>
  </si>
  <si>
    <t>휴대용 유압절단기를 사용하여 철근 가공작업을 하던 중, 절연이 파괴되어 유압절단기 외함에 흐르는 누설된 잔류에 감전</t>
  </si>
  <si>
    <t>▶ 핸드그라인더 등 대지전압 150볼트 초과의 이동형 또는 휴대형 전기기계기구 사용 시 누전차단기 작동상태 점검 및 조치
▶ 핸드그라인더 등 전기기계기구의 금속제 외함, 금속제 외피 및 철대 등의 금속부분에 대해 접지 실시
▶ 절연재질의 손잡이가 설치된 전기ㆍ기계기구 사용</t>
  </si>
  <si>
    <t>2016년 9월경 OO건설 아파트 및 오피스텔 신축공사 현장에서 재해자가 지상 8층 슬라브의 엘리베이터 피트(PIT)의 노출철근(10mm)을 그라인더를 이용하여 절단작업 중, 몸의 중심을 잃고 절단된 철근사이를 통하여 1층 엘리베이터 피트 바닥(추락거리 23.8m)으로 떨어져 사망</t>
  </si>
  <si>
    <t>2016년 10월경 OO토건공사 현장에서 철근공인 재해자가 철근다발(약 1톤) 인양을 위한 줄걸이 및 신호 작업을 하던 중, 차량탑재형 크레인(15톤)의 선회부 볼트가 파단되면서 떨어지던 붐대가 재해자를 강타하여 사망, 운전원 OOO은 운전석에서 지상으로 추락(H≒3M)하여 부상</t>
  </si>
  <si>
    <t>철근 다발 인양을 위한 줄걸이 및 신호 작업을 하던 중, 크레인의 선회부 볼트가 파단되면서 떨어지던 붐대가 근로자에게 낙하</t>
  </si>
  <si>
    <t>▶ 차량탑재형 크레인 등 유해 위험기계 대여 시 작업 전 사전 점검 실시
▶ 대여받은 자에게 기계 등의 수리·보수 및 점검내역을 서면으로 제공
▶ 크레인 사용 시 과부하장치 설치를 통한 허용 인양하중 내에서 작업 실시
▶ 크레인 붐 선회부 체결볼트의 정기점검 실시</t>
  </si>
  <si>
    <t>2016년 11월경 OO상가 신축 현장에서 재해자가 건물 3층으로 자재(철근) 수직 운반 작업 중 몸의 중심을 잃고 약 8.6m 높이 외부비계 밖으로 떨어져 사망</t>
  </si>
  <si>
    <t>철근 운반중 안전난간이 미 설치된 외부비계에서 중심을 잃고 추락</t>
  </si>
  <si>
    <t>▶ 외부비계 작업발판 등 근로자 추락 위험 장소에 대해 상부, 중간 안전난간대 설치
▶ 추락위험이 있는 장소에서 작업 시 안전대 부착설비 설치 및 안전대 착용
▶ 개인보호구 지급 및 착용</t>
  </si>
  <si>
    <t>2017년 3월경 OO공동주택 신축공사 현장입구에서 재해자가 반입 된 철근다발을 현장 내부로 인양·이동시키려고 크레인으로 철근다발 한쪽 끝단 철선에 결속 후 인양하고, 철근다발 하부에 고임목을 받치고 철근다발 끝단으로 이동하던 중 결속되어 있던 철선이 풀리며 철근다발이 재해자 머리로 떨어져(h≒1.7m) 사망</t>
  </si>
  <si>
    <t>크레인으로 철근다발 한쪽 끝단 철선에 결속 후 인양 중, 결속되어 있던 철선이 풀리며 철근다발이 근로자에게 낙하</t>
  </si>
  <si>
    <t>▶ 중량물 인양시 중량물의 취급방법, 인양장비의 재원 등 작업방법 검토
▶ 전담 신호수 배치 및 일정한 신호방법 주지
▶ 중량물 인양시 작업 하부에 근로자 출입 통제</t>
  </si>
  <si>
    <t>2017년 4월경 OO종합건설(주)에서 시공 중인 OO병원 신축현장에서, 기중기(50Ton)를 사용하여 섬유로프(2줄걸이)로 체결한 철근묶음(약 800kg)을 지상 8층으로 운반하던 중, 가장자리에 체결한 한 쪽의 섬유로프가 벗겨지자 철근묶음의 무게중심이 기울어지면서 약 400kg 정도의 철근이 일시적으로 떨어져 직하부에 있던 재해자를 강타하여 사망</t>
  </si>
  <si>
    <t>기중기를 사용하여 철근묶음을 운반 하던 중, 가장자리에 체결한 섬유로프가 벗겨져 철근묶음의 무게중심이 기울어지면서 근로자를 강타</t>
  </si>
  <si>
    <t>▶ 낙하물 위험장소에 대해 안전펜스, 안전표지판 등으로 출입금지구역 설정을 통한 근로자 출입 통제
▶ 철근 운반구 제작 시 작업발판 및 각재에 대하여 견고히 고정
▶ 운반구 인양 시 하부 내층으로 슬링벨트를 충분히 삽입하여 무게중심 확보</t>
  </si>
  <si>
    <t>2017년 5월경 OO상가주택 신축공사 현장 1층 바닥에서 재해자가 동료작업자와 기둥 띠철근 조립 후, 후속작업을 위해 이동하던 중 바닥에 놓인 나무각재에 걸려 넘어지면서, 바닥에서 돌출된 벽체철근이 재해자 머리에 박혀 사망</t>
  </si>
  <si>
    <t>기둥 띠철근 조립 후, 후속작업을 위해 이동하던 중 바닥에 놓인 각재에 걸려 넘어지면서 돌출된 벽체철근이 근로자 머리에 찔림</t>
  </si>
  <si>
    <t>▶ 현장 내부가 협소한 경우 별도의 자재보관 장소 확보 및 일부 자재만 내부에 순차적 반입으로 작업공간 및 이동통로 확보
▶ 부득이하게 바닥에 각재와 같은 자재적치 시 상부에 근로자 전도방지를 위해 바닥으로부터 띄워 이동통로 설치
▶ 이동구간에 돌출철근 등 재해우려 자재 돌출 시 철근 돌출부에 보호캡 설치</t>
  </si>
  <si>
    <t>2017년 7월경 OO종합건설(주)이 시공중인 OOO프라자 신축공사 현장에서 재해자가 외부 자재야적장에서 이동식크레인(55톤)으로 철근 2다발(약 2톤, L=10m)을 운반 중, 크레인 보조훅의 와이어로프 단말가공 부분의 안쪽에서 와이어로프가 파단되며 운반중인 철근다발이 재해자의 복부로 낙하하여 사망</t>
  </si>
  <si>
    <t>보조훅의 와이어로프 변형유무를 점검하지 않고 이동식크레인으로 철근 인양중, 와이어로프가 파단되며 근로자가 철근 다발에 맞음</t>
  </si>
  <si>
    <t xml:space="preserve">▶ 작업 시작 전 안전장치(와이어로프 등) 설치 및 작동상태 확인
▶ 크레인을 사용하여 작업 시 중량물이 작업자의 머리 위로 통과하지 않도록 하부구간 작업자 통제
▶ 크레인을 사용하여 적재 시 인양을 유도하기 위한 보조로프 사용 </t>
  </si>
  <si>
    <t>2017년 9월경 OO건설(주) OO공원 조성공사 현장에서 차량탑재형 이동식크레인을 이용, 화장장 2층 슬라브에 철근을 인양하는 작업 중 보조윈치 와이어로프(Ø14mm)가 파단되면서 인양된 철근 다발 하부에 있던 재해자가 철근 다발에 맞아 사망</t>
  </si>
  <si>
    <t>2017년 11월경 OO종합건설(주)에서 시공중인 OOOO신축공사 현장에서 재해자가 지상1층 철근야적장에서 철근 다발위에 앉아 휴식을 취하던 중지상4층(H≒14.5m)에서 각재(8cm×5cm×2,550cm,약 9kg)가 떨어져 두부에 맞아 사망</t>
  </si>
  <si>
    <t>지상층 거푸집 해체작업 중 각재가 떨어져 철근야적장에서 휴식 중이던 근로자 가격</t>
  </si>
  <si>
    <t>▶ 거푸집 해체 작업으로 인해 자재 낙하의 위험이 있는 경우 낙하물 방지망, 수직보호망, 또는 방호선반의 설치 실시
▶ 작업장 내 관계 근로자가 아닌 근로자 출입을 금지
▶ 적절한 휴게시설 설치</t>
  </si>
  <si>
    <t>2018년 4월경 OO건설(주)에서 시공하는 주상복합건물 신축공사 현장에서 재해자가 지상1층 좌측면 철근가공장에서 철근가공 작업대에 적재된 철근을 철근가공 작업대에 부착된 운반용 레일방향으로 철근을 쌓고 레일로 내리는 과정에서 철근이 레일로 흘러내리면서작업대와 함께 전도하여 적재된 철근이 재해자를 덮치며 깔려 사망</t>
  </si>
  <si>
    <t>적재된 철근을 레일로 내리는 과정에서, 철근이 레일로 흘러내리면서 작업대와 함께 전도하여 적재된 철근이 근로자를 덮침</t>
  </si>
  <si>
    <t>▶ 철근가공 시 작업대에 대하여 안정한 형태로 바닥에 고정시켜 작업대 상부에서 철근 전도 방지
▶ 철근가공 작업대 보강을 위해 닥업대 하부 버림타설 등 지반 보강, 수직대와 하부 바닥 앙카 설치, 운반 레일방향 철근 구름 방지용 스토퍼 설치 및 운반 레일 하부지지대 설치</t>
  </si>
  <si>
    <t>2020년 2월경 (주)OO신축공사 현장에서 타워크레인(L형, 무인) 사용하여 철근다발(약 1.7톤)을 인양하던 중 러핑로프 및 보조로프가 파단되면서 메인지브 하강과 함께 철근다발이 하부에 있던 철근콘크리트 협력업체 재해자 위로 낙하하여 사망</t>
  </si>
  <si>
    <t xml:space="preserve">근로자 출입통제를 하지 않고 타워크레이을 사용하여 철근다발을 인양하던 중 러핑로프 및 보조로프가 파단되면서 철근 다발이 근로자에게 낙하 </t>
  </si>
  <si>
    <t>▶ 크레인 메인지브 등이 정상적으로 작동되고 장치 기능에 문제가 발생되지 않도록 보조로프에 대한 결속, 처짐 방지 등 고정방법 개선
▶ 로프에 간섭 발생할 수 있는 터미널 블록 받침대 등 설치 제한
▶ 크레인을 사용하여 작업을 하는 경우 근로자의 출입을 통제하여 인양중인 화물이 작업자의 머리 위로 통과하지 않도록 조치</t>
  </si>
  <si>
    <t>2020년 4월경 (주)OO종합건설이 시공하는 OO요양시설 신축공사 현장에서 재해자가 3동 지상 1층 바닥 테라스에 적재되어 있던 철근 1다발(Φ10mm+Φ13mm, 약 1.4톤)을 이동식크레인(20톤)으로 2동 지상 2층 바닥으로 옮기기 위한 보조작업(줄걸이 등)을 하던 중, 이동식크레인이 하중을 견디지 못하고 전도되면서 철근다발이 낙하하여 튕겨 재해자의 안면부(눈주위)를 강타해 사망</t>
  </si>
  <si>
    <t xml:space="preserve">이동식크레인으로 철근 다발을 옮기기 위해 철근 줄걸이 작업중, 정격하중을 초과한 이동식크레인이 하중을 견디지 못하고 전도되면서 철근 다발이 근로자를 강타 </t>
  </si>
  <si>
    <t>▶ 지브의 경사각에 의한 작업반경과 철근무게에 따른 정격하중을 초과하는 하중을 걸어서 작업 금지
▶ 순간적으로 작업반경이 증가하고 충격하중이 부가되지 않도록 훅과 인양물의 중심이 일치하도록 수직방향으로 인양 준수
▶ 양중기를 사용하는 중량물 운반 작업 시 일정한 신호방법 지정 및 신호 실시</t>
  </si>
  <si>
    <t>2020년 5월경 OO건설(주)가 시공하는 OO외곽도로 건설공사 현장에서  협력업체 소속 근로자가 지상(콘크리트 바닥)에 겹쳐 있는 지하차도 벽체 조립용 철근다발(?32mm,L=7.85m,40본,1.96ton)을 양중하기 위해 철근다발 한쪽(끝단에서 내측으로 약 1.5m지점)에 슬링벨트(L=1.9m,B=75mm)를 U자 형태로 걸은 후, 이동식크레인(25ton)으로 들어올려(H≒2.5m) 이동 또는 조정하던 중, 갑자기 슬링벨트가 이탈하면서 철근다발이 낙하, 하부에 있던 재해자의 머리를 강타하여 사망</t>
  </si>
  <si>
    <t xml:space="preserve">인양물을 견고하게 고정하지 않고 철근다발 한쪽에 슬링벨트를 U자 형태로 걸은 후 이동식크레인으로 들어올려 이동 중, 슬링벨트가 이탈하면서 철근 다발이 낙하하여 하부에 있던 근로자를 강타 </t>
  </si>
  <si>
    <t>▶ 인양물 양중 시 슬링벨트를 감고 샤클 등으로 견고하게 고정한 후 양중 준수
▶ 인양물 작업 시 인양물이 작업자 머리 위에 위치하거나 통과하지 않도록 작업지휘자 및 전담 신호수 배치</t>
  </si>
  <si>
    <t>2020년 7월경 OO주식회사에서 시공하는 OO신축공사 현장에서 지상1층 작업장 바닥에 적재되어있는 철근다발(D13×8m,120개,955.2kg)을 섬유로프(벨트슬링)로 결속하여 굴삭기 퀵커플러에 부착된 훅에 걸어 지상2층 데크플레이트 상부로 인양하던 중 훅에 걸린 섬유로프(벨트슬링) 한쪽이 탈락하여 철근다발이 쏟아지면서 하부에 있던 재해자가 맞아 사망</t>
  </si>
  <si>
    <t xml:space="preserve">굴삭기 퀵커플러에 부착된 훅에 철근다발을 걸어 인양하던 중, 훅에 걸린 로프 한쪽이 탈락하며 철근다발이 쏟아져 근로자를 강타 </t>
  </si>
  <si>
    <t>▶ 철근 인양작업 시에는 이동식크레인 등 양중기 용도에 적합한 장비 사용
▶ 인양 작업 전, 퀵커플러 등 이상유무 확인 후 이상이 발견 될 시 즉시 조치 실시</t>
  </si>
  <si>
    <t>2021년 5월경 OO산업(주) OO센터신축공사 현장에서 협력업체 소속 재해자가 시스템비계(높이3.8m)에서 지상1층 바닥으로 추락하여 사망</t>
  </si>
  <si>
    <t>2021년 7월경 (주)OO에서 시공하는 OOOO신축공사 현장의 OO동 20층 슬라브 철근 배근 작업구간에서 철근(길이 약 2m / 무게 약 1.9kg) 한 가닥이 높이 약 62m에서 지상으로 낙하하여, 점심식사 후 현장사무실로 이동하던 협력업체 소속 재해자의 안전모와 머리에 철근이 관통하여 사망</t>
  </si>
  <si>
    <t>상부층 슬라브 철근 배근 작업구간에서 철근 한 가닥이 지상으로 떨어져 근로자 가격</t>
  </si>
  <si>
    <t>▶ 낙하물 위험장소에 대해 안전펜스, 안전표지판 등으로 출입금지구역 설정을 통한 근로자 출입 통제
▶ 철근가공 시 안정한 형태로 바닥에 고정시켜 철근 낙하 방지</t>
  </si>
  <si>
    <t>2021년 8월경 OO산업(주)에서 시공 중인 OO별관 신축공사 현장 자재반입구(지하3층)에서 재해자가 자재반입구를 통해 운반중인 14m 상부 낙하물(벽체철근망, 크기:6m x 7m, 중량:1.3~1.4ton)에 맞아 사망</t>
  </si>
  <si>
    <t>이동식크레인을 사용해 벽체 철근망을 자재반입구를 통해 운반하던 중 이탈한 벽체 철근망이 낙하하여 맞음</t>
  </si>
  <si>
    <t>▶ 이동식크레인을 이용하여 자재 인양 시 훅 이탈방지 장치 부착 여부, 인양물과의 결합 상태 등의 점검 및 조치
▶ 이동식크레인 작업반경 내 출입통제, 중량물이 작업자의 머리 위로 통과하지 않도록 조치</t>
  </si>
  <si>
    <t>도시시설물공사 현</t>
  </si>
  <si>
    <t>도시시설물공사 현장에서 교량 Girder상부에 적치된 각파이프 묶음(무게≒600kg)의 벤딩 절단작업 중 각파이프가 전도되어 작업발판 상부에 낙하하면서 그 충격에 의해 작업발판 2개가 탈락하였고, 뚫린 개구부(0.8m×1.8m)를 통해 재해자가 토사 바닥으로 추락(H≒5m)하여 사망</t>
  </si>
  <si>
    <t>적재된 자재가 넘어지며 작업발판이 탈락되어 주변 근로자 추락</t>
  </si>
  <si>
    <t>2.3.3 철근 조립</t>
  </si>
  <si>
    <t>2015년 3월경</t>
  </si>
  <si>
    <t>2015년 3월경 OO교 설치공사 현장에서 철근공인 재해자 2명이 교대 수직철근 조립작업을 하던 중 강풍, 철근자체 중량 등의 영향으로 수평 저항력을 잃고 전도되는 수직철근에 깔려 1명 사망, 1명 부상</t>
  </si>
  <si>
    <t xml:space="preserve">교량 교대의 수직철근 조립작업 중 강풍, 철근자체 중량 등의 영향으로 수평 저항력을 잃고 전도되는 수직철근에 깔림 </t>
  </si>
  <si>
    <t>▶ 작업 전 전도 안전성 확보를 위한 작업계획서 작성 및 준수
▶ 조립철근이 외력에 견딜 수 있거나 넘어지지 않도록 견고한 구조의 버팀대 또는 지지대를 설치</t>
  </si>
  <si>
    <t>2016년 4월경 (주)OO건설 OO신축공사 현장에서 재해자가 지상 6층 외부비계에서 조립 중인 벽체 철근 및 창호 형틀을 밟고 건물 내부로 내려오다 몸의 중심을 잃고 실족하여 6층 콘크리트 바닥으로 떨어져(H≒1.2m) 사망</t>
  </si>
  <si>
    <t>외부비계에서 이동 중 조립 중인 벽체 철근 및 창호 형틀을 밟고 건물 내부로 내려오다 몸의 중심을 잃어 근로자 추락</t>
  </si>
  <si>
    <t>▶ 추락위험이 높은 건물과 외부비계 사이에 경사로, 가설계단, 사다리 등 안전기준에 적합한 구조의 안전통로 설치
▶ 추락위험이 있는 장소에서 작업 시 안전대 부착설비 설치 및 안전대 착용
▶ 개인보호구 지급 및 착용</t>
  </si>
  <si>
    <t>2016년 7월경 단독주택건축공사 현장에서 재해자가 1층 슬라브 위에서 철근 더미에 앉아 보 철근 조립작업 중 철근 더미 위에 있던 철근 절단기에서 누설된 전류에 의해 감전되어 사망</t>
  </si>
  <si>
    <t>근로자가 슬라브 위에서 철근 더미에 앉아 보 철근 조립작업 중 철근 더미 위에 있던 철근 절단기에서 누설된 잔류에 의해 감전</t>
  </si>
  <si>
    <t>▶ 철근 절단기와 같은 노출된 비충전금속체의 전기기구를 사용 시 전원 인출 경로상의 접지선은 반드시 연결 
▶ 임시배선의 전로가 설치된 장소에서 사용되는 휴대용 철근 절단기는 누전에 의한 감전을 방지하기 위해 전원 인출 시 누전차단기를 경유</t>
  </si>
  <si>
    <t>2016년 7월경 OO(주) OO프라자 신축공사 현장에서 재해자가 지상4층 보 철근 조립 중에 주변 바닥 개구부(자재 반입구)로 떨어져(H≒16.2m) 사망</t>
  </si>
  <si>
    <t>보 철근 조립 중, 안전난간 미설치된 주변 바닥 개구부를 통해 중심을 잃고 근로자 추락</t>
  </si>
  <si>
    <t>2016년 10월경 OO건설(주)이 시공하는 근린생활시설 신축공사 현장에서 재해자가 지하층 철근조립 작업 중 점심을 먹기 위해 흙막이지보공 1단 띠장에 걸쳐진 일자형 알루미늄 사다리(길이 5.1m, 폭 40cm)를 밟고 지하 1층에서 지상으로 올라오던 중 사다리 중간(약 2m 높이)에서 오른손을 헛짚어 몸이 오른쪽으로 돌아갔고 사다리를 잡고 있던 왼손을 놓치면서 사다리 우측 콘크리트 바닥으로 떨어져 사망</t>
  </si>
  <si>
    <t>일자형 알루미늄 사다리를 밟고 올라오던 중, 사다리 중간에서 균형을 잃고 근로자가 추락</t>
  </si>
  <si>
    <t>▶ 가설통로로 사다리 사용 시 유동이 없는 견고한 구조로 설치
▶ 사다리 설치 시에도 안전대 부착설비 설치 및 안전대 착용
▶ 깊이 2m를 초과하는 가설통로는 가설계단 등의 승강설비 설치</t>
  </si>
  <si>
    <t>2016년 11월경 (주)OO에서 시공 중인 OO물류센터 신축공사 현장에서 재해자가 맨홀 내부 토사를 청소하기 위해 맨홀 상부에서 작업하던 중 절토사면에 설치한 대형축조블럭(1000x500x750mm, 410kg)이 무너져 깔리면서 사망</t>
  </si>
  <si>
    <t>맨홀 내부 토사 청소를 위해 근로자가 맨홀 상부에서 작업하던 중 절토사면에 설치한 대형축조블럭이 무너져 깔림</t>
  </si>
  <si>
    <t>▶ 대형축조블럭 시공 시 기초콘크리트(900x500mm)를 시공한 후 블록을 쌓음
▶ 대형축조블럭 시공 시 입도가 양호한 40mm 이하의 굵은 골재로 뒷채움하며 속채움을 밀실하게 진행
▶ 대형축조블럭 시공 후 블록 최상단에 천단콘크리트(400x100mm)를 시공</t>
  </si>
  <si>
    <t>2017년 2월경, 도로 건설공사 현장에서 재해자가 수로암거 중앙부 벽체 철근조립을 위해 불안전한 강관틀비계 2단 발판 상부에 올라가 철근 조립 중, 발판 단부에서 지상 콘크리트 바닥으로 떨어져(H≒3.4m) 사망</t>
  </si>
  <si>
    <t>수로암거 중앙부 벽체 철근조립을 위해 가새재 및 수평재가 설치되지 않은 강관틀비계 발판 상부에 올라가 철근 조립작업 중, 몸의 중심을 잃고 근로자 추락</t>
  </si>
  <si>
    <t>▶ 작업발판 설치 시 폭 40cm 이상, 2개 이상의 지지물에 체결하여 설치
▶ 발판 상부에 중량물 적재를 수반하는 경우 주틀 간격을 1.8m 이하로 설치
▶ 비계의 유동 방지를 위해 가새제, 수평재, 벽이음을 누락없이 설치
▶ 작업발판 단부 등 추락위험 장소에는 안전난간 설치</t>
  </si>
  <si>
    <t>2017년 2월경 단독주택 신축공사 현장에서 철근공인 재해자가 철근 조립 작업을 위해 화장실 벽체 1.2～1.5m 높이 수평 철근에 비계용 강관(48.6mm)을 걸쳐 놓고 기성재 작업발판 설치 후 그 위로 올라가 작업하던 중 걸침 길이가 짧은 비계용 강관이 철근에서 탈락되면서 작업발판과 함께바닥으로 떨어져 사망</t>
  </si>
  <si>
    <t>수평철근에 비계용 강관을 걸쳐 놓고 그 위에서 작업하던 중, 걸침 길이가 짧은 비계용 강관이 철근에서 탈락되면서 발판과 함께 근로자 추락</t>
  </si>
  <si>
    <t>▶ 협소 공간에서의 철근조립 작업 시 이동식 비계를 조립하여 작업발판 설치 후 작업 실시
▶ 근로자가 추락할 위험있는 장소에서 작업 시 개인보호구 착용 철저 및 확인 감독 실시</t>
  </si>
  <si>
    <t>2017년 2월경 OO종합건설(주)에서 시공하는 OO증축공사 현장에서, 재해자가 증축동 4층 옥상에서 기둥철근 배근을 위한 바닥 천공 작업 중 증축을 위해 해체된 슬래브 단부에서 지상 바닥으로 추락(H≒14.0m)하여 사망</t>
  </si>
  <si>
    <t>추락방지조치가 되어있지 않은 슬래브 철근 배근작업 중 중심을 잃고 슬래브 단부로 근로자 추락</t>
  </si>
  <si>
    <t>▶ 취락위험 장소에서 작업 시 외부에 비계 조립 등의 방법으로 작업발판 설치 및 단부에 안전난간 설치
▶ 슬래브 단부 측 개구부 등 근로자 추락방지를 위해 추락방망 설치 및 안전대 부착설비에 안전대 체결</t>
  </si>
  <si>
    <t>2017년 5월경 단독주택 건축공사 현장에서 재해자가 지상 2층 바닥 슬라브 철근 배근 작업 후, 거실 벽면에 설치된 목재 사다리로 지상 1층으로 내려오던 중 목재 사다리 3단 디딤대가 탈락하면서 약 1.1m 높이에서 추락</t>
  </si>
  <si>
    <t>사다리를 사용하여 이동 중 사다리 부재의 탈락으로 근로자가 추락</t>
  </si>
  <si>
    <t>2017년 6월경 OO물류센타 신축현장 기초 철근배근 위치에서 상부철근 지지용 철근 보강 작업중 상부철근이 한쪽으로 몰려 붕괴 되면서 하부철근과 상부철근 사이에서 작업중이던 근로자 2명이 협착되어 1명이 사망하고 1명이 부상</t>
  </si>
  <si>
    <t>상부철근 지지용 철근 보강 작업 중, 상부 철근이 한쪽으로 몰려 붕괴 되면서 상∙하부근 철근 사이에 작업 중이던 근로자 협착</t>
  </si>
  <si>
    <t>▶ 중량물 취급시 안전대책이 포함된 작업계획서 작성 및 준수
▶ 경사 지지대용 철근 설치 시 X, Y열 2방향으로 설치
▶ 철근 등 중량물 취급 시 작업지휘자 지정</t>
  </si>
  <si>
    <t>2018년 3월경 재해자가 비닐하우스내 농수를 공급하기 위한 철근콘크리트 구조의 물탱크의 슬래브 철근위에서 배근작업을 하던 중, 약 3.5m 높이의 슬래브 단부에서 굴착면 바닥으로 떨어져 두개골골절로 사망</t>
  </si>
  <si>
    <t>2018년 10월경 OO(주) OO토목건축공사 현장에서 재해자가 외부비계 위에서 철근배근(이음) 작업 중 비계 외측의 상부난간대와 작업발판 사이로 떨어져(H≒5.7m) 사망</t>
  </si>
  <si>
    <t>외부비계 위에서 철근배근 작업 중, 근로자가 몸의 균형을 잃어 비계 외측의 상부난간대와 작업발판 사이로 추락</t>
  </si>
  <si>
    <t>피트 바닥으로 내려가기 위해 굴착면 단차 부위를 밟는 순간, 몸의 중심을 잃고 콘크리트 바닥으로 추락하면서 벽체 수직철근 이음을 위해 미리 시공한 바닥 슬래브 수직철근에 머리가 찔림</t>
  </si>
  <si>
    <t xml:space="preserve">▶ 찔림위험이 있는 경우 조립철근이 없는 방향에서의 작업 통로 설치
▶ 철근 돌출로 인해 찔림위험이 있는 경우 철근 돌출부에 보호캡 설치 </t>
  </si>
  <si>
    <t>2020년 5월경 (주)OO종합건설에서 시공하는 OO근린생활 신축공사 현장에서 협력업체 소속 재해자와 동료작업자가 지상 1층에서 벽체 철근배근 작업 과정에서 이동 중 화장실 벽체 수직 이음철근의 고정을 위해 바닥 슬래브 상부에 설치된 수평철근에 발이 걸려(H≒100mm) 넘어지면서 앞쪽(약 850mm)에 설치되어있던 수직철근(L≒400mm)에 안면부(우측콧볼옆)가 찔려 사망</t>
  </si>
  <si>
    <t>벽체 철근배근 작업 과정에서 이동 중, 수평철근에 발이 걸려 넘어지면서 수직철근에 근로자의 안면부가 찔림</t>
  </si>
  <si>
    <t>▶ 이동통로 및 작업구간 내 철근 돌출부 보호캡 설치 및 주변 접근통제 조치
▶ 벽체철근 조립 등의 현장 내의 작업 시 작업장으로 통하는 장소 또는 작업장 내에 안전한 통로 설치</t>
  </si>
  <si>
    <t>2020년 8월경 (주)OO에서 시공하는 주택재개발 정비사업 현장에서 협력업체 소속 재해자가 작업을 마친 후 화장실 세면대 앞에서 쓰러져있는 것을 경비반장이 발견하여 119신고 후 병원으로 이송하여 치료 중 사망</t>
  </si>
  <si>
    <t>작업을 마친 후 화장실 세면대 앞에서 열사병으로 인한 다기관부전으로 쓰러진 후 발견</t>
  </si>
  <si>
    <t>▶ 폭염에 노출되는 옥외 골조작업 시 근로자 모두를 수용할 수 있는 적절한 휴게시설 설치
▶ 햇볕을 완전히 차단할 수 있는 재질의 그늘막 활용 및 방음벽 인근 형성된 자연그늘에 의자나 돗자리, 음료수대 등 비품 비치하여 근로자들의 휴식 운영 실시
▶ 폭염특보의 종류에 따라 폭염주의보(33℃) 발령 시 매 시간당 10분씩, 폭염경보(35℃) 발령 시 15분씩 휴식 권장</t>
  </si>
  <si>
    <t>2020년 9월경 (주)OO종합건설에서 시공하는 자연재해위험 개선지구 정비사업 현장 펌프장 구역에서 협력업체 소속 재해자가 날개벽 벽체 철근배근 작업과정에서 설치된 벽체철근을 넘어 이동하는 중, 벽체 상부에 돌출된 수직철근에 우측 허벅지 안쪽을 찔려 사망</t>
  </si>
  <si>
    <t xml:space="preserve"> 날개벽 벽체 철근배근 작업과정에서 설치된 벽체철근을 넘어 이동하는 중 벽체 상부에 돌출된 수직철근에 우측 허벅지 안쪽을 찔침</t>
  </si>
  <si>
    <t>▶ 이동통로 및 작업구간 내 수직철근 돌출부 보호캡 설치 및 주변 접근통제 조치
▶ 현장 내의 작업 시 작업장으로 통하는 장소 또는 작업장 내에 안전한 통로 설치</t>
  </si>
  <si>
    <t>2020년 12월 (주)OO건설이 시공 중인 OO시설공사 현장에서 철근콘크리트 공사 협력업체 소속의 재해자가 건물 후면 시스템 비계 3단 작업발판 위에서 벽체 철근 조립 작업을 하던 중, 뒤로 넘어지며 높이 5.3m아래 토사 바닥으로 추락하여 사망</t>
  </si>
  <si>
    <t>안전난간이 설치되지 않은 시스템 비계 작업발판 위에서 벽체 철근 조립 작업을 하던 중, 중심을 잃고 뒤로 넘어지며 바닥으로 근로자 추락</t>
  </si>
  <si>
    <t xml:space="preserve">▶ 근로자가 작업 또는 이동 중 추락할 위험이 있는 장소에서 작업 시 안전난간 설치하여 추락방지 조치 실시
▶ 작업발판 및 안전난간 설치가 곤란한 경우 안전대를 걸 수 있는 안전대 부착설비 설치 
▶ 근로자 개인보호구 착용 철저 및 관리감독자 업무 수행 철저 </t>
  </si>
  <si>
    <t>2021년 2월경 OO건설㈜ 하천재해예방사업 현장에서 협력업체 소속 재해자가 교량(강합성형 라멘교) 교각 기둥철근 조립 작업을 하던 중, 넘어지는 수직철근에 깔려 부상을 입은 후 사망</t>
  </si>
  <si>
    <t>벽체, 기둥 철근 배근중 버팀대 미설치로 철근이 전도되며 근로자 깔림</t>
  </si>
  <si>
    <t>▶ 벽체철근 시공 시 안정한 형태로 유지하도록 버팀대를 설치하는 등 철근 전도 방지조치 실시
▶ 수직철근의 전도방지를 위해 지지대 설치 등 보강조치 실시
▶ 수직철근 조립작업 시 전도재해를 예방하기 위해 관리감독자 지휘 ∙ 감독 철저</t>
  </si>
  <si>
    <t>2021년 6월경 OO물류센터 신축공사 현장에서 재해자가 지상 2층 8구간에서 PC슬래브·PC보 철근배근 작업 중 부족한 철근자제를 가지러 이동하다, 설치작업 중이던 6번 계단실 벽체철근이 재해자 쪽으로 넘어져 협착되어 사망</t>
  </si>
  <si>
    <t>2021년 8월경 OO공동주택 신축공사 현장에서 시저형 고소작업대에 탑승중인 재해자가 수직철근(L:7.35m) 11본(약 246kg)을 고소작업대에 기대어 기둥 철근 조립 작업(H:약4.9M)을 하던 중 고소작업대가 전도되며 바닥으로 떨어져 사망</t>
  </si>
  <si>
    <t xml:space="preserve">시저형 고소작업대에 탑승중인 재해자가 수직철근 다발을 고소작업대에 기대어 기둥 철근 조립 작업을 하던 중 고소작업대가 전도되며 바닥으로 추락 </t>
  </si>
  <si>
    <t>▶ 고소작업대의 허용하중을 넘어선 중량물 적재 금지
▶ 고소작업대 이동 시 작업대를 가장 낮게 하강 후 이동통로의 요철상태, 장애물 등의 유무 등 확인 후 이동
▶ 고소작업대에서 작업 시 작업대 내부에서 작업하며, 안전대 체결 시 가능한 범위에서 작업
▶ 개인보호구 지급 및 착용</t>
  </si>
  <si>
    <t>2.4 콘크리트 작업</t>
  </si>
  <si>
    <t>2.4.1 콘크리트 반입, 운반</t>
  </si>
  <si>
    <t>콘크리트믹서</t>
  </si>
  <si>
    <t>2016년 1월경 OO(주) 아파트 신축공사 현장에서 골조공사 협력업체인 OO건설(주) 소속 재해자(일용직)가 후진하는 레미콘 차량 후미와 충돌하여 차량 뒷바퀴에 협착되어 사망</t>
  </si>
  <si>
    <t>근로자 출입 통제가 이뤄지지 않은채 후진하는 레미콘 차량 후미와 근로자가 충돌하여 협착</t>
  </si>
  <si>
    <t>▶ 레미콘 차량 운행 경로 확보를 위해 위험구역 내 근로자 출입금지 및 안전통로 확보
▶ 장비간 충돌 및 협착 방지 접근 한계거리 유지를 위한 스토퍼 등 설치
▶ 유도자 배치를 통한 근로자 출입통제 및 차량계 건설기계 유도</t>
  </si>
  <si>
    <t>2016년 12월경 OO노반건설공사 환기구에서 터널 라이닝 타설에 필요한 콘크리트를 실은 레미콘 차량을 카리프트에  탑승시킨 후에 재해자는 옆에 별도로 위치한 리프트에 탑승 후 상부로 이동하여 대기 중 레미콘 차량을 탑승시킨 카리프트가 상승 중에 레미콘 차량의 사이드 브레이크 미잠금(추정) 상태로 상부 이동 중 카리프트 구간별 속도 변화 등으로 인하여 차량이 전면부로 미끄러져 쏠리면서 지상 1.5m 아래에 있는 지상 복공판 H-beam 사이에 차량 전면부가 끼어 찌그러져 있는 상태에서 재해자가 차량 고임목 설치 및 본인의 휴대폰을 가지러 출입금지 구역인 카리프트 내부로 들어가 후방 타이어 오른쪽 부위에 각재 고임목을 대고, 레미콘차량 전면부 깨진 유리창을 통하여 차를 딛고 운전석으로 올라가다가 차에서 미끄러져 차와 카리프트 사이에 50cm*50cm의 개구부로 추락, 61m 아래 터널 콘크리트 바닥으로 추락하여 사망</t>
  </si>
  <si>
    <t>카리프트 내부에서 레미콘 차량이 전면부로 미끄러져 전면부 파손 이후 근로자가 본인의 물품을 챙기러 파손된 전면부 유리창을 통하여 차를 딛고 운전석으로 올라가던 중 미끄러져 차와 카리프트 사이 개구부로 추락</t>
  </si>
  <si>
    <t>▶ 개구부 등 낙하 위험이 있는 장소에는 방책 등 설치하여 출입 금지 및 표지판 설치
▶ 카리프트 등 양중기 사용 시 레미콘차량 등이 완전히 빠져나갈 때 까지 모니터 주시</t>
  </si>
  <si>
    <t>2017년 5월경 OO(주) OO 신축공사 현장에서 OO산업(주) 소속 재해자(PC조립공)가 지하주차장 PC조립과정에서 PC기둥 수직도 조정 작업중 PC기둥이 전도 되면서 협착되어 사망</t>
  </si>
  <si>
    <t xml:space="preserve">PC기둥 수직도 조정 작업 중 PC기둥 슬리브에 매입 길이가 부족한 철근(약 5mm)이 X열 방향으로 휘면서 PC기둥 하부 피복 콘크리트가 파괴 및 PC기둥이 전도되어 협착 </t>
  </si>
  <si>
    <t>▶ PC기둥 등 중량물을 취급하는 경우 전도 및 협착에 의한 위험 방지를 위해 버팀대 및 지지대 설치
▶ PC기둥을 조립하는 경우 인양장비에 매단 상태에서 수직도 확인 작업 진행</t>
  </si>
  <si>
    <t xml:space="preserve"> 2017년 6월</t>
  </si>
  <si>
    <t xml:space="preserve"> 2017년 6월경 OO(주) OO 공장 신축공사 현장에서 재해자(펌프카 운전원)가 콘크리트 펌프카 위에 올라가 콘크리트 타설 준비작업 중 콘크리트 펌프카 플렉시블 호스(Flexible hose)의 토출구(철재)에 머리를 맞아 지상으로 떨어져(H≒1.3m) 사망</t>
  </si>
  <si>
    <t>콘크리트 펌프카 위에 올라가 콘크리트 타설 준비작업 중 콘크리트 펌프카 플렉시블 호스의 압력이 방출되면서 요동치는 호스의 토출구(철재)에 머리를 맞아 지상으로 떨어짐</t>
  </si>
  <si>
    <t>▶ 차량계 건설기계 사용 시 차량계 건설기계에 의한 작업방법, 점검 및 작업요령 등에 대한 작업계획서 작성</t>
  </si>
  <si>
    <t>2017년 7월경 ㈜OO C.C 조성공사 현장에서 ㈜OO 소속 지입차주 재해자(운전수)가 현장 5번홀 주변 배수로 관보호공 콘크리트 타설을 위해 콘크리트믹서트럭을 운전하여 이동 중 경사로에서 전복되어 운전석 내부에서 협착되어 사망</t>
  </si>
  <si>
    <t>배수로 관보호공 콘크리트 타설을 위해 콘크리트 믹서 트럭을 운전하던 중 비가 내려 지표면이 미끄러운 상태의 경사로에서 전복되어 운전석 내부에서 협착됨</t>
  </si>
  <si>
    <t>▶ 차량계건설기계 상시 점검 및 정비 실시
▶ 강우 및 악천후 등으로 차량계건설기계 운행이 불안전한 경우 즉시 중지</t>
  </si>
  <si>
    <t>2017년 10월경 OOOO로(아스팔트포장 도로, 폭: 8m, 경사: 약 4°) 도로[인근, ㈜OO 관저동 근린생활시설 신축공사] 상에서 재해자(콘크리트펌프카 운전기사)가 콘크리트 펌프카를 시동이 켜진 채 주차한 후 차량에서 내려 차량 아래 조수석쪽 후면에 부착된 아웃트리거를 지면에 고정하기 위해 아웃트리거를 작동하려고 하자 차량이 경사 도로를 따라 굴러 내려(약:10m)가 조수석쪽으로 탑승하여 주차브레이크를 작동하려고 하던 중 맞은편 반대쪽에 주차된 트럭과 충돌하여 조수석문과 차체 사이에 협착되어 사망</t>
  </si>
  <si>
    <t>콘크리트 펌프카를 시동이 켜진 채 주차한 후 차량에서 내려 아웃트리거를 작동하려고 하자 차량이 경사 도로를 따라 굴러 내려(약:10m)가 조수석쪽으로 탑승하여 주차브레이크를 작동하려고 하던 중 맞은편 반대쪽에 주차된 트럭과 충돌하여 조수석문과 차체 사이에 끼임</t>
  </si>
  <si>
    <t>▶ 작업 시작 전 차량의 브레이크 및 클러치 등을 미리 점검 실시
▶ 이상 발견시 즉시 보수하거나 그밖에 필요한 조치를 하여야 함</t>
  </si>
  <si>
    <t>2017년 12월경 OO건설중기 소속 재해자(펌프카 운전원)가 OO 현장에서 펌프카로 콘크리트를 타설 하기 위해 펌프카 사전 점검중 콤프레와 샤프트에 이상이 생겨 피티오(P.T.O)를 수리하던 중 제동장치의 공압호스가 빠져 차량 제동장치가 풀리면서 움직이는 펌프카에 협착되어 사망(추정)</t>
  </si>
  <si>
    <t>펌프카 콘크리트 타설 위해 펌프카 사전 점검중 콤프레와 샤프트에 이상이 생겨 피티오를 수리하던 중 제동장치의 공압호스가 빠져 차량 제동장치가 풀리면서 움직이는 펌프카에 협착</t>
  </si>
  <si>
    <t>▶ 펌프카 등 차량계 건설기계의 수리나 부속장치의 장착 및 제거작업을 하는 경우 그 작업을 지휘하는 사람을 지정하여 해당 작업을 지위하고 작업순서를 결정하는 작업지휘자 배치</t>
  </si>
  <si>
    <t>2018년 9월경 OO국도건설공사 OO교 현장에서 재해자(공사과장)가 OO교 상부슬라브 콘크리트 타설 전 철근배근 작업지시 중 콘크리트 타설을 위해 후방에서 대기중이던 펌프카가 교량 방향으로 이동하여 재해자가 펌프카에 부딪혀 사망</t>
  </si>
  <si>
    <t>상부슬라브 콘크리트 타설 전 철근배근 작업지시 중 콘크리트 타설을 위해 후방에서 대기중이던 펌프카가 교량 방향으로 갑작스레 이동하여 재해자와 충돌</t>
  </si>
  <si>
    <t>▶ 차량계 건설기계의 갑작스러운 주행 및 이탈 방지
▶ 운전 중인 차량계 건설기계에 접촉되어 근로자 가격 위험 장소에는 근로자 출입 금지 및 유도자 배치</t>
  </si>
  <si>
    <t>2018년 10월경 OO 현장에서 측구 구조물에 콘크리트타설을 위해 레미콘 트럭이 작업장소에 도착하여 풋브레이크, 사이드 브레이크를 한 상태에서 운전자가 운전석에서 내리던중 레미콘 트럭이 약 3m 뒤로 밀리면서 지나가던 재해자가 운전석 뒤바퀴에 깔려 사망</t>
  </si>
  <si>
    <t>콘크리트 타설을 위해 대기 중인 콘크리트 믹서트럭이 제동장치 이상으로 미끄러지며 근로자 깔림</t>
  </si>
  <si>
    <t>▶ 차량계 건설기계를 사용하여 작업 시 작업 전 관리감독자가 브레이크 및 클러치 등의 기능 점검
▶ 경사로에서 차량계 건설기계에 탑승하여 대기 시 사이드브레이크 체결 및 고임목 설치 등 미끄러짐 방지</t>
  </si>
  <si>
    <t>2018년 11월경 OO 신축공사 중 야외주차장 콘크리트공사 현장에서 재해자(콘크리트 믹서트럭 운전원)가 야외주차장 콘크리트 타설을 위해 펌프카 호퍼 쪽으로 후진하는 콘크리트 믹서트럭 차량의 슈트를 조작하던 중 펌프카 호퍼 사이에 끼어 사망</t>
  </si>
  <si>
    <t>콘크리트 타설을 위해 펌프카 호퍼 쪽으로 후진하는 콘크리트 차량의 슈트를 조작하던 중 펌프카 호퍼 사이에 끼임</t>
  </si>
  <si>
    <t>▶ 차량계 건설기계 사용 시 위험구역 내 유도원의 배치로 근로자 출입 금지 및 차량계 건설기계 유도
▶ 장비간 충돌 및 협착 방지 등 접근한계거리 유지를 위한 안전한 구조의 스토퍼 등 설치
▶ 차량계 건설기계 운행 경로와 별도로 작업자들이 이동할 수 있는 안전통로 확보</t>
  </si>
  <si>
    <t xml:space="preserve"> 2019년 1월</t>
  </si>
  <si>
    <t xml:space="preserve"> 2019년 1월경 OO(주) 공동주택사업 현장에서 콘크리트 믹서 트럭이 이동 중 경사로를 오르지 못하고 아래로 밀리면서 경사로 우측으로 차량이 전복되어, 주변에서 거푸집 설치 중이던 협력업체 OO건업(주) 소속 재해자(형틀공) 2명 중 1명이 차량에 직접 깔려 사망, 1명이 부상</t>
  </si>
  <si>
    <t>레미콘 트럭이 이동 중 경사로를 오르지 못하고 뒤로 밀리며 주변에서 작업중이던 근로자 깔림</t>
  </si>
  <si>
    <t>▶ 레미콘 트럭 등 비탈길에서 차량계 건설기계 정차 시 밀림 방지를 위해 풋, 사이드브레이크 체결 및 고임목 설치
▶ 차량계 건설기계를 이용한 작업 시 접촉 및 부딪힐 위험이 있는 장소에 근로자 출입 금지 및 유도자 배치
▶ 도로와 작업장이 접해있을시 방책 등 근로자 보호조치 실시</t>
  </si>
  <si>
    <t>2020년 1월경 오피스텔 신축 현장에서 재해자가 옥상층 콘크리트 타설 완료 후 18층 승강기 입구인 슬래브 단부에서 승강기 피트 내 설치된 콘크리트 압송관을 해체하던 중 압송관에 연결된 로프가 풀리면서 압송관과 함께 지하 1층 피트(H : 약 55m)로 떨어져 사망</t>
  </si>
  <si>
    <t>승강기 피트 내 설치된 콘크리트 압송관 해체 중 압송관에 연결된 로프가 풀리면서 압송관과 함께 떨어짐</t>
  </si>
  <si>
    <t>▶ 개구부 등 추락위험 구간에 덮개, 안전난간 등 추락방지조치 준수
▶ 작업 전 안전대 지급 및 체결상태 관리</t>
  </si>
  <si>
    <t>2020년 11월경 OO(주) 공장 신축공사 현장에서 육가공 공장동 지상1층 냉동창고 바닥 방수콘크리트 타설을 위하여 대기 중인 OO기업(주) 소속 콘크리트 믹서트럭이 제동장치 이상(추정)으로 현장 진입경사로에서 미끄러지면서 OO(주) 기존공장 출입구에 있던 경비실로 돌진하여 내부에서 근무 중인 OO건설(주) 소속 재해자(경비원)를 덮쳐 사망</t>
  </si>
  <si>
    <t>2020년 11월경 ㈜OO 공동주택 신축공사 현장에서, 재해자가 동료작업자와 함께 콘크리트 분배기를 지게차로 5톤 화물트럭에 상차 후 반출하는 과정에서 화물트럭 적재함 우측 문짝에서 무게중심을 잃고 지상 바닥(높이 약 154cm)으로 추락하여 사망</t>
  </si>
  <si>
    <t xml:space="preserve">하부에 달린 압송관을 해체하지 않은 채 콘크리트 분배기를 지게차로 화물트럭에 상차 후 반출하는 과정에서 무게중심이 맞지 않아 분배기가 흔들리면서 적재함에 있던 근로자가 중심을 잃고 트럭 적재함 우측 문짝에서 바닥으로 추락 </t>
  </si>
  <si>
    <t>▶ 콘크리트 분배기를 화물트럭에 상차하여 반출하는 경우 화물트럭 적재함 문짝이 닫힌 우측으로 접근 금지 및 적재함에서 지상 바닥으로 이동 시 적재함 문짝 개방 후 이동
▶ 화물트럭에 100kg 이상의 중량물을 싣는 작업 시 콘크리트 분배기 하부의 압송관 해체 후 싣기</t>
  </si>
  <si>
    <t>2021년 7월경 ㈜OO이 시공중인 재개발 정비사업 현장에서 재해자(보통인부)가 콘크리트 타설 예정인 110동 15층 슬래브 청소 작업을 하던 중 바닥에 쓰러진 상태로 발견되어 병원으로 이송하여 치료 중 사망(추정)</t>
  </si>
  <si>
    <t>혹서기 콘크리트 타설 예정인 슬래브 청소 작업을 하던 중 바닥에 쓰러진 상태로 발견됨</t>
  </si>
  <si>
    <t>2021년 8월경 복합시설 신축공사 현장에서 OO(주) 소속 재해자와 동료작업자가 물류센터 신축현장 7층에서 PC슬라브 설치작업 중, PC슬라브에 체결된 줄걸이가 완전히 해체되지 않은 상태에서 무전기를 통해 상승신호를 받은 크롤러크레인 기사가 크레인을 상승시켜 PC슬라브 위에 서있던 재해자가 중심을 잃고 물류창고 6층 바닥으로 추락하여 사망</t>
  </si>
  <si>
    <t>PC슬라브 설치작업 중 PC슬라브에 체결된 줄걸이가 완전히 해체되지 않은 상태에서 무전기를 통해 상승신호를 받은 크롤러크레인 기사가 크레인을 상승시켜 PC슬라브 위에 서있던 재해자가 중심을 잃고 추락</t>
  </si>
  <si>
    <t>▶ 인양중인 화물에 대한 작업방법, 신호 등을 정하여 장비기사의 임의 조작을 금지
▶ 크롤러크레인 작업 시 인양중인 화물 낙하방지를 위해 신호수 배치 및 경적신호 실시</t>
  </si>
  <si>
    <t>2020년 OO(</t>
  </si>
  <si>
    <t>2020년 OO(주) 주상복합 신축공사 현장에서 101동에 설치된 콘크리트 타설용 C.P.B 장비 인상작업 중 9층에 설치된 C.P.B 마스트 지지부재(하부 지지용 핀)가 이탈되면서 장비 본체(전체길이 20m, 자중 약 17.3톤)가 약 4.6m 하부로 낙하하여 지상 11층에서 소방전기 박스 설치작업을 위해 이동중이던 재해자 1명이 낙하한 C.P.B 부재에 협착되어 사망, 11층과 9층에서 각각 C.P.B 인상작업 및 자재정리 작업중이던 재해자 3명이 부상_x000D_</t>
  </si>
  <si>
    <t xml:space="preserve">콘크리트 타설용 C.P.B 장비 인상작업 중, C.P.B 마스트 지지부재(하부 지지용 핀)가 이탈되면서 장비 본체가 근로자에게 낙하 </t>
  </si>
  <si>
    <t xml:space="preserve">▶ C.P.B 낙하를 예방하기 위한 작업계획서 작성 및 준수
▶ 마스트 인상작업 후 플로어 프레임을 해체 시에는 개구부 크기에 맞춰 제작된 덮개를 반드시 설치
▶ 플로어 프레임을 해체하기 어려울 경우 안전난간, 덮개 또는 하부에 추락방호망 설치 </t>
  </si>
  <si>
    <t>2.4.2 콘크리트 타설 및 다짐</t>
  </si>
  <si>
    <t>2015년 12월경 ㈜OO OO신축공사 현장에서 협력업체 ㈜OO건설 소속 재해자(콘크리트 타설공)가 지하2층 전기실 패드 콘크리트 타설 후 배관 내부 청소작업 중 콘크리트 타설용 주름관에 걸려 넘어지면서 머리를 바닥에 부딪쳐 사망</t>
  </si>
  <si>
    <t>전기실 패드 콘크리트 타설 후 배관 내부 청소작업 중 콘크리트 타설용 주름관에 걸려 넘어지면서 머리를 바닥에 부딪힘</t>
  </si>
  <si>
    <t>▶ 배관 내부 청소작업시 장비 및 기계사용에 대한 작업순서, 작업방법 등이 포함된 작업계획서 작성 및 준수
▶ 주름관이 움직이지 않도록 견고히 고정하고, 근로자 접근 통제 구역 지정 및 신호수 배치</t>
  </si>
  <si>
    <t>2016년 2월경 OO(주) 석탄취급설비 설치공사 현장에서 화력 8∼9호기 사이 석탄 이송설비인 벨트 컨베이어 갤러리구간에서 협력업체 근로자 9명이 바닥 콘크리트 타설 작업 중 데크플레이트가 상부하중을 지지하지 못하고 아래로 무너지며 그 자리에서 콘크리트 타설작업을 하던 2명이 60m아래 지면 바닥으로 떨어져 사망</t>
  </si>
  <si>
    <t>데크플레이트 콘크리트 타설 작업 중 데크플레이트(구조적 불안정, 작업방법 불량 등)가 붕괴</t>
  </si>
  <si>
    <t>▶ 데크플레이트를 지지하는 철골빔과 같은 주요 부재 설치시, 용도, 품질, 이음부 발생 시 접합방법 등 사전 확인
▶ 콘크리트 타설 시 편심발생을 막기위해 집중타설 금지
▶ 콘크리트 타설 작업 시 데크플레이트의 변형 및 변위 감시를 위한 감시자 배치</t>
  </si>
  <si>
    <t>2016년 3월경 OO(주) 주차장전용건물 신축공사 현장 지상 2층에서 재해자(콘크리트공)가 바닥 무근콘크리트 타설을 위해 도구(갈고리)를 사용하여 콘크리트 타설용 주름관을 이동시키는 작업 중 갈고리가 주름관에서 빠지는 순간 몸의 중심을 잃고 뒤로 넘어지면서 카리프트 출입구(벽면 개구부)를 통해 약 3.96m 아래 파레트(주차설비)로 떨어져 사망</t>
  </si>
  <si>
    <t>무근콘크리트 타설을 위해 도구(갈고리)를 사용하여 콘크리트 타설용 주름관을 이동시키는 작업 중 갈고리가 주름관에서 빠지는 순간 몸의 중심을 잃고 뒤로 넘어지면서 떨어짐</t>
  </si>
  <si>
    <t xml:space="preserve">▶ 추락 및 낙하 방지 조치 철저 
▶ 작업장 사전점검 등 관리 감독 철저 
▶ 안전모 등 개인보호구 착용에 대한 관리 철저 </t>
  </si>
  <si>
    <t>2016년 3월경 OO(주)가 시공하는 아파트 주차장 Slab 콘크리트 타설작업 현장에서 OO종건(주) 소속인 재해자(비계공)가 펌프카 붐 끝단부에 붙어 있는 End Hose를 잡고 Con`c 타설 중, 펌프카의 왼쪽 아웃트리거 하부 지반이 침하되며 아웃트리거가 고임목을 이탈하면서 펌프카 붐대가 아래로 처지면서 재해자를 덮쳐 사망</t>
  </si>
  <si>
    <t>콘크리트 타설 작업 중 펌프카 아웃트리거 하부 지반이 침하되어 펌프카가 기울어지며 펌프카 붐대가 근로자 가격</t>
  </si>
  <si>
    <t>▶ 콘크리트 펌프카를 이용한 타설 작업 시 지반·지층 상태 사전조사 및 다짐 등의 방법으로 지지력 확보
▶ 콘크리트 펌프카를 이용한 타설 작업 시 아웃트리거 손상 등에 의한 전도방지를 위해 아웃트리거 접지부 받침대 설치 등 실시
▶ 차량계 건설기계 사용 시 유도자를 배치하여 작업반경 내 근로자 접근 통제 실시</t>
  </si>
  <si>
    <t>2016년 5월경 OO(주) 아파트 신축공사 현장에서 협력업체 ㈜OO토건 소속 재해자(콘크리트공)가 102동 13층 바닥 슬래브 및 벽체 콘크리트 타설공사의 다짐작업을 위해 벽체 조립철근을 넘어가던 중 몸의 중심을 잃고 쓰러지면서 조립철근에 회음부가 찔려 사망</t>
  </si>
  <si>
    <t>이동통로가 없는 상태에서 슬래브 및 벽체 콘크리트 타설공사의 다짐작업을 위해 벽체 조립철근을 넘어가던 중 몸의 중심을 잃고 쓰러지면서 조립철근에 찔림</t>
  </si>
  <si>
    <t>▶ 콘크리트 타설 작업 시 찔림위험이 있는 경우 조립철근이 없는 방향에서의 작업 통로 설치
▶ 철근 돌출로 인해 찔림위험이 있는 경우 철근 돌출부에 보호캡 설치 
▶ 추락 위험이 있는 장소에서 작업 시, 작업발판 및 안전방망 설치</t>
  </si>
  <si>
    <t>2016년 5월경 ㈜OO OO센터 신축공사 현장의 옥상 단부에서 폭이 10cm 넓혀진 파라펫 거푸집(H=5.3m, L=6.8m)에 콘크리트를 타설하고 재해자가 외부비계에서 상부를 면고르기 하던 중, 파라펫이 건물외부로 전락하여 재해자가 인접한 건물 옥상으로 떨어져(H=13.5m) 사망</t>
  </si>
  <si>
    <t>파라펫 거푸집에 콘크리트를 타설하고 근로자가 외부비계에서 상부를 면고르기 하던 중 파라펫이 건물외부로 전락하여 근로자 추락</t>
  </si>
  <si>
    <t xml:space="preserve">▶ 설계도면에 적합한 거푸집을 조립하고 안전성 평가 실시 
▶ 외부비계 고정 벽이음 철물 설치
▶ 거푸집 변형ㆍ변위 확인 등 관리감독 철저 </t>
  </si>
  <si>
    <t>2016년 8월경 OO(주) OO터널접속도로 건설공사 현장의 구조물공사 협력업체인 OO건설(주)의 콘크리트 펌프카 임대업체인 ㈜OO펌프카 소속 재해자(펌프카운전원)가 지하차도 기초(7블럭 구간) 콘크리트 타설 작업을 위해 지하차도 복공판 상부에서 콘크리트 펌프카 호퍼 정비작업 중 펌프카 후미쪽으로 후진하던 콘크리트 믹서 트럭 사이에 충돌후 협착되어 사망</t>
  </si>
  <si>
    <t>근로자 출입 통제가 이뤄지지 않은채 콘크리트 펌프카 호퍼 정비작업 중 펌프카 후미쪽으로 후진하던 콘크리트 믹서 트럭 사이에 충돌후 협착</t>
  </si>
  <si>
    <t>2016년 12월경 OO신축 공사(지하 1층, 지상 6층 건물) 현장에서 지상 6층 바닥 콘크리트 타설 작업 중 재해자(형틀목공)가 계단실 쪽 벽체 거푸집 보강 작업을 위해 슬라브 단부에서 벽체 거푸집지지 횡재로 올라서는 중 몸의 중심을 잃고 계단실 돌음계단 내부로 지하1층까지 추락(H≒21m)하여 사망</t>
  </si>
  <si>
    <t>벽체 거푸집 보강 작업을 위해 슬라브 단부에서 거푸집지지 횡재로 올라서는 중 몸의 중심을 잃고 근로자 추락</t>
  </si>
  <si>
    <t>▶ 높이가 2m 이상인 장소에서 거푸집 조립 및 보수 작업 시 비계 등의 조립을 통한 작업발판 설치
▶ 돌음계단 내부 개구부와 같이 추락위험이 있는 장소에는 추락방망 설치
▶ 높이 2m 이상의 고소작업 시 안전대 부착설비 설치 및 안전대 착용</t>
  </si>
  <si>
    <t>2017년 1월경 ㈜OO 아파트 현장에서 재해자가 지하주차장 슬래브에서 콘크리트를 타설하고 있는 펌프카 하부로 들어가 고압살수기로 물청소를 하고 고압호스를 가지고 나오던 중, 엔진과 연결되어 고속 회전하는 죠인트에 옷이 감기면서 사망</t>
  </si>
  <si>
    <t>지하주차장 슬래브에서 콘크리트를 타설하고 있는 펌프카 하부로 들어가 고압살수기로 물청소를 하고 고압호스를 가지고 나오던 중 엔진과 연결되어 고속 회전하는 죠인트에 옷이 감기면서 사망</t>
  </si>
  <si>
    <t>▶ 엔진과 연결된 죠인트가 고속으로 회전하고 있는 펌프카 하부에 작업자 출입 금지를 위해 유도자, 관리감독자 배치 또는 펜스, 표지반 설치
▶ 차량계 건설기계 사용 시 작업 전 종류, 운행경로, 작업방법 등에 대한 내용 및 작업순서, 방법 등을 작업자에게 주지</t>
  </si>
  <si>
    <t>2017년 1월경 다세대주택 신축현장에서 L형 옹벽 기초콘크리트 타설 중 펌프카 전면 우측 아웃트리거 하부지반이 붕괴되면서 재해자가 넘어지는 펌프카 붐대에 머리를 맞아 사망</t>
  </si>
  <si>
    <t>2017년 2월경 ㈜OO 공동주택 공사 현장에서 ㈜OO건설 소속 재해자(타설공)이 101동 필로티층 난간벽체 콘크리트 타설 후 난간상부 면정리 작업 중 내려오는 건설용리프트 운반구(케이지)와 난간벽체 사이에 끼어 사망</t>
  </si>
  <si>
    <t>필로티층 난간벽체 콘크리트 타설 후 난간상부 면정리 작업 중 내려오는 건설용 리프트 운반구와 난간벽체 사이에 끼임</t>
  </si>
  <si>
    <t>▶ 건설용리프트의 운반구가 오르내려 근로자의 출입 시 위험이 있는 경우 방책 설치 등 출입금지 조치 실시
▶ 부득이하게 방책 해체 시 건설용리프트의 전원 차단 조치 실시</t>
  </si>
  <si>
    <t>2017년 4월경 OO건설이 시공하는 근린생활시설 부지조성 현장에서 재해자(목공)가 콘크리트 펌프카 붐 끝에 달린 호스를 잡고 옹벽(H=2.0m) 기초 콘크리트 타설작업 중 콘크리트 펌프카 전면부 우측의 아웃트리거 하부 지반이 침하되고 고임목이 파손되면서 콘크리트 펌프카가 기울어져 콘크리트 펌프카의 붐에 맞은 후 깔리면서 사망</t>
  </si>
  <si>
    <t>2017년 5월경 ㈜OO에서 시공중인 OO신축공사 현장에서 직영근로자인 재해자(콘크리트 타설공)가 지상5층 경사지붕 콘크리트 타설 후 평탄화 작업을 하던 중 몸의 중심을 잃고 지상1층 바닥(H≒13.5m)으로 떨어져 사망</t>
  </si>
  <si>
    <t>안전난간이 미설치된 경사지붕 콘크리트 타설 후 평탄화 작업을 하던 중 근로자가 몸의 중심을 잃고 추락</t>
  </si>
  <si>
    <t xml:space="preserve">▶ 경사지붕에서 콘크리트 타설 및 평탄화 작업 등 추락위험 장소에는 경사지붕 단부에 안전난간 등 설치
▶ 안전난간 등 설치가 곤란할 경우 안전방망 설치
▶ 추락위험이 있는 장소에서 작업 시 안전대 착용 및 안전대 부착설비 설치 </t>
  </si>
  <si>
    <t xml:space="preserve">2017년 6월 </t>
  </si>
  <si>
    <t>2017년 6월 OO산업단지 OO지구 조성 현장에서 협력업체 OO(주)의 재해자(목공)이 지원시설용지의 J형 측구 타설을 보조하기 위해 J형 측구 거푸집 작업발판 위에서 원동기식 바이브레이터 엔진시동 준비를 하던 중 콘크리트펌프카의 호스가 요동·선회하면서 재해자를 강타하여 안전난간 사이로 추락하면서 바닥에 배근되어 있는 철근에 찔려 사망</t>
  </si>
  <si>
    <t>측구 거푸집 작업발판 위에서 원동기식 바이브레이터 엔진시동 준비를 하던 중 콘크리트펌프카의 호스가 요동·선회하면서 재해자를 강타하여 안전난간 사이로 추락</t>
  </si>
  <si>
    <t>2017년 10월 OO교회 신축 현장에서 1층 벽체(길이 6m, 높이 3.8m, 두께 20cm) 콘크리트 타설 중 벽체 거푸집이 무너지면서 벽체 외부 쌍줄비계 작업발판에서 작업 중이던 재해자가 무너지는 거푸집에 깔려 사망(추정)</t>
  </si>
  <si>
    <t>편 하중에 따라 무너질 위험 및 무너짐 방지조치가 미흡한 상태에서 벽체 콘크리트 타설 중 벽체 거푸집이 무너지면서 작업발판에서 작업 중이던 근로자가 깔림</t>
  </si>
  <si>
    <t xml:space="preserve">▶ 타설시 편하중 미 검토 등 거푸집 무너짐 방지조치 실시 
▶ 거푸집 지지재의 재료 결함 여부 점검 
▶ 버팀대 및 버팀줄을 구조적으로 안전하게 설치 </t>
  </si>
  <si>
    <t>2017년 10월경 OO건설이 시공하는 OO타워 신축공사 현장에서 재해자가 알루미늄 시트판넬에 묻은 시멘트 페이스트를 닦기 위해 시스템비계에서 물청소를 하던 중 비계 작업발판 2단에서 1단으로 내려오다가 계단에서 미끄러졌거나, 발판 단부에서 떨어져 사망</t>
  </si>
  <si>
    <t xml:space="preserve">흘러내린 시멘트 페이스트를 닦기 위해 시스템비계에서 물청소를 하던 중 가설계단에서 내려오다가 물기에 미끄러져 근로자 추락 </t>
  </si>
  <si>
    <t>▶ 비계 승강계단의 개방 측면 및 상부 작업발판 미설치 구간 등의 개구부에는 안전난간 설치 및 수직형 추락방망 설치
▶ 추락위험이 있는 장소에서 작업 시 안전대 부착설비 설치 및 안전대 착용</t>
  </si>
  <si>
    <t>2017년 11월경 OO(주)에서 시공 중인 복합건물 신축공사 현장에서 협력업체 ㈜OO건설 소속 재해자가 5층 건물 옥상층 콘크리트 타설 작업 중 펌프카 호스 해체 등을 위해 안전난간대를 기 해체한 외부비계 작업발판에 올라서서 이동 또는 작업 중 지상으로 떨어져(H≒15.0m) 사망</t>
  </si>
  <si>
    <t>콘크리트 타설 작업 중 펌프카 호스 해체를 위해 안전난간이 없는 작업발판에 서서 작업 중 추락</t>
  </si>
  <si>
    <t>▶ 추락위험이 있는 단부 주변에서 작업 시 단부에 안전난간 및 추락방호망 설치
▶ 높이 2m 이상의 추락위험 장소에서 작업 시 안전대 부착설비 설치 및 안전대 착용
▶ 개인보호구 지급 및 착용</t>
  </si>
  <si>
    <t>2017년 12월경 OO(주) OO로 정비사업 현장에서 OO(주) 소속 재해자(형틀목공)가 콘크리트 펌프카를 이용하여 버림콘크리트 타설 작업 중 지반이 침하되어 펌프카가 기울어지면서 하강하는 붐에 재해자 맞아 사망</t>
  </si>
  <si>
    <t>2018년 3월경 OO농장 개축공사 현장에서 재해자가 펌프카 붐대에 설치되어 있는 End Hose를 잡고 돈사 Slurry pit 옹벽 콘크리트 타설 작업 중, 펌프카 운전석 측 아웃트리거 하부 콘크리트 지면이 무너져 펌프카 붐대가 아랫방향으로 요동치면서 End Hose가 재해자의 안면부를 강타하여 사망</t>
  </si>
  <si>
    <t>2018년 3월경 (주)OO에서 시공중인 OO 신축공사 현장에서 협력업체 ㈜OO건설 소속 근로자인 재해자1(타설공)과 재해자2(타설공)이 콘크리트 펌프카 붐 끝에 달린 호스를 잡고 116동 지하1층 슬라브 콘크리트 타설작업 중 콘크리트 펌프카 전면부 좌측의 아웃트리거 하부 지반이 침하되고 받침목이 파단되면서 콘크리트 펌프카가 기울어져 펌프카의 붐에 맞아 피해자1은 사망, 피해자2는 부상</t>
  </si>
  <si>
    <t>2018년 5월경 ㈜OO에서 시공하는 다세대 신축공사 현장에서 재해자(철근공)가 콘크리트 타설 준비작업의 일환으로 콘크리트 진동기의 전원 연결을 위해 외부 쌍줄비계 상에서 리드선을 연결하던 중, 건물 외벽과 비계 사이의 개구부(길이 1600mm×폭800mm)를 통해 약 9.5m 아래 지상 1층 콘크리트 바닥으로 추락하여 사망</t>
  </si>
  <si>
    <t>콘크리트 전동기의 전원 연결을 위해 쌍줄비계에서 리드선을 연결하던 중 안전난간, 추락방호망 등의 안전시설물이 설치되어 있지 않은 상태에서 외벽과 비계 사이의 개구부에서 근로자 추락</t>
  </si>
  <si>
    <t xml:space="preserve">▶ 작업발판에서 작업시 개구부의 추락위험 방지조치 실시
▶ 추락 위험장소에서 개인보호구 착용 및 관리감독 철저  </t>
  </si>
  <si>
    <t>2018년 7월경 OO(주) OO신축공사 현장 101동 27층 바닥 슬라브 콘크리트 타설 마무리 작업을 하던 재해자(타설공)가 갑자기 쓰러져, 작업반장 및 동료작업자가 재해자를 그늘로(26층 내부) 옮겨서 응급조치중, 도착한 119구조대에 의해 병원으로 후송되었으나 사망_x000D_</t>
  </si>
  <si>
    <t>폭염 속 바닥 슬라브 콘크리트 타설 후, 심장질환을 갖고 있던 작업자가 콘크리트 면 마감 작업 중 정신을 잃고 쓰러짐</t>
  </si>
  <si>
    <t>▶ 하절기 작업 시, 현장 내 출입한 작업자를 대상으로 기 질환보유여부를 파악하여 필요시 해당 일에 작업을 제하는 등의 조치 실시
▶ 하절기 타설 작업 시, 파라솔 다수 개를 여러 개소에 설치하여 작업자들이 언제든 그늘에서 쉴 수 있도록 조치</t>
  </si>
  <si>
    <t>2018년 11월경 ㈜OO 주택재개발 정비사업 현장에서 골조공사 협력업체 OO건설(주) 소속 재해자가 119동 기초콘크리트 타설 작업을 위해 대기 중이던 레미콘 차량들의 차량 유도 중 116동과 타워크레인 2호기 사이에서 후진하는 레미콘 차량에 깔려 사망</t>
  </si>
  <si>
    <t>콘크리트 타설 작업을 위해 대기중이던 레미콘 차량 유도 중 근로자가 후진하는 레미콘 차량에 깔림</t>
  </si>
  <si>
    <t xml:space="preserve">2018년 12월경 OO(주)에서 시공하는 OO 태양광발전소 전기저장장치(ESS) 기초공사 현장에서 협력업체 소속 재해자(콘크리트 타설공)가 콘크리트 타설 작업을 준비 하던 중,  콘크리트 펌프카의 압송관이 막히자 압송관 교체작업을 위해 클립의 볼트를 해지하는 순간 막혀있던 콘크리트가 갑자기 분출하여 재해자의 머리를 타격하여 사망 </t>
  </si>
  <si>
    <t>콘크리트 타설 작업 준비 중 콘크리트 펌프카의 압송관이 막혀 압송관 교체작업을 위해 클립의 볼트를 해지하는 순간 막혀있던 콘크리트가 분출하여 근로자 가격</t>
  </si>
  <si>
    <t>▶ 콘크리트 펌프용 압송관이 막혀 콘크리트 타설작업 중지 시 작업 중단 및 보수 실시
▶ 분출되는 콘크리트에 맞을 위험이 있는 장소에서는 작업내용에 적정한 개인 보호구 지급 및 착용</t>
  </si>
  <si>
    <t>2018년 12월경 OO건설(주) 복선전철 공사 현장에서 재해자(펌프카운전원)가 OO갱#1 내부 라이닝 콘크리트 타설 작업을 위해 설치된 펌프카 후미에서 후진하는 콘크리트 믹서트럭의 유도 작업 중 후진하는 믹서 트럭과 펌프카 사이에 끼어 사망</t>
  </si>
  <si>
    <t>2019년 1월경 OO(주) OO신축공사현장에서 협력업체 소속 재해자(타설공)가 지하 기둥 콘크리트 타설을 위하여 흙막이 지보공(코너스트러트) 위에서 이동 중 높이 약 4.9M 콘크리트 바닥으로 떨어져 사망</t>
  </si>
  <si>
    <t>지하 기둥 콘크리트 타설을 위해 안전난간이 설치되지 않은 흙막이 지보공 위에서 이동 중 근로자가 몸의 중심을 잃고 추락</t>
  </si>
  <si>
    <t>▶ 추락위험이 있는 장소에서 작업 시 작업발판 설치 및 개구부에 안전난간 설치
▶ 지하합벽 작업 시 합벽지지대 설치 및 추락방지를 위한 가설계단, 작업발판, 안전난간대 설치
▶ 2m 이상의 고소작업 시 안전대 부착설비 설치 및 안전대 착용</t>
  </si>
  <si>
    <t>2019년 3월경 OO건설(주) OO공동주택 신축공사 현장에서 협력업체 ㈜OO 소속 재해자(콘크리트공)가 주차장 누름콘크리트 타설 장소로 이동하기 위해 슬래브에 기대어 세운 목재각재를 밟고 올라가던 중 목재각재가 부러지며 복부를 맞아 복강내출혈 등이 발생하여 사망</t>
  </si>
  <si>
    <t xml:space="preserve">콘크리트 타설 장소로 이동하던 중 이동통로가 확보되지 않은 상태에서 슬래브에 기대어 세운 목재각재를 밟고 올라가던 중 목재각재가 부러지며 근로자 복부를 강타 </t>
  </si>
  <si>
    <t>▶ 작업장으로 통하는 장소 또는 작업장내에 통로의 주요 부분에 통로표시로 안전한 통행 보장
▶ 작업여건에 의해 후속작업이 영향을 받은 경우 무리한 작업진행 지양</t>
  </si>
  <si>
    <t>2019년 4월경 ㈜OO 공장 신축공사현장에서 재해자(미장공) 등 10명이 지상1층 바닥 콘크리트 타설을 하던 중 슬래브를 지지하는 작은보(철골) 2개소에서 보와 옹벽 사이의 임베드 플레이트 볼트 용접 부위가 파단 되면서 보와 슬래브가 한쪽으로 기울며 붕괴되어 6명의 근로자가 6.5m 높이에서 미끄러지듯 떨어지면서 부상(4명이 3개월 이상의 요양 필요)</t>
  </si>
  <si>
    <t>바닥 콘크리트 타설을 하던 중 슬래브를 지지하는 작은보 2개소에서 임베드 플레이트 볼트 용접 부위가 파단나면서 슬래브가 한쪽으로 기울어 근로자 추락</t>
  </si>
  <si>
    <t>▶ 철골부재 용접 시 용접관련 자격증 보유 확인 및 용접 후 원청, 하청, 감리의 입회하에 검측 실시
▶ 데크플레이트를 설치하는 철골구조물을 시공하는 경우 철골구조물 자중, 상부 적재하중 및 콘크리트 타설에 따른 진동 및 충격 등을 고려하여 전도방지조치 실시</t>
  </si>
  <si>
    <t>2019년 5월경 일반산업단지 조성공사에서 재해자(타설공)가 절토사면부 도수로벽체 콘크리트 타설작업 중 지반 침하로 콘크리트 펌프카 아웃트리거 접지부가 지반 속으로 꺼지면서 동시에 펌프카 전면부가 앞으로 기울어져 순간적으로 하강한 붐 선단부위에 머리를 맞아 사망</t>
  </si>
  <si>
    <t xml:space="preserve"> 2019년 9월경 OO(주) 해수욕장 연안정비사업현장의 블록 제작장에서 재해자(형틀목공, 펌프카 운전자) 2명이 거푸집 상부 작업발판 위에서 콘크리트 타설작업 중 거푸집이 순간 기울면서 전도되는 과정에서 지상으로 떨어져 부상</t>
  </si>
  <si>
    <t>근로자가 잠제블록 AI 거푸집 상부 작업발판 위에서 콘크리트 타설작업 중 콘크리트가 유출되면서 거푸집이 순간 기울면서 전도되는 괒어에서 지상으로 추락</t>
  </si>
  <si>
    <t>▶ 거푸집은 외력에 견디거나 넘어지지 않게 버팀대, 긴결재 설치
▶ 콘크리트 타설작업 시 감시자를 배치하여 거푸집의 변형, 침하, 콘크리트 유출 등 이상이 있을 시 작업 중지 및 근로자 대피</t>
  </si>
  <si>
    <t>2019년 10월경 ㈜OO이 시공하는 생산동 구축 1단계 공사 현장에서 협력업체 소속 재해자(타설공)가 콘크리트 펌프카(40ton) 엔드호스를 잡고 매트기초 슬라브 버림 콘크리트 타설작업 중 펌프카 후방 우측 아웃트리거 하부 지반이 침하되면서 펌프카가 기울어져 하강하는 붐(5단)에 맞아 사망</t>
  </si>
  <si>
    <t>2019년 11월경 OO(주)가 시공하는 창고시설 신축 현장에서 협력업체 ㈜OO 소속 근로자 재해자(철근공, 형틀공) 2명이 창고동 옥상 슬래브(Slab)에서 콘크리트타설 작업 중 데크플레이트가 철골에서 탈락하며 2층 바닥으로 떨어져(H≒7m) 부상</t>
  </si>
  <si>
    <t xml:space="preserve">▶ 콘크리트 타설작업 시 사전에 거푸집의 변형 및 변위 등을 점검 및 보수
▶ 데크플레이트의 양단 걸침길이는 50mm 이상으로 하며 용접 방법과 간격 준수 </t>
  </si>
  <si>
    <t>2020년 4월경 ㈜OO OO현장에서 철근콘크리트 협력업체 OO건설(주) 소속 재해자(콘크리트공)이 콘크리트 타설용 배관 내부의 청소를 위해 산소주입용 캡의 고정철물 해체 중 배관 내부 압력이 분출되면서 산소주입용 캡에 맞아 사망</t>
  </si>
  <si>
    <t>콘크리트 타설용 배관 내부의 청소를 위해 스폰지볼을 삽입 후 배관과 산소용기를 연결하여 가압하던 중 배관내부의 스폰지 볼이 막혀 산소주입용 캡의 고정철물 해제 중 배관 내부 압력이 분출되면서 산소주입용 캡에 강타</t>
  </si>
  <si>
    <t>▶ 콘크리트 배관 등 청소작업 시 압축된 기체가 방출되어 사고가 발생하지 않도록 압축된 기체를 방출하도록 조치 후 작업
▶ 개인보호구 지급 및 착용</t>
  </si>
  <si>
    <t>2020년 5월경 ㈜OO 오피스텔 신축공사 현장에서 재해자(콘크리트공)가 기포콘크리트 믹서기 교반용 용수가 개방형 물백에서 넘치자 물을 잠그기 위하여 지하 4층 벽체 측면 개구부(드라이에어리어)에서 용수공급용 펌프 전원 차단스위치를 찾고자 무리하게 몸을 내밀어 내려다 보던 중 약4.4m 아래의 콘크리트 바닥으로 추락하여 사망</t>
  </si>
  <si>
    <t>기포콘크리트 믹서리 교반용 용수가 개방형 물백에서 넘치자 물을 잠그기 위해 지하 벽체 측면 개구부에서 용수공급용 펌프 전원 차단스위치를 찾고자 무리하게 몸을 내밀어 내려다 보던 중 근로자 추락</t>
  </si>
  <si>
    <t xml:space="preserve">▶ 개구부에 안전난간 등 추락방지조치 
▶ 개인보호구 지급 및 관리감독 업무 수행 철저
▶ 기포콘크리트 믹서기 용수공급용 개방형 물백에 용수가 넘칠 경우 안전하게 차단하도록 감독 철저 </t>
  </si>
  <si>
    <t>2020년 6월경 OO에서 시공하는 근린생활시설 신축공사현장에서 콘크리트 펌프카를 이용한 버림 콘크리트 타설을 완료한 후 붐(Boom, 총 4단 중 3단 접는 도중 사고발생)을 접는 순간, 유압실린더의 로드(Rod)가 전단파괴를 일으키며 파단되면서 붐이 구속력을 잃고 전방으로 펼쳐지면서 재해자(미장공)를 가격하여 사망</t>
  </si>
  <si>
    <t>버림 콘크리트 타설 완료 후 펌프카 붐을 접는 순간 유압실린더의 로드가 전단파괴를 일으키며 파단되면서 붐이 구속력을 잃고 전방으로 펼쳐지면서 재해자를 가격</t>
  </si>
  <si>
    <t>▶ 위험구역 내 근로자 출입금지
▶ 유도자 배치를 통한 근로자 출입통제 및 차량계 건설기계 유도</t>
  </si>
  <si>
    <t>2020년 9월경 ㈜OO 주거 및 업무시설 신축공사 현장의 기계식주차장 중층 슬래브 위에서 재해자 2명이 콘크리트를 타설하던 중, 데크플레이트가 붕괴되어 약 46.5미터 아래 주차 Pit내 지하2층 바닥으로 추락하여 사망</t>
  </si>
  <si>
    <t>2020년 10월경 OO㈜ OO현장에서 협력업체 ㈜OO개발 소속 근로자 7명이 B-1시설 슬래브 콘크리트 타설작업 중 시스템 동바리가 자중 및 작업하중 등을 견디지 못하고 붕괴되면서 근로자 7명이 약 11.6m 아래 바닥으로 추락, 매몰되어 부상</t>
  </si>
  <si>
    <t>슬래브 콘크리트 타설작업 중 시스템 동바리가 자중 및 작업하중 등을 견디지 못하고 붕괴되면서 바닥으로 추락, 매몰</t>
  </si>
  <si>
    <t>▶ 구조검토 및 조립도 작성하고 견고한 구조로 조립 및 설치
▶ 시스템 동바리는 하중에 의한 변위가 발생하지 않도록 가새재 설치 등 상세도 준수</t>
  </si>
  <si>
    <t>2020년 11월경 문화체험장 조성사업 현장에서 재해자(콘크리트공)가 기초 콘크리트 타설 작업 중 콘크리트 펌프카 아웃트리거가 지반 속으로 침하하면서 순간적으로 하강한 붐 선단부위에 깔려 사망</t>
  </si>
  <si>
    <t>2021년 1월경 11:10경 OO(주) OO공동주택 신축공사 현장에서 105동 지하주차장 진입구간 램프벽체 콘크리트 타설 작업 중 거푸집이 붕괴되면서 ㈜OO건설 소속 재해자 2명중 붕괴구간 하부에 있었던 재해자(형틀공)가 사망, 비계위에 있었던 재해자(타설공)가 추락하여 부상</t>
  </si>
  <si>
    <t>구조검토가 되지 않은 자재를 사용하여 조립도를 임의로 작성한 상태에서 지하주차장 진입구간 램프벽체 콘크리트 타설 작업 중 거푸집이 붕괴</t>
  </si>
  <si>
    <t>▶ 콘크리트 타설 시 동바리를 설치하는 경우 조립도에 따른 설치방법을 준수하여 동바리 설치
▶ 콘크리트 타설 시 편심발생을 막기위해 집중타설 금지
▶ 현장상황에 맞게 동바리 설치를 변경할 경우 사전 구조검토 실시
▶ 거푸집 동바리 시공 시, 수평변위에 저항할 수 있도록 보강재 설치 및 멍에/장선의 중심선 설치 여부 확인
▶ 안전인증품 동바리 사용</t>
  </si>
  <si>
    <t>2021년 2월경 OO(주) OO신축공사 현장에서 지상1층 콘크리트 타설 중 상부슬래브가(데크플레이트 : 8.1m x 10.3m, 3 Span) 붕괴되면서, 지상1층 바닥에서 콘크리트 양생용 열풍기에 연료주입을 하던 재해자 2명을 덮쳐 부상</t>
  </si>
  <si>
    <t>2021년 2월경 OO(주)에서 시공 중인 OO신축공사 현장에서 지하 1층 주차장 바닥 슬라브 타설 작업 중 데크플레이트가 붕괴하여 타설작업자 5명이 떨어져(H≒3.5m) 전원 부상</t>
  </si>
  <si>
    <t>2021년 3월경 (주)OO에서 시공하는 OO센터 신축현장에서 철근콘크리트 협력업체 OO(주) 소속 재해자가 지하4층 합벽 콘크리트 타설 중 복공판 상부에 설치되어있던 콘크리트 펌프카의 1단과 2단 붐대 연결부분 파단으로 인해 붐이 주저앉으면서 그 충격으로 붐 끝에 연결되어 있던 호스가 유동하면서 재해자를 타격하여 사망</t>
  </si>
  <si>
    <t>지하층 합벽 콘크리트 타설 중 복공판 상부에 설치되어있던 콘크리트 펌프카의 1단과 2단 붐대 연결부분 파단으로 인해 붐이 주저앉으면서 붐 끝에 연결되어 있던 호스가 유동하여 재해자를 타격</t>
  </si>
  <si>
    <t>▶ 콘크리트 펌프카를 사용하여 작업 시 아웃트리거 설치 길이 준수, 붐 각도, 타설 작업반경 검토 후 실시
▶ 차량계 건설기계를 사용하여 작업 시 붐∙암 등 작업장치가 파괴될 위험 방지를 위해 최대사용하중 준수
▶ 콘크리트 펌프카 사용 중 지반침하 방지를 위해 지반 허용지내력을 고려하여 아웃트리거 지지면적 확보 및 아웃트리거 하부에 철판으로 충분한 접지면 확보 후 작업</t>
  </si>
  <si>
    <t>2021년 8월경 ㈜OO 테라스하우스 신축공사 현장에서 재해자가 내부 계단 타설작업 중인 현장을 확인하고 건축물의 창문을 통해 외부 시스템 비계로 이동 혹은 외부 시스템비계에서 건축물의 창문으로 내부 이동 중 건축물과 시스템 비계 사이 개구부로 떨어져 사망</t>
  </si>
  <si>
    <t>가설통로가 미설치된 외부비계 작업발판과 건축물 내부 사이를 이동 중 비계 작업발판과 외벽 사이 개구부에서 추락</t>
  </si>
  <si>
    <t>2021년 9월경 OO(주)에서 OO신축공사 현장에서 철근콘크리트 공사 협력업체 ㈜OO건업 소속 재해자 3명이 지상 1층 바닥 슬라브 콘크리트를 타설하는 중 슬라브가 붕괴되며 데크플레이트 및 보와 함께 약 8.5m 아래 지하 1층 바닥으로 추락하여 2명 사망, 1명 부상</t>
  </si>
  <si>
    <t>2021년 10월경 OO(주)에서 시공하는 주택재개발 정비사업 현장에서 철근콘크리트 협력업체 ㈜OO 소속 재해자가 110동 지상4층 바닥 콘크리트 타설 작업 중 중심을 잃고 뒤로 주저앉으면서 옆에 돌출되어 있던 벽체 이음용 수직 철근(D10, 높이 약 38cm)에 엉덩이 부근을 찔려 사망</t>
  </si>
  <si>
    <t>콘크리트 타설 작업 중 발을 디뎌야 하는 구간이 보이지 않은 상태에서 재해자가 전동다짐기를 보조하는 작업을 하면서 중심을 잃고 배근된 철근에 찔림</t>
  </si>
  <si>
    <t>2021년 10월경 OO㈜ 용·배수로 개선사업 현장에서 OO중기 소속 재해자(운전자)가 콘크리트 타설 현장에 도착하여 콘크리트 믹서트럭을 경사로(경사도 8.25˚)에 정차하고 콘크리트 타설 작업 중 제동장치 이상으로 미끄러지면서 바퀴에 깔려 사망</t>
  </si>
  <si>
    <t>2021년 10월경 OO(주) OO공장 반도체 제조설비 OO(주) 신축공사 현장에서 철근콘크리트공사 협력업체인 OO건설(주)의 수급업체인 탑중기 소속 재해자(콘크리트 펌프카 기사)가 모르타르(mortar) 타설 종료 후 펌프카 배관 내부에 남은 잔여 모르타르를 콘크리트 믹서트럭에 회수하기 위해 믹서트럭 계단에 올라가 작업 중 믹서트럭 호퍼 투입된 펌프카 고무호스가 갑자기 요동치며 허공으로 튀어올라 재해자를 타격하여 높이 2.6m에서 추락하여 사망</t>
  </si>
  <si>
    <t>콘크리트 펌프카 기사가 타설 종료 후 펌프카 배관 내부에 남은 잔여 모르타르를 콘크리트 믹서트럭에 회수하기 위해 믹서트럭 계단에 올라가 작업 중 믹서트럭 호퍼 투입된 펌프카 고무호스가 갑자기 요동치며 허공으로 튀어올라 재해자를 타격하여 추락</t>
  </si>
  <si>
    <t>▶ 콘크리트펌프카 호스의 갑작스러운 요동 시 작업을 즉시 중지시키고 상태점검
▶ 믹서트럭 계단에 올라서는 등 불안정한 자세에서 작업금지
▶ 콘크리트펌프카 주변의 근로자 가격 위험 장소에는 근로자 출입 금지 및 유도자 배치</t>
  </si>
  <si>
    <t>2021년 11월경 근린생활시설 및 업무시설 신축공사 현장에서 재해자(타설공)가 9층 바닥 콘크리트 타설 중 기계식 주차타워 내부 비계에서 타설위치로 이동중(추정) 기계식 주차타워 내부 비계와 벽체사이로 추락하여 사망</t>
  </si>
  <si>
    <t>당일 콘크리트 타설한 슬라브 바닥을 밟지 않고 이동하기 위해 기계식 주차타워 내부 비계를 통해 이동하다가 기계식 주차타워 내부 비계와 벽체사이로 추락</t>
  </si>
  <si>
    <t>▶ 비계 상에서 작업 시 작업구간 전체에 걸쳐 작업발판 및 안전난간(상부, 중간난간대)을 견고하게 설치 후 작업 실시
▶ 작업발판 및 안전난간 설치가 곤란한 경우 안전대를 걸 수 있는 안전대 부착설비 설치
▶ 근로자가 추락할 위험이 있는 장소에서 작업 시 개인보호구 착용 철저 및 확인 감독 실시</t>
  </si>
  <si>
    <t>2021년 12월경 ㈜OO 물류센터 신축공사 현장에서 재해자(콘크리트공)가 지상 9층 PC구조물 상부에서 콘크리트 타설 중 지상1층 바닥(H≒50m)으로 떨어져 사망</t>
  </si>
  <si>
    <t>콘크리트 타설 중 안전난간이 설치되어 있지 않은 슬래브 단부로 근로자 추락</t>
  </si>
  <si>
    <t>▶ 추락위험이 있는 슬래브 단부에는 안전난간 설치
▶ 안전난간의 설치가 곤란할 경우 추락방망 설치
▶ 높이 2m 이상에서의 고소작업 시 안전대 부착설비 설치 및 안전대 착용</t>
  </si>
  <si>
    <t>2.4.3 콘크리트 양생</t>
  </si>
  <si>
    <t>2017년 5월경 OOO(개인)이 시공하는 저온 창고신축공사 현장에서 재해자(보통인부)가 저온창고 천장 슬래브 콘크리트 타설 후 밀대로 면 고르기 작업을 하면서, 뒷걸음질 하다 슬래브 단부에서 지상 콘크리트 바닥으로 떨어져(h=5m) 사망</t>
  </si>
  <si>
    <t>콘크리트 타설작업 중 안전난간이 설치되어 있지 않은 슬래브 단부로 근로자 추락</t>
  </si>
  <si>
    <t>2017년 10월경 ㈜OO 복합시설 개발사업 현장에서 콘크리트공인 재해자가 지상11층 콘크리트바닥 마감작업(Finishing) 후 지상 10층으로 계단통로를 통해 이동하던 중 계단참 단부에서 약 2.3m아래 지상10층 콘크리트 바닥으로 추락하여 사망</t>
  </si>
  <si>
    <t>콘크리트 마감 작업 후 계단통로를 통해 이동 하던 중 안전난간이 해체된 상태의 계단참 단부에서 근로자 추락</t>
  </si>
  <si>
    <t>▶ 작업간섭 등의 사유로 계단 및 계단참 단부의 안전난간이 해체된 경우 해당작업 종료 후 안전난간 재설치
▶ 추락위험이 있는 장소에서 작업 시 안전대 부착설비 설치 및 안전대 착용
▶ 개인보호구 지급 및 착용</t>
  </si>
  <si>
    <t>2017년 12월경 도시형생활주택 신축공사현장 부대시설 지하층에서, ㈜OO의 하청업체인 OO건설(주) 소속 재해자 2명이 당일 보온·양생을 위해 피워놓은 야자열매숯 난로를 교체작업 중 일산화탄소에 의한 질식으로 사망</t>
  </si>
  <si>
    <t>동절기 콘크리트 타설 후 보온양생용 숯 난로를 사용하는 현장에서 농도측정을 하지 않고 송기마스크를 착용하지 않은채 작업장에 출입한 근로자 질식</t>
  </si>
  <si>
    <t>▶ 동절기 콘크리트의 보온양생을 목적으로 갈탄, 목탄,야자열매 숯 등 난로를 사용하는 경우, 주기적으로 작업장 내 환기 실시
▶ 동절기 콘크리트의 보온양생을 목적으로 난로를 사용하는 경우, 재료(야자열매숯, 갈탄 등)의 일산화탄소 발생 시험성적, 밀폐 공간에서 사용 시 발생할 수 있는 질식재해 등과 같은 위험성을 사전에 확인 후 사용하도록 조치
▶ 동절기 콘크리트의 보온양생을 목적으로 난로를 사용하고 일정시간 사용 후 교체하는 경우, 반드시 호흡용 보호구를 착용하고 유해가스 농도 측정기를 사용하여 질식사고에 대비</t>
  </si>
  <si>
    <t>2017년 12월경 공동주택 신축공사 현장에서 ㈜OO 협력업체인 OO건설(주) 소속 근로자(최초 목격자)가 1동 옥탑2층 타설 후 콘크리트 보온양생을 위해 난로(대나무숯)를 점화하였고 이후 난로의 상태를 확인하기 위하여 해당 장소로 올라간 재해자가 사망</t>
  </si>
  <si>
    <t>2017년 12월경 OO(주)에서 시공중인 OO타워 신축공사 현장에서 일용직 근로자인 재해자가(보통인부)가 지하1층 바닥슬라브에서 콘크리트 보온양생 준비작업 중, 작업반장이 지하1층 바닥의 얼음을 녹이기 위해 휘발유를 뿌리고 점화한 불이 천장의 단열재에 옮겨 붙어 일어난 화재에 미처 대피하지 못하고 지하1층 계단실 입구에서 사망</t>
  </si>
  <si>
    <t>바닥의 얼음을 녹이기 위해 휘발유를 뿌리고 점화한 불이 천장의 단열재에 옮겨 붙어 일어난 화재에 대피하지 못하고 근로자 사망</t>
  </si>
  <si>
    <t>▶ 건축물에서 인화성 유류 등 폭발이나 화재원인물질 취급장소에는 규모, 넓이, 취급물질 종류에 적합한 소화설비 설치
▶ 난로 등의 화기 사용 후 불티가 남지 않도록 후처리 실시</t>
  </si>
  <si>
    <t>2017년 12월 OO(주) 아파트 신축공사 현장에서, ㈜OO 소속 재해자가 지하주차장 지하1층 슬래브 거푸집 위에서 콘크리트 양생 보양천막 틀 설치작업 중, 몸의 중심을 잃고 지하 1층 바닥으로 떨어져(H≒4m) 사망</t>
  </si>
  <si>
    <t>슬래브 거푸집 위에서 콘크리트 양생 보양천막 특 설치 작업 중 근로자가 몸의 중심을 잃고 안전난간이 설치되어 있지 않은 단부로 추락</t>
  </si>
  <si>
    <t>▶ 추락위험이 있는 개구부 주변에서 작업 시 단부에 안전난간 및 추락방호망 설치
▶ 높이 2m 이상의 추락위험 장소에서 작업 시 안전대 부착설비 설치 및 안전대 착용
▶ 개인보호구 지급 및 착용</t>
  </si>
  <si>
    <t>2019년 1월경 ㈜OO에서 시공하는 OO 신축공사 현장에서 재해자(보통인부)가 건물배면 지상1층 외부에서 동절기 단열용 보양천막을 설치하던 중, 환기구 개구부(3,200㎜×1,550㎜)를 통해 약 12m 아래 지하3층 콘크리트 바닥으로 떨어져 사망</t>
  </si>
  <si>
    <t>동절기 단열용 보양천막을 설치하던 중 미고정된 상태의 강관파이프 위에 올려진 합판을 밟고 합판이 뒤집어지면서개구부로 근로자 추락</t>
  </si>
  <si>
    <t>▶ 환기구 개구부 등 추락위험 장소에서 작업 시 안전난간, 울타리, 수직형 추락방망 또는 덮개 등 방호조치 실시
▶ 개구부 덮개 설치 시 전도방지를 위해 구조물 등 견고히 체결
▶ 추락위험이 있는 장소에서 작업 시 안전대 부착설비 설치 및 안전대 착용</t>
  </si>
  <si>
    <t>2019년 1월경 ㈜OO 공동주택 신축공사 현장 106동 옥탑2층에서 협력업체인 OO개발(주) 소속 재해자 2명이 콘크리트 타설 후 보온양생용으로 피워놓은 드럼난로의 숯탄 보충작업을 하던 중 숯탄이 연소되며 발생한 일산화탄소에 의해 중독·질식하여 사망_x000D_</t>
  </si>
  <si>
    <t>2019년 1월경 ㈜OO건설에서 시공하는 OO근린시설 건설현장에서 재해자가 콘크리트 보온 양생을 위하여 지상 3층 외부 발코니에서 천막 설치작업 중 지상 1층 바닥으로 추락(H≒7.5m) 하여 사망</t>
  </si>
  <si>
    <t>2019년 2월경 OO(주) 아파트 건설공사 현장 101동 옥탑 2층에서 재해자가 콘크리트 타설 후 보온양생용으로 피워놓은 드럼난로의 코코넛탄이 연소되며 발생한 일산화탄소에 의해 중독·질식되어 사망</t>
  </si>
  <si>
    <t>2019년 12월경 오피스텔 신축공사 현장에서 지하1층 A-2구간 부상토제거 및 자재정리 작업 중 상부 슬래브 붕괴로 인하여 OO(주) 소속 근로자 2명이 부상</t>
  </si>
  <si>
    <t>지하층에서 자재정리 작업 중 시공도면 및 구조검토서 미준수한 상부 슬래브 붕괴</t>
  </si>
  <si>
    <t>▶ 콘크리트 타설 후 타설구간 변형 및 변위 감시를 위한 감시자 배치
▶ 콘크리트 타설 후 거푸집의 이상상태 발생(거푸집 변형, 거푸집 사이로 콘크리트 흘러내림 등) 시 즉시 작업중지 및 작업자 대피</t>
  </si>
  <si>
    <t>2020년 8월경 OO(주)이 시공하는 OO 공장동 건축공사 현장에서, 재해자(미장공)이 공장동 1층 콘크리트 타설구간 내 기계미장(휘니셔) 작업을 하던 중 갑자기 쓰러져 병원으로 이송 후 사망</t>
  </si>
  <si>
    <t>콘크리트 타설구간 내 기계미장 작업을 하던 중 갑자기 쓰러져 근로자 사망</t>
  </si>
  <si>
    <t>▶ 고열에 의한 건강장해 예방 조치 
▶ 적절한 휴게시설 운영
▶ 적절한 휴게시간 제공 및 관리</t>
  </si>
  <si>
    <t>2021년 5월경 도시형생활주택 신축공사 현장에서 재해자(미장공)가 당일 타설된 콘크리트 표면을 평평하게 고르기 위해 옥상(6층 천장)에서 이동 또는 작업 준비 과정에서 외부비계와 건물 사이로 떨어져(H≒17.4m) 사망(추정)</t>
  </si>
  <si>
    <t>3. 철골공사</t>
  </si>
  <si>
    <t>3.1 철골 작업</t>
  </si>
  <si>
    <t>3.1.1 철골 부재반입 및 운반</t>
  </si>
  <si>
    <t>2015년 10월경 ㈜OO OO공장 신축공사 현장 주변 도로에서, 재해자(철골공)가 현장 인근의 야적장에서 철골자재를 트레일러에 싣고 적재함에 함께 탑승한 채 공사현장으로 이동하던 중 트레일러 적재함에 실린 철골자재가 재해자와 함께 도로로 떨어지면서 재해자 위로 덮쳐 사망</t>
  </si>
  <si>
    <t>철골자재의 낙하방지조치가 불량한 상태에서 철골자재를 트레일러에 싣고 적재함에 함께 탑승한 채 공사현장으로 이동하던 중 철골부재와 재해자가 함께 도로로 떨어지면서 재해자 위로 덮쳐 깔림</t>
  </si>
  <si>
    <t>▶ 트레일러에 화물적재시 화물의 붕괴 또는 낙하에 의한 위험을 방지하기 위해 화물에 로프등으로 고정하여 탈락하지 않도록 하여야 함</t>
  </si>
  <si>
    <t>2015년 12월경 OO골프장 천정 그물망 보수공사 현장에서 재해자(도비공)가 동료 근로자와 함께 철구조물 기둥 상부에서 수직 그물망 설치 작업 중  실족하여 약 35m 아래 지상바닥으로 떨어져 사망(추정)</t>
  </si>
  <si>
    <t>동료 근로자와 함께 철구조물 기둥 상부에서 수직 그물망 설치 작업 중  실족하여 약 35m 아래 지상바닥으로 떨어짐</t>
  </si>
  <si>
    <t>▶ 추락위험장소에서 작업 시 안전대 부착설비 설치 및 안전대 착용
▶ 철골작업장에서 볼트 조입 작업 시 달대비계 등 안전한 작업 발판 설치 후 작업</t>
  </si>
  <si>
    <t>2016년 3월경 OO이 시공하는 OO공장 신축공사 현장에서 재해자가 철골보 위에서 월브레이싱을 조립하기 위해 대기하던 중 이동식크레인(25톤)으로 인양한 월브레이싱이 튕기면서 재해자를 강타하여 지상 1층 바닥으로 떨어져(높이≒7.5m) 사망</t>
  </si>
  <si>
    <t xml:space="preserve">철골보 위에서 윌브레이싱을 조립하기 위해 대기하던 중, 이동식크레인으로 인양한 윌브레이싱이 튕기면서 근로자 강타 </t>
  </si>
  <si>
    <t>▶ 철골빔 위에서 윌브레이싱 설치를 위해 고소작업 시 추락방망 설치, 고소작업대 사용 등 추락방지조치 실시
▶ 추락위험이 있는 장소에서 작업 시 안전대 부착설비 및 안전대 착용
▶ 철골부재에 끼인 윌브래이싱 분리 시 튕김 방지를 위해 인력으로 지렛대 등을 확용하여 작업 실시</t>
  </si>
  <si>
    <t>2016년 9월경 ㈜OO이 시공하는 아파트 신축공사 현장에서 골조공사를 수급받은 ㈜OO건설 소속 형틀공인 재해자가 데크플레이트(Deck Plate, 600×2,400×2.1) 상단에서 지게차 포크(Fork)위에 적재된 자재를 데크플래이트 위로 내리는 작업을 보조하던 중 지게차가 지하1층 콘크리트 바닥을 지나 데크플레이트로 넘어오면서 데크플레이트가 무너지자 재해자가 지게차와 함께 지하2층 바닥으로 떨어져 지게차에 깔려 사망</t>
  </si>
  <si>
    <t>지게차가 콘크리트 바닥을 지나 데크플래이트만 설치된 구간으로 넘어오면서 데크플래이트가 무너져 근로자와 같이 추락하여 지게차에 깔림</t>
  </si>
  <si>
    <t>▶ 지게차를 이용하여 운반작업 시 운행경로 및 작업방법 계획 수립
▶ 차량계 하역운반기계 사용 시 추락위험이 있는 단부까지 운행하는 등 불안전한 작업 금지
▶ 차량계 하역운반기계를 사용하여 자재 운반 작업 시 위험 장소에서 유도자 배치</t>
  </si>
  <si>
    <t>2016년 12월경 OO기업에서 시공중인 OO신축공사 현장에서 직영 근로자(보통인부)가 외부에서 반입된 철골부재를 당 현장 지상1층 바닥으로 하차작업 하던 중, 화물차 적재함에 적대된 철골부재(H-350×175×7×11, L≒7.3m, 362kg)가 지상1층 바닥으로 낙하, 화물차 주변에 서있던 재해자가 맞으며 사망</t>
  </si>
  <si>
    <t>철골부재를 바닥으로 하차작업 하던 중 화물차 적재함에 적재된 중앙부의 철골부재를 인양하는 순간 단부에 적재된 철골부재 바닥으로 낙하</t>
  </si>
  <si>
    <t>▶ 차량계 하역운반기계 등을 사용하여 작업 시 근로자 접촉방지를 위해 이동경로에 대해 출입 통제 및 안전통로 설치
▶ 적재된 철골부재 등의 낙하방지를 위해 단부에서 떨어진 곳에 적재 및 낙하방망 설치</t>
  </si>
  <si>
    <t>2017년 5월경 OO(주) OO 증축공사 현장에서 재해자가 지상 1층에 설치된 안전난간을 넘어 철골빔으로 이동하던 중 지하 1층 바닥으로 떨어져(약6.7m) 사망</t>
  </si>
  <si>
    <t>설치된 안전난간을 넘어 철골빔으로 이동하던 중 바닥으로 근로자 추락</t>
  </si>
  <si>
    <t>▶ 철골 설치 작업장으로 이동가능한 통행로 설치 시 통행로 구간에 개폐식 구조의 안전난간을 설치하여 안전난간을 열고 안전대를 체결한 상태에서 철골빔으로 이동할 수 있도록 조치
▶ 작업발판 단부에 추락방망 등 설치를 통한 추락방지조치 실시</t>
  </si>
  <si>
    <t>2017년 7월경 OO에서 시공하는 ㈜OO 공장 신축현장에서, 트럭크레인 적재함의 철골자재를 하차하던 중 재해자가 트럭크레인 적재함의 철골자재(H-beam)를 잡고 오르려는 순간 결속로프가 풀린 상태의 H-beam이 떨어지면서 동시에 몸이 중심을 잃고 바닥으로 추락하여 사망</t>
  </si>
  <si>
    <t>트럭크레인 적재함의 철골자재를 하차하는 과정에서 근로자가 트럭크레인 적재함의 H빔을 잡고 오르려는 순간 결속로프가 풀린 상태에서 H빔이 떨어지면서 동시에 몸의 중심을 잃고 근로자 추락</t>
  </si>
  <si>
    <t>▶ 차량계 하역운반기계 등의 단위화물의 무게가 100kg 이상인 화물을 내리는 작업 시 중량물은 상하 긴결하게 묶여진 채로 순서에 맞게 해체하며, 작업자는 트럭 적재함에 안전하게 이동할 수 있는 디딤대나 발판을 사용
▶ 화물자동차에 화물 적재 시 최대적재량 내에서 적재</t>
  </si>
  <si>
    <t xml:space="preserve">2017년 9월경 OO건설(주)에서 시공하는 OO(주) OO공장 증설 토목 건축공사 현장내에서 이동식 크레인(50ton)으로 철골보를 양중(하강) 하던 중 철골보가 낙하되면서 3층에서 철골보 조립 위치를 잡기 위해 무전중이던 재해자의 안전모 차양부분에 부딪쳐 재해자가 중심을 잃고 철골보와 함께 2층으로 떨어져(H≒10m) 사망 </t>
  </si>
  <si>
    <t>이동식크레인으로 철골보 양중작업을 1줄걸이로 실시하던 중 철골자재가 낙하하며 3층에서 무전중이던 근로자 가격 및 추락</t>
  </si>
  <si>
    <t>▶ 중량물 양중 작업 시 줄걸이 방법, 줄걸이 공구 및 작업방법 검토
▶ 철골보 작업 시 하부 조립은 고소작업대 등을 이용하여 조립
▶ 철골보 상부 작업 시 작업면으로부터 10m를 초과하지 않도록 하부에 안전방망 설치</t>
  </si>
  <si>
    <t>2018년 4월경 OO공장 천막공사 현장에서 천막 설치를 위한 파이프구조물을 카고크레인으로 양중작업 중 재해자가 양중물인 파이프구조물의 흔들림이 발생하면서 충돌하여 약 4.6m 옹벽 바닥 경사면으로 추락하여 사망</t>
  </si>
  <si>
    <t>카고 크레인으로 철골구조물을 양중하던 중 철골구조물의 흔들림으로 인해 작업자와 충돌 후 추락</t>
  </si>
  <si>
    <t xml:space="preserve">▶ 양중작업 시 유도로프를 설치하여 양중물의 선회 또는 흔들림을 사전에 예방
▶ 양중작업 시, 양중물의 형상과 그에 따른 줄걸이의 적정성 검토
▶ 양중작업 시, 지상에서 양중물을 일정 높이 상승케 한 후 줄걸이 상태 재확인 </t>
  </si>
  <si>
    <t>2018년 4월경 OO건축에서 시공하는 ㈜OO 휴게공간 설치 및 마당포장 현장에서 휴게공간 설치 작업후 반출하는 잔여 자재를 상차한 1톤 트럭을 이동시키던 중 상차된 자재와 함께 적재함 위에 있던 재해자가 떨어지면서 동시에 낙하된 자재에 깔려 사망</t>
  </si>
  <si>
    <t>휴게공간 설치 작업후 반출하는 잔여 자재를 상차한 1톤 트럭을 이동시키는 중 트럭에 고정되지 않은 상태로 상차되어 있던 자재가 미끄러지면서 적재함에 탑승하고 있던 피재자와 함께 트럭 하부로 낙하</t>
  </si>
  <si>
    <t>▶ 화물자동차 적재함에 근로자 탑승 금지</t>
  </si>
  <si>
    <t>2018년 6월경 OO기업에서 시공하는 ㈜OO 공장 전기공사 현장에서 재해자가 공장동 케이블트레이 설치를 위한 사전작업 준비를 하기 위하여 철골 상부 크레인점검로(Walk way)를 이동하는 과정에서 점검로 상의 개구부를 미쳐 발견하지 못하고 13m 아래 바닥으로 떨어져 사망</t>
  </si>
  <si>
    <t>공장동 케이블트레이 설치를 위한 사전작업 준비를 위한 철골 상부 크레인점검로 이동 중 점검로 상의 개구부를 발견하지 못하고 개구부 아래 바닥으로 추락</t>
  </si>
  <si>
    <t>▶ 개구부 등 추락위험구간에 철제 덮개, 안전난간, 안전망 등 추락방지조치 준수
▶ 철제 점검로를 이용 시 별도의 안전대 부착설비 설치 및 안전대 체결을 통한 안전방호조치 실시</t>
  </si>
  <si>
    <t>2018년 9월경 OO(주)에서 시공하는 OO 공장 신축공사 현장에서 재해자(철골공)가 철골 상부의 잔여 자재 회수를 위하여 고소작업대 중간 난간대에 올라서서 작업중 약 8.0m 아래 콘크리트 바닥으로 추락하여 사망</t>
  </si>
  <si>
    <t>철골구조물에서 고소작업대에 탑승하여 고소작업대의 안전난간을 밟고 작업하던 중 몸의 균형을 잃고 근로자 추락</t>
  </si>
  <si>
    <t>▶ 고소작업대를 사용하는 경우 탑승자가 작업대를 벗어나지 않도록 조치
▶ 고소작업대 사용 작업 시 작업대의 안전난간이 아닌 별도의 안전대 부착설비 설치 및 안전대 착용관리
▶ 고소작업대 안전장치 설치 및 정상작동 상태 유지로 허용 작업범위 내에서 작업 실시</t>
  </si>
  <si>
    <t>2018년 10월경 OO㈜ 하수찌꺼기 처리시설 건축공사 현장에 협력업체 ㈜OO 소속 재해자(철골공)가 철골상부 파라펫 설치를 위해 자재(C형강)를 들고 철골상부를 이동하던 중 몸의 중심을 잃고 11m 아래 지상바닥으로 떨어져 사망</t>
  </si>
  <si>
    <t>철골 구조물 하부에 안전방망을 설치하지 않은 현장에서 안전대를 체결하지 않고 철골 상부에서 이동하다 근로자가 몸의 중심을 잃고 추락</t>
  </si>
  <si>
    <t>▶ 철골 보 상부에서 이동시 추락방지를 위해 안전대 부착설비 설치 및 안전대 착용
▶ 승강용 사다리를 이용하여 이동할 경우 추락방지를 위해 안전대 체결
▶ 이동식크레인의 붐대 간섭 등 추락방망 설치가 곤란할 경우 철골 조립작업 전 지상애서 안전대 부착설비 설치 후 인양하여 조립 후 상부에서 안전대 체결하여 작업</t>
  </si>
  <si>
    <t>2019년 8월경 아파트 견본주택 설치 현장에서 OO(주) 소속 재해자(판넬조립공)가 견본주택 철골지붕 위에서 이동식크레인으로 인양된 지붕용 샌드위치판넬 묶음을 철골지붕 위에 야적하는 작업 중 우천으로 작업이 중지되어 철골지붕 거더(폭 350mm, H형강=350*175*7*11)에서 지상으로 내려오기 위해 이동하다 중심을 잃고 미끄러지며 철골지붕 거더에서 2층 바닥슬라브(H≒7m)으로 떨어져 사망</t>
  </si>
  <si>
    <t>2019년 9월경 ㈜OO 옥상 가림막 휀스 설치공사 현장에서 컬러철판 휀스를 설치(부착)하기 위한 철골 부재 하지작업 도중 이동식 크레인의 자재 운반용 섬유재질의 벨트슬링에 묶여진 H형강 철골부재가 낙하되면서 재해자를 강타하여 사망</t>
  </si>
  <si>
    <t xml:space="preserve">컬러철판 휀스를 설치하기 위한 철골 부재 하지작업 도중 이동식 크레인의 자재 운반용 벨트슬링에 1 줄걸이로 묶여있던 철골부재가 브라켓에 걸려 근로자에게 낙하 </t>
  </si>
  <si>
    <t>▶ 철골부재 운반 시 낙하위험이 있는 경우 근로자 출입금지 구역 설정 및 근로자 출입 통체
▶ 개인보호구 지급 및 착용
▶ 철골부재 등 긴 부재 운반 작업 시 1줄걸이 방법은 부재가 다른 물체에 걸리거나 부딪힐 경우 낙하위험이 있으므로 2줄걸이 방법으로 실시</t>
  </si>
  <si>
    <t>2019년 11월경 OO체육관 개보수 현장에서 ㈜OO 소속 재해자(보통인부)가 츄레라에 적재된 철재기둥(Φ508, L=7.5m, , 2.02Ton) 에 올라가 하역 준비를 하던 중 츄레라 기사가 체인블럭을 푸는 순간 철재기둥이 무게중심을 잃고 츄레라 단부에서 철재기둥과 재해자가 바닥으로 떨어진 후(H=1.54m) 철재기둥이 굴러 재해자의 안면을 덮쳐 사망</t>
  </si>
  <si>
    <t>츄레라에 적재된 철재기둥에 올라가 하역 준비를 하던 중 츄레라 기사가 체인블럭을 해체하는 순간 철재기둥이 무게 중심을 잃고 무너져 근로자와 함께 낙하</t>
  </si>
  <si>
    <t>▶ 철재기둥의 하역 작업 시 안전조치 후 작업 실시
▶ 지급된 개인보후구 착용 후 작업 실시</t>
  </si>
  <si>
    <t>2020년 3월경 (주)OO에서 시공하는 OO센터 신축사업 현장에서 협력업체 ㈜OO건설 소속 재해자와 동료작업자가 지하 4층에 설치되어있던 자재반입대(슈퍼데크)를 지하 5층으로 내리는 작업 중 자재반입대 좌/우에 부착된 유도로프(L=9.17m)를 잡는 과정에서 외부충격(추정) 등으로 인하여 자재반입대가 회전을 하자 재해자는 유도로프를 잡기 위해 개구부 내에서 주변 슬래브로 뛰었으나 몸의 중심을 잃고 지하 7층 바닥으로 떨어져(H≒9.05m) 사망</t>
  </si>
  <si>
    <t>자재반입대 설치를 위해 1면의 안전난간을 임시로 해체한 채, 자재반입대를 내리는 작업 중 자재반입대에 부착된 유도로프를 잡는 과정에서 외부충격에 의해 회전하자 로프를 잡기 위해 뛰었으나 근로자가 몸의 중심을 잃고 해체된 안전난간 방면으로 추락</t>
  </si>
  <si>
    <t>▶ 개구부의 경우 우선적으로 안전난간을 설치하며 작업 특성상 임시로 해체 시 추락방호망 설치
▶ 추락방호망의 설치가 곤란할 경우 안전대 부착설비 설치 및 안전대 착용
▶ 개인보호구 지급 및 착용</t>
  </si>
  <si>
    <t>3.1.2 철골 부재 인양, 조립</t>
  </si>
  <si>
    <t>2015년 9월경 OO(주) 공장내부 수리작업 현장에서 재해자가 고소작업대에 탑승하여 철골 후레싱(flashing) 마감작업 중 작업장 바닥으로 추락(H≒4.0)하여 사망</t>
  </si>
  <si>
    <t>2016년 1월경 OO건설(주)가 시공하는 OO아파트 현장 102동에서 협력업체 소속 재해자(형틀목공)가 102동 계단실외벽 1번 갱폼을 인양하기 위해 인근 2번 갱폼발판에서 대기하던 중 인양 중인 1번 갱폼이 재해자가 있던 2번 갱폼에 부딪히는 충격에 의해 31m 아래 바닥으로 떨어져 사망</t>
  </si>
  <si>
    <t>계단실 외벽 1번 갱폼을 인양하기 위해 인근 2번 갱폼발판에서 대기 중 인양 중인 1번 갱폼이 2번 갱폼에 부딪히는 충격에 의해 안전대 미착용한 근로자 추락</t>
  </si>
  <si>
    <t>▶ 갱폼 인양작업관련 근로자 출입금지조치
▶ 작업발판 일체형 거푸집의 경우 인양장비에 매달기 전 지지 또는 고정철물 해체 금지</t>
  </si>
  <si>
    <t>2016년 1월경 OO건설(주)에서 시공하는 OO 신축공사 현장에서 건물내 주차타워 철골조립 작업 중이던 재해자(철골공)가 철골 보 상부로 이동하던 중 중심을 잃고 약 35m 아래 지상 1층에 적재된 철골자재위로 떨어져 사망</t>
  </si>
  <si>
    <t>2016년 3월경 슬러그 공정용 집진기 및 열풍장치 등 설치 현장에서 크레인을 사용하여 철골기둥 건립 작업 중, 임의 제작한 중량물 취급용구가 양중 하중을 견디지 못하고 파단되면서 철골기둥이 넘어져 바닥에 적재된 부재 사이에 안면부가 협착되어 사망</t>
  </si>
  <si>
    <t>크레인을 사용하여 철골기둥 건립 작업 중 임의 제작한 중량물 취급용구가 양중 하중을 견디지 못하고 파단됨에 따라 철골기둥이 넘어져 바닥에 적재된 부재 사이에 근로자 끼임</t>
  </si>
  <si>
    <t>▶ 철골 등의 중량물 인양 시 안전성 시험을 거쳐 안전율이 확보된 샤클 등의 취급용구 사용
▶ 철골기둥에는 수직 승강로 설치 및 고소작업대차를 사용하여 걸이용구 해지</t>
  </si>
  <si>
    <t>2016년 4월경 OO공사현장에서 재해자가 지붕 철골부재 조립중 지상바닥으로 떨어져 사망</t>
  </si>
  <si>
    <t>추락방호조치가 되어 있지 않은 철골 구조물 상부에서 작업 중 근로자 추락</t>
  </si>
  <si>
    <t>▶ 추락방지망 설치 등의 안전방호조치 실시
▶ 안전방호조치가 현장 여건 상 어려울 경우, 별도의 안전대 부착설비를 설치
▶ 작업자의 개인보호구 착용여부 관리감독</t>
  </si>
  <si>
    <t>2016년 4월경 OO공장 전면 철골 트러스보 위에서 재해자(철골공)가 철골 부재(Prapet Girth) 조립을 위해 철골 지붕 트러스 보 위에서 철골부재를 슬링으로 묶던중 트러스 보 위에서 떨어져 사망</t>
  </si>
  <si>
    <t>2016년 4월경 ㈜OO건설에서 시공하는 OO(주) OO공장 신축공사 현장에서 재해자(철골공)가 철골2단 Girder(H-588×300×12×17mm) 위에 앉아 이동식크레인(50ton)으로 인양한 Beam(H-200×100×5.5×8mm)을 볼트 체결 후 Beam 인양용 줄걸이(섬유로프)를 풀기 위하여 일어서던 중 몸의 중심을 잃고 약 11m 하부 콘크리트 바닥으로 떨어져 사망</t>
  </si>
  <si>
    <t>2016년 5월경 OO건설(주) 근생(사무동) 신축공사 현장에서 재해자(철골공)가 지상 2층 바닥의 철골 보 상부에서 이동 중 몸의 중심을 잃고 약 4.5m 아래 지상 1층 바닥으로 떨어져 사망</t>
  </si>
  <si>
    <t>2016년 6월경 ㈜OO건설에서 시공하는 OO공장 신축공사 현장에서 재해자가 퍼린 설치 작업을 위해 기 조립된 철골 보 위에 서서 퍼린 부재를 잡으려는 도중 중심을 잃고 약 9m아래 지면으로 추락하여 사망</t>
  </si>
  <si>
    <t>2016년 7월경 ㈜OO건설이 시공하는 OO 증축공사 현장에서 재해자(철골공)이 현장내에 하역된 철골기둥의 보 연결 브라켓 설치부위의 보양 테이프를 제거하던 중 10m 길이의 철골기둥(중량 약 4.5ton)이 기울어지면서 지면과 철골기둥 사이에 협착되어 사망</t>
  </si>
  <si>
    <t>철골기둥의 보 연결 브라켓 설치부위의 보양 테이프를 제거하던 중 발생된 편심이 전도모멘트로 작용하며 철골기둥이 기울어지면서 지면과 철골기둥 사이에 근로자 협착</t>
  </si>
  <si>
    <t>▶ 반입된 철골기둥의 전도방지를 위해 철골기둥 부재 양끝단에 안전블록 등 지지받침대 설치
▶ 철골기둥을 비스듬히 눕혀놓을 경우 2개의 브라켓을 이용하여 3점 지지하여 작업 실시
▶ 철골기둥을 바닥으로 인양 시 지면바닥의 평탄화로 지내력 확보</t>
  </si>
  <si>
    <t>2016년 7월경 창고 증설공사 현장에서 협력업체 소속 재해자(랙설치공)이 지붕층 트러스를 랙(Rack) 최상부와 연결하기 위하여 랙 최상부에서 볼트 조립작업을 하던 중, 몸의 중심을 잃고 지면으로 추락(H≒30m)하여 사망</t>
  </si>
  <si>
    <t>2016년 8월경 OO근린생활 신축공사에 설치 될 H-beam을 제작 작업 중 H-beam 전면부 용접을 완료하고 뒤집어 후면부를 용접하기 위해 하카를 이용하여 걸어 넘기는 과정에서 하카를 빼지 못하고 길이 185cm의 하카에 재해자가 안면부를 강타당하여 사망(추정)</t>
  </si>
  <si>
    <t>H빔을 제작 작업 중 H빔 전면부 용접을 완료하고 후면부 용접하기 위해 하카를 이용하여 걸어 넘기는 과정에서 하카를 빼지 못하여 하카에 의해 근로자 안면부 강타</t>
  </si>
  <si>
    <t>▶ H-beam 용접 및 인양 작업 시 낙하, 맞음 등의 위험과 하카를 이용하여 중량물을 뒤집는 등에 작업 시 맞음 등의 위험발생가능성이 있어 개인 보호구 착용
▶ 중량물 인양 시 리프트, 크레인 등 차량용 건설기계의 활용으로 인재 방지</t>
  </si>
  <si>
    <t>2016년 8월경 OO㈜에서 시공하는 OO공장 신축공사 현장에서 재해자(철골공)가 이동식크레인(50ton)으로 인양한 큰 보 (Girder, H400×200×8×13mm)와 기둥(Column, X4열)을 볼트를 이용하여 가체결 후 큰 보 중간에 설치된 인양용 빔클램프를 풀기 위하여 이동하던 중 몸의 중심을 잃고 약 11m 하부 건물 외부 바닥으로 떨어져 사망</t>
  </si>
  <si>
    <t>2016년 9월경 ㈜OO에서 시공하는 물류자동창고 설치공사 현장에서 재해자(철골공)가 자동화창고 연결작업을 실시하던 중, 중심을 잃고 약 23m 아래 창고바닥으로 추락하여 사망</t>
  </si>
  <si>
    <t>2016년 11월경 OO 공장 신축공사 현장에서 재해자가 철골세우기 및 수직보기 작업 후 고장력볼트 임팩트작업을 위해 폭15cm인 철골빔 상을 이동 중 9.1m 아래로 떨어져 사망</t>
  </si>
  <si>
    <t>안전대 부착설비 또는 안전망 미설치 상태에서 철골보 이동 중  실족하여 추락</t>
  </si>
  <si>
    <t>▶ 추락위험장소에서 작업 시 안전대 부착설비 설치 및 안전대 착용
▶ 철골 위 작업 시 추락방지망을 설치</t>
  </si>
  <si>
    <t>2016년 11월경 OO에서 시공하는 OO고등학교 신축공사 현장에서 협력업체인 ㈜OO 소속 재해자(철골공)가 다목적강당 무대준비실 콘크리트 벽체에 임시로 올려놓은 철골빔 플랜지 위에서 인양용 샤클을 해체하던 중 몸의 중심을 잃고 실족하여 다목적강당 바닥으로 떨어져(높이 약 10.9m) 사망</t>
  </si>
  <si>
    <t>2016년 11월경 154kv OO변전소 토건공사 현장에서 재해자(철골공)가 지상3층 풍도실 철골 브레이싱 조립 작업 중 실족하여 약 12m 아래 지상1층 바닥으로 추락하여 사망</t>
  </si>
  <si>
    <t>풍도실 철골 브레이싱 조립 작업 중 안전대 미착용한 근로자가 실족하여 추락</t>
  </si>
  <si>
    <t xml:space="preserve">▶ 철골 구조물 위에서 작업 할 경우 안전대를 걸어 사용할 수 있는 안전대 부착설비 설치
▶ 관리 감독자 업무 수행 철저 </t>
  </si>
  <si>
    <t>2016년 12월경 OO 주차장에서 ㈜OO 소속 재해자들이 동료들과 함께 OO눈썰매 축제 운영 준비를 위해 옥외 행사용 철구조물 설치작업 중 철구조물이 넘어져 사망 1명, 부상 1명</t>
  </si>
  <si>
    <t>벽체 브레이싱 설치 누락 및 미고정, 지붕 브레이싱 지연 시공 등 불량한 방법으로 철구조물 설치작업 중 철구조물이 넘어짐</t>
  </si>
  <si>
    <t>▶ 구조물 설치시 설계도서 및 건설공사 시방서 준수</t>
  </si>
  <si>
    <t>2016년 12월경 OO건설(주)에서 시공하는 OO공장 신축공사 현장에서 재해자(철골공)가 공장 지붕철골 위로 올라가서 지붕 철골위에 적재되어있는 지붕자재(C형강 묶음)를 이동식 크레인(25톤)에 줄걸이 해준 후 다음 작업장소로 이동 중, 철골하부 콘크리트 바닥으로 떨어져(H≒9.0m) 사망</t>
  </si>
  <si>
    <t>2016년 12월경 OO건물 신축 공사 현장에서 지상 1층에서 2층으로 연결되는 철골 계단 설치 작업 중 재해자가 2층 계단 참 단부에서 미끄러져 몸의 중심을 잃고 1층 바닥으로 추락(H≒4.5m)</t>
  </si>
  <si>
    <t>철골 조립작업을 마치고 내려오던 중 안전난간이 설치되지 않은 계단 참 단부로 근로자 추락</t>
  </si>
  <si>
    <t xml:space="preserve">▶ 추락할 위험이 있는 장소에서 작업 시, 안전난간 및 안전방망 설치 
▶ 안전난간 설치가 곤란한 경우 안전대를 착용 하는 등 추락 방호 조치 철저 </t>
  </si>
  <si>
    <t>2016년 12월경 ㈜OO 본사 신축공사 현장에서 ㈜OO산업 소속 재해자가 옥탑층(2층 천장) 계단실 철골보(Beam) 위에서, 이동식크레인으로 인양된 철골계단을 계단실 내부로 반입시키기 위해 이동 중 몸의 중심을 잃고 1층 바닥(추락거리 15m)으로 떨어져 사망</t>
  </si>
  <si>
    <t>2016년 12월경 ㈜OO에서 시공중인 OOO 공장신축 현장에서 재해자(용접공)가 철골지붕에 올라서 철골지붕부재(퍼린)를 용접작업 하던 중, 몸의 중심을 잃고 철골지붕에서 지상1층 바닥(H=7.8m)으로 추락하여 사망</t>
  </si>
  <si>
    <t>2016년 12월경 공장 신축 현장에서 재해자(철골공)가 철골 지붕 위에서 퍼린 설치 작업 중 실족하여 높이 11.5m 아래 콘크리트 바닥으로 떨어져 사망</t>
  </si>
  <si>
    <t>2017년 1월경 OO종합건설(주) OO공장 신축공사 현장에서 재해자가 고소작업대를 사용하여 지붕 철골 줄걸이 해체작업 중 지상 1층 콘크리트 바닥으로 떨어져(높이 약 10.2m) 사망</t>
  </si>
  <si>
    <t>고소작업대에 탑승한 상태에서 고소작업대 난간을 밟고 철골 보 위로 이동하던 중 근로자가 몸의 균형을 잃고 추락</t>
  </si>
  <si>
    <t>▶ 고소작업대를 설치하는 경우 갑작스러운 이동 방지를 위해 상호연동 제어장치를 설치
▶ 고소작업대 사용 작업 시 안전한 장소에서 작업대를 탑승하거나 내리도록 조치
▶ 고소작업대 사용 시 작업대의 모든 측면에 안전난간 설치</t>
  </si>
  <si>
    <t>2017년 1월경 OO(주) 공장동 및 사무동 신축공사 현장에서 재해자(철골공)가 공장동 철골공사 중에 보조빔 설치를 하고 이동하던 중 몸의 중심을 잃고 5m아래 지상바닥으로 떨어져 사망</t>
  </si>
  <si>
    <t>2017년 2월경 슬라브 단부에서 재해자가 설치 중인 계단 답단의 치수를 줄자로 측정 하던 중 몸의 중심을 잃고 1층 바닥으로 추락하여 사망(높이 5.84m).</t>
  </si>
  <si>
    <t>철골 조립 작업 중 안전대를 미착용한 상태에서 몸의 균형을 잃고 넘어지며 추락</t>
  </si>
  <si>
    <t>▶ 추락위험이 있는 장소에서 작업 시 안전대 부착설비 설치 및 안전대 착용</t>
  </si>
  <si>
    <t>2017년 3월경 OO(주)에서 시공중인 OO 증축공사(지상5층) 현장에서 재해자(철골조립공) 등 2명이 옥상층에서 각파이프(100*50*9000) 설치작업중 재해자가 몸의 중심을 잃고 지상3층 콘크리트 바닥(높이 약 8.9m)으로 떨어져 사망</t>
  </si>
  <si>
    <t>각파이프를 이동식크레인으로 운반 작업 중 거더에 설치된 안전대부착설비에 걸려 파이프를 빼기 위해 근로자가 힘을 주는 순간 안전대를 고정하지 않은 재해자가 몸의 균형을 잃고 추락</t>
  </si>
  <si>
    <t>▶ 철골조립 완료 즉시 해당 층에 추락방지망 설치 하고 후속공정 진행
▶ 추락위험이 있는 장소에서 작업 시 안전대 부착설비 설치 및 안전대 착용</t>
  </si>
  <si>
    <t>2017년 3월경 OOO 조립식 주택 신축공사 현장에서 재해자(철골공)가 지붕 트러스 철골(C형강) 상단에서 외부판넬 설치 실측 후 내려가는 도중 미끄러져 약 4m 아래 콘크리트 바닥에 떨어져 사망</t>
  </si>
  <si>
    <t>지붕 트러스 철골(C형강) 상단에서 외부판넬 설치 실측 후 내려가는 도중 미끄러져 바닥에 추락</t>
  </si>
  <si>
    <t>▶ 추락위험이 있는 철골 보에서 안전대를 안전대 부착설비 또는 철골 홀 등에 체결한 상태에서 이동
▶ 철골구조물 승하강시에는 안전대 부착설비나 안전블럭을 활용하여 승하강 실시</t>
  </si>
  <si>
    <t>2017년 3월경 OO건설(주)가 시공 중인 OO신축공사 현장에서 재해자(철골공)가  지상1층 철골 수직기둥 브라킷 상부에서 보설치 작업 중 지상1층 바닥(H≒5m)으로 떨어져 사망</t>
  </si>
  <si>
    <t>2017년 4월경 OO(주) 공장 가설건물 신축공사 현장에서 재해자(판넬공) 외 1명이 경량철골 지붕 위에서 지붕판넬(폴리카보네이트, 11m×1.1m)을 설치하기 위해 자재를 운반하던 중, 지붕 위의 재해자가 몸의 중심을 잃고 바닥으로 떨어져(H≒8.7m) 사망</t>
  </si>
  <si>
    <t>2017년 5월경 OO(주) OO고속도로 방음시설 설치공사 현장에서 재해자(방음벽공)이 상부 방음PC판 설치작업 중 7.7m 아래 도로 바닥으로 떨어져 사망</t>
  </si>
  <si>
    <t>방음시설 설치공사 현장에서 근로자가 상부 방음 PC판 설치작업 중 추락방지망 미설치구간의 도로 바닥으로 떨어짐</t>
  </si>
  <si>
    <t>▶ 근로자가 추락할 위험이 있는 장소에서 작업시 적업발판 또는 안전방망 등 추락방지조치 실시</t>
  </si>
  <si>
    <t>2017년 5월경 OO건설(주)가 시공하는 ㈜OO공장 신축공사 현장에서 협력업체 소속인 재해자가 철골부재 조립작업을 하기위해 고소작업차에 탑승하여 이동 중 고소작업차가 전도되어 높이 약 4m아래 공장동 내부 콘크리트 바닥으로 떨어져 사망</t>
  </si>
  <si>
    <t>철골부재 조립작업을 위해 고소작업대(시저형)에 탑승하여 작업대를 약 4m 높이까지 하강하여 이동 중 고소작업대가 전도되어 바닥으로 떨어짐</t>
  </si>
  <si>
    <t>▶ 고소작업대 이동 시 작업대를 가장 낮게 하강 후 이동통로의 요철상태, 장애물 등의 유무 등 확인 후 이동
▶ 고소작업대에서 작업 시 작업대 내부에서 작업하며, 안전대 체결 시 가능한 범위에서 작업
▶ 개인보호구 지급 및 착용</t>
  </si>
  <si>
    <t>2017년 6월경 OO 공장증축 및 개보수공사 현장에서 재해자(철골공)가 고소작업대(일명 렌탈) 탑승함에 올라 본용접 작업을 준비하던 중 철골부재의 가용접(tack welding) 지점이 자중에 의해 탈락되면서 고소작업대에 타고 있던 재해자가 1차적으로 철골부재에 맞아 높이 약 3.2미터 아래바닥으로 떨어지면서 사망</t>
  </si>
  <si>
    <t>고소작업대 탑승함에서 본용접 작업 준비 중 철골부재의 가용접 지점이 탈락됨에 따라 근로자 가격 연이어 근로자 추락</t>
  </si>
  <si>
    <t>▶ 철골 고립 시 철골의 접합부가 충분한 강도를 지니도록 브라켓 스플릿티 등을 이용하여 볼트 체결
▶ 본용접이 완료 되어 충분히 지지되기 전까지 이동식 크레인의 걸이로프에 철골부재 체결 유지</t>
  </si>
  <si>
    <t>2017년 6월경 OO(주)에서 시공하는 OO창고 신축공사 현장에서 재해자(도장공)가 철골 도장작업을 위해 사다리(L=6.9m)를 철골보에 걸쳐놓고 사다리를 발판삼아 올라서서 도장 작업을 하던 중 사다리가 전도되면서 사다리와 함께 지상에 떨어져(H≒5m) 사망</t>
  </si>
  <si>
    <t>철골 도장작업을 위해 사다리를 철골보에 걸쳐 놓고 사다리를 발판삼아 올라서서 도장 작업을 하던 중 사다리가 전도되면서 근로자 추락</t>
  </si>
  <si>
    <t>▶ 철골 도장 작업 시 추락위험이 있는 경우 사다리 사용은 지양하고 비계 조립등의 방법으로 작업발판 설치
▶ 부득이 사다리를 작업발판으로 사용 시 상부는 철골보에 고정 및 하부는 아웃트리거 설치</t>
  </si>
  <si>
    <t xml:space="preserve">2017 6월경 </t>
  </si>
  <si>
    <t>2017 6월경 OO가 시공하는 OO 옥상 지붕공사 현장에서 협력업체인 소속 재해자(용접공)가 철구조물 상부에서 용접 작업 중 몸의 중심을 잃고 약 5m 아래 옥상 바닥으로 떨어져 사망</t>
  </si>
  <si>
    <t>2017년 7월경 OOO 우사 신축공사 현장에서 재해자가 우사 지붕 강구조물 공사(C형강 설치작업) 중 실족하여 콘크리트 바닥으로 떨어져(H≒5.9m) 사망</t>
  </si>
  <si>
    <t>2017년 8월경 OO공장 신축공사 현장에서 재해자(판넬공)가 건물 배면부 지붕처마 물받이 설치작업을 위해 고소작업대(시저형 렌탈)에 탑승하여 작업대를 상승시킨 상태에서 철골 빔 위로 올라가 이동하던 중 약 7m 아래의 콘크리트 바닥으로 추락하여 사망</t>
  </si>
  <si>
    <t>안전대 미착용 등 추락방지조치 미실시한 상태에서 고소작업대에서 철골 구조물로 이동 중 추락</t>
  </si>
  <si>
    <t>2017년 8월경 ㈜OO에서 시공하는 ㈜OO 공장 신축공사 현장에서 재해자(철골공)가 공장동 2층 철골보 위에서 볼트체결 작업 중 갑작스럽게 비가 와서 작업을 중지하고, 지상으로 내려오기 위해 철골보 수평 이동 중 중심을 잃고 지상 1층 콘크리트 바닥으로 떨어져(H≒5m) 사망</t>
  </si>
  <si>
    <t>2017년 8월경 OO건설(주)가 시공하는 OO공장 신축공사 현장에서 재해자(철골공)가 공장C동 천장 크레인용 철골 보 상부에서 볼트 조임 작업을 하던 중 점심 식사를 하기위해 지상으로 이동하는 과정에서 몸의 중심을 잃고 약 6m 아래 지상 1층 콘크리트 바닥으로 추락하여 사망</t>
  </si>
  <si>
    <t>2017년 9월경 OOO(개인)이 시공하는 OO 근린생활시설 및 단독주택 신축공사 현장에서 재해자(철골공)가 데크플레이트(Deck Plate, 파형강판) 여러 장을 두줄걸이로 걸어서 인상 작업을 하던 중 데크 플레이트가 줄걸이 한쪽 슬링벨트에서 탈락되어 떨어지면서 아래에 있던 재해자의 머리를 강타하여 사망</t>
  </si>
  <si>
    <t>데크플레이트 여러 장을 두줄걸이로 걸어서 인상 작업을 하던 중 데크 플레이트가 줄걸이 한쪽 슬링벨트에서 탈락되어 떨어지면서 아래에 있던 재해자의 머리를 강타</t>
  </si>
  <si>
    <t>▶ 자재 운반 시 낙하위험이 있는 경우 근로자 출입금지 구역 설정 및 근로자 출입 통체
▶ 중량물인 데크플레이트 인양시 중량물 취급방법, 인양장비의 재원 능력에 맞는 작업방식 지휘</t>
  </si>
  <si>
    <t>2017년 9월경 ㈜OO에서 시공하는 OO공장 증축공사 현장에서 협력업체인 OO산업 소속 재해자(철골공)가 3층 철골 보 위에서 볼트 체결(가조임) 작업중 약 9.5m 아래 콘크리트 바닥으로 추락하여 사망</t>
  </si>
  <si>
    <t>재해자가 안전대 미착용 상태에서 철골 보 위에서 볼트 체결(가조임) 작업중 약 9.5m 아래 콘크리트 바닥으로 추락</t>
  </si>
  <si>
    <t>▶ 철골 보 상부에서 작업시 추락방지를 위해 안전대 부착설비 설치 및 안전대 착용
▶ 승강용 사다리를 이용하여 이동할 경우 추락방지를 위해 안전대 체결
▶ 이동식크레인의 붐대 간섭 등 추락방망 설치가 곤란할 경우 철골 조립작업 전 지상애서 안전대 부착설비 설치 후 인양하여 조립 후 상부에서 안전대 체결하여 작업</t>
  </si>
  <si>
    <t>2017년 9월경 OO건설㈜에서 시공하는 OO공장 신축공사 현장에서 재해자가 철골 상부에서 퍼린(Purlin) 설치작업 중 퍼린(Purlin)부재와 함께 약 9m 아래 지상 콘크리트 바닥으로 떨어져 사망</t>
  </si>
  <si>
    <t>2017년 10월경 OO건설(주)에서 시공중인 연구소 및 근생시설 신축공사 현장에서 재해자가 연구동(B동)의 상부 철골 트러스 조립작업을 마치고 철골 트러스를 잡아주던 줄걸이를 해체한 후 다음 작업을 위해 철골 트러스 상부에서 이동하던 중 몸의 중심을 잃고 지상 약 7.5m 아래 콘크리트 바닥으로 추락하여 사망</t>
  </si>
  <si>
    <t>2017년 10월경 OO 근생신축공사 현장에서 현장소장과 함께 철골 조립작업 중이던 재해자가 당일 작업을 마치고 내려오던 중 지상 3층 계단참에서 약 8m 아래 지상 콘크리트 바닥으로 추락하여 사망</t>
  </si>
  <si>
    <t>2017년 10월경 ㈜OO에서 시공하는 OO 골프망 증설 공사현장에서 이동식비계위에서 실내골프망 설치작업을 하던 재해자가 실내벽 골프망 고정용 강구조물(Ø60.5＊2.4t, L=4.5m) 설치작업 중 약 1.8m 하부 바닥면으로 떨어져 사망</t>
  </si>
  <si>
    <t xml:space="preserve">최상부에 안전난간이 설치되지 않고 작업발판이 한 개만 설치된 이동식비계위에서 실내골프망 설치작업을 하던 근로자가 실내벽 골프망 고정용 강구조물 설치작업 중, 몸의 중심을 잃고 추락 </t>
  </si>
  <si>
    <t>▶ 근로자가 추락할 위험이 있는 장소에서 작업 시 작업발판 설치, 작업발판 단부 안전난간대 설치 준수
▶ 근로자가 추락할 위험이 있는 장소에서 작업 할 경우 안전모 및 안전대를 착용
▶ 이동식비계 이용 작업 시 상부 전면에 걸쳐 작업발판 설치, 외측 안전난간 확보여부를 관리감독자가 필수 점검</t>
  </si>
  <si>
    <t>2017년 10월경 재해자(용접공)가 우사신축공사 현장에서, 지붕마감용 강판을 부착하기 위하여 지붕강구조물에 부착된 C형강 위에 올라서서 강판을 옮기던 중 균형을 잃고 콘크리트 바닥(높이 : 약5.8M)으로 떨어져 사망</t>
  </si>
  <si>
    <t>2017년 11월경 창고신축 공사 현장에서 지붕 상부에 설치되는 Purlin 부재를 이동식크레인으로 인양하던 중 달고리로부터 퍼린 부재가 이탈·낙하하여 인양부재 하부 지상에 서있던 재해자가 낙하하는 Purlin 부재에 맞아 사망</t>
  </si>
  <si>
    <t>인양용 달고리의 설치 각도가 약 75°~83°로 완만하게 이완되어 미끄러져 빠질수 있는 구조인 상태에서 철골부재인 퍼린 부재 인양 중 이탈하여 낙하</t>
  </si>
  <si>
    <t>▶ 철골 부재를 인양하는 경우 달고리로 샤클, 해지장치가 부착된 훅 등의 달고리를 사용
▶ 인양 작업 중 달아올린 자재의 이동경로 하부에 근로자 출입금지 조치 실시</t>
  </si>
  <si>
    <t>2017년 12월경 OO 창고시설 신축공사 현장에서 재해자(철골공)가 철골보 위에서 지붕 마감재 고정철물(purlin)을 설치하던 중 몸의 중심을 잃고 약 11.0m 아래 지상 콘크리트 바닥으로 떨어져 사망</t>
  </si>
  <si>
    <t>2018년 1월경 OO보강공사 현장에서 OO개발 소속 재해자가 지게차 옆에서 슬래브 보강용 철골부재(H-beam) 운반 작업을 보조하던 중 2층 바닥슬래브(1층 천장)가 무너지면서 슬래브 하부에 깔려 사망</t>
  </si>
  <si>
    <t>잭서포트 미설치 등 적절한 보강조치를 하지 않은 상태에서 슬래브 보강용 철골부재 운반 보조작업 중 2층 바닥슬래브 무너짐으로 슬래브 하부에 근로자 깔림</t>
  </si>
  <si>
    <t>▶ 구조물의 무게 등으로 인해 붕괴 등 위험이 있을 경우 안전성 평가 실시
▶ 기존 구조물 해체 전 잭서포트 등으로 지지하여 구조적 안정성 확보</t>
  </si>
  <si>
    <t>2018년 1월경 ㈜OO건설 오피스텔 신축 현장에서 재해자가 주차타워 최상단 철골보의  볼트 조임작업 중 기둥에 체결했던 안전대가 풀리면서 약 24m 지상 바닥으로 떨어져 사망</t>
  </si>
  <si>
    <t xml:space="preserve">주차타워 최상단 철골보의 볼트 조임 작업 중 별도의 안전대 걸이시설를 설치하여 안전대를 걸고 작업하여야 하나 수직구명줄 미설치 상태에서 작업 중 추락 </t>
  </si>
  <si>
    <t>▶ 주차타워설치 등 고소작업 시 안전대 부착설비 설치 및 안전대 착용
▶ 자재인양구 등 추락위험이 있는 개구부에는 안전방망을 설치하여 자재 인양 시 여닫는 방식으로 작업 실시</t>
  </si>
  <si>
    <t>2018년 3월경 ㈜OO 판매시설 증·개축현장에서 재해자가 3층 철골보의 볼트 조임작업을 위해 H빔 상단에서 이동 중 약 9.5m 지상 바닥으로 떨어져 사망</t>
  </si>
  <si>
    <t>2018년 4월경 ㈜OO건설에서 시공중인 OO 신축공사 현장에서 재해자(철골공)가 기계식 주차장 내부 벽체고정용 브라켓 4단높이에서 철골 연결부위 볼트의 본조임 작업을 위해 이동 또는 작업 중 몸의 중심을 잃고 지하2층 높이에 기 설치된 철판 파렛트 바닥(H≒19.232m)으로 떨어져 사망</t>
  </si>
  <si>
    <t>기계식 주차장 내부 벽체고정용 브라켓 4단높이에서 안전대 미착용한 상태에서 철골 연결부위 볼트의 본조임 작업을 위해 이동 중 근로자가 몸의 중심을 잃고 추락</t>
  </si>
  <si>
    <t>▶ 기계식 주차설비 등 철골작업 시 근로자 주요 이동통로에 고정된 가설통로 설치 및 안전대 부착설비 설치
▶ 기계식 주차설비 등 수평방형, 수직방향 철골이 연결되는 부분에서 작업 시 시스템비계 또는 달대비계 등 작업발판 설치
▶ 작업발판의 설치가 곤란할 경우 작업면으로부터 수직거리 10m 이내에 안전방망 설치</t>
  </si>
  <si>
    <t>2018년 5월경 ㈜OO건설에서 시공하는 OO 신축공사 현장에서 재해자(철골공)가 지상1층 바닥에서 지게차로 운반(적재) 작업 중 떨어진 철골빔(H-450×200×9×14, L=8m, 608kg)에 하반신이 깔려 사망.</t>
  </si>
  <si>
    <t>지상에서 지게차로 철골빔을 운반 작업 중 떨어진 철골빔에 근로자 하반신이 깔림</t>
  </si>
  <si>
    <t>▶ 차량계 하역운반기계를 사용하여 중량물인 철골빔을 취급하는 작업 시 중량물의 취급방법, 인양장비의 재원 능력에 맞는 작업방식 지휘
▶ 차량계 하역운반기계 등을 사용하여 작업 시 운반 중인 화물 등에 의한 충돌 방지를 위해 근로자 출입 금지</t>
  </si>
  <si>
    <t>2018년 6월경 OO건설(주) OO 토건공사 현장에서, 4층 계단참 부근 철판 슬래브(철골빔 위 철판으로 용접) 위에 서 있던 재해자가 철골빔에 설치된 안전대 걸이설비(로프)에 안전대 고리를 걸기 위해 4층 측면 계단의 안전난간 기둥재를 잡은 순간, 안전난간 기둥재가 전도되면서 재해자가 균형을 잃고 약 17.5m 아래 지상 콘크리트 바닥으로 추락하여 사망</t>
  </si>
  <si>
    <t>계단참 부근 철판슬래브 위에서 철골빔에 설치된 안전대 걸이설비에 안전대 고리를 걸기 위해 철판 슬래브 측면의 안전난간 기둥재를 잡은 순간 고정되지 않은 안전난간 기둥재가 전도됨에 따라 중심을 잃고 근로자 추락</t>
  </si>
  <si>
    <t>▶ 안전난간 설치 시 기둥재는 철골빔 등 구조물과 밀착하여 견고히 고정
▶ 작업발판 및 통로의 끝이나 개구부로서 추락위험이 있는 장소에는 안전난간 등 방호조치 실시
▶ 추락위험이 있는 장소에서 작업 시 안전대 부착설비 설치 및 안전대 착용</t>
  </si>
  <si>
    <t>2018년 7월경 OO 무역공장 신축공사 현장에서 지붕 용마루 부근에 다발로 적치된 중도리(퍼린,C형강)를 설치 위치에 배열하기위해 재해자(철골공)가 동료작업자 2명과 함께 길이 8.4M의 철골 중도리 1개를 함께 들고 각각 4M 떨어진 폭 20cm의 지붕 철골 보 위에서 이동하던 중 재해자만 몸의 중심을 잃고 6M 하부 콘크리트 바닥으로 떨어져 사망</t>
  </si>
  <si>
    <t>2018년 7월경 ㈜OO 주상복합 신축공사 현장에서 재해자(철골공)가 철골 보 설치용 철판을 용접하기 위하여 철골구조 하부에 설치된 추락방호망으로 이동 중 방망의 달기 로프가 끊어지면서 높이 약 8.5m 의 아래 터파기 바닥으로 추락하여 사망</t>
  </si>
  <si>
    <t>철골 보 설치용 철판을 용접하기 위해 철골구조 하부에 설치된 추락방호망으로 이동 중 방망의 달기 로프가 끊어지면서 근로자가 추락</t>
  </si>
  <si>
    <t>▶ 철골 보 웨브 구간 용접 등 추락위험이 있는 장소에서 작업 시 해당 철골 보의 형상과 치수에 맞는 달대비계 제작 후 철골 보에 매달아 작업 실시
▶ 안전방망의 달기로프가 묶여져 있는 장소에서 용접 작업 시 불티의 비산에 의한 훼손 유의 및 작업 후 안전방망 결속상태 점검</t>
  </si>
  <si>
    <t>2018년 8월경 OO건설㈜ 근린생활 시설 신축공사 현장에서 재해자(철골공)가 철골 보 조립을 하기 위하여 철골 보 상부에서 이동하다가 몸의 중심을 잃고 약 7.2m 아래의 1층 콘크리트 바닥으로 추락하여 사망</t>
  </si>
  <si>
    <t>2018년 9월경 OO건설㈜이 시공하는 OO공장 신축공사 현장에서 재해자(철골공)가 가조립된 철골 기둥 부재를 해체하던 중 작업장소 인근에 야적되어 있던 철골빔의 하부 지반이 침하되면서 전도되어 철골빔을 등지고 작업하던 재해자가 철골빔에 깔려 사망</t>
  </si>
  <si>
    <t>가조립된 철골 기둥 부재를 해체하던 중 작업장소 인근에 야적되어 있던 철골빔의 하부 지반이 침하되면서 전도되어 근로자가 철골빔에 깔림</t>
  </si>
  <si>
    <t>▶ 철골빔 등 중량물 적재 시 평탄하고 견고한 지반에 동일 길이의 받침목을 사용하여 거치
▶ 적재된 철골빔의 전도 방지를 위해 벨트 등으로 체결하여 붙들어 지탱
▶ 중량물의 전도 시 근로자와의 충돌방지를 위해 작업반경에 벗어난 지점에서 적재</t>
  </si>
  <si>
    <t>2018년 09월경 OO(주)에서 시공중인 OO공장 신축공사 현장에서 재해자(철골공)가 철골 3단 Beam(H-400×200×13×7953mm 위에 서서 이동식크레인(50ton)으로 인양한 Beam(H-400×200×13×7953mm)을 Column과의 체결 지점으로 내리기 위하여 Beam 하부 유도 로프를 잡던 중 몸의 중심을 잃고 약 12m 아래 콘크리트 바닥으로 떨어져 사망</t>
  </si>
  <si>
    <t>철골 3단빔 위에 서서 이동식으로 인양한 빔을 기둥과의 체결 지점으로 내리기 위해 빔 하부 유도 로프를 잡던 중 근로자가 몸의 중심을 잃고 추락</t>
  </si>
  <si>
    <t>▶ 철골 기둥·보에 철골조립작업 또는 작업을 위해 이동하는 경우 작업면 하부에 추락방지망 설치
▶ 추락위험장소에서 철골조립작업 시 안전대 부착설비 설치 및 안전대 착용
▶ 철골작업장에서 볼트 조입 작업 시 달대비계 등 안전한 작업 발판 설치 후 작업</t>
  </si>
  <si>
    <t>2018년 10월경 OO건설에서 시공하는 축사 신축 공사 현장에서 재해자(용접공)가 축사 철골 조립작업을 위해 이동식비계 2단 작업발판 상부에서 용접 작업 중 지면으로 떨어져 (h=3.2m) 사망</t>
  </si>
  <si>
    <t>안전난간이 설치되지 않은 이동식비계 상부 작업발판에서 철골 용접 작업 중 몸의 중심을 잃고 지면으로 추락</t>
  </si>
  <si>
    <t>▶ 이동식비계를 조립하여 작업 시 추락위험 방지를 위해 비계 상부에 안전난간 설치
▶ 이동식비계에서 작업 시 안전대 부착설비 설치 및 안전대 착용
▶ 개인보호구 지급 및 착용</t>
  </si>
  <si>
    <t>2018년 10월경 OO 사무실 증축 공사 현장에서 OO 소속 재해자가 2층 철골구조물(H빔 및 사각파이프를 교차로 설치) 위에서 합판 재단 보조작업 후 이동 중, 지지되어 있지 않은 합판 모서리 부분을 밟자 합판이 위로 들리며, 합판과 함께 H빔 및 사각파이프에 의해 형성된 개구부(1200㎜×610㎜)로 추락(높이≒3.2m)하여 사망</t>
  </si>
  <si>
    <t>철골 구조물 위에서 합판 재단 보조작업 후 이동 중 지지되어 있지 않은 합판 모서리 부분을 밟아 합판이 위로 들리며 합판과 함께 근로자 추락</t>
  </si>
  <si>
    <t xml:space="preserve">▶ 추락위험이 있는 개구부에는 덮개 등 방호조치 설치
▶ 추락위험이 있는 장소에서 작업 시 안전대 부착설비 설치 및 안전대 착용
▶ 개인보호구 지급 및 착용 </t>
  </si>
  <si>
    <t>2018년 10월경 물류창고 1동 전면 캐노피구간에서 재해자(철골공)가 이동식 크레인으로 인양된 캐노피철골 빔을 철골기둥에 연결작업 후, 이동식 크레인과 캐노피철골 빔을 연결했던 슬링벨트를 해체하고 철골기둥 방향으로 이동하던 중 캐노피철골 빔(L≒3.4m, W≒0.2m)에서 몸의 중심을 잃고 바닥으로 떨어져(H≒6m) 사망</t>
  </si>
  <si>
    <t xml:space="preserve"> 2018년 11월경 근생시설 신축공사현장에서 재해자가 주차타워 철골기둥 조립작업을 마치고 내려오다 승강용트랩에서 손을 놓쳐 몸의 중심을 잃고 추락(H≒8.4m)하여 사망</t>
  </si>
  <si>
    <t>주차타워 철골기둥 조립작업을 마치고 내려오다 승강용트랩에서 손을 놓쳐 몸의 중심을 잃고 추락</t>
  </si>
  <si>
    <t>▶ 철골 보 상부에서 작업 시 추락방지를 위해 안전대 부착설비 설치 및 안전대 착용
▶ 승강용 사다리를 이용하여 이동할 경우 추락방지를 위해 안전대 체결</t>
  </si>
  <si>
    <t>2018년 11월경 ㈜OO건설이 시공하는 판매시설 신축공사 현장에서 재해자(철골공)가 이동식 크레인(20ton)으로 인양된 3단 철골 보(RSG2) 상부에서 수평 이동(X2,Y6→X2,Y7) 중 철골 보 중간 지점에서 몸의 중심을 잃고 약 12.85m 아래 콘크리트 바닥으로 떨어져 사망</t>
  </si>
  <si>
    <t>2018년 11월경 돈사 신축 현장에서 재해자가 철골 지붕트러스 볼팅작업중 몸의 중심을 잃고 약 5.7m 아래 콘크리트 바닥으로 추락하여 사망</t>
  </si>
  <si>
    <t>2018년 12월경 OO건설(주)에서 시공 중인 다목적강당 및 급식소 증축공사 현장에서 재해자(철골공)가 지상 2층 지붕철골빔(폭 35cm)위를 이동하던 중 몸의 중심을 잃고 지상 2층 콘크리트 바닥(높이 약 8.5m)으로 떨어져 사망</t>
  </si>
  <si>
    <t>2019년 1월경 OO공사 현장에서 직영 근로자인 재해자(철골공)가 고소작업차(차량탑재형)의 작업대에서 부재 설치 및 수정작업 중 몸의 중심을 잃고 약 7m 아래 바닥으로 떨어져 사망</t>
  </si>
  <si>
    <t>고소작업차의 작업대에서 아케이드 부재 설치 및 수정작업 중 작업대 내부에서 이동 중 몸의 중심을 잃고(원인 미상) 추락</t>
  </si>
  <si>
    <t>▶ 고소작업대 사용 시 추락방지를 위해 안전대 부착설비 설치 및 안전대 착용
▶ 고소작업대를 사용하여 작업 시 작업대 내부에서만 작업 또는 안전대 체결 시 가능한 범위에서 작업 실시
▶ 개인보호구 지급 및 착용</t>
  </si>
  <si>
    <t>2019년 1월경 OO건설(주) 다세대주택 및 오피스텔 신축공사 현장에서 재해자(철골공)가 1층 주차설비 입구의 개구부를 통해 기계식 주차타워구내로 진입하기 위하여, 내부 벽에 기대어있는 철골구조물의 안전대 걸이를 사다리 삼아 지하1층으로 내려가던 중 발을 헛디뎌 약 3.6m 높이에서 떨어져 바닥에 놓인 철골구조물에 머리를 부딪혀 사망</t>
  </si>
  <si>
    <t>주차타워에서 차량이 주차공간으로 진입하는 구간의 안전난간 등 어떠한 방호조치도 되어있지 않은 좌측개구부(자재반입구)에 재해자가 진입하여 건물에 기대어놓은 H빔의 철근용접 부위를 사다리 삼아 주차공간 바닥으로 내려오던 중 발을 헛디뎌 약3.6m 높이에서 바닥으로 떨어짐</t>
  </si>
  <si>
    <t>▶ 개구부 방호 조치 실시 
▶ 근로자가 떨어질 위험이 있는 개구부는 안전난간, 울타리 등을 충분한 강도를 가진 구조로 견고하게 설치
▶ 임의로 진입하지 못하도록 출입통제 실시</t>
  </si>
  <si>
    <t xml:space="preserve"> 2019년 1월경 ㈜OO 자동차관련시설(정비공장) 신축공사 현장에서 재해자(용접공)가 지상 2층의 철골보(H-Beam) 볼트 체결을 위해 이동하던 중 실족하여 지상 1층 카리프트실 바닥(H≒8.2m)으로 추락하여 사망</t>
  </si>
  <si>
    <t>2019년 3월경 OOO(개인) 신축공사 현장에서 재해자(용접공)가 이동식비계 상부 작업발판에서 가용접된 철골 보와 철골기둥을 본 용접작업을 하던 중 약 1.8m 콘크리트 바닥으로 떨어져 사망</t>
  </si>
  <si>
    <t>2019년 3월경 OO(주)에서 시공하는 주상복합 신축공사(건축) 현장에서 판매시설 지상4층 천장의 철골보 하부에 구조보강용 부재(T-BAR) 설치를 위해 CO2 용접작업을 하던 중 천장 및 철골보에 도포된 우레탄단열재에 용접불티가 비산되어 화재가 발생해 OO건설(주) 소속 재해자1이 연기 과다흡입 등으로 중상, OOOOO(주) 소속 재해자2를 포함한 11명이 경상</t>
  </si>
  <si>
    <t xml:space="preserve">천장의 철골보 하부에 구조보강용 부재 설치를 위해 이산화탄소 용접작업 중, 천장 및 철골보에 도포된 우레탄단열재에 용접불티가 비산되어 화재가 발생해 연기 과다흡입으로 사망 </t>
  </si>
  <si>
    <t>▶ 구조보강용 T-BAR에 대하여 웨브와 플렌지가 일체형으로 시공된 후 내화피복과 우레탄단열재 시공
▶ 화재 위험이 있는 장소에서 용접 작업을 실시 할 때에는 화기 사용 전 사전에 가연물에 대한 정리 제거 실시
▶ 화재감시자 배치</t>
  </si>
  <si>
    <t>2019년 5월경 ㈜OO이 시공하는 OO견본주택 건립공사 현장에서 재해자(철골공)가 지상2층 브레이싱 설치작업을 위해 지붕보 철골부재 상부에서 이동하던 중, 지상 바닥(H≒11m)으로 떨어져 사망</t>
  </si>
  <si>
    <t>2019년 5월경 OO(주) 견본주택신축공사 현장에서 철골 기둥(Column) 건립작업을 위해 철골 기둥의 앵커볼트 가체결 후 철골 기둥에매단 슬링(섬유로프)을 제거하는 순간, 철골 기둥이 전도되면서 재해자(철골조립공)가 이동 중이던 철골 보의 철골 기둥에 부딪힘으로써 재해자가 철골 보 상부에서 몸의 중심을 잃고 떨어져(H≒5.8m) 사망</t>
  </si>
  <si>
    <t>철골 기둥 건립작업을 위해 앵커볼트 가체결 후 철골 기둥에 매단 슬링을 제거하는 순간, 철골 기둥이 전도되면서 근로자가 이동 중이던 철골 보의 기둥에 부딪힘으로써 몸의 중심을 잃고 추락</t>
  </si>
  <si>
    <t>▶ 철골 조립 시 철골의 접합부가 충분히 지지되도록 볼트 체결
▶ 견고한 구조 형성 전 들어올린 철골을 걸이로프 등으로부터 결속 유지
▶ 철골조립 시 안전대 부착설비 설치 및 안전대 지급</t>
  </si>
  <si>
    <t>2019년 5월경 OO 창고 증축공사장에서 재해자(철골공)이 철골에 C형강을 고정하기 위해 철골 위(약 높이 12m)에서 C형강 용접을 끝낸 후 몸의 중심을 잃고 바닥으로 추락하여 사망</t>
  </si>
  <si>
    <t>2019년 6월경 OO건설(주)이 시공 중인 OO(주) 공장 신축공사 현장에서 재해자(철골공)이 지상2층 철골 위에서 가새 설치작업 중 몸의 중심을 잃고 1층 바닥(H≒9m)으로 떨어져 사망</t>
  </si>
  <si>
    <t xml:space="preserve"> 2019년 7월</t>
  </si>
  <si>
    <t xml:space="preserve"> 2019년 7월경 OO(주) OO 신축공사 현장에서 협력업체 ㈜OO 소속 재해자(철골공)가 고소작업대에 탑승하여 지상 2층 철골보 볼트 본조임 작업을 하던 과정에서, 고소작업대 상승 중 철골보와 고소작업대 안전난간 사이에 머리가 협착되어 사망</t>
  </si>
  <si>
    <t>시저형 고소작업대에 탑승하여 철골보 볼트 본조임 작업을 하던 중 고소작업대 상승 중 철골보와 고소작업대 안전난간 사이에 근로자 머리가 협착</t>
  </si>
  <si>
    <t>▶ 고소작업대 사용 시 과상승 방지장치를 4개소에 설치하며 유효높이 확보 후 작업 실시
▶과상승 방지장치의 수정방법이 간단하여 임의 조작이 불가능한 구조로 설계 혹은 안전난간에 눌림을 감지하여 작업대의 과상승 방지 구조로 사용</t>
  </si>
  <si>
    <t>2019년 8월경 ㈜OO이 시공하는 OO철탑 보강공사 현장에서 재해자(철골공)가 노후화된 송신철탑 볼트를 교체하기 위해 철탑부재 위에서 위치 조정 또는 다른 작업위치로 이동중(바닥으로부터 15.8m 지점) 실족하여 하단부 철탑부재(바닥으로부터 약 6.0m 지점)로 떨어져 사망</t>
  </si>
  <si>
    <t>노후화된 송신철탑 볼트 교체를 위해 철탑부재 위에서 안전대 미착용한 상태에서 위치조정 또는 다른 작업위치로 이동 중 실족하여 근로자 추락</t>
  </si>
  <si>
    <t>▶ 송신철탑에서 볼트 교체작업 시 안전대를 사용할 수 있도록 안전대 부착설비 설치
▶ 개인보호구 지급 및 착용</t>
  </si>
  <si>
    <t>2019년 8월경 OO교회 신축공사 현장에서 재해자가 예배당 복층 슬래브 상부에서 철골 도장작업 후 휴식을 위해 이동 중, 슬래브 개구부(계단실 용도, 0.9m×2.4m)로 실족하여 1층 콘크리트 바닥면으로 추락(H≒3.3m)하여 사망</t>
  </si>
  <si>
    <t>철골 도장 작업 후 휴식을 위해 이동 중 근로자가 덮개가 미설치 된 슬래브 개구부로 실족하여 추락</t>
  </si>
  <si>
    <t>▶ 철골구조물 슬래브 개구부 혹은 통로의 끝 등 추락위험이 있는 장소에는 본 구조물을 시공하기 전까지 안전난간 또는 덮개 등의 방호조치 실시
▶ 추락위험이 있는 장소에서 작업 시 안전대 부착설비 설치 및 안전대 착용</t>
  </si>
  <si>
    <t>2019년 8월경 OO(주) OO물류센터 공장 증축공사 현장에서 철골공사 하청업체인 ㈜OO건설 소속의 재해자(철골공)가 철골부재 양중작업을 위해 공장동 외부에서 이동식 크레인(45톤)의 보조붐 설치작업 중 메인붐에 지지되어 있던 보조붐(L=9m)이 이탈하여 낙하하면서 재해자를 덮쳐 협착되어 사망</t>
  </si>
  <si>
    <t xml:space="preserve">철골부재 양중작업을 위해 이동식크레인 보조붐 설치작업 중 기계적 결함 보다는 보조붐 설치작업 과정에서 문제가 발생하여 메인붐에 지지되어 있는 보조붐이 이탈하여 근로자에게 낙하 </t>
  </si>
  <si>
    <t>▶ 이동식 크레인 보조붐 장착을 위한 기계의 운전을 시작할 때 근로자가 위험해질 우려가 있으면 근로자의 배치 및 교육, 작업방법, 방호장치 등 필요한 사항을 미리 확인 후 위험방지를 위해 필요한 조치를 해야 함</t>
  </si>
  <si>
    <t>2019년 9월경 ㈜OO이 시공하는 OO 공장 신축공사 현장에서 재해자(철골공)가 주1동 지붕 철골보(H-beam, 폭20cm) 위에서 이동식크레인으로 인양중인 자재(데크플레이트)를 받던 중 중심을 잃고 콘크리트 바닥으로 떨어져(H=6.2m) 사망</t>
  </si>
  <si>
    <t>안전대 부착설비 등 추락을 방지하기 위한 안전시설물이 미설치된 상태로 지붕 철골보 위에서 이동식크레인으로 인양중인 자재를 받던 중 근로자가 몸의 중심을 잃고 추락</t>
  </si>
  <si>
    <t>▶ 철골조 상부에서 데크플레이트 작업 등 추락위험 장소에서 작업 시 추락방망 설치 및 안전대 부착설비 설치
▶ 크레인을 사용하여 데크플레이트 인양 시 철골보 사이공간을 고려하여 작업 실시
▶ 개인보호구 지급 및 착용</t>
  </si>
  <si>
    <t xml:space="preserve"> 2019년 9월경 OO이 시공하는 OO 신축공사 현장에서 철골 구조물공사를 하던 협력업체(OOO)소속 재해자(용접공)가 지붕 철골보 위에서 지붕재인 샌드위치패널 고정용 C형강(부재)을 배치하던 중 중심을 잃고 바닥으로 떨어져(H:약5.73미터) 사망</t>
  </si>
  <si>
    <t xml:space="preserve">2019년 9월경 OO㈜이 시공하는 OO 증축공사 현장에서 철골 재하청업체 사장과 작업자 1명이 지붕철골 상부(H형강, 플랜지 폭=20cm)에서 파라펫(C형강) 용접작업 중 약 5m 아래 지상 콘크리트 바닥으로 떨어져 사망   </t>
  </si>
  <si>
    <t>2019년 11월경 ㈜OO에서 시공하는 OO 공장 신축공사 현장에서 지상3층 데크 플레이트 말단부를 철골 외부 테두리 보에 고정하기 위해 사고 지점으로 이동 후 용접 준비작업 도중 몸의 중심을 잃고 3층 개구부에서 높이 약 11.6m 지상 1층 외부지반으로 추락하여 사망</t>
  </si>
  <si>
    <t>안전대 부착설비가 설치되지 않은 상태로 데크 플레이트 설치 작업 중 근로자가 몸의 중심을 잃고 데크플레이트 단부, 개구부로 추락</t>
  </si>
  <si>
    <t>▶ 데크플레이트 설치작업 시 통로의 끝이나 개구부 등 추락위험이 있는 장소에는 안전난간, 울타리, 수직형 추락방망 또는 덮개 등의 방호조치 실시
▶ 안전난간 등 설치가 곤란할 경우 추락방호망 설치
▶ 데크플레이트 설치 및 철근 배근작업 시 근로자의 실족 방지를 위해 작업발판 등을 작업장의 통로에 설치
▶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t>
  </si>
  <si>
    <t>2019년 11월경 OO건설(주)에서 시공하는 OO산업(주) 공장 신축공사 현장에서 OO(주) 소속 재해자(철골공)는 공장 지붕 철골 조립작업을 위해 고소작업대에 탑승하여 약 7.3m 높이까지 상승한 뒤, 양중된 지붕 철골의 방향을 돌리기 위해 고소작업대에서 나와 기둥 철골을 밟고 서 있던 중 회전하는 지붕 철골에 맞아 약 7.8m 아래 콘크리트 바닥으로 떨어져 사망</t>
  </si>
  <si>
    <t>지붕 철골 조립작업을 위해 고소작업대에 탑승하여 상승한 뒤, 고소작업대에서 나와 기둥 철골을 밟고 서 있던 중 회전하는 지붕 철골에 맞아 근로자 추락</t>
  </si>
  <si>
    <t>▶ 고소작업대를 상승시킨 상태에서는 작업대 내에서 작업 또는 안전대를 체결하여 작업가능범위 내에서 작업
▶ 철골구조 지붕 조립을 위한 철골 양중 시 안전한 위치에서 유도로프를 이용하여 작업
▶ 개인보호구 지급 및 착용</t>
  </si>
  <si>
    <t>2019년 11월 OO공장 신축 공사 현장에서 재해자가 철골 기둥에 철골 보조립 작업 후 철골 보 중간지점에 인양 목적으로 연결되어 있던 클램프를 빼기위해 볼트 조립 작업 시 브래킷 볼트 구멍에 연결하였던 안전대 고리를 빼고 철골 보 위로 이동, 클램프를 빼던 중 추락(H≒15.5m) 하여 사망</t>
  </si>
  <si>
    <t>2019년 11월경 OO(주)가 시공중인 OO공장 신축공사 현장에서 재해자(철골공)가 지붕 철골을 설치한 후 이동 또는 작업 중, 몸의 중심을 잃고 지상1층 바닥(H≒10.8m)으로 떨어져 사망</t>
  </si>
  <si>
    <t>2019년 12월경 OO(주) OO신축공사 현장에서 재해자(도장공)가 차량탑재형 고소작업대의 작업대에 탑승하여 포장동 상부 철골구조물(H≒40m)에 내화도장 작업을 하던 중 장비가 전도되어 작업대에 타고있던 재해자가 지면으로 떨어져(H≒12m) 사망</t>
  </si>
  <si>
    <t>차량탑재형 고소작업대의 작업대에 탑승하여 상부 철골 구조물에 내화도장 작업을 하던 중 고소작업대 허용 작업반경을 초과하여 작업하면서 전도되어 근로자 추락</t>
  </si>
  <si>
    <t>▶ 고소작업대 허용 작업반경 내 사용 준수 
▶ 고소작업대 안전장치 설치 및 정상작동 상태 유지로 허용 작업범위 내에서 작업 실시
▶ 고소작업대 작업 전 과부하방지장치 등 안전장치 설치상태 및 작동유무 점검</t>
  </si>
  <si>
    <t>2020년 4월경 OO초 강당 겸 체육관 증축공사 현장에서 재해자(철골공)가 체육관 지붕 철골부재의 볼트 조임을 완료하고 이동식크레인과 연결된 클램프를 해체 후 철골부재 위를 이동함. 이때 인상 중이던 벨트 슬링의 고리에 설치된 클램프가 재해자의 옷에 걸렸거나 재해자의 몸을 가격(추정)하여 재해자가 중심을 잃고 약 8m 아래 2층 바닥으로 추락하여 사망</t>
  </si>
  <si>
    <t>지붕 철골부재의 볼트 조임을 완료하고 이동식크레인과 연결된 클램프를 해체 후 철골부재 위를 이동 중, 인상 중이던 벨트 슬링의 고리에 설치된 클램프가 근로자의 몸을 가격하여 중심을 잃고 추락</t>
  </si>
  <si>
    <t>▶ 철골 설치 작업 시 이동 및 작업 중 추락방지를 위해 안전대 부착설비 설치 및 안전대 착용
▶ 철골 설치 작업 시 비계, 달비계, 고소작업대, 수평통로 및 안전난간 등의 작업발판 사용
▶ 작업발판의 설치가 곤란할 경우 작업면 하부에 추락방망 설치</t>
  </si>
  <si>
    <t>2020년 4월경 OO(주) OO현장에서 지상1층의 용접작업(데크플레이트) 화재감시자인 재해자(보통인부)가 휴식장소로 이동하던 중 데크플레이트가 미설치된 개구부(2600×570)에서 약 6.1m 아래 지하1층 바닥으로 추락하여 사망</t>
  </si>
  <si>
    <t>휴식장소로 이동 하던 중 데크플레이트가 미설치된 개구부에서 근로자 추락</t>
  </si>
  <si>
    <t xml:space="preserve">▶ 데크플레이트가 설치되어 있지 않은 개구부는 안전난간, 울타리 또는 덮개 등의 방호조치 실시
▶ 덮개를 설치하는 경우 뒤집히거나 떨어지지 않도록 설치 및 개구부임을 표시
▶ 높이 2m 이상에서 작업 시 추락방지를 위해 안전대 부착설비 설치 및 안전대 착용 </t>
  </si>
  <si>
    <t>2020년 5월경 OO건설㈜에서 시공하는 근린생활시설 신축공사 현장에서 재해자(용접공)가 가용접 상태의 철골계단을 지지하던 양중용 걸이로프를 제거하고 철골계단 상부로 이동 중 가용접 부위가 탈락·붕괴되면서 약 8m 아래 콘크리트 바닥으로 떨어져 사망</t>
  </si>
  <si>
    <t>가용접 상태의 철골계단을 지지하던 양중용 걸이로프를 제거하고 철골계단 상부로 이동 중 가용접 부위가 탈락되면서 근로자 추락</t>
  </si>
  <si>
    <t>▶ 철골계단 조립 시 본용접으로 철골부재의 접합부가 충분히 지지된 후 걸이로프 제거
▶ 철골계단 용접 시 안전대 부착설비 설치 및 안전대 착용
▶ 철골계단 조립 등 중량물 취급 시 안전방망, 수직형 추락방망 등을 설치하여 추락 및 낙하방지 실시</t>
  </si>
  <si>
    <t>2020년 5월경 자동차관련시설 현장에서 재해자가 카리프트 구간의 월 브레이싱 설치 작업을 하던 중 철골 상부에서 실족하여 콘크리트 바닥으로 추락(H≒11.8m)하여 사망한 재해임.</t>
  </si>
  <si>
    <t xml:space="preserve">카리프트 구간의 월 브레이싱 설치 작업을 하던 중, 근로자가 철골 상부에서 실족하여 추락 </t>
  </si>
  <si>
    <t xml:space="preserve">▶ 철골작업 등 고소작업 시 비계 조립 등의 방법으로 작업발판 및 단부에 안전난간 설치
▶ 안전난간의 설치가 곤란할 경우 안전방망 및 안전대 부착설비 설치
▶ 철골작업 중 작업발판 및 안전방망의 설치가 곤란할 경우 수직·상하 이동이 가능한 곤돌라 등을 이용하여 작업 </t>
  </si>
  <si>
    <t>2020년 5월경 OO공장 신축공사 현장에서 크레인 보(Girder) 조립작업 중 이동식크레인(45ton)이 넘어지면서 크레인 보(약 7.7ton)가 고소작업대에 부딪히고, 고소작업대(작업대 높이 약 11m)가 넘어지면서 탑승중인 재해자가 바닥에 부딪혀 사망</t>
  </si>
  <si>
    <t>크레인 보(Girder) 조립작업 중 이동식 크레인의 과부하방지장치가 작동하지 않고, 허용하중을 초과하여 이동식크레인이 넘어지면서 크레인 보가 고소작업대에 부딪히고 고소작업대가 넘어지면서 근로자 추락</t>
  </si>
  <si>
    <t>▶ 이동식크레인 사용 시 과부하방지장치 등의 정상적으로 작동될 수 있도록 사전에 조정 및 점검 실시
▶ 이동식크레인의 가동 범위를 고려하여 인양 가능한 위치에서 작업 실시
▶ 이동식크레인 사용 시 사전에 지반 다짐 등의 방법으로 지내력 확보 및 아웃트리거 상태 점검 실시</t>
  </si>
  <si>
    <t>2020년 6월경 OO축사 신축공사 현장에서 재해자(용접공)가 고소작업대(시저형) 위에서 작업대의 승강발판을 딛고 지상바닥으로 내려오려던 중 몸의 중심을 잃고 앞으로 떨어지면서(H≒1.2m) 사조(飼槽)벽체(H=60cm) 상단에 돌출 된 수직철근(L=11.5cm)에 우측흉부가 찔려 사망</t>
  </si>
  <si>
    <t>고소작업대 위에서 작업대의 승강발판을 딛고 지상바닥으로 내려오던 중 근로자가  발판에서 실족 또는 몸의 중심을 잃고 추락하며 벽체 철근에 찔림</t>
  </si>
  <si>
    <t>▶ 고소작업대 사용 작업 시 안전한 장소에서 작업대를 탑승하거나 내리도록 조치
▶ 승강발판을 이용하는 경우, 고소작업대 방향을 향한 상태로 3점접촉 승강법을 준수하도록 조치
▶ 고소작업대 사용 시 작업대의 모든 측면에 안전난간 설치</t>
  </si>
  <si>
    <t>2020년 6월경 OO에서 시공하는 근린생활시설 신축공사 현장에서 재해자(철골공)가 고소작업대(시저형)에 탑승한 상태에서 지붕 철골구조물 상부에 적재되어있던 Purlin(C형강: 길이9.2m) 배치 작업을 하던 중, 고소작업대가 알 수 없는 이유로 갑자기 약 0.8m가량 후진하면서 몸의 중심을 잃고 약 7.2m 아래 콘크리트 바닥으로 떨어져 사망_x000D_</t>
  </si>
  <si>
    <t>고소작업대에 탑승한 상태에서 지붕 철골구조물 상부에 적재되어 있던 퍼린(Purline) 배치 작업을 하던 중 신체 일부가 조이스틱과 접촉하면서 임의 작동하여 후진하면서 근로자가 몸의 균형을 잃고 추락</t>
  </si>
  <si>
    <t>2020년 6월경 OO(주)에서 시공하는 OO 현장에서 재해자(기계공)가 OO항 갑문 위에서 윈치를 이용하여 H-beam(100×100×6×8, L≒ 2.5m, W≒ 42.5kg)을 내리던 중 윈치 프레임이 전도되면서 바닥(H≒18m)으로 떨어져 사망</t>
  </si>
  <si>
    <t>안전난간이 미설치된 구간인 맨홀 부근에서 재해자가 윈치를 이용하여 H-beam을 내리던 중 윈치 프레임이 전도되면서 근로자 추락</t>
  </si>
  <si>
    <t>▶ 갑문 단부에서 중량물 인양 작업 시 전도방지를 위해 윈치가 아닌 크레인 사용
▶ 갑문 단부 등 개구부에서 작업 시 추락방망 설치 및 안전대 부착설비 설치
▶ 개인보호구 지급 및 착용</t>
  </si>
  <si>
    <t>2020년 6월경 OO건설㈜이 시공하는 ㈜OO 방음벽 공사 현장에서 OO건설(주) 소속의 재해자(용접공)가 집진기 주변에 방음벽을 설치하기 위하여 사다리 상부에서 방음벽 철골구조물 용접작업을 하던 중 높이 약 2m 아래 바닥으로 추락하여 사망</t>
  </si>
  <si>
    <t>집진기 주변에 방음벽 설치를 위해 사다리 상부에서 방음벽 철골구조물 용접작업 중 근로자 추락</t>
  </si>
  <si>
    <t>▶ 추락위험이 있는 장소에서 작업시 비계를 설치하여 작업 
▶ 구조물의 간섭 등으로 작업발판 설치가 곤란할 경우 고소작업대 활용
▶ 안전대 부착설비 설치 및 안전대 착용</t>
  </si>
  <si>
    <t>2020년 6월경 OO㈜에서 시공하는 OO공장 신축공사 현장에서 재해자1(철골공)와 동료작업자가 높이 약9.6m 철골보위에서 앵글브레이싱을 조립하던 중 재해자는 앵글브레이싱과 함께 콘크리트연석으로 떨어져 사망하고 밑에서 작업하던 재해자2(철골공)는 떨어지는 앵글브레이싱에 발등을 맞아 부상</t>
  </si>
  <si>
    <t>2020년 7월경 ㈜OO 숙박시설 신축공사 현장에서 재해자(철골공) 2명이 가 지상1층 슬래브 데크플레이트 설치작업 중 몸의 중심을 잃고 지상1층 바닥(H≒3.3m)으로 떨어져 부상</t>
  </si>
  <si>
    <t>2020년 7월경 OO건설(주) OO근린생활시설 건설현장에서 재해자가 지상2층 바닥 철골에 데크 플레이트 설치작업 중 데크 플레이트와 함께 추락(H=5.5m)하여 사망</t>
  </si>
  <si>
    <t>2020년 7월경 ㈜OO 공장 신축공사 현장에서 재해자가 옥상층 파라펫 지지용 밑받침 철물 설치를 위해 철골보 위에서 이동 중 몸의 중심을 잃고 지상 콘크리트 바닥으로 떨어져(H≒17.5m) 사망</t>
  </si>
  <si>
    <t>2020년 7월경 OOO(개인) 판매시설 신축 현장에서 재해자(직영인부)가 철골기둥에 철골보(도리)를 설치하고 1층 바닥에 앉아 철골기둥의 수직도를 확인하던 중 임시용접된 상부의 철골보(도리)가 떨어지며(h=3.25m) 재해자의 머리와 등을 가격하여 사망</t>
  </si>
  <si>
    <t xml:space="preserve">철골기둥 철골보를 설치하는 작업을 위해 철골기둥의 수직도를 확인하던 중 임시용접된 상부의 철골보가 탈락하여 근로자에게 낙하 </t>
  </si>
  <si>
    <t>2020년 8월경 OO건설(주)이 시공하는 OO센터 신축공사 현장에서 재해자(철골공)가 다목적강당 지붕철골 상부에서 ‘X’브레이싱 설치 작업을 위해 이동 중 몸의 중심을 잃고 약 9.4m 아래 바닥으로 떨어져 사망</t>
  </si>
  <si>
    <t>2020년 8월경 ㈜OO 물류센터 신축공사 현장에서 재해자(철골공)이 철골보 위에서 조립작업을 위해 준비하던 중 높이 약10.9m에서 콘크리트바닥으로 떨어져 사망</t>
  </si>
  <si>
    <t>2020년 9월경 단독주택 건설현장의 지상1층 경량철골 지붕트러스 설치작업 중 지붕 트러스가 떨어지면서 이동식비계에서 추락(높이:1.7m)하여 1명 사망, 지붕 트러스에 깔려 1명 부상</t>
  </si>
  <si>
    <t>경량철골 지붕트러스 설치작업 중 지붕트러스가 떨어지면서 근로자가 안전난간이 설치되지 않은 이동식비계에서 추락</t>
  </si>
  <si>
    <t>▶ 이동식 비계 최상부 작업발판 단부에는 안전난간 설치
▶ 안전난간의 설치가 곤란할 경우 추락방망 설치
▶ 높이 2m 이상의 장소에서 작업 시 안전대 부착설비 설치 및 안전대 착용</t>
  </si>
  <si>
    <t>2020년 9월경 근린생활시설 신축공사 현장에서 재해자(철골공)가 지붕 철골 보 가조립 완료 후 지상으로 내려오기 위해 보(폭 125mm)를 딛고 고소작업대(시저형)로 넘어가던 중 몸의 중심을 잃고 약 9.6m 아래 건물 외측 주차장 바닥으로 떨어져 사망</t>
  </si>
  <si>
    <t>철골구조물에서 고소작업대(시저형)로 넘어가던 중 몸의 중심을 잃고 근로자 추락</t>
  </si>
  <si>
    <t>2020년 10월경 ㈜OO 신축공사현장에서, 재해자(용접공)가 지상 2층 바닥 데크플레이트를 가용접한 후 지상 1층으로 내려가기 위하여 개구부(데크플레이트 미설치 구간)로 이동하던 중, 옆에 있던 동료 근로자를 잡고 4m 아래 지상 1층 콘크리트 바닥으로 떨어져 재해자는 사망, 동료 근로자는 부상</t>
  </si>
  <si>
    <t>데크플레이트를 가용접 한 후 지상으로 내려가기 위해 개구부로 이동하던 중 안전대를 미착용한 근로자가 몸의 균형을 잃고 추락</t>
  </si>
  <si>
    <t>▶ 추락위험 장소에서 데크플레이트 설치 시 철골 하부에 추락방호망 설치
▶ 상부에는 안전대 부착설비를 설치하고 안전대 체결 실시</t>
  </si>
  <si>
    <t xml:space="preserve">2020년 10월경 OO태양광발전소 설치공사현장에서 재해자 2명을 포함한 총 3명이 공장 칼라강판 지붕 위에 올라가 사다리를 사용하여 철골보 조립 작업을 하던 중, 몸의 중심을 잃고 사다리에서 지붕 위(h=1.1m)로 떨어져 1명 사망, 1명 부상  </t>
  </si>
  <si>
    <t>안전대를 미착용한 상태에서 공장 칼라강판 지붕 위에 올라가 사다리를 사용하여 철골보 조립 작업 중 중심을 잃고 근로자 추락</t>
  </si>
  <si>
    <t>▶ 경사지붕 위에서 안정적인 자세로 작업이 불가한 높이에서 작업 시 이동식 비계 등 작업여건에 적절한 작업발판 설치
▶ 개인보호구 지급 및 착용</t>
  </si>
  <si>
    <t>2020년 10월경 ㈜OO건설 오피스텔 신축공사 현장에서 지하5층 슬라브 위에 적치되어 있던 데크플레이트(Deck Plate) 잔여자재를 지상으로 반출하기 위해 타워크레인을 사용하여 양중하던 중 고정되지 않은 데크플레이트 자재 더미가 약 20m 아래의 지하5층 작업장으로 낙하하여 하부에서 작업중이던 작업자 3명이 날아온 데크플레이트 자재에 깔리거나 맞아 2명 사망 1명이 부상_x000D_</t>
  </si>
  <si>
    <t xml:space="preserve">적치되어 있던 데크플레이트 잔여자재를 반출하기 위해 타워크레인을 사용하여 양중하던 중 고정되지 않은 데크플레이트 자재 더미가 근로자에게 낙하 </t>
  </si>
  <si>
    <t>▶ 사용하고 남은 데크플레이트 반출작업의 경우 하부 로프로 데크플레이트 자재를 직접 감아서 묶는 방법으로 줄걸이를 하거나 보조 달기기구(리프팅 빔 등)를 사용하는 것이 적정
▶ 크레인을 사용하여 양중작업 시 인양 중인 양중물이 근로자의 머리 위로 통과하지 않도록 출입 통제</t>
  </si>
  <si>
    <t>2020년 10월경 OO산업단지 내 ㈜OO건설이 시공 중인 ㈜OO공장 신축공사 현장에서 철골 조립작업 협력업체 근로자가 차량 탑재형 고소작업대(스카이)를 사용하여 작업을 진행하던 중 작업대 하부가 철골 빔 볼트에 걸려 장비를 조정하던 과정에서 작업대의 상하 반동으로 작업대에 탑승하고 있던 재해자가 추락(H= 약 23m)하여 사망</t>
  </si>
  <si>
    <t xml:space="preserve">차량탑재형 고소작업대를 사용하여 작업을 진행하던 중 작업대 하부가 철골 빔 볼트에 걸려 장비를 조정하던 과정에서 작업대 반동으로 인해 근로자 추락 </t>
  </si>
  <si>
    <t xml:space="preserve">▶ 고소작업대를 사용하여 작업 시 안전대 체결 후 작업을 실시하며 적정 안전대 부착시설을 설치하여 가능한 범위 내에서 작업 실시
▶ 고소작업대 사용 시 작업대의 모든 측면에 안전난간 설치
▶ 개인보호구 지급 및 착용 </t>
  </si>
  <si>
    <t>2020년 11월경 OO(주)이 시공하는 OO 창고시설 신축공사 현장에서 재해자(철골공)가 철골기둥 브라켓(H-250×125×6×9, 길이 약 70cm)에 걸터 앉아 이동식크레인으로 인양된 철골지붕 거더를 철골기둥 브라켓에 연결하는 볼트 가조임 작업 중 몸의 중심을 잃고 5m 아래 콘크리트 바닥으로 떨어져 사망</t>
  </si>
  <si>
    <t>2020년 12월경 OO초 체육관 신축현장에서 카고크레인을 이용하여 철골부재(x-bracing) 조립 도중 beam 위에서 대기하던 재해자가 낙하 또는 하강하는 부재에 부딪혀 몸의 중심을 잃고 지상으로 추락(약 5m)하여 사망</t>
  </si>
  <si>
    <t>줄걸이 방법 미흡한 상태에서 카고크레인을 이용하여 철골부재 조립 중 안전대를 미착용하고 빔 위에서 대기하던 근로자가 하강하는 부재에 부딪혀 몸의 중심을 잃고 추락</t>
  </si>
  <si>
    <t>▶ 추락위험 장소에는 안전대 부착설비 설치 및 안전대 착용
▶ 자재 종류에 따른 줄걸이 종류를 선택하고 2줄걸이 방법을 채택하는 등 양중 도중 자재가 미끄러지거나 빠지지 않는 방법으로 작업 실시</t>
  </si>
  <si>
    <t>2021년 2월경 ㈜OO건설 OO 신축공사 현장에서 재해자(철골공)가 옥탑층 철골 상부에서 H빔 거더 설치작업을 하던 중, 이동식크레인(60t)으로 인양 중인 거더가 강풍에 의해 기설치된 주변 철골보를 타격하였고, 부딪힘 충격으로 인한 진동으로 재해자가 추락(H≒14.0m)하여 사망</t>
  </si>
  <si>
    <t>옥탑층 철골 상부에서 H빔 거더 설치작업을 하던 중 이동식크레인으로 인양 중인 거더가 강풍에 의해 기설치된 주변 철골보를 타격하였고, 부딪힘 충격으로 인한 진동으로 재해자가 추락</t>
  </si>
  <si>
    <t>▶ 차량계 하역운반기계를 사용하여 중량물인 철골빔을 취급하는 작업 시 중량물의 취급방법, 인양장비의 재원 능력에 맞는 작업방식 지휘
▶ 차량계 하역운반기계 등을 사용하여 작업 시 운반 중인 화물 등에 의한 충돌 방지를 위해 줄걸이 방법, 줄걸이 공구 및 작업방법 검토
▶ 추락위험이 있는 장소에서 작업 시 안전대 부착설비 설치 및 안전대 착용</t>
  </si>
  <si>
    <t>2021년 3월경 OO 공장 신축공사 현장에서 협력업체 OO기공 소속 재해자(조립공)가 동료작업자와 함께 자주식 시저형 고소작업대에 탑승하여 약 12미터 위치의 2번째 철골구조물 조립을 위해 상승하던 중 지상으로 추락하여 사망</t>
  </si>
  <si>
    <t>철골 구조물 조립을 위해 자주식 시저형 고소작업대에 탑승하여 상승하던 중 재해자는 불안정한 행동 등 기타의 사유로 고소작업대를 벗어나 지상으로 추락</t>
  </si>
  <si>
    <t xml:space="preserve">2021년 3월경 재해자가 2층 거더와 기둥 접합부 용접을 위해 CO2 용접기 송급장치를 들고 철골 보 상부에서 이동 중 추락 (H≒7m)하여 사망 </t>
  </si>
  <si>
    <t>2021년 3월경 OO 리모델링공사 현장에서 4층 철골기둥과 보의 본조립 작업 중(추정) 4층 바닥(H=3.6m)으로 떨어져 사망</t>
  </si>
  <si>
    <t>2021년 4월경 ㈜OO 증축공사 현장에서 치선이 과도하게 마모된 클램프로 철골기둥을 체결해 이동식 카고크레인을 사용하여 이동하던 중 해당 철골기둥이 불시에 클램프에서 이탈·낙하하면서 작업장에서 이동 중이던 재해자를 덮쳐 사망</t>
  </si>
  <si>
    <t>과도하게 마모된 클램프로 철골기둥을 체결해 이동식 카고크레인을 사용하여 이동하던 중 해당 철골기둥이 클램프에서 이탈·낙하</t>
  </si>
  <si>
    <t>▶ 철골 부재를 인양하는 경우 달고리로 샤클, 해지장치가 부착된 훅 등의 달고리를 사용
▶ 인양 작업 중 달아올린 자재의 이동경로 하부에 대해 근로자 출입금지 조치 실시</t>
  </si>
  <si>
    <t>2021년 4월경 OO 모델하우스 철거공사 현장에서 일용직 재해자 2명이 점심식사를 위해 모델하우스 3층에서 2층으로 내려오던 중 철제 계단이 기울어 지상 2층 바닥으로 추락하여 부상</t>
  </si>
  <si>
    <t>철거공사 현장에서 내려오던 중 계단과 바닥을 연결한 볼트가 탈락하면서 계단이 기울어져 추락</t>
  </si>
  <si>
    <t xml:space="preserve">▶ 단부 작업 등 추락위험이 있는 장소에서 작업 시 안전난간 및 수직형 추락방망 설치
▶ 안전난간의 설치가 곤란할 경우 안전대 부착설비 설치 및 안전대 착용
▶ 개인보호구 지급 및 착용 </t>
  </si>
  <si>
    <t>2021년 4월경 OO㈜ OO 아파트 신축공사」 현장에서 협력업체 OO건설(주) 소속 재해자(철골공)가 지하주차장 램프 지붕 위에서 철골 보수작업 중 바닥(H≒5.8m)으로 떨어져 사망</t>
  </si>
  <si>
    <t>2021년 5월경 OO공장 신축공사 현장 내 공장 1동 철골 루프층(보 2단. h≒10m)에서 볼트 수체결 작업 후 지상으로 내려오기 위해 고소작업대(시저형)로 이동 중 바닥면으로 떨어져 사망</t>
  </si>
  <si>
    <t>2021년 5월경 OO건축에서 시공하는 OO공장 증축공사 현장에서 협력업체 소속 재해자는 지붕철골 본조립을 위해 고소작업대에서 테두리 Girder 이동 중 약 5.5m 아래 구조물 바닥으로 떨어져 사망</t>
  </si>
  <si>
    <t>2021년 5월경 모델하우스 철거공사에서 재해자(일용직)가 모델하우스의 지붕재 패널을 해체하기 위해 지상 약 9.8m 높이인 철골 지붕에서, 철골에서 분리가 완료된 패널을 이동식크레인으로 하역하기 위해 분리된 패널을 바르게 겹치면서 적재 작업을 하던 중 패널이 해체된 철골사이로 추락하여 사망(추정)</t>
  </si>
  <si>
    <t>작업구간 하부에 근로자의 추락을 방지하는 추락방호망 및 지붕 위에 안전대 부착설비가 설치되지 않은 상태에서 지붕재 패널을 해체하기 위해 철골 지붕에서 철골에서 분리가 완료된 패널을 이동식크레인으로 하역하기 위해 적재 작업을 하던 중 패널이 해체 완료된 철골 구간으로 추락</t>
  </si>
  <si>
    <t>▶ 지붕재 판넬 철거 작업 시, 단독 작업을 금지하며 판넬 해체로 발생된 개구부에 유의하여 작업 실시
▶ 지붕재 판넬 철거 작업 시, 추락방호망, 안전대 부착설비 설치, 근로자의 안전대 체결 등 안전방호조치 실시
▶ 작업자의 개인보호구, 안전대 체결여부 점검 및 관리감독</t>
  </si>
  <si>
    <t>2021년 6월경 공장 신축공사 현장에서 재해자가 높이 약 8미터 철골 보에서 외벽 판넬 설치를 위해 이동 중 중심을 잃자, 안전대를 걸어둔 C형강에 하중이 가해져 C형강의 고정부가 탈락하며 함께 바닥으로 추락하여 사망</t>
  </si>
  <si>
    <t>철골 보에서 외벽 판넬 설치를 위해 이동 중 중심을 잃자, 안전대를 걸어둔 C형강에 하중이 가해져 C형강의 고정부가 탈락하며 바닥으로 추락</t>
  </si>
  <si>
    <t>▶ 추락할 위험이 있는 작업 시, 추락방호망, 안전난간대, 안전대 부착설비 등의 안전방호조치 실시
▶ 지지로프 등 적절한 안전대 부착설비 설치
▶ 작업 전 개인보호구 지급 및 착용상태 관리 실시</t>
  </si>
  <si>
    <t>2021년 7월경 OO건설(주)이 시공하는 OO공장 증축공사 현장에서 재해자(철골공)가 이동식크레인으로 인양한 철골 Beam(작은보, H-500×200×10x16mm L=6m) 중간지점에 걸터앉아 Beam 양 끝에 부착된 용접접합용 강재 Plate (14×45cm, T=13mm)를  Girder Flange에 고정하지 않은 상태에서 Beam에 부착된 인양용 클램프(Clamp)를분리시키는 순간 Beam이 우측으로 90도 전도되면서 몸의 중심을 잃고 약 7m 아래 콘크리트 바닥으로 떨어져 사망</t>
  </si>
  <si>
    <t>이동식크레인으로 인양한 철골 빔 중간지점에 걸터앉아 빔 양 끝에 부착된 용접접합용 강재 플레이트를 거더에 고정하지 않은 상태에서 빔에 부착된 인양용 클램프를 분리시키는 순간 빔이 우측으로 90도 전도되면서 몸의 중심을 잃고 아래 바닥으로 추락</t>
  </si>
  <si>
    <t>▶ 철골 기둥·보에 철골조립작업 또는 작업을 위해 이동하는 경우 작업면 하부에 추락방지망 설치
▶ 추락위험장소에서 철골조립작업 시 안전대 부착설비 설치 및 안전대 착용</t>
  </si>
  <si>
    <t>2021년 8월경 공장신축공사 현장에서 벽체 하지철물 용접작업을 위해 재해자 2명이 하지철물(수평부재) 위에서 상부 하지철물 용접작업 중 지지하고 있던 하지철물이 순간적으로 탈락 되면서 재해자 2명 모두 추락(H≒4m)하여 부상</t>
  </si>
  <si>
    <t>벽체 하지철물 용접작업을 위해 재해자 2명이 하지철물(수평부재) 위에서 상부 하지철물 용접작업 중 지지하고 있던 하지철물이 순간적으로 탈락 되어 동시에 추락</t>
  </si>
  <si>
    <t>▶ 안전대 걸이 시설을 설치하는 경우 처지거나 탈락하지 않도록 견고히 설치
▶ 작업 시작 전 안전대 및 부속설비의 이상 유무 확인</t>
  </si>
  <si>
    <t>2021년 9월경 OO의 공장 이전 및 리모델링 현장에서 OOOO 소속 재해자가 천장 페인트 작업을 마친 후 철재 구조물(트러스) 조립 작업장으로 이동 중 뒤로 넘어져 바닥에 놓여져 있던 트러스 구조의 철재 파이프에 목·어깨를 부딪히고 후두부가 바닥에 부딪혀 사망</t>
  </si>
  <si>
    <t>천장 페인트 작업을 마친 후 철재 구조물(트러스) 조립 작업장으로 이동 중 뒤로 넘어져 바닥에 놓여져 있던 트러스 구조물에 충돌</t>
  </si>
  <si>
    <t xml:space="preserve">▶ 통로 주요 부분에 통로 표시 및 장애물 제거 등 이동통로 확보
▶ 개인보호구 지급 및 착용상태 관리 실시 </t>
  </si>
  <si>
    <t>2021년 11월경 교회 첨탑 철거공사 현장에서 재해자가 첨탑 철거 완료 후 옥상으로 사다리를 이용하여 내려오던 중 2.1~2.4m 높이에서 떨어져 사망</t>
  </si>
  <si>
    <t>첨탑 철거 완료 후 옥상으로 고정되지 않은 사다리를 이용하여 내려오던 중 바닥으로 추락</t>
  </si>
  <si>
    <t>▶ 작업을 위해 이동할 경우 계단 등 가설통로 설치
▶ 사다리 설치 시 사다리의 상단이 걸쳐놓은 지점으로부터 60cm 이상 올라가도록 하며, 아웃트리거 또는 밀림방지판 설치
▶ 개인보호구 지급 및 착용</t>
  </si>
  <si>
    <t>2021년 11월경 OO건설(주)에서 시공하는 공장 증축공사 현장에서 재해자가 약 20m 높이의 철골 상부에서 각파이프 설치 작업 중 추락하여 약 11m 아래에 있는 시저형 고소작업대 내부로 떨어져 사망</t>
  </si>
  <si>
    <t>추락방호망이 설치되지 않은 지붕 층 파라펫 설치 작업 구간에서 안전대를 체결하지 않은 상태에서 작업 중 파라펫 설치 작업 중 추락</t>
  </si>
  <si>
    <t>▶ 철골빔 위에서 고소작업 시 추락방망 설치, 고소작업대 사용 등 추락방지조치 실시
▶ 추락위험이 있는 장소에서 작업 시 안전대 부착설비 및 안전대 착용</t>
  </si>
  <si>
    <t>2021년 12월경 OO건설㈜에서 시공하는 OO 주유소 신축공사 현장에서 OO건설(주) 소속 패널공 2명이 고소작업대(시저형)에 탑승하여 약 7.5m 높이에서 철골구조물의 용접작업을 하려던 중 고소작업대 설치 위치 이동을 위해 하강하려던 순간, 고소작업대가 전도되면서 2명 모두 지면으로 떨어져 1명 사망, 1명 부상</t>
  </si>
  <si>
    <t>고소작업대(시저형)에 탑승하여 약 7.5m 높이에서 철골구조물의 용접작업을 하려던 중 고소작업대의 수평센서가 작동되지 않은 상태에서 재해자가 하강하려던 순간 경사진 방향으로 고소작업대가 전도되면서 지면으로 추락</t>
  </si>
  <si>
    <t>▶ 고소작업대의 붐대를 상승시킨 상태에서 작업 시 작업대 범위 내에서 작업 실시 또는 안전대 부착설비 설치 및 안전대 체결 상태에서 가능한 범위 내의 작업 실시
▶ 고소작업대를 사용하여 작업 시 근로자의 무리한 작업 방지를 위해 붐대 하강 후 고소작업대 이동을 통한 정확한 위치에서 작업
▶ 근로자가 추락할 위험이 있는 보 상단 등 높이 2m 이상인 장소에 안전대를 안전하게 걸어 사용할 수 있는 안전대 부착설비 설치</t>
  </si>
  <si>
    <t xml:space="preserve">주차타워 철골에 </t>
  </si>
  <si>
    <t>주차타워 철골에 올라서 철거작업 중에  철골주보인 H-BEAM을 절단작업하고 다음 작업을 위해 철골보를 타고 이동하던 중 몸의 중심을 잃고 5층 철골보에서 지상1층 콘크리트 바닥(H=18m)으로 추락하여 사망</t>
  </si>
  <si>
    <t>3.1.3 철골 데크 플레이트 설치</t>
  </si>
  <si>
    <t>2015년 12월경 OO 근린생활시설 신축공사 현장에서 철골구조물 2층 바닥에 데크플레이트 설치작업 중 인접 개구부(데크플레이트 미설치 부위)를 통해 3.2M 아래 바닥으로 추락하여 사망</t>
  </si>
  <si>
    <t>▶ 데크플레이트 설치작업 시 통로의 끝이나 개구부 등 추락위험이 있는 장소에는 안전난간, 추락방망 또는 덮개, 안전대 착용 등의 방호조치 실시
▶ 안전난간 등 설치가 곤란할 경우 추락방호망 설치
▶ 데크플레이트 설치 및 철근 배근작업 시 근로자의 실족 방지를 위해 작업발판 등을 작업장의 통로에 설치
▶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t>
  </si>
  <si>
    <t>2016년 3월경 지상2층 철골구조물 신축공사 현장에서 재해자(철골공)가 지상2층 데크플레이트 설치(판개)작업 중 지상1층 바닥(약 3m)으로 떨어져 병원으로 이송·치료받았으나 사망</t>
  </si>
  <si>
    <t>2016년 8월경 OO(주)에서 시공하는  OO센터 신축공사 현장에서 재해자가 동 지상 2층(H≒9.2m)에서 자재(데크플레이트) 설치 작업 중 몸의 균형을 잃어 지하 1층 콘크리트 바닥으로 떨어져 사망</t>
  </si>
  <si>
    <t>2016년 10월경 근린생활시설 신축공사 현장에서 재해자가 지붕 철골구조물에 데크플레이트 설치작업 중 추락(높이≒7.6m)하여 사망</t>
  </si>
  <si>
    <t>2016년 11월경 OO 물류창고 신축공사 현장에서 재해자(콘크리트 타설공) 등 8명이 3층(H=7.2m) TU-Deck가 깔린 슬래브를 오전에 1차로 보와 골 부위에 콘크리트 타설 후 오후에 2차로 슬래브 및 보 전체에 대하여 콘크리트 타설 중 갑자기 Deck(12m×15m) 플레이트와 하부 시스템 동바리가 붕괴 되어 Deck 플레이트 슬래브가 한꺼번에  TU보에서 탈락되어 무너지면서 콘크리트와 같이 높이 7.2m 아래 2층 바닥으로 떨어져 근로자 8명이 부상</t>
  </si>
  <si>
    <t>슬래브 및 보 전체에 대해 콘크리트 타설 중 데크플레이트와 하부시스템 동바리가 붕괴되어 데크블레이트 슬래브가 보에서 탈락되어 근로자에게 낙하</t>
  </si>
  <si>
    <t>▶ 데크플레이트를 사용시 구조검토 및 조립도 등 작성하고 견고한 구조로 조립 및 설치
▶ 시스템 동바리는 하중에 의한 변위가 발생하지 않도록 가새재 설치</t>
  </si>
  <si>
    <t>2017년 1월경 OO건설(주) OO 공장 신축공사 현장에서 재해자(철골공)가 지상2층 바닥 데크플레이트 설치작업 중 지상1층 콘크리트 바닥으로 떨어져(높이 6m) 사망</t>
  </si>
  <si>
    <t>2017년 2월경 OO공장 신축공사 현장에서 데크 플레이트판개 작업을 진행하던 재해자가 몸의 중심을 잃고 4.06m 아래 콘크리트 바닥으로 떨어져 사망</t>
  </si>
  <si>
    <t>2017년 4월경 OO건설(주)이 시공중인 OO 물류센터 증축공사 현장에서 재해자(용접공)가 지상3층(X14~15, Y3~4) 데크플레이트 판개작업 및 용접작업 또는 이동 중, 몸의 중심을 잃고 지상1층 바닥(H=11m)으로 떨어져 사망</t>
  </si>
  <si>
    <t>2017년 9월경 OO 공장 신축공사 내 도장시설 제작 현장에서 재해자(생산직)가 공장동 내 2층에서 BOOTH DECK(가로3.75m x 세로 2.0m x 높이 0.1m)를 설치를 위해 BOOTH DECK를 측면으로 밀어내고자 공장동 벽체 철골 수평재 상부로 내려가는 중 바닥으로 추락(H=6.5m)하여 사망</t>
  </si>
  <si>
    <t>BOOTH DECK를 설치를 위해 BOOTH DECK를 측면으로 밀어내기 위해 안전대 미착용한 상태에서 벽체 철골 수평재 상부로 내려가는 중 몸의 균형을 잃고 추락</t>
  </si>
  <si>
    <t>▶ 추락위험 장소에서 작업 시 비계 조립 등의 방법으로 작업발판 설치
▶ 작업발판 설치가 곤란할 경우 안전방망 설치
▶ 안전방망의 설치가 곤란할 경우 안전대 부착설비 설치 및 안전대 착용</t>
  </si>
  <si>
    <t>2017년 9월경 OO(주)에서 시공하는 OO부두 건설공사 현장에서 재해자(철골공)이 경비실 상부 데크플레이트를 설치하던 중 고정되지 않은 데크플레이트를 밟고 부재와 함께 콘크리트 바닥으로 떨어져(H≒3.3m) 사망</t>
  </si>
  <si>
    <t>철골 구조물의 데크플레이트 설치 작업 중 고정되지 않은 데크플레이트를 밟는 순간 부재와 함께 근로자 추락</t>
  </si>
  <si>
    <t>▶ 데크플레이트 설치 시 추락방지를 위해 안전방망 설치
▶ 안전방망 설치가 곤란할 경우 안전대 부착설비 설치 및 안전대 착용
▶ 데크플레이트 설치시 추락 및 낙하하는 등의 사고 방지를 위해 보 상단 좌우 50mm 이상 걸치도록 설치 및 1매 째의 데크플레이트 설치 후 곧바로 가용접 실시 이후 순차적으로 60cm 간격 이내마다 가용접 실시</t>
  </si>
  <si>
    <t>2018년 7월경 OO 신축공사 현장에서 재해자(데크공)가 7층 보에 거치해 놓은 데크 플레이트(Deck plate)를 슬라브 길이에 맞게 절단하려고 줄자로 길이를 재던 중, 몸의 중심을 잃고 6층 콘크리트 바닥(H≒3.7m)으로 떨어져 사망</t>
  </si>
  <si>
    <t>2018년 7월경 OO건설(주) 공장 신축공사 현장에서 재해자(철골공)가 지상1층 바닥에서 하역자재 받는 작업을 하던 중, 지상 3층 철골작업용 데크플레이트 묶음(Packing)의 상부 고정용 철물(L=1.9m,W=8kg)이 떨어지면서(H=17.0m) 재해자의 머리에 맞아 사망</t>
  </si>
  <si>
    <t xml:space="preserve">지상에서 하역자재 받는 작업 중 지상 3층 철골 작업용 테크플레이트 묶음의 상부 고정용 철물이 떨어지면서 근로자에게 낙하 </t>
  </si>
  <si>
    <t xml:space="preserve">▶ 테크플레이트 설치작업 시 낙하물에 의한 위험방지조치 철저
▶ 관리감독자의 유해ㆍ위험방지 업무 철저 </t>
  </si>
  <si>
    <t>2018년 8월경 ㈜OO건설이 시공중인 업무시설 신축공사 현장에서 재해자(데크공)가 지하4층 바닥 데크 플레이트 설치작업 중 몸의 중심을 잃고 데크 플레이트 설치 예정인 개구부(1,8m×7,2m)를 통해 지하5층 바닥(H≒3.7m)으로 떨어져 사망</t>
  </si>
  <si>
    <t>2018년 11월경 재해재가 동료 작업자 2명과 지상2층 철골 상부에서 바닥 데크 플레이트 설치 작업 중 재해자가 발을 딛고있던 미고정된 데크 플레이트와 함께 지상1층 바닥으로 추락하여 사망</t>
  </si>
  <si>
    <t>2018년 11월경 OO(주)가 시공하는 OO 신축공사 현장에서 재해자(데크설치공)가 지상 3층 철골 상부에서 용접봉 홀더를 들고 이동하던 중 약 7m 아래 지상 1층 콘크리트 바닥으로 추락하여 사망</t>
  </si>
  <si>
    <t>2019년 2월경 재해자가 OO설치공사 현장에서 철골+데크구조의 경량 슬래브 미설치구간 바닥 개구부 주변에서 균형을 잃고 추락(≒6.0m)</t>
  </si>
  <si>
    <t xml:space="preserve">2019년 3월 </t>
  </si>
  <si>
    <t>2019년 3월 OO건설(주) OO 건설공사 현장에서 골조공사 협력업체인 OO(주) 소속 콘크리트공 6명이 OO시설동 크레인조정실 바닥슬래브 콘크리트 타설 작업을 진행하던 중 데크플레이트(Deck-plate)를 지지하고 있던 목재각재가 슬래브 자중 및 작업하중을 견디지 못하고 철근콘크리트 보 측면에서 이탈되면서 바닥 슬래브가 붕괴되어 콘크리트공 3명이 약 24.0m아래 지상으로 추락하여 사망</t>
  </si>
  <si>
    <t>콘크리트 타설 작업 진행 중, 데크플레이트를 지지하고 있던 목재각재가 슬래브 자중 및 작업 하중을 견디지 못하고 이탈되면서 슬래브가 붕괴되어 근로자 추락</t>
  </si>
  <si>
    <t>▶ 설계도서 작성 및 준수 
▶ 콘크리트 타설 전 안전점검 및 보강조치 실시
▶ 콘크리트 타설 작업 시 추락방지조치 실시</t>
  </si>
  <si>
    <t xml:space="preserve"> 2019년 6월</t>
  </si>
  <si>
    <t xml:space="preserve"> 2019년 6월경 OO 모델하우스 건립공사 현장에서 재해자(철골공)가 지상 2층 바닥 데크플레이트 설치 작업 중 단부에서 지상 바닥으로 떨어져(H≒7.3m) 사망</t>
  </si>
  <si>
    <t>2019년 6월경 OO건설(주)에서 시공하는 OO 근생 및 주택 신축공사현장에서 재해자가 지상 2층 계단참 데크플레이트 설치작업 중 밟고있던 미 고정된 데크플레이트가 철골에서 탈락되면서 지상1층 콘크리트 바닥으로 떨어져(높이 4.2m) 사망</t>
  </si>
  <si>
    <t>2020년 2월경 ㈜OO건설이 시공하는 OO 공장 및 기숙사 신축공사에서, 재해자(보통인부)가 공장 2층에 판개된 데크플레이트 위치조정 작업을 하던 중 데크플레이트 개구부로 떨어지면서 약 4.5m 아래 콘크리트 바닥에 부딪혀 사망</t>
  </si>
  <si>
    <t>2020년 8월경 OO건설(주)이 시공하는 OO센터 건립공사 현장에서 재해자(판넬공)가 지붕층 철골보 위에 데크플레이트 설치 후 가용접하려던 중 데크플레이트와 함께 약 14.1m 아래 콘크리트 바닥으로 떨어져 사망</t>
  </si>
  <si>
    <t>4. 마감공사</t>
  </si>
  <si>
    <t>4.1 조적, 미장 및 견출작업</t>
  </si>
  <si>
    <t>4.1.1 조적, 미장 및 견출 자재반입, 운반</t>
  </si>
  <si>
    <t>2016년 7월경 OO신축공사에서 옥상층에 레미탈 포대(40kg)를 2층으로 옮기던 중 계단에서 실족하여 2층 계단으로 추락하면서(약 H≒2m) 머리가 콘크리트 바닥에 부딪혀 사망</t>
  </si>
  <si>
    <t>옥상층에서 레미탈 포대를 옮기던 중 안전난간이 설치되지 않은  계단에서 실족하여 추락</t>
  </si>
  <si>
    <t>▶ 계단 단부 등 추락위험이 있는 장소에는 안전난간 견고하게 설치
▶ 작업을 위해 임의로 안전난간을 해체해야 하는 경우 안전방망 설치 또는 안전대 부착설비를 설치하고 안전대 체결 후 작업</t>
  </si>
  <si>
    <t>2016년 8월경 OO신축공사에서 지상 2층 외벽 미장(띠장 2단 위치 : 높이 3.6m~3.8m) 작업 중 자재가 들어있는 통을 지상 바닥으로 내리다가 몸의 중심을 잃고 지상 1층 바닥으로 추락하여(약 3.7m) 사망</t>
  </si>
  <si>
    <t>외부 비계에서 외벽 미장작업 중 승하강 통로가 확보되지 않아 비계 파이프를 밟고 이동하다가 몸의 중심을 잃고 추락</t>
  </si>
  <si>
    <t>▶ 비계 내 승하강을 위한 안전한 구조의 작업통로(승하강통로) 확보
▶ 작업통로 이외의 장소로 이동하지 않도록 근로자 주지</t>
  </si>
  <si>
    <t>2016년 8월경 OO리모델링 공사에서 조적벽돌 묶음을 건물내부로 운반하기 위해 준비작업 중 개구부에서 약 4m 아래 콘크리트 바닥으로 추락하여 사망</t>
  </si>
  <si>
    <t>조적자재 운반작업 중 덮개가 설치되지 않은 바닥 개구부로 추락</t>
  </si>
  <si>
    <t>▶ 추락할 위험이 있는 개구부에는 안전난간 또는 덮개 등을 충분한 강도를 가진 구조로 튼튼하게 설치
▶ 개구부 덮개를 설치할 경우 뒤집히거나 떨어지지 않도록 견고히 설치하고 개구부임을 표시하는 등 떨어짐 위험을 방지하기 위한 필요한 조치 실시</t>
  </si>
  <si>
    <t>2016년 11월경 OO신축공사에서 옥탑층 북측 외벽 견출작업 후 지상으로 내려오던 중 6층(h≒18m) 높이에서 지상바닥으로 추락하여 사망</t>
  </si>
  <si>
    <t>달비계를 이용해 외벽 견출작업 중 로프길이 부적합(짧음) 및 보조로프 고정상태 불량 등으로 추락</t>
  </si>
  <si>
    <t>▶ 달비계 로프는 콘크리트에 매립된 고리, 건축물의 콘크리트 또는 철재 구조물 등 2개 이상의 견고한 고정점에 풀리지 않도록 결속
▶ 작업 전 로프 길이(바닥까지) 및 훼손여부, 작업대 파손 등 달비계 도구상태 점검</t>
  </si>
  <si>
    <t>말비계</t>
  </si>
  <si>
    <t>2017년 2월경 OO신축공사에서 지상 4층 북동쪽 대피소(소형 발코니)에 말비계(높이 약 70㎝)를 두고 그 위에 올라가 바람막이 비닐을 설치하던 중, 비닐을 잡고 있던 동료작업자가 말비계에서 내려가는 순간 뒤로 넘어지며 대피소 슬래브 단부로 떨어져 약 14m 아래 지상 1층 콘크리트 바닥으로 추락하여 사망</t>
  </si>
  <si>
    <t xml:space="preserve">안전난간이 설치되지 않은 발코니에서 2명의 근로자가 말비계 위에 올라가 바람막이 비닐을 설치하던 중 비닐을 잡고 있던 동료근로자가 말비계에서 내려가는 순간 몸의 균형을 잃고 넘어지며 발코니 단부로 추락 </t>
  </si>
  <si>
    <t>▶ 말비계를 평탄한 바닥면에 견고하게 설치
▶ 추락위험이 있는 경우 안전대를 착용토록 하고 안전대 부착설비에 안전대를 체결한 후 작업</t>
  </si>
  <si>
    <t>2017년 2월경 OO신축공사에서 지하 2층 주차장 내에서 조적용 시멘트 블럭을 운반하기 위해 지게차를 운전하던 중 지하주차장 기둥과 지게차 사이에 끼여 사망</t>
  </si>
  <si>
    <t>지게차 운전자격이 없는 근로자가 조적자재를 운반하기 위해 지게차를 운전하던 중 주차장 기둥과 지게차 사이에 끼임</t>
  </si>
  <si>
    <t>▶ 지게차 운전원의 자격(「건설기계관리법」에 따른 면허) 확인 철저, 무자격자 운전 금지
▶ 차량계하역운반기계 작업 또는 이동 시 유도자 배치 및 작업반경 내 접근통제 조치</t>
  </si>
  <si>
    <t>2017년 4월경 OO건설이 시공하는 다목적복지회관 건물 지상 4층의 체력단련실 내 화장실 설치공사 현장에서 재해자가 이삿짐운반용 리프트(일명 사다리차) 운반구에 탑승하여 지상 4층으로 시멘트벽돌을 양중하던 중 이삿짐운반용 리프트 운반구를 이동시키는 와이어로프가 파단되며 이삿짐운반용 리프트 운반구가 지상 4층(12.8m) 높이에서 지면으로 낙하함과 동시에 운반구에 탑승해 있던 재해자가 추락하여 사망</t>
  </si>
  <si>
    <t xml:space="preserve">이삿짐운반용 리프트 운반구에 탑승하여 시멘트 벽돌을 양중하던 중, 와이어로프가 파단되어 리프트가 전도되며 근로자 추락 </t>
  </si>
  <si>
    <t>▶ 이삿짐운반용 리프트 운반구에 근로자 탑승 금지
▶ 이삿짐운반용 리프트 안전검사 실시 및 확인 철저
▶ 이삿짐운반용 리프트 운반구에 적재하중 준수</t>
  </si>
  <si>
    <t>2017년 8월경 OO신축공사에서 다락층 발코니(폭 1.05m)에서 미장작업의 범위, 작업물량 등을 확인하던 중 발코니 단부에서 실족하여 2.8m 아래 지상 5층 발코니 슬라브 단부로 추락하여 사망</t>
  </si>
  <si>
    <t>외부 치장벽돌 줄눈작업 상태를 확인하던 중 안전난간이 설치되지 않은 슬라브 단부에서 몸의 중심을 잃고 추락</t>
  </si>
  <si>
    <t>▶ 슬라부 단부 등 추락위험 장소에는 안전난간 설치
▶ 마감작업으로 인해 안전난간의 설치가 곤란할 경우 안전대 부착설비를 설치하고 안전대 체결 후 작업토록 관리감독</t>
  </si>
  <si>
    <t>2017년 12월경 OO신축공사에서 카리프트를 이용하여 지상1층에서 습식작업용 자재를 지상2층으로 운반하던 중 상승하는 카리프트의 하부에서 ‘삐’소리가 나자 카리프트 벽면으로 머리를 내밀고 하부를 확인하다가 레일브라켓과 리프트브라켓 사이에 머리가 끼어 사망</t>
  </si>
  <si>
    <t>설치가 완료되지 않은 건설용리프트를 임의로 운전하여 미장 자재를 운반하던 중 이상소음 발생으로 머리를 내밀고 상황을 확인하던 근로자가 움직이는 리프트의 레일브라켓과 리프트브라켓 사이에 끼임</t>
  </si>
  <si>
    <t>▶ 건설용리프트의 설치ㆍ조립ㆍ수리ㆍ해체 작업을 하는 경우 관계자외 출입금지 조치 및 표지판 설치 
▶ 건설용리프트 출입구 및 조작반(스위치) 잠금장치 설치
▶ 근로자 내용 주지 및 필요시 전원차단하여 건설용리프트 임의조작 방지 조치</t>
  </si>
  <si>
    <t>2018년 1월경 OO신축공사에서 조적작업을 위하여 벽돌을 운반하던 중 환기개구부에서 추락하여(H〓3.5m) 사망</t>
  </si>
  <si>
    <t>덮개가 설치되지 않은 환기용 개구부 단부에서 화단조성용 조적자재를 운반하던 중 몸의 균형을 잃고 개구부로 추락</t>
  </si>
  <si>
    <t>▶ 추락할 위험이 있는 개구부에는 안전난간 또는 덮개 등을 충분한 강도를 가진 구조로 튼튼하게 설치
▶ 개구부 덮개를 설치할 경우 뒤집히거나 떨어지지 않도록 견고히 설치하고 개구부임을 표시하는 등 떨어짐 위험을 방지하기 위한 필요한 조치 실시
▶ 추락방지망 또는 안전난간 설치가 어려운 경우, 안전대 부착설비를 설치하고 안전대 체결 후 작업토록 관리감독</t>
  </si>
  <si>
    <t>2018년 7월경 OO빌딩 본관 내부공사 현장에서 재해자가 손수레에 담긴 시멘트 벽돌을 윈치를 이용하여 4층 자재 인양 개구부로 인양하여 건물 내부로 옮기던 중 몸의 중심을 잃고 개구부 단부에서 높이 약 15m 아래 지면 바닥으로 떨어져 사망</t>
  </si>
  <si>
    <t>2018년 8월경 OO리모델링 공사에서 지상1층 벽체 조적작업을 위해 시멘트벽돌 운반 후 이동 중 바닥개구부에 빠져 7m 아래 지하1층 콘크리트 바닥으로 추락하여 사망</t>
  </si>
  <si>
    <t>2019년 5월경 OO신축공사에서 조적운반작업 중 지상 8~9층 중간에 멈춘 리프트 운반구에 탑승한 다음 다시 지상 8층 바닥으로 내려오다가 리프트 운반구 하부와 지상 8층 발코니 슬래브 사이 수직 개구부(너비1,300mmX높이1,350mm)로 추락하여(높이≒22.0m) 사망</t>
  </si>
  <si>
    <t>건설용리프트의 고장을 인지하지 못한 채 조적운반 작업을 위해 리프트에 탑승하여 하강하던 중 건설용리프트와 구조물 슬래브 사이 개구부로 추락</t>
  </si>
  <si>
    <t>▶ 건설작업용 리프트 고장시 출입금지조치 철저
▶ 안전인증기준ㆍ안전검사기준에 적합한 건설작업용 리프트 사용
▶ 건설작업용 리프트 정비 및 고장 시 대응체계 수립</t>
  </si>
  <si>
    <t>2019년 5월경 OO신축공사에서 지하3층 스파기계실 출입구 상부벽체 배관구역 조적 설치작업을 위하여 이동식 사다리 상부에서 레미탈을 작업구역으로 올릴 수 있는 도르래 설치 구역 확인 중 추락(약 1.75M)하여 사망</t>
  </si>
  <si>
    <t>추락방지조치 없이 이동식 사다리 상부에서 조적작업 장소를 확인하던 중 몸의 중심을 잃고 추락</t>
  </si>
  <si>
    <t>2019년 6월경 OO재개발 공사에서 레미탈을 이동시키기 위해 지게차에 레미탈을 인양한 상태에서 경사로에 정차시킨 후 하차하여, 적치장소를 찾던 중 지게차가 뒤로 밀리는 것을 인지하고 정지시키려다, 지게차 앞바퀴에 깔려 사망</t>
  </si>
  <si>
    <t>지게차에 레미탈을 인양한 상태에서 경사로에 정차시킨 후 적치장소를 찾던 중 지게차가 뒤로 밀리면서 지게차 앞바퀴에 끼임</t>
  </si>
  <si>
    <t>▶ 지게차 주ㆍ정차 시 평탄하고 정해진 지역에 주ㆍ정차 실시 후 포크를 바닥까지 완전히 내리는 조치 실시
▶ 차량계 하역운반 기계 등 사용하는 작업 시 유도하는 사람 배치 준수 
▶ 작업을 시작하는 경우 신호방법에 따라 근로자에게 신호를 인지토록 조치</t>
  </si>
  <si>
    <t>2019년 7월경 OO리모델링 공사에서 미장공사를 위해 모래를 질통에 실어 1층에서 2층 슬래브로 운반한뒤 2층 슬래브에 내려두기전 2층 슬래브의 난간(h=64cm)에 앉으려다 질통(약25kg)의 무게에 의해 몸의 중심이 뒤로 넘어가면서 질통을 맨 채로 1층 바닥(h=4.15m)으로 추락하여 사망</t>
  </si>
  <si>
    <t>모래를 질통에 실어 슬래브에 내려두기전 난간(h=64cm)에 앉으려다 질통(약25kg)의 무게에 의해 몸의 중심이 뒤로 넘어가면서 질통을 맨 채로 바닥(h=4.15m)으로 떨어짐</t>
  </si>
  <si>
    <t xml:space="preserve">▶ 계단 단부 등 추락위험이 있는 장소에는 안전난간 견고하게 설치
▶  사용하던 기구, 자재 등을 바닥에 내려놓은 후 휴식  </t>
  </si>
  <si>
    <t>2019년 8월경 OO신축공사에서 기둥 주변에 설치되어 있던 조적작업용 이동식 시스템비계(수직재 하부에 바퀴 부착)를 인력으로 밀어서 옮기던 중 비계 상부가 지붕 철골보에 걸렸으나 이를 인지하지 못하고 더 세게 밀다가 시스템비계가 넘어지며 그 아래 깔려 2명 부상</t>
  </si>
  <si>
    <t>조적작업을 하기 위해 이동식비계를 인력으로 밀어서 옮기던 중 비계 상부가 구조물에 걸린 후 전도되면서 깔림</t>
  </si>
  <si>
    <t>▶ 비계의 조립ㆍ해체 및 변경 시 관리감독자 지휘하에 작업 진행
▶ 조립ㆍ해체 또는 변경의 시기ㆍ범위 절차를 그 작업에 종사하는 근로자에게 주지</t>
  </si>
  <si>
    <t>2019년 11월경 OO신축공사에서 엘리베이터 피트 내부에 설치된 윈치를 이용하여 레미탈 묶음을 지상8층에서 지상 15층으로 인양 후 엘리베이터 실 바닥에 내리던 중 몸의 중심을 잃고 떨어져 지상 1층 엘리베이터 피트 바닥(H≒41m)으로 추락하여 사망</t>
  </si>
  <si>
    <t>안전대를 체결하지 않은 상태에서 엘리베이터 피트에 설치한 윈치를 이용하여 미장자재를 인양하던 중 몸의 중심을 잃고 추락</t>
  </si>
  <si>
    <t>▶ 근로자가 추락하거나 넘어질 위험이 있는 장소에서 작업 시 비계를 조립하는 등 작업발판을 설치하고 단부에 안전난간 등 방호조치 실시
▶ 작업발판 설치가 곤란한 경우 근로자에게 안전대를 착용하도록 하고 안전대를 걸어 사용할수 있는 부착설비 등 설치 조치</t>
  </si>
  <si>
    <t xml:space="preserve">2020년 10월경 OO조성공사 옥상에서 자재 반출을 위해 자재결속과 신호업무를 수행하던 중,크레인으로 자재를 들어 올리는 순간 크게 흔들리는 자재에 재해자가 매달렸고, 그 상태로 엘리베이터 기계실 외벽에 충돌하여 사망 </t>
  </si>
  <si>
    <t>옥상에서 자재 반출을 위해 자재결속과 신호업무를 수행하던 중 크레인으로 자재를 들어 올리는 순간 크게 흔들리는 자재에 근로자가 매달렸고 그 상태로 엘리베이터 기계실 외벽에 충돌</t>
  </si>
  <si>
    <t>▶ 크레인을 사용한 중량물 취급 작업 시 전담 신호수 배치 및 관련 근로자에게 일정한 신호방법 주지
▶ 크레인을 사용하여 자재 인양 시 자재 무게중심 파악 후 인양물을 양중하여 자재 흔들림 등 방지
▶ 크레인을 사용하여 중량물 인양 시 작업 하부면에 근로자 출입 통제</t>
  </si>
  <si>
    <t>2021년 3월경 OO리모델링 현장에서 윈치를 사용하여 상가건물의 2층과 3층 사이 엘리베이터 피트 개구부를 통해 레미탈 포대를 인양하는 작업 중, 약 8.2m 아래 지하층 바닥으로 추락하여 사망</t>
  </si>
  <si>
    <t>2021년 3월경 OO증축공사에서 방호옹벽의 면처리 작업 중 이동식비계에서 추락하여 사망</t>
  </si>
  <si>
    <t>이동식비계 위에서 미장, 견출 작업 중 몸의 중심을 잃고 안전난간이 설치되지 않은 작업발판 단부로 추락</t>
  </si>
  <si>
    <t>▶ 이동식비계 최상부에는 안전난간을 견고하게 설치하고, 작업의 여건 상 안전난간을 설치하기 어려운 경우에는 안전대 부착설비를 설치하고 안전대 체결 후 작업하도록 관리감독 
▶ 이동식비계 작업 시 갑작스러운 이동 또는 전도방지를 위하여 발바퀴 고정 및 아웃트리거 설치 등 전도방지조치 준수</t>
  </si>
  <si>
    <t>2021년 4월경 OO인테리어 공사 15층 발코니에서 작업에 필요한 자재가 실려 있는 동료작업자의 운반 차량 위치를 파악 하던 중, 몸의 중심을 잃고 발코니 철제난간을 넘어 높이 37m 아래 지상바닥으로 추락하여 사망</t>
  </si>
  <si>
    <t>발코니 난간 외측으로 몸을 내미는 등 불안전한 행동으로 자재운반 차량 위치를 확인하던 중 몸의 중심을 잃고 난간을 넘어 바닥으로 추락</t>
  </si>
  <si>
    <t>▶ 발코니 외측으로 몸을 내미는 등 불안전한 행동을 하지 않도록 근로자 주지 및 관리감독</t>
  </si>
  <si>
    <t>4.1.2 조적시공</t>
  </si>
  <si>
    <t>2016년 4월경 OO건설이 시공하는 OO사옥 신축공사 현장 지상 3층에서 조적공인 재해자가 이동식비계(2단)에서 조적작업을 진행하던 중 몸의 중심을 잃고 실족하면서 약 3.4m 아래 콘크리트 바닥으로 떨어져 사망</t>
  </si>
  <si>
    <t>이동식비계 위에서 몸의 중심을 잃고 안전난간이 설치되지 않은 작업발판 단부로 추락</t>
  </si>
  <si>
    <t>2016년 6월경 OO리모델링 공사에서 옥상에 설치되어 있는 빗물막이에 쌓인 흙을 제거하기 위하여 시스템 비계를 4단까지 설치하고, 비계의 흔들림을 방지하기 위해, 기존 건물 벽면에 앵커를 고정한 후, 철선으로 앵커와 비계를 연결하기 위해 작업발판 위의 철선을 잡으려고 고개를 숙이던 중, 무게중심을 잃고 바닥으로 추락하여(H≒6.5m) 사망</t>
  </si>
  <si>
    <t>비계의 흔들림을 방지하기 위해 기존 건물 벽면에 앵커를 고정한 후 철선으로 앵커와 비계를 연결하기 위해 작업발판 위의 철선을 잡으려고 고개를 숙이던 중 안전난간 미설치 구간에서 무게중심을 잃고 바닥으로 떨어짐</t>
  </si>
  <si>
    <t>▶ 비계 내·외측에 안전난간 2단으로 견고하게 설치하고 작업여건 상 안전난간을 설치할 수 없는 경우에는 추락방호망 설치
▶ 안전난간 또는 추락방호망 설치가 곤란한 경우 안전대 부착설비를 설치하고 안전대를 체결 후 작업토록 관리감독</t>
  </si>
  <si>
    <t>2016년 7월경 OO신축공사에서 5층 베란다에 서서 4~5층 사이 경사구간 외부 치장벽돌 줄눈작업 상태 등을 확인 중 몸의 중심을 잃고 2.5m 하부 4층 베란다 바닥으로 추락하여 사망</t>
  </si>
  <si>
    <t>2016년 10월경 OO신축공사에서 기존건물 철거·해체작업으로 파손된 옆집 건물 블럭벽체 보수(블럭 제거·쌓기 및 미장) 작업을 하기 위하여 굴삭기(버켓용량: 0.2㎥) 버켓에 올라서서 작업장소로 이동하던중 몸의 균형을 잃고 지상1층 바닥으로 추락하여(H≒2.4M) 사망</t>
  </si>
  <si>
    <t>블록벽체 보수 작업을 위하여 굴삭기 버켓에 탑승하여 이동 중 몸의 균형을 잃고 바닥으로 추락</t>
  </si>
  <si>
    <t>▶ 굴착기 주용도외 사용금지(근로자 탑승 금지)
▶ 작업높이에 적합한 작업발판(비계, 이동식비계, 고소작업대 등) 설치 및 사용 준수
▶ 작업장소로 이동하기 위한 안전한 작업통로 설치</t>
  </si>
  <si>
    <t>2017년 1월경 OO시설 공사에서 지상4층 외부 쌍줄비계에서 조적작업 준비중 몸의 중심을 잃고 약 10m 아래 건물 외측 1층 바닥으로 추락하여 사망</t>
  </si>
  <si>
    <t>비계 작업발판에서 조적 작업 중 몸의 중심을 잃고 안전난간이 미설치된 작업발판 단부로 추락</t>
  </si>
  <si>
    <t>2017년 1월경 OO시설공사에서 지상 2층 기존 점포 조적벽체(시멘트 벽돌)를 해체하기 위해, 2층 바닥에서 벽체 중간부위를(h≒1.6m) 핸드브레이커로 파쇄하던 중 진동 등에 의해 조적벽체의 상부부분이 떨어지자 미처 피하지 못하고 맞아 사망</t>
  </si>
  <si>
    <t>조적벽체 해체 작업 중 핸드브레이커 파쇄로 인한 진동 등으로 벽체 상부의 조적더미가 낙하하여 맞음</t>
  </si>
  <si>
    <t>▶ 벽체 철거 작업 시, 이동식 비계 등을 이용하여 작업발판에 서서 벽체 상부에서부터 작은 면적 단위로 분할하여 순차적으로 철거작업 실시 
▶ 해체작업 시 구조, 주변상황 등 사전조사 결과를 바탕으로 해체방법, 해체순서 등 작업계획을 수립하고 준수하여 작업</t>
  </si>
  <si>
    <t>2017년 4월경 OO신축공사에서 건물의 전면부(주출입구측) 4층 외부 강관비계 작업발판 위에서 조적작업 중 중심을 잃고 11m 아래 지상 바닥으로 추락하여 사망</t>
  </si>
  <si>
    <t>작업발판 위에서 조적작업 중 몸의 중심을 잃고 안전난간이 설치되지 않은 작업발판 단부로 추락</t>
  </si>
  <si>
    <t xml:space="preserve">▶ 작업발판 단부 등 추락위험이 있는 장소에는 안전난간 설치 
▶ 안전난간 설치가 어려운 경우 안전대부착설비 설치 및 안전대 체결 후 작업 </t>
  </si>
  <si>
    <t>2017년 6월경 OO신축공사에서 2층 캐노피 상부의 단차가 있는 바닥에 적재된 ALC(경량기포콘크리트)블록 운반작업 중, 파렛트 위에 ALC블록이 수평을 유지하지 못하고 옆으로 무너지며, 재해자를 가격하여 지상바닥(H≒4.5m)으로 추락하여 사망</t>
  </si>
  <si>
    <t>지게차를 이용한 ALC자재 운반작업 중 단차가 있는 바닥면에 전도방지조치 없이 적재한 자재가 무너지면서 충돌 후 안전난간이 설치되지 않은 캐노피 단부로 추락</t>
  </si>
  <si>
    <t>▶ 자재 하역 시 단차가 있는 바닥에 하역 금지 및 받침대 설치 등 전도방지조치 준수
▶ 추락의 위험이 있는 장소에 안전난간대 및 안전대 부착설비 설치 등 추락방지조치</t>
  </si>
  <si>
    <t>2017년 9월경 OO건설 OO 신축공사 현장에서 재해자1이 본관동 3층 외부비계에서 치장벽돌 쌓기 작업을 위해 비계 상부 작업발판을 이동 중 미끄러져 ELEV.PIT 내부로 떨어지면서(H=8.5m) 1층 ELEV 상부에서 작업중이던 재해자2를 덮쳐 동시에 부상</t>
  </si>
  <si>
    <t>외부비계 작업발판 위에서 작업 중 실족하여 안전난간이 설치되지 않는 작업발판 단부로 추락</t>
  </si>
  <si>
    <t>▶ 추락할 위험이 있는 개구부에는 안전난간을 튼튼하게 설치
▶ 작업조건으로 인해 안전난간을 설치할 수 없는 경우 안전대 부착설비 설치 후 안전대를 착용하고 작업</t>
  </si>
  <si>
    <t>2017년 9월경 OO건설 공사현장에서 재해자가 아파트 O동 지하1층 제연휀룸 내 설치된 이동식비계 1단 하부 콘크리트 바닥에 쓰러져 사망</t>
  </si>
  <si>
    <t>2017년 10월경 OO건설에서 시공하는 오피스텔 및 다세대주택공사 현장에서 재해자가 외부 강관비계 위에서 치장벽돌 자재를 인양하면서 작업발판에 걸린 운반구를 빼내려던 중 몸의 중심을 잃고 지상 바닥으로 떨어져(H≒12.5) 사망</t>
  </si>
  <si>
    <t>2017년 12월경 OO신축공사에서 4층 외부비계 상에서 외부 조적 모르타르 줄눈 작업 중 몸의 중심을 잃고 비계 외측으로 지상 1층까지 추락(H≒10.6m)하여 사망</t>
  </si>
  <si>
    <t>외부비계 상에서 외부 조적 모르타르 줄눈 작업 중 몸의 중심을 잃고 안전난간 미설치 상태의 비계 외측으로 추락</t>
  </si>
  <si>
    <t>▶ 건물외벽과 비계사이의 개구부로 추락할 위험이 있을 경우 하단에 추락방호망을 설치하거나 추가 작업발판을 설치
▶ 비계 조립 시 외벽 마감재 시공을 고려하여 구조물로부터 적정거리를 이격하여 조립
▶ 외벽 마감작업을 위해 비계 내측 안전난간을 임의 해체하는 경우 구조물과 비계 작업발판 사이에 추락방지망 설치하고 안전대를 체결한 후 작업토록 관리감독</t>
  </si>
  <si>
    <t>2018년 6월경 OO신축공사에서 지상 1층 작업발판 위에서 조적작업 준비를 위한 먹줄 작업 중 바닥으로 추락하여(H≒2.8m) 사망</t>
  </si>
  <si>
    <t xml:space="preserve">작업발판 위에서 조적작업 준비를 위한 먹줄 작업 중 몸의 중심을 잃고 안전난간이 설치되지 않은 작업발판 단부로 추락 </t>
  </si>
  <si>
    <t xml:space="preserve">▶ 근로자가 추락할 위험이 없도록 안전난간 설치, 안전대를 착용하는 등 추락방지조치 철저
▶ 사다리를 이용하여 오르내릴 때는 사다리가 넘어지지 않도록 견고히 고정 후 작업 실시
▶ 추락할 위험이 있는 경우 안전대 및 개인보호구 착용 철저 </t>
  </si>
  <si>
    <t>2018년 11월경 OO신축공사에서 43층 승강기 전실 내부 덕트(Duct) 설치 구간에 마감용 조적작업을 위한 먹줄작업 전 청소를 위해 이동 중, 몸의 균형을 잃고 바로 옆 C.P.B 마스트용 개구부로 넘어지면서 42층(43층→42층) 개구부덮개(H≒2.8m)로 추락하여 사망</t>
  </si>
  <si>
    <t>미장 또는 견출작업 중 덮개가 설치되지 않은 바닥 개구부로 추락</t>
  </si>
  <si>
    <t>2019년 2월경 OO대수선공사에서 지상1층 창호주변 미장작업을 위하여 2층에서 작업을 완료하고 1층으로 계단을 이용하여 내려가던 중 발을 헛디뎌 높이 약 1.5M 콘크리트 바닥으로 추락하여 사망</t>
  </si>
  <si>
    <t>계단참 바닥의 몰탈 타설 및 평탄작업 중 발을 헛디뎌 안전난간이 설치되지 않은 계단 단부로 추락</t>
  </si>
  <si>
    <t>2019년 2월경 OO신축공사에서 이동식 비계 작업발판 위에서 외벽 벽돌 줄눈작업 중 이동식 비계가 넘어지면서 약 1.7m 콘크리트 바닥으로 추락하여 2명 부상</t>
  </si>
  <si>
    <t>발바퀴 및 아웃트리거가 설치되지 않은 이동식비계를 이용하여 외벽의 조적 줄눈작업을 하던 중 비계가 전도하면서 추락</t>
  </si>
  <si>
    <t>▶ 이동식비계 작업 시 갑작스러운 이동 또는 전도방지를 위하여 발바퀴 고정 및 아웃트리거 설치 등 전도방지조치
▶ 추락할 위험이 있는 장소에서 작업 시 개인보호구 착용 철저</t>
  </si>
  <si>
    <t>2019년 8월경 OO인테리어 공사에서 조적벽체 해체 작업 중 바닥 폐기물 정리작업을 하다가 천장(H=2.0m)에 완전히 해체되지 않은 조적벽돌더미가 아래로 떨어져 머리를 맞아 사망</t>
  </si>
  <si>
    <t xml:space="preserve"> 바닥 폐기물 정리작업을 하다가 천장에 완전히 해체되지 않은 조적벽돌더미가 아래로 떨어져 머리를 강타</t>
  </si>
  <si>
    <t>▶ 벽체 철거 작업 시 벽체 상부에서부터 작은 면적 단위로 분할하여 순차적으로 철거작업 실시 
▶ 해체작업 시 구조, 주변상황 등 사전조사 결과를 바탕으로 해체방법, 해체순서 등 작업계획을 수립하고 준수하여 작업</t>
  </si>
  <si>
    <t>2019년 10월경 OO신축공사에서 외부 마감공사인 치장벽돌 쌓기 작업 중 외부비계 4단 작업발판(지상 3층)에서 각재(8cm x 8cm x 350cm, 벽돌 등 조적자재 받침용)를 비계 외측을 통해 5단 작업발판으로 올리는 작업을 진행하다 중간난간대가 해체된 작업발판 외측 단부에서 몸의 중심을 잃고 약 7.2m 아래 지상바닥으로 추락하여 사망</t>
  </si>
  <si>
    <t>2019년 10월경 OO신축공사에서 지상 7층 주방 벽체 벽돌쌓기 작업 중 이동식 비계 작업발판 위에서 몸의 중심을 잃고 약 2.6미터 아래 콘크리트 바닥으로 추락하여 사망</t>
  </si>
  <si>
    <t>2020년 7월경 OO신축공사에서 이동식비계를 이용하여 조적벽체 해체작업 중 벽체 일부가 이동식비계 상부에서 작업 중인 재해자 방향으로 넘어지면서 맞아 사망</t>
  </si>
  <si>
    <t>이동식비계 위에서 핸드브레이커를 이용하여 조적벽체 해체작업 중 벽체 일부가 비계 방향으로 넘어지면서 맞고 추락</t>
  </si>
  <si>
    <t>2020년 10월경 OO리모델링공사에서 지하 Pit층 중간 슬라브에서 이동 중 바닥으로 추락하여(H≒2.0m) 사망</t>
  </si>
  <si>
    <t>이동통로가 없는 지하층 중간 슬라브에서 이동 중 바닥으로 떨어짐</t>
  </si>
  <si>
    <t>2020년 11월 OO신축공사에서 1층 AD(Air Duct)구간 벽체 조적작업 중, AD(Air Duct)구간에 근접해 있던 지게차(3ton,벽돌 양중용) 포크의 파렛트(1.1m× 1.1m,목재) 상단(H=1.8m)을 이동하는 과정에서 몸의 중심을 잃고 AD(Air Duct, 2.1m×1.07m) 내부 지하 1층 바닥(H=7.8m)으로 추락하여 사망</t>
  </si>
  <si>
    <t>2020년 11월경 OO현대화 공사에서 외벽 마감 작업을 위해 비계 벽이음을 해체하고 조적 작업을 진행하던 중 비계가 전도되면서 재해자 3명이 지상으로 추락하여(H≒3.8m) 부상</t>
  </si>
  <si>
    <t>작업 간섭으로 인해 비계 벽이음을 해체하고 외벽 마감작업을 하던 중 비계가 전도되면서 바닥으로 추락</t>
  </si>
  <si>
    <t>▶ 비계 해체 시 까지 벽이음 임의 해체 금지
▶ 외벽마감 작업으로 인해 벽이음 해체가 부득이한 경우 비계 외측에 경사지지대(버팀대)를 설치하여 전도방지조치 준수</t>
  </si>
  <si>
    <t>2021년 4월경 OO신축공사에서 현장 건너편 빌딩의 담장 조적 모르타르 줄눈 작업을 하던 중 인접한 아파트 지상 주차장에서 후진으로 나와 회전하던 일반 차량과 충돌하면서 차량과 담장 사이에 끼어 사망</t>
  </si>
  <si>
    <t>외벽 조적 모르타르 줄눈 작업을 하던 중 인접한 지상 주차장에서 후진으로 나와 회전하던 일반 차량과 부딪히면서 차량과 담장 사이에 끼임</t>
  </si>
  <si>
    <t>▶ 작업장소에 건설기계장비 또는 일반차량 등과 충돌할 우려가 있는 경우 출입통제 조치 또는 유도자 배치
▶ 작업구간 구획 및 공사 안내(진행) 표지판 설치</t>
  </si>
  <si>
    <t>2021년 5월경 OO신축공사에서 시스템비계의 작업발판(2단, 3.9m)에서 치장벽돌 쌓기 작업 중 작업발판(2단) 내측 끝부분과 건물 벽체사이(폭 0.4m) 아래 콘크리트 바닥으로 추락하여 사망</t>
  </si>
  <si>
    <t>추락방지조치 미설치한 상태에서 외부 비계에서 외벽 견출작업을 하던 중 몸의 중심을 잃고 구조물 외벽과 비계 사이의 개구부로 추락</t>
  </si>
  <si>
    <t>4.1.3 미장 및 견출 시공</t>
  </si>
  <si>
    <t>2016년 1월경 OO인테리어 공사에서 작업장 내를 이동하는 중  바닥개구부(1,100mm×1,100mm)를 통해 지상 1층 바닥으로 추락하여(H≒9.5m) 사망</t>
  </si>
  <si>
    <t>재해자가 작업장 내를 이동하는 중  바닥개구부를 통해 지상 1층 바닥으로 떨어짐</t>
  </si>
  <si>
    <t>2016년 3월경 OO신축공사에서 2층 계단실 벽체 미장작업을 위해 계단위를 오르던 중 몸의 중심을 잃고 넘어져 사망</t>
  </si>
  <si>
    <t>계단실 벽체 미장작업을 위해 계단위를 오르던 중 안전모를 부실하게 착용한 상태에서 넘어지면서 계단실 콘크리트 바닥에 머리를 부딪혀 사망</t>
  </si>
  <si>
    <t>▶ 계단 단부 등 추락위험이 있는 장소에는 안전난간 견고하게 설치
▶ 개인보호구 착용 철저</t>
  </si>
  <si>
    <t>2016년 3월경 OO신축공사에서 코어부 17층 상판 할석작업을 위하여 이동하던 중 16층 코어부 복도 단부와 ACS폼 하부발판 사이에 발생된 틈(길이:2m×폭:60cm)사이로 빠져 13층 콘크리트 바닥(H≒9.3m)으로 추락하여 사망</t>
  </si>
  <si>
    <t>할석작업을 위하여 코어부 통로(복도)를 지나 ACS폼 하부발판쪽으로 이동하던 중 코어부 통로 단부와 ACS폼 하부발판(*슬라이딩 발판이 열려있었음) 사이에 발생된 틈(개구부)사이로 떨어짐</t>
  </si>
  <si>
    <t>2016년 4월경 OO미장공사에서 외벽 미장작업 후 발판으로 사용하던 벽돌더미에서 내려오던 중 발을 헛디뎌 약 0.9m 높이에서 추락하여 사망</t>
  </si>
  <si>
    <t>외벽 미장작업 후 발판으로 사용하던 벽돌더미에서 내려오던 중 발을 헛디뎌 떨어짐</t>
  </si>
  <si>
    <t>▶ 작업높이에 적합한 작업발판(비계, 고소작업대 등) 견고하게 설치 및 사용
▶ 작업장소로 이동하기 위한 작업통로(승강통로) 설치
▶ 작업발판 설치가 곤란한 경우 근로자에게 안전대를 착용하도록 하고 안전대를 걸어 사용할수 있는 부착설비 등 설치 조치</t>
  </si>
  <si>
    <t>2016년 5월경 OO신축공사에서 26층 세대 내부 견출작업을 마치고 옆 세대로 이동하기 위해 안방 발코니 단부의 안전 난간대(40cm×3단) 사이를 통과하여 1.2m아래 25층 외부 갱폼(gang form) 작업발판으로 내려가던 중 갱폼 작업발판 내측과 25층 안방 창 사이 개구부(57cm×25cm) 또는 압송관을 설치했던 갱폼 작업발판 개구부(60cm×50cm)로 빠지면서 약 56m아래(지상 6층) 1단 낙하물방지망으로 추락 후 낙하물방지망이 파손되면서 약 15m 아래 콘크리트 바닥으로 추락하여 사망</t>
  </si>
  <si>
    <t>갱폼 작업발판에서 미장·견출작업 또는 작업장소를 이동하던 중 덮개가 설치되지 않은 작업발판 내 개구부로 추락</t>
  </si>
  <si>
    <t>▶ 근로자가 추락할 위험이 있는 장소에서 작업 시 충분한 강도를 가진 덮개 설치 후 개구부임을 표시
▶ 위험을 미칠 우려가 있는 장소에는 관계 근로자가 아닌 사람의 출입 금지 조치 실시
▶ 개구부에 난간 등 설치가 어려운 경우 근로자에게 안전대를 착용토록 하고 안전대 부착 설비 설치</t>
  </si>
  <si>
    <t>2016년 5월경 OO신축공사에서 갱폼 작업발판 위에서 지상 6층 외벽 견출작업 중 콘크리트 압송관(φ150mm) 설치를 위해 절단한 작업발판 개구부(폭 500㎜×너비 350㎜)를 통해 약 16m 아래의 지상 콘크리트 바닥으로 추락하여 사망</t>
  </si>
  <si>
    <t>2016년 6월경 OO신축공사에서 지하1층 이동식비계(2단) 상부에서 콘크리트 벽체(H:5∼6m) 거푸집고정용 철선을 핸드그라인더로 절단하고 내려오다 발을 헛딛어 약 3.5m 아래 콘크리트 바닥으로 추락하여 사망</t>
  </si>
  <si>
    <t xml:space="preserve">견출작업 후 이동식비계에서 내려오던 중 실족으로 추락 </t>
  </si>
  <si>
    <t xml:space="preserve">▶ 이동식비계 내부에 수직 사다리 등 안전한 승강통로 확보
▶ 발바퀴 고정 및 아웃트리거를 설치하여 이동식 비계의 흔들림 방지 조치 </t>
  </si>
  <si>
    <t>2016년 6월경 OO신축공사에서 16층 건물 내부의 견출작업 후 정리하고 내려오는 과정에서 지상 14층 건설용 리프트 출입구에서 지상 1층 바닥(H≒36m)으로 추락하여 사망</t>
  </si>
  <si>
    <t>견출작업을 마치고 이동하기 위해 건설용리프트를 탑승하였으나 리프트가 오작동으로 정지하자 안전문의 잠금장치를 해제하는 등 임의로 리프트를 조작하다가 몸의 균형을 잃고 추락</t>
  </si>
  <si>
    <t xml:space="preserve">▶ 고장 또는 오작동 상태에서의 사용은 사고 위험이 있으므로 운행 금지 조치 시행
▶ 비상(고장) 시에는 무지한 행동을 금하고 반드시 전문가에 의뢰하여 시행
▶ 건설용 리프트를 이용하는 작업자를 대상으로, 리프트 방호장치 기능 및 사용, 기계ㆍ기구 특성 및 동작원리, 비상 시 조치사항 등에 대한 특별안전교육을 실시 </t>
  </si>
  <si>
    <t>2016년 6월경 OO신축공사에서 지하주차장 보 견출 작업 중 고소작업대와 지하주차장 보 사이에 두부가 끼어 사망</t>
  </si>
  <si>
    <t>고소작업대에 탑승하여 보 또는 천정부의 견출 작업 중 천정과 고소작업대 상부 난간 사이에 끼임</t>
  </si>
  <si>
    <t>▶ 방호 장치 해체 금지
▶ 고소작업대를 사용하는 경우 작업대가 일정 높이 이상 상승하지 못하도록 과상승방지장치를 적당한 높이로 설치
▶ 작업전 고소작업대 작동상태 및 이상여부 점검 실시</t>
  </si>
  <si>
    <t>2016년 6월경 OO보수공사에서 복개구조물 내부(시점+1,260지점)에서 보수작업을 하던 중, 집중호우로 복개구조물 내부에 우수가 빠르게 유입되면서 익사하여 사망</t>
  </si>
  <si>
    <t>복개구조물 내부에서 보수작업 중 집중호우로 복개구조물 내부에 우수가 빠르게 유입되면서 익사</t>
  </si>
  <si>
    <t>▶ 산업재해가 발생할 급박한 위험이 있을 경우 즉시 작업중지 후 근로자대피 등 필요한 조치 준수
▶ 복개구조물 내부에서 보수작업을 하는 경우 해당 작업장의 지형ㆍ지반, 기상작용에 의한 위험성 등을 사전에 조사하고 그 결과를 고려하여 근로자에게 주지시킬 것 
▶ 비상상황에 즉시 대처 할 수 있도록 경보운영체계 확립</t>
  </si>
  <si>
    <t>2016년 8월경 OO신축공사에서 철선제거 작업을 위하여 고소작업대(시저형)에 탑승하여 상승하던 중, 지하 1층 천정과 작업대의 안전난간 사이에 머리가 끼어 사망</t>
  </si>
  <si>
    <t>2016년 9월경 OO신축공사에서 문틀 사춤작업을 위하여 3층에서 4층으로 모래운반구를 사용하여 모래를 운반하고 다시 내려오던 중, 지상3층 엘리베이터 피트 단부에서 몸의 중심을 잃고 추락(H≒7.5m)하여 사망</t>
  </si>
  <si>
    <t>2016년 9월경 OO신축공사에서 미장 작업 중 현장 우측 다용도실 앞에 쓰러진 상태로 발견되어 사망</t>
  </si>
  <si>
    <t>외벽 미장작업 중 바닥에 방치되어 있는 벽돌자재를 밟고 넘어지면서 경계석에머리를 부딪힘</t>
  </si>
  <si>
    <t xml:space="preserve">▶ 작업장소에서 넘어지거나 미끄러지는 등 위험이 없도록 조치 및 정리정돈 철저
▶ 작업 전 지반상태 확인 후 고르고 평탄하게 정리 후 작업 실시 </t>
  </si>
  <si>
    <t>2016년 10월경 OO신축공사에서 창틀 내 설치한 고정 앵커철물 절단 작업을 하기 위해 외부비계(H=1.7m)에서 핸드그라인더로 작업 중 감전으로  사망</t>
  </si>
  <si>
    <t>앵커철물 절단 작업을 하기 위해 외부비계에서 핸드그라인더로 작업 중 핸드그라인더 누전으로 인해 감전</t>
  </si>
  <si>
    <t>▶ 핸드그라인더 금속에 외함 접지 실시
▶ 전기기계기구 사용전 누전차단기 작동상태 점검 및 조치</t>
  </si>
  <si>
    <t>2016년 10월경 OO신축공사에서 말비계위에서 해머드릴을 사용하여 12층 엘리베이터 출입구 상단 콘크리트 할석작업 중 몸의 중심을 잃고 엘리베이터 피트를 통해 지하 1층 바닥(H=38.7m)으로 추락하여 사망</t>
  </si>
  <si>
    <t>추락방지조치 미실시한 상태에서 말비계 위에서 견출 작업 중 몸의 중심을 잃고 추락</t>
  </si>
  <si>
    <t>2016년 12월경 OO신축공사에서 계단실 1∼2층 사이의 계단참에서 미장작업용 발판을 해체하던 중 몸의 균형을 잃고 2M 아래 계단 콘크리트 바닥으로 추락하여 사망</t>
  </si>
  <si>
    <t>작업발판 위에서 미장작업 중 몸의 중심을 잃고 안전난간이 설치되지 않은 작업발판 단부로 추락</t>
  </si>
  <si>
    <t>2016년 12월경 OO보수공사에서 접이식 A형 알루미늄 사다리를 펼쳐 만든  일자형 수직 사다리통로에서 이동중 중앙 연결부가 젖혀지면서 높이 약 3.5m 바닥으로 추락하여 사망</t>
  </si>
  <si>
    <t>접이식 A형 알루미늄 사다리를 펼쳐 만든 일자형 수직 사다리 통로를 통해 이동하던 중 사다리의 중앙 연결부가 젖혀지면서 바닥으로 추락</t>
  </si>
  <si>
    <t>▶ 이동통로로 사용되는 사다리는 심한 손상과 부식이 없고 용접흔적 및 부재파단 등 구조상의 불안전함이 없는 견고한 구조 사용
▶ 사다리식 통로의 기울기는 75° 이하로 설치하여 넘어짐 등에 대한 안전성 확보
▶ 사다리 상단은 걸쳐놓은 지점으로부터 60cm 이상 올라가도록 설치</t>
  </si>
  <si>
    <t>2016년 12월경 OO이설공사에서 4층 탈의실 외벽부위 외부비계 위에서 옥상층 조적턱 하부 면처리 작업을 하던 중 외벽과 비계와의 사이로 공간으로 추락하여(H:약13.0m) 사망</t>
  </si>
  <si>
    <t>추락방호망, 안전대 미설치 상태에서 외부 비계에서 외벽 견출작업을 하던 중 몸의 중심을 잃고 구조물 외벽과 비계 사이의 개구부로 추락</t>
  </si>
  <si>
    <t>2017년 1월경 OO신축공사에서 세대 내부 견출작업을 위해 리프트에 탑승하여 지상5층에서 내리려던 중리프트 운반구가 갑자기 약 60cm아래로 하강하면서 몸의 중심을 잃고 넘어져 리프트 운반구와 구조물 외벽사이에 끼어 사망</t>
  </si>
  <si>
    <t>내부 견출작업을 위해 리프트에 탑승하여 하차하던 중 리프트 운반구가 갑자기 하강하면서 근로자가 몸의 중심을 잃고 넘어져 리프트 운반구와 구조물 외벽사이에 끼임</t>
  </si>
  <si>
    <t xml:space="preserve">▶ 작업 전 리프트 방호장치 및 브레이크 등의 기능에 대한 정상작동 여부 확인을 위한 안전 점검 실시
▶ 이상유무 점검 시 이상이 발견 즉시 보수ㆍ수리 후 작업 실시 </t>
  </si>
  <si>
    <t>2017년 1월경 OO신축공사에서 9층 세대 현관 앞 바닥 개구부 (800mm*800mm) 주변에서 콘크리트 벽에 노출된 폼 타이(form-tie)를 제거하던 중 몸의 중심을 잃고 높이 5.6M 개구부 아래로 추락하여 사망</t>
  </si>
  <si>
    <t>2017년 1월경 OO신축공사에서 2층 계단실 내부 비계 작업발판 위에서 천장면 미장작업 중 작업발판 단부에서 추락하여(H≒2.5m) 사망</t>
  </si>
  <si>
    <t>2017년 2월경 OO신축공사에서 고소작업대(시저형)에 탑승하여 지하층 콘크리트 구조물 면의 할석작업(거푸집 제거 작업)을 진행하던 중 지하층 천정 보와 고소작업대의 난간대 상부 사이에 흉부가 끼어 사망</t>
  </si>
  <si>
    <t>2017년 2월경 OO신축공사에서 곤돌라에 탑승하여 건물(배면부) 9층 외벽 미장작업(보조)을 진행하던 중 재해자 정관섭이 몸의 균형을 잃고 곤돌라와 건물 사이로 추락하여(H≒30m) 사망</t>
  </si>
  <si>
    <t xml:space="preserve">곤돌라에 탑승하여 외벽 미장작업을 하던 중 몸의 균형을 잃고 난간대가 설치되지 않은 곤돌라 전면부로 추락 </t>
  </si>
  <si>
    <t xml:space="preserve">▶ 곤돌라 전면부 안전난간대 설치 철저
▶ 곤돌라 작업 시 구명줄 설치 및 안전대 착용ㆍ연결 철저 </t>
  </si>
  <si>
    <t>2017년 2월경 OO신축공사에서 지하2층에 설치된 내부비계 작업발판 위에서 북측 내부벽체 창틀주변 작업을 진행 또는 작업을 위해 이동하던 중, 몸의 중심을 잃고 비계밖 지하 2층 슬래브 바닥(높이 3.8m)으로 추락하여 사망</t>
  </si>
  <si>
    <t>2017년 2월경 OO신축공사에서 옥탑 지붕에서 바닥 미장 작업 중 몸의 중심을 잃고 옥상 콘크리트 바닥으로 추락(H≒2.9m)하여 사망</t>
  </si>
  <si>
    <t>콘크리트 타설후 미장작업 중 안전난간이 설치되지 않은 슬라브 단부에서 몸의 중심을 잃고 추락</t>
  </si>
  <si>
    <t>2017년 5월경 OO신축공사에서 계단실에 위치한 PS실 출입용 방화문 문틀 몰탈사춤작업 중 PS실 내부로 추락하여(높이 : 약 5.9m) 사망</t>
  </si>
  <si>
    <t>계단실에 위치한 PS실 출입용 방화문 문틀 몰탈사춤작업 중 재해자가 PS실 내부개구부로 떨어짐</t>
  </si>
  <si>
    <t>2017년 5월경 OO증축공사에서 4층 계단실 계단참 바닥에 몰탈 타설 및 평탄작업 중, 계단참 끝단부에서 발을 헛디뎌 약 8.6m아래 2층 계단참 바닥으로 추락하여 사망</t>
  </si>
  <si>
    <t>계단참 미장·견출 작업 중 발을 헛디뎌 안전난간이 설치되지 않은 계단 단부로 추락</t>
  </si>
  <si>
    <t>2017년 6월경 OO신축공사에서 외벽 마감작업(드라이비트)을 위해 지붕층 벽면의 거푸집고정용 핀(타이핀)을 제거하는 작업 중 지붕층 치장벽의 보와 외부비계의 안전발판 사이 틈(L≒0.6m)으로 빠져, 5층 치장벽의 보에 추락하여(H≒4.1m) 사망</t>
  </si>
  <si>
    <t>2017년 8월경 OO신축공사에서 세대 발코니 천장 견출작업을 위해 말비계 위에서 핸드그라인더로 천장 면정리 작업 중 콘크리트 바닥으로 추락하여(H≒1.1m) 사망</t>
  </si>
  <si>
    <t>2017년 9월경 OO시설공사에서 지하층 기계실 장비반입구 위에 걸쳐 놓은 작업발판 위에서 외벽 1층 창호틀 주변부 미장작업 중 몸의 중심을 잃고 지하층 계단실로 추락하여(H≒4.0m) 사망</t>
  </si>
  <si>
    <t>2017년 10월경 OO리모델링 공사에서 화장실 내부미장 작업 중 말비계(발판높이 75cm)상부에서 몸의 중심을 잃고 넘어지면서 콘크리트 벽에 머리를 부딪혀 사망</t>
  </si>
  <si>
    <t>2017년 11월경 OO신축공사에서 1층 비상엘리베이터 앞 복도에서 말비계(높이 1.3m)에 올라 수지미장작업 후 말비계 우측으로 내려오던 중, 말비계 우측 지주부재를 고정하는 보조부재가 이탈되면서 말비계 지주가 미끄러져 몸의 중심을 잃고 뒤로 넘어지면서 콘크리트 바닥에 머리가 부딪혀 사망</t>
  </si>
  <si>
    <t>미장작업을 마치고 말비계 답단을 밟고 내려오던 중 말비계 지주부재를 고정하는 보조부재가 이탈하면서 전도되어 몸의 중심을 잃고 추락</t>
  </si>
  <si>
    <t>▶ 작업 전 말비계 작업발판 훼손여부 및 연결부 고정상태 등 점검 철저 
▶ 말비계를 조립하여 사용하는 경우 지주부재와 수평면의 기울기를 75도 이하로 설치
▶ 추락위험이 있는 경우 안전대를 착용토록 하고 안전대 부착설비에 안전대를 체결한 후 작업</t>
  </si>
  <si>
    <t>2017년 12월경 OO신축공사에서 누름 콘크리트 바닥 미장작업을 하면서 작업구간을 넘어 이동하기 위해 옥상 난간벽 위로 올라가려던 중 발을 헛디뎌 지상 바닥으로 추락하여(H≒19.1m) 사망</t>
  </si>
  <si>
    <t xml:space="preserve">바닥 미장작업을 위해 장소이동 중 작업통로가 여의치 않아 옥상 난간벽 위로 올라가던 중 발을 헛디뎌 추락 </t>
  </si>
  <si>
    <t>▶ 편리하고 안전하게 통행할 수 있는 작업통로를 설치하고 이용하도록 근로자 주지 철저
▶ 추락할 위험이 있는 장소에서 작업 또는 이동 시 안전대 부착설비를 설치하고 안전대를 체결 후 작업토록 관리감독</t>
  </si>
  <si>
    <t>2017년 12월경 OO개선공사에서 옥상 기계실 외벽부분 미장작업을 하던 중 비계 위 작업발판 단부에서 추락하여(H≒10m) 사망</t>
  </si>
  <si>
    <t>비계 작업발판에서 견출 작업 중 몸의 중심을 잃고 안전난간이 미설치된 작업발판 단부로 추락</t>
  </si>
  <si>
    <t>2017년 12월경 OO조성공사에서 쇠손을 사용하여 2층 바닥미장 작업 중 슬래브 단부에서 5m 아래 지상1층 콘크리트 바닥으로 추락하여 사망</t>
  </si>
  <si>
    <t>2018년 1월경 하천환경정비사업 현장에서 재해자가 A형 사다리 위에서 교각 면정리 작업 중 기초 콘크리트 바닥으로 떨어짐</t>
  </si>
  <si>
    <t>이동식 사다리 상부에서 작업 중 사다리의 흔들림으로 인해 몸의 중심을 잃고 추락</t>
  </si>
  <si>
    <t>2018년 1월경 OO신축공사에서 6층 발코니에 설치된 말비계 상부에서 실내 견출 작업을 진행하던 중 몸의 중심을 잃고 말비계에서 발코니 창호구간 바깥쪽 지상으로 추락하여(H≒17m) 사망</t>
  </si>
  <si>
    <t>2018년 3월경 OO신축공사에서 지하1층 제연 휀룸 내 이동식비계(2단) 위에서 내부 견출작업 중 이동식비계에서 이동하다가 미끄러지면서 바닥으로 추락하여(H≒3.5m) 사망</t>
  </si>
  <si>
    <t>2018년 3월경 OO재개발공사에서 외벽의 견출작업을 하기 위하여 옥상 청소고리 등에 주 로프를 묶어서 고정하고 달비계로 내려가던 중 주 로프 및 달비계와 함께 지상으로 추락하여(H=65m) 사망</t>
  </si>
  <si>
    <t>달비계를 이용해 외벽 견출작업 중 고정상태가 불량한 주로프가 풀어지면서 바닥으로 추락</t>
  </si>
  <si>
    <t>2018년 4월경 OO재건축공사에서 견출작업 중 원인미상의 이유로 6~7층 사이 외부에 설치된 낙하물방지망으로 추락하여 사망</t>
  </si>
  <si>
    <t>세대 내 벽체 견출작업 중 원인미상으로 추락</t>
  </si>
  <si>
    <t xml:space="preserve">▶ 계단실, 기계실의 벽체 개구부 및 옥상층 안전난간 등 물제가 떨어질 위험이 있는 장소에는 수직보호망 설치
▶ 아파트 동 외부에 높이 10m 이내마다 낙하물 방지망 설치 </t>
  </si>
  <si>
    <t>2018년 4월경 OO건축의 신축공사 현장에서 재해자가 건물 외부 비계에서 이동 중 고정되지 않은 작업발판(유로폼)이 뒤집어지면서 약 9.85m 아래 바닥으로 떨어져 사망</t>
  </si>
  <si>
    <t>2018년 4월경 OO신축공사에서 29층 콘크리트 벽체 해체공사를 위하여 RCS 작업발판 위에서 할석작업을 하던 중 콘크리트 잔재물이 작업발판에 과다하게 적치되어 작업발판 지지대가 허용하중을 견디지 못하고 파단되면서 작업발판과 함께 지면(높이 86m)으로 추락하여 사망</t>
  </si>
  <si>
    <t>작업발판 위에서 할석작업 중 콘크리트 잔재물이 작업발판에 과다하게 적치되어 허용하중을 견디지 못하고 작업발판이 파단되어 추락</t>
  </si>
  <si>
    <t>▶ 해체작업 시 작업발판에 근로자, 작업공구, 해체작업으로 수반되는 부산물이 적재될 경우 작업발판의 최대적재하중을 초과하지 않는 허용하중 범위에서 작업
▶ 비계·구조물 해체공사 시 해당 법령에서 정하는 기준에 부합하는 등록업체가 공사를 수행</t>
  </si>
  <si>
    <t>2018년 4월경 OO신축공사에서  5층 기둥 외측 견출작업을 진행 하던 중 몸의 중심을 잃고 외벽과 외부비계 작업발판 사이로 추락하여(H=17m) 사망</t>
  </si>
  <si>
    <t>2018년 5월경 OO신축공사에서 옥상 단부에 설치 된 말비계 위에서 계단실 옥탑 외벽을 핸드 그라인더로 견출작업(면갈이) 중 지상으로 추락하여(H≒70m) 사망</t>
  </si>
  <si>
    <t>2018년 5월경 OO신축공사에서 4층 전면 발코니에 설치된 말비계 위에서 견출작업 중 말비계에서 건물 외부 지상 1층 바닥으로 추락하여(H≒11.8m) 사망</t>
  </si>
  <si>
    <t>기타건설기계기구</t>
  </si>
  <si>
    <t>2018년 6월경 OO확장공사에서 베란다 외단열재(스티로폼) 하부에 몰탈 미장 작업을 위한 마감면을 잡기위해 에어타카(air tacker) 장비를 이용하여 보강토 콘크리트 옹벽에 각재(30×30×3,600mm)를 수평으로 고정하던 중 에어타카 몸통 부위가 폭발하면서 실린더 등 부품 파편들에 맞아 사망</t>
  </si>
  <si>
    <t>에어타카를 사용하여 콘크리트 옹벽에 각재를 고정하던 중 에어타카가 폭발하면서 파편에 맞음</t>
  </si>
  <si>
    <t>▶ 작업 전·후 작업 공도구, 기계기구 등 이상여부 및 정상작동여부 점검</t>
  </si>
  <si>
    <t>2018년 6월경 OO타워 내부 인테리어 공사 현장에서 재해자가 이동식 사다리를 사용하여 세대 내 벽체 미장작업을 하던 중 추락</t>
  </si>
  <si>
    <t>2018년 9월경 OO보수공사에서 옥상 난간 밖 배수로 방수를 위해 미장작업 중 배수로(폭 690mm)에서 몸의 중심을 잃고 바닥으로 추락하여(H≒14m) 사망</t>
  </si>
  <si>
    <t>작업발판이 설치되지 않은 옥상 난간 밖 단부에서 배수로 미장작업을 하던 중 중심을 잃고 추락</t>
  </si>
  <si>
    <t>▶ 옥상의 단부 등 근로자 추락 위험이 있는 장소에서 작업 시 비계 조립 등의 방법으로 작업발판 설치
▶ 작업발판 설치가 곤란할 경우 추락방지를 위해 안전대 부착설비 설치 및 안전대 착용</t>
  </si>
  <si>
    <t>2018년 9월경 OO공사에서 외부비계에서 건물 외벽 견출 작업을 하던 중 작업발판(높이 약 3.7m)에서 지상1층 바닥으로 추락하여 사망</t>
  </si>
  <si>
    <t>2018년 11월경 OO보수공사에서 교각에 설치된 강관비계 작업발판에서 면처리 작업 중 난간이 미설치된 작업발판 단부에서 몸의 중심을 잃고 추락하여(H≒10m) 사망</t>
  </si>
  <si>
    <t>2018년 12월경 OO증축공사에서 틀비계 작업발판(1단, 높이 1.7m) 상부에서 미장작업 중 약 45cm 정도의 작업발판과 벽체 사이를 통해 바닥으로 추락하여 사망</t>
  </si>
  <si>
    <t>2018년 12월경 OO설치공사에서 캐노피 콘크리트 타설 후 미장 작업중 4.2m 아래 공장 바닥으로 추락하여 사망</t>
  </si>
  <si>
    <t>2019년 3월경 현장 내 지하 2층 계단실에서 재해자가 미장 작업준비 중 타 작업자가 상부층(1층)에서 기준층(6층)으로 철물공사에 사용할 자재가 담긴 용기(전체 무게 약 20Kg)를 계단실 OPEN부로 양중장치(미니윈치)를 이용해 들어올리는 과정에서 계단실에 기 설치된 안전난간에 용기가 충돌하며 용기의 손잡이가 빠져 용기가 지하 2층(H≒9.4m)으로 낙하하면서 재해자 두부를 강타하여 사망</t>
  </si>
  <si>
    <t xml:space="preserve">철물공사에 사용할 자재가 담긴 용기를 양중장치를 이용해 들어올리는 과정에서 기 설치된 안전난간에 용기가 충돌하여 근로자에게 낙하 </t>
  </si>
  <si>
    <t xml:space="preserve">▶ 자재인양 작업 시 낙하위험 지역에 대해 근로자 출입 통제
▶ 개인보호구 착용 및 관리 철저 </t>
  </si>
  <si>
    <t>2019년 5월경 OO신축공사에서 이동식비계 등 작업발판 위에서 세대 내부 견출작업 중, 추락(H≒1.8m 혹은 2.6m)하여 사망</t>
  </si>
  <si>
    <t>2019년 7월경 OO도로공사에서 터널 무인관리소(지하1층, 지상1층) 출입구 오른편에서 미장작업중 무너지는 1층 캐노피(2,050*4,800, t=150~135)와 벽체에 끼어 사망</t>
  </si>
  <si>
    <t>무인관리소 출입구 인근에서 미장작업 중 상부 캐노피 구조물(시공불량)이 무너지면서 캐노피와 벽체 사이에 끼임</t>
  </si>
  <si>
    <t xml:space="preserve">▶ 작업 전 작업장소, 상황 등을 사전조사하여 위험요인 예방조치(위험성평가 등)
▶ 안전모 등 개인보호구 착용에 대한 관리 철저 </t>
  </si>
  <si>
    <t>2019년 7월경 OO신축공사에서 지하1층 천장 견출작업을 위해 이동식비계 작업발판 위에서 전원선 설치 등 준비작업 중 2.15m 아래 콘크 리트 바닥으로 추락하여 사망</t>
  </si>
  <si>
    <t>2019년 11월경 OO시설공사에서 자동원형주조기 기초 구조물 벽체 미장작업을 위해 벽체 2단(기초 상부)에서 벽체 1단으로 내려온(H≒0.7m) 후 몸의 중심을 잃고 기초바닥으로 추락하여(H≒2.2m) 사망</t>
  </si>
  <si>
    <t>벽체 1단 상부에 안전난간대 및 측면 개구부에 개구부 덮개(통로발판) 등 추락방지시설을 설치 하지 않은 상태에서 몸의 중심을 잃고 추락</t>
  </si>
  <si>
    <t>2019년 11월경 OO신축공사에서 비계 최상단에서 외벽 메시 미장 작업을 준비하던 중 약 11m 아래 지상 바닥으로 추락하여 사망</t>
  </si>
  <si>
    <t>2020년 8월경 OO신축공사에서 1층 바닥 미장 공사를 위한 청소작업 중 후진하는 고소작업대(시저형)에 깔리면서 끼어 사망</t>
  </si>
  <si>
    <t>바닥 미장공사를 위해 청소작업 중 정된 유도자 미배치 한 상태로 후진하는 고소작업대에 부딪혀 깔림</t>
  </si>
  <si>
    <t>▶ 차량계 하역운반기계 사용 시 출입통제 조치 실시 또는 유도자 배치
▶ 고소작업대 이동 시 작업대를 최하단으로 낮추어 이동
▶ 공사 진행 시 차량계 하역운반기계와 인접하여 협착위험이 있는 작업의 경우 사전에 인지시키거나 작업 순서 변경 권고</t>
  </si>
  <si>
    <t>2020년 10월경 OO신축공사에서 조적용 인방 타설부위의 콘크리트 상부면 미장 작업 중 비계와 건물 외벽 사이로 추락(H≒12.8m)하여 사망</t>
  </si>
  <si>
    <t>2020년 12월경 OO신축공사에서 3~4층 계단참에서 계단 마구리면 미장작업 중 높이 약 9.2M 아래의 지상 1층 바닥으로 추락하여 사망</t>
  </si>
  <si>
    <t>2021년 1월경 OO신축공사에서 외벽 미장작업을 위해 15층 갱폼에서 이동 중 작업발판이 해체된 개구부에 빠져 3층 낙하물방지망으로 추락하여(H ≒ 29m) 사망</t>
  </si>
  <si>
    <t>2021년 3월경 OO방음벽 설치공사에서 교량 하부 암거(BOX,4.0m×4.5m×91.5m) 박스 옹벽 경사배면 상단부 미장작업 중 실족하여 높이 약 3.5m 아래 지상바닥으로 추락하여 사망</t>
  </si>
  <si>
    <t>교량 하부 암거박스 옹벽 경사배면에서 미장작업 중 법면 단부에서 몸의 중심을 잃고 실족하여 바닥으로 추락</t>
  </si>
  <si>
    <t>2021년 4월경 OO재건축공사에서 고소작업대의 상부난간과 천장보 사이에 끼어 사망</t>
  </si>
  <si>
    <t>2021년 5월경 OO신축공사에서 5~6층 계단에 설치된 말비계 작업발판위에서 견출작업 중 5층 계단실 바닥(H≒1.8m)으로 추락하여 사망</t>
  </si>
  <si>
    <t>2021년 9월경 OO신축공사에서 5층 이동식비계 위에서 기둥 및 천장슬래브 견출작업 중 이동식비계가 넘어지며 바닥으로 추락하여(H≒2.2m) 사망</t>
  </si>
  <si>
    <t>2021년 9월경 OO신축공사에서 8층 승강기 전실 창호 콘크리트면 견출 작업을 하던 중 약 25.5m 아래 지면으로 추락하여 사망</t>
  </si>
  <si>
    <t>2021년 10월경 OO재건축공사에서 말비계 위에서 핸드브레이커를 사용하여 천장슬래브 하부의 콘크리트를 해체 하던 중, 콘크리트 덩어리가 떨어져(높이 약 2.7m, 중량 약 1,242kg) 맞아서 사망</t>
  </si>
  <si>
    <t>말비계 위에서 핸드브레이커를 사용하여 천장슬래브 하부의 콘크리트를 해체 하던 중 낙하하는 콘크리트 덩어리에 맞음</t>
  </si>
  <si>
    <t>▶ 해체작업 시 구조, 주변상황 등 사전조사 결과를 바탕으로 해체방법, 해체순서 등 작업계획을 수립하고 준수하여 작업
▶ 개인보호구(안전모) 착용관리 철저</t>
  </si>
  <si>
    <t>4.2 방수 작업</t>
  </si>
  <si>
    <t>4.2.1 방수면처리, 방수 및 보호몰탈 등 시공</t>
  </si>
  <si>
    <t>2015년 9월경 OO(주) OO초 옥상 방수공사 현장에서 재해자가 옥상 난간대 외측의 방수 작업을 위해 시트를 부착하던 중 실족하여 지상 1층 콘크리트 바닥으로 떨어져(H≒13.9m) 사망</t>
  </si>
  <si>
    <t>추락방지조치 없이 옥상 난간대 외측의 방수 작업을 위해 시트를 부착하던 중 실족하여 지상 1층 콘크리트 바닥으로 추락</t>
  </si>
  <si>
    <t>▶ 추락위험이 있는 장소에서 작업 시 단부에 안전난간 설치 등 추락방호조치 실시
▶ 안전난간의 설치가 곤란하거나 임시로 안전난간을 해체할 경우 추락방호망 설치
▶ 높이 2m 이상의 추락위험장소에서 작업 시 안전대 부착설비 설치 및 안전대 착용</t>
  </si>
  <si>
    <t>2016년 3월경 OO산업 공장동 지붕 방수공사현장에서 재해자(보통인부)가 공장지붕 위에서 정리작업 중 선라이트를 밟아 파손되며 약 15m 아래 공장바닥으로 떨어져 사망</t>
  </si>
  <si>
    <t>공장지붕 위에서 정리작업 중 별도의 작업발판을 설치하지 않고 이동 중 선라이트를 밟아 파손되며 근로자 추락</t>
  </si>
  <si>
    <t>▶ 선라이트 등 강도가 약한 재료로 덮은 지붕 위에서 작업 시 작업발판 설치 및 안전방망 설치
▶ 지붕 위에서 작업 시 추락방지를 위해 폭 40cm 이상의 발판 설치
▶ 높이 2m 이상에서 작업 시 안전대 부착설비 설치 및 안전대 착용</t>
  </si>
  <si>
    <t>2016년 3월경 OO(주)이 시공하는 OO산업(주) 인쇄공장 방수 및 철거, 아스타일 공사현장에서 재해자(방수공)가 옥상 변압기 방책 내에서 알루미늄재질의 롤러를 이용하여 바닥방수작업 중 특별고압(22.9kv) 충전부에 접촉, 감전되어 사망</t>
  </si>
  <si>
    <t>옥상 변압기 방책 내에서 알루미늄 재질의 롤러를 이용하여 바닥 방수작업 중 특별고압 변압기 충전부에 접촉 근로자 감전</t>
  </si>
  <si>
    <t>▶ 특별고압 변압기가 있는 방책 내에서 바닥 방수 등 작업 시 해당 충전전로를 차단하고 잔류전하를 완전히 방전 시킨 후 정전상태에서 작업 실시
▶ 전기ㆍ전류 작업 시 근로자는 절연 보호구를 착용 후 작업 실시
▶ 전류 작업 시 작업도구가 충전부에 접촉하지 않게 접촉방지장치 부착 후 작업 실시</t>
  </si>
  <si>
    <t>2016년 3월경 다세대 신축공사 현장에서 재해자(코킹공)가 지상 4층 지붕 위에서 지상 5층 벽체(4~5층으로 이루어진 건물임)와 지붕 연결부 코킹작업 중 지붕 끝단에서 하부 약 10.5m 바닥으로 떨어져 사망</t>
  </si>
  <si>
    <t>지붕위에서 별도의 작업발판을 설치하지 않고, 안전대 체결도 하지 않은 상태로 방수 등 작업을 진행 중 미끄러지며 바닥으로 추락</t>
  </si>
  <si>
    <t>▶ 지붕 단부 등 추락위험이 있는 장소에는 안전난간 설치
▶ 지붕 상부에 안전난간을 설치할 수 없는 경우 지붕 외부에 쌍줄비계를 사용한 형태의 안전난간 설치
▶ 근로자는 그네식 안전대 착용 및 충분한 강도를 가진 고정지점에 설치된 안전대 걸이용 로프 또는 안전블럭에 안전대 체결</t>
  </si>
  <si>
    <t>2016년 6월경 OO건설 사옥 신축공사 현장 지하에서 재해자가 정화조 내부 방수공사를 진행하던 중 밖으로 나와 지하 4층 정화조관리실에서 이동하다가 인접한 정화조 바닥 개구부(1m×1m)로 떨어져(H≒3.3m) 사망</t>
  </si>
  <si>
    <t>안전난간이 미설치된 바닥 개구부 인근에서 이동 중 근로자가 몸의 중심을 잃고 바닥 개구부로 추락</t>
  </si>
  <si>
    <t>▶ 주락 위험이 있는 개구부 및 개구부 주변에 철재 안전덮개, 안전난간 설치, 개구부 표시 등 추락위험 방지조치 실시
▶ 주락 위험이 있는 개구부에 불가피하게 임시로 합판 등의 자재로 덮어 놓는 경우, 흔들림 및 움직임이 없도록 별도의 고정을 실시하며 이후에 전용 안전덮개 또는 안전난간 설치 등 추락방지조치 실시</t>
  </si>
  <si>
    <t>2016년 6월경 OO(주) 옥상 방수공사 통합발주 현장에서 재해자(방수공)가 옥상바닥에 방수작업을 하던 중 옥상 파라펫에 다리가 걸려 높이 4.2m 아래 지상바닥으로 떨어져 사망(추정)</t>
  </si>
  <si>
    <t>옥상바닥에 방수작업 중 옥상 파라펫에 다리가 걸려 근로자 추락</t>
  </si>
  <si>
    <t>▶ 추락위험이 있는 장소에서 작업 시 안전난간 등 설치
▶ 안전난간 설치가 곤란할 경우 안전방망 설치</t>
  </si>
  <si>
    <t>2016년 8월경 OO창고신축공사 현장에서 재해자가 경량철골 상부에서 처마홈통에 선홈통을 설치 후 실리콘으로 실링(방수)작업을 마치고 이동하던 중 약 6m 아래 콘크리트 바닥으로 떨어져 사망</t>
  </si>
  <si>
    <t>추락방지 조치를 하지 않은 상태로 경량철골 상부에서 처마홈통에 선홈통을 설치 후 실리콘으로 실링작업을 마치고 이동하던 중 근로자가 몸의 중심을 잃고 추락</t>
  </si>
  <si>
    <t>▶ 안전대 부착설비, 추락방지망 등 추락방지조치 실시
▶ 작업방법 변경(차량탑재형 고소작업대 사용 등)</t>
  </si>
  <si>
    <t>2016년 8월경 OO도시철도 102정거장 터널입구 본선개착구간(지하 17.2m 높이) 현장에서 박OO 반장 등 근로자 3명은 소속 현장소장의 지시에 따라 지하 SHEET 방수작업을 시작하였으며, 이OO 씨는 맨 아래층에서 “톨루엔” 등이 다량 함유된 아스팔트 프라이머 도포 작업을 하였고 그 위층에서 박OO 반장 및 김OO 씨는 방수용 시트 부착 작업을 실시함. 작업 중에 시트가 부족하여 김OO 씨가 지상 1층으로 올라가 시트를 가져오던 중 박OO 반장은 보이지 않고 맨 아래층에서 소리가 나 확인하니 박OO 반장과 이OO 씨가 쓰러져 있는 것을 발견함. 김OO 씨는 구조를 위해 아래로 내려갔으나 본인도 어지러워 잠시 정신을 잃은 후 대합실로 올라와 쓰러졌고 다른 근로자에게 도움을 요청함. 주변 목수들이 지하에 쓰러진 박OO 반장 및 이OO 씨를 구조한 후 14시 경 119에 신고하여 병원으로 후송하였으나 박OO 씨가 사망하고 1명이 부상</t>
  </si>
  <si>
    <t>터널입구 본선개착구간의 지하 SHEET 방수작업 중 '톨루엔' 등이 다량 함유된 아스팔트 프라이머를 도포하던 작업자는 지하에 쓰러진 상태로 발견</t>
  </si>
  <si>
    <t>▶ 지하 등 자연환기가 어려운 장소에서 '톨루엔' 등 유해화합물이 다량 혼합된 프라이머 도포작업을 하는 경우, 송풍기, 환기설비 등을 사용하여 강제 환기 조치 실시
▶ 지하 등 자연환기가 어려운 장소에서 '톨루엔' 등 유해화합물이 다량 혼합된 프라이머 도포작업을 하는 경우, 송기마스크나 방독마스크를 지급하여 착용하도록 조치</t>
  </si>
  <si>
    <t>2016년 9월경 근린생활시설 신축공사 현장에서 재해자가 옥탑 바닥 방수작업 후 이동식 사다리로 내려오던 중 사다리가 미끄러지면서 재해자가 사다리와 함께 옥상바닥으로 넘어짐</t>
  </si>
  <si>
    <t>지붕 방수공사를 위해 사다리로 이동중 미고정 사다리가 쓰러지며 근로자 추락</t>
  </si>
  <si>
    <t>▶ 작업을 위해 위로 이동할 경우 계단 등 가설통로 설치
▶ 사다리 설치 시 사다리의 상단이 걸쳐놓은 지점으로부터 60cm 이상 올라가도록 하며, 아웃트리거 또는 밀림방지판 설치
▶ 개인보호구 지급 및 착용</t>
  </si>
  <si>
    <t>2016년 11월경 ㈜OO 주거복합 신축공사 현장에서 재해자가 옥상 방수작업을 위해 방수자재를 운반하는 작업을 하던 중 쌍줄비계에 설치된 작업발판 바깥쪽으로 몸의 중심을 잃고 떨어져(약 12.6m) 두부 등 부상을 입고 사망</t>
  </si>
  <si>
    <t>옥상 방수작업을 위해 창호에서 외부 비계 작업발판을 통해 방수자재를 운반하던 중 작업발판과 중간난간대 사이로 근로자가 몸의 중심을 잃고 추락</t>
  </si>
  <si>
    <t>▶ 추락 위험이 있는 외부비계에서 작업 시 안전난간 등 보호조치 설치
▶ 안전난간 설치가 곤란할 경우 안전방망 설치 또는 안전대 부착설비 설치 및 안전대 착용
▶ 개인보호구 지급 및 착용</t>
  </si>
  <si>
    <t>2016년 12월경 단독주택 신축공사 현장에서 재해자(미장공)이 옥탑 지붕의 일부 구간 방수 작업을 진행하던 중, 옥탑 지붕 슬라브 단부에서 실족하여 높이 2.9M 아래 옥상 콘크리트 슬래브 바닥으로 추락하여 사망</t>
  </si>
  <si>
    <t>2017년 2월경 OO(주)이 시공중인 OO센터 건설공사 현장에서 협력업체 소속 재해자(방수공)가 공장동 지상2층 폐수처리장에서 폐자재 정리 작업 중, 바닥개구부(700*700mm)를 덮어 놓은 합판을 치우던 순간 몸의 중심을 잃고 12m 아래 지하1층 바닥으로 떨어져 사망</t>
  </si>
  <si>
    <t>추락방지조치 미실한 상태에서 폐자재 정리 작업 중 바닥개구부를 덮어 놓은 합판을 치우던 순간 몸의 중심을 잃고 떨어짐</t>
  </si>
  <si>
    <t>2017년 3월경 ㈜OO에서 시공 중인 OO 아파트 신축공사 현장에서 협력업체 소속 재해자가 엘리베이터실 옥탑 방수 작업 중 캐노피 상부에서 추락(H≒5.4m)하여 사망</t>
  </si>
  <si>
    <t>옥상(옥탑) 단부에서 방수작업 중 안전난간이 미 설치된 단부로 근로자가 몸의 중심을 잃고 추락</t>
  </si>
  <si>
    <t>▶ 슬래브의 단부 등 추락위험이 있는 장소에는 안전난간 등 방호조치 실시
▶ 높이 2m 이상에서 작업 시 추락방지를 위해 안전대 부착설비 설치 및 안전대 착용</t>
  </si>
  <si>
    <t>2017년 4월경 외벽 방수공사 현장에 외벽에 방수제를 도포하기 위해 고소작업차(일명 스카이, 3.5ton)의 작업대(탑승함)를 외벽에 밀착시키는 과정에서 작업대가 흔들리면서, 작업대에 탑승중이던 재해자가 중심을 잃고 바닥으로 떨어져(H≒3m) 사망</t>
  </si>
  <si>
    <t>2017년 5월경 ㈜OO에서 시공하는 OO 신축공사 현장에서, 협력업체 소속 재해자(방수공)가 지하 2층에 있는 덕트 개구부에서 방수작업 준비 중 바닥 개구부로 몸의 중심을 잃고 지하 3층 기계실 바닥으로 추락(H≒6.3m) 사망</t>
  </si>
  <si>
    <t>추락방지조치 미실한 상태에서 바닥 개구부 인근 방수작업 준비중 근로자가 몸의 중심을 잃고 바닥 개구부로 추락</t>
  </si>
  <si>
    <t>2017년 7월경 OO근린생활시설 신축공사 현장에서, 재해자가 건물 2층 경사지붕 상부에서 지붕 누수 확인 중 몸의 중심을 잃고 지상으로 떨어져(H≒7.8m) 사망</t>
  </si>
  <si>
    <t>지붕위에서 별도의 작업발판을 설치하지 않고, 안전대 체결도 하지 않은 상태로 방수작업을 진행 중 미끄러지며 바닥으로 추락</t>
  </si>
  <si>
    <t xml:space="preserve">2017년 9월 </t>
  </si>
  <si>
    <t>2017년 9월 OO(주) OO아파트 주택재건축 현장에서 재해자가 아파트 계단실에서 이동하던 중 뒤로 넘어지면서 콘크리트 바닥에 머리를 부딪쳐 사망</t>
  </si>
  <si>
    <t>아파트 계단실에서 이동하던 중 발을 헛디뎌 근로자가 뒤로 넘어지면서 콘크리트 바닥에 머리를 부딪힘</t>
  </si>
  <si>
    <t>▶ 근로자는 계단실을 이용하여 이동할 경우 안전난간을 잡고 이동 하는 등 안전하게 통행</t>
  </si>
  <si>
    <t>2017년 9월경 ㈜OO 기숙사 증축고사 현장에서 재해자(판넬공)가 지붕층 단부에서 방수 및 마감작업 중 지상 바닥으로 떨어져(H≒11.4m) 사망</t>
  </si>
  <si>
    <t>2017년 9월경 ㈜OO 다세대 신축공사 현장에서 원청 소속의 재해자가 지붕층 바닥 방수작업 후 옥상 바닥의 몰탈 더미 위로 내려오던 중 미끄러지며 건물 밖의 지상바닥으로 떨어져(H≒14.0m) 사망</t>
  </si>
  <si>
    <t>지붕층 바닥 방수작업 후 이동통로 미설치된 상태에서 옥상 바닥의 몰탈 더미 위로 내려오던 중 근로자가 미끄러지면서 바닥으로 추락</t>
  </si>
  <si>
    <t>▶ 작업장으로 통하는 장소 또는 작업장내에 통로의 주요 부분에 통로표시로 안전한 통행 보장
▶ 작업여건에 의해 후속작업이 영향을 받은 경우 무리한 작업진행 지양
▶ 추락위험이 있는 장소에서 작업 시 안전난간 및 수직형 추락방망 설치
▶ 안전난간의 설치 시 상배난간대, 중간난간대, 발끝막이판 및 난간기둥으로 구성하여 설치</t>
  </si>
  <si>
    <t>2017년 10월경 OO(주) 근생 및 업무시설 신축공사 현장에서 재해자(방수공)가 외부 쌍줄비계에 설치된 작업발판(5단) 위에서 스프레이 건을 사용하여 방수 작업 중 중간난간대가 미설치된 곳을 통해 약 9m 아래 지상 바닥(보도블럭)으로 추락하여 사망</t>
  </si>
  <si>
    <t xml:space="preserve">외부 쌍줄비계에 설치된 작업발판 위에서 스프레이 건을 사용하여 방수 작업 중 중간난간대가 미설치된 곳을 통해 근로자 추락 </t>
  </si>
  <si>
    <t xml:space="preserve">▶ 비계 상부 작업발판 측면에 상부, 중간 안전난간대 설치
▶ 안전모 지급 및 착용 철저 
▶ 관리감독자 업무수행 철저 </t>
  </si>
  <si>
    <t>2017년 11월경 OO초 옥상 방수공사 현장에서 OO 본사 소속인 재해자가 같은 회사 대표이사와 함께 공사 착공 전 현장답사를 진행하던 중 옥탑층 바닥 방수공사 면적의 실측을 위해 옥탑층 슬라브 단부에서 레이저측정기를 이용하여 거리를 측정하던 중 실족하여 높이 약 10m 아래의 지면으로 추락하여 사망</t>
  </si>
  <si>
    <t>공사 착공 전 현장답사를 진행하던 중 추락방지조치 없이 옥탑층 바닥 방수공사 면적의 실측을 위해 옥탑층 슬라브 단부에서 레이저 측정기를 이용하여 거리를 측정하던 중 실족하여 근로자 추락</t>
  </si>
  <si>
    <t>▶ 옥상 바닥 단부 등 개구부 주변에서 이동 및 작업 시 방수턱 부위에 안전난간 지주 설치 후 안전난간 설치
▶ 공사 착공 이전의 현장답사 시 이동통로를 확보하고 해당 작업자에게 개인보호구 지급 및 안전대 부착설비에 안전대 체결 후 작업</t>
  </si>
  <si>
    <t>2018년 3월경 ㈜OO 아파트 현장에서 재해자(방수공)가 아파트 126동(지상30층) 옥상 단부에서 액체 방수작업 중 안전난간이 미설치된 옥상 단부에서 몸의 중심을 잃고 높이 약84m 아래로 떨어져 사망</t>
  </si>
  <si>
    <t>2018년 3월경 상가주택 리모델링(옥상방수)공사」 현장에서 재해자(잡부)가 건물 3층 옥탑에서 물탱크를 운반하기 위해 이동식 크레인으로 인양(1줄걸이) 작업 중 인양된 물탱크가 흔들리며 재해자를 가격하여 몸의 중심을 잃고 지상 콘크리트 바닥(H≒12.5m)으로 떨어져 사망</t>
  </si>
  <si>
    <t>옥탑에서 물탱크를 운반하기 위해 이동식 크레인으로 인양(1줄걸이) 작업 중 인양된 물탱크가 흔들리며 재해자를 가격하여 몸의 중심을 잃고 지상 콘크리트 바닥으로 추락</t>
  </si>
  <si>
    <t>▶ 차량계 하역운반기계를 사용하여 중량물 취급하는 작업 시 중량물의 취급방법, 인양장비의 재원 능력에 맞는 작업방식 지휘
▶ 차량계 하역운반기계 등을 사용하여 작업 시 운반 중인 화물 등에 의한 충돌 방지를 위해 근로자 출입 금지</t>
  </si>
  <si>
    <t xml:space="preserve"> 2018년 6월</t>
  </si>
  <si>
    <t xml:space="preserve"> 2018년 6월경 OO에서 시공하는 OO병원 옥상 우레탄 방수 공사 현장에서 재해자가 기존의 방수도막 제거 후 청소를 하던 과정에서 특고압 충전전로(컷아웃스위치)에 머리가 접촉, 감전되어 사망</t>
  </si>
  <si>
    <t>기존의 방수도막 제거 후 청소를 하던 과정에서 특고압 충전전로(컷아웃스위치)에 머리가 접촉되어 감전</t>
  </si>
  <si>
    <t>2018년 7월경 OO(주) OO센터 건설공사 현장에서 재해자가 지하2층에 설치된 이동식비계 2단 작업발판에서 방수작업을 하던 중 몸의 중심을 잃고 3.55m 아래 콘크리트 바닥으로 추락하여 사망</t>
  </si>
  <si>
    <t>2018년 9월경 OO(주) OO 주상복합 신축공사 현장에서 ㈜OO건설 소속 재해자(방수공)가 302동 지하주차장 외벽과 흙막이 벽체사이(길이 : 19m, 폭 : 2.5m, 깊이: 15m)에 설치된 비계 1.5단 작업발판(높이:2.9m) 위에서 외벽 우레탄 방수작업 중 도포된 유기용제(프라이머) 유증기에 의해 중독되어 의식을 잃고 2.9m 아래 바닥으로 떨어져 사망하고, 동료작업자 3명은 중독</t>
  </si>
  <si>
    <t>지하층 방수 작업 중 도포된 유기용제 증기에 중독되어 사망</t>
  </si>
  <si>
    <t xml:space="preserve">▶ 유기화학물 취급 특별장소 작업 시 환기설비 설치 및 가동 철저
▶ 송기마스크 등 호흡용 개인보호구 지급 및 착용 철저
▶ 관리감독자 등 감시인 배치 </t>
  </si>
  <si>
    <t>2018년 10월경 ㈜OO 지하주차장 누수방수공사(우레탄 발포 크랙보수) 현장에서 재해자(보통인부)가 보양비닐 설치 작업을 하던 중 출입구 상부 캐노피(격자형 루바)를 딛는 순간 무너지면서 바닥으로 떨어져(H≒2.5m) 사망</t>
  </si>
  <si>
    <t xml:space="preserve">보양비닐 설치 작업을 하던 중 별도의 작업발판 설치 없이 출입구 상부 캐노피를 딛는 순간 무너지면서 근로자 추락 </t>
  </si>
  <si>
    <t xml:space="preserve">▶ 캐노피 상부 콘크리트 천정 작업을 위한 별도의 작업발판 설치 후 작업
▶ 보호구 지급 착용 관리감독 철저 </t>
  </si>
  <si>
    <t xml:space="preserve">2018년 11월경 아파트 옥상박공지붕 방수공사 현장에서 20층 옥상에서 박공지붕 방수작업을 하던 재해자가 옥상 우측면 단부 방향으로 뒷걸음으로 이동하며 작업 중 우측면 단부 턱에 걸려 뒤로 넘어져 지상1층 바닥으로 떨어져(H≒53.3m) 사망 </t>
  </si>
  <si>
    <t>아파트 옥상지붕의 방수작업 중 작업공간을 이동하는 과정에서 구조물 등에 걸려 중심을 잃고 근로자 추락</t>
  </si>
  <si>
    <t>▶ 지붕 경사로의 통행과 단부에서의 작업 시 추락위험이 있는 장소에서는 단부에 안전난간을 설치하는 등 방호조치 선행 후 작업 실시
▶ 추락 위험이 있는 높이 2m 이상의 장소에서 작업 시 안전대 부착설비 설치 및 안전대 착용</t>
  </si>
  <si>
    <t>2018년 11월경 OO아파트 소재 ㈜OO이 시공하는 옥상 배수로 우레탄 방수공사 및 아스팔트 슁글 일부방수 현장에서 ㈜OO 소속 재해자(방수공)이 301동 옥상 배수로 방수를 위하여 동료작업자와 함께 이삿짐운반용 리프트의 운반구에 탑승한 상태로 상승 하는 도중 운반구가 기울면서 약 14m 아래 아파트 동 출입구 상부 구조물 위로 추락하여 사망</t>
  </si>
  <si>
    <t>옥상 배수로 방수를 위해 이삿짐운반용 리프트의 운반구에 탑승한 상태로 상승 도중 운반구가 기울어짐에 따른 근로자 추락</t>
  </si>
  <si>
    <t>▶ 고소작업차량을 작업발판으로 사용할 경우 4면에 안전난간 설치
▶ 이삿짐운반용 리프트를 사용하여 화물 양중작업 시 운반구에 근로자 탑승 금지
▶ 추락 위험이 있는 장소에서 작업 시 안전모, 안전대 등 작업조건에 맞는 보호구 지급 및 착용</t>
  </si>
  <si>
    <t>2019년 3월경 ㈜OO산업 OO 교육관 리모델링 공사 현장에서, 재해자가 교육관 경사지붕에서 방수시트 설치작업 중 지붕 용마루쪽에서 처마쪽으로 미끄러지면서 건물 외부 콘크리트 바닥(H≒4.5m)으로 떨어져 사망</t>
  </si>
  <si>
    <t>2019년 4월경 OO(주) 주택재건축 정비사업 현장에서 협력업체 소속 재해자(방수공)이 주차장 상부 콘크리트 바닥면 방수작업을 하기 위하여 작업면에 적재된 단열재를 이동시키는 작업 중 상부에 놓여 있던 단열재가 머리, 목 등으로 떨어져 사망</t>
  </si>
  <si>
    <t>상부 주차장 구간의 방수작업을 위해 바탕정리 중 불안전하게 적재되어 있던 단열재를 단독으로 이동시키다가 적재된 자재가 전도되며 작업자와 충돌</t>
  </si>
  <si>
    <t>▶ 현장 내 자재 적재 시, 단차가 있는 구간 등은 적재 금지 조치
▶ 중량물 적재작업 중 이탈, 구름 예방을 위한 구름멈춤대, 쐐기 등 설치를 통한 이탈, 구름 방지조치 실시
▶ 현장 내 무거운 자재를 옮길경우, 근로자의 단독 행동 금지 및 관련한 안전교육 실시</t>
  </si>
  <si>
    <t>2019년 4월경 아파트 옥상방수공사 현장에서 재해자(방수공)가 박공 형태의 경사지붕 방수작업을 위해 지붕 단부(배수로)에서 액체 방수재를 칠하던 중 단부 턱(약 9.5cm)에 걸려 몸의 중심을 잃고 떨어져(높이 약 41m) 사망</t>
  </si>
  <si>
    <t>2019년 4월경 위험물저장소 신축공사 현장내 기계실 지하저수조에서 재해자(방수공)가 방수(프라이머) 작업 중 휘발성 유기화합물에 의한 중독으로 사망</t>
  </si>
  <si>
    <t>2019년 5월경 ㈜OO 사옥 신축공사 현장에서 방수공사 협력업체인 ㈜OOOO 소속 재해자 2명이 지하2층 소화저수조 내부 방수공사 보수작업 중 화재가 발생하여 화상으로 2명이 사망</t>
  </si>
  <si>
    <t xml:space="preserve">화재발생 위험장소에서는 작업전 농도 측정을 실시하는등 농도 모니터링을 실시한후 작업 하여야 하나 이를 준수하지 않고 지하 소화저수조 내부 방수공사 보수작업 중 화재가 발생하여 화상으로 인한 근로자 사망 </t>
  </si>
  <si>
    <t xml:space="preserve">▶ 화재위험 장소의 환기 및 인화성 증기 농도 모니터링 철저
▶ 화재위험 장소에서의 화기사용 금지
▶ 화재위험 장소에서의 작업 시 인화성 액체 취급관리 철저 </t>
  </si>
  <si>
    <t>2019년 6월경 아파트 옥상 방수공사 현장에서 재해자(방수공)가 105동 14층 옥상 경사 지붕에서 방수작업(부직포 설치) 중 몸의 중심을 잃고 지붕 단부에서 약 37m 아래 지상 흙바닥으로 떨어져 사망</t>
  </si>
  <si>
    <t>2019년 6월경 OO(주) 옥상에서 재해자가 건물 누수 방지 작업을 위해 “흉벽”과 “옥탑과 흉벽 사이에 설치 된 구조물(이하 블록)” 위에 올라가 코킹작업을 하던 중 중심을 잃고 지상1층(높이≒8.7m)으로 떨어져 사망</t>
  </si>
  <si>
    <t>추락방지 조치를 하지 않은 상태로 건물 누수 방지 작업을 위해 흉벽과 옥탑 사이에 설치된 구조물 위에 올라가 코킹작업 중 중심을 잃고 근로자 추락</t>
  </si>
  <si>
    <t>2019년 8월경 ㈜OO에서 시공하는 생활형숙박시설 신축공사 현장에서 재해자(방수공)는 엘리베이터 PIT내 바닥의 습기제거 작업을 위해 Torch 점화작업 중 발생한 화재로 화상을 입고 사망</t>
  </si>
  <si>
    <t>화재발생 위험장소에서는 화기사용은 금지하여야 하나 엘리베이터 피트 내 바닥의 습기제거 작업을 위해 토치 점화작업 중 발생한 화재로 화상을 입고 근로자 사망</t>
  </si>
  <si>
    <t>▶ 인화성 물질을 사용하는 화재발생 위험장소에서는 화기사용을 금지</t>
  </si>
  <si>
    <t>2019년 8월 OO(주)에서 시공중인 기계설비공사 현장에서 재해자(방수공)이 지하3층 환기용 배기구 방수턱 방수 작업상태 확인 또는 잔손보기 작업 중, 환기용 배기구 상부에서 사각파이프 등이 떨어져 머리부분에 맞아 사망(추정)</t>
  </si>
  <si>
    <t>환기용 배기구 방수턱 방수 작업상태 확인 또는 잔손보기 작업 중 낙하물 위험방지조치 없는 상태에서 환기용 배기구 상부에서 사각파이프 등의 낙하로 근로자 머리 가격</t>
  </si>
  <si>
    <t>▶ 근로자가 작업으로 인해 물체가 떨어지거나 날아올 위험이 있는 장소에서 작업 시 낙하물방지망, 수직보호망 또는 봉호선반의 설치 등 위험을 방지하기 위해 필요한 조치 실시
▶ 물체가 떨어지거나 날아올 위험이 있는 장소에는 관계자 외 아닌 사람 출입 금지 조치 실시</t>
  </si>
  <si>
    <t xml:space="preserve">2019년 10월경 ㈜OO이 시공하는 OO 소음저감시설 설치공사 현장에서 재해자(잡철물공)이 방음터널 지붕 상부의 방음판(t=10mm,강화유리) 고정용 프레임 틈새의 방수작업을 위해 방음터널 지붕의 끝단부 또는 빗물받이 판을 밟고 이동하던 중 몸의 중심을 잃고 방음판이 미설치된 개구부(2.6m×1.1m) 아래 약 7.8m 지상 바닥으로 떨어져 사망   </t>
  </si>
  <si>
    <t>방음터널 지붕 상부의 방음판 고정용 프레임 틈새의 방수작업을 위해 방음터널 지붕의 끝단부 또는 빗물받이 판을 밟고 이동 중 추락방지조치 미실시한 상태에서 몸의 중심을 잃고 방음판이 미설치된 개구부로 추락</t>
  </si>
  <si>
    <t>▶ 철골조 방음터널 곡면 지붕 작업 중 추락방지를 위해 안전대 지급 및 안전대 부착설비 설치
▶ 추락방호망 설치 후 작업</t>
  </si>
  <si>
    <t>2019년 10월경 ㈜OO 창고 지붕 보수공사 현장에서 재해자(지붕보수공)가 가건물인 창고 지붕 위에서 수리 작업 중 높이 약 7.3미터 아래 바닥으로 떨어져 사망</t>
  </si>
  <si>
    <t>재해자가 가건물인 창고 지붕 위에서 수리 작업 중 지붕재질인 플렉스가 피재자의 하중을 견디지 못하고 찢어지면서  높이 약 7.3미터 아래 바닥으로 추락</t>
  </si>
  <si>
    <t>2019년 11월경 OO아파트 하자보수 현장에서 재해자(방수공)와 동료작업자가 달비계를 타고 아파트 외벽에서 크랙으로 인한 세대 방수 하자 보수작업을 마치고 내려오던 중 작업용 로프가 짧아 달비계와 함께 지상으로 떨어져(H≒20m) 사망</t>
  </si>
  <si>
    <t>달비계를 타고 아파트 외벽에서 크랙으로 인한 세대 방수 하자 보수작업을 마치고 내려오던 중 작업용 로프가 짧아 달비계와 함께 근로자 추락</t>
  </si>
  <si>
    <t>▶ 달비계 작업 시 로프 길이 등 설치상태 점검
▶ 안전모, 안전대 및 추락방지대 등 착용 확인</t>
  </si>
  <si>
    <t>2019년 11월경 ㈜OO 주택재건축 정비공사 현장에서 협력업체 소속 재해자(창호공)이 세대 내 안방 발코니 창호틀 코킹(caulking) 작업을 위해 창호 단부에 설치된 수직형 추락방망에 기대어 작업하던 중 수직형 추락방망의 고정 스크류 앵커가 빠지며 약 65m 아래 콘크리트 바닥으로 추락하여 사망</t>
  </si>
  <si>
    <t>안방 발코니 창호틀 코킹 작업을 위해 창호 단부에 설치된 수직형 추락방망에 기대어 작업하던 중 수직형 추락방망의 고정 스크류 앵커가 빠지며 근로자 추락</t>
  </si>
  <si>
    <t>▶ 창호 단부와 같이 추락의 위험이 있는 장소에는 안전난간, 수직형 추락방망 등 방호 조치 실시
▶ 근로자는 추락방망에 기대어 작업하지 않아야 하며, 작업 반경 내 안전대 부착설비 설치 및 안전대 착용ㆍ사용토록 하는 등 추락방호조치 실시한 상태에서 작업 실시</t>
  </si>
  <si>
    <t>2020년 2월경 OO(주) OO 아파트 건설공사 1공구 현장에서 협력업체 소속 재해자가 공동구 방수작업을 위해 핸드그라인더를 사용하여 면정리 작업을 하던 중 집수정(물 웅덩이)에 쓰러져 사망</t>
  </si>
  <si>
    <t>공동구 방수작업을 위해 핸드그라인더를 사용하여 면정리 작업을 하던 중 원인미상으로 집수정에 쓰러짐</t>
  </si>
  <si>
    <t>▶ 물기가 있는 곳에서 핸드그라인더 등 감전위험이 있는 기구의 사용 시 피복의 손상부 및 콘센트의 접지 상태 확인 및 보호
▶ 집수정 부근 등 감전위험이 있는 장소에서 작업 시 방수형 플러그 및 콘센트 사용
▶ 인체가 물에 젖어있는 상태에서 전기를 사용하는 장소에 콘센트를 시설하는 경우 인체감전보호용 누전차단기로 보호된 전로에 접속</t>
  </si>
  <si>
    <t>2020년 2월경 OO(주)에서 시공하는 청년주택 신축공사 현장에서 협력업체 소속 재해자가 지하 2층 정화조 방수작업 후 이동식사다리를 통해 올라오던 중 손으로 짚은 최상층 답단의 한쪽이 탈락되면서 몸의 중심을 잃고 정화조 바닥으로 떨어져(H≒3.42m) 사망</t>
  </si>
  <si>
    <t>지하 정화조 방수작업 후 이동사다리를 통해 올라오던 중 손으로 짚은 최상층 답단의 한쪽이 탈락되면서 근로자가 몸의 중심을 잃고 추락</t>
  </si>
  <si>
    <t>▶ 이동통로로 사용되는 사다리는 심한 손상과 부식이 없고 용접흔적 및 부재파단 등 구조상의 불안전함이 없는 견고한 구조 사용
▶ 사다리식 통로의 기울기는 75° 이하로 설치하여 안전성 확보
▶ 사다리 상단은 걸쳐놓은 지점으로부터 60cm 이상 올라가도록 설치</t>
  </si>
  <si>
    <t>2020년 4월경 OO 청사 신축공사 현장에서 협력업체 소속 재해자(방수공)이 당일 08:00 경, 1차 도포한 방수제(그린코팅#200A,B)의 건조 상태를 확인하기위해 깊이 약 3.35m 소화용수조 바닥으로 2연식 일자형 로프사다리(H≒3.8m)를 사용하여 내려가던 중, 사다리 하부 고정철물이 바닥에서 미끄러지면서 이동중이던 재해자가 사다리의 좌측으로 추락(H≒2.5m)하여 사망</t>
  </si>
  <si>
    <t>2020년 5월경 OO센터 건립공사 관급자재(특수지붕재)구매 현장에서 재해자(단순노무직)가 지붕 상부에서 누수 방지용 방수시트 부착 중 약 31.5m 아래로 추락하여 사망</t>
  </si>
  <si>
    <t>2020년 9월경 OO타워 누수 하자보수공사 현장에서 재해자가 건물 우측 하부 벽면의 방수시트 제거 및 정리작업 중, 건물 외벽에 부착되었던 간판베이스(110㎝×360㎝)가 넘어지면서 재해자의 머리를 가격하여 사망</t>
  </si>
  <si>
    <t>벽면 하부의 방수시트 제거 및 정리작업 중 발생한 진동에 의해 불안전한 상태로 벽면에 부착(간판 지지대의 파손으로 하부에 돌을 받쳐놓는 등) 되어있던 간판구조물이 넘어지면서 맞음</t>
  </si>
  <si>
    <t>▶ 일부 파손된 각형강관 지지구조의 간판베이스 주변에서 바닥콘크리트 파쇄 등의 작업 시 간판베이스 등이 넘어지지 않도록 재시공 또는 지지대의 설치로 전도방지 조치 실시
▶ 개인보호구 지급 및 착용</t>
  </si>
  <si>
    <t>2020년 9월경 아파트 균열보수 재도장 및 옥상방수공사 현장에서 재해자(방수공)가 옥상 슬래브 단부에 파라펫(옹벽, 높이 약50cm)이 설치된 105동 옥상에서 우레탄 방수 보수작업을 하던 중 몸의 중심을 잃고 파라펫 너머 약 40m 아래 지상바닥으로 추락하여 사망_x000D_</t>
  </si>
  <si>
    <t>2020년 9월경 OO가 시공하는 개인주택 천장보수공사 현장에서 재해자(방수공)가 기존 건물 2층 경사지붕(폼강판, t=0.5mm) 누수부위 확인 및 실리콘 방수 작업을 위하여 일자형 사다리(L=3.3m)를 타고 이동하던 중 미고정 상태의 사다리가 쓰러지면서 사다리와 함께 옆집 지상으로 떨어져(H≒7m) 사망</t>
  </si>
  <si>
    <t>2020년 9월경 OO(주)이 시공하는 OO아파트 옥상 슁글지붕 전면보수공사 현장에서 재해자(방수공)가 411동 5, 6라인 옥탑에서 방수작업 중 옥탑의 경사 지붕에서 미끄러져 약 57m 아래 지상 화단으로 떨어져 사망</t>
  </si>
  <si>
    <t>2020년 10월경 ㈜OO이 시공하는 OO 신축공사 현장에서 재해자(방수공)가 지상 1층 옥외 테라스 바닥 아스팔트 복합방수 작업을 하던 중, 슬래브 단부에서 약 4.1m 아래 지하 1층 바닥으로 추락하여 사망</t>
  </si>
  <si>
    <t>2020년 10월경 외부벽체 방수공사 현장에서 인근 건물 담장에 있던 재해자(방수공)가 주변에서 접근하는 차량의 원활한 통행을 위해 앞으로 이동 중에 있던 고소작업대(차량탑재형)의 아우트리거(펼쳐진 상태)와 인근 건물 담장 사이에 가슴부위가 충돌·협착되어 사망</t>
  </si>
  <si>
    <t>인근 건물 담장에 있는 재해자를 발견하지 못하고 고소작업대가(차량탑재형) 아우트리거를 펼친 상태에서 이동 중 담장 사이에 가슴부위가 충돌·협착</t>
  </si>
  <si>
    <t>▶위험구역 내 근로자 출입금지
▶고소작업대 허용 작업반경 내에서 작업 실시
▶작업 전 아웃트리거, 과부하방지장치 등 설치 상태 및 작동 유무 점검</t>
  </si>
  <si>
    <t>2020년 10월경 OO 신축공사 현장 지상 1층 펌프실 내 저수조에서 재해자(도장공)가 저수조(가로 4.8m, 세로 2.8m, 깊이 1.6m) 내 방수(하도)작업 중 도포된 유기용제 유증기에 중독되어 사망</t>
  </si>
  <si>
    <t>2020년 11월경 ㈜OO 아파트 내·외부 균열보수 및 재도장·옥상 우레탄 방수공사 현장에서 아파트 옥상지붕의 좌우 배수로 방수작업 중 작업공간을 이동하는 과정에서 구조물(지붕팬, 브라켓) 등에 의해 중심을 잃고 추락(H≒32.4m)하여 사망</t>
  </si>
  <si>
    <t>2020년 11월경 아파트 하자보수공사 현장에서 재해자가 101동 아파트(7층) 3, 5라인 경사지붕 배수로 방수작업을 위해 휴대용 송풍기로 지붕 바닥을 청소하던 중 약 23m 아래 지상 화단으로 떨어져 사망</t>
  </si>
  <si>
    <t>2020년 12월경 ㈜OO이 시공 중인 OO 신축공사 현장에서 재해자(방수공)가 옥탑 지붕 방수공사를 위해 사다리를 오르던 중, 캐노피에 걸쳐놓은 사다리가 미끄러지며 약 3m 아래 옥상 바닥으로 추락하여 사망</t>
  </si>
  <si>
    <t>2021년 4월경 ㈜OO가 시공하는 OO아파트 하자보수공사 현장에서 ㈜OO 소속 재해자가 달비계 작업대(일명 젠다이)에 탑승하여 아파트 외부 창호 방수(실리콘 코킹) 작업 중 달비계 작업용 로프의 매듭이 풀려 떨어지면서 동 출입구 캐노피위에 부딪친 후 지상 바닥으로 떨어져(H≒60m) 사망</t>
  </si>
  <si>
    <t>달비계 작업대에 탑승하여 아파트 외부 창호 방수(실리콘 코킹) 작업 중 달비계 작업용 로프의 매듭이 풀려 떨어지면서 동 출입구 캐노피위에 부딪친 후 지상 바닥으로 추락</t>
  </si>
  <si>
    <t>▶달비계 작업시 작업용 주로프와 안전대 체결로프를 각각 다른 청소용 고리등에 줄이 풀리지 않도록 견고히 고정 후 작업
▶ 달비계를 이용하여 외부 방수작업 시 작업용 주로프를 청소용 고리인 앵커에 견고하게 묶여 있는지 확인
▶ 달비계 작업 시 추락 위험을 방지하기 위해 달줄이 풀리지 않도록 견고히 고정 후 안전대 걸이시설에 안전대를 걸고 작업</t>
  </si>
  <si>
    <t>2021년 9월경 OO식당 지붕방수공사 현장에서 재해자가 경사지붕 단부에서 방수시트 부착 및 이형필름 제거작업을 하던 중 콘크리트 바닥으로 추락(높이 약 6m)하여 사망</t>
  </si>
  <si>
    <t>4.3 석재 및 타일 작업</t>
  </si>
  <si>
    <t>4.3.1 석재 및 타일 자재반입, 운반</t>
  </si>
  <si>
    <t>2015년 10월경 개인 직영 주택 신축공사 현장에서, 석재 보조공인 재해자가 외부비계 작업발판 위에서 석재판넬을 운반하던 중, 몸의 중심을 잃고 약 4.0m 아래 지상으로 추락하여 사망</t>
  </si>
  <si>
    <t>외부비계에서 석재작업 등 실시 중 몸의 중심을 잃고 안전난간이 설치되지 않은 비계 작업발판 단부로 추락</t>
  </si>
  <si>
    <t>2016년 1월경 OO신축공사에서 계단실을 통해 옥상에서 1층으로 내려오던 중 몸의 중심을 잃고 계단 측면 단부에서 하부 콘크리트 바닥으로 떨어져(Hmax≒2.4m) 사망</t>
  </si>
  <si>
    <t>계단실 석재 마감작업 중 몸의 중심을 잃고 안전난간이 설치되지 않은 계단 단부로 추락</t>
  </si>
  <si>
    <t>2016년 1월경 OO상가 신축공사 현장에서 직영 근로자인 석공이 현장 배면부 지상에서 외부 마감용 화강석을 지상 4층 외부 쌍줄비계 작업발판으로 인양 작업 중 먼저 인양되어 작업발판 비계 외측기둥에 가로로 기대 놓았던 화강석(90*57.5*3cm, 40kg/장) 2장(80kg)이 균형을 잃고 비계 외측 약 12.6m 아래로 낙하하여 재해자가 맞아 사망</t>
  </si>
  <si>
    <t>외부비계 위에서 석재 인양작업 중 먼저 인양하여 비계기둥에 기대어 세워둔 석재가 비계 외측으로 떨어지면서 맞음</t>
  </si>
  <si>
    <t>▶ 비계에서 낙하물 발생에 의한 위험을 방지하기 위해 낙하물 방지망, 수직 보호망 설치 등 낙하물방호조치 준수
▶ 비계 작업발판 위에 불가피하게 자재를 적치하는 경우 자재가 낙하하지 않도록 눕혀 적치하는 등 낙하방지조치 실시
▶ 비계 작업발판 위에서 윈치를 사용하여 석재 및 마감자재를 인양하는 경우 인양물의 불시낙하에 의한 사고를 방지하기 위해 낙하 위험 구간 내 작업자의 출입을 금지
▶ 비계 조립 시 상부, 중간 난간대 설치 철저</t>
  </si>
  <si>
    <t>2016년 4월경 OO신축공사에서 지하 2층 엘리베이터 및 복도 외벽 마감 작업용 타일 자재 박스(40.5kg, 120×60cm)를 인양벨트로 묶어 윈치(전동식 호이스트)에 걸어 지상5층으로 인양 작업을 하던중 인양벨트가 윈치(전동식 호이스트, 250kg) 후크(Hook)에서 이탈하여 타일 자재 박스가 낙하하면서 맞아 사망</t>
  </si>
  <si>
    <t>전동 호이스트로 자재(타일박스)를 상부로 인양하던 중 인양벨트가 윈치 후크에서 이탈하여 낙하하는 자재가 하부에서 작업중이던 근로자를 강타</t>
  </si>
  <si>
    <t>▶ 전동 호이스트 등을 사용하여 자재인양 시 훅 이탈장비 장치의 설치 유무 및 인양벨트 걸이 상태 점검
▶ 전동 호이스트 등을 사용하여 자재인양 시 작업반경 내 작업자의 출입 금지조치</t>
  </si>
  <si>
    <t>2016년 4월경 OO아파트 건설공사 현장에서 재해자(지게차 운전원)가 지게차로 테라조 타일자재를 하역하고 후진하던 중 맨홀 설치 후 되메우기가 완료되지 않은 굴착부위(깊이 약 50cm)로 뒷바퀴가 빠지면서 넘어진 지게차에 깔려 사망</t>
  </si>
  <si>
    <t>지게차로 타일자재를 하역한 후 후진하던 중 맨홀 굴착부위에 빠져 지게차가 전도되면서 깔림</t>
  </si>
  <si>
    <t>▶ 지게차 등 건설기계 사용 시, 작업통로 내 지반환경(경사면, 웅덩이, 자재 등)으로 인한 장비의 넘어짐, 구름 등을 방지하기 위해 지반 평탄화(철판 및 합판 설치, 흙 메움 등), 주변 환경 정리 등의 안전조치 실시
▶ 지게차 등 건설기계 사용 시 별도의 유도자를 배치하여 안전사고에 대비</t>
  </si>
  <si>
    <t>2016년 6월경 OO신축공사에서 계단을 내려오던 중 중심을 잃고 넘어지며 계단실의 유리가 끼워지지 않은 창호 개구부를 통해 지상 바닥으로 추락하여(H=약10∼15m) 사망</t>
  </si>
  <si>
    <t>2016년 9월경 OO건설 아파트 신축공사 현장에서 재해자가 건설작업용 리프트를 타고 이동하던 중 건물과 리프트 사이 개구부로 추락하여(높이 약 15m) 사망</t>
  </si>
  <si>
    <t>리프트 운반구의 출입문이 개방된 상태로 상승하던 중 보조발판이 열리며 건물 외벽과 충돌하였으며 건물외벽과 리프트 사이 발생한 개구부를 통해 바닥으로 추락</t>
  </si>
  <si>
    <t>▶ 건설용 리프트 작업 전 출입문 연동장치(리미트 스위치) 작동 여부 점검
▶ 건설용 리프트 사용 시, 운반구 출입문이 개방된 상태에서 사용하지 않도록 작업자를 대상으로 리프트 사용관련 특별안전교육을 실시</t>
  </si>
  <si>
    <t>2016년 11월경 OO종합건설에서 시공하는 파출소 신축공사 현장에서 협력업체 소속 재해자가 비계 작업발판에서 석재를 받아 올리던 중 몸의 중심을 잃고 실족하여 지상 1층 바닥으로 추락(높이 약 1.98m)하여 사망</t>
  </si>
  <si>
    <t>2016년 12월경 OO신축공사에서 화장실 벽체 타일 22박스(462kg)를 고소작업대(차량 탑재형)에 실은 후 작업대에 탑승하여 지상 5층으로 상승하는 도중 2~3층(h≒11.2m)지점에서 작업대 붐 인출용 와이어로프가 파단되면서 붐이 인입되며 작업대가 약 5m 높이까지 급하강 하면서 멈추었고 그 충격으로 작업대에 탑승한 재해자 2명이 바닥으로 추락하여 1명 사망 1명 부상</t>
  </si>
  <si>
    <t>고소작업대에 석재를 싣고 상승하는 중 작업대 붐 인출용 와이어로프가 파단되면서 급하강하는 작업대에서 추락</t>
  </si>
  <si>
    <t>▶ 정격하중을 초과하는 자재 등을 고소작업대에 적재 및 운반하는 행위를 원칙적으로 금지하며 불가피한 경우 정격하중을 넘어서지 않는 범위 내에서 소분하여 운반하도록 조치
▶ 작업 전 고소작업대 부품 및 방호장치 등의 이상여부 점검 철저 
▶ 고소작업대 작업 시 안전대부착설비 설치 및 안전대 체결 후 작업토록 관리감독</t>
  </si>
  <si>
    <t>2018년 3월경 도시형 생활주택 신축공사 현장에서 재해자가 102동 건물 지상 5층 외부비계 작업발판(6단) 위에서 작업에 사용하고 남아있던 파벽돌 타일 자재 등을 정리하는 작업 중 몸의 중심을 잃고 약 11.5m 아래 지상바닥으로 추락하여 사망</t>
  </si>
  <si>
    <t>2018년 10월경 OO공사에서  4층 계단실 및 세대내부 화장실 벽체 타일작업 준비 중, 몸의 중심을 잃고 4층 내부 계단실 홀(400×800)을 통해 1층 바닥(H≒10.5m)으로 추락하여 사망</t>
  </si>
  <si>
    <t>2020년 12월경 OO주상복합 신축공사 현장에서, 재해자가 지상 5층 엘리베이터 수직 개구부(E/V shaft)를 통해 외벽 마감용 석재를 전달받아 옮기는 작업 중, E/V 전실 슬래브 단부로 몸의 중심이 넘어가며 지상 3층 바닥으로 추락(H≒6m)하여 사망</t>
  </si>
  <si>
    <t>베란다(발코니) 타일시공을 위해 마닥에 먹매김 작업 후 일어나던 중 몸의 중심을 잃고 안전난간이 해체된 발코니 단부를 통해 바닥으로 추락</t>
  </si>
  <si>
    <t xml:space="preserve">▶ 추락할 위험이 있는 슬라브 단부에는 안전난간을 견고하게 설치하고 작업여건 상 안전난간 설치가 어려운 경우에는 추락방호망 설치 및 안전대 체결 후 작업
▶ 외벽마감 등 작업을 위해 안전난간을 일시 해체한 경우 접근통제 조치하고 해당작업이 완료되는 즉시 안전난간 재설치 </t>
  </si>
  <si>
    <t>2021년 1월경 OO빌딩 신축공사 현장에서 협력업체 재해자가 외부 석재 마감공사를 위해 지하 1층에서 지상 8층으로 자재 양중작업을 하던 중 석재가 낙하하면서 맞아 사망</t>
  </si>
  <si>
    <t>외부 석재 마감공사를 위해 지하에서 지상으로 자재 양중작업을 하던 중 석재가 낙하하며 맞음</t>
  </si>
  <si>
    <t>▶ 자재 적재 및 인양시 낙하가 발생 하지 않도록 결속 철저
▶ 낙하발생 가능한 자재 인양시 자재 적재함 등 사용
▶ 낙하물 발생 가능구간 낙하방지조치 및 접근통제 실시</t>
  </si>
  <si>
    <t>4.3.2 석재 및 타일 붙임</t>
  </si>
  <si>
    <t>2016년 3월경 OO근린생활시설 빌딩 외부 리모델링 공사 현장에서 재해자가 건물 후면의 외부 쌍줄비계위에서 마감 작업 된 돌(대리석) 표면의 먼지를 닦던 중 몸의 중심을 잃고 비계에서 지상 바닥으로 추락하여(H≒2.2m) 사망</t>
  </si>
  <si>
    <t>안전난간 미설치한 건물 후면의 외부 쌍줄비계위에서 마감 작업 된 돌(대리석) 표면의 먼지를 닦던 중 비계에서 지상 바닥으로 떨어짐</t>
  </si>
  <si>
    <t>2016년 3월경 개인이 시공하는 근생 및 다가구 신축공사 현장에서 재해자가 동료작업자 1명과 함께 지상 3층 외부 비계 상 작업발판에서 석공(돌붙임) 작업 중 지상바닥(콘크리트)으로 추락하여(H= 약 9.8m) 사망</t>
  </si>
  <si>
    <t>외부비계에서 돌붙임 작업 중 작업높이가 맞지 않아 작업발판 위에 스티로폼을 놓고 작업하던 중 몸의 중심을 잃고 비계 외측으로 추락</t>
  </si>
  <si>
    <t>▶ 비계 작업발판 위에 가설 작업대의 설치는 원칙적으로 금지하며, 작업높이가 맞지 않아 부득이하게 작업발판을 추가 설치해야 하는 경우에는 흔들림이 발생하지 않는 견고한 부재를 사용하여 비계에 고정 설치하고 발판높이에 맞는 안전난간을 추가 설치하거나 안전대를 체결하고 작업하는 등 안전한 방법으로 개선
▶ 작업자의 개인보호구, 안전대 체결여부 점검 및 관리감독</t>
  </si>
  <si>
    <t>2016년 5월경 OO단독주택 신축공사 현장에서 재해자가 지상2층 벽체 돌붙임 작업을 위하여, 2층 테라스에서 비계기둥에 부착된 클램프를 밟고 약4.7m 높이의 비계위로 올라가던 중 추락하여 사망</t>
  </si>
  <si>
    <t>외벽 돌붙임 작업을 위해 이동통로를 이용하지 않고 비계 클램프를 밟고 비계 위로 올라가던 중 몸의 중심을 잃고 추락</t>
  </si>
  <si>
    <t>2016년 5월경 OO오피스텔 신축현장에서 석공사 협력업체 소속 재해자 2명이 오피스텔 10층 외벽 시스템 비계 기둥(내측)과 구조물 벽체 사이에 수평재 2개를 연장 설치하여 작업발판을 추가 설치한 상태에서 석재 붙이기 작업 중 수평재가 탈락되어 작업발판과 함께 약 30m 아래의 지상 콘크리트 바닥으로 추락</t>
  </si>
  <si>
    <t>외벽 석재마감 작업구간의 구조물과 비계 사이의 간격이 넓어 수평재 및 작업발판을 연장 설치하여 작업하던 중 수평재가 탈락하면서 작업발판과 함께 추락</t>
  </si>
  <si>
    <t>▶ 비계 조립 시 수직재‧수평재‧가새재‧작업발판 등 각 부재를 견고하게 조립
▶ 비계 조립 시 외벽 마감재 시공을 고려하여 구조물로부터 적정거리를 이격하여 조립
▶ 외벽 마감작업을 위해 비계 내측 안전난간을 임의 해체하는 경우 구조물과 비계 작업발판 사이에 추락방지망 설치하고 안전대를 체결한 후 작업토록 관리감독</t>
  </si>
  <si>
    <t>2016년 6월경 개인 근린생활 신축공사 현장에서 재해자가 동료작업자 1명과 함께 지상 2층 외부 비계 작업발판에서 돌붙임 작업을 위한 준비 중 지상(콘크리트)으로 추락하여(H= 약 4.5m) 사망</t>
  </si>
  <si>
    <t>외부비계에서 돌붙임 작업 중 몸의 중심을 잃고 안전난간이 설치되지 않은 비계 작업발판 단부로 추락</t>
  </si>
  <si>
    <t>2016년 9월경 OO다가구주택 신축공사 현장에서 협력업체 소속 재해자가 지상4층 외벽마감(타일) 작업을 위해 테라스에 설치된 외부비계 작업발판을 이용하여 작업 중, 몸의 중심을 잃고 지상4층 바닥(H≒1.29m)으로 추락하여 사망</t>
  </si>
  <si>
    <t>2017년 2월경 OO아파트 재건축 현장 내 필로티 구간에서 협력업체 소속 재해자가 바닥 석재 샘플시공을 위해 떠 다 놓은 방동제를 음용하여 중독 사망</t>
  </si>
  <si>
    <t>석재 샘플시공을 위해 종이컵에 담아놓은 방동제를 음용하여 사망</t>
  </si>
  <si>
    <t>▶ 방동제 등 화학물질 관련  MSDS를 취급 근로자가 볼 수 있도록 적당한 장소에 비치
▶ 방동제 등 화학물질을 용기에 취급할 경우, 경고표지 부착
▶ 방동제 등 화학물질을 종이컵 등 작업자가 의심하지 않고 마실 수 있는 용기에 담아놓는 행위 절대 금지하며 불가피하게 종이컵 등에 화학물질을 담는 경우, 인근 작업자들이 음용하지 않도록 감시 조치</t>
  </si>
  <si>
    <t>2018년 3월경 OO주상복합 신축공사 현장에서 일용직 재해자가 1층 외벽 석공사용 하지철물 설치를 위한 용접작업 실시 중, 용접불티가 작업장 하부 뒤편에 적재되어 있던  단열재에 비산되어 불이 발생되고 그 불이 1층 천장에 기 시공된 단열재에 옮겨 붙어 발생된 화염과 유독성가스에 주차타워 1층 바닥에서 자재인양구 거푸집설치작업을 하던 재해자가 사망</t>
  </si>
  <si>
    <t>외벽 석재 시공 및 하지철물 설치를 위한 용접작업 중 용접 불티가 단열재에 비산하면서 화재 및 유독가스 발생</t>
  </si>
  <si>
    <t>▶ 용접 작업 등과 같이 화재가 발생할 수 있는 작업 시, 소화기 배치, 불티방지커버 설치, 가연성 물질의 정리 및 제거 등과 같은 화재예방조치 실시
▶ 현장 내 배치된 소화기를 대상으로 주기적인 점검을 실시하여 현장 내 화재 발생 시, 신속한 대처가 가능하도록 조치</t>
  </si>
  <si>
    <t>2019년 6월경 OO오피스텔 신축공사 현장에서 협력업체 소속 재해자가 지하1층 계단 재조정 및 대리석 재설치 보조 작업중몸의 중심을 잃고 지하2층 계단(높이 2.59m)으로 추락하여 사망</t>
  </si>
  <si>
    <t>계단실 석재, 타일 마감작업 중 몸의 중심을 잃고 안전난간이 설치되지 않은 계단 단부로 추락</t>
  </si>
  <si>
    <t>2019년 6월경 OO근린생활시설 및 다가구주택 신축공사 현장에서, 재해자가 계단참 바닥 측벽 창호 개구부 단부에서 옥탑외벽 석재 마감공사에 사용할 전동공구(해머드릴)의 전선을 정리하던 중, 몸의 중심을 잃고 지상 바닥으로 추락하여 사망</t>
  </si>
  <si>
    <t>계단참 바닥 측벽 창호 개구부 단부에서 전동공구(해머드릴)의 전선을 정리하던 중 몸의 중심을 잃고 지상 바닥으로 추락</t>
  </si>
  <si>
    <t>2019년 9월경 OO주상 복합 상가 신축공사 현장에서 협력업체 소속 재해자가 2층 바닥으로 올라가는 계단의 화강석 마감 보조 작업 중 몸의 중심을 잃고 1층 계단으로 추락하여(H≒2.52m) 사망</t>
  </si>
  <si>
    <t xml:space="preserve">2020년 4월경 OO유치원 리모델링 현장에서 협력업체 소속 재해자가 건물 주출입구 상부 캐노피(트러스형 덮개 철재구조물) 구조물 주변에서 벽면 돌붙임 작업을 하던 중, 캐노피 철재구조물 상단 또는 강관비계에서 몸의 중심을 잃고 약 4.5m 아래 지상 콘크리트 바닥으로 추락하여 사망     </t>
  </si>
  <si>
    <t>2020년 5월경 근린생활시설 대수선공사 현장에서 협력업체 소속 재해자가 건물 좌측 계단실 창문 외측 석재 작업을 위하여 지상 이동 중 넘어져 석재 운반용 간이 손수레에 적재되어 있던 석재(600m×570mm, T=2cm) 모서리에 후두부(뒤통수)를 부딪힌 후 사망</t>
  </si>
  <si>
    <t>계단실 창문 외측에 석재를 설치하기 위해 지상에서 이동 중 넘어지면서 손수레에 적재되어 있던 석재 모서리에 부딪힘</t>
  </si>
  <si>
    <t>▶ 작업장에서 넘어지거나 미끄러지는 등의 위험이 없도록 작업장 바닥을 청결한 상태로 유지 및 정리정돈 철저
▶ 근로자가 안전하게 이동할 수 있는 작업통로 확보
▶ 개인보호구 지급 및 착용관리</t>
  </si>
  <si>
    <t>2021년 5월경 OO숙박시설 신축현장에서 재해자가 외부 강관비계 작업발판 2단에서 외벽석재 마감을 위한 하지철물 설치 작업을 하던 중, 약 2.9m 아래 지상 1층 콘크리트 바닥으로 추락하여 사망</t>
  </si>
  <si>
    <t>공동주택 신축공사</t>
  </si>
  <si>
    <t>공동주택 신축공사 현장에서 석공인 재해자가 지상 7층 외벽 실외기 슬래브 상부에서 보강 앵커철물 작업 중 실족, 비계 외측으로 추락(H≒18.0m)하여 사망</t>
  </si>
  <si>
    <t>추락방지조치 없이 외벽 실외기 슬래브 상부에서 보강 앵커철물 작업 중 실족하여 비계 외측으로 추락</t>
  </si>
  <si>
    <t>OO공사현장 "ㅁ</t>
  </si>
  <si>
    <t>OO공사현장 "ㅁ"형 돌음계단 계단실에서 계단참 타일을, 계단 단부 안전난간이 해체된 상태에서 시공하던 중 균형을 잃고 돌음계단 중앙 "ㅁ"자 개구부로 지하1층 바닥으로(높이 : 약23m) 추락하여 사망</t>
  </si>
  <si>
    <t>4.3.3 석재 및 타일 줄눈, 코킹 시공</t>
  </si>
  <si>
    <t>2016년 3월경 OO병원 증축공사 현장에서 재하청업체인 소속 재해자가 로비동 옥상 외부비계에서 건물 외벽 석재 긴결재 고정 작업 중 높이 2.6m 아래 로비동 옥상 콘크리트 바닥에 추락하여 사망</t>
  </si>
  <si>
    <t>석재 긴결재 고정작업을 위해 외부비계에서 이동하던 중 가설계단과 비계 작업발판간 단차로 인해 발생한 개구부에서 몸의 중심을 잃고 추락</t>
  </si>
  <si>
    <t>▶ 비계 조립 시, 비계 작업발판과 가설계단의 단차가 발생하지 않도록 가설계단의 길이를 확장하여 설치
▶ 비계 상 개구부 발생 부위는 덮개를 견고하게 설치하고 표지판을 부착
▶ 단차 또는 개구부에 추락방호조치가 곤란한 경우 안전대 부착설비를 설치하고 안전대를 체결 후 작업토록 관리감독</t>
  </si>
  <si>
    <t>2016년 4월경 OO신축공사 현장에서 재해자가 달비계를 사용하여 건물 외벽 석재 코킹작업을 하던 중 달비계를 지지하는 로프가 파단 되며 약 15m 아래 지상 1층 바닥으로 추락하여 사망</t>
  </si>
  <si>
    <t>달비계를 사용하여 외벽 석재 코킹작업 중 달비계 로프가 파단되며 바닥으로 추락</t>
  </si>
  <si>
    <t>▶ 달비계를 사용하여 작업 시, 지지용 로프의 손상‧부식 상태 등을 점검
▶ 달비계를 사용하여 작업 시, 지지용 로프 이외의 별도의 수직구명줄 설치</t>
  </si>
  <si>
    <t>2017년 5월경 생활형 숙박시설 신축공사 현장에서 재해자가 지상 8층 외부비계 작업발판 위에서 건물우측 외벽 및 옥상에 설치된 마감재인 석재의 틈새에 줄눈작업(백업재 설치) 중 약 23미터 아래의 지상 바닥으로 추락하여 사망</t>
  </si>
  <si>
    <t>외부비계에서 줄눈 시공 작업 중 몸의 중심을 잃고 안전난간이 설치되지 않은 비계 작업발판 단부로 추락</t>
  </si>
  <si>
    <t>2017년 8월경 OO신축공사 현장에서 재해자가 욕실 벽체 타일 줄눈작업을 위해 말비계(H=0.5m) 위로 올라가던 중 말비계가 넘어지면서 뒤로 떨어져 사망</t>
  </si>
  <si>
    <t>욕실 벽체의 타일 줄눈작업을 위해 말비계에 올라가던 중 말비계가 전도되며 뒤로 떨어짐</t>
  </si>
  <si>
    <t>▶ 말비계 첫 단의 높이가 높아 올라가는 과정에서 추락 등의 위험이 있는 경우 계단 또는 사다리 등 안전한 승강통로를 설치하여 사용
▶ 말비계를 평탄한 바닥면에 견고하게 설치
▶ 추락위험이 있는 경우 안전대를 착용토록 하고 안전대 부착설비에 안전대를 체결한 후 작업</t>
  </si>
  <si>
    <t>2017년 10월경 다가구주택 신축공사 현장의 지상 2층 높이 외부비계 작업발판 위에서 외부석재 줄눈작업 중 재해자가 동료작업자 뒤를 지나가던 중 균형을 잃고 추락하면서 동료작업자를 잡아 함께 떨어져(H=3.4m) 사망</t>
  </si>
  <si>
    <t>2018년 4월경 OO다가구 및 근생 신축공사 현장에서 재해자가 옥상층 외벽 줄눈 시공을 위하여 외부비계에서 작업 중 몸의 중심을 잃고 지상 1층 바닥(9m)으로 추락하여 사망</t>
  </si>
  <si>
    <t>2018년 8월경 OO신축공사 현장에서 협력업체 소속 재해자가 외부 쌍줄비계 4단 작업발판 높이에서 외부 석재마감부위 코킹작업 중 밟고 있던 작업발판의 걸침고리 4개 중 1개가 90도 방향으로 꺽이며 몸의 중심을 잃고, 쌍줄비계 1단 작업발판과 담장상부 사이로(H≒5.7m) 추락하여 사망</t>
  </si>
  <si>
    <t>외부비계에서 석재 코킹작업 중 밟고 있던 작업발판의 걸침고리 1개가 꺾이면서 몸의 중심을 잃고 바닥으로 추락</t>
  </si>
  <si>
    <t>▶ 비계 조립 시 수직재·수평재·가새재·작업발판 등 조립부재 인증여부 및 훼손상태 점검, 손상된 부재는 즉시 교체
▶ 외벽 마감작업을 위해 비계 내측 안전난간을 임의 해체하는 경우 구조물과 비계 작업발판 사이에 추락방지망 설치하고 안전대를 체결한 후 작업토록 관리감독</t>
  </si>
  <si>
    <t>2018년 9월경 OO근린생활 신축 및 단독주택 신축공사 현장에서 재해자가 지상7층 배면 발코니에서 외벽 석재 실리콘 코킹작업을 위하여 오염방지 테이핑 사전 작업 중 몸의 중심을 잃고 발코니 단부로 넘어지며 약 23m 아래 바닥으로 추락하여 사망</t>
  </si>
  <si>
    <t>2019년 1워경</t>
  </si>
  <si>
    <t>2019년 1워경 OO학교 외부 창호 개선공사 현장에서 하청업체 소속 재해자가 지상 4층 외부 발코니 A형사다리 위에서 외부 창호 상단부 코킹작업 중 몸의 중심을 잃고 지상 1층(H≒9.5m) 램프 측벽 상부로 추락하여 사망</t>
  </si>
  <si>
    <t>창호 외부 발코니에서 이동식사다리를 이용하여 창호코킹 작업을 하던 중 몸의 중심을 잃고 추락</t>
  </si>
  <si>
    <t>2019년 1월경 OO교회 신축공사 현장, 우측면 비계 위에서 석재 및 유리 코킹작업을 하던 중 갑작스러운 강풍으로 인해 비계가 좌굴되면서 도괴하자 재해자 2명이 3층 발코니로 뛰어내려 부상</t>
  </si>
  <si>
    <t>외벽 마감을 위해 벽이음 철물을 해체한 외부비계에서 석재 및 유리 코킹작업 중 갑작스러운 강품으로 인해 비계가 좌굴하면서 추락</t>
  </si>
  <si>
    <t>▶ 외벽마감 간섭 등에 의해 비계의 벽이음 철물을 제거하는 경우 비계 외측에 경사버팀대 등을 설치하여 전도방지조치
▶ 개인보호구 지급 및 착용관리</t>
  </si>
  <si>
    <t>2020년 6월경 OO공동주택 신축공사 현장에서 베란다 타일설치를 위해 재해자와 동료작업자가 지상 5층 베란다 좌우에서 앉아 바닥에 먹매김 작업 후 후속작업을 위해 일어나면서 베란다 단부에서 중심을 잃고 지상바닥으로 추락하여(H≒11.5m) 사망</t>
  </si>
  <si>
    <t>4.4 도장작업</t>
  </si>
  <si>
    <t>4.4.1 도장 면처리</t>
  </si>
  <si>
    <t>2017년 7월경 OO학교 외벽 도색 공사 현장에서 재해자가 외벽 도장작업을 위해 옥상에서 달비계에 탑승하여 작업을 실시하려는 순간 달비계와 함께 추락하여(H≒18m) 사망</t>
  </si>
  <si>
    <t>달비계에 탑승하여 외벽 도장작업 중 청소용 고리(고정점)의 로프가 풀리면서 바닥으로 추락</t>
  </si>
  <si>
    <t>▶ 달비계 로프는 콘크리트에 매립된 고리, 건축물의 콘크리트 또는 철재 구조물 등 2개 이상의 견고한 고정점에 풀리지 않도록 결속
▶ 달줄이 구조물과 면하는 모서리부는 마모되지 않도록 보호패드 설치
▶ 개인보호구 지급 및 착용</t>
  </si>
  <si>
    <t>2018년 11월경 다세대주택 하자보수 현장에서 재해자가 달비계에 탑승하여 지상 5층 외벽 코킹 작업 중 추락하여 사망</t>
  </si>
  <si>
    <t>재해자가 구명줄을 별도로 설치하지 않고, 안전대를 미착용한 상태에서 달비계에 탑승을 시도하는 중에 실족하여 추락</t>
  </si>
  <si>
    <t>▶ 달비계 작업 시 주로프 외 보조로프(수직구명줄)를 설치하고 안전대를 체결한 후 작업
▶ 달비계 로프는 콘크리트에 매립된 고리, 건축물의 콘크리트 또는 철재 구조물 등 2개 이상의 견고한 고정점에 풀리지 않도록 결속
▶ 개인보호구 지급 및 착용</t>
  </si>
  <si>
    <t>2019년 8월경 OO아파트 내·외부 균열보수 및 재도장 공사현장에서 재해자가 달비계를 타고 외벽균열보수(퍼티) 작업 중, 아파트 외벽 모서리에 접촉되어있던 달비계 작업로프가 마찰에 의해 파단 되어 지상1층 바닥(높이≒23m)으로 추락하여 사망</t>
  </si>
  <si>
    <t>달비계를 사용하여 외벽 균열보수(퍼티) 작업 중 작업로프가 파단되면서 추락</t>
  </si>
  <si>
    <t>▶ 달비계 작업 전 로프 및 작업대 손상여부 확인 점검 철저
▶ 달줄이 구조물과 면하는 모서리부는 마모되지 않도록 보호패드 설치
▶ 달비계 작업 시 주로프 외 보조로프(수직구명줄)를 설치하고 안전대를 체결한 후 작업</t>
  </si>
  <si>
    <t>2019년 9월경 OO아파트 균열보수 및 재도장공사 현장에서, 재해자가 달비계를 타고 고압세척기로 엘리베이터실 외벽의 먼지, 페인트 균열 등을 제거하는 작업을 하던 중 옥탑의 달비계 로프가 한쪽으로 기울어지며 무게중심을 잃어, 작업대 지지로프(Ø18mm 섬유로프)를 놓치면서 작업대와 함께 지상 바닥으로 추락하여 사망</t>
  </si>
  <si>
    <t>엘리베이터실 외벽의 먼지, 페인트 균열 등을 제거하는 작업을 하던 중 옥탑의 달비계 로프 체결 불량으로 한쪽으로 기울어지며 무게중심을 잃어 작업대와 함께 추락</t>
  </si>
  <si>
    <t>2019년 12월경 OO은행 신축공사 현장에서 재해자가 도장공사를 위해 계단실(2층~옥상) 벽체 바탕정리(Putty) 작업 중 계단실 단부에서 높이 약 1.4m 아래 계단실 바닥으로 추락하여 사망</t>
  </si>
  <si>
    <t>도장공사를 위해 계단실 벽체 바탕정리 작업 중 몸의 중심을 잃고 안전난간이 미설치 된 계단 단부에서 추락</t>
  </si>
  <si>
    <t>2020년 8월경 OO아파트 균열보수, 재도장 및 옥상방수공사 현장에서 외벽 세척작업 하청업체 소속 재해자가 외벽 세척작업을 위해 옥상 경사지붕 단부에서 지상에 있는 외벽 세척작업용 고압호스를  로프를 이용하여 인양하던 중 실족하여 약 27m 아래 지면으로 추락하여 사망</t>
  </si>
  <si>
    <t>외벽 세척작업을 위해 옥상 경사지붕 단부에서 추락방지조치 없이 지상에 있는 외벽 세척작업용 고압호스를  로프를 이용하여 인양하던 중 실족하여 떨어짐</t>
  </si>
  <si>
    <t>▶ 지붕 등 추락위험이 있는 장소에서 작업 시 작업높이에 적합한 안전한 작업발판(비계, 고소작업대 등)을 설치하여 안전하게 작업
▶ 작업발판을 설치하기 어려운 경우 지붕 처마 하단에 추락방호망을 설치하고 지붕 상부에는 안전대 부착설비를 설치하여 안전대를 체결한 후 작업</t>
  </si>
  <si>
    <t>2020년 10월경 OO아파트 균열보수 및 재도장공사 현장에서 재해자가 벽면 균열보수를 위해 지하주차장 벽면(H=2m) 퍼티작업(면처리 &amp; 석고바름) 중 넘어져 사망</t>
  </si>
  <si>
    <t>이동식 사다리를 이용하여 벽면 균열보수 작업 중 몸의 중심을 잃고 추락</t>
  </si>
  <si>
    <t>4.4.2 실내 도장</t>
  </si>
  <si>
    <t>2016년 7월경 OO공장 신축공사현장에서 재해자가 지상2층 내부 칸막이벽 도장작업 중 말비계(높이:약 73cm)에서 몸의 중심을 잃고 바닥으로 넘어져 사망</t>
  </si>
  <si>
    <t xml:space="preserve">설치가 불량한 말비계 위에서 내부 칸막이벽 도장작업 중 몸의 중심을 잃고 추락 </t>
  </si>
  <si>
    <t>2016년 10월경 개인이 시공하는 근린생활시설 신축공사현장에서 재해자가 3층 발코니의 콘크리트 난간(폭30CM) 턱 위에 서서 상부 보 도장작업 중 몸의 균형을 잃고 8.1M 아래 지상 콘크리트 바닥으로 추락하여 사망</t>
  </si>
  <si>
    <t>발코니에서 천정부위 도장작업 중 몸의 균형을 잃고 안전난간이 설치되지 않은 발코니 단부로 추락</t>
  </si>
  <si>
    <t>2016년 12월경 OO 플랜트 공사현장에서 재해자가 내화피복 뿜칠작업을 실시하고, 비계 작업발판에서 내려와 인접된 장소에 위치한 개구부의 안전난간을 넘어가 개구부에 설치된 철판(t=0.6mm)을 밟는 순간 철판이 탈락되면서 69.0m 아래 CON`C 바닥으로 떨어져 사망</t>
  </si>
  <si>
    <t>견고하지 않은 바닥 개구부 덮개를 밟아 개구부 덮개가 탈락하며 추락</t>
  </si>
  <si>
    <t>2017년 1월경 개인 직영공사 현장에서 재해자가 지상 2층과 3층 사이 내부 계단참에서 A형 이동식 사다리 위에서 벽체 퍼티작업을 하던 중 지상 2층과 3층으로 사이 계단참으로 추락(H≒1.5m)하여 사망</t>
  </si>
  <si>
    <t>추락방지조치 없이 이동식 사다리에서 도장작업 등 진행 중 몸의 중심을 잃고 추락</t>
  </si>
  <si>
    <t>2017년 2월경 OO공장 증축공사 현장에서 재해자가 지상 4층 계단실 철골 보 내화도장 작업 중 몸의 중심을 잃고 지상 3층 계단실로 추락하여(H≒4.0m) 사망</t>
  </si>
  <si>
    <t>안전난간 미설치한 계단실 철골 보 내화도장 작업 중 몸의 균형을 잃고 추락</t>
  </si>
  <si>
    <t>▶ 철골보 상부 등 추락위험이 있는 장소에서 작업 시 작업높이에 적합한 안전한 작업발판(비계, 고소작업대 등)을 설치하여 안전하게 작업
▶ 작업발판을 설치하기 어려운 경우 철골보 하부에 추락방호망을 설치하고 철골보 상부에 안전대 부착설비를 설치하여 안전대를 체결한 후 작업</t>
  </si>
  <si>
    <t>2017년 6월경 OO증축공사 현장에서 재해자가 건물 내부 2층에서 페인트를 운반하던 중 바닥 개구부(1.8m×1.5m)를 통해 1층 바닥으로 추락하여(H≒4m) 사망</t>
  </si>
  <si>
    <t>도장자재를 운반하던 중 바닥 개구부를 인지하지 못하고 추락</t>
  </si>
  <si>
    <t>2017년 9월경 OO출장소 신축공사 현장에서 직영소속 재해자가 지상 2층 상부 계단에 서서 도장용 롤러(길이 1.4m)를 이용하여 벽체 도장작업 중 약 1m아래 하부 계단으로 떨어진 후 다시 굴러 약 2.1m아래 1층 계단으로 추락하여 사망</t>
  </si>
  <si>
    <t>도장공사를 위해 계단실 벽체 바탕정리 작업 중 안전난간 미설치한 계단 단부에서 몸의 중심을 잃고 추락</t>
  </si>
  <si>
    <t>2017년 9월경 A형 사다리에서 건물 2층 내부벽체 도장작업 중, 사다리가 넘어지며 바닥으로 추락하여(높이 : 약 2.2m) 사망</t>
  </si>
  <si>
    <t>2017년 10월경 OO상가 실내외공사 현장에서 재해자가 이동식비계 작업발판 위에서 도장용 공도구(일명:헤라)를 이용하여 1층 내부 벽체 도장 작업 중 작업발판 위로 돌출된(약42cm) 주틀에 걸려 넘어지면서 1층 바닥으로 추락하여(H≒1.35m) 사망</t>
  </si>
  <si>
    <t>이동식비계 위에서 도장작업 중 몸의 균형을 잃고 안전난간이 설치되지 않은 작업발판 단부로 추락</t>
  </si>
  <si>
    <t>2017년 11월경 도장공사 현장에서 재해자가 이동식비계 위에서 실내 벽면 및 천정 도장 작업을 위한 퍼티 작업 중, 약 1.6m아래 바닥으로 추락하여 사망</t>
  </si>
  <si>
    <t>이동식비계 위에서 작업 중 몸의 균형을 잃고 안전난간이 설치되지 않은 작업발판 단부로 추락</t>
  </si>
  <si>
    <t>2017년 12월경 OO신축공사 현장에서 재해자가 계단실 내부의 균열보수 작업을 하기위해 계단답단에 말통을 세워 위에서 작업하던 중 중심을 잃고 계단참 아래로 넘어져 추락하여 사망</t>
  </si>
  <si>
    <t xml:space="preserve">계단실 내부의 균열보수 작업을 위해 계단 답단에 작업발판 없이 말통을 세워 작업하던 중 몸의 중심을 잃고 추락 </t>
  </si>
  <si>
    <t>▶ 작업높이에 적합한 작업발판(비계, 말비계 등)을 설치하여 안전하게 작업
▶ 작업발판 단부 등 추락위험이 있는 장소에는 안전난간을 설치하고 안전난간 설치가 어려운 경우 추락방호망을 설치하고 안전대 체결 후 작업</t>
  </si>
  <si>
    <t>2018년 6월경 인테리어 현장에서 재해자가 석고보드 벽체 도장작업(Putty)을 위해 이동식 비계 1단 작업발판 위에서 사다리를 벽체에 기대어 놓고 작업중 이동식비계가 밀리면서 몸의 중심을 잃고 추락(약 2.9m)하여 사망</t>
  </si>
  <si>
    <t>2018년 12월경 OO공장 증축공사 현장에서 내화페인트공사 협력업체 소속 재해자가 지상3층 내부 철골 내화페인트 뿜칠작업을 진행하던 중, 이동식비계 작업발판 위에서 약 1.5m 콘크리트 바닥으로 추락하여 사망</t>
  </si>
  <si>
    <t>2018년 12월경 OO마트 차선도색 및 건물도색 현장에서 재해자가 차량탑재형 고소작업대를 이용해 주차장 램프(경사 진입로)도장작업을 하던 중 천장부위 도장작업을 위해 천장에 있는 이물질을 제거하다가 안전난간이 미설치된 고소작업대의 전면 방향으로 추락하여(높이 2.5m) 사망</t>
  </si>
  <si>
    <t>차량탑재형 고소작업대에 탑승하여 철골 용접부 도장작업 중 몸의 중심을 잃고 안전난간이 설치되지 않은 작업대 단부로 추락</t>
  </si>
  <si>
    <t>▶ 고소작업대의 모든 면에 안전난간 설치
▶ 고소작업대 작업 시 작업대의 안전난간이 아닌 별도의 안전대 부착설비 설치 및 안전대 체결 후 작업</t>
  </si>
  <si>
    <t>2018년 12월경 근린생활시설 및 다세대주택 2층과 3층 사이 계단참에서 재해자가 계단실 천장 도장작업을 위한 보양작업 중(도장 미실시 부위 오염방지를 위한 비닐덮기 등) 벽체 상단 비닐붙이기 작업을 위해 설치한 이동식사다리(A형)에서 몸의 중심을 잃고 바닥으로 추락하여(H≒1,950mm) 사망</t>
  </si>
  <si>
    <t>2019년 11월경 OO신축공사 현장에서 일용직인 재해자가 계단참(지상3층~4층) 직하부 아래 답단 계단에서 동료작업자가 작업하는 계단참 천장 도장작업의 보조업무를 수행 하던 중 몸의 중심을 잃고 지상3층 계단 바닥으로 굴러 넘어져 사망</t>
  </si>
  <si>
    <t>계단참에서 계단참 천장 도장작업의 보조업무를 수행 하던 중 동요작업자의 사다리가 전도되면서 동료작업자는 사다리와 함께 계단부 쪽으로 넘어졌고, 재해자는 사다리가 전되되는 것을 보고 몸의 무게중심을 잃고 하부 계단 바닥으로 굴러 넘어짐</t>
  </si>
  <si>
    <t>2020년 5월경 개인 식당에서 재해자가 이동식틀비계(H≒1.7m)에서 시스템냉난방기 도색 작업 중 추락하여 사망</t>
  </si>
  <si>
    <t>2020년 6월경 OO 리모델링 현장에서 재해자가 이동식(A형) 사다리 위에서 벽면 퍼티 작업 중, 사다리가 넘어지며 바닥으로 추락하여(H≒1.2m) 사망</t>
  </si>
  <si>
    <t>이동식 사다리를 이용하여 벽면 퍼티 작업 중 사다리가 넘어지며 바닥으로 추락</t>
  </si>
  <si>
    <t>2020년 9월경 OO공장 신축현장에서 협력업체 소속 재해자가 엘리베이터 피트(Pit) 내부 작업발판에서 철골 도장작업 중 고정되지 않은 작업발판이 철골에서 탈락하며 1층 엘리베이터 피트 바닥으로 추락하여(H≒30m) 사망</t>
  </si>
  <si>
    <t>엘리베이터 피트 내부 작업발판에서 철골 도장작업 중 고정되지 않은 작업발판이 철골에서 탈락하면서 몸의 중심을 잃고 추락</t>
  </si>
  <si>
    <t>▶ 작업높이에 적합한 비계 작업발판을 견고하게 설치하고 작업발판 단부에는 안전난간을 설치하여 안전하게 작업
▶ 추락할 위험이 있는 경우 안전대 및 개인보호구 착용 철저</t>
  </si>
  <si>
    <t>2020년 10월경 상가건물에서 도장공인 재해자가 페인트 작업 후 소지하고 있던 라이터를 이용해 의자의 실오라기를 제거하던 중 장갑에 불이 붙으면서 화재가 발생하여 동료작업자 2명과 건물입주민 등 5명이 동시에 화상</t>
  </si>
  <si>
    <t>리모델링 도장 작업 후 소지하고 있던 라이터를 이용해 의자의 실오라기를 제거하던 중 장갑에 불이 붙으면서 화재가 발생하여 화상</t>
  </si>
  <si>
    <t>▶ 도장, 방수 작업 등 화재위험 작업장소에서 라이터 등 화기사용(지참) 금지 조치 및 근로자 주지
▶ 작업과 관련 없는 불안전한 행동을 하지 않도록 근로자 주지 및 관리감독</t>
  </si>
  <si>
    <t>2층 휴게공간 조</t>
  </si>
  <si>
    <t>2층 휴게공간 조성공사 현장에서 재해자가 A형 사다리 상부에서 천장면 도장작업을 위한 비닐 보양을 하는 중 실족하여 바닥으로 추락(H≒2.0m)하여 사망</t>
  </si>
  <si>
    <t>4.4.3 실외 도장</t>
  </si>
  <si>
    <t>2015년 2월경 공동주택공사 현장에서 옥상 외벽 테두리면 도장작업을 위해 쌍줄비계 위에서 도장작업 중 몸의 중심을 잃고 약15.5m 지상1층 바닥으로 추락하여 사망</t>
  </si>
  <si>
    <t>2016년 2월경 OO건설 주상복합 신축공사 현장에서 재해자가 정화조 중간관리층에서 벽체 도장작업을 완료하고 동료근로자 2명과 함께 자재 및 공구 정리작업 중 바닥 개구부에서 높이 3.5M 아래 콘크리트 바닥으로 떨어져 사망</t>
  </si>
  <si>
    <t>2016년 2월경 OO아파트 신축공사 현장에서 협력업체 소속 재해자가 외벽 견출작업을 위해 달비계 작업발판에 탑승하던 중 몸의 중심을 잃고 약 53m 아래 지상바닥으로 추락하여 사망</t>
  </si>
  <si>
    <t>안전대를 체결하지 않은 상태에서 달비계에 탑승하던 중 실족 또는 몸의 중심을 잃고 추락</t>
  </si>
  <si>
    <t>2016년 2월경 도장공인 재해자가 건물 1층 출입구 우측 기둥 도장을 위해 출입구 우측 기둥 측면 사다리 위에서 도장 작업중 사다리가 미끄러지면서 바닥으로 추락하여 사망</t>
  </si>
  <si>
    <t>2016년 2월경 OO공장 증축 및 대수선공사 현장에서 협력업체 소속 재해자가 고소작업대의 작업대에 탑승하여 화물용 리프트 철골 구조물 도장작업을 하던 중 안전난간대가 일부 미설치된 작업대 단부(2.8m)로부터 6m 아래 바닥으로 추락하여 사망</t>
  </si>
  <si>
    <t>2016년 3월경 OO건설에서 시공하는 하자보수 종료공사 현장에서 재해자가 달비계를 이용하여 아파트 외벽 도장작업을 하다가 달비계를 지지하는 로프가 파단되며 10층(약 23m)높이에서 지상 바닥(화단)으로 떨어져 사망</t>
  </si>
  <si>
    <t>달비계를 사용하여 외벽 도장작업 중 작업로프가 파단되면서 추락</t>
  </si>
  <si>
    <t>2016년 4월경 OO아파트 크랙(균열)보수 및 재도장공사 현장에서 재해자가 달비계를 사용하여 건물 외벽의 균열 보수작업을 하던 중, 옥탑 기계실 계단에 결속하였던 달비계 지지용 로프가 이탈하면서 약 18m 아래 지상 1층 바닥으로 추락하여 사망</t>
  </si>
  <si>
    <t>달비계에 탑승하여 외벽 도장작업 중 고정점에 결속한 로프가 풀리면서 바닥으로 추락</t>
  </si>
  <si>
    <t>2016년 4월경 ㈜OO에서 시공 중인 아파트 내·외부 균열보수 및 도색공사 현장에서 재해자가 아파트 외부 벽체 도장작업을 위해 옥상(16층)에서 달비계에 탑승 하던 중 철근고리에 고정했던 주로프가 풀리면서 지상바닥(H≒48m)으로 떨어져 사망</t>
  </si>
  <si>
    <t>2016년 4월경 OO아파트 외부 도장보수공사 현장에서 재해자가 아파트 외부측벽에서 달비계를 이용 도장초벌 작업도중 달비계의 지지로프와 보조로프가 끊어지면서 5층(높이 약14m)에서 지상으로 추락하여 사망</t>
  </si>
  <si>
    <t>안전대를 미착용하고 구명줄을 미설치한 상태에서 달비계를 사용하여 외벽 도장작업 중 작업로프가 파단되면서 추락</t>
  </si>
  <si>
    <t>2016년 7월경 아파트 신축현장에서 재해자 옥상층에서 외벽견출작업용 달비계를 타는 순간 달비계 지지용고리매듭이 빠지면서 높이 72m 아래 바닥으로 추락하여 사망</t>
  </si>
  <si>
    <t>2016년 7월경 OO아파트 하자보수공사 현장에서 재해자가 아파트 외벽의 로고 도장작업중 달비계용 로프를 고정한 청소 고리가 파단되면서 로프가 풀려 달비계와 함께 지상1층 바닥으로 추락(H≒50m)하여 사망</t>
  </si>
  <si>
    <t>2016년 7월경 OO기숙사 계단 빗물막이용 처마지붕 설치공사 현장에서 재해자가 처마지붕 지지재의 용접부분에 녹막이방지 페인트 도포를 위하여 이동식크레인 탑승설비에 탑승하여 지브를 상승시켜 작업장소로 선회하는 순간 탑승설비가 지브 브라켓에서 탈락하여 지상으로 떨어져(H≒14m) 사망</t>
  </si>
  <si>
    <t>지붕 지지재 용접부위에 녹방이방지 페인트를 도포하기 위해 크레인 탑승설비에 탑승 후, 작업장소로 선회하는 순간, 탑승설비가 지브 브라켓에서 탈락하여 바닥으로 추락</t>
  </si>
  <si>
    <t>▶ 이동식크레인 등 건설기계 사용 시, 본래의 목적 외 사용 금지
▶ 이동식크레인에 부득이하게 탑승설비를 부착하는 경우 작업 시작 전 탑승설비와 지브 브라켓 하부의 연결핀 체결상태 및 아웃트리거, 안전장치 이상유무 확인
▶ 추락위험이 있는 고소작업 시 작업자가 타고 작업하지 않도록 하중감지장치, 모멘트감지장치 등 부착 및 작업대가 부착된 고소작업대 사용</t>
  </si>
  <si>
    <t>2016년 7월경 OO초등학교 외부도색공사 현장에서 재해자가 현관 출입구 캐노피 위에서 고압세척기로 청소작업 중 약 3m 아래 바닥으로 추락하여 사망</t>
  </si>
  <si>
    <t>추락방지조치 없이 현관 출입구 캐노피 위에서 고압세척기로 청소작업 중 약 3m 아래 바닥으로 떨어짐</t>
  </si>
  <si>
    <t>▶ 추락위험 장소에는 안전난간, 추락방호망 설치 등 추락방지조치 철저
▶ 안전난간의 설치가 곤란할 경우 안전대 부착설비를 설치하고 안전대 체결 후 작업토록 관리감독</t>
  </si>
  <si>
    <t>2016년 8월경 OO빌딩 방수 도장공사 현장에서 재해자가 빌딩 서측 외벽 도장 작업을 위해 달비계 작업대에 탑승하여 도장작업을 진행하던 중 달비계 지지용 로프가 풀려 약 23.8m 아래 지상 1층 콘크리트 바닥에 추락하여 사망</t>
  </si>
  <si>
    <t>2016년 8월경 OO대학교 실습목장 중 건축, 토목공사 현장에서 재해자가 실내마장동 지붕 트러스 페인트 보수작업을 위해 고소작업대의 탑재함에 탑승하여 불량 시공된 페인트 제거 작업을 하던 중 균형을 잃고 약 2.1m 아래 관람석 바닥으로 추락하여 사망</t>
  </si>
  <si>
    <t>2016년 10월경 아파트 발코니 외측에서 재해자가 발코니 창틀 실리콘 작업을 위해 달비계 로프를 타고 작업중 달비계를 고정한 로프가 풀리면서 3층 정원으로 추락하여 사망</t>
  </si>
  <si>
    <t>2016년 10월경 OO건설에서 시공 중인 건물 내외부 균열보수 및 재도장 공사 현장에서 재해자는 건물의 좌측 창문을 청소하기 위해 달비계를 타고 15층 외벽을 따라 하부로 내려가면서 청소하던 중 옥상층 환풍기 기초 콘크리트에 결속해 놓았던 달비계 보조로프(pp로프, 16mm)가 풀리면서 지상 1층 베란다 바닥으로 추락(H≒38m)하여 사망</t>
  </si>
  <si>
    <t>2016년 10월경 4층 건물(1층 상가, 2층 ~ 4층 주택)에서 재해자가 동료 작업자와 함께 건물 외벽 도장 작업 중 건물 2층 높이(약 6미터)에서 추락하여 사망</t>
  </si>
  <si>
    <t>2016년 10월경 OO아파트 균열 및 재도장공사 현장에서 재해자가 아파트 외벽 도장작업을 위해 옥탑 지붕에서 달비계에 탑승하던 중 실족하여 54m 아래 지상바닥으로 추락하여 사망</t>
  </si>
  <si>
    <t>2016년 11월경 OO건설 OO아파트의 재도장공사에서 재해자가 달비계(외부로프작업)를 사용하여 지상과 트인 지하주차장 벽체의 도장작업을 실시하기 위한 균열 보수작업 중, 지상 주차차량이 지하주차장(개구부)으로 떨어지지 않기 위해 설치된 상단 난간에 수직구명줄 없이 달비계 지지용 로프만 결속한 상태로 작업대에 탑승하는 중에 로프가 풀리면서 작업대와 함께 추락하여 지하 3층 콘크리트 바닥면(11.45m)으로 떨어져 사망</t>
  </si>
  <si>
    <t>2016년 12월경 OO챔버시험동 신축공사 현장에서, 협력업체 소속 재해자가 당 현장내 부품실 지붕 철골보 상부에서 내화페인트 도장작업 중 철골보(약 H=13m) 아래 콘크리트 바닥으로 추락하여 사망</t>
  </si>
  <si>
    <t>안전대 미착용한 상태에서 철골보 상부에서 내화도장 작업 중 몸의 균형을 잃고 추락</t>
  </si>
  <si>
    <t>2017년 1월경 OO주유소 사무실 외벽 및 주차라인 도장공사 현장에서 재해자가 주유소 사무동 배면 도장작업 중 지붕 처마 부위에 걸쳐진 인터넷 케이블 전선을 지붕 위로 넘기기 위해 계단식 사다리(A형, 알루미늄)를 밟고 올라서서 작업 중 몸의 중심을 잃고 약 H=1.5m 아래 지상 바닥으로 추락하여 사망</t>
  </si>
  <si>
    <t>추락방지조치 없이 이동식 사다리를 이용하여 벽면 균열보수 작업 중 몸의 중심을 잃고 추락</t>
  </si>
  <si>
    <t>2017년 3월경 OO공장 신축공사] 현장에서 협력업체 소속 재해자가 차량탑재형 고소작업대 탑승함(1.08m×3.2m)에 탑승한 상태로 지상2층 철골구조물 도장작업을 하던 중, 몸의 중심을 잃고 지상1층 바닥(H≒8.5m)으로 추락하여 사망</t>
  </si>
  <si>
    <t>2017년 4월경 고가교 보수보강공사 현장에서 고소작업대(차량탑재용)에 탑승하여 교각 주변 연석 외측부의 도장 작업을 진행하던 중 작업대가 흔들려 몸의 중심을 잃고 추락하여 사망</t>
  </si>
  <si>
    <t xml:space="preserve">고소작업대에 탑승하여 교량 연석 외측부 도장작업 중 작업장소 이동을 위해 고소작업대 붐을 선회하는 과정에서 작업대가 흔들리며 몸의 중심을 잃고 추락  </t>
  </si>
  <si>
    <t>2017년 5월경 외벽균열보수 및 옥상방수공사 현장에서 원청업체 소속 재해자가 APT 외벽도장작업을 마치고 달비계에 탑승하여 내려오던 중 작업줄 연결지지물이 옥상 콘크리트 바닥으로부터 이탈되면서 재해자가 지상 바닥으로 추락(H≒20m)하여 사망</t>
  </si>
  <si>
    <t>달비계에 탑승하여 내려오던 중 작업줄을 체결했던 철재지지물이 작업하중을 견디지 못하고 이탈되어 근로자 추락</t>
  </si>
  <si>
    <t>▶ 달비계 작업 시작 전 로프의 부착상태 및 매단장치의 흔들림 상태 등 점검 및 보수
▶ 외벽 도장작업을 위해 달비계 작업 시 수직구명줄 별도 설치 및 안전대 착용</t>
  </si>
  <si>
    <t>2017년 5월경 OO경찰서 방수·도장공사 현장에서 재해자가 가건물 지붕 슬래브에서 방범순찰대 건물 북측면 외벽 도장작업 중, 발을 헛디뎌 지상 바닥으로 추락하여(약 3.4m) 사망</t>
  </si>
  <si>
    <t>안전대 또는 구명줄 미설치 상태에서 지붕(옥상)에서 도장작업을 하던 중 몸의 중심을 잃고 추락</t>
  </si>
  <si>
    <t>2017년 5월경 OO아파트 도색공사 현장에서 재해자가 건물 4층 외벽 균열보수작업을 마치고, 4층 베란다에서 달비계 작업대에 탑승하던 중 몸의 중심을 잃고 지상 1층(약 10m) 바닥으로 추락하여 사망</t>
  </si>
  <si>
    <t>2017년 6월경 APT 내외벽체 재도장공사 현장에서 직영 인부인 재해자가 작업용 로프에 매달린 달비계를 타고 외부 벽체 도장작업 중 작업용 로프에 매달린 달비계가 갑자기 하강하면서 약 7m 아래 지상 바닥으로 추락하여 사망</t>
  </si>
  <si>
    <t>2017년 7월경 OOOO 공동주택 신축공사 현장에서 재해자가 지하1층 휀룸 소방배관 도색작업 준비 중 A형 사다리(약 1.7m)에서 추락하여 사망</t>
  </si>
  <si>
    <t>2017년 8월경 OO주택재개발 정비사업 현장에서 협력업체 소속 재해자가 달비계를 타고 아파트 외벽 동표시 상부구간(약 28층 높이) 도장 작업을 하다가 우천으로 인하여 작업을 중단하고 내려오던 중 달비계 작업용 로프가 짧게 설치되어 달비계와 함께 지상으로 추락하여 사망</t>
  </si>
  <si>
    <t xml:space="preserve">달비계에 탑승하여 외벽 도장작업 도중 우천으로 작업을 중단하고 하강하는 과정에서 로프길이가 짧게 설치된 것을 인지하지 못하고 달비계와 함께 바닥으로 추락 </t>
  </si>
  <si>
    <t>▶ 달비계 설치 시 지면까지 닿는 적정길이의 로프 사용
▶ 달비계 작업 시 주로프 외 보조로프(수직구명줄)를 설치하고 안전대를 체결한 후 작업
▶ 달비계 로프는 콘크리트에 매립된 고리, 건축물의 콘크리트 또는 철재 구조물 등 2개 이상의 견고한 고정점에 풀리지 않도록 결속</t>
  </si>
  <si>
    <t>2017년 8월경 아파트 신축공사 현장에서 도장 협력업체 소속 재해자가 1층 필로티 구간 천정 도장을 위한 비닐보양 작업중 접이식 사다리 위에서 미끄러져 바닥으로 추락</t>
  </si>
  <si>
    <t>사다리 위에서 작업 중 고정이 되지 않은 사다리가 넘어지며 추락</t>
  </si>
  <si>
    <t xml:space="preserve">▶ 추락에 의한 위험방지 조치 철저 
▶ 추락 위험이 있는 장소에서 작업 시, 비계 등을 이용하여 작업발판 설치
▶ 비계설치가 곤란한 경우 고소작업대 등을 사용하여 작업 진행 </t>
  </si>
  <si>
    <t>2017년 9월경 아파트 내,외부 균열보수 및 재도장공사 현장에서, 재해자가 도장작업을 하기 위해 달비계에 탑승하여 작업용 주로프를 조절하여 작업준비를 하는 순간 청소용 고리인 앵커에 묶었던 로프가 풀리면서 39.1m 아래 바닥으로 추락하여 사망</t>
  </si>
  <si>
    <t>2017년 9월경 OO아파트 방수·도장공사 현장에서 재해자가 달비계를 타고 외벽 퍼티작업 중, 달비계를 고정한 달줄이 풀리면서 지상 바닥으로 추락하여(약 28.4m) 사망</t>
  </si>
  <si>
    <t>2017년 10월경 OO모텔 외벽 재도장 공사 현장에서, 모텔 우측면 벽체 도장작업을 하던 재해자가 옥상 비 가림막용 간이 지붕 기둥에 고정되어있던 달비계 로프가 빠지면서 4m 아래 바닥으로 추락하여 사망</t>
  </si>
  <si>
    <t>2017년 10월경 OO유치원 외벽 균열보수 및 도장공사 현장에서 달비계를 이용하여 외벽 균열보수 작업을 진행하던 재해자가 1층 지붕 처마(높이 약4.8m)에서 바닥으로 추락하여 사망</t>
  </si>
  <si>
    <t>안전대 및 구명줄을 체결하지 않고 달비계에서 작업 중 몸의 중심을 잃고 추락</t>
  </si>
  <si>
    <t>2017년 10월경 OO보수사업 현장에서, 재해자가 간이 비가림막 지붕 위(H≒2.5m, EPS패널)에 올라가 경로당 경사지붕 처마 도색을 하던 도중 실족하여 지상으로 떨어져 사망</t>
  </si>
  <si>
    <t>지붕 위에서 도장작업을 하던 중 안전난간이 설치되지 않은 구조물 단부로 몸의 중심을 잃고 추락</t>
  </si>
  <si>
    <t>▶ 지붕 등 추락위험이 있는 장소에서 작업 시 안전난간 설치 등 방호조치 실시
▶ 작업발판을 설치하기 어려운 경우 지붕 처마 하단에 추락방호망을 설치하고 지붕 상부에는 안전대 부착설비를 설치하여 안전대를 체결한 후 작업</t>
  </si>
  <si>
    <t>2017년 11월경 OO건설에서 시공하는 OO중학교 본관 및 신관동 외벽도장공사 현장에서 재해자가 달비계 작업대에 탑승하여 도장작업 중 옥상난간의 브라켓(철재지지물)에 묶은 작업용 로프가 풀리면서 약 19m 아래 콘크리트 바닥으로 떨어져 사망</t>
  </si>
  <si>
    <t>2017년 11월경 OO건설에서 시공하는 아파트 신축공사 현장에서 재해자가 달비계에 탑승하여 도장작업 중 옥상조형물(콘크리트 가로보)에 고정 된 작업용 로프가 풀리면서 약 52m 아래로 떨어져 사망</t>
  </si>
  <si>
    <t>2018년 3월경 OO공장 신축공사 현장에서 협력업체 소속 재해자가 이동식비계 상부 작업발판에서 공장동 철골 보 도장작업 중 아래에 있던 동료작업자가 비계를 이동시키는 순간 몸의 균형을 잃고 바닥으로 추락(H=2.3m)하여 사망</t>
  </si>
  <si>
    <t>이동식비계 위에서 도장 작업 중 몸의 균형을 잃고 안전난간이 설치되지 않은 작업발판 단부로 추락</t>
  </si>
  <si>
    <t>2018년 4월경 OO관광호텔 보수공사 현장에서 재해자가 3층 테라스 지붕 위에서(폭 2.4m) 도장작업을 하던 중 몸의 중심을 잃고 3층 테라스 지붕 단부와 건물외부 조형물 사이로 빠져 높이 8.7m 아래 1층 테라스 바닥에 추락하여 사망</t>
  </si>
  <si>
    <t>2018년 6월경 OO건설에서 시공중인 아파트 및 오피스텔 신축공사 현장에서 재해자가 외벽 마감을 위해 달비계를 이용하여 외벽 크랙보수 작업 중 옥상에 체결된 달비계의 작업용 로프가 풀려 지상1층 바닥(H≒39.2m)으로 떨어져 사망</t>
  </si>
  <si>
    <t>2018년 7월경 OO아파트 균열보수 및 재도장공사 현장에서 재해자가 옥상에서 균열보수 작업을 위하여 달비계 작업대에 탑승하는 과정에서 실족하여 지상 1층 바닥(H≒45m, 석축 및 화단)에 추락하여 사망</t>
  </si>
  <si>
    <t>2018년 8월경 OO건설 근생 신축 현장에서 재해자가 고소작업대 위에서 도장작업 중 고소작업대 상부난간대가 이탈되어 지상1층 콘크리트 바닥으로 추락하여(H≒3.3m) 사망</t>
  </si>
  <si>
    <t>2018년 8월경 OO(주)에서 시공중인 아파트 균열보수 및 재도장공사 현장에서 재해자가 외벽 도장작업을 위해 간이달비계를 이용하여 도장작업 중 옥상의 구조물에 체결된 달비계 작업용 로프가 풀리면서 지상1층 바닥(H≒30m)으로 떨어져 사망</t>
  </si>
  <si>
    <t>2018년 10월경 OO리모델링 공사 현장에서 OO 직영 재해자가 차량탑재형 고소작업대에 탑승하여 외벽 도장 작업 중 외부 벽체에 설치된 각관 프레임에 작업대가 끼어있다 빠지며 작업대가 갑자기 움직여 약 9.5m 아래 콘크리트 바닥으로 추락하여 사망</t>
  </si>
  <si>
    <t>2018년 11월경 균열보수 및 재도장 공사 현장에서 재해자가 아파트 지상 15층 옥상에서 외벽 도장 작업을 위해 달비계 작업대에 탑승하는 과정 중에 지상 바닥으로 추락(H≒45m)하여 사망</t>
  </si>
  <si>
    <t>도장작업을 위해 달비계에 탑승하는 과정에서 몸의 중심을 잃고 추락</t>
  </si>
  <si>
    <t>2019년 2월경 건물 2층 도장공사 중 재해자가 안전난간이 미설치된 이동식틀비계 위에서 천정 페인트 도장작업시 페인트가 주변에 흩날리는 것을 방지하기 위한 비닐 보양작업 중 이동식틀비계 위에서 추락하여 사망</t>
  </si>
  <si>
    <t>2019년 3월경 OO아파트 배면의 벽면 퍼티작업을 위해 재해자가 달비계를 이용하여 옥상에서부터 내려오며 작업도중 지상 8층 높이에서 달비계의 작업대가 주로프에서 이탈하여 작업대와 함께 약 21M 아래 지면으로 추락하여 사망</t>
  </si>
  <si>
    <t>달비계를 이용하여 옥상에서부터 내려오며 작업도중 달비계의 작업대가 주로프에서 이탈하여 작업대와 함께 떨어짐</t>
  </si>
  <si>
    <t>▶ 작업로프와 달비계 연결부(샤클) 견고하게 결속하고 탑승 전 결속상태 확인점검
▶ 달비계 작업 시 주로프 외 보조로프(수직구명줄)를 설치하고 안전대를 체결한 후 작업
▶ 개인보호구 지급 및 착용</t>
  </si>
  <si>
    <t>2019년 4월경 OO아파트 하자보수 공사현장에서 재해자가 아파트 옥상에서 외벽 도장 준비 작업 중 약 56m 아래 지면으로 추락하여 사망</t>
  </si>
  <si>
    <t>2019년 6월경 OO아파트 외부도장공사 현장에서 재해자가 균열보수작업을 위해 달비계 작업대에 탑승하여 작업을 준비하던 중, 달비계의 작업용 로프가 고정용 앵커에서 이탈하면서 달비계와 함께 약 37m 아래 지상 바닥으로 추락하여 사망</t>
  </si>
  <si>
    <t>2019년 7월경 OO아파트 균열보수 및 도장 공사현장에서 재해자가 아파트 3호라인 건물 외벽 균열보수(Putty) 작업을 위해 건물 옥상의 설치된 배관 서포트에 섬유로프를 체결 후 달비계 작업대에 탑승하여 지상 8층 외벽(높이≒21m)에서 작업 중 섬유로프를 체결한 서포트가 이탈하면서 지상1층으로 추락하여 사망</t>
  </si>
  <si>
    <t>달비계를 이용하여 건물외벽 도장작업을 하던 중 달비계 로프를 고정한 구조물 등이 파손되며 지상1층 바닥으로 떨어짐</t>
  </si>
  <si>
    <t>2019년 7월경 OO아파트 외벽 균열 보수 및 재도장 공사 현장에서, 재해자가 달비계에 탑승하여 아파트 외벽 도장 작업 중, 달비계 지지로프의 매듭이 풀리면서 지상 1층에 있는 관리사무실 옥상 바닥으로 추락하여(H≒30m) 사망</t>
  </si>
  <si>
    <t>2019년 8월경 주택재건축 정비사업 현장에서, 협력업체 소속 재해자가 22층 측벽에서 달비계를 타고 퍼티(Putty)작업을 하던 중 달비계를 고정한 지지용 로프가 풀리면서 달비계와 함께 약 60m 하부 지상 바닥으로 추락하여 사망</t>
  </si>
  <si>
    <t>2019년 9월경 OO아파트 내·외벽균열 보수 및 재도장 공사에서 단지 내 외벽, 유리창 물청소 작업을 하기 위하여 달비계와 로프 등을 설치하던 중 약 54M 아래 지상1층으로 추락하여 사망</t>
  </si>
  <si>
    <t>옥상에서 외벽, 유리창 물청소 작업을 하기 위하여 달비계와 로프 등을 설치하던 중지상1층으로 추락</t>
  </si>
  <si>
    <t>2019년 10월경 도장공사 현장에서 재해자는 당일 작업 마무리 후 정리 작업 중 발판(steel grating)과 함께 약 28m 아래로 추락하여 사망</t>
  </si>
  <si>
    <t>작업 중 고정되지 않은 발판을 밟아 발판과 함께 추락</t>
  </si>
  <si>
    <t>▶ 개구부로서 근로자가 추락할 위험이 있는 장소에는 덮개 등 방호 조치 설치 
▶ 덮개 설치 시 뒤집히거나 떨어지지 않도록 하며 어두운 장소에서 알아볼 수 있도록 개구부 표시</t>
  </si>
  <si>
    <t>2019년 10월경 OO아파트 균열보수 및 재도장 현장 건물옥상에서, 재해자가 환기구 위쪽으로 에어리스 도료 호스를 넘기다가 중심을 잃고 옥상 단부에서 실족하여 호스를 붙잡고 공중에 매달렸으나 추락(H≒24m)하여 사망</t>
  </si>
  <si>
    <t>환기구 위쪽으로 에어리스 도료 호스를 넘기다가 중심을 잃고 옥상 단부에서 실족하여 추락</t>
  </si>
  <si>
    <t>2019년 11월경, OO아파트 하자보수 공사현장에서 협력업체 소속 재해자가 아파트 외벽의 도장작업을 위해 옥상 단부에서 달비계에 탑승하는 순간, 달비계 지지용 로프가 풀려 달비계와 함께 옥상 단부 아래 약 4m정도 떨어지다가 로프가 걸렸으나 재해자가 달비계 발판에서 이탈하여 약 30m 아래 지상 바닥으로 추락하여 사망</t>
  </si>
  <si>
    <t>2019년 11월경 아파트 외부도장 작업을 위해 옥상 환풍기 기둥에 작업로프를 결속시키고 작업 중, 주로프가 풀리면서 1층 화단으로 추락(H≒40m)하여 사망</t>
  </si>
  <si>
    <t>2019년 12월경 OO공원 주철주 도색공사 현장에서 협력업체 소속 재해자가 주철주 상단 도장 작업을 마치고 고소작업대(차량탑재형) 탑승구에 탑승한 채 내려오던 중 인접 가로수에 탑승구 하부가 접촉하며 그 충격으로 지상 바닥으로 추락하여 사망</t>
  </si>
  <si>
    <t>주철주 상단 도장 작업을 마치고 고소작업대(차량탑재형) 탑승구에 탑승한 채 내려오던 중 인접 가로수에 탑승구 하부가 접촉하며 그 충격으로 지상 바닥으로 떨어짐</t>
  </si>
  <si>
    <t>2020년 2월경 개인 상가 건물(2층) 외벽 도장 공사 현장에서 재해자가 외벽에서 도장 작업을 하던 중 달비계 작업대를 고정하는 로프가 풀려 콘크리트 바닥(H≒5.7m)으로 추락하여 사망</t>
  </si>
  <si>
    <t>2020년 4월경 건물 외벽 도장공사 현장에서 재해자가 달비계를 이용하여 건물외벽 도장작업을 하던 중 달비계 로프를 고정한 옥상난간(벽돌)이 파손되며 재해자는 작업대에 앉은 채 지상1층 바닥으로 떨어졌고 파손되어 떨어지는 벽돌에 머리를 맞아 사망</t>
  </si>
  <si>
    <t>2020년 5월경 OO아파트 내외벽 균열 보수 및 재도장 공사 현장에서, 재해자가 외벽 도장 작업을 위해 옥상에서 달비계 작업대에 탑승하여 작업을 준비하던 중, 주 로프를 고정한 제연덕트 기둥철물의 하단이 바닥방수재로부터 탈락하여 달비계와 함께 지상 1층 화단으로 추락하여(높이 약62m) 사망</t>
  </si>
  <si>
    <t>2020년 5월경 OO아파트 내외부 균열보수 및 재도장공사 현장에서 재해자가 외벽 재도장을 위해 달비계 작업 중 작업 위치를 고정하기 위한 보조 로프와의 매듭이 갑자기 풀리면서, 그 충격에 의해 지상 바닥으로 추락하여(H≒45.2m) 사망</t>
  </si>
  <si>
    <t>2020년 5월경 OO아파트 외벽크랙 보수공사현장에서 재해자가 달비계를 사용하여 아파트 외벽 균열 보수작업 후 내려오던 중 옥상 수도배관 브라켓(받침대)에 고정된 섬유로프(φ18mm)가 빠지면서 달비계 좌대와 함께 화단으로 추락하여(h≒10m) 사망</t>
  </si>
  <si>
    <t>2020년 5월경 OO학교 본관동 외부 도장 공사현장에서 재해자가 지상 4층 본관동 외부에서 달비계를 사용하여 도장작업 중, 작업의자의 연결로프가 파단되어 지상 1층 출입구 상부 차양 슬래브로 추락(H≒9m)하여 사망</t>
  </si>
  <si>
    <t>2020년 7월경 OO사옥 주차장 지붕 철제 프레임 도장공사 작업 중 발판으로 사용중이던 목재가 뒤집히면서 4m아래 바닥으로 추락하여 사망</t>
  </si>
  <si>
    <t>지붕 철제 프레임 도장공사 작업 중 발판으로 사용중이던 목재가 뒤집히면서 4m아래 바닥으로 추락</t>
  </si>
  <si>
    <t>2020년 7월경 OO공장 입구에서 재해자가 철골 용접부위 도장작업을 위하여 차량탑재형 고소작업대에 탑승하여 락카칠을 하던 중 안전난간이 미설치된 방향으로 몸의 중심을 잃고 높이 약 3.7m 아래로 추락하여 사망</t>
  </si>
  <si>
    <t>2020년 8월경 OO아파트 균열보수 및 재 도장 공사 현장에서 재해자가 아파트 외부 측벽 도장 보수 공사를 하기위해 달비계 작업대에서 작업도중 옥상외부 측벽 부위에 설치되어 있던 장식용 구조물 일부가 탈락 및 파손되면서 아래로 낙하되어 작업대에서 작업중이던 재해자를 타격함과 동시에 추락하여 사망</t>
  </si>
  <si>
    <t>달비계에 탑승하여 외벽 도장작업 중 옥상 외부측벽에 설치된 장식용 구조물 일부가 파손되어 낙하하면서 낙하물에 맞은 후 달비계에서 추락</t>
  </si>
  <si>
    <t>▶ 달비계 작업 시 주로프 외 보조로프(수직구명줄)를 설치하고 안전대를 체결한 후 작업
▶ 달비계 작업구간에 낙하물 위험여부를 사전 점검하여 덮개 설치 등 조치</t>
  </si>
  <si>
    <t>2020년 8월경 OO학교 내.외부 도색공사 현장에서 재해자가 고소작업대(차량탑재형)를 사용하여 본관동 정면의 지붕처마 하부면 도장작업 중 정면 안전난간이 설치되지 않은 고소작업대의 작업대에서 약 9.1m 아래 바닥으로 추락하여 사망</t>
  </si>
  <si>
    <t>2020년 9월경 아파트 균열보수 및 재도장 공사 현장에서 재해자가 아파트 외벽 도장작업을 위해 달비계에 탑승하여 하강하던 중 추락(H≒60m)하여 사망</t>
  </si>
  <si>
    <t>2020년 10월경 OO아파트 균열보수 및 재도장 등 공사현장에서 일용직 재해자가 옥상층 경사지붕에서 배면부 도장작업이 끝나 외벽 뿜칠 도장작업용 에어리스 호스와 P.P로프를 정리하던 중 몸의 균형을 잃고 약 41m 아래 화단 바닥으로 추락하여 사망</t>
  </si>
  <si>
    <t>2020년 11월경, OO아파트 균열보수 및 재도장 및 기타 보수공사 현장에서, 재해자가 옥탑에서 외벽도장작업(스프레이건)을 위해 달비계에 탑승하는 순간, 청소용 고리에 결속한 지지용 로프가 풀리면서 달비계와 함께 약 73m 아래 지상 바닥으로 추락하여 사망</t>
  </si>
  <si>
    <t>2020년 11월경 OO아파트 균열보수 및 도장공사 현장에서 재해자가 지상 27층 아파트 옥상에서 외벽 도장작업을 하기 위해 달비계 작업대를 탑승하고 지상25층으로 내려가던 중 몸의 중심을 잃고 지상 바닥으로 추락(H≒70m)하여 사망</t>
  </si>
  <si>
    <t>2020년 11월경 OO아파트 하자보수(재도장) 현장에서 재해자가 5층 아파트 외벽 균열보수작업을 하기 위하여 옥상에서 달비계 작업대에 탑승하던 중 몸의 중심을 잃고 지상 1층(약 19.5m) 바닥으로 추락하여 사망</t>
  </si>
  <si>
    <t>2020년 11월경 옥상 도장공사 현장에서 재해자가 이동식 비계의 최상부 작업발판(높이: 3.2m) 위에서 옥상 파라펫 도장작업을 하던 중 약 3.2m아래 콘크리트 바닥으로 추락하여 사망</t>
  </si>
  <si>
    <t>2020년 12월경 OO아파트 외부 재도장 공사현장에서 재해자가 지상 14층 외부에서 달비계를 사용하여 도장작업 중 작업용 로프가 절단되어 약 31m 아래 지상 5층 위치의 파라펫 바닥으로 추락하여 사망</t>
  </si>
  <si>
    <t>2020년 12월경 OO아파트 균열보수 및 재도장공사 현장에서 재해자가 아파트 외벽 도장작업을 하기 위하여 지붕층 단부에 설치한 달비계에 앉아서 달비계 연결 로프를 조절하던 중 달비계 연결부(샤클)의 매듭이 풀리며 높이 약 44m 아래 지면(화단)으로 추락하여 사망</t>
  </si>
  <si>
    <t>외벽 도장작업을 위해 지붕층 단부에 설치한 달비계 작업대에 앉아 달비계 연결로프를 조절하던 중 작업대와 로프의 연결부(샤클) 매듭이 풀리며 바닥으로 추락</t>
  </si>
  <si>
    <t>2021년 1월경 페인트 도장 보수공사 현장에서 재해자가 지붕슬래브에서 기존 페인트를 벗겨내는 작업 중 높이 약 6.8m 아래 바닥으로 추락하여 사망</t>
  </si>
  <si>
    <t>2021년 3월경 OO아파트 2동 3-4라인 지상 20층 높이에서 재해자가 달비계를 이용해 외벽작업을 하던 중, 20층 발코니 돌출부위(유리천장) 상부 모서리에 접촉되어있던 달비계 작업대용 로프가 마찰에 의해 파단되어 약 53m아래 지상으로 추락하여 사망</t>
  </si>
  <si>
    <t>달비계를 이용하여 외벽작업을 하던 중 작업로프가 끊어지면서 바닥으로 추락</t>
  </si>
  <si>
    <t>▶ 작업용 로프 파단이 발생하지 않도록 모서리 구간 덧댐</t>
  </si>
  <si>
    <t>2021년 3월경 OO아파트 균열보수 및 재도장공사 현장에서, 재해자가 아파트 외벽 도장작업을 위하여 달비계(작업의자)에 앉은 후, 아파트 외벽 도장 작업을 하던 중 달비계 작업용 로프 매듭이 풀리며 지면으로 추락하여 사망</t>
  </si>
  <si>
    <t>2021년 4월경 국도 교량 보수공사 현장에서 재해자가 기존 교량(Steel Box Girder교) 상부 Steel Box 방청도장을 위해 설치한 달비계 형식의 작업발판을 해체하던 중 추락하여 사망</t>
  </si>
  <si>
    <t>2021년 4월경 외벽 도장공사 현장 옥탑 상부에서 외벽도장 작업 준비 중이던 재해자가 몸의 균형을 잃고 1층 바닥(H≒13.8m)으로 추락하여 사망</t>
  </si>
  <si>
    <t>옥탑 상부에서 외벽도장 작업 준비 중이던 재해자가 몸의 균형을 잃고 1층 바닥(H≒13.8m)으로 떨어져</t>
  </si>
  <si>
    <t>2021년 6월경 OO아파트 외벽도장 공사현장 4층 높이(11M)에서 차량탑재형 고소작업대(스카이)를 이용한 외부 도장작업에서 운전기사가 고소작업대를 이동시키던 중 재해자가 지상으로 추락하여 사망</t>
  </si>
  <si>
    <t>차량탑재형 고소작업대(스카이)를 이용한 외부 도장작업에서 고소작업대를 내리지 않고 이동시키던 중 재해자가 지상으로 추락</t>
  </si>
  <si>
    <t>2021년 7월경 OO저수지 자연환경보전·이용시설(수변생태공원) 조성사업 현장에서, 재해자가 자주식(굴절형) 고소작업대를 사용하여 자연관찰교량(보도교, Truss) 접합부(용접,볼팅) 도장작업 중, 바닥으로 추락하여 사망</t>
  </si>
  <si>
    <t>2021년 7월경 사옥 리모델링 공사 현장에서 도장 협력업체 소속 재해자가 차량탑재형 고소작업대의 작업대에 탑승하여 건물 3층 높이에서 외벽 도색 작업을 위한 마스킹 테이프 부착 작업 중 작업대 우측면 개구부에서 지상으로(h≒7.8m) 추락하여 사망</t>
  </si>
  <si>
    <t>2021년 9월경 OO아파트 외벽 도장공사 현장에서 재해자는 협소한 승강기 기계실 상부로 혼자 올라가서 옥탑층에 있는 현장팀장의 보조 하에 분무형 페인트 호스 교체 등 달비계 작업을 준비하던 중 승강기 기계실 상부(H≒97m)에서 지상으로 추락하여 사망</t>
  </si>
  <si>
    <t>구조물 단부에서 안전대를 착용하지 않고 작업 준비 중 구조물 단부로 추락</t>
  </si>
  <si>
    <t>2021년 9월경 OO아파트 내·외부 재도장 공사현장에서 재해자(달비계공, 남)가 달비계를 이용하여 아파트 20층 외부창문 물청소 작업을 하던 중 달비계 작업로프가 끊어지면서 화단으로 추락하여 사망</t>
  </si>
  <si>
    <t>2021년 11월경 OO복지관 방수방음공사 현장에서, 재해자가 옥상 난간 위에 올라 달비계 위치를 조절하거나, 달비계 탑승준비 중 바닥으로 추락하여(H≒22m) 사망</t>
  </si>
  <si>
    <t>4.5 금속 및 잡철물 작업</t>
  </si>
  <si>
    <t>4.5.1 금속 및 잡철물 자재반입, 가공</t>
  </si>
  <si>
    <t>2015년 12월경 OOO 천연가스 발전소 건설공사 현장에서 재해자와 동료작업자가 컨테이너 접합작업 중 러그 용접부가 탈락하여 긴장되어 있던 체인이 재해자의 두부와 동료작업자의 왼쪽 어깨를 타격하여 재해자 사망</t>
  </si>
  <si>
    <t>컨테이너 접합작업 중 러그 용접부가 용접불량으로 탈락하면서 긴장되어 있던 체인에 맞음</t>
  </si>
  <si>
    <t>▶ 중량물 취급 작업계획서 수립 및 준수, 근로자 내용 주지  
▶ 중량물 양중작업 시 작업반경 내 접근통제 조치 및 작업지휘자 배치
▶ 양중작업 전 러그 용접상태 확인 철저</t>
  </si>
  <si>
    <t>2016년 1월경 OOO 복합시설 신축공사 현장, 지상9층 복도에서 설비공사 협력업체 소속 재해자가 파이프 머신을 이용하여 금속 파이프(L=100mm, D25mm) 단부에 나사산을 만드는 작업중 왼쪽 팔 뒷 부분의 옷이 파이프 머신 뒷척 부분에 말려들어가면서 재해자의 등이 뒷척에 밀착되어 상의 하단이 가슴까지 올라가며 가슴을 압박, 재해자가 호흡곤란으로 사망</t>
  </si>
  <si>
    <t>자재 가공작업 중 옷의 일부가 기계(파이프머신)에 말려들어가면서 흉부압박</t>
  </si>
  <si>
    <t>▶ 파이프머신 작업 시 회전축에 옷, 장갑 등이 말려들어가지 않도록 회전축 덮개를 설치한 후 작업</t>
  </si>
  <si>
    <t>2016년 5월경 협력업체 소속 재해자가 지상2층 슬라브 단열재 철거를 위해 안전모의 턱끈을 조이지 않은 상태에서 이동식 사다리를 이용하여 작업 중, 몸의 중심을 잃고 지상2층 바닥으로(높이 약2m) 추락</t>
  </si>
  <si>
    <t>2016년 6월경 3층 건물 빗물막이 설치 현장에서 2층 바닥 높이에 빗물막이를 설치하기 위해 빗물막이의 철제 뼈대를 고소작업차의 작업발판에 싣고, 재해자가 고소작업차에 함께 탑승한 후, 설치 높이(H≒3m)까지 작업발판이 상승한 상태에서, 지면에 위치한 동료 근로자에게 공구(스패너)를 전달받기 위해 몸을 숙이던 중, 작업발판 바깥으로 몸의 무게중심이 쏠리며 바닥으로 추락하여(H≒3m) 사망</t>
  </si>
  <si>
    <t xml:space="preserve">고소작업대에 탑승한 상태에서 작업대 바깥으로 몸을 내밀어 지상(하부)에서 공구를 전달받던 중 몸의 중심이 바깥으로 쏠리며 추락 </t>
  </si>
  <si>
    <t>2017년 3월경 OO물류창고 신축공사 현장 4층 슬라브 지붕구조틀 야적장에서 협력업체 소속 재해자가 이동식크레인으로 인양하던 지붕구조틀이 아랫단 지붕구조틀과의 임시용접된 부분이 미절단되어 인양이 되지 않아 하강시킬 때, 하강중인 지붕구조틀 내부로 들어가 임시용접부분을 절단하는 순간  하강작업이 끝나지 않아 반발력이 생겨 솟아 오른 지붕구조틀에  흉부를 가격 당하여 사망</t>
  </si>
  <si>
    <t>이동식크레인에 양중물을 매달은 상태로 양중물 하단의 접합부(용접부)를 절단하는 순간 반발력으로 튕겨오른 양중물에 맞음</t>
  </si>
  <si>
    <t>▶ 중량물 취급 작업계획서 수립 및 준수, 근로자 내용 주지  
▶ 양중작업 중 양중물에 대한 조치가 필요한 경우 양중물을 지면에 안전하게 내려놓은 후 작업
▶ 중량물 양중작업 시 작업반경 내 접근통제 조치 및 작업지휘자 배치</t>
  </si>
  <si>
    <t>2019년 8월경 축사 지붕보수공사 현장에서 재해자가 축사 지붕의 용마루 상부 덮개 치수를 재기 위해 지붕으로 올라가 이동하던 중 노후화된 선라이트를 밟아 파손되면서 약 5.7m 아래 콘크리트 바닥으로 추락하여 사망</t>
  </si>
  <si>
    <t>지붕에서 이동하던 중 밟고있던 마감재가 파손되면서 바닥으로 추락</t>
  </si>
  <si>
    <t>▶ 노후화되거나 강도가 약한 자재로 덮힌 지붕위에서 해체 또는 설치 작업을 할 경우, 알루미늄 또는 철재 등 충분한 강도와 규격으로 제작된 지붕사다리 설치, 추락방호망 설치, 안전대 부착설비 설치 등의 안전방호조치 실시
▶ 지붕재의 해체 또는 설치 작업 시, 고소작업대, 타워형 계단 등을 사용하여 지붕 위에서의 작업을 최소화할 수 있는 작업 방법을 검토</t>
  </si>
  <si>
    <t>2019년 10월경 조립식창고 신축공사(잡철, 판넬공사) 현장 소속 재해자가 건축자재용 철재 파이프를 싣기 위하여 트럭(1톤) 공구함 위(높이≒1.35m)에서 자재(약 6m길이 사각파이프 10개)와 트럭 데크 프론트 가드 고리에 로프를 결속 하던 중 튕겨져온 로프에 의해 몸의 균형을 잃고 콘크리트 바닥으로 추락하여 사망</t>
  </si>
  <si>
    <t xml:space="preserve">트럭 적재함에서 자재 상차작업 중 트럭 고리에 결속중이던 로프가 이탈하여 튕겨져 나오면서 몸의 중심을 잃고 바닥으로 추락 </t>
  </si>
  <si>
    <t>▶ 추락의 위험이 있는 장소에서 작업 시, 안전난간, 안전대 부착설비 등을 설치하고 이동식 비계 또는 고소작업대 등을 사용하여 작업하도록 조치
▶ 추락의 위험이 있는 장소에 웨빙띠 등으로 출입금지 조치 철저</t>
  </si>
  <si>
    <t>2021년 9월경 oooo부지 복합개발사업 현장에서 도시가스배관 자재 인양작업에 투입된 재해자가 리프트를 이용하던 중 16층에서 1층 리프트 방호울 내부로 추락하여 사망</t>
  </si>
  <si>
    <t>건설용리프트를 이용하여 자재 운반 중 리프트 고장으로 출입문을 임의 개방하다가 추락</t>
  </si>
  <si>
    <t>▶ 건설용 리프트 사용 시, 수시로 비상정지장치의 작동유무 등 점검을 실시하고 이상발견 시, 필요한 조치 실시
▶ 건설용 리프트 사용하는 작업자를 대상으로 리프트의 이동순서, 동작원리, 방호장치 기능 및 사용 등을 포함한 특별안전교욱을 실시
▶ 건설용 리프트 사용 시, 리프트가 층 사이에 정지할 경우, 억지로 문을 열고 건물 내부로 들어가는 행위를 금지하고 리프트 담당 관리자에게 연락하여 적절한 조치를 받을 때까지 대기</t>
  </si>
  <si>
    <t>2021년 12월경 OO공장 신축공사 현장에서 공장동 내부의 캣워크 설치작업 중이던 재해자가 자재를 운반하던 도중 추락하여 사망</t>
  </si>
  <si>
    <t>작업을 위해 점검통로를 이동하던 중 안전난간이 설치되지 않은 단부로 추락</t>
  </si>
  <si>
    <t>▶ 작업높이에 적합한 안전한 작업발판(비계, 고소작업대 등)을 설치하고 안전대를 체결한 후 안전하게 작업
▶ 작업발판을 설치하기 어려운 경우에는 추락방호망을 설치하고 안전대를 체결한 후 작업
▶ 추락할 위험이 있는 장소에서 작업하는 경우 안전모, 안전대 등 개인보호구 착용여부 관리감독 철저</t>
  </si>
  <si>
    <t>4.5.2 금속 및 잡철물 시공</t>
  </si>
  <si>
    <t>2013년 7월경</t>
  </si>
  <si>
    <t>2013년 7월경 공연장 구간 보강공사 현장에서, 재해자가 아치형 캐노피 위에서 캐노피 덮개용 폴리카보네이트 고정작업 중, 캐노피 끝단에서 추락(H≒4m)</t>
  </si>
  <si>
    <t>아치형 캐노피 상부에서 작업 중 앞쪽으로 몸의 무게중심이 쏠려 추락</t>
  </si>
  <si>
    <t>▶ 추락위험이 있는 장소에서 작업 시 작업높이에 적합한 안전한 작업발판(비계, 고소작업대 등)을 설치하여 안전하게 작업
▶ 작업발판을 설치하기 어려운 경우 추락방호망을 설치하고 안전대 부착설비를 설치하여 안전대를 체결한 후 작업</t>
  </si>
  <si>
    <t>2016년 1월경 OO공장 철도창고 셧터교체 현장에서, 재해자가 이동식비계 최상부에서 셔터 해체작업 중 셔터가 이동식 비계 최상단으로 낙하하여 그 충격으로 인해 재해자가 3m 아래 바닥으로 추락하여 사망</t>
  </si>
  <si>
    <t>로프 안전난간을 설치한 이동식비계에서 작업 중 설치부재가 작업발판으로 낙하하면서 그 충격에 의해 작업발판 단부로 추락</t>
  </si>
  <si>
    <t>▶ 이동식 비계 조립 사용 시 견고한 안전난간 설치
▶ 이동식 비계 난간이 아닌 견고한 구조물 상부에 안전대를 체결하고 작업 
▶ 개인보호구 지급 및 착용</t>
  </si>
  <si>
    <t>2016년 2월경 OO건설 공사현장에서 재해자가 환기덕트 급기 내부(지하1층)에서 수직승강용 고정식 사다리 설치를 위한 작업 준비 중 슬라브 단부 개구부를 통해 약 13m 아래의 바닥(지하2층)으로 떨어져 사망</t>
  </si>
  <si>
    <t>▶ 추락의 위험이 있는 장소에서 작업 시 안전난간대, 추락방지망 설치 등의 안전방호조치
▶ 안전방호조치가 현장 여건 상 어려울 경우, 안전대 부착설비는 반드시 설치
▶ 근로자의 개인보호구 지급 및 착용상태 점검 철저</t>
  </si>
  <si>
    <t>2016년 2월경 OO공장내 부스틴 CAPA(Capacity) 증설공사 현장내에서 재해자가 자재 출입구를 막아 놓은 대형천막이 낡고, 일부 찢어져 교체하는 작업 중에 돌풍으로 대형천막이 펄럭이면서 천막 끝단부 우측을 잡고 있던 재해자가 지상에서 상승(수직거리 약 10m, 수평거리 약 4.5m)후 천막을 잡고 있던 손이 미끄러지면서 아스팔트 바닥으로 떨어져 사망</t>
  </si>
  <si>
    <t xml:space="preserve">출입구에 설치된 천막 교체작업 중 천막 끝단부를 잡고 있던 재해자가 순간 돌풍에 의해 천막과 함께 공중으로 솟구친 후 바닥으로 추락 </t>
  </si>
  <si>
    <t>▶ 비․눈․바람 또는 그 밖의 기상상태의 불안정으로 근로자가 위험해질 우려가 있는 경우 작업중지
▶ 근로자의 개인보호구 지급 및 착용상태 점검 철저</t>
  </si>
  <si>
    <t>2016년 4월경 전시장 내 전시장치공사 현장에서 재해자가 사다리에 올라가 전시부스 상부 싸인물을 설치하고 내려오려던 중 몸의 중심을 잃고 지상 1층 콘크리트 바닥으로 떨어짐(높이 약 2.2m)</t>
  </si>
  <si>
    <t>2016년 4월경 OOOO 신축공사 현장에서 협력업체 소속 재해자가 개구부(D/A)에서 스틸 그레이팅을 설치하다 약 5m 아래 콘크리트 바닥으로 추락하여 사망</t>
  </si>
  <si>
    <t xml:space="preserve">환기구 벽체 상부(폭 10cm)에서 몸을 굽혀 개구부 방향으로 자재를 잡아당기던 중 무게중심이 쏠려 개구부 아래로 추락   </t>
  </si>
  <si>
    <t>2016년 7월경 OO물류센터 신축공사 현장에서 재해자가 안전난간에 기대어 PC기둥에 하지철물 설치를 위한 수평위치 표시 작업중 난간기둥이 재해자의 하중을 견디지 못하고 탈락되면서 재해자가 지하 1층 바닥으로 추락하여(약 11.1m) 사망</t>
  </si>
  <si>
    <t>슬라브 단부에서 안전난간에 기대어 하지철물의 설치위치를 표시하던 중 재해자의 하중을 견디지 못하고 안전난간이 탈락하면서 추락</t>
  </si>
  <si>
    <t>▶ 슬래브 단부 등 추락의 위험이 있는 장소에 안전난간과 추락방호망을 설치하여 불시에 안전난간이 탈락할 시, 근로자의 추락을 방지하도록 2중 안전방호조치를 실시
▶ 설계 도면 상, 슬래브 단부에 안전난간 설치가 필요할 경우, PC 보 제작단계에서 안전난간 기둥을 삽입할 수 있는 구멍을 내거나 슬래브 Con'c 타설 시, 난간기둥을 삽입할 수 있는 앵커 철물 등의 지지대를 설치하는 등 안전 난간대가 구조적으로 안전하게 시공되도록 조치</t>
  </si>
  <si>
    <t>2016년 7월경 고온소각시설 제작 및 설치공사 현장에서 보일러 제작·설치공사 협력업체 소속 재해자가 보일러 철골 남측 2단 플랫폼 위 말비계에서 철골 3단 보(Girder)를 설치하기 위해 레버풀러(Lever Puller)를 당기던 중 펑 소리와 함께 몸의 균형을 잃고 외측으로 튕겨 나가며 약 10m 아래 경사면으로 추락하여 사망</t>
  </si>
  <si>
    <t>안전난간을 설치하지 않은 작업발판 위에 말비계, 그 위에 페인트통을 두고 올라서서 작업하던 중 레버풀러를 조작하는 순간 훅이 탈락되며 튕겨져 나오면서 그 충격으로 몸의 균형을 잃고 바닥으로 추락</t>
  </si>
  <si>
    <t>▶ 레버풀러 이용 시 훅이 빠지는 등 튕김방지를 위해 훅을 대상물에 직접 체결하는 것이 아닌 피벗클램프나 러그를 연결하여 사용
▶ 작업발판 단부의 추락위험이 있는 장소에는 안전난간 설치
▶ 안전난간 설치가 곤란할 경우 안전대 부착설비 설치 및 안전대 착용</t>
  </si>
  <si>
    <t>2016년 8월경 OO이 시공하는 도시형생활주택 신축공사 현장에서 협력업체 소속 재해자가 고소작업대에 탑승하여 40M 높이의 건물 외벽(11-12층 사이)에 도시가스 배관작업 중 고소작업대의 붐 인출용 체인을 고정하는 볼트가 갑자기 파단되며 급격히 붐이 접히면서 붐 간의 접힘 충격에 의해 탑승하고 있던 재해자가 11M 아래 바닥으로 추락하여 사망</t>
  </si>
  <si>
    <t>배관작업 중 고소작업대 붐 인출용 체인 고정용 볼트 파단에 의한 근로자 추락</t>
  </si>
  <si>
    <t>2016년 8월경 OO주유소 신축공사현장에서 재해자는 주유소 지붕(케노피)에서 물받이(400×100×15×1.6, L≒15.0m)를 설치하기 위하여 지붕 철골(C형강) 위에서 보조 작업을 하던 중 갑자기 몸의 중심을 잃고 지상 1층 바닥(H≒7.5m)으로 추락</t>
  </si>
  <si>
    <t>철골보 상부에서 작업 중 발을 헛디뎌 바닥으로 추락</t>
  </si>
  <si>
    <t>2016년 9월경 OO공영주차장 건립공사 현장에서 재해자가 경사램프 상부 지붕 하지 철물(下持鐵物) 설치작업을 하기 위하여 지붕 철골보 위에서 C형강 및 각파이프 임시용접작업을 하던 중, 몸의 중심을 잃고 개구부 사이로 추락(H≒4.7m)</t>
  </si>
  <si>
    <t>철골보 상부에서 이동하던 중 발을 헛디뎌 바닥으로 추락</t>
  </si>
  <si>
    <t>2016년 11월경 OOOOO 주상복합 신축공사 현장에서 건물 내/외부 기계전기소방공사 업체인 작업반장이 기계식 주차장 내부에서 스프링클러 배관고정작업을 위하여 벽에 앵커볼트 고정 및 브라켓 연결 작업을 하던 중 상부에서 내려오는 웨이트(무게추)와 기계식 주차설비 철골빔 사이에 끼어 사망</t>
  </si>
  <si>
    <t>기계식 주차장 내부에서 작업 중 승강기가 작동하며 하강하는 균형추와 주차설비 구조물 사이에 끼임</t>
  </si>
  <si>
    <t>▶ 승강기 내 또는 근접하여 작업하는 경우 전원 차단 및 조작부 잠금장치 설치 등 승강기 운전을 정지하고 작업지휘자를 배치하여 작업 
▶ 2개 이상의 건설공사가 같은 장소에서 행해지는 경우 안전보건조정자를 선임하여 배치</t>
  </si>
  <si>
    <t>2016년 12월경 OOO빌딩 주차타워 공사 현장에서 건물 소방설비공사 업체 재해자가 주차타워 지하1층 A형 사다리 위에서 소방배관 용접작업 중 상부에서 내려오던 승강기의 균형추(4.3톤, 일명 무게추 또는 웨이트)에 머리를 맞아 사망</t>
  </si>
  <si>
    <t>기계식 주차장 내부에서 작업 중 승강기가 작동하며 하강하는 균형추에 맞음</t>
  </si>
  <si>
    <t>2016년 12월경 신축공사 현장 지붕 처마부위에서 철골조 부재를 밟고 벽체 판넬 상부에 빗물받이 홈통 고정 작업을 진행하던 재해자가 몸의 균형을 잃고 4m 하부 콘크리트 바닥으로 추락</t>
  </si>
  <si>
    <t>2017년 1월경 도시형생활주택 현장에서 재해자가 거실창호 외부에 철제 난간 설치작업 중 몸의 중심을 잃고 바닥으로 추락하여 (약 5.7m) 사망</t>
  </si>
  <si>
    <t xml:space="preserve">창호외부의 난간 설치작업 중 앵커볼트 재시공을 위해 난간을 조정하다가 난간이 이탈하면서 재해자가 함께 추락     </t>
  </si>
  <si>
    <t>2017년 3월경 OOO 신축 인테리어 내부공사 현장에서 금속공사 협력업체 소속 재해자가 관리동 1층 장식용 책장 상단(폭≒ 60cm)에서 기존 용접부위의 면갈기 작업을 위해 그라인더를 이용해 작업 중 몸의 균형을 잃고 책장 단부에서 지하2층 바닥으로 추락(H≒10.1m)하여 사망</t>
  </si>
  <si>
    <t>책장 상단에서 작업 중 발을 헛디뎌 안전난간이 설치되지 않은 책장 단부로 추락</t>
  </si>
  <si>
    <t>2017년 5월경 마트 인테리어공사 현장에서 재해자가 지상1층 농산물 코너 천장 삼각형 등박스 설치 작업을 위해 A형 사다리에 올라서서 경량천장틀(M-bar)에 팔을 기댄 채 사각파이프 설치 중 경량천장틀 고정부가 탈락되면서 몸의 중심을 잃고 A형 사다리와 함께 약 2.2m 아래 바닥으로 추락하여 사망</t>
  </si>
  <si>
    <t>이동식사다리에서 작업 중 몸을 기대고 있던 천정틀 고정부가 탈락되면서 몸의 중심을 잃고 추락</t>
  </si>
  <si>
    <t>2017년 7월경 OOOOO 인테리어 공사 현장에서 재해자가 이동식비계 2단 발판 상부(H≒3.7m)에서 경량철골 천장틀 설치작업 중 이동식비계가 넘어가면서 아래로 떨어져 머리를 부딪혀 사망</t>
  </si>
  <si>
    <t>이동식비계에서 작업 중 몸의 반동으로 비계 위치를 이동시키려다 슬래브간 단차부위에 바퀴가 빠지면서 전도되어 재해자가 몸의 중심을 잃고 추락</t>
  </si>
  <si>
    <t>▶ 이동식비계 작업시 브레이크, 쐐기 등으로 바퀴를 고정시키고 아웃트리거를 설치하여 전도방지조치 준수
▶ 이동식비계를 사용할 작업장 바닥의 단차, 요철 등을 제거하여 바닥을 청결하게 유지</t>
  </si>
  <si>
    <t>2017년 8월경 하우스 보수공사(양어장) 현장에서 재해자가 기존에 설치된 차광막을 걷어내고 철선을 상부 파이프에 고정하는 작업을 하던 중 발을 헛딛어 떨어(H:3.5m)지면서 이동통로인 콘크리트 바닥에 1차로 부딪친(H≒1.7m) 후 2차로 양어장 수조바닥(H≒1.8m)으로 추락하여 사망</t>
  </si>
  <si>
    <t>지붕에서 작업 중 발을 헛디뎌 안전난간이 설치되지 않은 지붕단부로 추락</t>
  </si>
  <si>
    <t>2017년 9월경 OOOO 오피스텔 건설현장에서 재해자가 주차타워 내부에서 월 브라켓(Wall Brackets) 용접 작업 중 하강하는 카 리프트 카운터 웨이트(Counter Weight)에 부딪혀 사망</t>
  </si>
  <si>
    <t>2017년 9월경 ○○산업(주)공장 증축공사 현장에서 하청 소속 재해자가 현장 내부에서 고소작업대(일명:렌탈)를 사용하여 약 5m높이에 위치한 소화전 배관 용접작업 중 전기작업용 고소작업대가 재해자가 탑승한 고소작업대를 근접하여 지나가는 과정에서, 재해자가 사용중인 용접기와 연결된 이동전선이 전기작업자의 고소작업대에 걸려 당겨졌고, 이로 인해 재해자가 탑승한 고소작업대가 전도되면서 바닥으로 추학하여 사망</t>
  </si>
  <si>
    <t>증축공장 내부 소화전 수직배관 연결을 위해 고소작업대에 탑승하여 용접작업 진행 중 전기작업용 고소작업대가 지나가면서 전기작업용 고소작업대에 연결된 이동전선에 의해 용접작업용 고소작업대가 전도되면서 바닥으로 추락</t>
  </si>
  <si>
    <t>▶ 고소작업대 이동통로에 장애물 등을 제거 후 이동 조치
▶ 고소작업대의 이동시 다른 고소작업대와의 이동 및 작업구역이 겹치지 않은 우회경로 설정 준수</t>
  </si>
  <si>
    <t>2017년 9월경 OO타워 현장에서 재해자가 지상1층 환풍구에 철제 그레이팅을 덮는 작업을 하던 중 밟고 있던 철제그레이팅이 지지재에서 미끄러지면서 지하 4층 기계실 바닥으로 추락(약18.7m)</t>
  </si>
  <si>
    <t>환기구 덮개 위에서 고정작업을 하던 중 작업하중 등에 의해 덮개가 밀려나면서 발생한 개구부 아래로 추락</t>
  </si>
  <si>
    <t>▶ 개구부 등 추락위험이 있는 장소에서 작업하는 경우 작업높이에 맞는 견고한 작업발판(비계 등)을 설치
▶ 작업발판을 설치하기 곤란한 경우 안전방망을 설치하고 안전대걸이설비에 안전대를 체결한 후 작업</t>
  </si>
  <si>
    <t>2017년 10월경 OO식물원 조성공사 온실 내부에서 재해자가 관람 스카이워크 하지철물 설치 작업 과정에서 철골보 상으로 이동하던 중, 몸의 중심을 잃고 약 6.5M아래 지상 콘크리트 바닥으로 추락</t>
  </si>
  <si>
    <t>2017년 10월경 OO공장 신축공사 현장에서 재해자가 외벽 상부에 지붕 물받이 홈통 설치 작업 중 몸의 중심을 잃고 지상 콘크리트바닥으로 떨어져(H≒5.7m) 추락</t>
  </si>
  <si>
    <t>2017년 12월경 OOOOO호텔 신축공사 현장에서 재해자가 건물3층 시스템비계에서 건물외벽에 경관조명등 설치를 위해 자재(경관조명등)를 인양 하던 중 몸의 중심을 잃고 시스템비계 외부로 경관조명등(2,830(L)×260(B)×1(T), 5.2kg)과 같이 지상1층 바닥으로 추락하여(H≒9.6m) 사망</t>
  </si>
  <si>
    <t xml:space="preserve">시스템비계에서 로프를 이용하여 자재를 인양하던 중 안전난간이 낮게(상부난간대 90cm) 설치된 작업발판 단부로 추락 </t>
  </si>
  <si>
    <t>▶ 고소작업 장소에서 자재 인양 시 고소작업대 등을 사용하여 인양 실시
▶ 고소작업 장소에서 자재 인양 시 작업방법과 기상상태 고려하여 작업 실시
▶ 불가피하게 섬유로프를 사용하여 인력으로 자재 인양 시 추락방지를 위해 안전대 부착설비 설치 및 안전대 착용</t>
  </si>
  <si>
    <t>2017년 12월경 재해자(전두성)가 배수로 스틸그레이팅의 설치 작업 전에 작업위치인 배수로로 이동하기 위해 임의로 분리 개방된 방음벽의 임시 출입구(개구부)를 통해 외부에서 내부로 진입 후 신호케이블 덕트 위에서 폭 1.9m의 배수로를 선로와 수직방향으로 뛰어 넘다가 상행선으로 운행 중인 전동열차와 부딪혀 사망한 재해임.</t>
  </si>
  <si>
    <t>작업위치로 이동하기 위해 작업통로가 아닌 임시 개구부로 이동하던 중 운행 중인 열차와 충돌</t>
  </si>
  <si>
    <t>▶ 근로자가 안전하게 이동할 수 있는 작업통로 확보
▶ 운행중인 철도 선로에 출입금지 조치 및 근로자 교육 철저
▶ 운행중인 철도 주변에서 작업 시 신호수 또는 열차감시원 배치
▶ 개인보호구 및 안전 휴대용품(열차감시용 무전기, 호루라기, 경보기, 손전등) 지급 및 착용상태 확인</t>
  </si>
  <si>
    <t>2018년 3월경 OO건설 공사 현장 지하4층 반입구에서 고소작업대를 이용하여 방화셔터 기둥(H-beam) 해체 작업 중 무게가 약 150kg인 기둥(H-beam)의 모멘트에 의해 고소작업대가 전도되어(H≒3.5m) 고소작업대에 탑승해있던 재해자 2명이 동시에 부상</t>
  </si>
  <si>
    <t>고소작업대에 방화셔터 기둥을 묶어 해체하던 중 기둥의 모멘트에 의해 고소작업대가 전도되어 바닥으로 추락</t>
  </si>
  <si>
    <t>▶ H-beam등 무거운 자재를 고소작업대와 연결하여 해체하는 행위를 금지하고 크레인과 같은 인양장비를 사용하여 작업하도록 조치
▶ 고소작업대가 전도할 위험이 있는 작업을 할 경우, 안전대를 별도의 안전대 부착설비에 체결하여 고소작업대가 전도되어도 작업자의 안전을 확보할 수 있도록 조치</t>
  </si>
  <si>
    <t>2018년 3월경 OO산업 기계기초 토목공사 현장에서 기존 공장에 설치된 천장 크레인 거더가 자주식 고소작업대의 작업대를 충돌하여 높이 약 9.4m의 공장동 바닥으로 고소작업대가 전도되면서 작업대에서 작업중이던 재해자가 고소작업대와 함께 넘어져 사망</t>
  </si>
  <si>
    <t>고소작업대에 탑승하여 작업하던 중 근접한 위치에서 천정크레인이 작동하면서 크레인 거더와 고소작업대가 충돌·전도되어 추락</t>
  </si>
  <si>
    <t>▶ 같은 장소에서 두가지 이상의 작업이 혼재되는 경우 작업간섭 및 재해발생 위험 등을 충분히 검토하여 작업계획을 수립하고 준수하여 작업
▶ 고소작업대 작업 시 작업대의 안전난간이 아닌 별도의 안전대 부착설비 설치 및 안전대 체결 후 작업</t>
  </si>
  <si>
    <t>2018년 4월경 OO초교 균열 등 보수공사 현장에서 재해자가 교사동 2관 4층 바닥 외부의 캐노피(빗물막이용 돌출구조물) 보수를 위한 칼라강판 설치 작업 중, 몸의 중심을 잃고 1층 바닥(h≒9.9m, 보도블럭)으로 추락하여 사망</t>
  </si>
  <si>
    <t>캐노피에서 작업 중 발을 헛디뎌 안전난간이 설치되지 않은 캐노피 단부로 추락</t>
  </si>
  <si>
    <t>2018년 9월경 공동주택 신축공사 현장에서 지하주차장 램프(ramp) 지붕(비가림시설) 설치 작업 중이던 협력업체 소속 재해자가 램프 벽체 위에서 이동식 사다리를 통해 내려오던 중 지붕 기둥에 걸고 있던 안전대를 푸는 순간 몸의 중심을 잃고 지상 2m 아래 콘크리트 바닥으로 추락하여 사망</t>
  </si>
  <si>
    <t>이동식사다리에서 내려오던 중 지붕 기둥에 체결한 안전대 고리를 푸는 순간 몸의 중심을 잃고 추락</t>
  </si>
  <si>
    <t>2018년 10월경 축사 개축공사 현장에서 재해자가 이동식비계 2단에서 처마물받이 설치를 위해 자재를 받들고 있던 중 떨어져(H≒3.5m) 사망</t>
  </si>
  <si>
    <t>안전난간이 설치되지 않은 이동식비계 상부 작업발판에서 작업 중 몸의 중심을 잃고 지면으로 추락</t>
  </si>
  <si>
    <t>▶ 견고한 작업발판 사용 및 이동식비계 안전난간 설치
▶ 근로자 개인보호구(안전모, 안전대) 지급 및 착용</t>
  </si>
  <si>
    <t>2018년 10월경 OOOOO 신축공사 현장에서 일용직 근로자가 이동식사다리 위에 올라서서 방화셔터 설치작업을 보조하던 중 몸의 중심을 잃고 약 2.3m 아래 바닥(콘크리트)으로 추락하여 사망</t>
  </si>
  <si>
    <t xml:space="preserve">이동식사다리에서 양손으로 부재를 들어올려 받치던 중 몸의 중심을 잃고 바다으로 추락 </t>
  </si>
  <si>
    <t>2019년 4월경 간이리프트용 구조물(기둥, 화물적재함 등)을 공장 제작 후 현장 반입하여 조립, 설치작업(하부 기초 앙카 및 벽체 고정용 앙카 설치 등)을 하는 과정에서 재해자가 A형 사다리를 일자형으로 펼쳐 벽체에 걸친 후 사다리를 올라가 상부 구조물 설치상태 등을 확인하던 중 몸의 중심을 잃고 약 3m 아스팔트 바닥으로 추락하여 사망</t>
  </si>
  <si>
    <t>이동식사다리를 일자형으로 펼쳐 벽체에 걸쳐놓은 상태에서 사다리에 올라가 작업상황을 확인하던 중 발을 헛디뎌 바닥으로 추락</t>
  </si>
  <si>
    <t>2019년 5월경 노후상가 시설 보수보강공사 현장에서 재해자가 지상5층 천정 보강재(ㄷ형강) 브라켓 설치를 위하여 이동식 비계 상부에서 용접작업 중 몸의 중심을 잃고 창틀 단부에서 지상1층 바닥으로 추락하여(H≒15.5m) 사망</t>
  </si>
  <si>
    <t>안전난간을 설치하지 않은 이동식비계에서 작업 중 발을 헛디뎌 주변 개구부로 추락</t>
  </si>
  <si>
    <t>2019년 11월경 OOO 풋살경기장 판넬/창호공사(실내 풋살장) 현장에서 재해자가 지붕용 샌드위치 판넬 자재측면 후레싱 설치를 위해 판넬과 판넬 사이의 선라이트 설치 예정인 개구부 위를이동하던 중 실족하여 바닥으로 추락하여(H ≒ 7.7 m) 사망</t>
  </si>
  <si>
    <t>개구부 주변에서 자재 운반 중 발을 헛디뎌 개구부로 추락</t>
  </si>
  <si>
    <t>2020년 2월경 물류창고 차양막 설치 공사현장에서, 재해자가 차량탑재형 고소작업대를 이용해 차양 철물(높이 약 5m)위에 올라가 차양막 덮개(폴리카보네이트)를 임팩 드라이버로 고정시키던 중, 실족하여 작업면 우측 철물 프레임 사이(덮개 미설치 구간) 개구부를 통해 지상 콘크리트 바닥으로 추락하여 사망</t>
  </si>
  <si>
    <t>차양 구조물 상부에서 차양막 덮개를 설치하던 중 발을 헛디뎌 차양 구조물간 개구부로 추락</t>
  </si>
  <si>
    <t>2020년 2월경 OO오피스텔 신축공사 현장에서 재해자가 현장출입문 상부 입간판 해체를 위하여 약 5.5M 높이의 지주 각파이프 위에서 작업 중 몸의 중심을 잃고 추락하여 사망</t>
  </si>
  <si>
    <t>현장 출입문 지주 위 각파이프(디딤폭 10cm) 상부에서 입간판을 해체 하던 중 발을 헛디뎌 바닥으로 추락</t>
  </si>
  <si>
    <t>▶ 작업높이에 적합한 안전한 작업발판(비계, 고소작업대 등)을 설치하고 안전대를 체결한 후 안전하게 작업
▶ 추락할 위험이 있는 장소에서 작업하는 경우 안전모, 안전대 등 개인보호구 착용여부 관리감독 철저</t>
  </si>
  <si>
    <t>2020년 3월경 창고 증축공사 현장에서 재해자가 기존 창고 구조물 각형강관(T자형)의 용접부위를 절단하는 해체작업 중, 각형강관 (100×100×3.2t) 수직재(H=3.7m)가 재해자와 함께 넘어지면서 콘크리트 바닥에 후두부를 부딪쳐 사망</t>
  </si>
  <si>
    <t>강관부재 해체작업 중 기존 구조물에서 분리되지 않은 부재를 흔들다가 부재가 탈락, 전도되면서 재해자가 함께 넘어짐</t>
  </si>
  <si>
    <t>▶ 양중작업 시 작업반경 내 출입통제 조치
▶ 중량물 취급작업 시 작업방법 및 상태를 고려하여 작업계획서 작성 및 근로자 주지
▶ 개인보호구(안전모) 착용관리 철저</t>
  </si>
  <si>
    <t>2020년 7월경 OO산 산림레포츠시설 조성사업 조경공사 현장에서 일용직 재해자가 짚라인 3번 코스 출발 탑승장(플랫폼, platform) 철골 프레임(사각 지지대) 위에 그레이팅 발판 설치 작업 중 개구부로 실족하여 약 15.5m아래 콘크리트 바닥으로 추락하여 사망</t>
  </si>
  <si>
    <t xml:space="preserve">철골 구조물의 그레이팅 발판 설치를 위해 손가락에 그레이팅을 끼워 들어올린 상태로 실측하던 중 그레이팅이 개구부로 낙하하면서 무게중심이 쏠려 함께 추락    </t>
  </si>
  <si>
    <t>2020년 8월경 OO시장 망 설치공사 현장에서(시장 내 비둘기 접근을 방지하는 시설 설치) 재해자가 시장 출입구 천장 하부 공간에서 각관 설치작업 중 천장 하부 마감재를 밟는 순간 마감재 탈락과 함께 약 10미터 아래 콘크리트 바닥으로 추락</t>
  </si>
  <si>
    <t>고소작업대에서 벗어나 천정 하부 공간으로 이동하던 중 밟고 있던 천정 마감재가 파손되면서 추락</t>
  </si>
  <si>
    <t>2020년 8월경 빗물받이공사 현장에서 재해자가 빗물받이 설치를 위해 작업을 하던 중 이동식비계 작업발판 상부에서 지상 바닥으로 추락(H≒3m)하여 사망</t>
  </si>
  <si>
    <t>이동식비계에서 작업 중 발을 헛디뎌 안전난간을 설치하지 않은 작업발판 단부로 추락</t>
  </si>
  <si>
    <t>2020년 9월경 OO공사 현장에서 협력업체 소속 재해자가 2층에서 계단 모듈 접합 준비 작업 후 이동식 사다리를 사용하여 아래로 내려오던 중 걸쳐 있던 사다리가 미끄러지며 재해자가 통로 개구부를 통해 약 3.5m 아래 지상 1층 바닥으로 추락하여 사망</t>
  </si>
  <si>
    <t>이동식사다리를 일자형으로 펼쳐 구조물에 걸쳐놓은 상태에서 사다리에서 내려가던 중 사다리가 미끄러져 전도되면서 주변 개구부로 추락</t>
  </si>
  <si>
    <t>2020년 9월경 OO프라자 인테리어공사 현장에서 재해자가 지상 3층 승강기(엘리베이터) 구간 방화벽체 설치 작업 중 승강기 운행으로 하강하는 균형추와 승강기 벽체 수평철골 사이에 흉부가 협착되어 사망</t>
  </si>
  <si>
    <t>이동식사다리에서 승강기 방화벽체 작업 중 설치상태 확인을 위해 승강기 내부로 상체를 기울인 상태에서 승강기가 작동하며 하강하는 균형추와 벽체 구조물 사이에 끼임</t>
  </si>
  <si>
    <t>2020년 9월경 OOOOO 신축공사 현장에서, 협력업체 소속 재해자가 지상 1층 환기구에서 개구부 덮개 받침용 철물을 용접 후 이동 중, 환기구 내부 바닥으로 추락(H≒4.7m)하여 사망</t>
  </si>
  <si>
    <t xml:space="preserve">환기구 내벽의 돌출부(폭 20cm 이내) 위에서 작업하던 중 발을 헛디뎌 환기구 아래로 추락 </t>
  </si>
  <si>
    <t>2021년 1월경 OOOOO 도장공장 주설비 공사현장에서 덕트 설치작업 과정에서 협력업체 소속 재해자가 신호작업을 위하여 BC(Base Coat) 중간 건조로 부스 상부에 올라가 있던 중 공장2층 바닥면(H≒8.4m)으로 추락하여 사망</t>
  </si>
  <si>
    <t>구조물 상부에서 신호작업 중 발을 헛디뎌 안전난간이 설치되지 않은 구조물 단부로 추락</t>
  </si>
  <si>
    <t xml:space="preserve">▶ 작업자가 추락할 위험이 있는 장소에서 작업 시 충분한 강도를 가진 안전난간 설치 준수
▶ 안전난간 등 설치하는 것이 곤란한 경우 안전대 부착 설비로 지지로프 등을 설치 </t>
  </si>
  <si>
    <t>2021년 2월경 주택 외부계단 난간 및 대문 교체공사 현장에서, 재해자가 건물 외부계단의 계단참에서 지면으로 추락하여(H=2.3m) 사망</t>
  </si>
  <si>
    <t>계단참에서 작업 중 발을 헛디뎌 안전난간이 설치되지 않은 계단 단부로 추락</t>
  </si>
  <si>
    <t>2021년 4월경 공장 신축현장 인근에서 직영근로자가 사다리를 사용하여 철재구조물 망 해체작업 중 약 2.1m 아래 콘크리트 수로 바닥으로 추락하여 사망</t>
  </si>
  <si>
    <t>디딤대 폭이 좁은(80mm) 사다리에서 작업 중 발을 헛디뎌 바닥으로 추락</t>
  </si>
  <si>
    <t>2021년 8월경 OO공장 신축공사 현장 내 사무동 3층 엘리베이터 피트 앞에서 재해자 2명이 안전난간을 밟고 엘리베이터 출입문 측 내부 판넬을 설치하던 중 안전난간이 하부로 떨어져 내려 작업자들이 중심을 잃고 8m 아래 엘리베이터 피트 바닥으로 추락해 사망</t>
  </si>
  <si>
    <t>엘리베이터피트 개구부에 설치된 안전난간을 밟고 작업하던 중 밟고있던 안전난간이 탈락하면서 몸의 중심을 잃고 개구부로 추락</t>
  </si>
  <si>
    <t>▶ 추락 위험이 있는 장소에 비계조립으로 작업발판 설치
▶ 작업발판 설치가 곤란할 시 추락방호망 설치 
▶ 안전대 지급 및 체결</t>
  </si>
  <si>
    <t>2021년 9월경 OO 신축공사 중 승강기 제작·설치공사에서 재해자가 엘리베이터 피트 내부 매입 철근을 절단하기 위해 철근 상부에 합판을 놓고 전기용접기로 철근을 절단하던 중 합판이 탈락되면서 높이 약 10.2m아래로 추락하여 사망</t>
  </si>
  <si>
    <t>엘리베이터 피트 내부에서 철근 상부에 합판을 두고 그 위에 앉아 철근을 절단하던 중 절단 철근에 걸쳐있던 합판이 기울며 추락</t>
  </si>
  <si>
    <t>▶ 엘리베이터 피트 내 작업발판용 철근제거 작업 시 철근을 하나씩 절단 및 입구방향으로 절단된 철근 이동
▶ 엘리베이터 피트 등 추락위험이 있는 장소에는 테두리로프 및 달기로프를 사용하여 안전방망 설치 
▶ 개인보호구 지급 및 착용</t>
  </si>
  <si>
    <t>2021년 10월경 OO신축공사 현장에서 재해자와 동료작업자는 물류동 램프 외부에서 지상 3층에 루버를 설치하기 위해 고소작업대에 탑승하여 작업하던 중, 윈치를 거치한 부재 용접면이 파단하면서 윈치가 빠져 약 42m 낙하하면서 재해자와 충돌해 사망</t>
  </si>
  <si>
    <t>전동윈치를 사용하여 양중작업 중 윈치를 거치한 부재의 용접 이음부가 파단되면서 낙하하는 윈치에 맞음</t>
  </si>
  <si>
    <t>▶ 윈치 등 양중기계 작업 시 과부하방지장치 설치 및 정상작동여부 점검
▶ 윈치 거치 부재의 용접 이음부의 용접불량 등 이상여부 확인 및 조치
▶ 중량물 양중작업 시 작업반경 내 출입통제 및 신호수 배치</t>
  </si>
  <si>
    <t>2021년 11월경 다가구주택 옥상 방수공사 현장에서 재해자가 증축 중이던 경사 지붕 상부에서 지붕 높낮이 발생구간 마감재 설치작업 후 경사 지붕 위에서 옥상 바닥으로 내려오기 위해 옥상 단부 철제 난간을 밟는 순간 약 10m 아래 건물 외부 콘크리트 바닥으로 추락</t>
  </si>
  <si>
    <t>지붕에서 철제난간을 밟고 옥상 바닥으로 내려오던 중 발을 헛디뎌 바닥으로 추락</t>
  </si>
  <si>
    <t>▶ 작업높이에 적합한 안전한 작업발판(비계, 고소작업대 등)을 설치하고 안전대를 체결한 후 안전하게 작업
▶ 작업장소로 이동하기 위한 작업통로(승강통로) 설치
▶ 추락할 위험이 있는 장소에서 작업하는 경우 안전모, 안전대 등 개인보호구 착용여부 관리감독 철저</t>
  </si>
  <si>
    <t>단독주택 신축공사</t>
  </si>
  <si>
    <t>단독주택 신축공사 현장에서 재해자가 지붕 처마홈통 설치 작업 후 사다리를 통해 이동식 비계 1단 작업발판 상부로 내려오는 중 실족하여 콘크리트 바닥으로 추락(H≒2.0m)하여 사망</t>
  </si>
  <si>
    <t xml:space="preserve">사다리에서 이동식비계 작업발판으로 내려오던 중 발을 헛디뎌 안전난간이 설치되지 않은 작업발판 단부로 추락 </t>
  </si>
  <si>
    <t xml:space="preserve">▶ 이동식 비계를 조립하여 작업 시 비계의 작업발판 위에서 받침대 또는 사다리를 사용하여 작업 금지
▶ 비계의 최상부에는 작업발판 외측으로 추락방지를 위한 안전난간 설치
▶ 추락위험이 높은 지붕 혹은 이동식 비계 발판에서 작업 시 안전대 부착설비 설치 및 안전대 착용 </t>
  </si>
  <si>
    <t>4.6 창호 및 유리 작업</t>
  </si>
  <si>
    <t>4.6.1 창호 및 유리 자재반입, 가공, 운반</t>
  </si>
  <si>
    <t>2016년 1월경 야적장에서 재해자는 동료작업자 2명과 함께 복층유리를 창틀에 조립하여 완료된 창호를 A형 적재대에 적재하다가 창호가 넘어지려고 하자 이를 피하려다가 넘어지는 창호에 충격을 받아 쓰러지면서 바닥에 머리를 부딪힘</t>
  </si>
  <si>
    <t>가공된 자재(창호)를 적재하던 중 적재대를 거치한 바닥면의 기울기 등으로 적재대가 기울면서 전도되는 자재에 깔림</t>
  </si>
  <si>
    <t>▶ 판유리 등과 같은 무거운 자재를 화물차에 적재할 시, 전용 적재대 사용 등의 전도방지조치 철저
▶ 판유리 등과 같은 무거운 자재를 화물차에 적재할 시, 2인1조로 상하차 작업을 진행하도록 하며 화물차는 경사면이 아닌 비교적 평탄한 지면에 위치시켜 자재 상하차 시, 흔들림에 의한 자재 전도를 방지</t>
  </si>
  <si>
    <t>2017년 2월경 OO고등학교 창호교체공사 현장에서 창호설치공인 재해자가 차량탑재형 고소작업대의 작업대에 탑승하여 교사동 3층 외부창문 고정철물(’L`형 앵글, 20×50×1.2) 설치작업 중 작업대와 건물사이 개구부에서 약7m 아래 지상바닥으로 추락</t>
  </si>
  <si>
    <t>고소작업대에 탑승하여 작업 중 발을 헛디뎌 안전난간이 설치되지 않은 작업대 단부로 추락</t>
  </si>
  <si>
    <t>▶ 고소작업대 작업 시, 안전대 설치 및 안전대 결합 등 추락방지조치(안전대 부착) 준수
▶ 작업자의 개인보호구, 안전대 체결여부 점검 및 관리감독</t>
  </si>
  <si>
    <t>2017년 3월경 OO오피스텔 및 도시형 생활주택 현장에서 재해자가 지상1층 외부 쌍줄비계와 건물외벽 사이에서 철제 창틀를 로프로 묶어주고 동료작업자가 건물내부 계단실에 설치된 윈치를 이용하여 계단실 창틀을 인양하는 작업 중 창틀이 외부 쌍줄비계의 돌출된 비계파이프(장선)에 부딪쳐 분해되면서 떨어져(약13m) 재해자를 강타</t>
  </si>
  <si>
    <t>외부비계와 건물 외벽 사이에서 윈치를 이용하여 철제 창틀을 인양하던 중 창틀이 돌출물에 걸려 낙하하면서 맞음</t>
  </si>
  <si>
    <t>▶ 개구가 있는 창틀 등을 외부비계에서 인양할 시, 자재가 돌출물에 걸리지 않도록 돌출물이 없는 방향(비계의 외측)에서 인양작업을 하거나 자재의 개구부를 덮개로 덮은 후 인양작업 실시
▶ 양중작업 시 작업반경 내 접근통제 조치 및 작업지휘자 배치</t>
  </si>
  <si>
    <t>2017년 6월경 아파트 유지보수 공사 현장에서 재해자가 고소작업차(일명 스카이, 3.5톤)를 타고 아파트 발코니 외부의 창호 가장자리 부위 실리콘 충진 작업을 하던 중 아파트 주민의 요청으로 작업대(탑승함)에서 발코니 안으로 이동 중 몸의 중심을 잃고 추락(H≒7.5M)</t>
  </si>
  <si>
    <t>고소작업대에서 발코니 내부로 이동하기 위해 안전대를 풀고 이동하던 중 발을 헛디뎌 작업대 단부로 추락</t>
  </si>
  <si>
    <t>▶ 고소작업대 사용 시, 작업대를 벗어나서 건물 외부에서 내부로 들어가는 행위를 금지하고 불가피하게 내부로 들어가야 할 경우, 건물 내부의 튼튼한 구조물에 안전대를 체결한 후 건물 내부로 이동
▶ 고소작업대 사용 시, 전면부에 웨빙띠 및 철재난간대 등과 같은 추락방지조치
▶ 작업자의 개인보호구, 안전대 체결여부 점검 및 관리감독</t>
  </si>
  <si>
    <t>2018년 11월경 재해자가 건축자재 야적장에서 화물자동차 운전기사와 함께 안전난간용 판유리를 공사 현장으로 운반하기 위하여 1톤 화물자동차 적재함에 상차 후, 판유리를 밀착시키는 작업 중 적재함에 적재되어 있던 판유리 10장(총중량 : 607.5kg)이 재해자 쪽으로 전도되면서, 재해자가 전도되는 판유리에 깔림</t>
  </si>
  <si>
    <t>자재(유리) 상차작업 중 화물트럭 적재함 위에 기대어 놓은 자재가 작업충격 등에 의해 전도되면서 깔림</t>
  </si>
  <si>
    <t>2018년 12월경 OO 인테리어공사 현장에서 하청업체 소속 재해자가 차량탑재형 고소작업대를 사용하여 내부 칸막이 설치용 강화유리를 하역한 후, 작업대에 탑승한 상태에서 작업대가 하강하는 순간 작업대가 흔들리면서 재해자가 약 15.0m 아래 콘크리트 바닥으로 추락</t>
  </si>
  <si>
    <t>자재운반 작업 후 고소작업대를 하강하는 과정에서 작업대 하부가 구조물에 걸린상황을 인지하지 못하고 작동하는 순간 작업대가 흔들리면서 탑승해 있던 재해자가 몸의 중심을 잃고 바닥으로 추락</t>
  </si>
  <si>
    <t>▶ 고소작업대 사용 시, 운전자가 오조작 하여 고소작업대가 구조물에 걸리지 않도록 작업대에서 작업하는 인원 이외의 추가로 중간 신호수를 배치하여 작업자-신호수-운전원 간의 신호체계를 구축
▶ 고소작업대를 통해 작업 시, 전면부에 웨빙띠 및 철재난간대 등과 같은 추락방지조치 철저
▶ 작업자의 개인보호구, 안전대 체결여부 점검 및 관리감독</t>
  </si>
  <si>
    <t>4.6.2 창호 및 유리 설치</t>
  </si>
  <si>
    <t>2016년 9월경 근생 및 다가구 신축공사 현장에서 재해자가 지상 2층 구간 외벽창호 설치작업을 위해 비계 발판 위로 이동 중 실족하여 지상 1층 바닥으로 떨어져(높이 약 3.7m) 사망</t>
  </si>
  <si>
    <t>비계 발판 위에서 이동 중 작업발판이 설치되지 않은 개구부에서 실족하여 추락</t>
  </si>
  <si>
    <t>▶ 외부비계 조립 시, 작업통로 작업발판을 밀실하게 설치하며 상하부 안전난간 설치 철저
▶ 추락의 위험이 있는 작업 시, 안전대 부착설비 설치 등 안전방호조치 실시
▶ 작업자의 개인보호구, 안전대 체결여부 점검 및 관리감독</t>
  </si>
  <si>
    <t>2016년 10월경 개인이 시공하는 다세대주택 신축공사 현장에서 재해자가 지상 5층 창 가림막 설치작업을 진행하던 중 몸의 중심을 잃고 창 가림막과 함께 약 12.8m아래 지상 바닥으로 추락</t>
  </si>
  <si>
    <t>창틀 위에 앉은 자세로 몸을 구조물 외측으로 내밀어 창 가림막 지지대를 고정하던 중 몸을 기대고 있던 지지대가 파단되면서 바닥으로 추락</t>
  </si>
  <si>
    <t>2016년 11월경 협력업체 소속 재해자가 기숙사동 지상5층 실외기실의 창호(9,450mm×2400mm)를 설치하기 위한 사전작업(청소 등) 중, 후면에 설치된 블록벽(5,460mm×1,800mm, 2,016kg)이 재해자가 위치한 실외기실 내부로 넘어지며 재해자를 밀어 지상1층 바닥(H≒17.6m)으로 추락</t>
  </si>
  <si>
    <t>슬래브 단부에서 작업을 준비하던 중 후면에 시공된 블록벽이 전도되면서 맞고 바닥으로 추락</t>
  </si>
  <si>
    <t>▶ 블록벽체 등 벽체 시공 시, 시공구간에 단차가 생긴 경우, 벽돌 등을 이용하여 보강조치 실시
▶ 추락의 위험이 있는 개구부 근처에서 작업할 경우, 안전 난간대 설치, 안전대 부착설비 설치, 안전망 설치 등과 같은 안전방호조치 실시</t>
  </si>
  <si>
    <t>2016년 11월경 OO신축공사 현장에서 재해자가 2층 상가 폴딩도어의 외부 실리콘을 보수하기 위해 상가 내부에서 유리창 외부로 작업하려던 중 갑자기 몸의 중심을 잃고 유리창 외부 바닥으로 추락(H≒4m)</t>
  </si>
  <si>
    <t>안전대를 착용하지 않고 외벽창호 작업 중 몸의 중심을 잃고 추락</t>
  </si>
  <si>
    <t>▶ 추락할 위험이 있는 외벽창호작업 시 고소작업대, 비계 등을 이용하여 견고한 작업발판, 안전난간 설치 등 떨어짐 위험을 방지하기 위한 필요한 조치 실시
▶ 고소작업대, 비계 등을 이용한 작업발판 또는 안전난간 설치가 어려운 경우, 안전대 부착설비를 설치하고 안전대 체결 후 작업토록 관리감독</t>
  </si>
  <si>
    <t>2016년 11월경 OO역사 신축공사 현장에서 재해자는 역사 주차장 연결통로 케노피 높은 구간 유리의 충진재를 채우고 낮은 구간의 케노피에서 이동 중 일부 유리가 미설치된 구간의 개구부(너비≒900x1500mm)를 미쳐 발견하지 못하고 약 3.5m 아래 바닥으로 추락</t>
  </si>
  <si>
    <t xml:space="preserve">캐노피 구조물 상부에서 이동하던 중 유리가 미설치된 개구부를 인지하지 못하고 발을 헛디뎌 추락 </t>
  </si>
  <si>
    <t>2017년 1월경 OO고등학교 창호교체 작업 현장에서 재해자가 고소작업차량(일명고소작업대 또는 스카이, 22M)에 탑승하여 실리콘 코킹 작업을 위한 마스킹 테이프를 붙이던 중- 고소 작업차량의 안전난간 미설치 구간(약 40cm)으로 떨어짐(H ≒ 8.5m)</t>
  </si>
  <si>
    <t>2017년 1월경 외부 창호공사 현장에서, 협력업체 소속 재해자가 당 현장내 5층 (후면)창호공사 과정에서 유리 고정을 위한 실리콘 작업 후 건물 외측 난간벽(Parapet) 상단부로 이동 중 난간벽 상단부(H=19.3m)에서 아래 지상 1층 콘크리트 바닥으로 추락</t>
  </si>
  <si>
    <t>눈과 얼음이 쌓인 외측 난간벽(폭 30cm) 상단으로 작업구간을 이동하던 중 미끄러짐에 의해 난간벽 단부로 추락</t>
  </si>
  <si>
    <t>▶ 추락할 위험이 있는 장소에서 작업 또는 이동 시 안전대 부착설비를 설치하고 안전대를 체결 후 작업토록 관리감독
▶ 편리하고 안전하게 통행할 수 있는 작업통로 설치</t>
  </si>
  <si>
    <t>2017년 3월경 공동주택 신축공사 현장에서, 협력업체 소속 재해자가 계단 연창에서 창호 내 유리 고정용 철물 설치작업 중 기 설치된 수직형 추락방망을 일부 해체하고 창호의 상부 쪽에 철물을 설치하던 중 몸의 중심을 잃고 지상으로 추락(H≒50m)</t>
  </si>
  <si>
    <t>작업을 위해 수직형 추락방망을 일시 해체 후 몸을 구조물 외부로 내민 자세에서 창호 부속철물을 설치하던 중 몸의 중심을 잃고 추락</t>
  </si>
  <si>
    <t>2017년 7월경 OO초등학교 외부창호교체 공사 현장에서 재해자가 창틀 하부에 올라서서 외벽에서 분리된 상부 창틀 해체(절단) 중 몸의 중심을 잃고 창밖 바닥으로 떨어짐(H≒7.4m)</t>
  </si>
  <si>
    <t>외벽 창틀 하부에 올라서서 창틀 해체작업 중 양손으로 해체물을 떼어내는 과정에서 몸의 중심을 잃고 안전난간이 설치되지 않은 단부로 추락</t>
  </si>
  <si>
    <t>2017년 8월경 아파트 신축공사 현장에서 재해자가 A형사다리 위에 서서 세대내부 대피공간 외측 피난창호 보양테이프를 제거하던 중, 창호 개구부를 통해 외부(H:8.0m)로 추락</t>
  </si>
  <si>
    <t>이동식사다리에서 작업 중 발을 헛디뎌 주변 개구부로 추락</t>
  </si>
  <si>
    <t>▶ 건물 외부의 창호 보양테이프 시공 및 제거 작업 시, 창호 개구부를 통해 내부에서 외부로 몸을 내밀어 작업하는 등 불안전한 작업방식을 금지하며 고소작업대 또는 달비계 등을 사용하여 작업하도록 조치
▶ 작업자의 개인보호구, 안전대 체결여부 점검 및 관리감독</t>
  </si>
  <si>
    <t>2017년 10월경 OO건설의 신축공사현장에서 재해자 2명이 곤돌라의 달기 발판에 탑승하여 3층 외벽의 창틀에 유리끼우기 작업을 하던 중, 창틀에 묶어놓은 곤돌라의 달기발판 흔들림방지 로프가 끊어져 발생한 틈새로 재해자 2명이 지상으로 떨어짐(h=10m)</t>
  </si>
  <si>
    <t>곤돌라의 달기발판에 탑승하여 유리를 시공하던 중 창틀에 묶어놓은 로프가 끊어져 바닥으로 추락</t>
  </si>
  <si>
    <t>▶ 곤돌라의 달기발판에 탑승하여 고소작업 시, 달기발판을 견고하게 고정 후 작업 실시
▶ 작업자의 개인보호구, 안전대 체결여부 점검 및 관리감독</t>
  </si>
  <si>
    <t>2017년 11월경 인테리어공사 현장에서 재해자가 건물 내부 2층 바닥에 강화유리를 설치하기 위해 이동 중 바닥 개구부(900mm×800mm)를 미처 발견하지 못하고 추락(H≒3m)</t>
  </si>
  <si>
    <t xml:space="preserve">건물 내부 바닥에 강화유리를 설치하기 위해 이동하는 중 바닥 개구부를 인지하지 못하고 추락 </t>
  </si>
  <si>
    <t>▶ 바닥면에 유리설치 작업 시 순차적으로 작업 및 표시하여 개구부 추락 방지
▶ 바닥면에 유리설치 작업 중 미작업 부분에 대해 안전난간, 개구부 덮개 및 추락방망 설치
▶ 추락위험이 있는 장소에서 작업 시 안전대 부착설비 설치 및 안전대 착용</t>
  </si>
  <si>
    <t>2017년 11월경 OO프라자 B/D 외벽보수공사 현장에서 재해자 2명이 건물 배면 지상8층(높이 약 34m)의 외벽 창틀 하부 몰딩작업을 하기 위해 차량탑재형 고소작업대(이하 고소작업대)의 작업대에 탑승하여 붐을 이동(좌선회) 중 도로에 설치된 고소작업대가 전도되면서 작업대와 함께 지상 약 33m 아래 지상으로 추락</t>
  </si>
  <si>
    <t>고소작업대에 탑승한 상태에서 붐을 선회하던 중 아웃트리거가 전개되지 않은 방향으로 고소작업대가 전도하면서 작업대에서 추락</t>
  </si>
  <si>
    <t xml:space="preserve">▶ 고소작업대 허용 작업반경 내 사용 준수 
▶ 고소작업대 작업 전 과부하방지장치 등 안전장치 설치상태 및 작동유무 점검
▶ 고소작업대 작업 시 아웃트리거 전개 등 전도방지조치 </t>
  </si>
  <si>
    <t>2017년 11월경 공동주택 신축공사 현장에서 협력업체 소속 재해자가 지상4층 발코니에서 창틀에 창문을 설치하기 위해 자재를 옮기다가 몸의 중심을 잃고 발코니 외측 단부에서 추락하여 지상에 있던 고소작업대의 전도방지대(아웃트리거)에 목과 가슴을 부딪힘</t>
  </si>
  <si>
    <t>운반작업의 편의를 위해 발코니 단부에 안전난간을 설치하지 않은 상태에서 고소작업대를 이용해 자재를 옮기던 중 발을 헛디뎌 발코니 단부로 추락</t>
  </si>
  <si>
    <t>▶ 고소작업대를 사용하여 발코니 등 단부를 통해 자재를 운반할 시, 운반의 편의성을 이유로 안전난간대를 해체하는 행위를 금지하며 고소작업대를 안전난간대 위로 상승시켜 자재를 운반하도록 조치
▶ 고소작업대를 사용하여 발코니 등 단부를 통해 자재를 운반할 시, 안전대 부착설비 설치하고 안전대를 체결한 후 작업하도록 조치</t>
  </si>
  <si>
    <t>2017년 12월경 OO아파트 신축공사 현장에서 금속창호공사 협력업체 소속의 재해자가 중공구간의 천창 금속 프레임 용접작업중, 시스템비계와 강관비계 작업발판 사이의 개구부로 추락(H≒40m)</t>
  </si>
  <si>
    <t>시스템비계에서 작업 중 발을 헛디뎌 안전난간이 설치되지 않은 작업발판 단부로 추락</t>
  </si>
  <si>
    <t>2019년 5월경 OO프라자 신축공사장에서 협력업체 소속 재해자가 가시공된 창호틀을 고정하기 위해 건물 밖 차량탑재형 고소작업대 상부(높이 약2.5m)에서 구조물과 창호틀 사이에 우레탄 폼을 좌측에서 우측으로 시공하던 중 안전난간이 해체되었던 고소작업대 우측방향 단부로 떨어짐</t>
  </si>
  <si>
    <t>2019년 5월경 OO테마파크 조성사업 현장에서 재해자가 업무 및 휴게동의 휴게시설(6층 위치) 옥상층 바닥 강화유리 설치를 위하여 격자형태의 경량철골 개구부에 걸쳐놓은 임시 작업발판 위에서 자재(강화유리)를 기다리던 중 몸의 중심을 잃고 6층 바닥으로 추락(H≒3.8m)</t>
  </si>
  <si>
    <t>옥상 구조물 상부에 합판을 올려두고 그 위에 서서 작업을 준비하던 중 고정되지 않은 합판이 밀리면서 추락</t>
  </si>
  <si>
    <t>2019년 8월경 상가주택 외벽 방수공사 현장에서 재해자가 달비계를 이용하여 경사지붕 하부 창틀 코킹작업 중 옥상 청소용 걸이와 지붕 피뢰침에 묶인 지지로프가 풀리면서 지상 바닥(높이 약16m)으로 추락</t>
  </si>
  <si>
    <t>달비계 작업 중 고정점의 지지로프가 풀리면서 추락</t>
  </si>
  <si>
    <t>2019년 12월경 주택재개발 현장에서 협력업체 소속 재해자가 거실창호 외측 중앙의 접합유리(Fix창, 대형창호 개구부) 설치를 위하여 기 설치되어있던 내측 창호를 해체하여 이동하려던 중, 무게중심을 잃고 중앙의 대형창호 개구부로 추락하여 외부 시스템비계 상단(높이 약 10.8m)에 1차 추락 후, 지상 바닥(높이 약 12.4m)으로 2차 추락</t>
  </si>
  <si>
    <t>기 설치된 창호를 해체하여 양손으로 들어 옮기는 과정에서 창호가 개구부 외측으로 무게중심이 쏠리면서 창호와 함께 개구부로 추락</t>
  </si>
  <si>
    <t>2020년 6월경 OO사옥 신축공사 현장에서 창호 및 유리공사 협력업체 소속 재해자가 현장 외부에 설치된 차량탑재형 고소작업대에 탑승하여 지상 7층 높이에서 커튼월 유리 주위 코킹시공을 위한 준비작업 중 작업대 안전난간 미설치 구간(약 40cm)에서 추락(H≒27m)</t>
  </si>
  <si>
    <t>고소작업대에 탑승하여 작업을 준비하던 중 발을 헛디뎌 안전난간이 설치되지 않은 작업대 단부로 추락</t>
  </si>
  <si>
    <t>2020년 7월경 도시환경정비사업 현장에서 재해자가 지하주차장 램프(#3) 지붕 유리설치 공사 중 유리 미설치 구간으로 추락(H≒7.6m)</t>
  </si>
  <si>
    <t xml:space="preserve">주차장 램프 지붕 상부에서 작업 중 유리가 미설치된 개구부를 인지하지 못하고 발을 헛디뎌 추락 </t>
  </si>
  <si>
    <t>2020년 8월경 근린생활시설 신축공사 현장에서 재해자가 지상 2층에서 창호 상부에 L형 앵글을 설치하던 중 콘센트의 전선피복 손상부에 오른팔 손목 하부가 접촉·감전되어 A형 사다리에서 추락(H=2.0m)</t>
  </si>
  <si>
    <t>이동식사다리에서 작업 중 콘센트의 전선피복 손상부에 손목이 접촉되어 감전 후 추락</t>
  </si>
  <si>
    <t>▶ 현장 내 작업 시작 전, 당일 작업 공종을 대상으로 공도구 점검조치
▶ A형 사다리를 통해 고소작업 시, 하단부 미끄럼 방지패드, 아웃트리거 설치 등의 전도방지조치 실시</t>
  </si>
  <si>
    <t>2020년 8월경 OO역사 신축 공사 현장에서 협력업체 소속 재해자가 보행캐노피 상부에서 유리를 설치하던 중 보행캐노피 구조물에서 발을 헛디뎌 약 4.6m 아래로 추락</t>
  </si>
  <si>
    <t xml:space="preserve">캐노피 구조물 상부에서 유리 설치 작업 중 발을 헛디뎌 추락 </t>
  </si>
  <si>
    <t>2020년 11월경 재해자가 아파트 발코니 창틀 외부 코킹작업을 위해 옥상에서 달비계에 탑승하는 순간 달비계 로프 고정점이 파손되어 지상으로 추락 (H≒40m)</t>
  </si>
  <si>
    <t>달비계에 탑승하던 중 로프의 고정점이 파손되어 추락</t>
  </si>
  <si>
    <t>▶ 달비계 로프는 콘크리트에 매립된 고리, 건축물의 콘크리트 또는 철재 구조물 등 2개 이상의 견고한 고정점에 풀리지 않도록 결속
▶ 근로자의 하중을 견딜 수 있는 충분한 강도를 가진 로프, 구명줄 및 고정점 사용</t>
  </si>
  <si>
    <t>2020년 12월경 근린생활시설 신축공사 현장에서 유리공사 협력업체 소속 재해자가 현장 외부에 설치된 차량탑재형 고소작업대에 탑승하여 지상 2층 유리 주위 코킹작업 중 안전난간이 설치되지 않은 작업대 단부(폭 약 40cm)에서 몸의 중심을 잃고 추락(H≒9.1m)</t>
  </si>
  <si>
    <t>2020년 12월경 기숙사 신축공사(토목/건축/기계) 현장에서 재해자 2명이 차량탑재형 고소작업대에 탑승하여 건물 외벽 유리 실리콘 마감작업 중 고소작업대 운전자가 건물 유리면에 작업대를 가까이 붙이기 위해 붐을 조정하는 과정에서, 건물유리에 작업대가 충돌하였고 그 충격으로 작업대가 붐에서 탈락하면서 재해자 2명이 추락(H≒12m)</t>
  </si>
  <si>
    <t>고소작업대에 탑승하여 작업 중 작업대를 작업위치로 밀착시키기 위해 작업대를 작동하는 과정에서 유리와 충돌하고 작업대가 붐에서 탈락되며 작업대와 함께 추락</t>
  </si>
  <si>
    <t>▶ 고소작업대 사용 시, 작업대를 작업부위에 밀접하여 이동시키는 경우, 충돌을 방지하기 위해 사전에 조종원과 작업자 간의 신호체계 수립
▶ 고소작업대 사용 시, 허용 작업반경을 벗어나 작업하는 행위를 금지하고 안전장치는 항상 작동되어 있는 상태로 유지</t>
  </si>
  <si>
    <t>2020년 12월경 발코니창호 교체공사 현장에서 세대 내 거실에 적치되어 있던 우레탄 폼 용기 등이 인접해 있던 전기난로의 영향으로 인해 폭발하면서 화재가 발생하여 창호 교체작업 중이던 재해자 2명이 추락</t>
  </si>
  <si>
    <t>발코니에서 작업하던 중 주변에 적치된 자재(우레탄폼 용기 등)가 인접한 전기난로에 의해 폭발, 화재가 발생하면서 바닥으로 추락</t>
  </si>
  <si>
    <t>▶ 우레탄 폼 용기 등 폭발, 화재 발생 위험 물질을 사용하는 장소에서는 화기사용 금지
▶ 작업이 끝난 우레탄 폼 용기 등은 반출하거나 화기 접근이 통제된 위험물보관함에 보관 조치</t>
  </si>
  <si>
    <t>2021년 2월경 OO타운하우스 신축공사 현장에서 재해자는 창호설치작업을 마치고 고소작업차 철수를 위해 고정된 아웃트리거를 지상에서 올리던 순간 고소작업차가 내리막길로 굴러가면서 고소작업대 아웃트리거에 재해자가 추돌 후 끼여서 함께 내리막길로 끌려가 사망</t>
  </si>
  <si>
    <t>창호 설치를 마치고 고소작업대 철수를 위해 고정된 아웃트리거를 지상에서 올리던 순간 고소작업차가 내리막길로 굴러가면서 고소작업대 아웃트리거에 충돌 후 끼인 상태에서 내리막길로 끌려감</t>
  </si>
  <si>
    <t>▶ 고소작업대(차) 운전원이 운전위치 이탈 시 브레이크 또는 고임목 설치 등 차량 이탈 방지를 위한 조치 실시
▶ 고소작업대(차)를 경사로에 주차하는 경우 핸드(주차) 브레이크와 풋 브레이크를 함께 사용
▶ 고소작업대(차)가 경사로로 밀려 내러가는 경우, 무리하게 인력으로 차량 앞을 막아서는 행위 금지
▶ 고소작업대(차)를 이용하여 작업하는 경우 지형, 지반상태에 대해 사전조사 실시</t>
  </si>
  <si>
    <t>2021년 3월경 아파트에서 발코니 창틀 외부 실리콘 코킹을 위해 재해자가 단독으로 비계를 이용하여 측방에 있는 창틀에 코킹작업 하고자 하였으나, 수평방향으로 약 2.5m 이격되어 있어 달비계 작업대에서 벗어나 해당 위치로 이동해 코킹작업을 시도하다 약 10m의 지상으로 추락</t>
  </si>
  <si>
    <t>달비계 작업 중 작업위치가 닿지 않아 작업대에서 벗어나 실외기 난간을 밟고 작업하던 중 발을 헛디뎌 추락</t>
  </si>
  <si>
    <t>2021년 3월경 OO건설 코킹공사 현장에서 하청업체 소속 재해자가 아파트 옥상에서 유리창 코킹작업을 하기 위해 달비계 작업대를 탑승하여 동료작업자에게 자재를 건네받은 직후 메인로프가 풀리면서 지상 바닥으로 추락(H≒70m)하여 사망</t>
  </si>
  <si>
    <t>달비계 작업 중 지지로프가 풀리면서 지상 바닥으로 추락</t>
  </si>
  <si>
    <t>2021년 7월경 산업단지 공장 신축공사 현장에서 차량탑재형 고소작업대를 사용하여 창호 유리 설치작업 중 차량탑재형 고소작업대가 붐대방향으로 기울면서 전도되어 작업대에 탑승하여 작업 중이던 재해자 2명이 약 13m 아래로 떨어짐</t>
  </si>
  <si>
    <t>안전장치가 해제된 고소작업대에 탑승하여 작업 중 작업반경을 초과한 고소작업대가 전도하면서 추락</t>
  </si>
  <si>
    <t>2021년 11월경 다중주택시설 내부 리모델링 공사현장 내 3층 거실 창틀에서 2인 1조로 창호 설치작업을 하던 중 동료작업자가 창호 고정공구(타정총)를 가져오기 위해 이동한 사이에 재해자가 창호와 함께 추락(h≒8.5m)</t>
  </si>
  <si>
    <t>창호 설치 작업 중 창틀에 기대어 세워둔 창호가 구조물 외측으로 전도되면서 창호를 붙잡으려던 재해자가 함께 추락</t>
  </si>
  <si>
    <t>2021년 12월경 실내체육시설 신축공사 현장에서 재해자 2명이 차량탑재형 고소작업대 위에서 건물 계단실 프로젝트창호에 유리를 설치하기 위한 테이핑 작업 중 약 12.6m 아래 지상으로 떨어짐</t>
  </si>
  <si>
    <t>4.7 수장 작업</t>
  </si>
  <si>
    <t>4.7.1 수장 자배반입, 운반</t>
  </si>
  <si>
    <t>2016년 7월경 OO(주) OO아파트 신축공사 현장 102동 앞 중앙도로에서 지게차로 하역하던 석고보드 자재 더미가 지나가던 재해자(석재반장)에게 떨어져 사망</t>
  </si>
  <si>
    <t xml:space="preserve">화물트럭 적재함에서 지게차를 이용한 하역 작업 중 지게차 포크가 자재 하부에 충분히 들어가지 않은 상태에서 무리하게 들어올리는 순간 전도되면서 화물차 후면을 지나던 재해자가 맞음 </t>
  </si>
  <si>
    <t xml:space="preserve">▶ 사전 하역운반기계에 대한 작업계획서를 수립하고, 화물의 낙하 위험구간에 작업자 접근금지 등의 조치를 실시
▶ 화물 하역 전 적재상태가 불량하여 지게차로 하역이 곤란할 경우, 무리한 하역을 지양하고 크레인 등의 다른 하역 방법으로 검토 </t>
  </si>
  <si>
    <t>2016년 9월경 OO교회 신축공사 현장에서 인테리어 공사 협력업체 소속 재해자가 합판 운반 작업 중 2~3층 계단참에 적재한 합판이 전도되면서 계단을 내려가는 재해자를 덮쳐 바닥으로 넘어짐</t>
  </si>
  <si>
    <t>계단참에 기울여 세워둔 자재(합판)가 작업충격 등에 의해 전도되면서 계단을 내려가던 재해자가 맞음</t>
  </si>
  <si>
    <t>▶ 자재 적재 시 낙하 위험이 없는 구간에 눕혀서 적재하도록 하고, 만약 세워서 적재할 경우 길이가 긴 변을 바닥으로 적재한 후 자재 하단에 전도 방지를 위한 받침 등의 안전 조치
▶ 작업자의 개인보호구 착용상태 점검 및 관리감독</t>
  </si>
  <si>
    <t>2016년 10월경 OO교 보수공사 현장에서 OO건설(주) 소속 재해자(보통인부)가 연마재가 담긴 마대자루를 지게차 포크에 매달아 하역 운반 작업 중 지게차가 전도되면서 지게차 헤드가드에 목 부위가 협착되어 사망</t>
  </si>
  <si>
    <t>지게차 포크에 자재 마대자루를 매달아 포크를 인양한 상태에서 지게차를 후진 및 회전하는 순간 편심이 발생하여 전도되면서 지게차 헤드가드에 재해자 목이 끼임</t>
  </si>
  <si>
    <t>▶ 차랑계 하역운반기계 작업 전 사전조사 및 작업계획서 수립을 통해 작업 구간의 지반 및 환경 상태 점검
▶ 차랑계 하역운반기계 작업 시, 운전자의 좌석 안전띠 착용여부 및 면허 소지여부 등 점검</t>
  </si>
  <si>
    <t>2017년 1월경 다가구주택 신축공사 현장에서 재해자(미장공)가 계단을 이동하던 중 계단에 설치된 보온양생용 난로(알코올 연료) 불꽃이 작업복으로 옮겨 붙어 화상을 입고 사망</t>
  </si>
  <si>
    <t>보온양생용 난로의 불꽂이 작업구간을 이동하던 재해자의 작업복에 옮겨붙어 화상</t>
  </si>
  <si>
    <t>▶ 현장 내 콘크리트 양생용 연료를 근로자가 목적 외로 무단 반출하여 사용하는 것을 금지하고, 양생 중인 연료는 전도되지 않도록 주변 접근금지 또는 하부에 적절한 시설을 설치
▶ 현장에 난방이 필요한 경우, 화재 및 화상 예방 안전장치가 부착된 품질 보증 제품의 난방장비를 사용
▶ 화기사용 장소의 접근방지 조치 실시 및 소화기, 방화모래 등의 소화설비를 설치</t>
  </si>
  <si>
    <t xml:space="preserve"> 2017년 11</t>
  </si>
  <si>
    <t xml:space="preserve"> 2017년 11월경 OO(주)아파트 신축공사 현장에서 내부 마감공사를 도급받은 협력업체 소속 재해자(보통인부)는 MDF합판 운반 작업 중이던 동료작업자가 107동 지상 1층 리프트 출입구 경사로에서 MDF합판이 실린 손수레를 사용하여 끌고 내려오는 것을 보고 도와주려다 손수레에 밀려 경사로 주변에 적재되어 있던 시멘트벽돌과 손수레 사이에 끼어 사망</t>
  </si>
  <si>
    <t>손수레를 사용하여 자재운반 작업 중 경사로를 내려오던 손수레에 밀려 적재된 시멘트벽돌과 손수레 사이에 끼임</t>
  </si>
  <si>
    <t>▶ 손수레로 자재 운반 시, 사전에 중량물 취급 작업계획서를 수립하여 손수레의 제원과 자재 규격 등을 검토하고 그에 따른 적절한 조치 후 작업 진행
▶ 경사로를 통한 자재 운반 시, 적정 중량의 자재를 적재하여 운반하도록 관리감독</t>
  </si>
  <si>
    <t>2018년 1월경 OO지역주택조합 아파트 신축공사 현장에서 재해자가 17층 세대내 바닥 층간차음재 설치를 위해 건설용 리프트를 타고 올라가던 중 운반구가 11~12층 사이에 갑자기 멈추자 운반구 세대내부쪽 출입문을 열고 11층으로 내려가다 몸의 중심을 잃고 실족하여 약 30m 아래 리프트 방호울내 바닥으로 떨어져 사망</t>
  </si>
  <si>
    <t>운행 중 정지된 건설용 리프트의 안전문을 열고 건물 내부로 이동하던 중 건물과 승강로 사이로 추락</t>
  </si>
  <si>
    <t>▶ 건설용 리프트 사용 시 수시로 비상정지장치의 작동유무 등 점검을 실시하고 이상발견 시, 필요한 조치 실시
▶ 건설용 리프트 사용하는 작업자를 대상으로 리프트의 이동순서, 동작원리, 방호장치 기능 및 사용 등을 포함한 특별교욱을 실시
▶ 건설용 리프트 사용 시, 리프트가 층 사이에 정지할 경우, 억지로 문을 열고 건물 내부로 들어가는 행위를 금지하고 리프트 담당 관리자에게 연락하여 적절한 조치를 받을 때까지 대기</t>
  </si>
  <si>
    <t>2018년 3월경 ㈜OO 아파트 건설공사 1공구 현장내 103동 건설작업용 리프트에서 7~8층 사이에 정지시킨 재해자(일용직)가 103동 7층 발코니로 이동하던 중지면에 떨어져(H≒19m) 사망</t>
  </si>
  <si>
    <t>2018년 7월경 ㈜OO종합건설 OO신축공사 현장에서 재해자가 9층 창호 주변에 설치된 이삿짐 운반용 리프트(일명 사다리차) 운반구 위에서 자재 하역운반작업 중, 몸의 중심을 잃고 약 25.7m 아래 외부비계 2층 작업발판 위로 추락하여 사망</t>
  </si>
  <si>
    <t>사다리차 위에서 도장작업 중, 고소작업대 상부난간대가 이탈되어 근로자가 몸의 중심을 잃고 추락</t>
  </si>
  <si>
    <t>▶ 이삿짐 운반용 사다리차의 목적 외 사용금지
▶ 이삿짐 운반용 사다리차의 경우 작업자 탑승금지</t>
  </si>
  <si>
    <t>2019년 7월경 재해자(일반인부)가 OO인테리어 공사현장에서, 샌드위치패널로 설치된 천장이음부 들뜸 보수작업을 하기 위하여 안전난간이 설치되지 않은 이동식비계(높이 : 1.83m)위의 작업발판으로 올라가 천장 패널을 밀어올리던 중 중심을 잃고 자재가 쌓여있던(C형강)바닥으로 떨어져(높이 : 1.83m) 사망(추정)</t>
  </si>
  <si>
    <t>이동식비계에서 양손으로 자재를 들어올리던 중 몸의 중심을 잃고 안전난간이 설치되지 않은 작업발판 단부로 추락</t>
  </si>
  <si>
    <t>▶ 이동식비계 조립 시 안전난간, 아웃트리거 지지, 구름방지장치 등 설치기준을 준수하여 추락 및 전도방지 조치 철저
▶ 이동식비계 부재(주틀, 안전난간, 발바퀴, 아웃트리거 등)는 방호장치 안전인증 기준에 적합한 제품을 사용
▶ 부득이하게 안전난간 일부를 해체해야할 경우, 관리감독자 등 감시자 배치 및 근로자 안전대 체결여부 관리감독
▶ 이동식비계 승하강용 사다리 이용하여 이동 시, 작업자 실족 및 추락방지 하기 위한 작업장 조도 확보(적절한 조명기구 설치 등)
▶ 작업자의 개인보호구, 안전대 체결여부 점검 및 관리감독</t>
  </si>
  <si>
    <t>2020년 1월경 OO냉동창고 신축공사에서 협력업체 소속 재해자(보통인부)가 냉동창고 내벽에 설치된 시스템비계 작업발판(12단) 끝부분의 상부와 중간 안전난간대 사이로 몸을 내밀어 우레탄 발포 호스(W≒98.8kg, L≒90m)를 아래 작업발판(11단)에 위치한 동료근로자에게 인력으로 내리던 중 재해자가 몸의 중심을 잃고 1층 바닥으로 떨어져(H=23.15m) 사망</t>
  </si>
  <si>
    <t>시스템비계에서 상부 및 중간 난간대 사이로 몸을 내밀어 자재를 아래로 내리던 중 무게중심이 앞쪽으로 쏠리면서 추락</t>
  </si>
  <si>
    <t>▶ 외부비계에서 작업 시, 상하부 작업자 간 공구 등을 던지는 등 불안전한 행위를 금지
▶ 외부비계 조립 시, 작업통로 작업발판을 밀실하게 설치하며 내, 외측에 안전난간대(2단) 설치 철저
▶ 비계 외측으로 몸을 내밀어 자재, 공구 등을 운반하는 행위를 지양하고, 윈치를 사용하여 내리는 등 안전한 방법으로 작업 개선
▶ 외부비계에서 작업 및 이동 시 안전대를 체결하도록 조치</t>
  </si>
  <si>
    <t>2020년 2월경 OO교회 신축공사의 인테리어 공사 현장 중 금속공사 협력업체 소속 재해자(보통인부)이 지상3층 대예배실 천정에 설치할 자재를 계단을 이용하여 동료작업자와 지상5층에서 지상3층으로 옮기던 중, 지상3층의 계단 단부로 추락(H≒10.2m)하여 사망</t>
  </si>
  <si>
    <t>자재운반 중 발을 헛디뎌 안전난간이 설치되지 않은 계단 단부로 추락</t>
  </si>
  <si>
    <t>▶ 계단실 내 추락 방지를 위한 계단실의 개방된 측면에는 안전난간대 등 추락방지용 안전시설물을 설치하고, 관리감독자나 안전관리자는 지연 설치되지 않도록 관리감독
▶ 루버(천정재)등 긴 부재의 경우 안전시설물이 미설치된 계단실을 통해 인력으로 운반하는 행위를 지양하고, 윈치 또는 다른 이동통로를 사용하여 운반하도록 관리감독</t>
  </si>
  <si>
    <t>2020년 6월경 근린생활시설 증축공사 현장에서 이동식크레인(25톤, 유압식)을 이용하여 단열재 묶음(1,200×2,000×2,160, 중량: 206kg)을 옥상층 바닥으로 인양하던 중, 돌출된 비계기둥에 걸려 떨어진 단열재 묶음이 옥상에서 신호 중이던 재해자(철거공)의 머리를 타격하여 사망</t>
  </si>
  <si>
    <t>이동식크레인으로 자재 인양 중 자재가 돌출된 장애물(비계기둥)에 걸려 낙하하면서 재해자가 맞음</t>
  </si>
  <si>
    <t>▶ 작업 전 사전조사 및 작업계획서 수립을 통해 장비 배치구간 선정 및 중량물 취급 시 줄걸이 방식 등을 계획
▶ 시야확보가 어려운 상황에서 크레인을 이용해 자재를 인양할 경우, 사전에 적절한 신호체계를 구축
▶ 자재 인양 시 훅 해지장치 등 이탈방지 장치 설치 및 정상작동 여부를 확인하고, 인양 전 관리감독자가 인양물과의 결합 상태 점검 등의 조치
▶ 크레인으로 자재 인양 시, 인양물의 형상과 재료적 특성에 따른 적절한 줄걸이 방법 사용
▶ 인양 작업 시 인양물이 낙하할 수 있는 작업반경 내 근로자 출입금지 조치</t>
  </si>
  <si>
    <t>2020년 6월경 OO인테리어에서 시공 중인 OO현장에서 재해자(보통인부)가 세대 내부에서 거실창 개구부를 통해 철거한 폐자재를 이삿짐운반용 리프트의 운반구에 싣던 중 리프트의 운반구가 아래로 기울어지며 재해자가 몸의 중심을 잃고 약 12m 아래 지상층 바닥으로 추락하여 사망</t>
  </si>
  <si>
    <t>창문턱을 딛고 올라서서 자재를 고소작업대로 옮겨 싣던 중 운전원의 목에 걸어둔 조종장치의 버튼이 눌리는 순간 작업대가 기울면서 몸의 무게중심이 쏠려 바닥으로 추락</t>
  </si>
  <si>
    <t>▶ 추락 위험 구간에서 작업 시 안전대 부착설비 설치 및 안전대 체결여부 점검 및 관리감독
▶ 고소작업대(차) 안전장치 설치 및 정상작동 상태 유지로 허용 작업범위 내에서 작업 실시</t>
  </si>
  <si>
    <t>2021년 3월경 OO 신사옥 신축 현장 지상 1층 건물 내 도로에서 지게차를 이용하여 화물차에 실린 UHPC패널(내부마감재)을 하역하던 중 UHPC 파렛트가 화물차 측면으로 넘어져 재해자(화물차 운전자)가 넘어진 파렛트와 적재되어 있던 각재파이프 묶음 사이에 끼어 사망</t>
  </si>
  <si>
    <t>화물트럭 적재함에서 지게차를 이용한 하역 작업 중 적재함 후면으로 치우쳐 있던 자재 파렛트에 지게차 포크를 넣고 들어올리는 순간 전도되면서 파렛트와 주변 적재물 사이에 끼임</t>
  </si>
  <si>
    <t>2021년 10월경 OO 신축공사 현장에서 지상5층에서 지하1층으로 천장자재(마이톤)를 하역하기 위해 고소작업대 장비 운전원이 붐대 인입을 시도했지만 작업대 하부가 지상 5층 건물 단부 토보드(발끝막이판)에 걸려 움직이지 않자 토보드에 걸려 장력을 받고 있던 작업대가 원인 미상으로 순간적으로 장력이 풀리며 반동에 의해 붐대가 약 3m 수평으로 흔들리면서 지상5층에서 있던 재해자가 손으로 작업대 난간을 잡고, 작업대 위에 한 발을 올려놓은 과정에서 몸의 균형을 잃고 약 18m 아래로 떨어져 사망</t>
  </si>
  <si>
    <t>하역작업 후 고소작업대 붐을 인입하던 중 작업대가 구조물에 걸렸다 풀리면서 흔들림이 발생하여 작업대에 한 발을 걸치고 있던 재해자가 몸의 균형을 잃고 추락</t>
  </si>
  <si>
    <t>▶ 고소작업대(차)를 사용하는 경우 탑승자가 작업대를 벗어나지 않도록 조치
▶ 고소작업대(차) 사용 시 작업반경 내 구조물, 나무 등이 걸리지 않는 적합한 장소에 위치한 후 작업 진행
▶ 고소작업대(차) 사용 작업 시 작업대 단부 등 추락 위험 구간에 안전난간을 설치하고, 작업대의 안전난간이 아닌 별도의 안전대 부착설비 설치 및 안전대 체결상태 점검 및 관리감독
▶ 고소작업대(차) 안전장치 설치 및 정상작동 상태 유지로 허용 작업범위 내에서 작업 실시</t>
  </si>
  <si>
    <t>4.7.2 수장시공(석고보드, 도배 등)</t>
  </si>
  <si>
    <t>2016년 1월경 (주)OO 근린생활시설 2층, 3층 내부인테리어 공사(헬스장 내부공사) 현장에서 재해자 등 작업자 3명이 함께 2층 남자탈의실 구간의 내부 칸막이(마그네슘 보드, 석고 보드 등)공사를 위해 칸막이 틀(메탈 스터드)을 설치하는 작업을 하던 중, 에탄올 임시난로 주변에서 작업용 공구를 녹이던 순간 임시난로가 강풍에 의해 넘어지면서 재해자들(2명)의 바지에 에탄올이 튀면서 불이 붙어 1명이 사망, 1명이 부상</t>
  </si>
  <si>
    <t>강풍에 의해 난로가 넘어지면서 불꽂이 재해자의 작업복에 옮겨붙어 화상</t>
  </si>
  <si>
    <t>2016년 1월경 실내 인테리어 공사 현장에서 재해자가 길이 12M의 배기용덕트를 5층 건물의 외벽에 거치하기 위하여 고소작업대(SKY)에 덕트(30kg)를 묶어 바닥에서 5층으로 인양하던 중 4층 높이에서 고소작업대 붐의 인출용 와이어로프가 끊어지면서 붐이 3M 아래로 하강하여 작업대에 있던 재해자가 11M 아래 콘크리트바닥으로 추락하여 사망</t>
  </si>
  <si>
    <t>배기용덕트를 고소작업대에 묶어 바닥에서 5층으로 인양하던 중 4층 높이에서 고소작업대 붐의 인출용 와이어로프가 끊어짐에 따라 근로자 추락</t>
  </si>
  <si>
    <t>▶ 고소작업대 작업 전 와이어로프 등 인양용 로프의 손상 여부 사전 점검 실시
▶ 고소작업대 탑승 작업자에게 안전모, 안전대 지급 및 착용</t>
  </si>
  <si>
    <t>2016년 1월경 OO초 교사 증축현장에서 피해자(판넬공)이 3∼4층 계단실 인근 비계 위에서 단열재 설치작업 중, 몸의 중심을 잃고 개구부사이로 추락(H≒9m)하여 사망</t>
  </si>
  <si>
    <t>비계에서 작업 중 발을 헛디뎌 안전난간이 설치되지 않은 작업발판 단부로 추락</t>
  </si>
  <si>
    <t>▶ 비계 내, 외측의 추락 위험구간에는 안전난간을 상부, 중간 난간대로 구성하여 설치하고, 전용 연결 핀 또는 클램프 등을 사용하여 견고하게 고정
▶ 안전난간은 구조적으로 가장 취약한 지점에서 가장 취약한 방향으로 작용하는 100kg 이상의 하중에 견딜 수 있는 구조로 설치
▶ 안전난간 재료로 사용되는 파이프, 클램프 등은 안전인증품으로 사용
▶ 비계의 안전난간 해체는 원칙적으로 금지하고, 벽체 마감재 시공을 위해 부득이하게 해체해야할 경우 사전에 안전성을 고려하여 발판과 벽체 사이 간격을 최소한으로 검토하여 설치하거나, 근로자 안전대 지급 및 안전대 착용한 상태로 이동 및 작업할 수 있도록 관리감독
▶ 비계 작업발판 설치 시, 견고하게 고정하며 별도의 개구부가 발생하지 않도록 설치
▶ 작업자의 개인보호구 착용, 안전대 체결여부 점검 및 관리감독</t>
  </si>
  <si>
    <t>2016년 4월경 OO건설 공사현장에서 재해자 등 3명이 비산먼지 방지용 가시설을 설치하는 과정에서 천장받침대(경량철골천장틀) 상부로 올라가 천장마감재(루바)에 천장보양재를 깔기 위해 이동 중 점검용 개구부(H=7m)로 떨어져 사망</t>
  </si>
  <si>
    <t>개구부 덮개가 고정되지 않은 바닥의 개구부를 통해 근로자 추락</t>
  </si>
  <si>
    <t>▶ 추락 위험장소(슬래브 단부 등)에서 작업 시 외부 비계 조립 등 폭 40cm 이상의 작업발판 설치 및 단부 구간에 안전난간 등 추락방지용 안전시설물을 견고하게 설치
▶ 안전난간 설치 시 지름 2.7cm 이상의 금속제 파이프나 그 이상 강도의 재료 사용하며 구조적으로 가장 취약한 지점에서 가장 취약한 방향으로 작용하는 100kg 이상의 하중에 견딜 수 있는 구조로 설치
▶ 슬래브 단부 등에 작업발판 및 안전난간 설치가 곤란한 경우 근로자 추락방지를 위해 추락방지망 설치 또는 안전대 부착설비 설치 및 안전대 체결</t>
  </si>
  <si>
    <t>2016년 4월경 인테리어 공사 현장에서 OO인테리어 소속 내장목공인 재해자가 내부벽체 칸막이 설치를 위해 A형 사다리 위에 올라서서 천장에 먹줄을 치는 작업 중 몸의 중심을 잃고 콘크리트 바닥(높이 210㎝)으로 떨어져 사망</t>
  </si>
  <si>
    <t>이동식사다리에서 작업 중 발을 헛디뎌 바닥으로 추락</t>
  </si>
  <si>
    <t>▶ 사다리를 사용하여 고소작업을 하는 경우, 하부 아웃트리거 설치, 미끄럼방지패드 설치 등 전도방지조치를 실시하며 사다리 하부를 잡아줄 수 있도록 근로자 추가 배치하여 2인 1조 작업 실시
▶ 가능한 사다리 사용을 지양하고 비교적 안전성이 높은 이동식 비계, 고소작업대 등의 사용을 권고
▶ 접이식 사다리 기둥은 사용 시 접히거나 펼쳐지지 않도록 철물 등을 사용하여 견고하게 고정
▶ 사다리가 아닌 별도의 위치에 안전대 부착설비를 설치하고 안전대를 체결한 상태로 작업할 수 있도록 관리감독 
▶ 작업자의 개인보호구 착용상태 점검</t>
  </si>
  <si>
    <t>2016년 6월경 ㈜OO OO 현장에서, 재해자(내장목공)가 9동 5층 석고보드 부착용 석고본드를 배합하기 위하여, 휴대용교반기를 콘센트에 접속하는 순간 충전된 접지단자에 의하여, 휴대용교반기 금속제 본체가 충전되었고, 충전된 금속제 본체에 접촉되며 감전되어 사망</t>
  </si>
  <si>
    <t>휴대용 교반기를 콘센트에 접속하는 과정에서 충전된 금속제 외함에 접촉되며 감전</t>
  </si>
  <si>
    <t>▶ 감전위험이 있는 충전부분에 내구성있는 절연물로 감싸는 등 방호조치 실시
▶ 기준에 맞는 접지성능의 확보여부 검토 및 조치
▶ 가설분전함 주변의 습도 등 환경관리 철저</t>
  </si>
  <si>
    <t>2016년 7월경 개인상가주택 신축현장 2층 거실에서 재해자(목수)가 삼나무판재를 잡고 움직이던 중 2층 거실 유리창 창문틀에 발이 걸리면서 건물 밖으로 떨어져(H=4.8m) 사망(추정)</t>
  </si>
  <si>
    <t>슬래브 단부에서 이동하던 중 창틀에 발이 걸려 창호 개구부로 추락</t>
  </si>
  <si>
    <t>2016년 9월경 OO건설에서 시공중인 OO교회 예배당 신축공사 현장에서 재해자가 옥상 패러핏에 단열용 스티로폼을 설치하다가 지상 3층 외부 비계 작업발판으로 이동하여 옥상 패러핏 설치 위치 등을 확인 중 작업발판 단부에서 실족하여 지상 1층 외부 바닥으로 떨어져(높이≒10.5m) 사망</t>
  </si>
  <si>
    <t>▶ 외부비계 조립 시, 작업통로 작업발판을 밀실하게 설치하며 내, 외측에 안전난간대(2단) 설치 철저
▶ 안전난간이 미설치된 외부비계에서 작업 및 이동 시 안전대를 체결하도록 조치</t>
  </si>
  <si>
    <t>2017년 4월경 OO병원 인테리어 공사현장 진료실에서 재해자(도배공)가 작업발판(말비계) 위에서 벽체 도배작업 중 중심을 잃고 바닥으로 떨어져 사망</t>
  </si>
  <si>
    <t>말비계 위에서 양손을 머리 위로 올린 자세로 작업하던 중 몸의 중심을 잃고 추락</t>
  </si>
  <si>
    <t>▶ 말비계의 높이가 낮아 작업이 어려울 경우, 다른 규격의 말비계로 교체하여 작업하거나 말비계 하부에 작업자를 추가 배치하여 작업자 및 말비계를 잡아주도록 조치 후 작업 진행
▶ 말비계 작업발판 양 단부에 낙상 경보 장치를 설치하여 근로자 추락 방지
▶ 말비계를 사용하여 작업 시 개인보호구 착용여부 관리감독</t>
  </si>
  <si>
    <t>2017년 4월경 ㈜OO OO실험동 신축공사 현장에서, 소속 재해자(뿜칠공)가 실험동 3층에서 천정 단열재 퍼티작업으로 사용 예정이던 이동식 비계 하부에 쓰러져 있는 상태로 발견되어 치료 중 사망</t>
  </si>
  <si>
    <t>이동식비계에서 작업 중 발을 헛디뎌 안전난간이 설치되지 않은 작업발판 단부로 추락</t>
  </si>
  <si>
    <t>2017년 5월경 ㈜OO 인테리어공사 현장에서 재해자가 이동식 사다리에 올라가 천정 가설전등 설치를 위한 소켓에 전선을 연결하는 작업 중 사다리가 전도되면서 바닥으로 떨어져 사망</t>
  </si>
  <si>
    <t>아웃트리거 없이 설치한 이동식사다리 위에서 양손을 머리 위로 올려 전등 설치작업 중 작업하중 등에 의해 사다리가 전도되어 추락</t>
  </si>
  <si>
    <t>▶ 사다리를 사용하여 고소작업을 하는 경우, 하부 아웃트리거 설치, 미끄럼방지패드 설치 등 전도방지조치를 실시하며 사다리 하부를 잡아줄 수 있도록 근로자 추가 배치하여 2인 1조 작업 실시
▶ 물기가 있는 바닥에 사다리를 설치할 경우, 바닥의 물기를 설치 전에 제거하여 미끄러짐을 방지 조치
▶ 가능한 사다리 사용을 지양하고 비교적 안전성이 높은 이동식 비계, 고소작업대 등의 사용을 권고
▶ 접이식 사다리 기둥은 사용 시 접히거나 펼쳐지지 않도록 철물 등을 사용하여 견고하게 고정
▶ 사다리가 아닌 별도의 위치에 안전대 부착설비를 설치하고 안전대를 체결한 상태로 작업할 수 있도록 관리감독 
▶ 작업자의 개인보호구 착용상태 점검</t>
  </si>
  <si>
    <t>2017년 6월 OOO 소재 개인(OOO)이 시공중인 주택 개축공사 현장에서 재해자(내장공)이 지붕층 창고 벽체 단열재 설치작업 중, 몸의 중심을 잃고 약 2.7m 아래 지상1층 바닥으로 떨어져 사망</t>
  </si>
  <si>
    <t>천정 구조물 위에 고정없이 올려둔 각재 위에서 작업하던 중 밟고 있던 각재가 움직이면서 몸의 중심을 잃고 바닥으로 추락</t>
  </si>
  <si>
    <t>▶ 고소작업 시 추락 위험이 있는 구간에 비계 등 작업발판 및 안전난간을 설치한 후 작업을 진행
▶ 작업발판 및 안전난간 설치가 어려울 경우, 추락방지망을 설치하고, 안전대 부착설비 설치 및 근로자 안전대 지급, 체결 후 작업할 수 있도록 관리감독</t>
  </si>
  <si>
    <t>2017년 6월경 OO(주) OO 현장에서 재해자(보통인부)가 방호시설 상부의 폐자재(판넬 조각 등)를 받아 작업장 바닥으로 내려놓는 작업을 하기위해 A형 사다리에 올라가 전산볼트를 잡던 중, 감전되어 의식을 잃고 사다리에서 약1m 아래 바닥으로 추락하여 사망</t>
  </si>
  <si>
    <t>피복이 손상된 가설전선이 사다리 하부와 접촉된 상태에서 견고하게 고정되지 않은 사다리에 올라가 작업을 준비하던 중 몸의 중심을 잡기 위해 상부의 전산볼트를 잡는 순간 감전되어 추락</t>
  </si>
  <si>
    <t>▶ 용접기 등 공도구 인입전선의 절연피복 손상을 방지하기 위해 통로 바닥에 설치하는 행위 금지하며 통로의 일정 간격마다 별도의 전선거치대를 설치하여 사용
▶ 용접기 등 공도구 사용 시, 누전차단기를 설치하여 감전사고를 예방</t>
  </si>
  <si>
    <t>2017년 8월경 다가구주택 신축공사 현장에서 재해자(보통인부)가 건물 외부 비계 위에서 외벽 마감작업(합판 설치작업)을 하던 중, 작업발판 단부에 설치되어 있던 상부 안전난간(강관pipe)를 잡고 힘을 주는 순간, 강관파이프를 고정하던 클램프가 파단되면서 재해자가 안전난간대와 함께 지상으로 떨어져 사망</t>
  </si>
  <si>
    <t>비계에서 작업 중 구조물과 비계 사이의 작업공간 확보를 위해 비계 안전난간을 외측으로 밀어내는 과정에서 난간을 고정한 클램프가 파단되어 안전난간과 함께 바닥으로 추락</t>
  </si>
  <si>
    <t>2017년 8월경 ㈜OO에서 시공하는 원예작물 배수개선사업 토목건축공사 현장에서, 재해자가 현장숙소(조립식 샌드위치 판넬)에서 쉬고 있던 중 원인 불명의 화재가 발생하여 숙소를 빠져나온 후 중증 화상으로 사망</t>
  </si>
  <si>
    <t>현장 숙소(조립식 샌드위치 판넬)에 누워서 쉬던 중 원인불명의 화재 발생으로 화상을 입고 사망</t>
  </si>
  <si>
    <t>▶ 현장 내 샌드위치 판넬 등 화재에 취약한 자재로 마감된 숙소 및 사무실 등에 규격에 맞는 소화설비를 갖추도록 조치
▶ 발생한 재해와 관련하여 화재 원인을 발견할 수 없어 추가적인 대책수립이 불가함</t>
  </si>
  <si>
    <t>2017년 10월경 OO㈜ OO마트 신축현장 지하 2층 공조실에서 재해자가 시저형 고소작업대 위에서 약 5m 높이에 설치 된 덕트의 보온 작업 중 몸에 중심을 잃고 4.2m 아래 콘크리트 바닥으로 떨어져 사망</t>
  </si>
  <si>
    <t>고소작업대에 탑승하여 작업 중 작업높이가 맞지 않아 작업대의 안전난간을 밟고 올라서서 작업하다가 발을 헛디뎌 추락</t>
  </si>
  <si>
    <t>▶ 고소작업대 작업 중 작업대 이탈 등 불안전한 행동 금지 및 관리감독
▶ 고소작업대 탑승 시 작업대 안전난간 설치상태 확인
▶ 사용 중인 제원의 고소작업대 상승높이가 부족할 경우, 장비 제원 변경 또는 비계 설치 등을 통해 작업발판과 추락방지용 안전시설물을 설치하여 작업 실시
▶ 작업자의 개인보호구, 안전대 체결여부 점검 및 관리감독</t>
  </si>
  <si>
    <t>2017년 11월경 다세대 신축공사현장에서 재해자(내장목공)가 지상 5층 세대 내 침실3 천정틀작업을 위해 우마, 산승각재, 합판을 사용하여 작업발판을 설치하던 중 안전 난간이 미설치된 창호 수직개구부(2,100mm×2,100mm) 외측으로 실족하여 11.5m 아래 지상바닥에 떨어져 사망</t>
  </si>
  <si>
    <t>슬래브 단부에서 작업하던 중 발을 헛디뎌 안전난간이 설치되지 않은 창호 개구부로 추락</t>
  </si>
  <si>
    <t>2018년 5월경 OO(주) OO청사 신축공사 현장에서 협력업체 소속 재해자(수장공)가 지하1층에 설치되어있던 이동식 비계 3단 작업발판 안전난간대에 결속된 강관파이프를 해체하고 승·하강용 사다리를 이용하여 내려오던 중 작업발판 1단과 2단 사이 (높이 약 3.1m) 사다리에서 바닥으로 떨어져 사망</t>
  </si>
  <si>
    <t>이동식비계에서 내려오던 중 발을 헛디뎌 바닥으로 추락</t>
  </si>
  <si>
    <t>▶ 이동식 비계 승하강용 사다리를 이용하여 이동하는 경우 수직구명줄, 안전블럭 등 안전대 부착설비를 설치하여 근로자 추락 방지
▶ 이동식비계 승하강용 사다리 이용하여 이동 시, 작업자 실족 및 추락방지 하기 위한 작업장 조도 확보(적절한 조명기구 설치 등)
▶ 작업자의 개인보호구, 안전대 체결여부 점검 및 관리감독</t>
  </si>
  <si>
    <t>2018년 6월경 OO빌딩 신축공사 현장 13층 계단참에서 재해자가 A형 사다리 위에서 천정부에 비닐 보양작업을 하던 중, 몸의 중심을 잃고 높이 약 2.3m 아래 계단참 바닥으로 떨어짐</t>
  </si>
  <si>
    <t>A형 사다리에 탑승하여 작업 중 몸의 균형을 잃고 근로자 추락</t>
  </si>
  <si>
    <t>2018년 7월경 OO이 시공하는 OO신축공사 현장에서 재해자(보통인부)가 건물 내부 관리실의 천장 EPS 패널 설치 작업 중, 설치 중이던 EPS 패널과 함께 약 3.2m 아래 건물 바닥으로 추락하여 사망</t>
  </si>
  <si>
    <t xml:space="preserve">지붕과 천정 사이 좁은 작업공간(높이 1m 미만)에서 불완전한 자세로 마감재 설치작업 중 몸의 중심이 앞쪽으로 쏠리며 추락 </t>
  </si>
  <si>
    <t>▶ 건물 내부의 천장 패널 설치 등 고소작업 시, 추락방지망, 안전대 부착설비 등 안전방호조치를 실시
▶ 작업자의 개인보호구, 안전대 체결여부 점검 및 관리감독</t>
  </si>
  <si>
    <t xml:space="preserve">2018년 8월경 OO(주)이 시공하는 OO(주) OO공장 증축공사 현장에서 패널공 2명이 벽체 고정용 철골에 서서 이동식 크레인에 가로방향으로 2줄걸이 한 벽체용 우레탄 패널(길이 9m×폭 1m, 두께 75mm, 중량 125kg)을 잡고 패널과 패널의 홈에 맞춰 끼우는 작업을 하던 중 패널 한쪽 줄걸이 인양용 훅(철근 D10, L=25cm, J형태)이 이탈되어 패널이 출렁거리면서 다른 줄걸이 쪽으로 쏠려 곧바로 나머지 훅도 이탈되어 패널이 바닥으로 떨어진 후(9m) 왼쪽으로 넘어져 지상에서 패널 인양을 준비하던 재해자(패널공)의 얼굴과 가슴을 강타하여 사망 </t>
  </si>
  <si>
    <t>이동식크레인 작업 중 해지장치가 없는 훅에 자재를 결속하여 인양하는 과정에서 자재가 훅에서 이탈, 낙하하면서 재해자가 맞음</t>
  </si>
  <si>
    <t>2018년 9월경 OO신축공사 현장에서 재해자가 합판 자재정리를 위하여 그리스트랩 설치용 개구부를 덮어놓은 합판을 옮기던 중 합판 아래 개구부를 알지 못하고 이동하다 2층 콘크리트 바닥으로 추락</t>
  </si>
  <si>
    <t>▶ 지붕 등 바닥 개구부 발생 시 근로자 및 자재 등에 대한 무게의 2배 이상을 견딜 수 있는 구조의 철재 안전덮개(개구부 표시 포함)를 설치하거나, 안전난간 및 추락방지망 설치 등 근로자 추락 방지 조치
▶ 안전난간 설치 시 지름 2.7cm 이상의 금속제 파이프나 그 이상 강도의 재료 사용하며 구조적으로 가장 취약한 지점에서 가장 취약한 방향으로 작용하는 100kg 이상의 하중에 견딜 수 있는 구조로 설치
▶ 설치된 안전시설물에 대해 유지관리하고, 임의 해체 예방을 위한 관리감독
▶ 개구부에 마감 등 작업 진행 시 안전대 부착설비 설치 및 근로자 안전대 체결여부 점검 및 관리감독</t>
  </si>
  <si>
    <t>2018년 9월경 OO건설에서 시공하는 아파트 건설공사 현장에서 재해자가 지상 4층 내부 벽체의 모서리 비드 설치를 위해 이동식비계 오르던 중 몸의 중심을 잃고 약 1.0m 아래 콘크리트 바닥으로 추락하여 사망</t>
  </si>
  <si>
    <t>승하강용 사다리가 미설치된 이동식비계에 오르던 중 추락</t>
  </si>
  <si>
    <t>▶ 이동식 비계에는 승하강용 사다리를 설치하고 수직구명줄, 안전블럭 등 안전대 부착설비를 설치하여 근로자 추락 방지
▶ 이동식비계 승하강용 사다리 이용하여 이동 시, 작업자 실족 및 추락방지 하기 위한 작업장 조도 확보(적절한 조명기구 설치 등)
▶ 작업자의 개인보호구, 안전대 체결여부 점검 및 관리감독</t>
  </si>
  <si>
    <t>2018년 11월경 OO건설(주) OO신사옥 신축공사 현장에서 재해자가 사다리 위에서 소음 차단용 흡음천을 천정에 고정하는 작업을 하던 중, 약 1.4m아래 바닥으로 떨어져 사망</t>
  </si>
  <si>
    <t>2018년 11월경 ㈜OO 인테리어공사 현장에서 재해자(내장목공)이 1층 내부의 경량 칸막이설치공사를 위하여 이동식비계(높이1.8M)의 작업발판 위에 올라가 경량 철골(길이 4M,무게 3kg)틀을 세우던 중 난간이 미설치된 작업발판 단부에서 몸의 중심을 잃고 1.8M 하부 콘크리트 바닥으로 떨어져 사망</t>
  </si>
  <si>
    <t>2019년 2월경 OO빌딩 내장공사 현장에서 재해자(내장공)가 이동식비계 위에서 천장 마감예정 부위의 석고보드 크기 측정 중, 몸의 중심을 잃고 벽체(석고보드)에 머리를 부딪히며 약 1.3m 아래의 바닥으로 추락하여 사망</t>
  </si>
  <si>
    <t>이동식비계에서 작업발판 외부로 몸을 내밀어 한발로 딛고 선 자세에서 작업하던 중 몸의 중심을 잃고 벽체에 머리를 부딪힌 후 안전난간이 설치되지 않은 작업발판 단부로 추락</t>
  </si>
  <si>
    <t>2019년 3월경 OO건설에서 시공중인 OO 단독주택 신축공사 현장에서 재해자가 A형 사다리를 사용하여 1층 창고 천장 마감재인 석고보드 설치작업 중 몸의 중심을 잃고 떨어져(H ≒ 1.15m) 사망</t>
  </si>
  <si>
    <t>2019년 4월경 OO 연립주택 신축공사 현장에서 재해자가 세대 내 거실 천장 도배작업 진행 상황을 확인하고 계단으로 내려가던 중 계단실 내부 개구부(1.55m x 1.1m)로 실족하여 약 13m 아래 지하 2층 바닥으로 추락하여 사망</t>
  </si>
  <si>
    <t>2019년 4월경 상가건물(준공전) 1층 내에서 인테리어 작업(가벽설치) 중 재해자가 A형 사다리위에서 몸의 균형을 잃고 바닥으로 추락하여 사망</t>
  </si>
  <si>
    <t xml:space="preserve">작업높이를 맞추기 위해 이동식사다리를 최대한 세워 벌어짐 방지장치(locking)가 체결되지 않은 상태에서 벽체설치 작업을 하던 중 발을 헛디뎌 사다리 전도와 함께 추락 </t>
  </si>
  <si>
    <t>▶ 가능한 사다리 사용을 지양하고 비교적 안전성이 높은 이동식 비계, 고소작업대 등의 사용을 권고
▶ 접이식 사다리 기둥은 사용 시 접히거나 펼쳐지지 않도록 철물 등을 사용하여 견고하게 고정
▶ 사다리가 아닌 별도의 위치에 안전대 부착설비를 설치하고 안전대를 체결한 상태로 작업할 수 있도록 관리감독 
▶ 작업자의 개인보호구 착용상태 점검</t>
  </si>
  <si>
    <t>2019년 6월경 OO건설(주)이 시공하는 OO고등학교 다목적 강당 및 급식소 증축 미완성부분 마감공사 현장에서 협력업체 소속 내장목공인 재해자 2명이 강당 내부마감재 잔손보기작업을 위해 이동식비계 설치작업 중 이동식비계(3단)가 전도하면서 높이 약 5.1m아래 강당 바닥으로 떨어져 좌측 발목과 양측 발목에 각각 부상</t>
  </si>
  <si>
    <t xml:space="preserve">발 바퀴 미고정 및 아웃트리거 설치불량 상태에서 이동식비계를 연장하여 조립하던 중 작업하중 등에 의해 이동식비계가 전도되어 추락     </t>
  </si>
  <si>
    <t>▶ 이동식비계 조립 시 아웃트리거 지지, 구름방지장치 체결 등 설치기준을 준수하여 전도방지 조치 철저히 하고 작업 전 관리감독자의 확인 등을 수행
▶ 이동식비계 부재(발바퀴, 아웃트리거 등)는 방호장치 안전인증 기준에 적합한 제품을 사용
▶ 작업자의 개인보호구 착용상태 점검 및 관리감독</t>
  </si>
  <si>
    <t>2019년 8월경 OO건설이 시공하는 OO빌라 리모델링 공사 현장에서 재해자(관리감독자)가 2층 배면부 발코니 창에서 철제 난간(3.1m×1.05m)을  손으로 잡고 몸을 내밀면서 밖에 있던 작업자를 부르던 중 콘크리트 벽체에 나사못으로 고정되어 있던 난간이 탈락되면서 난간과 함께 약 3m 아래 아스팔트 콘크리트 바닥으로 떨어져 사망</t>
  </si>
  <si>
    <t>발코니에서 철제난간을 손으로 잡고 창 바깥으로 몸을 내밀어 동료를 부르던 중 노후호된 철제난간의 고정부가 탈락되면서 바닥으로 추락</t>
  </si>
  <si>
    <t>▶ 리모델링 등 공사 시, 작업 전 기존 건물의 노후된 난간, 창틀 등의 설치 상태를 점검
▶ 작업자의 개인보호구, 안전대 체결여부 점검 및 관리감독</t>
  </si>
  <si>
    <t>2019년 8월경 OO정비공장 신축공사 현장에서 재해자가 사무동 3층 바닥 슬래브에서 내부칸막이 판넬 지지철물을 기조립된 슬래브 철근에 용접을 하기 위하여 이동 중 철근에 발이 걸려 몸의 중심을 잃고 3층 슬래브 단부로 떨어져 (H=7.2m) 사망</t>
  </si>
  <si>
    <t>작업을 위해 슬래브 철근 상부로 이동하던 중 철근에 발이 걸려 안전난간이 설치되지 않은 슬래브 단부로 추락</t>
  </si>
  <si>
    <t>▶ 철근조립이나 데크플레이트 설치 구간 등 실족위험이 있는 경우 작업장 바닥에 실족방지망 또는 작업발판 및 안전난간 설치
▶ 안전난간 설치 시 지름 2.7cm 이상의 금속제 파이프나 그 이상 강도의 재료 사용하며 구조적으로 가장 취약한 지점에서 가장 취약한 방향으로 작용하는 100kg 이상의 하중에 견딜 수 있는 구조로 설치</t>
  </si>
  <si>
    <t>2020년 1월경 ㈜OO 공동주택 신축공사 현장에서 재해자가 104동 13층에서 건설작업용 리프트를 타던 중 건물과 리프트 사이 개구부로 추락(높이 약 33m)하여 사망</t>
  </si>
  <si>
    <t xml:space="preserve">건설용리프트 탑승 시 보조발판을 내리지 않은 상태에서 무리하게 탑승하던 중 리프트와 구조물 사이 개구부로 추락 </t>
  </si>
  <si>
    <t>▶ 건설용 리프트 사용하는 작업자를 대상으로 리프트의 이동순서, 동작원리, 방호장치 기능 및 사용 등을 포함한 특별교욱을 실시
▶ 건설용 리프트와 구조체 사이에는 보조발판을 설치하여 건물 내부로 통행하는 근로자의 추락 방지 조치를 하고 통행 시 보조발판을 내려 이동하도록 근로자에게 교육</t>
  </si>
  <si>
    <t>2020년 1월경 OO 소속 재해자(배달원)가 사무실 증축공사현장으로 외벽단열재를 배송하던 중 단열재를 지상 2층으로 운반하는 과정에서 지상 2층 바닥에 있는 개구부(2.5m×1.0m,계단설치위치,H≒3.5m)를 보지 못하고 1층 바닥으로 떨어져 사망</t>
  </si>
  <si>
    <t>자재 운반 중 바닥의 개구부를 인지하지 못하고 발을 헛디뎌 추락</t>
  </si>
  <si>
    <t>▶ 바닥 개구부 발생 시 근로자 및 자재 등에 대한 무게의 2배 이상을 견딜 수 있는 구조의 철재 안전덮개(개구부 표시 포함)를 설치하거나, 안전난간 및 추락방지망 설치 등 근로자 추락 방지 조치
▶ 안전난간 설치 시 지름 2.7cm 이상의 금속제 파이프나 그 이상 강도의 재료 사용하며 구조적으로 가장 취약한 지점에서 가장 취약한 방향으로 작용하는 100kg 이상의 하중에 견딜 수 있는 구조로 설치
▶ 설치된 안전시설물에 대해 유지관리하고, 임의 해체 예방을 위한 관리감독
▶ 개구부에 마감 등 작업 진행 시 안전대 부착설비 설치 및 근로자 안전대 체결여부 점검 및 관리감독</t>
  </si>
  <si>
    <t>2020년 3월경 OO(주)가 시공하는 OO복지관 건립 건축공사 현장에서 재해자(수장공)가 고소작업대(시저형)를 타고 중앙홀 테두리보 모서리 구간 치수를 재는 작업을 하던 중(고소작업대 발판 내부[Cage 안]에서 실측하기 어려운 상황) 실족하여 지상 1층 바닥으로 떨어져(높이 약 9.3m) 사망</t>
  </si>
  <si>
    <t>고소작업대에 탑승한 상태에서 작업위치가 닿지 않아 작업대 밖으로 몸을 내밀어 작업하던 중 몸의 중심이 밖으로 쏠리며 추락</t>
  </si>
  <si>
    <t>▶ 작업 전 위험요인 파악을 위한 위험성평가를 실시
▶ 고소작업대 작업 시 작업대 이탈을 원칙적으로 금지하고, 부득이하게 이탈할 경우 작업구간에 안전대 부착설비 설치 및 근로자 안전대 체결한 상태로 작업 실시
▶ 고소작업대 탑승 시 작업대 안전난간 설치상태 확인
▶ 고소작업대 작업 중 작업대 이탈 등 불안전한 행동 금지 및 관리감독
▶ 작업자의 개인보호구, 안전대 체결여부 점검 및 관리감독</t>
  </si>
  <si>
    <t>2020년 3월경 OO건축 OO 신사옥 인테리어공사 현장에서, 재해자가 지상3층의 내부비계 발판에서 천장 마감작업 후 이동 중 3층 바닥으로 추락하여 병원으로 이송 중 사망</t>
  </si>
  <si>
    <t>비계에서 이동하던 중 발을 헛디뎌 안전난간이 설치되지 않은 작업발판 단부로 추락</t>
  </si>
  <si>
    <t>2020년 3월경 커피전문점 실내 인테리어 (목공)공사 현장에서 재해자(목공)이 벽체 석고보드 위 몰딩 설치를 위한 먹선 표시 작업 중 A형 사다리 첫 번째 발판에서 바닥(H≒30cm)으로 떨어진 후 사망</t>
  </si>
  <si>
    <t>이동식사다리에서 내려오던 중 발을 헛디뎌 바닥으로 추락</t>
  </si>
  <si>
    <t>2020년 3월경 공장보수공사 현장에서 재해자(일용직)가 슬레이트 지붕 위에서 실리콘 작업을 하던 중 노후된 슬레이트 일부가 파손되면서 하부 콘크리트 바닥으로 추락(H≒4.5m)하여 사망</t>
  </si>
  <si>
    <t>지붕에서 작업 중 밟고있던 마감재가 파손되면서 바닥으로 추락</t>
  </si>
  <si>
    <t>▶ 노후화 되거나 강도가 약한 재료의 지붕재 위에 지붕 전용 안전덮개(발판)를 견고하게 설치하여 마감재 파손에 의한 근로자 추락 방지 조치
▶ 충분한 강도와 규격으로 제작된 지붕사다리 설치 또는 추락방지망 설치, 안전대 부착설비 설치 등의 안전 방호 조치 실시
▶ 근로자 이동 또는 작업 시 안전대 체결 여부 점검 및 관리감독
▶ 지붕재의 해체 또는 설치 작업 시, 고소작업대, 타워형 계단 등을 사용하여 지붕 위에서의 작업을 최소화할 수 있는 작업 방법을 검토</t>
  </si>
  <si>
    <t>2020년 3월경 OO 철거공사 현장에서 재해자(신호수)가 객실 해체작업 시 던져지는 폐기물에 의한 사고방지를 위해 건물 외부에서 하부통제를 하던 중 떨어지는 폐기물에 맞아 사망</t>
  </si>
  <si>
    <t xml:space="preserve">해체작업 시 던져지는 폐기물에 의한 사고방지를 위해 건물 외부에서 하부통제를 하던 중 낙하하는 폐기물에 맞음 </t>
  </si>
  <si>
    <t>▶ 해체작업 시 낙하물 방호설비 설치 및 작업반경 내 접근통제 조치
▶ 해체 폐기물 및 공구 등을 건물 밖으로 던지는 행위 금지
▶ 해체 작업순서 및 방법 등 작업계획 수립 및 준수여부 관리감독 철저</t>
  </si>
  <si>
    <t>2020년 4월경 OO(주) 소속 재해자가 가좌분뇨처리시설 증설공사 현장에 단열재를 납품하기 위해 4.5톤 트럭을 운전하여 도착한 후 트럭 적재물(단열재) 상부에서 하역작업 중 중심을 잃고 약 2m 아래 지면으로 추락하여 사망</t>
  </si>
  <si>
    <t>트럭 적재함 상부에서 자재 하역 작업 중 밟고 있던 자재가 기울면서 몸의 중심을 잃고 바닥으로 추락</t>
  </si>
  <si>
    <t>▶ 차량계 하역운반기계에 대한 사전 작업계획서 수립
▶ 자재 하역 시 적재함, 자재 위로 무리한 탑승을 금지하고, 부득이하게 탑승해야할 경우 안전대 부착설비 설치 등 추락방지조치를 취한 후 탑승하도록 조치
▶ 근로자 개인보호구 착용상태 점검 및 관리감독</t>
  </si>
  <si>
    <t>2020년 8월경 OO건설㈜에서 시공 완료한 OO 신축공사 현장 지하 1층 주차장에서 ㈜OO 소속의 재해자(하자보수공)가 접이식 사다리를 사용하여 지하주차장 벽체 배수판 상부 몰딩 보수작업을 하던 중 사다리 하부가 바닥에서 미끄러지며 높이 약 4.5m 아래 주차장 바닥으로 추락하여 사망</t>
  </si>
  <si>
    <t xml:space="preserve">아웃트리거 없이 이동식사다리를 일자로 펼쳐 벽체에 기대어 설치한 사다리 상부에서 작업 중 작업하중 등에 의해 사다리 하부가 미끄러지면서 전도되어 추락 </t>
  </si>
  <si>
    <t>2020년 9월경 OO(주) OO공동주택 건설현장의 118동 지상28층 외부 발코니에서 재해자가 아파트 외부 환기구 캡 설치작업 중 달비계 작업용 로프가 파단되어 지상1층 흙바닥으로 추락(H≒78m) 사망</t>
  </si>
  <si>
    <t>달비계 작업 중 옥상 구조물 모서리 부위에서 로프가 파단되어 추락</t>
  </si>
  <si>
    <t>▶ 주 로프, 보조 로프는 작업 전 육안 점검을 실시하고 부적격 섬유로프 사용 금지
▶ 달비계 로프 사용 시 옥상 구조물 모서리 등에 보호패드를 설치
▶ 로프는 옥상 구조물(철골, 콘크리트 등) 2개소 이상에 견고하게 고정
▶ 추락방지대 선 체결 후 달비계 작업 실시
▶ 근로자 개인보호구 착용 등 관리감독 철저</t>
  </si>
  <si>
    <t>2020년 9월경 ㈜OO에서 시공하는 체육회관 개보수 건축(기계)공사 현장에서 재해자가 체육관 내부 시스템비계 작업발판에서 벽체면에 흡음보드를 설치하던 중 작업발판과 벽체 사이를 통해 높이 약 8m아래 체육회관 출입문 외측 계단부위로 추락하여 사망</t>
  </si>
  <si>
    <t>2020년 9월경 OO건설(주)이 시공 중인 OO타운하우스 2차 신축공사 현장에서 재해자(내장목공)가 1층 내부 계단실 하부 벽체 마감재(석고보드) 부착작업 중 딛고 있던 사각 목재틀(16.7cm*17cm)에서 떨어져 사망</t>
  </si>
  <si>
    <t>작업발판 없이 주변에 있던 사각 목재틀 위에 까치발을 딛고 작업하던 중 작업하중 등에 의해 목재틀이 움직이면서 뒤로 넘어져 바닥에 머리를 부딪힘</t>
  </si>
  <si>
    <t>▶ 천장 마감재 설치작업 시, 자체로 임시 제작한 발판 따위의 사용을 금지하고, 말비계, 이동식비계 등 작업여건에 적합한 작업발판을 설치
▶ 고소작업 시 작업발판의 단부 구간에 추락 방지용 안전시설물(안전난간 등)을 설치하여 근로자 추락 방지 조치
▶ 작업자의 개인보호구 착용, 안전대 체결여부 점검 및 관리감독</t>
  </si>
  <si>
    <t>2020년 11월경 개인이 직영으로 공사하는 단독주택 신축공사 현장에서 재해자(도배공)이 지상 2층에서 이동식비계를 사용하여 천장(높이 약 3.5m) 도배작업을 하던 중 실족하여 높이 약 1.7m 아래 바닥으로 추락하여 사망</t>
  </si>
  <si>
    <t>2021년 2월경 OO건축이 시공하는 개인주택 추가공사 현장에서 재해자가 지상 2층 발코니 단열재 작업을 위해 벽체에 설치된 합판을 절단하는 과정에 절단용 전동공구의 톱날에 좌측 다리를 베인 후 사망</t>
  </si>
  <si>
    <t xml:space="preserve">공구 제원에 맞지 않는 톱날을 장착하여 절단 작업 중 킥백(kick back) 현상에 의해 톱날에 다리를 베임    </t>
  </si>
  <si>
    <t xml:space="preserve">▶ 작업도구 등의 목적 외 사용 금지
▶ 절단용 전동공구 사용 시 방호덮개 등 톱날접촉 예방장치 설치 및 관리감독 </t>
  </si>
  <si>
    <t>2021년 2월경 OO(주) 타운하우스 신축공사 현장에서, 외부 벽체 단열공사 협력업체 소속의 재해자(단열공)가 지상 2층 에어컨배관 매립부에 단열재 마감작업(메쉬미장)을 하기 위해, 외부 강관비계의 외측 안전난간대 밖으로 나가, 작업발판 3단에서 2단으로 이동(추정)하던 중 높이 약 5.7m 아래의 바닥으로 추락하여 사망</t>
  </si>
  <si>
    <t>작업통로가 아닌 비계 외측으로 난간을 밟고 이동하던 중 발을 헛디뎌 바닥으로 추락</t>
  </si>
  <si>
    <t>▶ 비계 내측에 근로자가 상, 하로 이동할 수 있는 계단식 구조의 발판을 설치하고 개방된 양 측면에는 안전난간을 2단으로 구성하여 전용 이동통로를 이용하도록 관리감독
▶ 계단형 발판을 설치할 수 없을 경우, 해치형 작업발판 및 사다리 이동통로를 구성하여 근로자가 비계 외측으로 이동하는 것을 금지 조치</t>
  </si>
  <si>
    <t>2021년 3월경 OO부대 관사동 도배·장판 인테리어 공사 현장에서 재해자가 거실 천장 도배작업을 위해 말비계(H=0.6m) 위로 올라가 작업 중 중심을 잃고 뒤로 떨어져 뒷편 벽체에 머리를 부딪혀 뇌출혈로 사망</t>
  </si>
  <si>
    <t>2021년 6월경 ㈜OO디자인에서 시공하는 OO 인테리어 공사 현장에서 재해자가 가벽설치작업을 마치고 높이 약 1.7m 이동식 비계를 내려오던 도중 발이 미끄러져 뒤로 넘어지면서 재해자 뒤에 있던 높이 약 0.55m 말비계에 머리를 부딪쳐 사망</t>
  </si>
  <si>
    <t>이동식비계에서 내려오던 중 발이 미끄러져 뒤로 넘어지면서 말비계에 머리를 부딪힘</t>
  </si>
  <si>
    <t>▶ 이동식비계 승, 하강 시 지정된 통로(승하강용 사다리)를 이용
▶ 이동식비계 승하강용 사다리 이용하여 이동 시 작업자 실족 및 추락방지 하기 위한 작업장 조도 확보(적절한 조명기구 설치 등)
▶ 근로자가 떨어지거나 넘어질 수 있는 작업반경 내 장애물이 없도록 정리정돈 및 관리감독
▶ 작업자의 개인보호구 착용상태 점검 및 관리감독</t>
  </si>
  <si>
    <t>2021년 6월경 아파트형 공장 212호 실내 인테리어 공사 현장에서 재해자(일용직)가 천장 패널 설치 중 바닥(H≒3.5m)으로 떨어져 사망</t>
  </si>
  <si>
    <t xml:space="preserve">천장 마감재 설치작업 중 밟고 있던 마감재의 한쪽 고정부가 파단되면서 재해자가 바닥으로 추락 </t>
  </si>
  <si>
    <t>2021년 9월경 OO디자인 OO인테리어 공사 현장에서 재해자(목공)가 2층 바닥 단부에서 벽체설치를 위한 기준선표시 작업 중 1층 바닥(H≒2.5m)으로 떨어져 사망</t>
  </si>
  <si>
    <t>슬래브 단부에서 작업 중 발을 헛디뎌 안전난간이 설치되지 않은 단부로 추락</t>
  </si>
  <si>
    <t>2021년 9월경 OO공장 건축공사 현장에서, 2동(공장) 내부벽체 판넬 설치 후 마감작업(L-Bar 설치) 중이던 재해자가 작업발판으로 사용하던 A형 이동식사다리가 전도되며 하부 바닥(H≒2.6m)으로 떨어져 사망</t>
  </si>
  <si>
    <t>작업 편의상 다리 양쪽의 길이를 서로 다르게 조정하고 아웃트리거 없이 설치한 이동식사다리에서 최상부 답단을 밟고 작업하던 중 작업하중 등에 의해 사다리가 전도되어 추락</t>
  </si>
  <si>
    <t>4.8 판넬 등 외부마감 작업</t>
  </si>
  <si>
    <t>4.8.1 판넬 등 외부마감 자재반입</t>
  </si>
  <si>
    <t>2016년 2월경 OO건설(주)이 시공중인 OO 공장 증축공사 현장에서 재해자(판넬공)가 옥상층에서 동료작업자와 함께 판넬(5000mm × 1000mm, 두께 150mm, 약 50kg)을 운반하는 작업 중, 몸의 중심을 잃고 지상 1층 바닥(높이 약 13m)으로 떨어져 사망</t>
  </si>
  <si>
    <t>옥상 슬래브 단부에서 자재 운반작업 중 발을 헛디뎌 안전난간이 설치되지 않은 단부로 추락</t>
  </si>
  <si>
    <t>▶ 추락 위험장소(슬래브 단부 등)에 근로자 이동 또는 작업 시 외부 비계 조립 등 폭 40cm 이상의 작업발판 설치 및 단부 구간에 안전난간 등 추락방지용 안전시설물을 견고하게 설치
▶ 안전난간 설치 시 지름 2.7cm 이상의 금속제 파이프나 그 이상 강도의 재료 사용하며 구조적으로 가장 취약한 지점에서 가장 취약한 방향으로 작용하는 100kg 이상의 하중에 견딜 수 있는 구조로 설치
▶ 슬래브 단부 등에 작업발판 및 안전난간 설치가 곤란한 경우 근로자 추락방지를 위해 추락방지망 설치 또는 안전대 부착설비 설치 및 안전대 체결 관리
▶ 건물 외측의 작업이 필요한 경우 내측에서 몸을 내밀어 작업하는 방식을 지양하고, 고소작업대 또는 달비계 등을 이용하여 작업하도록 관리감독
▶ 마감재 해체 작업 시, 패널 등 마감재를 해체한 후 지지대를 해체하는 순서로 작업을 계획하여 불시의 마감재 낙하 등의 사고를 예방</t>
  </si>
  <si>
    <t>2016년 4월경 ㈜OO에서 시공하는 공장동 전기시설 개보수 현장에서 전기공인 재해자 2명이 공장 내 천정(EPS패널:샌드위치 패널) 위에서 자재를 운반하던 중 천정패널이 자재와 작업자의 하중 (약 180kg)을 견디지 못하고 처짐이 발생하면서 천정재와 함께 재해자 2명이 약 6m 아래 공장 내부바닥((콘크리트)으로 떨어져 1명이 사망하고, 1명이 부상</t>
  </si>
  <si>
    <t>지붕에서 자재운반 중 밟고 있던 마감재가 파손되면서 바닥으로 추락</t>
  </si>
  <si>
    <t>2016년 5월경  ㈜OO이 시공하는 공장 지붕판넬 철거작업 중 재해자가 크레인으로 인양되어 적치장소로 운반되는 판넬의 방향을 잡아주기 위해 판넬에 연결된 섬유로프를 잡고 이동 중 밟은 지붕판넬이 내려앉으면서 높이 6.9m아래 콘크리트바닥으로 추락하여 사망</t>
  </si>
  <si>
    <t>▶ 지붕 위에서 지붕재의 해체 또는 설치 작업 시 지붕재가 고정되지 않은 구간에 대해 각별히 유의하여 작업 실시하고, 작업자에게 지정된 안전통로로 이동핟도록 교육 실시
▶ 노후화 되거나 강도가 약한 재료의 지붕재 위에 지붕 전용 안전덮개(발판)를 견고하게 설치하여 마감재 파손에 의한 근로자 추락 방지 조치
▶ 충분한 강도와 규격으로 제작된 지붕사다리 설치 또는 추락방지망 설치, 안전대 부착설비 설치 등의 안전 방호 조치 실시
▶ 근로자 이동 또는 작업 시 안전대 체결 여부 점검 및 관리감독
▶ 지붕재의 해체 또는 설치 작업 시, 고소작업대, 타워형 계단 등을 사용하여 지붕 위에서의 작업을 최소화할 수 있는 작업 방법을 검토</t>
  </si>
  <si>
    <t>2016년 9월경 ㈜OO에서 시공하는 ㈜OO 신축공사 현장에서 직영반장인 재해자(판넬공)이 공장동 후면 휀룸 측면에 적재되어있던 벽체 판넬자재를 이동시키는 작업 중 휀룸 상부에서 지상 1층 바닥으로 떨어져(약 8m) 사망(추정)</t>
  </si>
  <si>
    <t>▶ 추락의 위험이 있는 개구부 근처에서 작업할 경우, 안전난간대, 안전대 부착설비, 추락방지망 설치 등의 안전 방호 조치
▶ 안전난간 설치 시 지름 2.7cm 이상의 금속제 파이프나 그 이상 강도의 재료 사용하며 구조적으로 가장 취약한 지점에서 가장 취약한 방향으로 작용하는 100kg 이상의 하중에 견딜 수 있는 구조로 설치
▶ 작업자의 개인보호구, 안전대 체결여부 점검 및 관리감독</t>
  </si>
  <si>
    <t xml:space="preserve"> 2017년 2월</t>
  </si>
  <si>
    <t xml:space="preserve"> 2017년 2월경 OO에서 시공하는 OO 신축공사 현장에서 재해자(판넬설치공)가 외벽 판넬 인양작업 중 몸의 중심을 잃고 약 6m 아래 지상 1층 콘크리트 바닥으로 떨어져 사망</t>
  </si>
  <si>
    <t>고소작업대에 탑승하여 도르래의 양중로프를 당기던 중 양중물 체결부위가 파단되어 낙하하면서 발생한 반동으로 재해자가 작업대에서 추락</t>
  </si>
  <si>
    <t>▶ 고소작업대 작업 전 안전장치 상태 점검 및 조치
▶ 고소작업대 탑승 시 근로자 이동통로 확보 및 작업대 안전난간 설치상태 확인
▶ 고소작업대 작업 중 작업대 이탈, 안전난간을 밟고 올라서는 등의 불안전한 행동 금지 및 관리감독
▶ 사용 중인 제원의 고소작업대 상승높이가 부족할 경우, 장비 제원 변경 또는 비계 설치 등을 통해 작업발판과 추락방지용 안전시설물을 설치하여 작업 실시
▶ 작업자의 개인보호구, 안전대 체결여부 점검 및 관리감독</t>
  </si>
  <si>
    <t>2017년 7월경 OO(주) OO 다세대주택 신축공사 현장에서 외벽 석재마감 조공인 재해자가 지상2층 외벽마감용 석재판넬  운반작업을 진행하는 과정에서 지상1층 외부비계기둥에 기대어 세워진 석재판넬의 안쪽 9번째 판넬을 꺼내기 위해 나머지 8장의 석재판넬을 재해자 몸쪽으로 당겨 세우던 중 갑자기 석재판넬 8장이 재해자가 서 있는 방향으로 전도되면서 재해자가 석재판넬 8장(583.2kg)에 깔려 사망</t>
  </si>
  <si>
    <t>비계 기둥에 기대어 세워놓은 자재(석재) 중 안쪽 자재를 꺼내기 위해 몸쪽으로 자재를 당기는 순간 전도되어 깔림</t>
  </si>
  <si>
    <t>▶ 석재 판넬 등과 같은 무거운 자재를 인력으로 옮기는 경우, 단독작업을 금지하도록 현장 내 작업자들에게 교육 실시
▶ 석재 판넬 등과 같은 무거운 자재를 골조, 외부비계 기둥 등에 기대어 적재하는 경우, 자재를 소량으로 나누어 여러 개소에 적재하도록 조치</t>
  </si>
  <si>
    <t>2018년 4월경 ㈜OO에서 시공하는 OO 물류센터 2층사무실 개조공사 현장에서 재해자(보통인부)가 2층 사무실의 천장을 설치하기 위해 동료작업자 1명과 함께 샌드위치 판넬(1,000×4,000mm)을 들어서 옮기던 중, 지지력이 약한 1층 천장마감재(렉스판)를 밟아 천장마감재가 탈락되면서 1층 바닥으로 추락(H=2.8m)하여 사망</t>
  </si>
  <si>
    <t>2018년 5월경 OO개인공사(축사신축공사) 현장에서 축사지붕 마감재인 아연도금강판 다발을 5톤 차량탑재형크레인(카고)에 매달아 축사지붕위로 올리는 작업 중, 축사지붕위에서 재해자(보통인부)가 뒷걸음치면서 수신호를 하다가 콘크리트 바닥으로 떨어져 (h=5.9m) 사망</t>
  </si>
  <si>
    <t>지붕에서 뒷걸음으로 이동하며 양중작업 신호를 하던 중 지붕 단부로 추락</t>
  </si>
  <si>
    <t>▶ 지붕 단부에서 작업할 경우 외부 비계 설치를 통해 작업발판 및 안전난간을 구성하여 근로자 추락 방지
▶ 지붕 위에서 지붕재의 해체 또는 설치 작업을 할 경우, 추락방지망, 안전대 부착설비 설치 등의 안전방호조치 실시하고 근로자 안전대 체결여부 점검 및 관리감독
▶ 견고한 작업발판을 설치하고, 미끄럼 방지 조치를 통해 근로자 추락 및 미끄러짐을 예방
▶ 지붕재의 해체 또는 설치 작업 시 고소작업대, 타워형 계단 등을 사용하여 지붕 위에서의 작업을 최소화할 수 있는 작업 방법을 검토</t>
  </si>
  <si>
    <t>2018년 7월경 OO이 시공하는 ㈜OO 공장 지붕보수공사 현장에서 재해자(판넬조립공)가 지붕판넬 인양작업을 위해 지붕 위에서 이동하던 중 노후화된 선라이트(채광창)를 밟아 파손되면서 약 8M 아래 공장 바닥으로 떨어져 사망</t>
  </si>
  <si>
    <t>2018년 10월경 ㈜OO 물류센터 신축공사 현장에서 협력업체 소속 재해자(판넬설치공)가 창고동 1층 내부 판넬 설치 작업 전 각파이프(하지철물)를 설치 하기 위해, 고소작업대(시저형) 상승 중 고소작업대(시저형)와 상부 보 사이에 협착되어 사망</t>
  </si>
  <si>
    <t>과상승방지장치가 미설치된 고소작업대에 탑승하여 상승하던 중 작업대와 구조물 상부 사이에 끼임</t>
  </si>
  <si>
    <t>▶ 고소작업대 작업 전 작업계획서를 수립하고, 과상승방지장치 등 안전장치 설치 및 상태 점검
▶ 고소작업대 작업 중 작업대 이탈, 안전난간을 밟고 올라서는 등의 불안전한 행동 금지 및 관리감독
▶ 고소작업대 작업 시 관리감독자 또는 안전관리자 배치하여 관리감독</t>
  </si>
  <si>
    <t>2018년 11월경 OO(주) OO사이로 제작공장 토목 및 건축공사 현장에서 재해자가 지붕물받이 설치 작업을 하기위해 지붕에서 자재를 옮기던 중 지붕단부에서 실족하여 높이 약 14.2m 아래 지상 바닥으로 추락하여 사망</t>
  </si>
  <si>
    <t>지붕에서 자재운반 중 발을 헛디뎌 지붕 단부로 추락</t>
  </si>
  <si>
    <t>2018년 11월경 OO건설(주) OO공장 지붕판 덧씌우기 및 환기구 교체공사 현장에서 기존 지붕판넬을 보수하기 위해 지붕 상부에서 재해자 외 2명이 선라이트를 운반 중 재해자가 볼트가 풀려있는 샌드위치 판넬을 밟아 판넬과 함께 약 11m 아래 콘크리트 바닥으로 떨어져 사망</t>
  </si>
  <si>
    <t>2019년 1월경 OO건설 지식산업센터 신축공사 현장에서 재해자가 지상8층 바닥에서 판넬(3,240mm×1,020mm, 48.6kg)을 윈치와 연결된 공구(바이스 플라이어 및 로프)에 고정하기 위해 운반하던 중, 안전난간이 임시로 해체된 슬라브 단부에서 몸의 중심을 잃고, 지상1층 바닥(H≒40m)으로 떨어져 사망</t>
  </si>
  <si>
    <t>2019년 3월경 OO에서 시공하는 OO 근생시설 용도변경 및 증축공사 현장에서 재해자가 지상1층 실내 바닥의 지붕 판넬(panel) 자재를 이동식비계에 올려 놓고 A형 사다리위에서 판넬을 지붕으로 올려주는 과정에서 몸의 중심을 잃고 A형 사다리에서 바닥으로 떨어져(H≒ 1.2m) 사망</t>
  </si>
  <si>
    <t>이동식사다리에서 자재를 운반 하던 중 발을 헛디뎌 추락</t>
  </si>
  <si>
    <t>2019년 5월경 개인이 직영으로 시공하는 신축공사(축사) 현장에서 지붕재(칼라강판) 납품업체 소속 차량 운전원인 재해자가 축사 지붕재 하역 작업을 돕고 있던 중 지붕재와 함께 콘크리트 바닥으로 떨어져(H:약1.02m) 사망</t>
  </si>
  <si>
    <t>트럭 적재함 상부에서 자재 하역 작업 중 발을 헛디뎌 추락</t>
  </si>
  <si>
    <t xml:space="preserve"> 2019년 11월경 OO에서 시공하는 (유)OO 지붕 보수공사 현장에서 재해자(지붕재설치공)가 퇴비공장 B동 지붕위에서 이동하던 중, 채광용 선라이트(sunlight)를 밟아 선라이트가 파단되면서 바닥으로 떨어져(H:약7.3m) 사망</t>
  </si>
  <si>
    <t>2020년 7월경 김치공장 신축공사 현장에서 재해자(판넬공)가 창고 지붕 H형강 위(높이 약 8미터)에서 이동식크레인으로 인양중인 EPS판넬을 지붕 H형강 위로 내리던 중, 판넬 설치구간 인근 전신주의 변압기(22.9kV) 상부 충전부 컷아웃스위치(COS)에 EPS 판넬이 접촉되어 감전으로 인해 지상 바닥으로 추락하여 사망(추정)</t>
  </si>
  <si>
    <t>지붕에서 양중작업 중 양중물이 인근 전신주의 충전부와 접촉되면서 감전 후 추락</t>
  </si>
  <si>
    <t>▶ 사전 조사를 통해 작업계획서를 수립하여, 양중기 작업구간 계획 등을 준수
▶ 충전부 인근에서 작업 시, 사전 관계기관 협조를 통해 정전작업 실시
▶ 충전부 인근에서 작업 시, 감전위험경보를 위한 감시인 배치
▶ 충전부 인근에서 작업 시, 감전방지를 위해 적정 이격거리(3m) 준수
▶ 충전부 인근에서 작업 시, 전선방호관 또는 COS 덮개 설치 등 방호조치 실시
▶ 작업자의 개인보호구, 안전대 체결여부 점검 및 관리감독</t>
  </si>
  <si>
    <t>2020년 9월경 (주)OO OO공장 먼지날림방지시설 설치사업 현장에서 철골 경사지붕 상단에 적치해 놓은 지붕 강판 다발(20개, 총무게 880kg)이 자중에 의해  경사면(14.4°)을 따라 지붕 하단으로 흘러 내려, 하단에 적치되어 있던 다른 강판 다발(4개, 총무게 176kg)을 치고, 이어서 지붕 하단 끝부분에서 작업 중이던 재해자(판넬공)를 가격하여, 재해자가 강판과 같이 17m 아래 바닥으로 떨어져 사망</t>
  </si>
  <si>
    <t>지붕 상단에 적재된 자재가 자중에 의해 지붕 경사면을 따라 미끄러지면서 지붕 하단에서 작업 중인 재해자가 자재에 맞은 후 지붕 단부로 추락</t>
  </si>
  <si>
    <t>▶ 경사진 지붕에 자재를 적재할 경우, 자재를 철골부재와 고정하는 등의 미끄럼 방지 조치 실시
▶ 지붕 위에서 지붕재의 해체 또는 설치 작업을 할 경우, 알루미늄 또는 철재 등 충분한 강도와 규격으로 제작된 지붕사다리 설치, 추락방호망 설치, 안전대 부착설비 설치 등의 안전방호조치 실시
▶ 근로자 개인보호구 착용 및 안전대 체결여부 관리감독</t>
  </si>
  <si>
    <t>2020년 9월경 OO(주) OO공장 지붕 외 긴급보수공사 현장에서 재해자(판넬공)가 공장동 지붕 상부에서 파손된 슬래이트(Slate)를 선라이트(Sun Light)로 교체 또는 칼라강판 덧붙임 작업을 위하여 공장동(C동) 슬래이트 지붕 위에서 칼라강판을 작업 장소로 운반하던 중 슬래이트 지붕이 파손되면서 공장동 내부 콘크리트 바닥으로 떨어져(H≒12m) 사망</t>
  </si>
  <si>
    <t>2020년 10월경 OO(주)이 시공하는 OO창고 신축공사 현장에서 재해자(판넬공)가 철골 지붕으로 운반된 판넬 다발의 인양기구(판넬 지지대 및 슬링벨트)를 풀기 위해 퍼린(purlin) 위에서 작업(또는 이동) 중 실족하여 지상 1층 콘크리트 바닥으로 떨어져(높이 약 14.9m) 사망</t>
  </si>
  <si>
    <t>철골구조물 상부에서 양중물 줄걸이 해체작업 중 발을 헛디뎌 추락</t>
  </si>
  <si>
    <t>▶ 철골 구조물 상부에서 자재 인양, 이동, 설치 등 추락할 위험이 있는 작업 전 전 구간에 걸쳐 추락방지망, 안전대 부착설비 설치 등의 안전방호조치를 실시
▶ 철골 지붕 위에서 패널 등 마감재을 판개하는 등 추락할 위험이 있는 작업 시, 안전대 부착설비는 철골 거더 방향 뿐만 아니라 퍼린방향으로도 설치하여 전 작업범위에서 안전대를 체결할 수 있도록 조치
▶ 지붕재 등 마감재의의 해체 또는 설치 작업 시 고소작업대, 타워형 계단 등을 사용하여 철골 구조물 위에서의 작업을 최소화할 수 있는 작업 방법을 검토
▶ 지붕 위에서 지붕재의 해체 또는 설치 작업 시, 지붕 단부에서 작업하는 경우, 건물 외부에 쌍줄비계를 설치하고 안전난간대, 작업발판을 마련하여 작업자의 추락을 방지
▶ 외부의 패널 설치 작업 시, 고정볼트 조임자리가 높아서 작업이 어려울 경우, 안전대 죔줄을 풀고 이동하는 등 불안전한 작업행위를 금지하며 고소작업대를 타고 상승한 후 작업 재개
▶ 고소작업대를 벗어나 안전대 체결 없이 작업하는 행위를 금지
▶ 지붕 위에서 지붕재의 해체 또는 설치 작업 전 기후 상황에 따른 작업 중단 여부를 일일 검토하고, 노후화된 마감재의 경우 미끄러짐 우려가 있으므로 논슬립 안전화를 착용하도록 조치
▶ 작업자의 개인보호구 착용, 안전대 체결여부 점검 및 관리감독</t>
  </si>
  <si>
    <t>2021년 4월경 OO 개인 신축공사 현장에서 조립식건축 소속 근로자가 신축주택 지붕 패널 설치작업 준비 중 지붕에서 바닥(H≒4.5m)으로 떨어져 사망</t>
  </si>
  <si>
    <t>지붕에서 작업 중 발을 헛디뎌 지붕 단부로 추락</t>
  </si>
  <si>
    <t>2021년 5월경 ㈜OO 소속 재해자는 ㈜OO 화재 보수공사 현장에서 화재로 손실된 지상 3층 옥상 외부 벽체 판넬의 교체를 위해 3.5톤 고소작업대에 탑승 후 붐대를 올려 작업장소로 이동하던 중 근접해 설치된 22.9KV 고압선로에 재해자가 접근 한계거리 이상으로 근접해서 발생한 감전되어 사망(추정)</t>
  </si>
  <si>
    <t>고소작업대에 탑승하여 작업위치로 이동하던 중 인근 고압선로에 접촉되어 감전</t>
  </si>
  <si>
    <t>2021년 11월경 OO(주)는 ㈜OO 화재복구공사 현장에서 재해자는 고소작업대를 이용하여 지붕단부로 올라가 철골부재를 딛고 이동하면서 빗물받이 홈통을 해체하던중 몸의 균형을 잃고 5m 아래로 떨어져 사망</t>
  </si>
  <si>
    <t>4.8.2 판넬 등 외부마감 시공</t>
  </si>
  <si>
    <t>2015년 5월경 OO공사에서 재해자가 경량철골조 건물의 지붕판넬을 설치 하던 중 높이 4.5m 하부 1층 콘크리트 바닥으로 추락하여 사망</t>
  </si>
  <si>
    <t>2015년 12월경 ㈜OO 신축공사 현장에서 재해자가 외벽마감재(드라이비트) 설치작업 중 다락층 실내로 진입하여 계단 설치 예정인 바닥 개구부에서 지상 1층 콘크리트 바닥으로 추락(H≒6.9)하여 사망</t>
  </si>
  <si>
    <t>작업장소 이동 중 바닥 개구부를 인지하지 못하고 발을 헛디뎌 추락</t>
  </si>
  <si>
    <t>▶ 지붕 등 바닥 개구부 발생 시 근로자 및 자재 등에 대한 무게의 2배 이상을 견딜 수 있는 구조의 철재 안전덮개(개구부 표시 포함)를 설치하거나, 안전난간 및 추락방지망 설치 등 근로자 추락 방지 조치
▶ 안전난간 설치 시 지름 2.7cm 이상의 금속제 파이프나 그 이상 강도의 재료 사용하며 구조적으로 가장 취약한 지점에서 가장 취약한 방향으로 작용하는 100kg 이상의 하중에 견딜 수 있는 구조로 설치
▶ 지붕 위에서 지붕재의 해체 또는 설치 작업 시 지붕재가 미시공된 구간에 대해 각별히 유의하여 작업을 실시하고 작업자들에게 약한 재료의 구간으로 이동하지 않도록 교육 실시
▶ 지붕재의 해체 또는 설치 작업 시 고소작업대, 타워형 계단 등을 사용하여 지붕 위에서의 작업을 최소화할 수 있는 작업 방법을 검토
▶ 개구부에 마감 등 작업 진행 시 안전대 부착설비 설치 및 근로자 안전대 체결여부 점검 및 관리감독</t>
  </si>
  <si>
    <t>2015년 12월경 OO공사에서 재해자가 지붕 위에서 판넬 설치 작업 준비 중 몸의 중심을 잃고 지상 1층 콘크리트 바닥으로 추락하여(H≒11m) 사망</t>
  </si>
  <si>
    <t>▶ 지붕 또는 천장 단부에서 작업할 경우 비계 설치를 통해 작업발판 및 안전난간을 구성하여 근로자 추락 방지
▶ 지붕재 또는 천장재의 해체 또는 설치 작업을 할 경우 추락방지망, 안전대 부착설비 설치 등의 안전방호조치 실시하고 근로자 안전대 체결여부 점검 및 관리감독
▶ 작업발판을 견고하게 설치하고, 미끄럼방지 조치를 하여 근로자 추락 및 미끄러짐을 예방
▶ 지붕 또는 천장의 마감재 해체 또는 설치 작업 시 고소작업대, 타워형 계단 등을 사용하여 상부에서의 작업을 최소화할 수 있는 작업 방법을 검토</t>
  </si>
  <si>
    <t>2015년 12월경 OO(주)에서 시공 중인 자동차관련시설신축공사 현장에서 재해자(패널조립공)가 동료 작업자 3명과 함께 지붕상부(높이: 약 7.6m)에서 패널설치작업을 하던 중 패널양중에 사용된 로프에 왼손목이 감기면서 이동식 크레인에 의해 순간적으로 끌려올라가던 중 지상바닥(높이: 약 9.6m)으로 떨어져 사망</t>
  </si>
  <si>
    <t>지붕에서 작업 중 양중용 로프에 손목이 감기면서 이동식 크레인에 의해 순간적으로 끌려올라가다가 바닥으로 추락</t>
  </si>
  <si>
    <t>▶ 작업 전 사전 작업계획서를 수립하고, 운전원과 신호수 간에 신호체계를 구축하여 수시로 연락이 가능하도록 조치
▶ 높은 장소에서 인양 등의 작업 전 근로자 추락 방지를 위한 안전시설물을 설치 
▶ 높은 장소에서 인양 작업 시 수립된 작업계획서에 준하여 안전한 작업방법을 현장 여건에 맞게 적용하고, 기상 상황을 고려하여 작업 실시
▶ 섬유로프를 사용하여 자재 인양 시 신체 및 옷 등에 걸림방지 조치 실시</t>
  </si>
  <si>
    <t>2016년 1월중</t>
  </si>
  <si>
    <t>2016년 1월중 연립주택 옥상 샌드위치 패널설치 공사 현장에서 재해자 2명이 샌드위치 패널 설치 마무리 작업인 후레싱 작업을 위해 카고크레인 붐 헤드와 연결된 작업대에 탑승한 후 카고 크레인 붐 헤드의 작업대가 상승 중 높이 11m지점에서 붐 헤드와 작업대가 분리되면서 작업대와 함께 추락하여 1명 사망, 1명 부상</t>
  </si>
  <si>
    <t xml:space="preserve">이동식크레인에 작업대(탑승설비)를 연결 설치하여 상승시키던 중 작업대 이탈방지핀 미체결로 인해 붐 헤드와 작업대가 분리되면서 재해자가 함께 추락 </t>
  </si>
  <si>
    <t>▶ 이동식크레인 등 건설기계 투입 전 검사증 등을 확인하여 불법 개조여부를 확인
▶ 이동식크레인에 탑승설비를 부착하는 경우 작업 시작 전 탑승설비와 지브 브라켓 하부의 연결핀 체결 상태 및 아웃트리거, 안전장치 이상유무 확인
▶ 작업대가 아닌 작업공간 내 별도의 위치에 안전대 부착설비를 설치하고, 근로자가 작업 중 안전대를  체결할 수 있도록 관리감독
▶ 가능한 안전인증 및 안전검사를 받은 고소작업대를 사용</t>
  </si>
  <si>
    <t>2016년 2월경 철물점 개·보수공사 현장에서 재해자가 이동식 비계(2단)를 사용하여 벽체 함석판넬 도색작업을 하던 중 틀비계 상부에 설치된 작업발판(높이 약 3m)에서 떨어져 사망</t>
  </si>
  <si>
    <t>▶ 이동식비계 조립 시 안전난간, 아웃트리거 지지, 구름방지장치 등 설치기준을 준수하여 추락 및 전도방지 조치 철저
▶ 이동식비계 부재(주틀, 안전난간, 발바퀴, 아웃트리거 등)는 방호장치 안전인증 기준에 적합한 제품을 사용
▶ 부득이하게 안전난간 일부를 해체하여 작업할 경우, 근로자 안전대 착용 및 체결여부 확인을 위한 관리감독자 배치 등 관리감독
▶ 이동식비계 승하강용 사다리 이용하여 이동 시, 작업자 실족 및 추락방지 하기 위한 작업장 조도 확보(적절한 조명기구 설치 등)
▶ 작업자의 개인보호구, 안전대 체결여부 점검 및 관리감독</t>
  </si>
  <si>
    <t>2016년 2월경 OO이 시공하는 OO 지붕보수공사 현장에서 지붕판넬공인 재해자가 공장지붕 상부에서 지붕 보수작업을 하던중 썬라이트가 파손되며 약 11m 아래 공장바닥에 떨어져 사망</t>
  </si>
  <si>
    <t>2016년 3월경 다세대주택(지상5층) 확장공사 현장에서 재해자가 옥상 요철부위 외부 보위에서 실측작업중 몸의중심을 잃고 약14m 아래 지사1층 바닥으로 떨어져 사망</t>
  </si>
  <si>
    <t>옥상 구조물 상부에서 작업 중 발을 헛디뎌 바닥으로 추락</t>
  </si>
  <si>
    <t>2016년 3월경 OO목장 지붕공사 현장에서 재해자가 동료직원 등과 목장지붕 선라이트 교체 작업을 위해 지붕 위에서 이동 중 미끄러지면서 노후 된 선라이트를 밟아 선라이트가 파손되며 목장 바닥(높이: 약 3.5m)으로 떨어져 사망</t>
  </si>
  <si>
    <t>2016년 4월경 OO공장 보수공사 현장에서, 화재로 인하여 그을린 공장 지붕재 청소를 위해 재해자 A형 사다리를 이용하여 1층 천정재(EPS 패널) 위에 올라가는 순간 천정재와 이를 지지하던 알루미늄 천정틀(T-Bar)이 무너지면서 함께 떨어져(H≒3.5m), 2명 부상</t>
  </si>
  <si>
    <t>2016년 4월경 OO공사에서 재해자가 철골 트러스 위에서 패널 조립작업중 몸의 중심을 잃고 높이 약 9.7m 1층 콘크리트 바닥으로 추락하여 사망</t>
  </si>
  <si>
    <t>철골 구조물 위에서 작업하던 중 발을 헛디뎌 바닥으로 추락</t>
  </si>
  <si>
    <t>2016년 5월경 OO에서 시공하는 OO 설치공사 현장에서 재해자가 동료작업자와 같이 고소작업대 위에서 우레탄패널을 설치하기 위해 이동식크레인으로 패널을 인양 중 패널 양쪽에 걸었던 바이스플라이어 압착력 부족으로 패널이 고소작업대로 낙하하면서 재해자를 타격하고 2차로 고소작업대(H≒6.3m)에서 1층 바닥으로 떨어져 사망</t>
  </si>
  <si>
    <t>이동식 크레인으로 자재를 양중하던 중 양중물이 결속 불량으로 이탈하여 낙하면서 고소작업대에 탑승해 있던 재해자가 맞은 후 바닥으로 추락</t>
  </si>
  <si>
    <t>▶ 이동식 크레인을 이용하여 패널 등의 마감재 인양 전 사전 작업계획서를 수립하여, 알맞은 인양도구를 선정하여 사용
▶ 줄걸이 방식 및 바이스플라이어의 사용 금지 등 관계근로자 특별교육 실시
▶ 이동식 크레인 인양작업 시 인양물이 낙하할 수 있는 구간에는 접근금지 조치를 하여 타 공종과 혼재작업이 되지 않도록 관리감독
▶ 고소작업대의 작업대에 안전난간을 설치하고, 근로자 안전대 체결 등의 추락방지조치</t>
  </si>
  <si>
    <t>2016년 5월경 창고 신축공사 현장에서 재해자가 지붕판 틈새 등에 실리콘 방수작업을 하기 위해 창고 출입구 앞에 설치되어 있던 이동식비계(2단, 높이 3.4m)를 이용하여 지붕(높이 5m) 위로 올라가던 중, 이동식비계와 사다리가 넘어지며 3.4~5.0m 아래 지상으로 떨어져 사망</t>
  </si>
  <si>
    <t xml:space="preserve">이동식비계를 이용해 지붕위로 올라가던 중, 이동식비계가 넘어지며 근로자 추락 </t>
  </si>
  <si>
    <t>▶ 지붕 위로 이동작업 시 가설통로 설치
▶ 경사가 30° 이상일 경우 계단 설치 및 추락위험 장소에는 안전난간 설치
▶ 이동식 비계 설치 시 전도방지를 위해 견고한 시설물에 고정 또는 아웃트리거 사용
▶ 개인보호구 지급 및 착용</t>
  </si>
  <si>
    <t>2016년 5월경 개인건축업자가 시공하는 OOO 단독주택 신축공사 현장에서 보일러설비공인 재해자1와 보통인부인 재해자2가 판넬절단작업을 하던 중, 이웃 창고의 함석지붕이 강풍에 의해 파손되며 함석지붕과 지붕틀인 목재각재가 날아와 재해자2는 오른쪽 다리를 맞아 부상을 입었으며, 재해자1은 머리를 맞아 두개골 함몰 등 부상을 입어 사망</t>
  </si>
  <si>
    <t>작업 중 이웃 창고의 지붕재가 순간 돌풍에 의해 파손되어 날아오면서 재해자가 맞음</t>
  </si>
  <si>
    <t>▶ 바람 등 기상상태 불안정으로 인하여 근로자가 위험해질 우려가 있는 경우 작업 중지
▶ 근로자 개인보호구 지급 및 착용상태 관리감독</t>
  </si>
  <si>
    <t>2016년 5월경 OO공사에서 재해자가 지붕슬레이트의 면적 실측위해 이동 중 슬레이트가 파손되면서 콘크리트 바닥으로 추락하여(H≒7.97m) 사망</t>
  </si>
  <si>
    <t>2016년 5월경 OO공사에서 재해자가 지붕패널(W≒182kg) 설치작업 중 발을 헛디뎌 지붕 개구부(약 15m×1.2m)에서 콘크리트 바닥으로 추락하여(높이 약 9m) 사망</t>
  </si>
  <si>
    <t>지붕에서 작업 중 개구부를 인지하지 못하고 발을 헛디뎌 바닥으로 추락</t>
  </si>
  <si>
    <t>2016년 5월경 OO(주)이 시공하는 ㈜OO 공장 신축현장에서 협력업체 소속 재해자(패널공)가 공장동(지상 1층) 철골지붕 상부 물받이 구간에서 샌드위치패널((1m×7.8m, t=17.5cm) 인양을 위한 준비작업 중 패널과 패널사이 개구부(90cm×90cm)에서 약 8.5m아래  콘크리트 바닥으로 떨어져 사망</t>
  </si>
  <si>
    <t>2016년 5월경 OO 물류창고 증축공사 현장에서 재해자(판넬조립공)가 외벽 상부에 물받이 홈통을 설치하기 위해 지붕 철골보 위에서 작업 준비 중 몸의 중심을 잃고 지상 1층 콘크리트 바닥으로 떨어져(H≒6.5m) 사망</t>
  </si>
  <si>
    <t>2016년 5월경 우사 지붕보수공사 현장에서 재해자가 지붕 위에서 선라이트 파손부위에 실리콘 보수작업을 완료하고 이동하던 중, 선라이트(채광창, 설치후 약 8년 경과, 두께 약 1㎜)를 밟아 선라이트가 깨지면서 5.8m 아래 우사 콘크리트 바닥으로 떨어져 사망</t>
  </si>
  <si>
    <t>2016년 06월</t>
  </si>
  <si>
    <t>2016년 06월경 OO에서 시공하는 개인주택 기와지붕 보수공사 현장에서 재해자가 각도 22°로 되어있는 기와지붕공사에 인접건물이 있는 외측방향에서 작업을 진행하기위해 모서리 방향으로 이동 중 지붕에 작업을 하기 위해  쌓아놓은 기와에 발이 걸려 기와와 같이 넘어지면서 인접건물방향으로 높이 4.5m 아래로 머리부터 시멘트 옹벽에 부딪혀 떨어져 사망</t>
  </si>
  <si>
    <t>지붕에서 이동하던 중 적재해둔 자재에 발이 걸리면서 지붕단부로 추락</t>
  </si>
  <si>
    <t>2016년 6월경 OO공사에서 재해자가 양식장 경사지붕 강판판넬 설치 작업 중 약 5.5m 아래 콘크리트 바닥으로 추락하여 사망</t>
  </si>
  <si>
    <t>2016년 6월경 OO공사에서 재해자가 지붕판넬 위에서 판넬을 설치하기 위해 상부에 있는 판넬을 옮기던중 미끄러지며 지붕 단부로 추락하여 사망</t>
  </si>
  <si>
    <t>지붕에서 작업 중 발이 미끄러지면서 안전난간이 설치되지 않은 지붕단부로 추락</t>
  </si>
  <si>
    <t>2016년 7월경 축사 보수공사 현장 내 축사 지붕위에서 재해자가 지붕재로 사용한 칼라 강판을 제거하고 폼판넬로 교체하는 작업을 하기위해 축사 지붕 위를 이동 중 선라이트 부분(약 2m*1m)을 밟아 선라이트가 파손되면서 축사바닥으로 떨어져(H:4.9m) 사망</t>
  </si>
  <si>
    <t>2016년 7월경 OO공사에서 재해자가 철골 구조물 위에서 하지철물에 판넬(칼라시트)을 설치하던 중  안전대 고리를 풀고 옆으로 이동하던 순간 몸의 중심을 잃고 지상으로 추락하여(H≒15m) 사망</t>
  </si>
  <si>
    <t>철골 구조물 위에서 이동하던 중 발을 헛디뎌 바닥으로 추락</t>
  </si>
  <si>
    <t>2016년 9월경 창고판넬 설치공사 현장에서 재해자가이 1층 공장 외벽 판넬 설치 작업 후 사다리를 통해 하부로 내려오던 중 높이 약 3m 지점에서 몸의 중심을 잃고 지상 바닥으로 떨어짐</t>
  </si>
  <si>
    <t>고정상태가 불량한 사다리를 이용하여 이동 및 작업 중 근로자 추락</t>
  </si>
  <si>
    <t>▶ 사다리를 사용하여 고소작업을 하는 경우, 하부 아웃트리거 설치, 미끄럼방지패드 설치 등 전도방지조치를 실시하며 사다리 하부를 잡아줄 수 있도록 근로자 추가 배치하여 2인 1조 작업 실시
▶ 가능한 사다리 사용을 지양하고 비교적 안전성이 높은 이동식 비계, 고소작업대 등의 사용을 권고
▶ 사다리가 아닌 별도의 위치에 안전대 부착설비를 설치하고 안전대를 체결한 상태로 작업할 수 있도록 관리감독
▶ 일자형 사다리를 통로로 사용하는 경우, 미끄러지는 것을 방지하기 위한 조치를 취하고 상단은 걸쳐놓은 지점으로부터 60cm 이상 올라가도록 설치할 것
▶ 작업자의 개인보호구 착용상태 점검</t>
  </si>
  <si>
    <t>2016년 9월경 OO공사에서 재해자가 자전거보관소 지붕에서 마감판넬 설치 작업 중 몸의 중심을 잃고 지상1층 바닥으로 추락하여(H≒4.3m) 사망</t>
  </si>
  <si>
    <t>2016년 9월경 OO공사에서 재해자가 철골지붕 위에서 패널 설치작업 중 선라이트 설치예정인 개구부(약10m×1m)에서 콘크리트 바닥으로 추락하여(H:8.9m) 사망</t>
  </si>
  <si>
    <t>2016년 10월경 추가공사 현장에서 재해자(판넬공)이 가설임시창고 B동 지붕마감재 위에서 피스 고정작업 중 고정되지 않은 용마루 주변 지붕마감재의 탈락(꺽임 발생)과 함께 실족, 10.7m 아래 CON`C 바닥으로 떨어져 사망</t>
  </si>
  <si>
    <t>2016년 11월경 ㈜OOOO 냉동창고 설치공사 현장에서 재해자가 지상 1층 수산냉동실에서 벽체 판넬 코킹(실리콘) 작업을 하기위해 고소작업대(시저형) 탑승 중 콘크리트 바닥(H≒0.9m)으로 떨어져 사망(추정)</t>
  </si>
  <si>
    <t>고소작업대 탑승을 위해 답단이 좁은(0.32m) 승강사다리를 올라가던 중 발을 헛디뎌 추락</t>
  </si>
  <si>
    <t>2016년 11월경 ㈜OO에서 시공중인 OO 공장 증축공사 현장에서 협력업체 소속 재해자(용접공)가 철골구조물의 지붕 판넬설치를 위한 바탕철물(C형강) 용접을 위해 고소작업대를 이용하여 작업 또는 이동 중, 몸의 중심을 잃고 지상1층 바닥(H≒8m)으로 떨어져 사망</t>
  </si>
  <si>
    <t>▶ 고소작업대(차) 사용 시 작업반경 내 구조물, 나무 등이 걸리지 않는 적합한 장소에 위치한 후 작업 진행
▶ 고소작업대(차) 사용 작업 시 작업대 단부 등 추락 위험 구간에 안전난간을 설치하고, 작업대의 안전난간이 아닌 별도의 안전대 부착설비 설치 및 안전대 체결상태 점검 및 관리감독
▶ 고소작업대(차) 안전장치 설치 및 정상작동 상태 유지로 허용 작업범위 내에서 작업 실시
▶ 고소작업대(차) 이동 또는 작업대를 움직여야 할 경우, 작업대가 마감재 등에 걸려 충돌 및 충격을 받지 않도록 운전원과 작업자 간의 무선연락체계(무전기 등)를 통한 정확한 신호체계 구축
▶ 고소작업대를 통해 작업 시 건물 외벽 코너부 마감재를 시공하는데 작업이 어려울 경우, 안전난간대를 해체하여 몸을 내민 상태에서 작업하는 행위를 금지하고 고소작업대의 위치를 변경하거나 비계 등의 가설구조물을 설치하여 작업을 재개하도록 조치</t>
  </si>
  <si>
    <t>2016년 11월경 개인이 시공하는 직영공사 현장에서 협력업체 소속 재해자(용접공)가 철골지붕 위에서 샌드위치 패널 설치작업 중 패널과 패널 사이 개구부(약 5m×0.4m)를 통해 바닥으로 떨어져(H:3.4m) 사망</t>
  </si>
  <si>
    <t>2016년 11월경 OO이 시공하는 OO공장 지붕 채광창 교체공사 현장에서, 재해자(패널공)이 2겹으로 설치된 지붕채광창 중 하부채광창 위에 서서 상부채광창을 강판으로 교체하기 위해 나사못 고정부위를 표시하던 중 재해자의 자중등을 버티지 못하고 하부채광창을 고정했던 나사못이 빠지면서 하부 바닥으로 떨어져(H≒8.5m) 사망</t>
  </si>
  <si>
    <t>2016년 11월경 OO건설(주)이 시공하는 물류센터 신축공사 현장에서 재해자가 지상 2층 외벽에 판넬 및 창문틀 설치 중 카고크레인을 사용하여 슬링벨트로 달아 올린 작업대를 옆으로 이동시키는 과정에서 재해자가 작업대에서 이탈되면서 지상 1층 외부 바닥으로 떨어져(높이 약7.3m) 사망</t>
  </si>
  <si>
    <t>2016년 12월경 OO(주)에서 시공하는 OO공장 수출면 라인 이설 믹셔반 2층 증축공사 현장에서, 재해자가 굴삭기 버킷(0.6m3)에 탑승하여 약 1.6m 높이까지 상승한 후에 벽체에 드릴로 천공하는 작업 중, 중심을 잃고 지상으로 떨어져(h≒1.6m) 사망</t>
  </si>
  <si>
    <t>굴삭기 버킷에 탑승하여 벽체 천공 작업 중 작업진동 등에 의해 몸의 중심을 잃고 바닥으로 추락</t>
  </si>
  <si>
    <t>▶ 굴착기 사용 시 버킷에 작업자 탑승 및 작업 행위를 금지하며 고소작업이 필요한 경우, 고소작업대, 이동식 비계 등을 설치하여 작업 실시
▶ 작업자의 개인보호구, 안전대 체결여부 점검 및 관리감독</t>
  </si>
  <si>
    <t>2016년 12월경 ㈜OO에서 시공하는 ㈜OO 공장 증축공사 현장에서 공장 판넬 및 창호 설치를 담당하는 하청업체 소속 재해자가 4층 바닥 높이 외부에서 줄에 매달려 그라스울판넬 고정 및 볼팅작업을 하고 휴식을 위하여 건물 창호등에 걸친채로 추락방지대를 해체하려던중 몸의 중심을 잃고 11m 높이에서 떨어져 사망</t>
  </si>
  <si>
    <t>달비계 작업 중 구조물 내부로 이동하기 위해 창틀에 걸터앉은 자세로 추락방지대를 해체하던 중 몸의 중심을 잃고 추락</t>
  </si>
  <si>
    <t>▶ 고소 작업 시 현장 내 안전을 고려하여 가능한 가장 안전한 시설(고소작업대, 시스템비계 등)을 사용하여 작업 진행
▶ 수직 구명줄에 매달려 작업하는 경우, 추락방지대의 해체는 건물 내부로 완전히 진입 후 추락 위험이 없을 때 실시하도록 근로자 교육</t>
  </si>
  <si>
    <t>2016년 12월경 OO(주)에서 시공하는 근린생활시설 신축공사 현장에서, 재해자가 사다리를 밟고 올라가 건물 2층 벽체판넬 고정용 C-형강(100cm×100cm×6,500cm)을 벽체 판넬과 기둥사이 틈에 끼우고 내려오려던 중, 사다리에서 미끄러지면서 C-형강을 잡았으나, 고정되지 않은 C-형강과 함께 지상으로 떨어져(h≒6.0m) 사망</t>
  </si>
  <si>
    <t>이동식사다리에서 내려오던 중 발이 미끄러지며 바닥으로 추락</t>
  </si>
  <si>
    <t>2016년 12월경 (주)OO 내부 보수공사현장에서 작업자 4명이 지붕판넬 방수(실리콘)작업을 하기 위해 이동식크레인 탑승설비에 탑승하여 지브를 상승시켜 작업장소로 이동 중 탑승설비가 지브 브라켓에서 탈락하여 지상으로 떨어져(H≒13m) 3명사망, 1명 부상</t>
  </si>
  <si>
    <t>2016년 12월경 OO에서 시공하는 ㈜OO 1공장 1동 지붕판넬 교체공사 현장에서 재해자(철거공)이 기존 공장의 지붕 마감재인 강판과 글라스울을 해체하는 작업 중 마감재가 기 철거된 부위의 개구부(길이 1.6m×폭 0.9m)를 통해 약 12m 아래의 지상 1층 내부 콘크리트 바닥으로 추락하여 사망</t>
  </si>
  <si>
    <t>2016년 12월경 OO공사에서 재해자가 지붕위에서 지붕 샌드위치판넬 설치 작업 중 지붕판넬이 붕괴되면서 약 3m 아래 바닥으로 추락하여 부상</t>
  </si>
  <si>
    <t>2016년 12월경 OO공사에서 재해자가 철골 트러스 위에서 벽체 샌드위치 패널(1,000×7,500×125, 45kg)을 로프에 묶어 올리던 중 지상바닥으로 추락하여 사망</t>
  </si>
  <si>
    <t>철골 구조물 위에서 자재 운반 중 발을 헛디뎌 바닥으로 추락</t>
  </si>
  <si>
    <t>2016년 12월경 ㈜OO 증축공사 현장에서 재해자와 동료작업자 2명이 공장동(라동) 2층 중간 슬래브 강재판넬 설치 중 슬래브 단부 개구부로 떨어져(H≒11m) 사망</t>
  </si>
  <si>
    <t>철골구조조물 상부에서 바닥재 설치 작업 중 바닥재가 설치되지 않은 개구부를 인지하지 못하고 발을 헛디뎌 추락</t>
  </si>
  <si>
    <t>2017년 1월경 ㈜OO에서 시공하는 빌딩 신축공사 현장에서 재해자가 비계 위에서 로프와 화물차용 자동바를 당기면서 루버를 설치하던 중, 로프가 끊어지면서 반동으로 인해 몸의 중심을 잃고 비계 외부로 떨어져(높이 약 12.4m) 사망</t>
  </si>
  <si>
    <t>외부비계 작업발판 위에서 작업 중 넘어지며 안전난간 사이로 추락</t>
  </si>
  <si>
    <t>▶ 지붕재 또는 천장재의 해체 또는 설치 작업을 할 경우 추락방지망, 안전대 부착설비 설치 등의 안전방호조치 실시하고 근로자 안전대 체결여부 점검 및 관리감독
▶ 작업발판을 견고하게 설치하고, 미끄럼방지 조치를 하여 근로자 추락 및 미끄러짐을 예방</t>
  </si>
  <si>
    <t>2017년 1월경 OO(주) OO 패널공사 현장에서 재해자(패널공)가 경량 철골조에 천장의 패널(약 5m 높이)을 고정하기 위해 시저형 고소작업대의(약 3m상승) 작업대 측면 중간 난간대(높이 60cm)에 올라서서 전동 드라이버로 나사못(육각 직결 스크류 볼트)을 철골조에 고정하던 중 몸의 균형을 잃고 약 3.6m 아래 콘크리트 바닥으로 떨어져 사망</t>
  </si>
  <si>
    <t>작업높이에 맞지 않아 고소작업대 난간대를 밟고 올라서서 작업하던 중 몸의 균형을 잃고 바닥으로 추락</t>
  </si>
  <si>
    <t>2017년 2월경 OO 의원 외벽판넬공사 현장에서 재해자(용접공)가 동료 작업 근로자와 함께 고소작업대(스카이)에 탑승하여 건물 2층 외벽판넬 설치 작업을 진행하던 중 작업대 보조 작업발판 하부 경첩이 파손되어 작업발판이 벌어지면서 재해자 가 몸의 균형을 잃고 건물 바닥으로 떨어져(H≒3.6m) 사망</t>
  </si>
  <si>
    <t>외벽 패널 설치 작업을 진행하던 중 작업대 보조 작업발판 하부 경첩이 파손되어 작업발판이 벌어지면서 추락</t>
  </si>
  <si>
    <t>▶ 고소작업대(차)를 사용 전 안전검사 여부, 안전장치, 작업대 발판 등의 상태 점검을 실시하고 이상이 있을 경우 즉시 교체 또는 보수작업 완료 후 사용하도록 관리감독
▶ 고소작업대(차) 사용 작업 시 작업대의 안전난간이 아닌 별도의 안전대 부착설비 설치 및 안전대 체결상태 점검 및 관리감독</t>
  </si>
  <si>
    <t>2017년 2월경 OO공사에서 재해자가 기존 냉동창고 천정마감 작업을 위해 이동 중 단차(H≒1.4m)가 있는 전실 천장으로 내려가기 위해 앉아 뛰어내리는 순간 전실 천장마감재가 천장틀(T-bar)에서 빠지면서 발생한 개구부 사이로 추락하여(H≒7.0m) 사망</t>
  </si>
  <si>
    <t>2017년 2월경 ㈜OO에서 시공중인 OO중학교 다목적강당 및 급식실증축 공사의 외부 마감재 납품 현장에서 복합판넬 고정철물(하지철물) 용접작업 중 기 설치된 외부 단열재[발포 폴리스티렌(일명 스티로폼), t=100mm)에 용접 불티가 떨어지며 화재가 발생하여 재해자 1명이 사망</t>
  </si>
  <si>
    <t>하지철물 용접작업 중 근접하여 설치된 단열재에 용접 불티가 튀어 화재 발생</t>
  </si>
  <si>
    <t>▶ 화재 위험작업 구간 주변 가연물이 있을 경우, 불티방지포 등을 설치하여 불꽃이 가연물쪽으로 튀는 것을 방지 조치
▶ 화재 위험작업 근로자에게 작업 전 특별교육을 실시하고, 소화기 비치 및 화재감시자가 배치된 상태에서 작업할 수 있도록 관리감독</t>
  </si>
  <si>
    <t>2017년 3월경 개인이 시공하는 단독주택 신축공사 현장에서, 재해자(판넬공)가 옥상층 난간 외측으로 넘어가 실리콘 작업을 하던 중, 중심을 잃고 약 12m아래 지상 바닥으로 떨어져 사망</t>
  </si>
  <si>
    <t>2017년 3월경 개인업자가 시공하는 OO공장 지붕 채광창 교체공사 현장에서 재해자(패널공)가 공장동 지붕 채광창(폴리카보네이트, t=1.2mm)을 밟고 지나가던 중 채광창이 파손되면서 공장 내부에 적재되어 있던 각파이프 위로 떨어져(H≒11m) 사망</t>
  </si>
  <si>
    <t>2017년 3월경 OO현장에서 재해자가 지붕틀 설치작업을 돕기 위해 선라이트(PC: Polycarbonate) 지붕 위에서 이동 중, 약 3m 아래 2층 바닥으로 추락하여 사망</t>
  </si>
  <si>
    <t>2017년 3월경 OO(주) 공장 내 슬라이딩랙 창고 보완 공사현장에서 재해자(판넬설치공)이 창고 지붕 위로 올라가 기존 지붕 샌드위치 판넬의 보수(교체) 대상 여부를 파악하기 위해 판넬 고정용 피스를 해체하여 판넬 내부의 손상 유무를 확인 후 이동하던 중 재해자가 고정용 피스가 해체된 판넬을 밟음과 동시에 지붕 철골구조물에 미고정 상태로 걸쳐있던 판넬이 탈락되면서, 높이 약 6m 아래의 콘크리트 바닥으로 떨어져 사망</t>
  </si>
  <si>
    <t>▶ 노후화 되거나 강도가 약한 재료의 마감재 위에 안전덮개(발판)를 견고하게 설치하여 마감재 파손에 의한 근로자 추락 방지 조치
▶ 충분한 강도와 규격으로 제작된 지붕사다리 설치 또는 추락방지망 설치, 안전대 부착설비 설치 등의 안전 방호 조치 실시
▶ 근로자 이동 또는 작업 시 안전대 체결 여부 점검 및 관리감독
▶ 지붕재 또는 천장재의 해체 또는 설치 작업 시, 고소작업대, 타워형 계단 등을 사용하여 위에서의 작업을 최소화할 수 있는 작업 방법을 검토</t>
  </si>
  <si>
    <t>2017년 4월경 축사 지붕 개보수공사 현장에서 재해자(보통인부)이 자재(고정용 못)를 전달하기 위해 지붕위로 올라가 이동 중 몸의 중심을 잃고 노후 썬라이트를 밟는 순간 썬라이트가 파손되면서 약 5.3m 아래 콘크리트 바닥으로 떨어져 사망</t>
  </si>
  <si>
    <t>2017년 4월경 OO지붕 천막 설치공사 현장에서 재해자가 지붕 천막 설치 전, 지붕의 기존 환기설비(3개) 해체 작업을 하고 있던 회사대표를 돕기 위해, 지붕으로 올라가 이동 중, 노후된 천막이 찢어지면서 지붕에서 창고 내부 콘크리트 바닥(H≒6.5m)으로 떨어져 사망</t>
  </si>
  <si>
    <t>2017년 5월경 (주)OO건설에서 시공하는 현장에서, 재해자가 캐노피 지붕 C-형강(h≒7.2m)에 볼트로 고정된 지붕재(칼라강판; 920×6400×0.5mm)를 해체 및 철거 하는 작업 중, 고정볼트를 미리 제거한 칼라강판의 끝부분을 밟으면서 강판 끝부분이 지지점(C-형강)에서 이탈되어 하부로 꺾임과 동시에 재해자가 콘크리트 바닥으로 떨어져(H≒7.2m) 사망</t>
  </si>
  <si>
    <t>2017년 6월경 OO 단독주택 신축공사 현장에서 직영근로자인 재해자가 경량철골 지붕 상부에서 샌드위치 판넬 설치 작업 중 콘크리트 벽체(높이 5m) 위에서 이동 중, 지상 1층 콘크리트 바닥으로 추락하여 사망</t>
  </si>
  <si>
    <t>벽체 상부에서 이동하던 중 발을 헛디뎌 바닥으로 추락</t>
  </si>
  <si>
    <t>2017년 6월경 축사 증축현장에서, 재해자(패널공) 2명이 축사 부속동 기계실 지붕 EPS 패널(샌드위치 패널) 상부에서 벽체 부속품(U-BAR : 지붕과 벽체 패널 고정용 부속품) 재설치 작업을 위해 이동하던 중, 고정되지 않은 패널이 꺽이면서 약 6.5m 하부 콘크리트 바닥으로 떨어져 부상</t>
  </si>
  <si>
    <t>2017년 7월경 OO 축사 보수공사 현장의 지붕에서 선라이트를 흑강판으로 교체하는 작업을 하던 재해자(조력공)가 선라이트가 파손되어 콘크리트 바닥(H≒5.1)으로 떨어져 사망</t>
  </si>
  <si>
    <t>2017년 8월경 OO에서 시공중인 OO 경사지붕 보수공사 현장에서 재해자(잡철공)이 A동 경사지붕 보수공사를 위해 목재를 이용한 바탕작업(헛집짓기) 중, 노후된 슬레이트 지붕이 파단되면서 지상1층 바닥(H≒6.5m)으로 떨어져 사망</t>
  </si>
  <si>
    <t>2017년 9월경 창고 유지보수공사 현장에서 재해자가 창고지붕에서 고소작업대의 작업대에 탑승하여 지상으로 이동하려 하였으나 작업대 붐이 하강하던 순간 작업대와 건물사이 개구부로 넘어지면서 약 32m 아래 지상바닥으로 떨어져 사망</t>
  </si>
  <si>
    <t>2017년 9월경 OO공사에서 재해자가 지붕 좌측면 벽체 판넬 설치작업을 위해 지붕 철골 보(Beam) 위에서 기 설치되어 있던 판넬부재를 밟고 이동하던 중 약 7.5m 아래의 지상 콘크리트 바닥으로 추락하여 사망</t>
  </si>
  <si>
    <t>지붕에서 이동하던 중 발을 헛디뎌 안전난간이 설치되지 않은 지붕단부로 추락</t>
  </si>
  <si>
    <t>2017년 9월경 OO창고 지붕공사 현장에서 슬레이트 지붕상부에 칼라강판 덧씌우기 작업 중이던 재해자가 작업에 사용할 드릴을 가져오기 위해 이동하려고 슬레이트 지붕을 밟는 순간 슬레이트가 파단되면서 추락하여 창고 내부에 있던 트랙터(높이 약5m)에 1차로 머리를 부딪힌 후, 콘크리트 바닥(높이 약5.2m)으로 떨어져 사망</t>
  </si>
  <si>
    <t>2017년 9월경 OO공사에서 재해자가 지붕 후레싱(Flashing) 마감을 위해 핸드그라인더를 사용하여 지붕 패널의 전면부 잔여부분 절단작업 중 몸의 중심을 잃고 지상 바닥으로 추락하여(H≒약 3.5m) 사망</t>
  </si>
  <si>
    <t>2017년 10월경 OO이 시공중인 OO아파트 탁구장 증축공사 현장에서 직영 근로자인 재해자(보통인부)이 휘트니스클럽 옥상층에서 퍼린(purlin)을 운반 중 몸의 중심을 잃고 지상2층 바닥(약 3.6m)으로 떨어져 사망</t>
  </si>
  <si>
    <t>지붕에서 자재운반 중 발을 헛디뎌 안전난간이 설치되지 않은 지붕단부로 추락</t>
  </si>
  <si>
    <t>2017년 11월경 ㈜OO에서 시공중인 ㈜OO 공장신축 공사 현장에서 협력업체 소속 재해자(판넬공)가 3층 바닥슬라브에서 카리프트 방향으로 차량통행용 개구부를 만들기 위해, 벽체 판넬을 절단하여 제거하는 작업 중 절단된 판넬을 앞뒤로 흔들어 제거하다 몸의 중심을 잃고 판넬과 함께 3층 바닥슬라브에서 1층 카리프트 피트로 떨어져(H≒13m) 사망</t>
  </si>
  <si>
    <t>슬래브 단부에서 작업 중 절단한 구조물을 흔들어 제거하던 중 몸의 중심을 잃고 단부로 추락</t>
  </si>
  <si>
    <t xml:space="preserve"> 2017년 11월경 OO건물 해체공사 현장에서 재해자(해체공)가 지하 1층 건물 내부에서 사다리에 올라서서 냉동창고 내부단열 마감재인 우레탄 샌드위치 판넬을 해체하는 작업 중 몸의 중심을 잃고 바닥으로 떨어져 사망</t>
  </si>
  <si>
    <t>이동식사다리에서 작업하던 중 발을 헛디뎌 바닥으로 추락</t>
  </si>
  <si>
    <t>2017년 11월경 축사에서 지붕개량작업을 실시하던 중, 선라이트를 밟고 약 5m 아래 축사 바닥(콘크리트)으로 떨어져 사망</t>
  </si>
  <si>
    <t>2017년 12월경 OO 근린생활시설 신축공사 현장에서 협력업체 소속 재해자(판넬공)가 사다리에서 외벽 샌드위치 판넬 플래싱 설치 작업 중 미끄러지며 지상 바닥으로 떨어져(H≒6.0m) 사망</t>
  </si>
  <si>
    <t>이동식사다리에서 작업하던 중 발이 미끄러지며 바닥으로 추락</t>
  </si>
  <si>
    <t>2017년 12월경 OO공사에서 재해자가 지붕 위에서 환기구 용마루 후레싱 설치작업을 위해 이동하던 중 작업을 위해 임시 해체한 환기구 판넬(길이2,500㎝×폭1,000㎝×두께50㎜)을 밟으면서 판넬과 함께 약 19.2m 아래의 바닥으로 추락하여 사망</t>
  </si>
  <si>
    <t xml:space="preserve"> 2018년 1월</t>
  </si>
  <si>
    <t xml:space="preserve"> 2018년 1월경 OO(주) OO 증축공사 현장에서 재해자가 냉동창고 천정 판넬 위에서 코킹작업 완료 후 이동 중 천막으로 덮여있는 개구부(판넬 미설치 구간)로 떨어져(H≒6.8m) 사망</t>
  </si>
  <si>
    <t>지붕에서 이동 중 개구부를 인지하지 못하고 발을 헛디뎌 바닥으로 추락</t>
  </si>
  <si>
    <t>2018년 1월경 OO 센터 내 파렛트 보관창고 지붕 천막철거 및 교체공사현장에서 재해자(보통인부)가 창고지붕 위 노후화 된 천막 철거작업을 위하여 지붕위로 올라가 이동하던 중 밟은 천막이 찢어지면서 높이 8.3m 아래 콘크리트 바닥으로 떨어져 사망</t>
  </si>
  <si>
    <t>2018년 1월경 OO공장 신축공사 현장에서 재해자(판넬공)가 공장동 지붕의 기계 반출입용 개구부 판넬 설치작업 중, 고정되지 않은 판넬을 밟아 뒤집어지며 판넬과 함께 공장동 콘크리트 바닥으로 떨어져(H≒14.2m) 사망</t>
  </si>
  <si>
    <t>2018년 2월경 OO공사에서 재해자가 경사지붕 위에서 지붕판넬 설치작업 중 약 7m 높이 아래 지상 바닥으로 추락하여 사망</t>
  </si>
  <si>
    <t>2018년 2월경 정미기, 건조기총판에서 시공하는 가칭 OO 작업장 지붕 보수공사 현장에서 재해자(강판설치공)가 2동 작업장 지붕 칼라강판 설치 작업을 하던 중 채광창인 선라이트를 밟아 파단되면서 작업장 바닥으로 떨어져(H:6.77m) 사망</t>
  </si>
  <si>
    <t>2018년 3월경 OO 물류창고 신축공사 현장에서 내·외부 판넬 설치작업 협력업체인 ㈜OO 소속 재해자(판넬공)가 동료작업자 1명과 함께 지상 4층 방화벽 판넬 고정용 철물 설치작업을 하고 이동하던 중 지하 2층 E/V실 하부에 추락하여 사망</t>
  </si>
  <si>
    <t>이동 중 발을 헛디뎌 안전난간이 설치되지 않은 엘리베이터피트 개구부로 추락</t>
  </si>
  <si>
    <t>▶ 근로자가 작업 또는 이동 중 추락할 위험이 있는 장소에는 안전난간대, 추락방지망 설치 등의 안전방호조치 실시
▶ 작업자의 개인보호구, 안전대 체결여부 점검 및 관리감독</t>
  </si>
  <si>
    <t>2018년 3월경 OO 단독주택 신축공사 현장에서 재해자가 단독주택 경사지붕에 기와 설치작업을 마치고 사다리를 사용하여 내려오던 중 실족하여 테라스 콘크리트 바닥으로 떨어져(H≒3m) 사망</t>
  </si>
  <si>
    <t>2018년 3월경 OO건설에서 시공하는 터널공사 현장에서 재해자 등 6명이 터널 내부 지하환기소의 풍도슬래브(PSC 중공 슬래브, 9.1X1.2X0.2m, 2.72ton) 설치 작업중 지지 브라켓이 붕괴되어 떨어지며(H=5.5m) 하부에서 유도로프를 잡고있던 재해자를 강타하여 사망</t>
  </si>
  <si>
    <t>자재 운반 또는 이동 및 작업 중 강도가 약한 마감재를 밟아 마감재가 파손 또는 탈락되며 바닥으로 추락</t>
  </si>
  <si>
    <t>2018년 3월경 OO건축 / ㈜OO 선라이트 교체공사 현장에서 재해자(판넬공)가 공장동 지붕마감재인 선라이트 해체작업을 하기위해 지붕 위에서 이동중 지붕에 설치된 노후된 선라이트가 파손되면서 약 8.0m 아래 공장동 바닥으로 떨어져 사망(추정)</t>
  </si>
  <si>
    <t>2018년 3월경 개인이 시공하는 축사보수공사현장에서 재해자(보통인부)가 축사지붕위에 올라가 선라이트 교체작업 중 낡은 선라이트를 밟아 파손되면서 축사 콘크리트 바닥으로 떨어져 (h=6m) 사망</t>
  </si>
  <si>
    <t>2018년 3월경 OO공사에서 재해자가 지붕 위에서 FRP채광판 덧씌움 작업을 하던 중 지붕 슬레이트가 파손되면서 약 8.4m 아래 바닥으로 추락하여 사망</t>
  </si>
  <si>
    <t>2018년 4월경 OO리조트 대연회장 현장에서 재해자가 고소작업대(일명 스카이)에 탑승 상태로 엘리베이터 벽체 패널 설치 작업 중, 오전 작업을 마치고 고소작업대 탑승 상태로 지상으로 내려오던 중, 고소작업대 cage가 나뭇가지에 걸려 흔들리면서 재해자가 cage에서 지상 1층 바닥(H≒8m)으로 떨어져 사망</t>
  </si>
  <si>
    <t>고소작업대를 하강시키던 중 작업대가 장애물에 걸려 흔들리면서 작업대에서 추락</t>
  </si>
  <si>
    <t>2018년 4월경 OO 본사 창고 지붕보수 작업장에서 재해자(배관공)가 동료작업자와 지붕 용마루 보수작업 중 동료작업자가 슬레이트 지붕이 깨지면서 1층 바닥슬라브로 떨어지자 구조하기 위해 지붕에서 승강사다리 방향으로 이동 중 슬레이트 지붕(T=4mm)이 깨지며 1층 바닥슬라브로 떨어져(H≒3.2m) 사망</t>
  </si>
  <si>
    <t>2018년 5월경 OO이 시공하는 ㈜OO 지붕 보강공사 외 공사 현장에서 재해자(판넬공)가 차량 탑재형 고소작업대에 탑승 작업 중  지나가는 지게차의 돌출된 구조부(마스트)가 고소작업대의 붐대를 치면서 재해자가 작업대에서 추락하여 사망</t>
  </si>
  <si>
    <t>고소작업대에 탑승하여 작업 중 지나가는 지게차의 돌출된 구조부(마스트)가 고소작업대의 붐대와 충돌하면서 재해자가 작업대에서 추락</t>
  </si>
  <si>
    <t>▶ 혼재작업 구간에서 작업지휘자 또는 유도자를 배치하고 고소작업대(차) 주변 접근금지 조치 실시하여 장비 간 충돌 방지 조치
▶ 고소작업대(차)를 사용하는 경우 탑승자가 작업대를 벗어나지 않도록 조치
▶ 고소작업대(차) 사용 작업 시 작업대 단부 등 추락 위험 구간에 안전난간을 설치하고, 작업대의 안전난간이 아닌 별도의 안전대 부착설비 설치 및 안전대 체결상태 점검 및 관리감독
▶ 고소작업대(차) 안전장치 설치 및 정상작동 상태 유지로 허용 작업범위 내에서 작업 실시</t>
  </si>
  <si>
    <t>2018년 5월경 OO공사에서 재해자가 지붕 위에서 지붕마감재(칼라강판) 설치를 위해 이동하던 중 노후화된 슬레이트를 밟는 순간 파손되면서 약 13.2m 아래 바닥으로 추락하여 사망</t>
  </si>
  <si>
    <t>2018년 5월경 ㈜OO OO공장에서 재해자가 지붕 보수 공사 중 선라이트 판넬이 파손되어 17.5m 아래 정반으로 떨어져 사망</t>
  </si>
  <si>
    <t>2018년 5월경 OO공사에서 재해자가 지붕 위에서 지붕마감재(폴리카보나이트)를 볼트로 고정시키는 작업 중 마감재가 꺾이면서 약 8.8m 아래 콘크리트 바닥으로 추락하여 사망</t>
  </si>
  <si>
    <t>▶ 지붕 위에서 마감재의 해체 또는 설치 작업 시 지붕재가 고정되지 않은 구간에 대해 각별히 유의하여 작업 실시하고, 작업자에게 지정된 안전통로로 이동핟도록 교육 실시
▶ 노후화 되거나 강도가 약한 재료의 지붕재 위에 지붕 전용 안전덮개(발판)를 견고하게 설치하여 마감재 파손에 의한 근로자 추락 방지 조치
▶ 충분한 강도와 규격으로 제작된 지붕사다리 설치 또는 추락방지망 설치, 안전대 부착설비 설치 등의 안전 방호 조치 실시
▶ 근로자 이동 또는 작업 시 안전대 체결 여부 점검 및 관리감독
▶ 지붕재의 해체 또는 설치 작업 시 고소작업대, 타워형 계단 등을 사용하여 지붕 위에서의 작업을 최소화할 수 있는 작업 방법을 검토</t>
  </si>
  <si>
    <t>2018년 6월경 단독주택신축공사 현장에서 재해자가 외부 강관비계 1단 작업발판 상에서 주택지붕 자재(샌드위치 판넬)의 설치작업을 하던중 실족하여 높이 약 1.95m 아래 지상바닥으로 추락하여 사망</t>
  </si>
  <si>
    <t>2018년 6월경 OO 축사 현장에서 일용직 재해자이 축사의 일부를 철거작업 과정 중 지붕 건축자재(슬레이트, 선라이트) 해체를 위해 지붕 위에서  이동중 선라이트가 파단되면서 약 4.2m 아래 축사 지면으로 추락하여 사망_x000D_</t>
  </si>
  <si>
    <t>2018년 7월경 ㈜OO건설에서 시공하는 OO공장 신축공사 현장에서 재해자(판넬공)가 옥상 파라펫 내부 자재인 샌드위치 판넬을 설치하기 위하여 운반 작업중, 옥상 슬라브 단부에서 약 8.3m 아래 콘크리트 바닥으로 추락하여 사망</t>
  </si>
  <si>
    <t>2018년 7월경 OO공사에서 재해자가 지하주차장 램프 출입구 캐노피 위에서 지붕자재(폴리카보네이트)설치 작업 중 몸의 중심을 잃고 약 3.9m 아래 콘크리트 바닥으로 추락하여 사망</t>
  </si>
  <si>
    <t xml:space="preserve">주차장 램프 지붕에서 작업 중 발을 헛디뎌 지붕단부로 추락 </t>
  </si>
  <si>
    <t>2018년 7월경 정비공장 지붕교체공사 현장에서 재해자(판넬공)가 동료작업 근로자와 함께 지붕(칼라강판 및 썬라이트) 해체작업을 진행하던 중 썬라이트(폴리카보네이트) 부위를 밟아 파손되면서 약8M 아래 지상 바닥으로 떨어져 사망</t>
  </si>
  <si>
    <t>2018년 8월경 OO교회 냉각탑실 방음벽 설치공사 현장에서 재해자가 샌드위치 판넬을 설치하기 위하여 A형 사다리 위에서 냉각탑실 방음벽 지붕 판넬 설치 작업중, 약 2.0m 아래 콘크리트 바닥으로 추락</t>
  </si>
  <si>
    <t>2018년 8월경 개인 건축업자가 시공하는 OO공장 B동 도장공사 현장에서 도장공 등 3명이 철골보 등의 녹 제거 후 페인트 작업 부분의 습기를 증발하기 위해 차량탑재형 고소작업대에 탑승하여 샌드위치 패널로 설치된 천장을 발판삼아 이동 중 2장의 천장 패널이 동시에 탈락되어 재해자 3명이 콘크리트 바닥(H≒6.4m)으로 떨어져 1명 사망(보통인부), 2명 부상</t>
  </si>
  <si>
    <t>2018년 9월경 OO(주)에서 시공중인 OO 단독공장 신축 현장에서 재해자(판넬공)이 지붕 철골 거더(Girder, 보) 위에서 지상2층 외벽 샌드위치 판넬 측면 빗물받이 시설(까치발)설치 작업 중 몸의 중심을 잃고 외벽 샌드위치 판넬(스티로폼 판넬 6,200*960*150)과 같이  지상1층 바닥(H≒14m)으로 떨어져 사망</t>
  </si>
  <si>
    <t>지붕 철골 보 상부에서 작업 중 발을 헛디뎌 바닥으로 추락</t>
  </si>
  <si>
    <t>▶ 지붕 단부에서 작업하는 경우 건물 외부에 쌍줄비계를 설치하고 안전난간대, 작업발판을 마련하여 작업자 추락 방지 조치
▶ 고소작업대, 타워형 계단 등을 사용하여 지붕 위에서의 작업을 최소화할 수 있는 작업 방법을 검토
▶ 작업 전 안전대 부착설비를 설치하고, 근로자가 안전대 체결한 상태로 작업할 수 있도록 관리감독</t>
  </si>
  <si>
    <t>2018년 9월경 한우 축사 지붕보수 공사 현장에서 일용직 재해자가 노후된 축사 지붕재(강판, 선라이트) 철거 작업을 하기 위해 강판과 선라이트가 설치 되어 있는 지붕 위에서 이동하던 중, 선라이트가 파단되면서 약 4.5m 아래 축사 바닥(콘크리트)으로 추락하여 사망</t>
  </si>
  <si>
    <t>2018년 10월경 OO창고에서 공사 책임자가 지붕 위에서 철거작업을 위하여 볼트 해체를 하고 있는데, 이를 도와주려고 일용근로자가 사다리(5미터)를 타고 올라갔다가 지붕(선라이트 재질)이 파손되면서 바닥(높이 약 4.18미터)으로 추락</t>
  </si>
  <si>
    <t>2018년 10월경 OO공사에서 재해자가 노후된 빗물받이 교체 작업을 위해 지붕 위에서 지붕재 해체작업을 하던 중 지붕 하부의 알루미늄 천장재를 밟아 천장재가 파단되면서 약 5.2m 아래 바닥(콘크리트)으로 추락하여 사망</t>
  </si>
  <si>
    <t>▶ 노후화 되거나 강도가 약한 재료의 마감재 위에 안전덮개(발판)를 견고하게 설치하여 마감재 파손이나 탈락에 의한 근로자 추락 방지 조치
▶ 충분한 강도와 규격으로 제작된 지붕사다리 설치 또는 추락방지망 설치, 안전대 부착설비 설치 등의 안전 방호 조치 실시
▶ 근로자 이동 또는 작업 시 안전대 체결 여부 점검 및 관리감독
▶ 고소작업대, 타워형 계단 등을 사용하여 지붕 또는 천장 위에서의 작업을 최소화할 수 있는 작업 방법을 검토</t>
  </si>
  <si>
    <t>2018년 10월경 OO 창고 신축공사에서 지붕재를 교체(선라이트→난연판넬)하는 공사 중, 작업반장이 기존에 설치되어 있던 선라이트 지붕재를 옆으로 운반하기 위해 들어 올리던 순간 돌풍(추정)으로 인해 선라이트가 뒤집히면서 지붕 처마에 서있던 재해자가 선라이트에 충돌 후 약 8.1m 아래 바닥(콘크리트)으로 추락하여 사망</t>
  </si>
  <si>
    <t>지붕에서 작업 중 순간적인 돌풍에 의해 자재가 뒤집히면서 부딪힌 후 지붕단부로 추락</t>
  </si>
  <si>
    <t>▶ 지붕 위에서 지붕재의 해체 또는 설치 작업 시, 지붕 단부에서 작업하는 경우 건물 외부에 쌍줄비계를 설치하고 안전난간대, 작업발판을 마련하여 작업자 추락 방지 조치
▶ 추락 위험이 있는 구간에는 추락방지망 및 안전대 부착설비를 작업 전에 설치하고, 근로자 개인보호구 착용 및 안전대 체결여부를 관리감독
▶ 지붕 위에서 지붕재의 해체 또는 설치 작업 시, 지붕재를 인력 및 단독으로 운반하는 행위를 지양하고 크레인을 사용하여 설치 위치로 자재를 운반하도록 계획</t>
  </si>
  <si>
    <t>2018년 10월경 OO공사에서 재해자가 H-BEAM(폭 12.5cm)위에서 외벽판넬 작업 후 휴식을 위해 내려올 준비 중 균형을 잃고 5m 아래 콘크리트 바닥으로 추락하여 사망</t>
  </si>
  <si>
    <t>2018년 11월경 노화 상가주택 신축공사 현장에서 재해자가 지붕 판넬 설치작업을 한 후 2층 발코니 단부에서 실족하여 약 3.45m 아래 콘크리트 바닥으로 떨어져 사망</t>
  </si>
  <si>
    <t>이동하던 중 발코니 단부에서 발을 헛디뎌 안전난간이 설치되지 않은 단부로 추락</t>
  </si>
  <si>
    <t>2018년 12월경 ㈜OO이 시공중인 ㈜OO 공장 신축공사 현장에서 협력업체 소속 근로자인 재해자(잡철공)가 고소작업차에서 외부판넬(지상7층) 실란트 충전작업 후 고소작업차 운전원이 작업대를 이동하는 순간, 몸의 중심을 잃고 구조물과 작업대 사이로 떨어지며 지상5층 높이에 설치된 고소작업차의 작업대에 충돌 후 지상1층 바닥(H≒29.3m)으로 떨어져 사망</t>
  </si>
  <si>
    <t>고소작업대에 탑승하여 작업 중 운전원이 작업대를 이동시키는 순간 몸의 중심을 잃고 안전난간이 설치되지 않은 작업대 단부로 추락</t>
  </si>
  <si>
    <t>2018년 12월경 OO건설(주)이 시공중인 OO오피스텔 신축공사 현장에서 협력업체 소속 재해자가 지상14층 1401호 발코니의 정자 지붕 마감재 설치작업 후 일자형으로 펼친 A형사다리를 이용하여 발코니 바닥으로 내려오던 중, 몸의 중심을 잃고 발코니 바닥(H≒2.7m)으로 떨어져 사망</t>
  </si>
  <si>
    <t>2018년 12월경 근린생활시설 신축공사(개인) 현장에서 재해자가 달비계에 탑승하여 건물 외벽 선홈통 설치 작업 중 달비계 로프(ø16mm, P.P로프)가 파단되며 지상으로 떨어져(H≒14.3m) 사망</t>
  </si>
  <si>
    <t>2018년 12월경 OO(주) OO공장 증축공사 현장에서 협력업체 ㈜OO 소속 재해자가 지상 3층 승강기 측면부 판넬 마감작업 중 열려있던 승강기 개구부로 추락(H≒18.8m)하여 사망</t>
  </si>
  <si>
    <t>엘리베이터피트 출입구 주변에서 작업 중 발을 헛디뎌 출입문이 개방된 피트 개구부로 추락</t>
  </si>
  <si>
    <t>2018년 12월경 OO사업장 지붕 천막 덧씌우기 작업을 하던 재해자가 천막 위로 올라가 이동하던 중, 노후 열화된 지붕 천막이 찢어지면서 높이 12.3미터 아래 콘크리트 바닥으로 떨어져 사망</t>
  </si>
  <si>
    <t>2018년 12월경 OO공사에서 재해자가 전기실 옥상에서 징크 강판 보호필름 제거 작업 중 몸의 중심을 잃고 지붕 단부 아래 지상 바닥으로 추락하여(H≒8.4m) 사망</t>
  </si>
  <si>
    <t>2018년 12월경 I/C 제조라인, 만두 신규라인 메인전선 및 트레이 설치공사 현장에서 재해자가 I/C동 옥상 내 폐자재 반출방법을 검토하기 위하여 자재창고 지붕 위에서 현장소장과 사전 조사 중, 지붕 선라이트를 밟아 파손되면서 약 3.4m 아래 콘크리트 바닥으로 떨어져 사망</t>
  </si>
  <si>
    <t>2018년 12월경 OO공사에서 재해자가 철골구조룸 위에서 빗물받이 구조물을 설치하기 위해 이동하던 중 바닥으로 추락하여(H≒6.9m) 사망</t>
  </si>
  <si>
    <t>2018년 12월경 OO(주) 김치공장 신축공사 현장에서 협력업체 소속 재해자(판넬공)가 출하장 캐노피 상부에서 물홈통(Gutter) 설치작업을 마무리하고 내려오기위해 발판(방호선반)을 밟고 이동하던 중 고정되지 않은 발판이 뒤집히면서 발판과 함께 4.8m아래로 추락하여 사망</t>
  </si>
  <si>
    <t>캐노피 상부에서 이동하던 중 고정이 되지 않은 작업발판이 뒤집히면서 바닥으로 추락</t>
  </si>
  <si>
    <t>▶ 작업발판 설치 시 견고한 구조의 작업발판을 선정하고 이탈, 뒤집힘 등을 방지하기 위해 견고하게 고정 
▶ 작업발판 양 단부 등 추락 위험구간에는 안전난간 등의 추락방지용 안전시설물 설치
▶ 캐노피 상부 등 추락 위험구간에서 근로자가 이동할 경우 안전대 부착설비를 견고하게 설치하여 이동 중에도 안전대를 체결할 수 있도록 조치
▶ 작업자의 개인보호구 착용, 안전대 체결여부 점검 및 관리감독</t>
  </si>
  <si>
    <t>2019년 2월경 OO공사에서 재해자가 철골 구조물 위에서 지붕패널 판개작업을 위해 이동 중 패널 묶음(8장)과 함께 약 5.8m 아래 콘크리트 바닥으로 추락하여 사망</t>
  </si>
  <si>
    <t>2019년 2월경 OO공사에서 재해자가 지상 5층 건물 옥상의 증축구간인 지붕에서 건축 중 폐자재를 지상으로 내리던 중 몸의 균형을 잃으면서 폐자재와 함께 지상 1층 콘크리트 바닥으로 추락하여(H≒17m) 사망</t>
  </si>
  <si>
    <t>2019년 2월경 자동차 부품을 생산하는 ㈜OO공장에서 재해자가 지붕 선라이트 판넬 보수 공사를 위해 이동하던 중 밟고 있던 선라이트가 파손되어 약 15.5m 아래 바닥으로 떨어져 사망</t>
  </si>
  <si>
    <t>2019년 3월경 OO(주) 내 굴삭기 조립공장에서 재해자(판넬공)이 굴삭기조립공장 지붕 채광판 교체작업을 위해 박공지붕(경사각 27°)을 밟고 작업장소로 이동 중 중심을 잃고 지붕에서 미끄러져 지상1층 바닥(H≒12m)으로 떨어져 사망</t>
  </si>
  <si>
    <t>▶ 지붕 위에서 작업할 경우 지붕 전용 안전덮개 및 발판을 견고하게 설치하여 근로자 이동 중 발 빠짐, 미끄럼 방지, 추락 등에 대한 안전 조치 실시
▶ 충분한 강도와 규격으로 제작된 지붕사다리 설치 또는 추락방지망 설치, 안전대 부착설비 설치 등의 안전 방호 조치 실시
▶ 근로자 이동 또는 작업 시 안전대 체결 여부 점검 및 관리감독
▶ 지붕재의 해체 또는 설치 작업 시, 고소작업대, 타워형 계단 등을 사용하여 지붕 위에서의 작업을 최소화할 수 있는 작업 방법을 검토</t>
  </si>
  <si>
    <t>2019년 3월경 OO신축공사 현장에서 재해자가 건축물 배면부에 위치한 1층 경사지붕 위에서 2층 외부 벽체합판 부착작업 중 몸의 중심을 잃고 높이 3.1m 아래 보강토옹벽 갓돌 위로 떨어져 사마</t>
  </si>
  <si>
    <t>2019년 3월경 OO(주) 판넬교체 공사 현장에서 재해자(판넬공)가 벽체 판넬 설치작업을 위해 지붕위로 이동하던 중 기존 노후화된 썬라이트(투명 채광판)를 밟는 순간 파손되면서 약 6.8m 아래 공장동 콘크리트 바닥으로 떨어져 사망</t>
  </si>
  <si>
    <t>2019년 4월경 근생 및 오피스텔 신축공사현장에서 재해자 2명(형틀목공)이 컨테이너 지붕 위에서 이동식 크레인을 사용하여 단열재 묶음을 옥상으로 양중하던 중, 슬링벨트가 풀리며 떨어진 단열재 묶음에 맞아 부상</t>
  </si>
  <si>
    <t>이동식 크레인으로 자재를 양중하던 중 체결된 슬링벨트가 풀리며 낙하하는 자재와 충돌</t>
  </si>
  <si>
    <t>▶ 크레인으로 자재 인양 전 슬링벨트, 샤클 또는 훅 해지장치 육안점검 실시
▶ 사전 크레인 관련 작업계획서 수립을 통해 자재 인양 작업구간 주변 출입 통제 등 조치
▶ 인양 작업 시 자재와 슬링벨트의 체결상태 점검 및 불량 시 보완 조치</t>
  </si>
  <si>
    <t>2019년 4월경 OO공사에서 재해자가 철골 구조물 위에서 지붕판넬 위치 이동 중 13m 아래 콘크리트 바닥으로 추락하여 사망</t>
  </si>
  <si>
    <t>2019년 4월경 ㈜OO이 시공중인 OO펜션 세탁실 증축공사 현장에서 직영 근로자인 재해자(보통인부)이 지상3층 세탁실 경사지붕의 판넬을 설치하기 위하여 이동 또는 작업 중, 몸의 중심을 잃고 경사지붕 단부에서 지상1층 개울가 바닥(H≒11.3m)으로 떨어져 사망</t>
  </si>
  <si>
    <t xml:space="preserve"> 2019년 4월</t>
  </si>
  <si>
    <t xml:space="preserve"> 2019년 4월경 ㈜OO 공장동 지붕보수공사 현장에서 재해자(판넬공)이 지붕 판넬 C형강 고정작업 중 기존 노후화된 선라이트(투명 채광판)를 밟는 순간 파손되면서 약 9m 아래 공장동 지상 바닥으로 떨어져 사망</t>
  </si>
  <si>
    <t>2019년 4월경 조립식건물 철거 현장에서 해체공인 재해자가 경사지붕 상부에서 판넬 해체 작업중 선라이트(Sunlight)를 밟아 파단되면서 약 10.4m 아래 콘크리트 바닥으로 추락하여 사망</t>
  </si>
  <si>
    <t>2019년 4월경 비료제조공장 발효동 지붕 위에서 노후된 천정재(썬라이트) 해체등의 작업 중이던 재해자가 추락방지조치가 되지않은 상태에서 썬라이트를 밟아, 썬라이트가 파손되며 공장바닥으로 추락(h=12.6m)하여 사망</t>
  </si>
  <si>
    <t>2019년 4월경 OO(주) 지붕보수공사 현장에서 재해자가 슬레이트 지붕 위에서 실리콘 작업 중 노후된 슬레이트 일부가 파손되어 약 10m 아래 공장 바닥으로 추락하여 사망</t>
  </si>
  <si>
    <t>2019년 5월경 OO 신축현장에서 재해자(판넬공)이 차량탑재형 고소작업대 상부(높이≒10m)에서 지상3층 코너부(X6-Y2) ㉠형 외장판넬(1,755×735×1,000×135mm, 약 50kg)을 설치하고 판넬에 부착된 압착기를 제거하던 중 안전난간이 미설치된 고소작업대 전면부로 떨어져 사망</t>
  </si>
  <si>
    <t>2019년 5월경 개인이 직영으로 시공하는 OO 단독주택 신축공사 현장에서 주택 지붕재인 샌드위치패널을 인력으로 지붕에 올리던 재해자(보조공)가 접이식 사다리에 오르던 중 바닥으로 떨어져(H:약1.4m) 사망</t>
  </si>
  <si>
    <t>이동식사다리를 올라가던 중 발을 헛디뎌 바닥으로 추락</t>
  </si>
  <si>
    <t>2019년 5월경 개인이 시공하는 우사 개폐지붕 레일교체공사 현장에서, 재해자(조공)는 우사 지붕위에서 레일교체 작업을 완료한 후, 기존 전동기어 강관파이프에 와이어로프 고정작업을 실시한 뒤, 현장소장 쪽으로 이동하던 중, 채광창(선라이트)를 밟아 약 6.0m 아래 우사 바닥으로 떨어져 사망</t>
  </si>
  <si>
    <t>2019년 5월경 OO공사에서 재해자가 지붕 샌드위치 패널 철거 작업을 위해 지붕 위에서 이동하던 중 고정되지 않은 패널이 이탈하면서 약 7.5m 아래 바닥으로 추락하여 사망</t>
  </si>
  <si>
    <t>2019년 5월경 OO공사에서 재해자가 지붕 철골 보 끝단에 걸터앉아 외벽 마감재 지지철물 용접을 위한 준비작업 중 몸의 중심을 잃고 약 9.2m 아래 콘크리트 바닥 슬래브로 추락하여 사망</t>
  </si>
  <si>
    <t>2019년 5월경 OOO 축사 신축공사 현장에서 재해자가 축사 지붕판넬 설치 작업 중 고정되지 않은 지붕판넬(선라이트)을 밟자 선라이트가 꺽이면서 높이 약 5.9m 아래 콘크리트 바닥으로 추락하여 사망</t>
  </si>
  <si>
    <t>2019년 6월경 단독주택 신축공사 현장에서, 재해자가 건물 지붕 위에서 작업진행상황을 확인 후 A형 사다리로 지상으로 내려오던 중, A형 사다리가 넘어가면서 재해자가 콘크리트 바닥으로 떨어짐(H=2.5m)</t>
  </si>
  <si>
    <t>2019년 6월경 일용 근로자인 재해자가 물품보관 창고에서 선라이트 지붕 위 C형강에 컬러강판을 덧씌우기 위해 반대쪽 지붕에 적재된 컬러강판을 가지러 이동하던 중 슬레이트가 파손되며 물품보관창고 콘크리트 바닥으로 떨어져(h=7.3m) 사망</t>
  </si>
  <si>
    <t>2019년 6월경 OO공사에서 재해자가 지붕에서 이동하던 중 밟고있던 지붕이 부서지면서 약 4.8m 아래 바닥으로 추락하여 사망</t>
  </si>
  <si>
    <t>2019년 6월경 OO공업사의 슬레이트 지붕 상부에서 칼라강판을 덧씌우기 작업을 위해 재해자가 지붕 위에서 작업 중 슬레이트가 파단되면서 콘크리트 바닥(H≒6m)으로 떨어져 사망</t>
  </si>
  <si>
    <t>2019년 6월경 OO공사에서 재해자가 철골 퍼린(Purlin)에 걸터앉아 동료 작업자가 올려준 철제 지붕 빗물받이를 받은 뒤 인근에 위치한 특고압 활선(22.9kV)에 접촉되어 감전되어 약 8m 높이에서 추락하여 사망</t>
  </si>
  <si>
    <t>철골보 상부에서 작업 중 인근 전신주의 고압선로에 접촉되어 감전 후 추락</t>
  </si>
  <si>
    <t>2019년 7월경 OO교회내 OO이 시공하는 지붕 판넬 보수공사 현장에서 재해자(판넬공)이 사다리를 이용하여 상부지붕에서 하부지붕으로 이동하던 중 사다리가 미끄러지며 6m 아래 콘크리트 바닥으로 떨어져 사망</t>
  </si>
  <si>
    <t>상부지붕과 하부지붕 사이에 걸쳐 세워둔 사다리에서 내려오던 중 사다리가 미끄러지면서 사다리와 함께 바닥으로 추락</t>
  </si>
  <si>
    <t>2019년 7월경 개인이 직영으로 시공하는 OO 축사 부분철거공사 현장에서 재해자(용접공)가 이동식비계 2단을 설치·탑승하여 퇴비사 기둥재와 지붕 장선재 연결부위에 보강용 덧댐판을 용접하던 중, 중심을 잃고 콘크리트 바닥으로 떨어져(H:약3.8m) 사망</t>
  </si>
  <si>
    <t>2019년 7월경 OO(주)이 시공하는 OO시설 OO사업 보완공사 현장에서 협력업체소속 재해자가 동료작업자와 함께 퇴비공장 지붕위에 올라가 지붕재인 칼라강판을 해체하던 중 중심을 잃고 해체했던 지붕 개구부를 통해 바닥으로 떨어져(H:약9.5m) 사망</t>
  </si>
  <si>
    <t>▶ 지붕 등 바닥 개구부 발생 시 근로자 및 자재 등에 대한 무게의 2배 이상을 견딜 수 있는 구조의 철재 안전덮개(개구부 표시 포함)를 설치하거나, 안전난간 및 추락방지망 설치 등 근로자 추락 방지 조치
▶ 안전난간 설치 시 지름 2.7cm 이상의 금속제 파이프나 그 이상 강도의 재료 사용하며 구조적으로 가장 취약한 지점에서 가장 취약한 방향으로 작용하는 100kg 이상의 하중에 견딜 수 있는 구조로 설치
▶ 지붕 위에서 지붕재의 해체 또는 설치 작업 시, 지붕재가 미시공된 구간에 대해 각별히 유의하여 작업을 실시하고 작업자들에게 약한 재료의 구간으로 이동하지 않도록 교육 실시
▶ 지붕재의 해체 또는 설치 작업 시 고소작업대, 타워형 계단 등을 사용하여 지붕 위에서의 작업을 최소화할 수 있는 작업 방법을 검토
▶ 개구부에 마감 등 작업 진행 시 안전대 부착설비 설치 및 근로자 안전대 체결여부 점검 및 관리감독</t>
  </si>
  <si>
    <t>2019년 7월경 OO농장내 OO가 시공하는 퇴비사 지붕교체 현장에서 판넬공인 재해자가 퇴비사 노후 지붕판넬을 밟는 순간 지붕판넬이 깨지면서 6m아래 콘크리트 바닥으로 떨어져 사망</t>
  </si>
  <si>
    <t>2019년 7월경 OO건설에서 시공하는 지붕재 교체공사 현장에서, 재해자(보통인부)가 동료작업자와 함께 축사 지붕 위에서 노후된 선라이트 및 칼라강판 교체작업을 하던 중 선라이트를 밟아 약 4.6m 아래 콘크리트 바닥으로 떨어져 사망</t>
  </si>
  <si>
    <t>2019년 7월경 OO공사에서 재해자가 지붕 마감재(썬라이트) 교체를 위해 기존에 설치된 고정용 나사를 풀던 중 밟고있던 노후된 썬라이트가 파손되면서 약 5.2m 아래 바닥으로 추락하여 사망</t>
  </si>
  <si>
    <t>2019년 8월경 OO건설에서 시공하는 주택재건축정비사업 중 공공청사 신축공사 현장에서 재해자가 기존에 설치되어 사용 중인 시스템비계 내측에 임의로 부착한 캔틸레버 형 작업발판을 밟고 이동 중, 지지재(접합부)의 용접면이 파단 및 발판이 기울어 이동 중인 재해자가 무게중심을 잃고 지상 바닥(높이 약 12m)으로 추락하여 사망</t>
  </si>
  <si>
    <t>고정상태가 불량한 비계 작업발판, 가설계단 위에서 이동 또는 작업 중 추락</t>
  </si>
  <si>
    <t>▶ 비계 작업발판 설치 시, 견고하게 고정하며 별도의 개구부가 발생하지 않도록 설치
▶ 작업자의 개인보호구 착용, 안전대 체결여부 점검 및 관리감독</t>
  </si>
  <si>
    <t>2019년 8월경 OO공사에서 재해자가 지상3층 주차장 지붕 처마 물받이 설치작업 중 배면의 지상1층 하역장 지붕공사 작업 구간으로 이동하다가 개구부(폭45cm)를 통해 약 13.3m 아래 지하2층 바닥으로 추락하여 사망</t>
  </si>
  <si>
    <t>2019년 8월경 OO공장 보수공사 현장에서 재해자(판넬공)가 공장지붕 위에서 보수공사 작업도 중 공장지붕의 채광판이 깨지며 약 8.2m 높이의 공장 내부 1층 바닥으로 떨어져 사망</t>
  </si>
  <si>
    <t>2019년 8월경 OO공사에서 재해자가 지붕 위에서 지붕판넬 설치작업 중 발을 헛디뎌 바닥으로 추락하여(H≒7.8m) 사망</t>
  </si>
  <si>
    <t>2019년 9월경 OO공사에서 재해재가 지붕재(유리패널) 설치작업 중 지붕재가 설치되어 있지 않은 개구부에 발을 헛디디면서 콘크리트 바닥으로 추락하여(H=9.5m) 사망</t>
  </si>
  <si>
    <t>2019년 9월경 OO공사에서 재해자가 지붕 위에서 지붕패널 고정작업을 하던 중 추락하여 공장 내부 구조물 및 크레인 등에 부딪혀 사망</t>
  </si>
  <si>
    <t>2019년 9월경 노후된 슬레이트 지붕 위에서 지붕 용마루에 앉은자세로 판넬 지지재 용접작업 중이던 재해자가 작업장소를 옮기기 위해 앉은 채로 몸의 방향을 옮기던 중 슬레이트를 밟아 체중을 이기지 못한 슬레이트가 파손되며 콘크리트 공장바닥으로 추락(높이 4.8m) 하여 사망</t>
  </si>
  <si>
    <t>2019년 9월경 OO공사에서 재해자 등이 천장 마감 판넬 지지용으로 슬래브에 설치한 세트앵커볼트 부착상태를 확인하기 위해 휴대용 기구로 어퍼실링 타공 작업 중 인접하여 1.5m 간격으로 설치했던 앵커볼트 두 곳이 추가로 탈락되면서 밟고있던 천장 판넬과 함께 8.35m아래 콘크리트 바닥으로 추락하여 1명 사망 및 3명 부상</t>
  </si>
  <si>
    <t xml:space="preserve">   2019년 </t>
  </si>
  <si>
    <t xml:space="preserve">   2019년 10월경 OO에서 시공하는 OO농장 축사 지붕재 덧씌움 공사현장에서 재해자(보통인부)이 선라이트 및 칼라강판 덧씌움 작업을 위해 축사 지붕 위에서 이동 중, 노후된 선라이트를 밟아 파단되면서 약 6.5m 아래 축사 바닥으로 추락하여 사망</t>
  </si>
  <si>
    <t>2019년 10월경 OO빌라 지붕아스팔트싱글 설치공사 현장에서 재해자(지붕설치공)가 고소작업대를 타고 지붕아스팔트싱글 설치 작업 중 인근전선케이블이 고소작업대 붐대에 걸리자, 걸린 전선을 제거하기 위하여 고소작업대 작업대에서 붐대로 내려와 케이블을 제거하던 중 감전으로 사망</t>
  </si>
  <si>
    <t>고소작업대에 탑승하여 작업 중 인근 전선케이블이 붐에 걸려 전선을 제거하던 중 감전</t>
  </si>
  <si>
    <t>▶ 사전 조사를 통해 작업계획서를 수립하여, 차량계 하역운반기계 배치 계획 등을 준수
▶ 전선케이블을 다뤄야 하는 작업이 있을 경우, 관계기관에 조치 요청
▶ 근로자에 절연보호구 등 개인보호구 지급 및 착용에 대한 관리감독</t>
  </si>
  <si>
    <t>2019년 10월경 OO교회 외벽 보수공사 현장에서 재해자가 본당 현관 캐노피 위에서 외벽 보수작업 후 선라이트(차양) 상부에 있는 낙엽 등 이물질을 제거하기 위해 선라이트를 밟으며 이동하던 중 선라이트가 파손되어 현관 바닥(h≒3.5m)으로 추락하여 사망</t>
  </si>
  <si>
    <t>2019년 10월경 OO공사에서 재해자가 지붕위로 이동 중 투명 PC판넬을 밟아 파손되면서 약 8m 아래 콘크리트 바닥으로 추락하여 사망</t>
  </si>
  <si>
    <t>2019년 10월경 OO공사에서 재해자가 지붕 위에서 실리콘 작업 중 지붕처마 단부에서 실족으로 옥상 콘크리트 바닥면으로 추락하여(H≒2.5m) 사망</t>
  </si>
  <si>
    <t>2019년 10월경 OO공사에서 재해자가 지붕 위에서 기와설치 작업 후 기와골에 있는 분진 등을 빗자루로 청소하던 중 현관지붕 단부에서 지면으로 추락하여(H≒:3.5m) 사망</t>
  </si>
  <si>
    <t>2019년 10월경 OO이 시공하는 OO 우사 개량공사 현장에서, 재해자가 우사 지붕 위에서 패널 설치작업을 하던 중, 썬라이트 지붕재가 파손되며 지상 콘크리트 바닥으로 떨어져(H=4.0m) 사망</t>
  </si>
  <si>
    <t>2019년 10월경 ㈜OO OO농장 퇴비사 보수공사 현장에서 재해자가 퇴비사 지붕 칼라강판 덧씌움 작업을 위해 퇴비사 지붕 위에서 칼라강판 판개 작업 중 선라이트 파손 부위를 통해 약 4.3m 아래 콘크리트 바닥으로 추락하여 사망</t>
  </si>
  <si>
    <t>2019년 11월경 OO판넬이 시공하는 OO공장 창고 신축공사 현장에서 협력업체 소속 재해자가 철골지붕 상부로 샌드위치 판넬을 운반하는 작업을 수행하던 중 이동식비계에서 몸의 균형을 잃고 지상 콘크리트 바닥으로 추락(≒1.7m)하여 사망</t>
  </si>
  <si>
    <t xml:space="preserve"> 2019년 11월경 OO에서 시공하는 OO개·보수공사 현장에서 재해자가 칼라강판을 설치하기 위해 퇴비사 지붕위에 올라가 이동하던 중, 채광용 선라이트(sunlight) 설치를 위해 비워놓은 공간(개구부)으로 떨어져(약 6.5m) 사망</t>
  </si>
  <si>
    <t>2019년 11월경 개인 소유 축사 지붕 상부에 설치 완료된 태양광 발전설비의 사용 전 검사를 받기 위해 재해자가 축사 지붕 위에서 이동 중 밟고 있던 선라이트가 깨지면서 약 5.7m아래 축사 바닥으로 추락하여 사망</t>
  </si>
  <si>
    <t>2019년 11월경 OO공사에서 재해자가 경사지붕 위에서 지붕 패널 마감작업을 위한 패널 표면 물기제거 도중 발이 미끄러지면서 약 4m 높이 아래 바닥으로 추락하여 사망</t>
  </si>
  <si>
    <t>2019년 11월경 OO건설의 OO강 하천환경정비사업 작업장인 OO교 현장에서 하청업체 일용근로자인 재해자가 교량상부 자전거 도로용 데크브라켓 설치작업 중 작업대 철거를 위해 교량에 설치된 작업대를 들어내리던 중 중량 약30kg의 작업대와 함께 4m높이의 교량에서 교량하부제방 바닥면으로 추락하여 사망</t>
  </si>
  <si>
    <t xml:space="preserve">철거를 위해 작업대를 교량하부로 밀어 떨어뜨리던 중 작업대에 작업복이 끼이면서 함께 추락  </t>
  </si>
  <si>
    <t>▶ 작업대 등 가시설 운반 시 이동식 크레인 등의 건설 기계장비를 사용하고, 근로자가 추락할 위험이 있는 단부 구간 등에는 안전난간, 추락방지망 등의 안전시설물을 설치하여 근로자 추락 방지 조치
▶ 안전난간 설치 시 지름 2.7cm 이상의 금속제 파이프나 그 이상 강도의 재료 사용하며 구조적으로 가장 취약한 지점에서 가장 취약한 방향으로 작용하는 100kg 이상의 하중에 견딜 수 있는 구조로 설치
▶ 근로자는 되도록 지정된 통로로 이동하게 관리하여 추락 위험 구간에는 출입을 통제하고, 부득이하게 해당 구간에서 작업할 경우 안전대 부착설비 설치 및 안전대 체결하여 작업 진행</t>
  </si>
  <si>
    <t>2019년 12월경 OO가 시공하는 OO공장 용접반 환기팬 교체 및 설치공사 현장에서 설비보조공인 재해자가 신설 환기팬에 연결할 전기케이블을 찾기 위해 차량탑재형 고소작업대에 탑승하여 지붕 용마루로 올라가 이동 중 노후화된 선라이트(채광창)를 밟는 순간 파손되면서 높이 약 8m 아래 공장바닥으로 떨어져 사망</t>
  </si>
  <si>
    <t>2019년 12월경 재해자가 OO공장 이전 이사 및 청소용역 현장의 공장동 지붕 위에서 회사 간판 시트지 교체작업을 위해 이동하던 중, 지붕재인 선라이트가 파손되면서 약7.3m 아래 공장바닥으로 추락하여 사망</t>
  </si>
  <si>
    <t xml:space="preserve"> 2019년 12</t>
  </si>
  <si>
    <t xml:space="preserve"> 2019년 12월경 OO농공단지 내 ㈜OO OO공장 지붕 보수공사현장에서 재해자가 동료 작업자와 함께 지붕 위에서 지붕판넬 운반 중 선라이트가 파손되어 약 11.5m 아래 지상바닥으로 추락하여 사망</t>
  </si>
  <si>
    <t>2019년 12월경 OO공장 신축공사 현장에서 협력업체 소속 재해자(패널공)이 철골지붕 위에서 양중한 지붕패널의 고정(볼팅)작업을 하던 중, 이동식크레인(카고크레인,5ton)으로 양중하던 패널에 충돌되어 몸의 균형을 잃고 하부 콘크리트바닥(H≒7m)으로 추락하여 사망</t>
  </si>
  <si>
    <t>지붕에서 작업 중 이동식크레인으로 양중하던 자재에 부딪힌 후 바닥으로 추락</t>
  </si>
  <si>
    <t>▶ 추락 위험 구간에는 추락방지망, 작업발판 설치 등의 안전방호조치 실시
▶ 작업자의 개인보호구 착용여부 관리감독
▶ 안전방호조치가 현장 여건 상 어려울 경우, 별도의 안전대 부착설비를 설치하고 근로자 이동 및 작업 시 안전대 체결여부 관리감독
▶ 양중 작업 시 사고예방을 위한 사전 작업계획서를 수립하고, 그에 준하여 신호수 배치 및 신호체계구축</t>
  </si>
  <si>
    <t>2019년 12월경 OO공사에서 재해자가 철골구조물 위에서 외벽 패널의 고정볼트 조임작업을 위해 안전대 죔줄(로프)을 푼 상태로 이동하던 중 높이 12m아래 지면으로 추락하여 사망</t>
  </si>
  <si>
    <t>2020년 1월경 OO축사 신축공사 현장에서 조립중인 지붕판넬(칼라강판)이 돌풍으로 인해 뒤집혀, 지붕판넬 위에서 휴식하던 재해자(지붕공)가 몸에 중심을 잃고 바닥으로 떨어져(H=8.1m) 사망</t>
  </si>
  <si>
    <t>2020년 2월경 의료시설 신축공사 중 기계식 주차설비공사 현장에서 판넬설치공사 협렵업체 소속 재해자(판넬공)이 기계식주차장 내부에서 용접불티 비산에 따른 소화작업 중 하강하는 균형추와 철골부재 사이에 끼여 사망</t>
  </si>
  <si>
    <t>▶ 기계식 주차설비 운반기 운전 시, 위험 방지조치 및 신호체계 구축
▶ 기계식 주차설비를 근로자의 승강목적으로 사용 금지
▶ 기계식 주차설비의 균형추 주행로상, 근로자의 접근금지 조치 철저</t>
  </si>
  <si>
    <t>2020년 2월경 ㈜OO 공장 지붕 물받이 설치 현장에서 재해자이 지붕 물받이 설치장소로 이동을 하기위해 옹벽상부 위에서 이동을 하던 중 옹벽상부 마감 블록이 이탈되어 재해자가 몸의 균형을 잃고 약 3m 높이에서 공장동 바닥으로 추락하여 사망</t>
  </si>
  <si>
    <t>옹벽 상부에서 이동하던 중 밟고 있던 옹벽 블록이 이탈되면서 바닥으로 추락</t>
  </si>
  <si>
    <t>2020년 2월경 ㈜OO이 시공하는 ㈜OO OO공장 신축공사 현장에서 철거 협력업체 소속의 재해자(철거공)가 기존 공장동(B동) 건물 지붕에서 안전대 부착설비 설치작업 중 선라이트(투명 채광판)을 밟아 부서지면서 높이 약 7.5m 아래 공장동 바닥으로 추락하여 사망</t>
  </si>
  <si>
    <t>2020년 2월경 ㈜OO OO공장 철거 현장에서 재해자가 지붕 철거작업을 위해 지붕 위에서 칼라강판을 들고 옮기던 중 노후화된 썬라이트(투명 채광판)를 밟아 부서지면서약 9.1m 높이에서 공장동 바닥으로 추락하여 사망</t>
  </si>
  <si>
    <t>2020년 2월경 ㈜OO이 시공하는 공장신축공사현장에서 재해자(판넬공)가 2층 벽체에 부착된 창틀을 밟고 외벽 판넬을 설치하는 작업을 한 후, 창틀에서 내려오다가 2층 슬래브에서 1층 바닥으로 떨어져(h=3.8m) 사망(추정)</t>
  </si>
  <si>
    <t>창틀에서 작업 후 슬래브로 내려오던 중 슬래브 단부에 설치된 안전네트에 발이 걸린 후 몸위 중심을 잃고 바닥으로 추락</t>
  </si>
  <si>
    <t>2020년 3월경 OO(주) 구조물 설치 및 지붕공사 현장에서, 재해자(내장목공) 지붕의 처마 마감작업을 하기 위해 외부쌍줄비계에 각재(폭 16cm)로 발판을 설치하고 그 위에서 처마마감재(처마널) 설치작업 중 몸의 중심을 잃고 하부 콘크리트 바닥(H≒4.7m)으로 떨어져 사망</t>
  </si>
  <si>
    <t>2020년 3월경 농기계창고 신축공사 현장에서 재해자(패널공)가 지붕패널 설치작업 후 이동식 비계의 디딤대 부분을 밟고 내려오던 중, 발을 헛딛으면서 하부 콘크리트 바닥으로 추락(H≒1.7m)하여 사망</t>
  </si>
  <si>
    <t>이동식비계에서 내려오던 중 발을 헛디뎌 추락</t>
  </si>
  <si>
    <t>▶ 이동식비계에 승, 하강 시 지정된 통로(승하강용 사다리)를 이용
▶ 이동식비계 승하강용 사다리 이용하여 이동 시 작업자 실족 및 추락방지 하기 위한 작업장 조도 확보(적절한 조명기구 설치 등)
▶ 작업자의 개인보호구, 안전대 체결여부 점검 및 관리감독</t>
  </si>
  <si>
    <t>2020년 3월경 OOO 축사 지붕 개보수 공사현장에서, 재해자(보통인부)가 노후된 선라이트 교체 및 칼라강판 설치작업을 위해 축사지붕 위를 이동하던 중 선라이트로부터 떨어지면서 약 4.7m 아래 콘크리트 축사바닥에 부딪혀 사망</t>
  </si>
  <si>
    <t>2020년 3월경 OO공사에서 재해자가 슬레이트 지붕 위에서 칼라강판 정리 중 밟고있던 슬레이트 지붕 일부가 파손되며 약 7.5m 아래 건물 바닥으로 추락하여 사망</t>
  </si>
  <si>
    <t>2020년 3월경 OO공사에서 재해자가 기존 지붕(석면 슬레이트) 위에 칼라강판(4m×1m, t=0.4mm)을 덮고 고정하는 작업을 하던 중 밟고 있던 지붕(석면 슬레이트)이 깨지면서 몸의 중심을 잃고 약 6m 아래 콘크리트 바닥으로 추락하여 사망</t>
  </si>
  <si>
    <t>2020년 4월경 OO농장 축산동에서 축사 지붕 썬라이트를 교체하는 작업 중 재해자가 노후된 썬라이트를 밟아 높이 약 6.6m 아래 흙바닥으로 추락하여 사망</t>
  </si>
  <si>
    <t>2020년 5월경 ㈜OO이 시공하는 OO 복합개발사업 현장에서 협력업체 소속 재해자(석공)이 102동 상가 외부비계에서 돌붙임용 하지철물 설치작업 중 외부비계와 상가건물 사이(40cm)로 떨어져(H≒4.8m) 사망</t>
  </si>
  <si>
    <t>2020년 5월경 OO공사에서 재해자가 철골 지붕에서 판넬(칼라강판 및 선라이트) 설치 작업 중 철골 지붕 개구부에서 높이 약 5미터 아래 콘트리트 바닥으로 추락하여 사망</t>
  </si>
  <si>
    <t>2020년 5월경 OO공사에서 재해자가 지붕 위에서 샌드위치 패널(길이: 10.46m, 폭: 1m, 중량: 약 233.4㎏)을 설치하던 중 몸의 균형을 잃고 약 9m 아래 지상 4층 콘크리트 바닥으로 추락하여 사망</t>
  </si>
  <si>
    <t>2020년 6월경 ㈜OO 근생 신축공사 현장에서 재해자가 지상2층 외부 접이식사다리 상부에서 철재 판넬 용접작업을 하던 중, 동료작업자 2인이 올라가 있던 이동식비계가 전도되면서 접이식사다리를 가격하여 재해자가 추락(H≒2.0m)하여 사망</t>
  </si>
  <si>
    <t>이동식사다리에서 작업 중 인근에서 작업중이던 이동식비계가 전도되면서 사다리와 충돌하여 재해자가 몸의 중심을 잃고 추락</t>
  </si>
  <si>
    <t>▶ 이동식비계 조립 시 아웃트리거 지지, 구름방지장치 등 설치기준을 준수하여 전도방지 조치 철저
▶ 이동식비계 부재(주틀, 안전난간, 발바퀴, 아웃트리거 등)는 방호장치 안전인증 기준에 적합한 제품을 사용
▶ 고소작업 시 사다리 사용을 지양하고, 비교적 안전한 시저형 고소작업대 또는 이동식 비계를 기준에 맞게 설치하여 작업 실시</t>
  </si>
  <si>
    <t xml:space="preserve">2020년 6월경 OO에 위치한 OO농장 축사지붕 교체작업 현장에서 재해자(일용직)이 노후 지붕교체를 위해 축사 지붕위에 올라가 선라이트 제거작업을 하던 중 노후화된 선라이트를 밟아 파손되면서 축사 콘크리트 바닥(h≒5.2m)으로 떨어져 사망  </t>
  </si>
  <si>
    <t>2020년 6월경 OO공사에서 재해자가 경사지붕 위에서 샌드위치 패널을 설치하던 중 이동하며 발을 디딘 기존 샌드위치 패널의 단부가 아래로 구부러지며 약 13m 아래 지상층으로 추락하여 사망</t>
  </si>
  <si>
    <t>2020년 6월경 OO공사에서 재해자가 철골구조물 위에서 지붕 샌드위치 판넬 설치 작업 중 지상바닥으로 추락하여(H≒6.8m) 사망</t>
  </si>
  <si>
    <t>2020년 7월경 ㈜OO 근린생활시설 신축공사 현장에서 재해자(판넬공)가 근린생활시설 2층 외벽 마감재(메탈판넬)와 마감재 사이 방수용 실리콘 코킹작업을 차량탑재형 고소작업대에 탑승하여 작업하다가 작업대 전면 단부와 외벽마감재 사이의 개구부에서 추락하여 약4.0m 아래의 콘크리트 바닥으로 떨어져 사망</t>
  </si>
  <si>
    <t>2020년 7월경 OO건축에서 시공하는 OO 철거 및 보수공사 건설현장에서 고소작업대를 이용하여 외벽 판넬 설치작업을 하던 중 콘크리트 바닥이 침하되어 고소작업대가 전도되면서 탑승하고 있던 재해자 2명이 인근 옥수수 밭으로 추락(H≒7.0m)하여 부상</t>
  </si>
  <si>
    <t>고소작업대에 탑승하여 작업 중 아웃트리거 거치지반이 침하하여 전도되면서 작업대에서 추락</t>
  </si>
  <si>
    <t>▶ 고소작업대 등 건설장비를 사용하여 작업할 경우, 지반 침하 등으로 인한 장비 전도를 막기 위해 사전 조사를 통해 지반상태를 확인하고 철판 또는 콘크리트 타설 등의 보강 조치 후 작업을 진행하거나 다른 방법으로 작업을 실시
▶ 고소작업대(차) 사용 작업 시 작업대 단부 등 추락 위험 구간에 안전난간을 설치하고, 작업대의 안전난간이 아닌 별도의 안전대 부착설비 설치 및 안전대 체결상태 점검 및 관리감독</t>
  </si>
  <si>
    <t>2020년 7월경 OO공사에서 재해재가 고소작업대(시저형)를 이용하여 외부 판넬 설치 작업 중 고소작업대를 벗어나 철골구조물 위로 올라가 몸의 중심을 잃고 지면(H≒9.0m)으로 추락하여 사망</t>
  </si>
  <si>
    <t>고소작업대에 탑승하여 작업 중 작업대를 벗어나 철골 구조물 위로 올라가던 중 발을 헛디뎌 바닥으로 추락</t>
  </si>
  <si>
    <t>2020년 7월경 재해자가 건물 우측면에서 외벽 금속판넬 줄눈 코킹작업 중 고소작업대(차량탑재형) 작업대를 벗어나 캐노피 상부에서 작업하다 추락(H≒5.2m)하여 사망</t>
  </si>
  <si>
    <t>고소작업대에서 벗어나 캐노피 상부에서 작업하던 중 발을 헛디뎌 바닥으로 추락</t>
  </si>
  <si>
    <t>2020년 7월경 축사지붕 덧씌우기 보수공사 현장에서 재해자가 축사 지붕 위에서 지붕작업에 필요한 볼트를 운반하던 중, 채광용 선라이트(sunlight)를 밟아 선라이트가 파단되면서 바닥으로 떨어져(H≒6.8m) 사망</t>
  </si>
  <si>
    <t>2020년 7월경 OO공사에서 재해자가 1층에 설치된 조립식 구조물(샌드위치 판넬 구조) 천장 위에서 조명 배선확인 작업 중 조립식 구조물의 천장(샌드위치 판넬)이 탈락하며 1층 바닥으로 추락하여(H≒3m) 부상</t>
  </si>
  <si>
    <t>2020년 8월경 ㈜OO이 시공하는 OO변전소 외벽교체 및 기타공사 현장에서 일용직 재해자(판넬공)가 시스템비계 3단 작업발판 위에서 건물 정면부 외벽 판넬 설치작업 중 건물 외벽과 작업발판 끝 사이 개구부로 몸의 중심을 잃고 약 5m 아래 환기구 덮개(스틸 그레이팅) 위로 떨어져 사망</t>
  </si>
  <si>
    <t>2020년 8월경 OO공사에서 재해자가 지붕 천막을 고정하기 위해 지붕 상부로 올라가서 C형강을 밟고 이동 중 실족으로 높이 약 3.7m 아래 바닥으로 추락하여 사망</t>
  </si>
  <si>
    <t>2020년 8월경 OO공사에서 재해자가 지붕 판넬 설치 작업 중 갑작스러운 비를 피해 이동하던 중 지붕 판넬 단부에서 지상1층 콘크리트 바닥으로 추락하여(H=3.5m) 사망</t>
  </si>
  <si>
    <t>2020년 8월경 OOO 축사 신축공사 현장에서 재해자(보통인부)가 지붕판넬을 설치하던 중, 채광창 구간 작은 판넬(하단)이 뒤집히면서 몸에 중심을 잃고 바닥으로 떨어져(H=5.5m) 사망</t>
  </si>
  <si>
    <t>2020년 8월경 OO 축사 지붕보수작업 현장에서 재해자가 축사 지붕에 올라가 채광창 교체작업 진행중 노후화된 선라이트를밟아 선라이트가 파손되면서 약 3.3m 아래 축사 바닥으로 떨어져 사망</t>
  </si>
  <si>
    <t>2020년 8월경 OO중 다목적강당 증축 및 기타공사 현장에서, 협력사 소속 재해자(지붕공)이 다목적강당 지붕에서 지붕 마감재(강판) 조립작업으로 클립을 끼우던 중 갑자기 서있던 자리에서 쓰러져 병원으로 이송 후 사망</t>
  </si>
  <si>
    <t>지붕에서 작업 중 원인미상의 이유로 쓰러짐</t>
  </si>
  <si>
    <t>2020년 9월경 저온저장고설치 및 창고설치 공사현장에서 재해자(판넬공)가 고소작업대(시저형)에 탑승(h=4m)하여 창고 벽체 판넬을 설치하던 중 고소작업대가 갑자기 상승하여 철골보(girder)와 고소작업대의 안전난간 사이에 흉부가 협착되어 사망</t>
  </si>
  <si>
    <t>과상승방지장치가 설치되지 않은 고소작업대에서 작업대 외부로 상체를 내밀어 작업하던 중 재해자가 착용한 공구주머니 및 상체가 작동레버를 눌러 순간 상승되면서 작업대와 구조물 사이에 끼임</t>
  </si>
  <si>
    <t>2020년 9월경 OO(주)  OO연구원 신축공사 현장에서 협력업체 소속의 재해자(패널공)가 지상 3층 슬래브 단부에서 철골기둥에 외벽 샌드위치패널 고정용 하지철물(C형강)의 하부위치를 조정하던 중, 몸의 균형을 잃고 약 7m 아래 가설울타리 기둥(강관파이프)으로 떨어져 사망</t>
  </si>
  <si>
    <t>슬래브 단부에서 작업 중 발을 헛디뎌 단부로 추락</t>
  </si>
  <si>
    <t>2020년 9월경 OO(주) OO 신축공사 현장에서 재해자가 고소작업대 상부에서 지붕판넬 설치작업을 하던 중 추락(H≒12m)하여 사망</t>
  </si>
  <si>
    <t>2020년 9월경 OO기업에서 시공하는 ㈜OO 사무동앞 지붕판 교체 및 물받이 보강공사 현장에서 재해자(지붕보수공)가 공장 지붕에서 이동하던 중 지붕 자재인 선라이트가 파손되면서 바닥으로 추락(H≒8.8m)하여 사망</t>
  </si>
  <si>
    <t>2020년 9월경 OO의 축사지붕 보수공사 현장에서 재해자(보통인부)가 노후된 슬레이트 환기구 해체 작업을 종료하고 이동 중, 선라이트를 밟고 약 4.7m 아래 콘크리트 바닥으로 추락하여 사망</t>
  </si>
  <si>
    <t>2020년 9월경 OO공사에서 재해자가 지붕에서 지붕재 보수작업 중 발을 헛디뎌 지상1층으로 추락하여(H≒5.3m) 사망</t>
  </si>
  <si>
    <t>2020년 9월경 OO 축사 지붕 보수공사현장에서 재해자(보통인부)가 노후된 선라이트에 칼라강판을 덧붙이는 작업을 위해 기존에 설치되어 있는 선라이트 고정볼트를 제거하던 중, 선라이트가 파단되어 약 5.5m 아래 콘크리트 바닥으로 추락하여 사망</t>
  </si>
  <si>
    <t>2020년 9월경 OO(주) 공장동 지붕 및 벽체일부 보수공사 현장에서 재해자(철골공)가 C형강 및 지붕교체 작업을 하던 중 노후화된 지붕 슬레이트를 밟아 부서지면서 약 9.3m 높이에서 공장동에 적재된 원형파이프 자재 상부로 추락하여 사망</t>
  </si>
  <si>
    <t>2020년 10월경 OO공사에서 재해자가 지붕 C형강 위에서 지붕 샌드위치 판넬 판개작업 후 고소작업대로 내려오던 중 약 5.0m 아래 콘크리트 바닥으로 추락하여 사망</t>
  </si>
  <si>
    <t>지붕에서 고소작업대 난간을 밟고 작업대로 내려오던 중 발을 헛디뎌 바닥으로 추락</t>
  </si>
  <si>
    <t>▶ 지붕 위에서 작업완료 후 고소작업대로 내려오는 경우 안전대를 체결한 후 이동
▶ 지붕 단부 안전난간 설치 또는 추락방지망, 안전대 부착설비 설치 등의 안전방호조치 실시하고 근로자 안전대 체결여부 점검 및 관리감독</t>
  </si>
  <si>
    <t>2020년 11월경 OO(주) G공장동 지붕 누수보수공사 현장에서 개인업자 OOO에 고용된 재해자(판넬공)가  G공장동 지붕 상부에서 모니터와 지붕 판넬 사이 크로샤(Closure) 탈락 부분에 대한 크로샤 설치(삽입, 코킹) 작업을 위하여 G공장동 지붕 위에서 크로샤 탈락 부분을 확인하기 위하여 이동 중 선라이트(Sun light)를 밟으면서 파손되어 G공장동 내부 콘크리트 바닥으로 떨어져(H≒10.6m) 사망</t>
  </si>
  <si>
    <t>2020년 11월경 OO공사에서 재해자가 지붕 위에서 판넬 설치작업을 하던 중 약 3.4m 아래 콘크리트 바닥으로 추락하여 사망</t>
  </si>
  <si>
    <t>2020년 11월경 OO농장 퇴비사 지붕에서 재해자(보통인부)가 선라이트로 덮힌 지붕 위에서 이동식크레인으로 인양한 선라이트(폴리카보네이트, t=1.2mm) 자재를 받던 중 C형강(Purlin, 중도리)이 없는 부분을 밟아 선라이트가 깨지면서 퇴비사 내부 바닥으로 떨어져(H≒7.5m) 사망</t>
  </si>
  <si>
    <t>2020년 11월경 OO실내인테리어 현장에서 사업주와 재해자(보통인부)가 침실 돌출 발코니 천정 샌드위치패널 설치 중 바닥 샌드위치패널이 꺾이며, 1층 바닥(H≒7m)으로 함께 추락[사업주(부상), 재해자(사망)]</t>
  </si>
  <si>
    <t>2020년 11월경 OO공사에서 재해자가 지붕 위에서 지붕 샌드위치패널(100x480x22Cm) 설치 작업 중 샌드위치패널이 기울어지며 패널과 함께 지상 1층 주차장 바닥으로 추락하여(H≒18m) 사망</t>
  </si>
  <si>
    <t>2020년 11월경 OO공사에서 재해자가 지붕 위에서 지붕 기울기를 수정하기 위해 해체된 지붕 샌드위치패널을 운반하던 중 밟고 있는 패널이 꺾이면서 약 13.5m 아래 지상 1층 바닥으로 추락하여 사망</t>
  </si>
  <si>
    <t>2021년 2월경 재해자가 차량탑재형 고소작업대(스카이) 작업대에 탑승하여 옥상 처마 옆면에 목재를 붙이는 작업 중 고소작업대의 전면 우측 아웃트리거 하부 콘크리트 지반이 붕괴되어 고소작업대가 흔들렸고, 그 충격으로 작업대에 있던 재해자가 약 5m 아래 지상으로 추락하여 사망</t>
  </si>
  <si>
    <t>2021년 2월경 OO 축사 증축공사 현장에서 재해자(보통인부)가 지붕판넬 상부에서 인양벨트 해체를위해 이동하던 중 갑작스러운 돌풍으로 인해 솟구치는 지붕판넬(EPS판넬, 11,850×100×75mm)에 맞아 약 10m 아래 콘크리트 바닥으로 떨어져 사망</t>
  </si>
  <si>
    <t>지붕에서 이동하던 중 순간 돌풍에 의해 솟구치는 마감재에 부딪힌 후 바닥으로 추락</t>
  </si>
  <si>
    <t>▶ 지붕 등 추락 위험 구간의 이동 및 작업 전 안전대 부착설비를 설치하고 근로자 이동 및 작업 시 안전대 체결여부 점검 및 관리감독
▶ 지붕 단부 구간에는 작업발판 및 안전난간 등을 설치하여 추락 방지 조치
▶ 작업자의 개인보호구 착용상태 점검 및 관리감독</t>
  </si>
  <si>
    <t>2021년 2월경 OO 축사 지붕 선라이트 교체공사 현장에서 재해자(형틀공)가 기존에 설치된 선라이트 고정용 볼트를 핸드 그라인더로 절단 하던 중 재해자가 밟은 노후 된 선라이트가 파손되면서 축사 바닥으로 떨어져(H≒4.8m) 사망</t>
  </si>
  <si>
    <t>2021년 3월경 OO가 시공중인「간판 철거 및 석면철거공사 등」 현장에서재해자(철거공)가 지붕 위에서 철거 작업 중 채광판이 깨지며 지상 1층바닥(H≒8.2m)으로 떨어져 사망</t>
  </si>
  <si>
    <t>2021년 4월경 OO에서 주변정비사업 현장에서 재해자(일용직)가 건물 지붕층 작업발판에서 2층 발코니에 있던 안전모 및 안전대를 가지러 가기 위해 비계를 통하여 해당 장소로 이동 중 실족하여 약 3.8m  아래 지면으로 추락하여 사망</t>
  </si>
  <si>
    <t xml:space="preserve">비계 내부에서 수평재 및 클램프를 밟고 이동하던 중 발을 헛디뎌 바닥으로 추락 </t>
  </si>
  <si>
    <t>▶ 추락 위험이 있는 장소에서의 이동 및 작업 시 작업발판 설치 및 작업발판 단부에 안전난간 설치
▶ 안전난간 설치가 곤란한 구간이 있을 경우, 안전대 부착설비를 설치하고 근로자 안전대 체결여부 점검 및 관리감독</t>
  </si>
  <si>
    <t>2021년 4월경 OO에서 시공 중인 OO시설 철거 및 이전공사 현장에서, 재해자가 지붕 위에서 선라이트(Sunlight, 폴리카보네이트 재질의 지붕재)를 철거하던 중, 지면으로 떨어져(H≒3.9m) 사망</t>
  </si>
  <si>
    <t>2021년 5월경 단독주택 신축공사 현장에서 재해자가 주택 내부 천장 패널 설치작업 중 안전난간이 설치되지 않은 이동식비계 작업발판에서 바닥(H≒1.4m)으로 떨어져 사망</t>
  </si>
  <si>
    <t>2021년 5월경 OO이 시공 중인 OO목장 지붕 보수공사 현장에서 재해자(판넬공)가 지붕슬래브에서 선라이트(폴리카보나이트 채광판)를 해체하고 이동하는 중 높이 약 5.5m 아래 바닥(퇴비사 바닥 콘크리트면)으로 추락하여 사망(추정)</t>
  </si>
  <si>
    <t>2021년 6월경 재해자가 ㈜OO OO공장 내 블렌더(Bleneder)공정 건축물 지붕의 채광창 보수작업을 위한 사전 공사개소 확인을 위해 지붕으로 이동하면서 밟은 노후된 샌드위치패널이 파손되면서 약 7.4m 아래 2층바닥으로 추락하여 사망</t>
  </si>
  <si>
    <t>2021년 6월경 OO공사에서 재해자가 지붕판넬 설치작업 중 실족하면서 추락(H≒10.2m)하여 사망</t>
  </si>
  <si>
    <t>2021년 8월경 노후 정비고 등 보수공사에서, 정비고 지붕 교체작업를 위한 준비작업 과정에 재해자가 지붕 위에서 이동 중 노후된 채광창 일부 탈락과 함께 약 10m 아래 바닥으로 떨어져 사망</t>
  </si>
  <si>
    <t>2021년 9월경 ㈜OO에서 시공하는 OO 전원주택 신축공사 현장에서 재해자(단열공)가 단열마감작업을 위해 외부비계 작업발판에서 단열재 설치 작업을 하던 중, 2단 또는 3단 작업발판에서 몸의 중심을 잃고 1단 작업발판으로 떨어져(2단일 경우 높이≒1.7m, 3단일 경우 높이≒3.4m) 사망</t>
  </si>
  <si>
    <t>2021년 9월경 OO공사에서 재해자가 지붕에서 칼라강판 설치를 위한 먹매김 작업 중 지붕 단부로 이동하다가 3층 하역장 바닥으로 추락하여(H≒21m) 사망</t>
  </si>
  <si>
    <t>2021년 9월경 주유소 도색 공사 현장에서, 재해자가 주유소 캐노피 지붕 위에서 철골 도색 작업 중, 캐노피 지붕의 금이 간 유리를 밟고 바닥으로 떨어져(H≒6.6m) 사망</t>
  </si>
  <si>
    <t>2021년 9월경 OO소재 식당 건물 뒤편의 비가림막 용도 캐노피 설치공사 현장에서 재해자(보통인부)가 캐노피 상부에서 발판으로 사용하기 위한 합판을 옮기던 중 약 3.3미터 높이에서 떨어져 사망</t>
  </si>
  <si>
    <t>캐노피 상부에서 자재를 운반하던 중 발을 헛디뎌 바닥으로 추락</t>
  </si>
  <si>
    <t>▶ 추락 위험이 있는 고소작업 시 이동식비계 등의 작업발판을 설치하고 발판 등의 단부 구간에는 추락방지용 안전시설물(안전난간, 안전대 부착설비 등) 설치를 통한 추락 방지 조치
▶ 작업자의 개인보호구 착용상태 및 안전대 체결여부 점검 및 관리감독</t>
  </si>
  <si>
    <t>2021년 10월경 OO단독주택 신축공사 현장에서, 외부 지붕마감공사업체 소속의 재해자(방수공)가 지상1층 지붕 마감재 부착 작업을 진행하다가, 외부 가설비계의 작업발판에서 바닥면으로 연결된 가설계단을 통해 이동하던 중 몸의 중심을 잃고 높이 약 2.3m 아래의 바닥으로 추락하여 사망</t>
  </si>
  <si>
    <t>2021년 10월경 OO목장 지붕판 교체공사 현장에서 재해자(판넬공)가 축사 지붕위에서 이동 중 선라이트(sunlight) 판넬이 파손되면서 바닥으로 떨어져(H≒5.6m) 사망</t>
  </si>
  <si>
    <t>2021년 10월경 OO 신축공사 현장 지붕 철골 상부에서 유리설치 작업 중 웨이브 지붕 유리가 설치되지 않아 발생된 지붕의 개구부에서 안전대 부착설비 또는 추락방호망 등을 설치하지 않고 작업하던 중 개구부를 통해 약 20m 아래 바닥으로 떨어져 사망</t>
  </si>
  <si>
    <t>2021년 10월경 OO공사에서 재해자가 지붕 샌드위치 패널 해체작업 중  하부가 지지되지 않은 패널부위를 밟고 6M 아래로 추락하여 사망</t>
  </si>
  <si>
    <t>2021년 12월경 축사 지붕 교체공사 현장에서 지붕 해체작업 중 재해자가 지붕 위에서 이동하다 선라이트(채광창) 일부가 탈락하며 바닥으로 추락(H≒6m)하여 사망</t>
  </si>
  <si>
    <t>2021년 12월경 OO공사에서 재해재가 지붕 위에서 천막 덧씌우기 작업 중 발을 헛디뎌 기존 노후 천막이 찢어지면서 바닥으로 추락하여(H≒9.8m) 사망</t>
  </si>
  <si>
    <t>OO축사 철거작업</t>
  </si>
  <si>
    <t>OO축사 철거작업 현장에서 재해자가 슬레이트 지붕에서 이동 중, 경사면 슬레이트 일부가 부서지면서 콘크리트 바닥으로 추락(H≒4m)하여 사망</t>
  </si>
  <si>
    <t>2017년 개인이</t>
  </si>
  <si>
    <t>2017년 개인이 시공하는 근생 및 다가구주택 신축공사 현장에서 재해자가 지상 2층 발코니에서 지붕 샌드위치 판넬을 해체하던 중, 몸의 중심을 잃고 약 3.5m 아래 지상 바닥으로 떨어져 사망</t>
  </si>
  <si>
    <t>발코니 단부에서 작업 중 발을 헛디뎌 안전난간이 설치되지 않은 단부로 추락</t>
  </si>
  <si>
    <t>5. 전기, 기계설비공사</t>
  </si>
  <si>
    <t>5.1 전기 설비 작업</t>
  </si>
  <si>
    <t>5.1.1 전기설비 자재반입, 가공, 운반</t>
  </si>
  <si>
    <t xml:space="preserve">2016년 2월경 OO공사에서 재해자가 지하 변전실에서 변압기를 인력으로 이동하던 중 변압기가 뒤집어 지면서 변압기에 부딪혀 사망 </t>
  </si>
  <si>
    <t>천장 크레인의 거더부가 기둥 하지작업을 하는 자주식 고소작업대 방향으로 이동하면서 고소작업대와 충돌, 공장밖으로 자주식 고소작업대가 전도되어 작업대에 탑승한 근로자가 자주식 고소작업대와 같이 전도</t>
  </si>
  <si>
    <t>▶ 지주식 고소작업대를 사용하는 작업 시 전도 등의 위험예방을 위한 유도자 배치 후 작업실시
▶ 천장크레인을 이용한 작업 시 안전한 신호방법을 정한 후 운전자는 그 신호에 따라 천장크레인 작동 실시
▶ 고소작업대 내부에서 작업 시 안전대 지급 및 착용상태 관리</t>
  </si>
  <si>
    <t>2016년 4월경 OO빌딩 야적장에서 전주를 이동식크레인 적재함에 상차하기 위하여 재해자가 야적장 바닥에 적치되어 있던 전주 2본(744kg)의 중간부분을 와이어로프로 묶어(1줄걸이) 이동식 크레인의 훅에 건 후, 3M 뒤로 물러나 인양되던 전주를 바라보던 중 크레인의 인양용 와이어로프(?8mm)가 절단되며 60°로 세워진 전주가 재해자 방향으로 넘어졌고, 전주의 끝부분에 머리를 맞아 사망</t>
  </si>
  <si>
    <t>전주를 와이어로프로 묶어 이동식 크레인을 통한 인양작업 중, 와이어로프가 하중을 견디지 못하고 절단되어 전주 이탈로 근로자 타격</t>
  </si>
  <si>
    <t>▶ 인양 중인 화물을 내려놓는 경우 와이어로프 등에 장력이 걸리지 않은 상태에서 제거
▶ 작업 전 인양장비, 인양로프에 대한 결함 유무 및 기능점검 실시</t>
  </si>
  <si>
    <t>2016년 12월경 OO공사에서 재해자 등이 냉동창고 1층의 내부벽체를 타공하고 가연성물질이 노출된 상태로 배관을 설치한 후 연결부를 용접하던 중 용접불티가 벽체 내부의 가연성물질(샌드위치패널 등)에 떨어지면서 화재가 발생하여 유독가스 질식으로 1명 사망 및 2명 부상</t>
  </si>
  <si>
    <t>냉동창고 내부벽 백관파이프 배관 용접작업 중 용접불티가 노출된 벽체의 가연성물질(샌드위치패널, 우레탄폼)에 떨어져 발생한 화재로 근로자가 유독가스에 질식사</t>
  </si>
  <si>
    <t>▶ 가연성물질이 노출된 상태의 배관연결 작업 시, 커플러를 이용한 배관접합부 연결 작업방식 실시
▶ 갈바늄 또는 용접방화포 등 불연재로 가연성물질 노출면 밀실시공 후 고정하는 방식의 방호조치 준수
▶ 불가피한 용접작업 시 불티방지 커버 설치 등 불티비산 방지조치 준수</t>
  </si>
  <si>
    <t>2017년 2월경 OO공사에서 재해자가 철탑(지상 33미터)에 승탑하여 폴리머 점퍼 지지애자 설치를 위해 철탑암과 점퍼선의 이격거리를 낚시대로 실측하던 중 감전으로 사망</t>
  </si>
  <si>
    <t>철탑에 올라 철탑암과 점퍼선의 이격거리를 낚시대로 실측 작업 중 감전</t>
  </si>
  <si>
    <t>▶ 감전될 위험이 있는 작업 시, 해당 전로의 차단여부 확인 철저
▶ 전압이 발생할 우려가 있는 경우 단락 접지기구를 이용하여 접지해야 함</t>
  </si>
  <si>
    <t>2017년 3월경 OO공사에서 재해자가 굴착기를 운전하여 경사면(경사도 약 32°)을 내려오던 중 굴착기가 전도하면서 굴착기에 깔려 사망</t>
  </si>
  <si>
    <t>▶ 급경사지로 굴삭기 이동 및 급선회 금지 (장비의 제원표 참조)
▶ 운전자는 안전벨트를 착용하고, 운전석 문은 닫은상태로 작업실시</t>
  </si>
  <si>
    <t>2017년 4월경 OO건설에서 시공하는 아파트 전기공사 현장에서 재해자가 18층에서 건설용 리프트로 탑승하려던 과정에서, 운반구가 상부(19층)로 상승된 것을 인지하지 못하고 손수레를 끌며 뒷걸음으로 이동하던 중 18층 바닥 단부에서 리프트 방호선반 위로 떨어져(H≒47.6) 사망</t>
  </si>
  <si>
    <t>건설용 리프트 탑승과정에서 건설용 리프트 방호장치 불량으로 운반구가 상승한 것을 인지하지 못하고 뒷걸음으로 이동하던 도중 바닥으로 추락</t>
  </si>
  <si>
    <t>▶ 작업 전 건설용 리프트의 인터록 장치 안전점검을 통한 정상작동 여부 확인
▶ 작업 시 건설용 리프트의 사용자 임의조작 금지조치 실시</t>
  </si>
  <si>
    <t>2017년 5월경 보안등 설치공사 현장에서 재해자가 전주를 차량탑재형 이동식크레인으로 인양하여 상차하려던 중 붐이 파손되어 떨어지면서 재해자를 가격하여 사망</t>
  </si>
  <si>
    <t>2017년 5월경 OO공사에서 재해자가 캐노피 상부에서 지붕 판넬 해체작업중 판넬 단부에서 실족하여 4.8m아래 지상 바닥으로 추락하여 사망</t>
  </si>
  <si>
    <t>캐노피 상부 지붕 판넬 해체작업 중 판넬 단부 추락</t>
  </si>
  <si>
    <t>▶ 지붕상부로 이동시 고소작업대(차량탑재형, 시저형) 또는 고정용 수직사다리를 이용하여 안전하게 이동
   - 고정용 수직사다리를 이용시 작업자는 안전대를 체결
▶ 지붕상부에서 이동시 60cm이상의 발판을 설치하여 이동통로를 구획(사전작업계획 수립)
   - 채광창(썬라이트)상부에 견고한 발판을 설치
▶ 지붕상부에 자재 과적재 금지
▶ 지붕 단부에는 안전난간대를 설치하여 단부에서의 추락방지조치 실시
▶ 지붕작업 전 지붕하단에는 추락방지망을 설치 후 작업실시
▶ 지붕해체 및 보수 작업자는 안전대를 체결한 상태로 작업실시</t>
  </si>
  <si>
    <t>2017년 9월경 OO공사에서 재해자가 사다리 위에서 케이블트레이 인출 위치의 벽체(샌드위치패널) 구멍 상태 확인 중 콘크리트 바닥으로 추락하여(H≒2.6m) 사망</t>
  </si>
  <si>
    <t>이동식 사다리 위에서 벽체 전기 작업 중 추락</t>
  </si>
  <si>
    <t>▶ A형사다리 최상단 답단에서 작업 금지 (불안전한 작업상태)
▶ A형사다리 전도방지조치를 위한 아웃트리거 설치
▶ A형사다리 벌어짐 방지조치 (힌지타입, 걸쇠타입의 걸쇠철물 설치 사용)
▶ 2인1조 작업으로 사다리의 전도방지조치 실시</t>
  </si>
  <si>
    <t>2017년 12월경 OO공사에서 재해자가 굴착기 뒤쪽으로 이동하던 중 회전하는 굴착기 몸체 후미와 콘크리트 구조물 사이에 끼어 사망</t>
  </si>
  <si>
    <t>작업전선 제거를 위한 이동 중 굴삭기 회전에 의한 굴삭기와 구조물 사이에 협착</t>
  </si>
  <si>
    <t>▶ 협착위험이 있는 작업 시 근로자 작업구역 설정을 통한 위험작업반경내 근로자 출입금지조치 실시
▶ 굴삭기 작업 전 후방카메라 작동여부 점검을 통한 안전조치 실시</t>
  </si>
  <si>
    <t>2020년 6월경 OO공사에서 재해자가 지상 2층에서 전기 자재반입 등 현장 사전조사를 위하여 이동하던 중 바닥 개구부(1.5m×1.5m)를 통해 지상 1층 콘크리트 바닥으로 추락하여(H≒4.0m) 사망</t>
  </si>
  <si>
    <t>현장에서 임의로 만든 개구부 덮개를 밟고 작업중 개구부 덮개가 부서지면서 근로자가 바닥으로 추락함</t>
  </si>
  <si>
    <t>▶ 개구부 발생시 개구부 덮개 설치 및 위험표지 부착 (개구부덮개는 단단한 구조로 제작)
▶ 개구부 덮개 미설치시 주변 안전난간대 설치</t>
  </si>
  <si>
    <t>통신용 전주 철거</t>
  </si>
  <si>
    <t>통신용 전주 철거작업 현장에서 재해자가 이동식 크레인으로 콘크리트 전주를 인양하는 작업장 주변을 이동 중 와이어 로프로 결속한 부위가 부러지면서 전주 상부 부재가 재해자를 강타하여 사망</t>
  </si>
  <si>
    <t>5.1.2 전기설비 배선</t>
  </si>
  <si>
    <t>2014년 5월경</t>
  </si>
  <si>
    <t>2014년 5월경 OO공사에서 재해자 등이 사무실 지붕(조립식 판넬)에 올라가서 천정 전등 전선관 설치작업 중 미끄러지면서 높이 3.5m아래 콘크리트 바닥으로 추락하여 2명 부상</t>
  </si>
  <si>
    <t>지붕 상부에 올라 천정 전등 전선관 설치작업 중 미끄러지면서 지붕 단부로 추락</t>
  </si>
  <si>
    <t>2016년 3월경 OO공사에서 재해자가 공장 천장 내부에서 전기 배선작업을 하던 중 골판지로 덮은 개구부(1.0×1.0m)를 통과하다 골판지가 파손되면서 높이 3.4m 아래 공장 바닥으로 추락하여 사망</t>
  </si>
  <si>
    <t>공장 천장 마감재 상부에서 전기 배선작업 중 마감재가 파손되면서 추락</t>
  </si>
  <si>
    <t>▶ 설비덕트(제연덕트, 배기덕트 등)의 개구부 덮개는 충분한 강도를 가진 재료로 덮개를 설치
▶ 개구부 덮개 상단에는 경고표지를 부착
▶ 개구부 주변 안전난간대 설치 (추가적인 추락위험 조치)</t>
  </si>
  <si>
    <t>2016년 5월경 OO 신축 전기공사 현장에서 재해자가 지상 1층 바닥 자재인양 개구부(5.6×2.8m) 옆 보(400×600mm)철근에 전기매립박스 설치 작업 중 몸이 중심을 잃고 실족하여 지하 2층 바닥으로 떨어져(7.5m) 사망</t>
  </si>
  <si>
    <t>바닥 개구부 인근에서 작업 중 근로자가 몸의 중심을 잃고 바닥 개구부로 추락</t>
  </si>
  <si>
    <t>▶ 개구부 덮개를 열고 자재를 전달 및 반입시 근로자는 안전대를 체결후 작업 실시
▶ 옹벽 단부에서 작업시, 단부에는 안전난간대를 설치</t>
  </si>
  <si>
    <t>2016년 6월경 OO공사에서 재해자 등이 통신배관 포설을 위해 천장 마감재(샌드위치패널, t=5cm)를 밟고 작업하던 중 밟고 있던 마감재가 꺾이면서 천장틀(T-bar)에서 탈락하여 패널과 함께 약 4.7m 아래 콘크리트 바닥으로 추락하여 1명 사망 및 1명 부상</t>
  </si>
  <si>
    <t>천장 마감재(텍스, 석고보드, 샌드위치 판넬 등) 상부에서 작업 중, 마감재가 파단되며 바닥으로 추락</t>
  </si>
  <si>
    <t>2016년 6월경 OO건설 사옥 신축공사 현장 내 재해자가 지상3층에서 지상8층으로 인상된 케이블을 엘리베이터 피트 8층 외부에 있는 분전함으로 빼내던 중 엘리베이터 개구부용 난간틀이 탈락되며 약 15m 아래로 떨어져 사망</t>
  </si>
  <si>
    <t>2016년 8월경 OO공사에서 재해자가 케이블 이설작업을 위해 MCC판넬 하부 트렌치로 케이블 입선 및 포설 작업 중 머리가 MCC판넬 내 충전부(BUS-BAR)에 닿아 감전으로 사망</t>
  </si>
  <si>
    <t>케이블 이설작업을 위한 케이블 입선 및 포설작업 중 판넬 내 충전부에 머리가 닿아 감전</t>
  </si>
  <si>
    <t>▶ 판넬 내부 충전부 노츨되지 않도록 방호캡 설치등 방호조치 인
▶ 판넬 내,외부 접지상태 확인
▶ 전선 입선 및 포설, 판넬 연결작업시 해당 전로 차단후 작업 실시</t>
  </si>
  <si>
    <t>2016년 11월경 OO공사에서 재해자가 타워크레인 전력케이블(380V) 연장·이설을 위해 굴착저면에서 케이블 절단 및 연장 작업을 하던 중 굴착사면이 무너지면서(V≒1.5m3) 매몰되어 사망</t>
  </si>
  <si>
    <t>굴착저면으로 들어가 굴착저면 내의 케이블 절단 및 연장 작업 중 굴착 사면 붕괴로 인한 근로자 매몰</t>
  </si>
  <si>
    <t>▶ 지반 붕괴 위험이 있는 작업 시, 흙막이 지보공 설치를 통한 무너짐방호조치 실시
   - 트렌치 굴착으로 1.5m이상 굴착시 흙막이 가시설 설치(TS판넬, SK판넬 등)
▶ 굴착작업 시 붕괴 방지를 위해 지반에 종류에 따른 굴착면 기울기 준수</t>
  </si>
  <si>
    <t>2016년 11월경 OO공사에서 재해자가 천장내부에서 전등설치를 위한 전선 배선작업 중 밟고 있던 샌드위치 패널(천장 마감재)이 탈락되면서 바닥으로 추락하여(H≒3.5m) 사망</t>
  </si>
  <si>
    <t>2016년 11월경 OO공사에서 재해자 등이 케이블 도로 횡단작업을 위해 도로 바닥에 조가선을 포설한 후 중앙분리대 및 갓길에서 조가선을 잡고 있던 중 주행하던 1톤 차량에 조가선이 걸리면서 1명은 넘어져 부상하고 1명은 후속차량에 충돌하여 사망</t>
  </si>
  <si>
    <t>케이블 도로 횡단작업을 위한 조가선 지탱 중 1톤 차량에 조가선이 걸려, 조가선을 잡고있던 작업자가 넘어지면서 도로 밖으로 1명 추락, 1명은 후속차량에 충돌</t>
  </si>
  <si>
    <t>▶ 차량충돌 위험이 있는 작업 시, 차량 주행로상의 작업자 작업 및 이동 통제, 유도자 배치 등의 안전방호조치 실시
▶ 조가선 작업중 작업범위내 차량통행 금지 및 접근금지 조치
    - 작업반경내 간섭여부 사전 확인 후 차량동선 등 계획 수립</t>
  </si>
  <si>
    <t>2017년 5월경 OO관광호텔 신축공사 현장에서 재해자가 A형 사다리를 이용해 CCTV 입선 작업 중 작업을 마치고 내려오다가 약 1.4m 아래 콘크리트 바닥으로 떨어짐</t>
  </si>
  <si>
    <t>▶ 이동식 비계 등 설치가 불가한 작업여건시 A형사다리를 사용 (경작업용)
▶ A형 사다리 사용 작업시 사다리 작업 안전지침 준수
   - A형사다리 최상단 답단에서 작업 금지 (불안전한 작업상태)
   - A형사다리 전도방지조치를 위한 아웃트리거 설치
   - A형사다리 벌어짐 방지조치 (힌지타입, 걸쇠타입의 걸쇠철물 설치 사용)
   - 2인1조 작업으로 사다리의 전도방지조치 실시</t>
  </si>
  <si>
    <t>2017년 5월경 OO공사에서 재해자가 전기 입선작업을 위해 창호 개구부를 통해 건물 외부로 이동하던 중 지상 5층 외벽에 설치되어 있던 대형 거푸집 패널의 강관 파이프가 이탈·낙하(약 14.4m)하면서 강관파이프에 머리를 맞고 사망</t>
  </si>
  <si>
    <t>외부 계량기함 전기 입선작업을 위해 건물 외부로 이동하던 중 지상 5층 외벽에 설치되어 있던 대형 거푸집 패널의 강관파이프 이탈 및 낙하로 인한 근로자 타격</t>
  </si>
  <si>
    <t>▶ 낙하물 방지망, 방호선반, 출입금지구역 설정 등 낙하물에 대한 위험방지조치 실시
▶ 근로자 전용 안전통로 설치</t>
  </si>
  <si>
    <t xml:space="preserve">2017년 7월경 OO공사에서 재해자가 철제전신주에 알루미늄 사다리를 걸쳐놓고 올라가 가로등 전원선 연결 작업 중 활선상태인 전선에 접촉되어 감전으로 사망 </t>
  </si>
  <si>
    <t>가로등 보수공사 현장에서 철제전신주에 이동식 사다리를 걸쳐놓고 올라가 가로등 전원선 연결 작업 중 활선상태인 전선에 접촉되어 감전</t>
  </si>
  <si>
    <t>▶ 감전 위험이 있는 작업 시 해당 전로 차단 실시
▶ 작업 전 절연보호구 지급 및 착용상태 관리
▶ 추락 위험이 있는 작업 시 안전대 부착설비 설치를 통한 안전방호조치 실시</t>
  </si>
  <si>
    <t>2017년 9월경 OO공사에서 재해자가 정전작업을 하지 않고 활선상태에서 천장 등기구 배선작업 중 전원선 충전부를 접촉하여 감전으로 사망</t>
  </si>
  <si>
    <t>천장 등기구 교체를 위한 배선작업 중, 활선 상태에서 전원선의 충전부와의 접촉에 의한 감전</t>
  </si>
  <si>
    <t>▶ 배선용 및 누전용 차단기 작동상태 확인
▶ 전선 입선 및 포설, 판넬 연결작업시 해당 전로 차단후 작업 실시</t>
  </si>
  <si>
    <t xml:space="preserve">2017년 12월경 OO공사에서 재해자가 말비계를 이용하여 벽체 전선관 배관작업 중 몸의 중심을 잃고 바닥으로 추락하여(H≒1.2m) 사망 </t>
  </si>
  <si>
    <t>말비계를 사용한 전선관 배관작업 중 몸의 중심을 잃고 바닥으로 추락</t>
  </si>
  <si>
    <t>▶ 말비계 안전한 구조의 말비계를 사용
   - 발판의 폭이 40cm이상의 비계를 사용
   - 말비계의 4지점이 견고한 구조의 바닥에 지지
   - 발판의 양 끝지점은 단부의 위치를 알수있도록 표시
▶ 작업자는 안전모를 올바르게 착용하고 작업을 실시</t>
  </si>
  <si>
    <t>2018년 3월경 OO공사에서 재해자가 고소작업차에 탑승하여 전선 이설작업 중 22.9KV 전선의 노출된 충전부와 활선용 장선기의 금속부분에 접촉되면서 장선기를 잡고있던 재해자가 감전 및 화상으로 사망</t>
  </si>
  <si>
    <t>절연 고소작업차에 탑승하여 전선이설 작업 중  22.9KV 전선의 노출된 충전부와 활선용 장선기의 금속부분에 접촉 되면서 감전 및 화상</t>
  </si>
  <si>
    <t>2018년 4월경 OO공사에서 재해자가 고소작업대(길이 1.72m×폭 0.83m)에 탑승하여 작업대 외측의 케이블을 잡아 당기기 위해 몸을 내미는 과정에서 승·하강을 조작 레버가 복부에 눌려 순간적으로 작업대가 상승하면서 천정 케이블덕트와 작업대 난간 사이에 흉부가 끼어 사망</t>
  </si>
  <si>
    <t>고소작업대(시저형)에 탑승후 전기선 풀링작업 및 전기 트레이 설치작업시 상승스위치 오작동으로 인해 작업대가 과상승하여 상단부 구조물과 덕트등에 재해자가 협착</t>
  </si>
  <si>
    <t>▶ 작업 전 기능점검을 통한 과상승방지장치 정상 작동여부 확인 실시
▶ 작업 전 안전장치의 정상작동 여부 사전 점검 (안전장치 임의해제 금지)
▶ 작동 스위치 레버 상부 방호덮개 설치</t>
  </si>
  <si>
    <t xml:space="preserve">2018년 6월경 OO공사에서 재해자 등이 지하 및 지상에서 작업 중 지하주차장 천정에 설치한 가설조명 전선 접속부의 과열 및 열축적에 의한 절연파괴로 불꽃이 발생하여 천장 단열재와 하부에 적재된 단열재 더미에 튀어 착화되면서 대형 화재가 발생하여 유독가스에 의한 질식으로 3명 사망 및 37명 부상 </t>
  </si>
  <si>
    <t>가설 조명등 연결전선의 접속부 과열 및 열축적에 의한 절연파괴로 발생한 단락 불꽃이 천장에 부착된 단열재와 하부에 쌓아둔 단열재 더미 등에 튀어 대형화재로 유독가스에 질식 및 화재에 대한 근로자 사망</t>
  </si>
  <si>
    <t xml:space="preserve">▶ 전기 기계ㆍ기구의 충분한 전기적 용량 및 기계적 강도 확보
▶ 전선 간 접속점의 변형을 방지하기 위해 적정한 전기적ㆍ기계적 방호조치 실시
▶ 비상상황에 즉시 대처 할 수 있도록 대피훈련 및 경보운영체계 확립
▶ 비상시 신속하게 알리기 위해 경보용 설비 또는 기구를 설치 </t>
  </si>
  <si>
    <t>2018년 7월경 OO C2,C3,C4BL 신축공사 현장에서 재해자가 C3블럭 지하 1층에서 약 4.45m 높이에 설치되어 있던 가설전선을 정리하기 위해 고소작업대를 이용하여 상승하는 도중 지하 1층 천장의 보와 고소작업대 난간사이에 작업자가 협착</t>
  </si>
  <si>
    <t>2018년 8월경 OO공사에서 재해자가 가설전선을 인출하기 위해 가설분전반 인입케이블을 전선 주위 배전선로에 연결하던 중 오른손이 충전부에 접촉되어 감전으로 사망</t>
  </si>
  <si>
    <t>2018년 12월경 OO공사에서 재해자가 일자형 사다리 위에서 전기 인입작업 중 얼어붇은 경사 바닥면에 설치한 사다리가 뒤로 미끄러지면서 재해자가 몸의 중심을 잃고 콘크리트 바닥으로 추락하여(H≒3.5m) 사망</t>
  </si>
  <si>
    <t xml:space="preserve">얼어있는 경사 바닥면 위에 이동식 사다리를 설치하고 그 위에서 전기 인입 작업 중 사다리가 밀리면서 추락 </t>
  </si>
  <si>
    <t>2019년 1월경 OO공사에서 재해자가 굴착기 버킷 위에 올라가 전주에 가요전선관 고정 작업을 하던 중 버킷이 탈락되면서 지면으로 추락하여(H≒5m) 사망</t>
  </si>
  <si>
    <t>굴삭기 버킷 위에 올라탄 후 전주에 가요전선관 고정 작업을 하던 중, 버킷이 탈락되면서 바닥으로 함께 추락</t>
  </si>
  <si>
    <t>▶ 건설기계장비 목적외 사용 금지(굴착기 버킷은 탑승용이 아님)
▶ 목적에 맞는 건설기계장비 사용 - 고소작업대(차량탑재형)
▶ 굴착기는 퀵커플러 또는 이탈방지핀을 체결</t>
  </si>
  <si>
    <t>2019년 2월경 OO공사에서 재해자 등이 지상1층 우레탄패널 천장 위에서 등기구 배선작업을 하던 중 천장마감재(50mm 우레탄패널)가 탈락되면서 4m 아래 콘크리트 바닥으로 추락하여 2명 부상</t>
  </si>
  <si>
    <t>조립라인 천장 상부 우레탄패널 단부에서 등기구 배선작업을 하던 중, T-Bar에 거치된 우레탄 패널이 탈락되면서 패널 위에서 작업중이던 근로자가 바닥으로 추락</t>
  </si>
  <si>
    <t xml:space="preserve">▶ 천정을 해체하기 위해서 안전한 작업발판을 설치 사용
   - 이동식 비계 및 고소작업대(시저형) 등 안전한 작업발판을 설치 사용
   - 2m이상의 고소작업시 작업자 안전대 체결
▶ 천정을 고정하기 위한 자재 등 작업발판으로 사용 금지 (불안전한 행동)
   - 달대볼트에 안전대체결, 천정자재 및 M-BAR등 철물 상부에서 작업 금지 (불안전한 행동)
   - 해당 자재는 천정을 고정시키기 위함으로 작업발판으로 사용금지    </t>
  </si>
  <si>
    <t>2019년 2월경 OO공사에서 재해자 등이 천장(샌드위치 판넬 2개, 1,850×1,000×100)위에 올라가 기 설치된 전선 트레이의 위치를 변경하던 중 작업하중(작업자 2명 체중 : 약 150kg)에 의해 천장판넬이 고정부(L형 앵글)에서 탈락되면서 판넬과 함께 4.5M 아래 2층 바닥으로 추락하여 2명 부상</t>
  </si>
  <si>
    <t>천장 판넬 상부에서 전기 배선작업 및 덕트 설치작업 중 판넬 자중 및 작업 하중을 견디지 못하고 천장이 붕괴되면서 동반 추락</t>
  </si>
  <si>
    <t>▶ 지붕상부로 이동시 고소작업대(차량탑재형, 시저형) 또는 고정용 수직사다리를 이용하여 안전하게 이동
   - 고정용 수직사다리를 이용시 작업자는 안전대를 체결
▶ 지붕상부에서 이동시 60cm이상의 발판을 설치하여 이동통로를 구획(사전작업계획 수립)
   - 노후화된 천장판넬, 칼라강판, 채광창(썬라이트)상부에 견고한 발판을 설치
▶ 지붕상부에 자재 과적재 금지
▶ 지붕 단부에는 안전난간대를 설치하여 단부에서의 추락방지조치 실시
▶ 지붕작업 전 지붕하단에는 추락방지망을 설치 후 작업실시
▶ 지붕해체 및 보수 작업자는 안전대를 체결한 상태로 작업실시</t>
  </si>
  <si>
    <t>2019년 3월경 OO공사에서 재해자가 16층 엘리베이터 홀 세대 입구 측에서 방송용 간선 인입 작업 중 제연덕트 개구부(950×600mm)로 넘어지면서 덮개가 탈락되어 덮개와 함께 지하 1층 콘크리트 바닥으로 추락하여(H≒51.45m) 사망</t>
  </si>
  <si>
    <t>아파트 세대 입구 쪽에서 전기 인입 작업 중 제연덕트 개구부로 넘어지면서 개구부 덮개가 탈락되어 개구부로 추락</t>
  </si>
  <si>
    <t>2019년 4월경 OO공사에서 재하자가 지상4층에 A형 사다리를 설치하고 그 위에서 케이블 포설(고정)작업을 하던 중 5층에서 케이블드럼(무게 약150kg)이 떨어지면서 작업 중인 사다리와 충돌하여 그 충격에 의해 재해자가 몸의 균형을 잃고 높이 약 19미터 아래 지상바닥으로 추락하여 사망</t>
  </si>
  <si>
    <t>사다리 위에서 케이블 고정작업 중 낙하한 케이블드럼과의 충격에 의해 몸의 균형을 잃고 바닥으로 추락</t>
  </si>
  <si>
    <t>▶ 케이블 드럼과 같이 굴러떨어질 위험이 있는 자재는 움직이지않도록 쐐기 고정 등 고정조치 실시
▶ A형 사다리 사용 작업시 사다리 작업 안전지침 준수
   - A형사다리 최상단 답단에서 작업 금지 (불안전한 작업상태)
   - A형사다리 전도방지조치를 위한 아웃트리거 설치
   - A형사다리 벌어짐 방지조치 (힌지타입, 걸쇠타입의 걸쇠철물 설치 사용)
   - 2인1조 작업으로 사다리의 전도방지조치 실시
   - 2m이상의 높이에서 작업시 작업자는 안전대를 체결</t>
  </si>
  <si>
    <t>2019년 5월경 OO공사에서 재해자가 고소작업대에 탑승한 상태에서 플렉시블관에 전선 인입 작업 중 고소작업대가 과상승하여 천정 슬래브와 고소작업대 난간대 상부 사이에 끼어 사망</t>
  </si>
  <si>
    <t>2019년 6월경 OO공사에서 재해자가 천장 전등배관의 전기 입선작업 후 이동식 사다리에서 내려오던 중 몸의 중심을 잃고 바닥으로 추락하여(H≒1.95m) 사망</t>
  </si>
  <si>
    <t>전기배선 작업 후 A형 사다리(이동식 사다리)에서 이동중 몸의 중심을 잃고 추락</t>
  </si>
  <si>
    <t>2019년 7월경 OO공사에서 재해자가 천정 상부에서 배선 작업 중 전압 220V에 감전되어 사망</t>
  </si>
  <si>
    <t>공장 항온룸 설비공사를 위하여 천정 마감재 상부로 올라가 전기 배선 작업 중 전선에 접촉되어 감전</t>
  </si>
  <si>
    <t>2019년 7월경 OO공사에서 재해자가 전기선 교체를 위한 사전작업 중 우천으로 인해 이동식 사다리에서 지상으로 내려오던 중 몸의 중심을 잃고 약 3m 아스팔트 바닥으로 추락하여 사망</t>
  </si>
  <si>
    <t>2019년 9월경 OO공사에서 재해자가 선로 측면을 따라 작업장소로 이동하던 중 뒤에서 주행하며 다가오는 전동열차(K485)에 추돌하여 사망</t>
  </si>
  <si>
    <t>노후된 광케이블 일부 철거 및 신규 광케이블 공사현장에서 업무협의를 위한 회의 종료 후 선로 측면을 따라 작업지점으로 복귀하던 중 뒤에서 다가오는 전동열차(K485)와 충돌</t>
  </si>
  <si>
    <t>▶ 선로 인접 작업 시 열차 이동이 없는 야간작업을 원칙으로 진행
▶ 부득이한 주간작업 진행 시 열차통행 중 작업제한 및 열차감시원 배치를 통한 충돌방지조치 실시</t>
  </si>
  <si>
    <t>2019년 9월경 OO공사에서 재해자가 사다리를 이용해 천정 덕트 및 설비배관에 올라가서 소방전기박스 안의 전선 피복을 벗기는 작업 중 왼손이 감전되어 몸의 균형을 잃고 높이 약 3.9미터 아래 바닥으로 추락하여 사망</t>
  </si>
  <si>
    <t>반도체 공장 신축 현장에서 천정 마감재 상부로 올라가 소방전기박스 내부 전선 피복을 벗기는 중 전선에 접촉되어 감전</t>
  </si>
  <si>
    <t>2019년 9월경 OO공사에서 재해재가 외벽 3층(높이 약 7m)에 설치된 활선상태인 세대 인입배선을 철거하기 위해 외부비계 위에서 펜치(Pincers)로 전선 절단 작업 중 감전으로 사망</t>
  </si>
  <si>
    <t xml:space="preserve">철거공사 현장에서 외부비계 위에서 활선상태의 인입배선 철거를 위해 전선 절단 중 감전 </t>
  </si>
  <si>
    <t>2019년 10월경 OO공사에서 재해자가 Slab 전기배관 설치작업을 하기 위해 철근을 옮기던 중 배근된 Slab 철근 사이로 발이 빠져 몸의 중심을 잃고 주저앉는 순간 철근이음을 위해 높이 60cm로 돌출되어 있던 조립철근에 항문이 찔려 사망</t>
  </si>
  <si>
    <t>말비계 지주 위에 올려놓았던 철근다발에서 철근 1본을 작업위치인 화장실 세대분전함 위치로 옮기던 중, 발을 헛디뎌 몸의 중심을 잃고 주저앉으며 조립된 벽체철근에 항문 관통</t>
  </si>
  <si>
    <t>▶ 슬래브 철근 상부에 실족방지망을 설치하여 이동통로를 구획 및 설치
▶ 찔림방지용 캡 설치 등을 통한 철근 찔림방지조치 실시</t>
  </si>
  <si>
    <t>2019년 10월경 OO공사에서 재해자가 전력증설을 위해 변전실 내부의 접지선 보완작업을 하던 중 전격에 의한 섬락 발생으로 감전되어 사망</t>
  </si>
  <si>
    <t>전력증설공사를 위해 변전실 내부 접지선 보완작업 중 감전</t>
  </si>
  <si>
    <t>▶ 감전될 위험이 있는 작업 시, 해당 충전전로의 정전상태 확인 준수
▶ 특별고압 충전전로에 대한 접근한계거리 확보 준수</t>
  </si>
  <si>
    <t>2019년 10월경 OO공사에서 재해자가 케이블 철거를 위해 전주(높이12M)를 오르던 중 잡고 있던 발판볼트가 빠지면서 5M 아래 바닥으로 추락하여 사망</t>
  </si>
  <si>
    <t>케이블 철거를 위한 전주 승주 중 작업발판 볼트 이탈에 의한 바닥으로 추락</t>
  </si>
  <si>
    <t>▶ 추락 위험이 있는 전주작업 시, 고소작업대(차량탑재형), 활선버켓차 등을 이용한 작업방법 우선 고려
▶ 작업 전 기능점검을 통한 승강설비(작업발판 볼트)의 이상 유무 확인
▶ 전주 승하강시 안전대 체결 상태 유지(U형 안전대)
▶ 전주 승하강용 개인보호구의 사용법 준수</t>
  </si>
  <si>
    <t>2019년 11월경 OO공사에서 재해자가 전기실 배전반 상부에서 케이블 포설 작업 후 A형 사다리를 이용하여 내려오던 중 몸의 중심을 잃고 약 1.6m 아래 콘크리트 바닥으로 추락하여 사망</t>
  </si>
  <si>
    <t>2019년 11월경 OO공사에서 재해자가 통신케이블의 이도 조정을 위해 전주를 타고 올라가던 중 몸의 중심을 잃고 지상 바닥으로 추락하여(H≒3.6m) 사망</t>
  </si>
  <si>
    <t>통신케이블 처짐조정 작업을 위해 통신전주에 오르던 중 몸의 중심을 잃고 추락</t>
  </si>
  <si>
    <t>▶ 추락 위험이 있는 전주작업 시, 고소작업대(차량탑재형), 활선버켓차 등을 이용한 작업방법 우선 고려
▶ 작업 전 안전대 부착설비의 안전대 체결을 위한 보조훅, 보조죔줄 지급 및 착용상태 관리</t>
  </si>
  <si>
    <t>2019년 11월경 OO공사에서 재해자가 케이블(전선) 포설작업 중 후속작업을 위해 이동하다가 의식을 잃고 쓰러져 사망</t>
  </si>
  <si>
    <t>포설작업 진행 후 이동 중 의식을 잃고 쓰러짐</t>
  </si>
  <si>
    <t>2020년 4월경 OO공사에서 재해자가 지상 5층 계단실 측벽 배선작업을 하던 중 전선을 뒤로 당기다가 몸의 중심을 잃고 계단참 단부로 추락하여(H≒2.5m) 사망</t>
  </si>
  <si>
    <t>계단실 측벽 배선작업 중 전선을 뒤로 당기다가 몸의 중심을 잃고 계단참 단부로 추락</t>
  </si>
  <si>
    <t>▶ 계단실 난간대는 전용 철물로 고정을 하고 100KG이상의 하중을 견디는 구조로 설치
▶ 안전난간대 설치가 불가할 경우 수직방망 등 설치하여 추락안전 조치 실시</t>
  </si>
  <si>
    <t>2020년 7월경 OO공사에서 재해자 등이 천장 판넬 상부에서 전기 배선작업 및 덕트 설치작업 중 판넬 자중 및 작업 하중을 견디지 못하고 천장이 붕괴되면서 추락하여 2명 부상</t>
  </si>
  <si>
    <t>2020년 12월경 OO공사에서 재해자가 급배기휀 전기 배선작업 중 몸의 중심을 잃고 지상1층 바닥으로 추락하여(H≒3.1m) 사망</t>
  </si>
  <si>
    <t>전등 스위치박스, 후드캡설치 및 조명배관, 소방배관등 설치 작업중 2m이상의 높이에서 바닥으로 추락</t>
  </si>
  <si>
    <t>▶ 2m이상의 고소작업시 안전한 작업발판을 설치하여 작업(이동식 비계 설치사용)
▶ 이동식비계 설치 사용시 안전수칙 준수
   - 이동식비계 상단부 안전난간대 설치
   - 전도방지를 위한 하단부 아웃트리거 설치(4지점)
   - 작업발판 상부에서 작업자는 안전대 체결 후 작업실시
     =&gt; 이동식 틀비계에 안전대를 체결시 안전대의 최하사점을 고려하여 체결
     =&gt; 이동식 틀비계 1조당 1.8m높이로 2조이상 조립시 틀비계에 안전대를 체결
   - 이동식비계 조립시 주요 구조부 조립상태 확인(가새재 설치, 승강사다리 디딤대에 작업발판 설치 금지)
   - 이동식비계 승강시 해치발판을 설치하여 내측으로 승강사다리 사용
   - 작업자의 불안전한 행동 금지 (안전난간 상단부를 딛고 작업실시)</t>
  </si>
  <si>
    <t>2020년 12월경 OO공사에서 재해자가 태양광발전설비 모듈에 전선 결선 작업을 위해 축사 지붕 위를 이동하던 중 썬라이트를 밟고 약 6.4m아래 콘크리트 바닥으로 추락하여 사망</t>
  </si>
  <si>
    <t>태양광발전설비 모듈 설치 및 배선작업, 상태확인을 위해 축사 및 공장동 지붕 위를 이동하던 중 채광창(썬라이트)을 밟고 바닥으로 추락</t>
  </si>
  <si>
    <t>▶ 지붕상부로 이동시 고소작업대(차량탑재형, 시저형) 또는 고정용 수직사다리를 이용하여 안전하게 이동
   - 고정용 수직사다리를 이용시 안전대걸이설비(안전블럭 등)를 설치하고 승,하강시 안전대를 체결
▶ 지붕상부에서 이동시 60cm이상의 발판을 설치하여 이동통로를 구획 (사전작업계획 수립)
   - 노후화된 채광창(썬라이트)상부에 견고한 발판을 설치
▶ 지붕상부에 자재 과적재 금지
▶ 지붕 단부에는 안전난간대를 설치하여 단부에서의 추락방지조치 실시
▶ 지붕하부에는 추락방지망을 설치 후 작업실시
▶ 지붕해체 및 보수 작업자는 안전대를 체결한 상태로 작업실시</t>
  </si>
  <si>
    <t>2021년 1월경 OO공사에서 재해자가 전주에 가공케이블을 가설하기 위해 사다리 위에서 발판볼트를 체결하던 중 약 2.9m 아래 바닥으로 추락하여 사망</t>
  </si>
  <si>
    <t>A형 사다리(이동식 사다리)에서 전기배선 작업 중 몸의 중심을 잃고 추락</t>
  </si>
  <si>
    <t>2021년 2월경 OO공사에서 재해자가 이동식 비계 상부에서 전기 배선작업 중 높이 약 2.7m 아래로 추락하여 사망</t>
  </si>
  <si>
    <t>이동식 비계 상부에서 전기 배선작업 중이던 작업자가 바닥으로 떨어짐</t>
  </si>
  <si>
    <t>▶ 추락할 위험이 있는 작업 시, 안전난간, 작업발판 등 안전방호조치 실시
▶ 작업 전 개인보호구 지급 및 착용상태 관리</t>
  </si>
  <si>
    <t>2021년 2월경 OO공사에서 재해자가 전신주 설치작업 중 전신주를 인양하고 있던 이동식크레인 붐이 파손되면서 낙하하는 인양물(전신주)에 맞고 사망</t>
  </si>
  <si>
    <t>전력공급을 위한 전신주 설치 중 전신주를 인양하고 있던 이동식크레인의 붐이 파손되어 떨어지면서 재해자를 가격</t>
  </si>
  <si>
    <t>▶ 이동식크레인 사용 시 과부하방지장치 등의 정상적으로 작동될 수 있도록 사전에 조정 및 점검 실시
▶ 이동식크레인을 사용하여 인양작업을 하는 경우 임계하중 값을 초과하지 않는 범위내에서 작업 수행
▶ 크레인을 사용한 중량물 취급 작업 시 전담 신호수 배치 및 관련 근로자에게 일정한 신호방법 주지
▶ 크레인을 사용하여 중량물 인양 시 작업 하부면에 근로자 출입 통제</t>
  </si>
  <si>
    <t>2021년 7월경 OO공사에서 재해자가 수·변전반 결선작업 중 380V 노출충전부에 신체가 접촉되어 감전으로 사망</t>
  </si>
  <si>
    <t xml:space="preserve">2021년 10월경 OO공사에서 재해자가 차량탑재형 고소작업대 이동을 위해 차량 후면의 버튼을 조작하여 아웃트리거를 접는 순간 고소작업대가 경사로 아래쪽으로 밀려 내려가자 차량을 멈추기 위해 운전석(경사로 아래쪽)으로 이동하던 중 밀려 내려오는 고소작업대 아웃트리거와 부딪혀 사망  </t>
  </si>
  <si>
    <t>경사로에 설치된 고소작업대(차량탑재형)의 아웃트리거를 조작하는중 운전자는 경사로에서 밀려 내려오는 고소작업대를 멈추기 위해 경사면 아래로 이동하던 중 전면 아웃트리거와 충돌</t>
  </si>
  <si>
    <t>▶ 작업 시작전 설치위치의 지반상태를 사전 확인
▶ 경사로에 차량 정차시 하부 고임목 등 고정조치 실시
▶ 운전원의 자격 유,무를 확인하고 정차시 브레이크 잠금 등 확인</t>
  </si>
  <si>
    <t>5.1.3 전기설비 설치</t>
  </si>
  <si>
    <t xml:space="preserve">2015년 4월경 OO공사에서 재해자가 천장 조명배관 설치 작업준비 중 이동식비계(1단)에서 내려오다가 바닥으로 추락하여 사망 </t>
  </si>
  <si>
    <t>천장 조명배관 설치 작업 중 이동식비계에서 내려오다가 바닥으로 추락</t>
  </si>
  <si>
    <t>▶ 이동식비계를 조립하여 작업 시 추락위험 방지를 위해 비계 상부에 안전난간 설치
▶ 이동식비계에서 작업 시 안전대 부착설비 설치 및 안전대 착용
▶ 근로자가 떨어질 위험이 있는 작업 시 안전모를 지급하고 안전모 턱끈 체결 등 개인보호구 올바른 착용 관리 철저</t>
  </si>
  <si>
    <t>2016년 1월경 OO공사에서 재해자가 높이 약 10m의 천장크레인 주행레일 위에서 변압기 및 배전반 증설공사를 위해 전력용 케이블을 고정해둔 케이블타이를 제거하던 중 낙하하는 전력용 케이블 뭉치에 맞고 바닥으로 추락하여 사망</t>
  </si>
  <si>
    <t>천장크레인 주행레일 위에서 변압기 및 배전반 증설공사를 위해  전력용 케이블 고정용 케이블 타이를 제거하던 중 낙하하는 전력용 케이블 뭉치에 맞음</t>
  </si>
  <si>
    <t>▶ 케이블은 크레인의 줄걸이 등을 통해 매단상태로 고정용 케이블 타이를 제거
▶ 전력용 케이블 낙하지점 주변 작업자 접근금지 조치 및 통제</t>
  </si>
  <si>
    <t>2016년 2월경 재해자가 통신주 위에서 광케이블 가설작업 완료 후 사다리를 이용 내려오던 중 아스팔트 바닥으로 떨어짐(h≒4m)</t>
  </si>
  <si>
    <t>사다리를 통해 내려오던 중 사다리 전도에 의해 바닥으로 추락</t>
  </si>
  <si>
    <t>▶ 지지각재, 로프 등 사다리 상〮하부 고정을 통한 사다리 전도방지 조치 실시
▶ 고소작업대, 3종 안전대 체결 등을 통한 추락방지조치 실시</t>
  </si>
  <si>
    <t>2016년 2월경 OO변압기 교체공사 현장에서 재해자가 CP전주(약12m)에 승주하여 변압기 교체작업을 하던 중 변압기 1차측 특고압 부싱단자에 신체가 접촉하면서 감전</t>
  </si>
  <si>
    <t>전주에 승주하여 변압기 교체작업 중 특고압 부싱단자와의 신체접촉에 의해 감전</t>
  </si>
  <si>
    <t>2016년 3월경 OO건설에서 시공중인 신축공사 현장에서 재해자가 오피스동(지상9층) 외부 경관조명 설치작업을 위해 옥상에서 자일에 RIG(자일에 설치하는 등산용 하강장비)를 설치하고 하강하던중 RIG가 자일에서 이탈하여 높이 약35m 지상1층 바닥으로 떨어져 사망</t>
  </si>
  <si>
    <t>건물 외벽 외부 LED 경관조명 교체 및 설치작업을 위해 옥상에서 자일에 등산용 하강장비 설치 후 하강하던 중 하강장비가 자일에서 이탈하여 바닥으로 추락</t>
  </si>
  <si>
    <t>▶ 2m이상의 고소작업시 안전한 작업발판을 설치 후 작업 실시
   - 비계, 이동식 틀비계, 말비계, 고소작업대(시저형) 사용
▶ 고소작업시 작업자의 불안전한 행동 금지(작업발판 이외의 장소에서 발을 딛고 작업)
▶ 작업발판의 설치가 어려울경우 작업자는 안전대를 체결</t>
  </si>
  <si>
    <t>2016년 5월경 OO공사에서 재해자가 보안등의 위치를 조정하여 변압기 설치공간을 확보하기 위해 전주(14m)의 약 5.8m지점까지 승주하여 U자 걸이용 안전대를 체결하는 과정에서 바닥으로 추락하여 사망</t>
  </si>
  <si>
    <t>전기 설비작업을 위해 전신주에 올라 이동중 몸의 중심을 잃고 추락</t>
  </si>
  <si>
    <t>2016년 6월경 ㈜OO 백필터 증설 및 개선공사(집진기 증축공사) 현장에서 재해자가 외부비계 작업발판 위에서 보온재 케이싱 고정용 너트커버 설치 작업 중 중심을 잃어 약 6.4m 아래 인도로 추락하여 사망</t>
  </si>
  <si>
    <t>안전난간이 미설치된 외부비계 작업발판에서 작업 중 비계 외부로 추락</t>
  </si>
  <si>
    <t>▶ 외부 강관비계 설치 및 사용시 안전사항 준수
   - 비계 작업발판은 틈새가 없도록 설치
   - 비계의 안전난간은 내,외측 둘다 설치를 하고 작업
   - 마감작업 등으로 인해 내측 난간대를 해체시, 작업자는 안전대를 체결
   - 승강로 설치(2열 작업발판 : 가설계단 설치, 1열 작업발판 : 수직사다리+해치형 발판)</t>
  </si>
  <si>
    <t>2016년 6월경 OO 전기공사 현장에서 재해자가 전부의 상부로 승주하여 전선연결 보조작업을 수행하던 중 전선연결부인 충전부에 접촉, 감전</t>
  </si>
  <si>
    <t>전주에 승주하여 전기인입작업 중 전선에 감전</t>
  </si>
  <si>
    <t>2016년 6월경 OO화력 1∼4호기 고압차단기 및 부속자재 구매 및 설치공사 현장에서 재해자가 신규로 설치된 6.9KV고압차단기를 재인입하던 중 아크가 발생하면서 폭발적 연소에 따른 화상으로 사망</t>
  </si>
  <si>
    <t>화력발전소에 6.9kV고압차단기 신규 설치 후 전류 인입 중 아크폭발로 인한 사망</t>
  </si>
  <si>
    <t>▶ 감전 위험이 있는 작업 시 절연용 보호구(AE형 안전모, 절연장갑, 절연화) 및 방호구를 통한 감전방지조치 실시
▶ 충전전로 근접작업 시 전압에 따른 접근한계거리 준수
▶ 아크폭발에 의한 화상 방지를 위한 방염처리된 작업복 또는 난연성능을 가진 작업복 착용 실시 및 준수</t>
  </si>
  <si>
    <t>2016년 7월경 OO 공사현장에서 재해자와 동료작업자가 전기용 트레이 설치작업 중 재해자가 지하층을 확인하기 위해 EPS실 주변의 창고로 이동하다가 지하PIT층 개구부(1m×1m×1.8m)로 떨어져 사망</t>
  </si>
  <si>
    <t>고정이 되지 않은 개구부 덮개를 밟아 덮개가 탈락하여 덮개와 함께 바닥으로 추락</t>
  </si>
  <si>
    <t>2016년 9월경 OO공사 현장에서 신축 비닐하우스에 전기를 공급하기 위한 수전설비에 인입선을 설치하기 위한 사전작업을 위해 한전 전주에 올라가던 중 저압(220V) 전선의 데드엔드클램프를 잡는 순간 감전되어 지상 7m 아래 바닥으로 떨어짐</t>
  </si>
  <si>
    <t>2017년 2월경 OO작업 현장에서 재해자가 천장내부에 들어가 조명기구의 흔들림 방지를 위한 각파이프 용접작업을 준비하던 중 천장 바닥을 밟아 합판이 탈락하면서 약 7.5m 높이의 천장에서 떨어짐</t>
  </si>
  <si>
    <t xml:space="preserve"> 2017년 3월</t>
  </si>
  <si>
    <t xml:space="preserve"> 2017년 3월경 OO(주) 건물 옥상에서 인터넷 케이블 개통을 도급받아 작업하던 재해자가 인터넷 케이블 설치 전 현장실사를 위해 건물 옥상에 위치한 수변전실(특고압) 내로 진입하여 작업 중 변압기 충전전로에 감전</t>
  </si>
  <si>
    <t>인터넷 케이블 설치 전 현장실사를 위해 옥상에 위치한 수변전실 진입 후 작업 중 변압기 충전전로에 감전</t>
  </si>
  <si>
    <t xml:space="preserve">2017년 4월경 OO공사에서 재해자가 안전난간이 설치되지 않은 이동식 비계(2단) 위에서 임시로 고정된 전선의 결속선(φ2mm, 구리)을 절단하던 중 몸의 중심을 잃고 바닥으로 추락하여(H≒3.6m) 사망 </t>
  </si>
  <si>
    <t>이동식 비계 위에서 임시고정된 전선의 결속선 절단 중 몸의 중심을 잃고 바닥으로 추락</t>
  </si>
  <si>
    <t>2017년 5월경 OO공사에서 재해자가 지붕 샌드위치판넬(두께 75mm) 위에서 전선 배관 설치 작업 중 지붕 샌드위치판넬이 탈락되면서 동시에 2.9m 아래 바닥으로 추락하여 사망</t>
  </si>
  <si>
    <t>지붕 샌드위치판넬 위에서 전선 배관 설치 작업 중 지붕 샌드위치판넬이 탈락되면서 추락</t>
  </si>
  <si>
    <t>2017년 6월경 OO공사에서 재해자가 접이식사다리(높이 약3.0m) 위에서 등기구 설치 작업 중 갑자기 작업장 전체가 정전되면서 재해자가 몸의 중심을 잃고 바닥으로 추락하여 사망</t>
  </si>
  <si>
    <t xml:space="preserve">2017년 9월경 OO공사에서 재해자가 등표의 두표, 피뢰침 및 피뢰침 지지대를 교체한 후 등표에 고정되어 있는 수직사다리를 이용 내려오려다 몸의 균형을 잃고 추락하여(높이 : 7m) 사망 </t>
  </si>
  <si>
    <t>등표의 두표, 피뢰침 및 피뢰침 지지대 교체작업 완료 후 등표 최상단에서 등표에 고정된 수직사다리를 이용하여 내려오려다 몸의 균형을 잃고 등표 1층으로 추락</t>
  </si>
  <si>
    <t>▶ 일자형 사다리를 통로로 사용시 상단부 걸침길이 확보 (60cm 이상)
▶ 사다리 상, 하부는 움직이지 않도록 고정조치
▶ 디딤대 상단에는 미끄럼방지 조치 실시(논슬립 등 설치)
▶ 2인1조 작업으로 사다리의 전도방지조치 실시</t>
  </si>
  <si>
    <t>2017년 10월경 OO공사에서 재해자가 A형 사다리(높이 3m) 위에서 투광등(높이 약 4.6m) 배선작업 중 몸의 중심을 잃고 지상 콘크리트 바닥으로 추락하여 사망</t>
  </si>
  <si>
    <t>2017년 10월경 OO공사 수서열원 제어동 1층 전기실 내에서 재해자 가 배전반 내부의 계기용 변류기(CT)와 계기용 변압기(PT)의 오차 측정을 위해 시험용 전선을 연결하던 중 활선상태의 부스바(전압 6.9kV)에 접촉하여 감전</t>
  </si>
  <si>
    <t>배전반 내부 변류기와 변압기 오차 측정을 위해 시험용 전선 연결중 활선상태의 부스바에 접촉하여 감전</t>
  </si>
  <si>
    <t>2017년 10월경 OO공사에서 재해자가 전기설비 이설을 위해 전주 상부(약 13m)에서 하부(약 10m)로 작업위치를 변경하여 내려오던 중 약 10m 높이의 전주에서 옹벽 상부 지면으로 추락하여 사망</t>
  </si>
  <si>
    <t>2017년 10월경 OO공사에서 자가수전설비(4800kw) 전신주의 자동개폐기를 교체하기 위해 전신주에 올라가 작업을 마치고 내려오던 중 높이 약 9.5M 옹벽 아래 지상바닥으로 추락하여 사망</t>
  </si>
  <si>
    <t>2018년 1월경 OO공사에서 재해자가 강관파이프 용접용 용접기를 들고 사다리를 올라가던 중 지해자가 약 1.7m 높이의 사다리 발판에서 지면으로 추락하여 사망</t>
  </si>
  <si>
    <t>용접용 용접기를 들고 사다리를 오르던 근로자가 약 1.7m 높이의 사다리 발판에서 지면으로 떨어짐</t>
  </si>
  <si>
    <t>2018년 4월경 OO공사에서 재해자 등이 전력량 확인용 계량기를 설치하기 위해 멀티테스트기를 이용하여 전류테스트를 실시하던 중 과전류로 인한 아크폭발 발생으로 3명 부상</t>
  </si>
  <si>
    <t>수배전실 내 계량기 설치를 위해 멀티테스트기로 전류테스트 중 과전류로 인한 아크폭발 발생으로 부상(화상)</t>
  </si>
  <si>
    <t xml:space="preserve">2018년 9월경 OO공사에서 맨홀 내부에서 케이블 정리작업 중이던 동료근로자가 맨홀바닥(물)에 떨어지는 소리를 듣고 재해자가 구조를 위해 맨홀 내부로 들어간 후 의식을 잃고 바닥(물)으로 떨어져 익사로 사망 </t>
  </si>
  <si>
    <t>재해자는 맨홀 내부에 있는 광케이블 정리 작업 중 의식을 잃고 쓰러짐</t>
  </si>
  <si>
    <t>▶ 밀폐공간 작업시 안전수칙 준수
   - 작업 시작 전,중 가스농도 측정 확인
   - 환기설비 설치 및 상시 가동
   - 작업자는 개인보호구(송기마스크 등)를 착용한 상태로 진입
   - 감시인을 배치하고 구호물품을 구비
   - 감시인과 작업자는 통신체계 구비
   - 밀폐공간 입구에 출입제한 표시
   - 작업 시작전 작업허가서 또는 작업계획서 작성 및 현장 비치</t>
  </si>
  <si>
    <t>2018년 11월경 OO공사에서 재해자가 슬래브 단부에서 전등 스위치박스를 설치하던 중 지상 바닥으로 추락하여로(H≒4.2m) 사망</t>
  </si>
  <si>
    <t>2018년 12월경 창고칸막이 공사 현장에서 재해자가 A형 사다리 상부에서 천장에 고정된 전기트레이를 해체하는 중 실족(H≒2.0m), 떨어져 사망</t>
  </si>
  <si>
    <t>2018년 12월경 OO빌딩의 지하1층 수변전실에서 재해자가 수변전반 내부에 설치된 원격검침용 모뎀 교체 작업과정에서  모뎀 안테나선(케이블) 교체(철거 및 설치)를 위해 수변전반(패널) 내부 수평재를 딛고 올라서서 작업 중 몸의 중심을 잃고 전력퓨즈에 접촉, 감전</t>
  </si>
  <si>
    <t>빌딩 지하층 수변전실 모뎀 교체를 위해 수변전반(패널) 내부 수평재를 딛고 올라서서 작업 중 몸의 중심을 잃고 신체의 일부가 패널 내부 전력퓨즈와 접촉하며 감전</t>
  </si>
  <si>
    <t>▶ 특고압에 노출되어 감전 위험이 있는 작업 시 충전부에 절연효과가 있는 방호망이나 절연덮개 설치 및 절연물을 통한 감전 방호 조치 실시 등 감전방지조치 실시
▶ 작업여건상 해당 조치가 어려운 경우 해당 전로의 전원 차단 실시</t>
  </si>
  <si>
    <t xml:space="preserve"> 2019년 2월</t>
  </si>
  <si>
    <t xml:space="preserve"> 2019년 2월경 OO도 OO시 OO동 소재 ㈜OOOO이 시공하는 OOO 신축공사 현장에서 재해자가 발코니 천장에 소방감지기 입선작업 중 이동식사다리(높이 약 80cm)를 밟고 전선을 밀어넣는 작업을 하다 떨어져 사망한 재해로 추정됨</t>
  </si>
  <si>
    <t>2019년 2월경 OO공사에서 재해자 등이 A형 사다리 위에서 전등 교체 작업 중 사다리가 전도되면서 바닥으로 추락하여 2명 부상</t>
  </si>
  <si>
    <t>A형 사다리(이동식 사다리)에서 전기배선 작업 중 사다리가 전도되어 추락</t>
  </si>
  <si>
    <t>2019년 2월경 OO공사에서 재해자가 이동식비계 작업발판에서 센서 교체 작업을 확인하던 중 바닥으로 추락하여(H≒3m) 사망</t>
  </si>
  <si>
    <t>2019년 3월경 OO공동주택 신축공사 현장에서 아파트 전력분배 시스템(부스덕트)에 발생한 오류를 점검하기 위해 재해자가 통전상태인 부스덕트에 플러그인박스를 탈착하는 과정에서 사용중이던 드라이버가 충전부에 접촉하는 순간 지락으로 인한 전기아크가 발생하여 3개월 이상 요양이 필요한 화상을 입음</t>
  </si>
  <si>
    <t>아파트 전력분배 시스템(부스덕트)에 발생한 오류를 점검하기 위해 통전상태인 부스덕트에 플러그인박스를 탈착하는 과정에서 사용중이던 드라이버가 충전부에 접촉하는 순간 지락으로 인한 전기아크가 발생하여 화상</t>
  </si>
  <si>
    <t>2019년 3월경 OO공사에서 재해자가 9m 높이의 수변전설비 전신주에 올라가 ASS교체 작업 중 지상바닥으로 추락하여 사망</t>
  </si>
  <si>
    <t>2019년 5월경 OO공장 신축공사 현장에서 재해자가 전기실에서 부스덕트 설치작업을 진행하던 중 아크가 발생하여 3개월 이상 요양이 필요한 화상을 입음</t>
  </si>
  <si>
    <t>공장신축현장에서 전기실 부스덕트 설치작업 중 아크 발생으로 부상(화상)</t>
  </si>
  <si>
    <t>2019년 8월경 OO공사에서 재해자 등이 가로등에 올라가 암(arm) 교체작업을 하던 중 가로등이 지지력을 잃고 넘어지면서 지면으로 추락하여(H≒5m) 2명 부상</t>
  </si>
  <si>
    <t>가로등에 올라가 암(arm) 교체작업을 하던 중 가로등이 지지력을 잃고 넘어지면서 지면으로 추락</t>
  </si>
  <si>
    <t>▶ 노후화된 구조물에 승주하여 작업할 경우, 작업 전 구조물의 균열 및 내부 강선의 상태 등 안전성에 대한 안전성 평가 실시 후 넘어짐 방지 조치 실시</t>
  </si>
  <si>
    <t>2019년 8월경 OO공사에서 재해자가 조명등을 설치하기 위해 이동식 비계(4단/작업높이 5.7M) 위에서 작업준비 중 바퀴가 미고정된 이동식비계가 전도되면서 재해자가 바닥으로 추락하여 사망</t>
  </si>
  <si>
    <t>조명등 설치를 위해 이동식 비계에 올라가 대기 중 미고정된 이동식 비계의 전도에 의해 바닥으로 추락</t>
  </si>
  <si>
    <t>▶ 이동식비계 전도 방지를 위한 작업반경이 넓은 차량탑재형 고소작업대 사용 실시
▶ 작업 전 개인보호구 지급 및 착용상태 관리
▶ 전도방지를 위한 아웃리거 부착, 이동식비계 고정 등 안전방호조치 실시</t>
  </si>
  <si>
    <t>2019년 10월경 OO공사에서 재해자가 천정 등기구 먹매김 작업을 하기 위하여 한손에 먹매김 핀을 들고 이동식 사다리를 올라가던 중 몸의 중심을 잃고 바닥으로 추락하여(H≒2m) 사망</t>
  </si>
  <si>
    <t>2019년 12월경 OO공장 탈의실 증축현장에서 재해자가 통로의 천장판넬을 발판삼아 밟고 판넬위에 서서 전등 및 전선정리 작업중 밟고 있던 판넬이 탈락되면서 판넬과 함께 3.2m 아래로 떨어짐</t>
  </si>
  <si>
    <t>샌드위치 판넬 천장에 서서 전선입선 및 에어셔터 전선 연결작업, 통신배관 포설 등 작업시 근로자들의 하중에 의해 판넬이 탈락하여 바닥으로 추락함</t>
  </si>
  <si>
    <t>2020년 1월경 OO공사에서 재해자가 이동식 사다리 아래에서 작업을 준비하던 중 사다리 고정핀에 걸어둔 해머드릴이 낙하하면서 재해자 얼굴에 맞아 사망</t>
  </si>
  <si>
    <t>사다리 아래에서 작업준비 중 원인미상의 이유로 힌지 고정장치에 걸어둔 해머드릴의 낙하에 의한 두부 강타</t>
  </si>
  <si>
    <t>▶ 근로자 출입금지구역 설정 등 낙하물 방지조치 실시
▶ 상부 작업자는 휴대용 공구함을 착용하여 공구 적재</t>
  </si>
  <si>
    <t>2020년 4월경 OO발전소 OO설비 공사현장 전기전자제어동 1층 전기실에서 재해자가 수전 시운전과정에서 11kV/480V 변압기 수배전반에서 상회전 테스트를 진행하던 중 고압측 단락이 원인으로 추정되는 아크폭발로 사망함</t>
  </si>
  <si>
    <t>화력발전소 전기전자제어동 전기실에서 수전 시운전과정에서 변압기 수배전반 아크폭발로 인한 사망</t>
  </si>
  <si>
    <t>2020년 5월경 OO공사에서 재해자가 축산냉장고 상부에서 전등공사 작업 중 몸의 중심을 잃고 콘크리트 바닥으로 추락하여(H≒2.86m) 사망</t>
  </si>
  <si>
    <t>2020년 5월경 OO 전기계량기 이설공사를 위해 재해자가 이동식사다리를 이용하여 창고 외벽에 전선 고정 작업을 하던 중 활선상태인 전선에 접촉, 감전되어 약4.3m 높이에서 바닥으로 떨어짐</t>
  </si>
  <si>
    <t>창고 전기계량기 이설을 위하여 이동식사다리 위에서 창고 외벽 전선 고정 작업 중 전선에 접촉되어 감전</t>
  </si>
  <si>
    <t>2020년 9월경 OO공사에서 조명등(투광등) 해체작업을 위해 조종사가  재해자 2명이 탑승한 차량탑재형 고소작업대의 위치를 조정하던 중 고소작업대가 조명타워 방향으로 넘어지면서 작업대가 높이 약 15m 아래로 떨어져 작업대에 탑승하고 있던 재해자 2명 사망</t>
  </si>
  <si>
    <t>조명등(투광등) 해체작업을 위해 고소작업대(차량탑재형)의 작업대에 근로자 2명이 탑승 후 작업대를 인상하여 작업 위치를 조정하던 중 고소작업대가 조명타워 방향으로 넘어지면서 작업대와 함께 추락</t>
  </si>
  <si>
    <t>▶ 작업 시작전 안전장치의 정상작동 여부 사전점검
▶ 작업 시작전 작업계획서 작성
   - 지반상태의 사전조사, 고소작업대의 제원(최대 작업능력)검토, 작업방법 계획수립
▶ 아웃트리거 최대로 확장하고 견고한 지반에 안착 (하부 깔목 설치)
    - 아웃트리거는 보도블럭 및 맨홀 그레이팅 등 불안전한 지반에 안착 금지 (필요시 추가 보강조치 실시)
▶ 붐대 최대 인출에 따른 아웃트리거 확장상태 검토 
▶ 작업범위내 접근금지 조치 및 신호수 배치
    - 인접 작업 및 통행차로에 대한 접근금지 조치(차선변경 신호 등)</t>
  </si>
  <si>
    <t>2020년 10월경 OO공사에서 도로 갓길에 정차한 교통차단차량 보조석에 탑승해 있던 재해자가 작업차량으로 옮겨타기 위해 차에서 내리던 중 교량 하부로 추락하여(H≒51m) 사망</t>
  </si>
  <si>
    <t>갓길에 정차한 동료작업자의 교통차단차량 보조석에서 차량을 옮겨 타기 위해 내리던 중 교량 하부로 추락</t>
  </si>
  <si>
    <t>▶ 추락 위험이 없는 안전한 장소에서의 하차를 위한 차량 회수 경로 계획
▶ 부득이한 교량 하차의 경우, 안전한 방법으로 하차를 하기 위한 관리 및 감독 실시</t>
  </si>
  <si>
    <t>2021년 6월경 OO근린생활시설 신축공사 현장 지하3층에서 재해자가 사다리 위에서 전등점검 및 수리 작업 중 절연피복이 벗겨진 전선 도체에 신체(목)가 접촉되어 감전된 후 바닥면으로 떨어짐(h≒1.4~1.7m)</t>
  </si>
  <si>
    <t>근린생활시설 신축공사 현장에서 지하3층 가설전등 점검 작업 중 전선에 접촉되어 감전</t>
  </si>
  <si>
    <t>2021년 7월경 OO공사에서 재해자가 A형 사다리에서 건물 좌측 외벽 전등 설치 작업 중 콘크리트 바닥으로 추락하여(H≒1.8m) 사망</t>
  </si>
  <si>
    <t>2021년 8월경 OO 공동주택 신축공사 현장 지하2층 출입통로에서 재해자가 천장 소방배관 누전부를 확인하기 위해 A형 사다리에 직접 올라가 검전기로 소방배관의 누전 여부를 측정하고자 동료작업자에게 해당 가설전등 전원을 투입토록 신호를 보냈을 때, 인접해 있던 동료 작업자는 신호를 확인하고 해당 가설전등의 전원을 투입하자 재해자가 감전된 후 사다리에서 추락</t>
  </si>
  <si>
    <t>아파트 신축현장에서 지하층 천장 소방배관의 누전 여부를 확인하기 위해 A형 사다리에 올라 확인하는 과정에서 누전된 소방배관에 접촉되어 감전</t>
  </si>
  <si>
    <t>2021년 9월경 OO공사에서 재해자가 차량탑재형 고소작업대에 탑승하여 통신선을 설치하던 중 고소작업대의 붐 하부를 지나가던 폐기물 운반차량(2.5톤)이 고소작업대의 붐과 충돌하면서 재해자가 바닥으로 추락하여 사망</t>
  </si>
  <si>
    <t>고소작업대(차량탑재형)를 이용해 통신선 설치작업을 하던 중 폐기물 수집운반차량이 고소작업대 밑을 지나가면서 고소작업대 붐을 추돌하여 작업대에 탑승해 있던 재해가 바닥으로 추락</t>
  </si>
  <si>
    <t>2021년 10월경 OO공사에서 재해자가 차량탑재형 고소작업대에 탑승하여 교량 하부의 가로등 교체작업을 마친 후 고소작업대 하강을 위해 무선리모컨을 작동하는 순간 고소작업대가 상승하면서 재해자의 목이 교량 하부와 고소작업대 사이에 끼어 사망</t>
  </si>
  <si>
    <t>고소작업대(차량탑재형)의 작업대에 탑승 후 교량하부에 설치된 가로등을 교체하는 작업 도중, 운전자가 하강버튼을 눌렀으나 오작동으로 인해 작업대가 상승하면서 재해자가 교량 하부에 협착함</t>
  </si>
  <si>
    <t>▶ 작업 시작전 안전장치의 정상작동 여부 사전점검
▶ 작업대 상단부에 과상승방지장치 추가 설치
▶ 작업자와 운전자의 신호체계 확립</t>
  </si>
  <si>
    <t>2021년 11월경 OO공사에서 재해자가 수배전반 위에서 덕트 덮개를 설치하던 중 발을 헛디뎌 수배전반 단부로 추락하여(H≒3m) 사망</t>
  </si>
  <si>
    <t>수배전반(큐비클) 상부에서 덕트 덮개 설치 중 단부로 추락</t>
  </si>
  <si>
    <t>2021년 12월경 OO도로 개량공사 현장에서 도로 가드레일과 보강토옹벽 사이에 표지판(안개등)을 설치하는 과정에서 재해자가 사면에서 미끄러지며 약 8.6M 아래로 추락</t>
  </si>
  <si>
    <t>도로 가드레일과 보강토옹벽 사이에 표지판(안개등)을 설치하던 중 사면에서 미끄러지며 추락</t>
  </si>
  <si>
    <t>▶ 미끄러질 위험이 있는 장소에는 설치 작업자 안전대 체결 후 작업실시</t>
  </si>
  <si>
    <t>5.1.4 전기특고압선로, 활선 및 전주시공</t>
  </si>
  <si>
    <t>2015년 12월경 OO 225KVA 변압기 교체공사 현장에서 재해자가 정기검사에 불합격한 변압기 등을 교체하기 위해 변압기가 설치된 H변대로 올라가 변압기 1차측 전선 해체작업을 마무리하고 T상 변압기 위에 올라서서 변압기 1차측 COS를 조작하던 중 특고압 충전부에 감전, T상 변압기위에서 지상바닥으로 떨어짐(H=5.0m)</t>
  </si>
  <si>
    <t>공장 변압기(225kVA) 교체를 위해 변압기 위에 올라서서 작업 중 특고압 충전부에 감전</t>
  </si>
  <si>
    <t>2016년 1월경 OO 전신주 교체공사 현장에서 재해자가 전신주 위에 올라가 전선을 철거하던 중 전신주 하단부가 파단 및 전도되면서 8m아래 지면으로 떨어짐</t>
  </si>
  <si>
    <t>전신주에 승주하여 전선 철거작업 진행 중 전신주 하단부 파단 및 전도에 의해 지면으로 추락</t>
  </si>
  <si>
    <t>▶ 추락 위험이 있는 전주작업 시, 고소작업대(차량탑재형), 활선버켓차 등을 이용한 작업방법 우선 고려
▶ 노후된 전신주 철거작업 전 철거작업계획 작성 (노후전신주 안전성 평가)
   - 해체방법 수립 및 사전검토(사람이 승주하지 않은채 작업하는 방법 우선 선정)</t>
  </si>
  <si>
    <t>2016년 2월경 OO케이블공사 현장에서 재해자가 전신주에 사다리(H≒2.5m)를 사용하여 전신주 상부로 올라가 외선 케이블 설치 작업을 하던 중 포장 도로 바닥(H≒6.0m)으로 추락</t>
  </si>
  <si>
    <t>전신주 상부로 올라가 전기인입 작업 중 바닥으로 추락</t>
  </si>
  <si>
    <t>▶ 추락 위험이 있는 전주작업 시, 고소작업대(차량탑재형), 활선버켓차 등을 이용한 작업방법 우선 고려
▶ 작업 전 기능점검을 통한 승강설비(작업발판 볼트)의 이상 유무 확인
▶ 전주 승하강시 안전대 체결 상태 유지
▶ 전주 승하강용 개인보호구의 사용법 준수</t>
  </si>
  <si>
    <t>2016년 4월경 OO전력공급공사 현장에서 재해자가 전기 인입선 공사를 하기위하여 전신주 위에서 배전선로와 가공선로(인입선) 연결작업 수행중 작업용 로프(U자걸이)가 전신주와 이탈되면서 지상으로 떨어짐(h≒6.1m)</t>
  </si>
  <si>
    <t>2016년 5월경 OO동 업무시설 및 공동주택 신축공사 현장에서 재해자가 건물 3층 높이(5.8m) 외부 비계발판 위에서 활선 작업(전신주에서 분기한 전선을 건물로 인입하는 작업)중 추락</t>
  </si>
  <si>
    <t>외부 비계발판 위에서 활선 작업(전신주에서 분기한 전선을 건물로 인입하는 작업) 중 추락</t>
  </si>
  <si>
    <t>2016년 7월경 OO도로확장 배전선로 이설공사 현장에서 재해자가 통전 측정을 하던 중 동료작업자가 반대편 지중입상주에서 지중케이블 동심전력선을 가공전력선에 잘못 접촉하여 특고압전류가 통전되어 통전 측정을 하려는 순간 아크전류가 발생하여 화상을 입음</t>
  </si>
  <si>
    <t>도로확장 배전선로 이설공사현장에서 통전측정을 하던 중 동료작업자가 반대편 지중입상주에서 지중케이블 전력선을 가공전력선에 잘못 접촉하여 특고압전류가 통전되어 아크폭발 발생으로 사망</t>
  </si>
  <si>
    <t>2016년 7월경 OO저장탱크 및 부대설비공사 현장에서 재해자가 #12저장탱크 7단 Inner Shell의 외측 작업발판에서 보냉재 Anchor Pin의 Base Plate 설치부위의 마킹(Marking) 상태를 점검·이동하던 중, 해치발판(950㎜×1,040㎜)이 열려 발생된 개구부(820㎜×1,100㎜)로 약 21.8m 떨어짐</t>
  </si>
  <si>
    <t>2016년 7월경 OO선로 단가공사 현장에서 재해자가 통신전주에 올라가 통신케이블 확인작업 중 전주가 지지력을 잃고 넘어지면서 통신전주와 함께 바닥으로 전도</t>
  </si>
  <si>
    <t>통신전주에 올라 통신케이블 작업 중 전주가 지지력을 잃고 전도되면서 바닥으로 추락</t>
  </si>
  <si>
    <t>▶ 노후화된 전주에 승주하여 작업할 경우, 작업 전 전주의 콘크리트 균열 및 내부 강선의 상태 등 안전성에 대한 안전성 평가 실시 후 넘어짐 방지 조치 실시
▶ 노후화된 전주 작업 시 직접 승주하여 해체하는 방법이 아닌 별도의 장비를 이용, 고정 조치 후 해체작업을 하는 작업방식 실시</t>
  </si>
  <si>
    <t>2016년 8월경 OO현장에서 재해자가 전주에 올라 안전벨트를 전주에 걸고 스텝볼트를 밟으면서 광케이블 고정작업중 U자걸이용 안전벨트가 탈락 되면서 지상으로 떨어짐(H=6.4m)</t>
  </si>
  <si>
    <t>2016년 8월경 OO공사 현장에서 OO수용가의 지열보일러용 전기를 공급하기 위해 재해자가 전주에 올라가 신설케이블을 활선상태인 기존 R상에 연결하는 작업 중 신체 일부가 닿아 감전</t>
  </si>
  <si>
    <t>지열보일러용 전기 공급을 위하여 전주에 올라 인입전선 연결 작업 중 전선에 접촉되어 감전</t>
  </si>
  <si>
    <t>2016년 9월경 OO설치공사 현장에서 재해자가 기존 철탑의 피뢰기 설치작업을 하기 위해 철탑의 높이 약 46m 지점에서 작업을 하던중 실족하여 지상으로 떨어짐</t>
  </si>
  <si>
    <t>송전철탑의 상단부에서 피뢰기 설치 및 압축인류크램프, 점퍼소켓 교체작업 등 상단부에서 작업 및 승하강시 실족하여 바닥으로 추락</t>
  </si>
  <si>
    <t>▶ 철탑 세우기전 지상에서 각 부재에 안전대 걸이설비를 사전 부착
   - 주각 스텝볼트 상태 점검 및 안전로프 설치
   - 수평재(암) 안전대 걸이설비 설치 등 지상에서 선조립
▶ 철탑의 승하강 통로 및 수평재(암)상단부 작업자는 안전대를 체결한 상태로 작업실시
▶ 10m 높이마다 추락방지망(주각 내부) 및 낙하물방지망(주각 외부)을 설치</t>
  </si>
  <si>
    <t>2016년 11월경 OO증축공사 현장에서 재해자가 6.6kV전로에서 전압측정 작업 중 단락사고가 발생하여 사망</t>
  </si>
  <si>
    <t>반도체 공장 증축공사 현장에서 배전반 내부 전로 전압측정 중 감전</t>
  </si>
  <si>
    <t>2016년 12월경 OO전철 전력설비 신설 기타공사 현장에서 재해자가 특고압(22.9kv) 케이블 포설작업을 위해 엔진플러(윈치, 용량:7ton)를 조작하던 중 도르래에서 이탈된 로프가 재해자의 얼굴 부위를 가격하여 터널 배수박스에서 떨어지면서(h=67㎝) 레일 기초 콘크리트에 머리를 부딪힘</t>
  </si>
  <si>
    <t>케이블 포설작업을 위해 윈치 조작 중 로프가 도르래의 이탈로 인한 근로자 강타 및 레일로 추락</t>
  </si>
  <si>
    <t>▶ 케이블 견인작업 시 작업장소 주변 근로자 출입통제 실시
▶ 윈치(엔진플러)사용전 기능검사 실시
   - 도르래에 로프의 이탈여부, 로프의 파단상태 등
▶ 작업 전 케이블 포설작업 방법에 대한 안전성검토 실시 후 작업 실시</t>
  </si>
  <si>
    <t>2017년 1월경 OO 지장이전 단가공사 현장에서 재해자가 통신 전주에 올라가(h≒4.5m) 양방향 통신선의 장력에 의해 지탱 되고 있던 전주의 한쪽 통신선을 절단하자 장력이 한쪽으로만 작용하여 전주의 전도 모멘트가 발생하자 노후화된 전주의 밑둥 부분이 파단되면서 지지력을 상실하고 재해자와 함께 넘어짐</t>
  </si>
  <si>
    <t>2017년 2월경 재해자가 신규 전기공급을 위해 전주 설치 후 올라가서 결선작업을 위해 작업용 로프(U자걸이)를 전주에 연결하는 과정에서 몸의 중심을 잃고 지상으로 떨어짐(h≒6m)</t>
  </si>
  <si>
    <t>2017년 3월경 OO공사에서 재해자가 철탑 하단 암(Arm)의 현수클램프 등을 설치하고 전력선 위에서 애자련을 통해 하단 암으로 이동 하려고 하던 중 몸의 중심을 잃고 26m 아래 지상 바닥으로 추락하여 사망</t>
  </si>
  <si>
    <t>2017년 5월경 OO 전송선로 지장이설공사의 국소*(局所)공사 작업인 광케이블 철거 작업구간에서 재해자가 광케이블 철거를 위해 전주로 이동 후 언덕(사면) 위에 승주용 사다리를 올려놓고 뒤돌아 나오는 과정에서 갑자기 지주(본주를 지지해주는 전주)가 쓰러져 우측 두부를 가격함</t>
  </si>
  <si>
    <t>광케이블 철거 작업 통신전주를 지지해주는 보조전주가 쓰러져 작업자를 강타</t>
  </si>
  <si>
    <t>2017년 7월경 OO교체공사 현장에서 재해자가 활선작업차량 바스켓에 탑승하여 전주 상부 배전선 애자교체작업을 하던 중 특별고압(13.2kV)에 감전</t>
  </si>
  <si>
    <t>고압 핀애자 교체공사 현장에서 활선작업차량 작업대에 탑승하여 전주 상부 배전선 애자교체작업 중 고압(13.2kV)에 감전</t>
  </si>
  <si>
    <t>2017년 7월경 OO전력시설 개선공사 현장에서 재해자가 선로 배전설비(22.9KV) 이설작업을 위해 H형 전주에 승주하여 L형 완금을 해체하는 순간 노후된 전주 하부가 파단되면서 전주(L=10.55m)와 함께 지상 바닥으로 넘어짐</t>
  </si>
  <si>
    <t>군 선로 배전설비 이설작업을 위해 H형 전주에 승주하여 L형 완금을 해체하는 순간 한쪽 전주 하부가 파단되면서 전주와 함께 지상 바닥으로 전도</t>
  </si>
  <si>
    <t>2017년 8월경 OO케이블카 설치 현장에서 재해자가 산 정상에 있는 삭도철탑 A형 지주의 주발 및 최하단 단위지주(L=2m) 교체를 위해 지주 하부에 임시버팀대(5개)를 설치하여 지주를 약 20mm 인상시키고, 최하단 단위지주를 해체하던 중 임시버팀대가 붕괴되면서 A형 지주가 전도되어 사망</t>
  </si>
  <si>
    <t>철탑 A형 지주의 주발 및 최하단 단위지주 교체를 위한 임시버팀대 설치 후 최하단 단위지주 해체작업 중 임시버팀대 붕괴에 의한 지주 전도 및 근로자 덮침</t>
  </si>
  <si>
    <t>▶ 철탑 지주의 단위지주 교체를 위한 작업 전 안전성 평가 실시
    - 철탑 지주와 같은 중량물 인양시 인양능력 사전 검토 및 확인
▶ 케이블 크레인 수리 등 보수공사 시 안전기준 준수
▶ 작업순서 및 작업계획 사전 검토, 수립실시
    - 해당 지주의 임시버팀대 설치 위치등 안전성 확인, 단위지주 해체 순서
▶ 해체작업 범위내 인접 근로자 접근금지 조치 실시</t>
  </si>
  <si>
    <t>2017년 9월경 OO 안전이격확보공사 현장에서 재해자가 자재 야적장에서 철탑조립용 볼트(M15×60)를 포대에 담는 작업 중 바로 옆에서 굴삭기 퀵커플러(Quick Coupler) 훅(Hook)에 와이어로프(Ø16mm)를 걸어 인양 중이던 철탑주주재(L=8m, 500kg)가 낙하(H≒6m)하면서 재해자를 강타</t>
  </si>
  <si>
    <t>굴착기로 철탑주주재 인양작업 중 와이어로프가 이탈되며 철탑주주재 낙하</t>
  </si>
  <si>
    <t>▶ 굴착기 작업반경 내 접근금지 조치 및 신호수 배치
▶ 굴착기로 양중작업시 안전조치 확보
  - 중량물 인양계획서 작성
  - 훅 해지장치 설치
  - 굴착기의 인양능력 확인 (굴착기 제원표)
  - 줄걸이 상태 확인(달기구 및 와이어로프, 슬링벨트 파손유무 등)</t>
  </si>
  <si>
    <t>2017년 10월경 OO개인축사 지붕의 태양광시설 설치 현장에서 재해자가 축사 지붕과 근접한 전주에 올라가 인입전선 연결을 위해 도르레를 설치하고 내려오던 중, 전주에 설치된 활선(380v)에 접촉되면서 전격에 의해 중심을 잃고 전주 상부 약 8m 높이에서 지상 바닥으로 떨어짐</t>
  </si>
  <si>
    <t>축사지붕 태양광 설치 현장에서 인입전선 연결을 위해 지붕 인근 전주에 올라 작업 중 전선에 접촉되어 감전</t>
  </si>
  <si>
    <t>2018년 1월경 OO통신 관련 공사현장에서 재해자가 고소작업대(차량탑재형) 버켓에 탑승하여 통신케이블을 포설한 후, 버켓에 설치된 조작스위치를 이용하여 버켓을 하강시킨던 중 스윙감속기 베이스 체결볼트가 파단되면서 넘어지는 붐대와 함께 약 5m 아래의 아스팔트 바닥으로 떨어짐</t>
  </si>
  <si>
    <t>고소작업대(차량탑재형)의 작업대에 작업자가 탑승하여 통신케이블 포설 후 버켓 하강 중 턴테이블 체결볼트 파단에 의해 붐대가 전도되며 함께 추락</t>
  </si>
  <si>
    <t>▶ 고소작업대의 임의 개조 금지
▶ 작업범위 사전 확인 및 사용제원 검토
▶ 고소작업대(차량탑재형)의 주기적 안전검사 실시 (2년단위)
▶ 턴테이블 및 붐대 연결부 등 취약부위 수시점검
   - 체결핀의 노후화 및 균열상태 등 작업 시작전 확인</t>
  </si>
  <si>
    <t>2018년 3월경 OO 태양광 발전소 설치공사 현장에서 재해자가 1종 안전대(U자걸이 전용)를 착용하고 태양광 발전소 인입용 전선을 기존도로 상의 한전주에 고정하기 위해 전주 위에 올라가, U자걸이 로프를 풀고 좌측으로 회전(약 90°) 이동하던 중 지상바닥으로 떨어짐(H≒10m)</t>
  </si>
  <si>
    <t>2018년 5월경  OO철탑 활선애자 청소 작업현장에서 재해자가 송전 선로 철탑 NO.3호 활선애자 청소작업을 진행하던 중 몸의 균형을 잃고 높이 35M 아래 지상으로 떨어짐</t>
  </si>
  <si>
    <t>송전선로 활선애자 청소작업 중 몸의 균형을 잃고 지상으로 추락</t>
  </si>
  <si>
    <t>▶ 추락 위험이 있는 철탑상부 작업시 작업자는 안전대를 체결한 상태로 작업실시
▶ 철탑 암 안전대걸이설비 설치 및 안전대 체결 후 애자련으로 이동</t>
  </si>
  <si>
    <t>2018년 5월경 ㈜OO이 시공하는 OO센터 주차장 및 부대시설 신축공사 현장에서 재해자가 옹벽위에 설치되어 기존 건물로 연결되는 고압 케이블 덕트 덮개(3m×0.5m)를 해체하여 지상으로 내리던 중 몸의 중심을 잃고 약 4m 아래 바닥으로 떨어짐</t>
  </si>
  <si>
    <t>옹벽 위에 설치되어 기존 건물로 연결되는 고압 케이블 덕트 덮개 해체 후 지상에 있는 동료작업자에게 전달하는 과정에서 몸의 균형을 잃고 바닥으로 추락</t>
  </si>
  <si>
    <t>2018년 7월경 OO 고압B공사 현장 충전전로에서 저압전로(380V 3상 4선)를 설치하던 중 R, S, T 3상중 한 선의 데드 앤드 클램프와 중성선이 재해자의 몸에 접촉되어 감전(접촉전압 220V)</t>
  </si>
  <si>
    <t>고압공사 현장 충전전로에서 저압전로 설치하던 중 전선에 접촉되어 감전</t>
  </si>
  <si>
    <t>2018년 7월경 OO 통신선로 이설 현장에서 재해자가 전주 상부에서 통신선로 고정작업을 마치고 내려오던 중 손으로 전선(220V)을 잡음과 동시에 감전</t>
  </si>
  <si>
    <t>통신선로 이설현장에서 전주에 승주하여 통신선로 고정작업 후 내려오던 중 전선에 감전</t>
  </si>
  <si>
    <t>2018년 8월경 OO신축공사 현장에서 재해자가 이동식 사다리 위에서 전주 측의 전원선을 건물의 인입배선에 연결하는 작업 중 충전부에 접촉·감전</t>
  </si>
  <si>
    <t>전기 인입을 위하여 이동식 사다리 위에서 전주 측의 전원선을 건물 인입배선에 연결 중 전선에 접촉되어 감전</t>
  </si>
  <si>
    <t>2018년 8월경 OO설비 교체공사 현장에서 재해자가 절연고소작업대 버켓에 탑승하여 가정용 전기 인입전선(상전압 220V, 3상4선) 교체작업 중 감전</t>
  </si>
  <si>
    <t>활선작업차량 작업대에 탑승하여 가정용 전기 인입전선 교체작업 중 전선에 접촉되어 감전</t>
  </si>
  <si>
    <t>2019년 5월경 OO고압공사 현장에서 재해자가 신설 전주에 올라가 고압선 설치작업을 진행하던 중 몸의 중심을 잃고 전주 위에서 약 8.2m 아래 배수로 바닥으로 떨어짐</t>
  </si>
  <si>
    <t>2019년 5월경 OO축사 신축공사 현장으로 전기를 공급하는 임시동력 공사(현장 외부에 있는 전주에서 공사 현장으로 필요한 전력을 공급하기 위한 공사) 현장에서 재해자가 현장 외부에 있는 전주 상단에서 전력선이 인입된 전선관을 전주에 고정하는 작업을 하던 중 약 5m 아래로 떨어짐</t>
  </si>
  <si>
    <t>2019년 7월경 OO 철탑(154kV)에서 조류착지 방지장치 설치를 위해 중간암의 끝단으로 이동하던 재해자가 상부암 활선에 신체가 접촉 또는 접근한계거리(170cm) 이내로 접근하여 공기의 절연파괴로 인해 발생한 섬락으로 감전 및 추락(높이≒40m)</t>
  </si>
  <si>
    <t>활선 상태에서 송전탑 도장작업 및 송전선로 이동 중 접근한계거리내 접근에 의한 아크 발생으로 감전 및 추락</t>
  </si>
  <si>
    <t>▶ 감전 위험이 있는 작업 시, 정전작업을 통한 감전방지조치 실시
▶ 특고압 등 감전 위험이 있는 작업 시 접근한계거리 준수를 통한 감전방호조치 실시</t>
  </si>
  <si>
    <t>2019년 9월경 OO 저압A공사 중 OO 신설공사 현장에서 재해자가 A형 사다리를 신축건물 벽면에 펼친 상태로 걸쳐놓고 올라가 건물 측 인입구 배선에 활선상태인 한전 인입선(3상 4선식 220/380V)을 연결하기 위해 인입전선 피복을 벗기던 중 피복이 벗겨진 전선 충전부에 면장갑을 착용하고 작업 중이던 재해자의 신체가 접촉되어 감전(220V, 손→몸통→알루미늄 사다리→대지로 통전)된 후 약 3m 아래로 떨어짐</t>
  </si>
  <si>
    <t>신축건물 벽면에 사다리를 걸쳐놓고 올라가 전선인입 작업 중 전선에 교체되어 감전</t>
  </si>
  <si>
    <t>2019년 11월경 OO공사에서 재해자가 철탑 중단 암(또는 상단 암)에서 아머로드 취부작업 중 약 48m 아래 지상 바닥으로 추락하여 사망</t>
  </si>
  <si>
    <t>2020년 6월경 OO 공사용 자재 야적장에서 차량 탑재형 이동식크레인의 적재함에 실려 있는 전신주를 하역하기 위해 재해자가 크레인 훅에 걸려진 줄걸이용 와이어로프를 전신주에 체결하고 수평으로 무게 중심을 잡던 중 함께 실려 있던 강관주가 적재함에서 미끄러지며 낙하하면서 전신주와 강관주 사이에 재해자가 끼임</t>
  </si>
  <si>
    <t>이동식크레인의 적재함에 실려 있는 전신주를 하역하기 위해 크레인 훅에 걸려진 줄걸이용 와이어로프를 전신주에 체결하고 수평으로 무게 중심을 잡던 중 함께 실려 있던 강관주가 적재함에서 미끄러지며 낙하</t>
  </si>
  <si>
    <t>▶ 적재함내의 자재를 양중시, 양중물과 적재함 자재와 분리한 후 양중 (엉켜있는 자재는 제거 후 양중작업 실시)
   - 양중시 지상에서 50cm 띄운후 줄걸이 고정상태 사전 확인 후 양중
▶ 인양물을 양중시 작업반경내 근로자 접근통제</t>
  </si>
  <si>
    <t>2020년 6월경 OO 설치공사 현장에서 재해자가 A형 사다리를 전주(각파이프 5cm*10cm*3.5m)에 걸쳐놓고 올라가 전주에 기대어 활선상태인 인입선(단상 2선식 220V)을 연결하기 위해 면장갑을 착용하고 니퍼를 사용하여 인입전선 피복을 벗기던 중 재해자의 신체가 인입선 220V 충전부에 접촉되어 사다리 위에서 감전</t>
  </si>
  <si>
    <t>2020년 8월경 OO보강공사 현장에서 OO 콘크리트 전주에서 재해자가 원인미상의 이유로 콘크리트 전주 상부에서 추락하여 바로 밑에 위치한 은행나무 가지(지상에서 높이 약 4m 지점)에 걸려 쓰러짐</t>
  </si>
  <si>
    <t>2020년 8월경 OO변전소에서 OO공장으로 154kV 전력을 송전하는 14개의 송전탑 가운데 5번 송전탑 위에서 재해자가 154kV의 초고압 송전선로가 살아있는 활선상태에서 송전탑 도장작업을 실시하던 중 재해자가 도장작업을 위해 사용하였던 금속재 봉이 154kV의 접근한계거리 내로 들어와 아크(Arc)가 발생되면서 감전 및 추락</t>
  </si>
  <si>
    <t>2020년 9월경 OO지장송전선로 이설공사 현장에서 비가 내려서 작업이 중지되어 재해자가 철탑 암에서 지상으로 내려오려고 수직구명줄에 추락방지대를 체결하던 중, 철탑 하단에 설치한 추락방호망으로 떨어짐(H≒26m)</t>
  </si>
  <si>
    <t>2020년 10우</t>
  </si>
  <si>
    <t>2020년 10우러경 OO송전 취약설비 정비공사 현장에서 재해자가  철탑(154kV 구서-명장 T/L No.3)의 송전선로 부속품 교체작업을 마치고 지상으로 내려오기 위하여 수평재로 이동하던 중 실족하여 약 20m 아래 지상으로 떨어짐</t>
  </si>
  <si>
    <t>5.2 기계설비 작업</t>
  </si>
  <si>
    <t>5.2.1 기계설비 자재반입, 가공, 운반</t>
  </si>
  <si>
    <t>2016년 2월경 OO 공장 열교환기 교체 작업장에서,체인블럭(1.5Ton)을 이용하여 판형열교환기 (1,130㎜ × 529㎜, h = 1,740m, W≒971㎏)을 옮기던 중 재해자가 넘어지는 판형열교환기에 가슴을 맞음</t>
  </si>
  <si>
    <t>교체를 위해 공장 내 판형열교환기를 체인블럭을 이용하여 운반중 전도되어 부딪힘</t>
  </si>
  <si>
    <t>▶ 단차가 있는 자재 또는 부재 세우기 작업 중 전도방지를 위한 체인블럭, 윈치 등 달기구를 이용하여 지탱하는 방식으로 전도방지조치 실시</t>
  </si>
  <si>
    <t>2016년 3월경 공사자재 야적장에서 재해자가 화물차에 적재된 가스관을 동료작업자와 함께 하역하는 작업 중 가스관 묶음 줄이 끊어지면서 재해자가 가스관과 함께 높이 약2.5m아래 바닥으로 떨어지는 과정에서 가스관(2본)이 재해자의 골반을 덮침</t>
  </si>
  <si>
    <t>화물차에 적재된 가스관 하역작업 중 가스관 묶음 줄(나일론) 파단에 의해 근로자가 가스관과 함께 2.5m 아래 바닥으로 추락 및 가스관에 깔림</t>
  </si>
  <si>
    <t>▶ 가스관 등 길이가 긴 자재 인양 시 외줄달기 지양 및 중량물취급 안전작업방법(두줄걸이) 준수</t>
  </si>
  <si>
    <t>2016년 4월경 OO 프로젝트 공사중 재해자가 FAB BP(Back Plane)지역 소방배관 설치를 위해 SP배관을 5층 천장구역으로 운반하여 자재거치대에 적재하는 작업 중,지지력을 상실한 자재거치대가 파괴되면서 적재되어 있던 SP배관 약55본(1,042.8kg)이 낙하하여 재해자가 작업 중 발판대용의 천장구조물인 Blind Panel에 충격, 붕괴되면서 Blind Panel과 함께 15m아래 바닥으로 떨어짐</t>
  </si>
  <si>
    <t>자재거치대 자재 적재 및 운반 작업 중 자재거치대의 뒤틀림 및 꺾임에 의해 적재된 배관이 낙하하여 발판대용 천장구조물에 충격, 붕괴되어 근로자들이 천장구조물과 함께 바닥으로 추락</t>
  </si>
  <si>
    <t>▶ 자재 적재작업 전, 구조검토에 따라 부재두께, 재질, 적재량, 고정방법 등을 고려한 브라켓 설치 준수</t>
  </si>
  <si>
    <t>2016년 4월경 OO 계획예방정비공사(터빈,보일러,탈황설비) 현장에서 재해자가 Pulverizer F번 Under Bowl 내부로 들어가 청소작업을 하던 중 모터(Motor)와 감속기의 연결축(Shaft)의 정상 작동여부를 확인하기 위하여 Pulverizer를 기동하여 Scraper가 회전하면서 협착</t>
  </si>
  <si>
    <t>터빈 내부 청소작업 중 기계작동으로 인한 작업자 협착</t>
  </si>
  <si>
    <t>▶ 기계의 정비 및 청소, 수리를 위한 안전조치 준수 (LOTO)
   - 밸브의 손잡이나 전기스위치 등 자물쇠를 이용하여 전원을 차단 (Lock out)
   - 잠금장치의 표시를 위해 잠금장치에 꼬리표를 부착 (Tag out)
▶ 작업자 투입 후 감시인 배치 등 실시</t>
  </si>
  <si>
    <t>2016년 7월경 OO건설의 고속철도 노반신설공사 현장에서 재해자가 윈치를 사용하여 배수펌프를 지하 50m 깊이의 수직구 하부로 내리는 과정에서 지상1층 바닥에 고정하였던 윈치의 앙카가 탈락되며 윈치가 불시에 빠른속도로 재해자 쪽으로 이동되었고, 이동된 윈치(최대중량≒200kg)에 충돌된 충격으로 지하 1층 바닥(Hmax≒5m)으로 떨어져 사망</t>
  </si>
  <si>
    <t>윈치로 고소작업대 운반작업 중 윈치를 고정하고 있던 셋트앵커 탈락으로 인해 고소작업대 낙하</t>
  </si>
  <si>
    <t>▶ 안전대 부착설비 및 작업발판 설치 등 추락방지조치 준수
▶ 작업 전 셋트앵커 설치상태 점검</t>
  </si>
  <si>
    <t>2016년 11월경 OO학교 이전신축 수배전반설치공사 현장에서 지상 1층 계단에서 지하층으로 변압기를 이동시키던 중, 변압기를 고정한 앵커볼트가 탈락되면서 재해자가 변압기에 부딪힌 후 깔림</t>
  </si>
  <si>
    <t>변압기 이동 중 변압기를 고정한 앵커볼트가 탈락되면서 변압기에 깔림</t>
  </si>
  <si>
    <t>2016년 11월경 아파트 신축공사 현장에서 협력업체 소속 재해자가 지하1층 기계실에서 양수작업을 위해 설치한 고압호스(직경 5cm) 제거를 위해 사다리(길이 5.1M)를 옹벽에 기대고 올라가 3.2M 높이에 서서 가위로 고압호스를 자르던 중 떨어지는 호스를 잡으려다 몸의 중심을 잃고 3.2M 아래 콘크리트 바닥에 추락</t>
  </si>
  <si>
    <t>▶ 고소작업 시, 사다리보다 상대적으로 작업 안전성이 뛰어난 고소작업대, 이동식 비계 등을 사용하여 작업
▶ 사다리를 사용하여 고소작업 시, 별도의 안전대 부착설비를 설치하고 안전대를 체결한 후 작업하도록 조치</t>
  </si>
  <si>
    <t>2016년 11월경 플랜트 현장에서 재해자가 열교환기를 건물 내부로 이동 및 설치하는 작업 중_x000D_ 지게차로 지하 1층 자재 반입구까지 하역 후 작업자 4명이 하부에 중량물 운반용 활차(일명 : 도비캐스터)를 3개소 설치 후 인력으로 밀어 이동하던 중 반입구 바닥의 요철(반입구 차단문 하부)에 도비캐스터 1개 바퀴가 걸리며 이탈되어 열교환기가 중심을 잃고 재해자 쪽으로 전도</t>
  </si>
  <si>
    <t>중량물 운반용 활차를 이용하여 자재 운반 중 자재가 넘어지며 깔림</t>
  </si>
  <si>
    <t>▶ 자재 운반 시 자재의 전도를 방지하기 위해 자재를 평탄한 발판 위에 올려놓는 등의 전도방지조치를 취한 후 작업 진행
▶ 작업구간 관계 근로자가 아닌 사람의 출입을 금지하고 근로자 이동통로를 별도로 지정하는 등 주변을 통제
▶ 중량물 취급 작업계획서를 작성하고 운반방법에 대한 위험성평가를 통해 안전작업방법을 해당 근로자에게 교육
▶ 근로자 개인보호구 지급 및 착용상태 관리감독</t>
  </si>
  <si>
    <t>2016년 12월경 OO 다가구주택 신축공사 현장에서 세대내 렌지 후드 환풍구 캡 설치를 위해 재해자가 동료작업자와 함께 2층 계단참을 올라가던 중 몸의 중심을 잃고 창호 프레임 개구부를 통해 4.6m 하부 콘크리트 바닥으로 추락</t>
  </si>
  <si>
    <t>설비배관 작업을 위한 작업발판 설치 중 개구부로 추락</t>
  </si>
  <si>
    <t>▶ 개구부 등 추락위험 구간에 덮개, 안전방망, 안전대 부착설비 등 추락방지조치 준수
▶ 작업 전 개인보호구 지급 및 착용상태 관리</t>
  </si>
  <si>
    <t>2017년 12월경 OO 공장 증축공사 현장에서 재해자가 1층 천장내부 배관 보온작업을 위해 보온자재를 천장 점검구로 운반작업 중 사다리가 옆으로 넘어지며 1층 바닥(H≒3.2m)으로 떨어짐</t>
  </si>
  <si>
    <t>지하 기계실에서 사다리를 옹벽에 기대고 올라가 고압호스를 자르던 중 몸의 중심을 잃고 바닥으로 추락</t>
  </si>
  <si>
    <t>2018년 5월경 저온탱크 건설공사 현장에서 재해자가 호이스트로 작업발판(윈드가더) 인상작업을 하기 위해 가용접부 제거작업 중 작업발판(윈드가더)이 기울어지며 지상바닥으로(H≒25.6m) 추락하여 사망</t>
  </si>
  <si>
    <t>프로판 저온탱크 건설공사 현장에서 7단 내부벽체 용접 완료 후, 8단 벽체를 작업하기 위해 7단의 작업발판(작업자 탑승)을 호이스트로 해체 및 인양하던 중 근로자가 있던 작업발판이 기울어지며 지상바닥으로 추락</t>
  </si>
  <si>
    <t>▶ 현장 여건 상, 불가피하게 작업자를 태운 작업발판 등을 호이스트로 인양하여 작업하는 경우, 별도의 안전대 부착설비를 설치하고 안전대를 체결한 후 작업하도록 조치
▶ 작업자의 개인보호구, 안전대 체결여부 점검 및 관리감독</t>
  </si>
  <si>
    <t>2018년 7월경 OO건설의 근생 및 오피스텔 신축공사 현장에서 재해자 2인이 지하4층 기계실에 있던 고소작업대(시저형, 약 1Ton)를 윈치와 체인블럭을 사용하여 지하3층 장비 반입구 개구부(5,000mm×2,700mm)를 통해 인양하여 반출하는 작업 중 윈치를 지지하고 있던 셋트앵커(2개소)가 천정에서 탈락되면서 고소작업대가 낙하하였고, 이 충격으로 체인블럭을 지지하던 파이프 부재가 꺾이면서 작업자와 충돌하여 약 5m 아래의 기계실 바닥으로 추락하여 1명 사망, 1명 부상</t>
  </si>
  <si>
    <t>2018년 8월경 OO의 벼 건조저장시설 현장에서 재해자가 이동식크레인을 이용하여 백필터를 집진설비(백필터 좌대)에 거치 후, 이동식크레인 슬링벨트에 매달려 내려오던 중 슬링벨트와 함께 약 10m 높이에서 떨어져 사망</t>
  </si>
  <si>
    <t>이동식크레인을 활용한 백필터 설치작업 완료 후, 이동식크레인에 걸려있던 슬링벨트를 직접 잡고 지면으로 내려오던 중, 슬링벨트가 보조후크에서 이탈되어 근로자가 바닥으로 추락</t>
  </si>
  <si>
    <t>▶ 이동식크레인을 사용한 작업시, 근로자를 후크로 직접 옮기는 등의 행위 금지
▶ 후크해지장치를 설치하여 슬링벨트 등이 빠지지 않도록 조치</t>
  </si>
  <si>
    <t>2018년 10월경 콘크리트 배쳐플랜트 설치공사 현장에서 재해자가 이동식크레인(50톤)을 이용하여 화물차(5톤)에 적재된 배쳐플랜트 자재를 지상 바닥에 하역한 후 슬링벨트 줄걸이의 샤클을 해체하는 과정에서 지반에 2단으로 적재되어 있던 사일로 서포트 자재가 재해자 쪽으로 넘어지면서 자재에 깔려 사망</t>
  </si>
  <si>
    <t>이동식크레인 슬링벨트 줄걸이의 샤클 해체 중 적재된 자재가 갑자기 넘어져 근로자 깔림</t>
  </si>
  <si>
    <t>▶ 자재 하역작업 시 자재가 전도하지 않도록 받침목 설치 등 전도방지조치 실시▶ 무게중심이 높은 중량물의 경우 수평으로 적재</t>
  </si>
  <si>
    <t>2018년 12월경 OO공장 소방설비 배관교체작업 현장에서 재해자가 A형사다리를 이용하여 소방배관pipe를 2층으로 운반하던 중 A형사다리의 최상부로 부터 3번째 디딤대에서 몸의 중심을 잃고 약 h=2m아래 지상 바닥으로 떨어짐</t>
  </si>
  <si>
    <t>2019년 3월경 OO건설의 복합시설 신축공사 현장에서 재해자가 에스컬레이터 설치구간 1층 바닥에서 5층 천장에 설치된 윈치에 배관용 탄소강관(6본)을 PE로프로 묶은 후 훅에 걸어서 양중작업을 하던 중, 약 10m높이에서 훅과 와이어로프의 체결부에서 와이어로프가 빠지면서 배관용 탄소강관 다발이 떨어져 하부에 있던 재해자의 머리를 타격하여 사망</t>
  </si>
  <si>
    <t>배관용 탄소강관 양중작업 중 와이어로프 이탈에 의한 배관용 탄소강관 다발 추락</t>
  </si>
  <si>
    <t>▶ 작업 전 와이어로프 체결상태 점검 등 안전점검 실시
▶ 작업 전 개인보호구 지급 및 착용상태 관리 실시</t>
  </si>
  <si>
    <t>2019년 3월경 OO 주거복합신축공사 현장에서 재해자가 OO동 피트층 단부에서 전동윈치로 양중한 탈취유니트 케이스를 피트층 단부에 걸쳐놓고 내측으로 반입하던 중, 갑자기 케이스가 단부에서 이탈되며 작업중이던 재해자가 약 7.7m 아래 지상 1층 콘크리트 바닥으로 추락</t>
  </si>
  <si>
    <t>주거복합신축공사 현장에서 탈취유니트 케이스를 양중과정에서 피트층 단부에 걸쳐놓고 내측으로 반입하던 중 갑자기 케이스가 단부에서 이탈되며 작업중이던 근로자가 추락</t>
  </si>
  <si>
    <t>▶ 백필터 등과 같이 하중이 상부에 쏠려있는 구조물을 해체하는 경우, 체결된 볼트 수, 지지기둥의 길이차이 등의 설치상태를 사전에 검토한 후 작업계획을 수립
▶ 백필터 등과 같이 하중이 상부에 쏠려있는 구조물을 해체하는 경우, 인양 줄걸이 작업 전, 전도방지를 위해 안전블럭, 안전지지대 등을 설치</t>
  </si>
  <si>
    <t>2019년 3월경 OO 발효관 및 자동화 연계 동기화 공사 현장에서 체인블록을 사용하여 바닥에 눕혀진 압력용기(약1.7ton)를 들어 세우던 중 체인블록의 로드체인이 파단되면서, 주변에서 작업 중이던 재해자가 전도되는 압력용기에 맞은 후 깔림</t>
  </si>
  <si>
    <t>체인블럭을 이용하여 누워있던 압력용기를 세우던 중 체인이 파단되어 작업자가 깔림</t>
  </si>
  <si>
    <t>2019년 3월경 OO 태양광발전소 시설 설치 공사 현장에서 태양광시설모듈 운반 업무를 담당하던 재해자가 지붕 위에서 이동 중, 바닥으로떨어짐(H≒5.6m)</t>
  </si>
  <si>
    <t>태양광시설모듈 운반업무를 담당한 근로자가 지붕 위에서 이동 중, 몸의 중심을 잃고 바닥으로 추락</t>
  </si>
  <si>
    <t>▶ 추락 위험이 있는 작업 시, 안전난간, 추락방호망, 안전대부착설비 등 추락방지조치 준수
▶ 작업 전 안전보호구(안전모, 안전화, 안전대) 지급 및 착용상태 관리</t>
  </si>
  <si>
    <t>2019년 3월경 OO 현장에서 재해자가 콜드박스(Cold Box) 구조체 야적장에서 공기구 정리작업 중 인접구간 부속자재 운반을 위해 이동 중이던 소형 화물자동차(1톤)와 충돌 후 화물자동차와 콜드박스 지지대(철골빔)에 몸이  협착</t>
  </si>
  <si>
    <t>화물자동차를 통한 설비폐자재 반출을 위한 차량 안내 작업 중 후진으로 주행하는 화물자동차와의 충돌</t>
  </si>
  <si>
    <t>▶ 차량충돌 위험이 있는 작업 시, 차량 주행로상의 작업자 작업 및 이동 통제, 유도자 배치 등의 안전방호조치 실시
▶ 차량작업 전 제동장치 및 조종장치의 기능점검 조치 실시</t>
  </si>
  <si>
    <t>2019년 4월경 OO에서 재해자가 기계식 주차장 전면 보수공사를 위해 주차장 리프트의 가이드레일을 절단하여 지상으로 권상하던 중 호이스트의 체인이 파단되면서 작업발판(지하 4층~5층 사이)으로 사용하던 주차 파렛트 위로 절단된 가이드레일이 떨어(H≒23m)지면서 철골과 파렛트가 함께 지하 바닥(7층)으로 추락(H≒13.5m)</t>
  </si>
  <si>
    <t>기계식 주차장 보수공사 현장에서 리프트 가이드레일을 절단 후 권상하던 중 호이스트 체인의 파단 및 가이드레일의 낙하와 함께 바닥으로 추락</t>
  </si>
  <si>
    <t>▶ 호이스트의 권과방지장치 설치유무 점검
▶ 파렛트를 작업발판으로 사용할 시, 추락방지용 안전난간대 설치
▶ 작업자의 개인보호구, 안전대 체결여부 점검 및 관리감독</t>
  </si>
  <si>
    <t>2019년 6월경 OO 태양광발전소 시스템 구축 현장에서 재해자가 공장 B동 지붕 NO.1~2BL 사이에서 태양광 모듈의 상태를 확인하고 자재가 적재되어 있는 장소로 이동 중 칼라강판 사이에 설치된 선라이트를 밟고 떨어짐(H=22.8m)</t>
  </si>
  <si>
    <t>2019년 7월경 OO 현장에서 재해자가 지상1층 중앙부에서 설비폐자재를 화물자동차로 반출하기 위해 차량 안내하면서 이동 중 후진으로 주행하는 화물자동차와 충돌</t>
  </si>
  <si>
    <t>2019년 8월경 OO공장에서 재해자가 신규설비 설치를 위한 공간을 확보하고자 기존에 설치된 오토포밍기 설비를 이전하기 위해 설비의 안전 방책 고정 볼트를 풀던 중 안전 방책과 같이 재해자가 넘어지며 바닥에 머리를 부딪힘</t>
  </si>
  <si>
    <t>신규설비 설치를 위한 공간을 확보하고자 기존에 설치된 오토포밍기 설비를 이전하기 위해 설비의 안전 방책 고정 볼트를 풀던 중 안전 방책과 같이 넘어지며 바닥에 머리를 부딪힘</t>
  </si>
  <si>
    <t>▶ 안전방책 볼트 풀기전 크레인등 줄걸이로 매단상태로 안전방책 볼트를 해체
▶ 전도방지를 위한 추가 버팀대를 설치 후 볼트를 해체</t>
  </si>
  <si>
    <t>2019년 10월경 OO 정비보수작업 시 펌프(380kg)를 섬유벨트를 사용하여 호이스트(2ton)로 인양하던 중 섬유벨트가 파단되면서 펌프가 낙하하여 맞음</t>
  </si>
  <si>
    <t>정비보수작업을 위한 펌프 인양작업 중 호이스트 섬유벨트 파단으로 인한 충돌</t>
  </si>
  <si>
    <t>▶ 인양작업 중 작업범위내 근로자 접근금지 조치
▶ 중량물 인양작업 전 줄걸이 상태 사전 점검
   - 슬링벨트 파손유무 확인, 와이어로프 파단여부 확인
   - 줄걸이 방법에 따른 인양하중 검토</t>
  </si>
  <si>
    <t>2020년 9월경 OO 스팀튜브 교체 공사장에서, 스팀튜브 제작 완료 후 적재되어 있던 스팀튜브 일부가 이탈·전도되면서 재해자가 깔림</t>
  </si>
  <si>
    <t>적재되어 있던 스팀튜브 일부가 이탈, 전도되면서 근로자 깔림</t>
  </si>
  <si>
    <t>▶ 적재물과 이격된 거리의 근로자 작업구역 설정을 통한 깔림방지조치 실시
▶ 근로자 작업구역 설정이 불가피한 경우, 중량물 적재작업 중 이탈, 구름 예방을 위한 구름멈춤대, 쐐기 등 설치를 통한 이탈, 구름 방지조치 실시</t>
  </si>
  <si>
    <t>2020년 11월경 OO 정화시설 설치공사 현장에서 정화조 매설을 위해 터파기 장소로 화물트럭 적재함에 정화조(FRP, 중량 약 1.2톤) 일부를 올려놓고 굴착기 후크에 한 줄로 매달아 운반하던 중 회전하는 정화조에 재해자가 진입로(소교량) 난간벽과 정화조 사이에 몸이 협착</t>
  </si>
  <si>
    <t>정화조 매설을 위해 굴착기 후크에 정화조를 매달아 운반하던 중 회전하는 정화조와 진입로(소교량) 난간벽 사이에 끼임</t>
  </si>
  <si>
    <t>2020년 12월경 OO 공장에서 재해자가 공장 2층에서 압출기 반출작업 준비 중 몸의 중심을 잃고 장비·자재 반출구*(이하 “반출구”)로부터 떨어짐(높이: 약6.8M)</t>
  </si>
  <si>
    <t>압출기 반출작업 준비 중 자재반출구로 추락</t>
  </si>
  <si>
    <t>2021년 1월경 OO 증축공사 현장에서 이동식 크레인으로 인양용 선반(이하‘선반’이라 함)에 적재된 공장 설비인 혼합기를 인양하여 공장 3층 바닥에 선반을 붙이고 흔들리지 않도록 로프 등으로 공장기둥(H-Beam) 등과 연결한 상태에서, 재해자가 선반에 올라 혼합기 고정용 섬유벨트 등을 해체하는 순간 수레에 얹혀진 혼합기의 갑작스러운 이동으로 인한 선반의 흔들림으로 로프가 풀림과 동시에 선반이 바닥에서 이탈하였고, 이로 인해 재해자는 몸의 중심을 잃고 약 13m 아래 콘크리트 바닥으로 떨어짐</t>
  </si>
  <si>
    <t xml:space="preserve">이동식 크레인으로 인양용 선반(이하‘선반’이라 함)에 적재된 공장 설비인 혼합기를 인양하여 공장 3층 바닥에 선반을 붙이고 흔들리지 않도록 로프 등으로 공장기둥(H-Beam) 등과 연결한 상태에서, 재해자 등 3명이 선반에 올라 혼합기 고정용 섬유벨트 등을 해체하는 순간 수레에 얹혀진 혼합기의 갑작스러운 이동으로 인한 선반의 흔들림으로 로프가 풀림과 동시에 선반이 바닥에서 이탈하였고, 이로 인해 재해자는 몸의 중심을 잃고 아래 콘크리트 바닥으로 추락 </t>
  </si>
  <si>
    <t>▶ 탑승설비가 아닌 곳에 작업자를 임의로 탑승시키는 등의 행위 금지
▶ 추락 위험이 있는 작업 시 고소작업대 또는 이동식비계를 이용하여 작업실시
▶ 작업 전 개인보호구(안전모, 안전대) 지급 및 착용상태 관리</t>
  </si>
  <si>
    <t>2021년 9월경 OO 본선환기 양방향 전기집진기 설치현장에서 재해자 가 전기집진기 자재(방화문) 반입을 위하여 환기구 상부 철재 그레이팅을 여는중 그레이팅과 함께 환기구 하부로 떨어짐(H≒9.5m)</t>
  </si>
  <si>
    <t>전기집진기 자재(방화문) 반입을 위하여 환기구 상부 철재 그레이팅을 여는 도중 그레이팅과 함께 환기구 하부로 추락</t>
  </si>
  <si>
    <t>2021년 9월경 OO 이전공사(설비) 공사현장에서 재해자가 해당 빌딩 지상 2층 외측 발코니에서 설비자재를 반입하던 중, 밟고 있던 발코니 하부 합판이 파손되면서 높이 약 4.5m 아래 지상1층 바닥으로 추락</t>
  </si>
  <si>
    <t>2021년 10월경 OO 전기설비 유지보수 공사 현장에서 재해자가 사업장내 수전설비의 변압기 오일 교체작업을 하던 중 공장지붕을 이동하다, 공장 지붕(채광창)이 파손되면서 높이 약 8.6m 아래 공장바닥으로 추락</t>
  </si>
  <si>
    <t>수전설비의 변압기 오일 교체작업을 하던 중 공장지붕을 이동하다, 공장 지붕(채광창)이 파손되면서 공장바닥으로 추락</t>
  </si>
  <si>
    <t>▶ 추락할 위험이 있는 작업 시, 추락방호망, 안전난간대, 안전대 부착설비 등의 안전방호조치 실시
▶ 선라이트 등에서 발이 빠지는 등 위험우려가 있는 경우 폭 30cm 이상의 발판 설치 실시</t>
  </si>
  <si>
    <t>5.2.2 기계설비 설치</t>
  </si>
  <si>
    <t>2014년 11월</t>
  </si>
  <si>
    <t>2014년 11월경 OO동 OOOO 업무시설 신축공사현장에서 재해자가 냉난방배관의 물을 빼기 위해 이동식사다리에 올라가던중 몸의 중심을 잃고 1.8m아래로 추락</t>
  </si>
  <si>
    <t>A형 사다리 위에서 배관 연결작업 중 몸의 균형을 잃고 바닥으로 추락</t>
  </si>
  <si>
    <t>▶ 추락할 위험이 있는 작업 시, 추락방호망, 안전난간대, 안전대 부착설비 설치 등의 안전방호조치 실시
▶ 작업자의 개인보호구, 안전대 체결여부 점검 및 관리감독</t>
  </si>
  <si>
    <t>2015년 4월경 OOO도 OO군 OO면 소재 OOOO 살수기 설치공사 현장에서 OOOO 소속 설비 설치공이 OOOO 살수기 설치작업을 진행하던 중 이동식 BT비계 작업발판 단부에서 높이 1.8m 아래 콘크리트 바닥으로 떨어져 부상한 재해임.</t>
  </si>
  <si>
    <t>이동식 비계 위에서 설비 작업 중 몸의 중심을 잃고 추락</t>
  </si>
  <si>
    <t>▶ 이동식틀비계 등 고소작업 시 추락방지를 위한 안전난간 설치를 통한 추락방지조치 실시
▶ 이동식틀비계 작업 시 균형을 무너뜨릴만한 부산물(스티로품 조각) 위에서 작업금지조치 준수</t>
  </si>
  <si>
    <t>2015년 8월경</t>
  </si>
  <si>
    <t>2015년 8월경 OOOO(주)에서 시공한 OO시 OO구 OO동 소재, OOOO 신축 공사 중 소방공사 현장에서, 재해자 OOO은 실험동 지하 1층에서 혼자 A형 사다리에 올라가, 지하 1층 스프링클러에 용수를 공급하는 소방배관을 천장에 매달기 위해 행거를 설치하던 중, 바닥으로 떨어져(H≒1.4m), 이튿날 새벽 병원으로 후송, 치료 중 사망함.</t>
  </si>
  <si>
    <t>2015년 12월경 OO신축공사 현장에서 재해자가 고소작업대에 탑승하여 소방 배관의 용접부 도장작업 중 과상승으로 인한 끼임</t>
  </si>
  <si>
    <t>고소작업대에 탑승하여 배관설비 작업을 위하여 상승하던 중 협착</t>
  </si>
  <si>
    <t>▶ 고소작업대 작업 시 상부의 장애물(파이프 등)로부터 과상승방지장치의 유효높이를 확보할 수 있도록 과상승방지장치를 설치하여 협착, 충돌 등 안전예방조치 실시
▶ 현장여건에 적합하고 유효한 방식의 과상승방지장치 설치 준수 철저</t>
  </si>
  <si>
    <t>2015년 12월경 OOO도 OO군 OO면 소재 OOOO 축사 태양광 발전 신축공사 현장에서 재해자가 철골 구조물(Beam)과 태양광 모듈을 조립하기 위해 축사 지붕위에서 이동 중 지붕 강판이 파단되어 약 5.9m 바닥으로 떨어져 사망한 재해임</t>
  </si>
  <si>
    <t>공장 지붕 상부 태양광 시설 설치 작업 중 지붕 판넬 파손으로 추락</t>
  </si>
  <si>
    <t>▶ 옥상지붕을 통한 이동금지조치 실시
▶ 옥상지붕 이동이 불가피한 경우, 안전난간, 추락방호망, 안전대 부착설비를 통한 추락방지조치 실시</t>
  </si>
  <si>
    <t>2016년 2월경, OOO도 OO군 소재 ㈜OOOOO에서 지게차[5톤]  운전자 OOOO이 맥주피처를 싣고 제품 포장동에서 출하장으로 운전 중 “OOOO 개조공사”를 위해 출하장으로 출근하던 OOOO소속 재해자(OOO)를 발견하지 못하고 지게차로 재해자를 충격, 재해자가 앞으로 넘어지고 그 머리 위로 지게차 우측 바퀴가 깔고 지나면서 재해자가 현장에서 사망한 재해임.</t>
  </si>
  <si>
    <t>사업장내 교육장소로 이동중이던 근로자가 맥주를 적재 한 상태로 운반중이던 지게차와 충돌, 깔림</t>
  </si>
  <si>
    <t>▶ 지게차를 사용한 작업 시, 지정된 제한속도(10km/h) 준수
    - 하역물 운반시 급선회 금지, 경사로 이동시 제한속도 준수
▶ 지게자 작업반경 내 근로자 접근금지 조치 및 신호수 배치
▶ 지게차 운전자의 시야확보 (시야가 방해될정도로 하역물을 높이 쌓아 이동 금지)
▶ 지게차 안전장치 설치상태 및 기능점검 실시
    - 전조등, 후미등, 후사경, 후방카메라, 경보음
▶ 보행자 통로를 구획하여 표시</t>
  </si>
  <si>
    <t>2016년 4월경 OO도 OO시 소재 ㈜OOOOOOO 신축공장에서 OOOO 소속 재해자 OOO이 30톤 천장크레인 상부에서 주행 레일을 H-Beam에 고정시키는 작업(클램프를 볼트와 너트로 체결)을 실시하던 중 H-Beam 상부에서 중심을 잃고 약 10m 공장동 바닥 아래로 떨어져 인근병원으로 후송하였으나 사망한 재해임</t>
  </si>
  <si>
    <t>천장크레인 상부에서 주행 레일을 H-Beam에 고정시키는 작업 중 H-Beam 상부에서 몸의 중심을 잃고 추락</t>
  </si>
  <si>
    <t>▶ 사다리 통로 이외의 다른 이동방법을 통한 통행 금지 및 관련한 안전교욱실시
▶ 작업장 내외부로 통하는 구간에 통로표시
▶ 근로자의 불안전한 행동에 대해 관리감독 실시</t>
  </si>
  <si>
    <t>2016년 4월경 OO시 OO군 소재 OO면 소재 ㈜OOOOOO / OOO 설치공사 현장에서 철탑조립공인 재해자2명이 OOO의 삼각단면 철제 트러스 (전체 27개중 25개 기설치 완료)조립작업 도중 OOO의 지선(Guy Wire)기초부위 연결부가 탈락되면서 철제트러스 조립작업중이던 재해자 2명과 함께 풍황탑이 넘어져 사망한 재해임</t>
  </si>
  <si>
    <t>풍황탑의 삼각단면 철제 트러스 조립작업 도중 풍황탑의 지선 기초부위 연결부가 탈락되면서 근로자와 함께 풍황탑이 넘어짐</t>
  </si>
  <si>
    <t>▶ 풍화탑의 기초 연결부 조립 기준 준수
   - 설계도면에 따라 조립기준 준수 (가조립시 시방서에 따라 실시)
   - 풍화탑의 자립도를 사전 검토 후 필요시 추가 보강조치</t>
  </si>
  <si>
    <t>2016년 5월경 OO도로 건설공사 현장에서 재해자가 OO교 OO방향 P6~P7 배수관 설치작업을 위해 차량탑재형 고소작업대(일명:스카이)의 탑승함을 타고 P6~P7의 중간지점으로 붐대를 인출하여 십자배수관을 설치하려던 순간 붐대 2단부위가 꺾이면서 재해자가 탑승함과 함께 높이 26m 아래 지면으로 떨어짐</t>
  </si>
  <si>
    <t>고소작업대(차량탑재형)의 작업대에 작업자가 탑승하여 교량배수관 설치작업 중 붐대가 꺽이면서 바닥으로 추락</t>
  </si>
  <si>
    <t>2016년 5월경 재해자가 말비계(높이 : 0.95m)에서 객실 화장실 상부 환기배관(flexible, 높이 : 2.4m))연결작업을  완료한 후, 불명의 원인에 의하여 말비계에서 떨어지며(추정)두부손상을 입어, 병원으로 후송되어 치료 중 사망한 재해임</t>
  </si>
  <si>
    <t>2016년 5월경, OOO도 OO면 소재 (주)OOOOOO OOO 물류공사현장의 5층 내부에서 반입되어 눕혀있는 Shelf(W900*L2600*H5600,390KG)를 지게차의 포크에 걸쳐놓은 후 포크를 상승시키면서 Shelf를 세우던 중 상승하던 포크에 의해 발생한 관성에 의해 Shelf가 반대편으로 넘어가 반대편에서 Shelf의 하부를 지지하고 있던 재해자 2명이 넘어오는 Shelf와 바닥사이에 끼이면서 부상을 당한 재해임.</t>
  </si>
  <si>
    <t>지게차를 통한 Shelf 운반작업 중 이탈방지 미조치에 의한 Shelf 전복 및 근로자 깔림</t>
  </si>
  <si>
    <t>2016년 5월경 OOOOO(주) OO공장의 OO 제조공정 Chamber 내에서 대정비 준비작업을 위해 공무팀 1명, 생산팀 1명과 협력업체 작업자 2명이 송기마스크(전면형)를 착용하고 포스겐 벤트 배관에 설치된 맹판(Spectacle Blind) 교체작업(close→open 위치 변경)을 실시하던 중 작업대상 배관내부의 가압된 포스겐 가스가 플랜지 사이로 누출되어 협력업체 직원 1명이 가스에 중독, 사망한 사고임</t>
  </si>
  <si>
    <t>포스겐 벤트 배관에 설치된 맹판 교체작업을 실시하던 중 작업대상 배관내부의 가압된 포스겐 가스가 플랜지 사이로 누출되어 가스에 중독</t>
  </si>
  <si>
    <t>▶ 탱크연결부 등 해체시 탱크를 개방하여 잔류물질을 사전에 제거
▶ 작업 시작전 잔류물질 측정 (가스농도 측정 등) 
    - 측정시 개인보호구 착용(보호복, 장화 등)
▶ 탱크내 취급한 유해위험물질에 대한 교육 실시
    - MSDS교육 및 물질자료 현장 배치
▶ 유해위험물질 대상 탱크 해체 등 작업시 개인보호구 착용
▶ 작업구간 유해가스가 체류되지 않도록 환기조치 실시 (상시가동)</t>
  </si>
  <si>
    <t>2016년 6월경 OO시 소재㈜OOOO에서 시공하는 오피스텔신축공사 중 소방설비공사 현장에서 ㈜OOOO 소속 배관공인 재해자가 주차타워내부 배관설비작업 중 운반기(횡행구동)가상승하면서하강하는균형추와철골Girder사이에 끼여 사망한 재해임._x000D_</t>
  </si>
  <si>
    <t>주차타워 내부 배관설비 작업 중 운반기 작동에 의한 균형추와 협착</t>
  </si>
  <si>
    <t>▶ 작업 시 운반기 등 운전정지 조치 준수
   - 주차타워 내부에 근로자 투입시 작동금지
   - 임의작동 금지를 위해 작동부에 관리인 등 배치</t>
  </si>
  <si>
    <t>2016년 6월경 OO시 OO군 OO읍 소재 OOOO 공장내 OO2팀(OO 3계열) 황산 제조공정에서 보수 작업준비를 위하여 공정운전을 정지하고, ㈜OOOOO OOO 등 2명이 최종 흡수탑의 순환배관(600A)에 설치된 맹판(300A)을 개방하는 순간, 흡수탑과 배관내부에 체류되어 있던 황산(약 98 wt%)이 쏟아지면서(약 39,000리터) 맹판 개방 작업자 2명과 주변에서 작업하던 근로자를 포함 5명[㈜OOOOO]이 화상을 입게된 사고임</t>
  </si>
  <si>
    <t>황산 제조공정에서 보수 작업준비를 위하여 공정운전을 정지하고 흡수탑의 순환배관에 설치된 맹판을 개방하는 순간, 흡수탑과 배관내부에 체류되어 있던 황산(약 98 wt%)이 쏟아지면서 화상을 입음</t>
  </si>
  <si>
    <t>2016년 7월경, OO시 OO구 소재 ㈜OOOOO에서 시공하는 O호선 연장OOO공구 기계설비공사 현장에서 재해자가 지하1층 대합실 천정 설비 보온 마감작업 위하여  A형 사다리에 올라가 작업 하던 중 몸의 중심을 잃고 바닥(H≒3.1m)으로 떨어져 병원으로 후송 치료 중 사망한 재해임.</t>
  </si>
  <si>
    <t>A형 사다리 위에서 배관 보온작업 중 몸의 균형을 잃고 바닥으로 추락</t>
  </si>
  <si>
    <t>2016년 7월경 OO시 OO군 OO읍 소재 OOOO 배관 교체공사 현장에서 재해자 OOO이 기존 냉각수 배관철거 작업을 하기 위하여, 배관 연결 플랜지 볼트 해체작업을 하던 중, 몸의 중심을 잃고 지상으로 추락(H≒4m)하여 사망한 재해임.</t>
  </si>
  <si>
    <t>TSC공정 냉각수 배관 교체를 위해 볼트 해체작업 중 배관이 아래로 처지면서 몸의 중심을 잃고 바닥으로 추락</t>
  </si>
  <si>
    <t>▶ 추락의 위험이 있는 작업 시 비계 조립 등에 의한 작업발판 설치 후 작업실시
▶ 추락하거나 넘어질 위험이 있는 작업 시 안전대 부착설비 설치를 통한 추락방지조치 준수</t>
  </si>
  <si>
    <t>2016년 7월경 OO빌딩 신축공사 현장에서 재해자가 점심식사 이후 보이지 않아 동료 근로자가 찾던 중 지하 기계식주차시설피트(높이 2.5m)에 바닥에 머리에 피를 흘리고 있는 것을 발견하였으나 사망</t>
  </si>
  <si>
    <t>▶ 엘리베이트 승강로 피트 등 추락 위험구간에서 근로자 작업 시 안전블럭 등을 설치하여 안전대 체결상태로 작업 실시</t>
  </si>
  <si>
    <t>2016년 7월경 OO건설 근생 및 오피스텔 신축공사 현장에서 재해자가 지하 4층 기계식 주차장 내 이동식 비계 3단 상부에서 천장 소화배관 용접작업을 마치고 바닥으로 내려가려고 하던 중 몸의 균형을 잃고 높이 5.2m 아래 콘크리트 바닥으로 추락하여 사망</t>
  </si>
  <si>
    <t>천장 소화배관 용접작업 완료 후 하강 중 이동식비계 탈락에 의한 근로자 추락</t>
  </si>
  <si>
    <t>▶ 이동식비계 안전난간대 설치 준수
▶ 작업 전 개인보호구 지급 및 착용상태 관리</t>
  </si>
  <si>
    <t>2016년 8월경 OOOO(주) OOOO공장 대수선공사 현장에서 엘리베이터 내부에 컨베이어 설비를 설치하기 위해 재해자와 동료작업자가 1~2층 엘리베이터 내부 벽체에 인테리어용 우레탄 판넬을 설치하는 과정에서 재해자가 판넬 접합부의 실리콘 코킹작업을 하던 중 엘리베이터 피트 바닥으로 떨어져 요양 중 사망한 재해임.</t>
  </si>
  <si>
    <t>E/V 내부의 벽체 판넬 접합부의 코킹작업을 하던 중 개구부를 통해 E/V PIT로 추락</t>
  </si>
  <si>
    <t>▶ 추락할 위험이 있는 개구부 근처에서 작업 시, 작업발판의 밀실한 설치, 안전난간 설치 등 개구부 방호조치 실시
▶ 작업자의 개인보호구, 안전대 체결여부 점검 및 관리감독</t>
  </si>
  <si>
    <t xml:space="preserve">2016년 8월경 OOOOO건물보수공사 현장에서 재해자가 건물외벽에 환풍기 후드캡을 설치하기 위하여 (옥상층 수직 파라펫에 고정거치대로 고정한)달비계를 타고 내려가던 중거치대가 이탈되면서 높이25m 아래 바닥으로 떨어져 사망한 재해임. </t>
  </si>
  <si>
    <t>달비계를 타고 외벽 환풍기후드캡 설치 작업 중 로프를 고정한 청소용고리가 이탈되며 추락</t>
  </si>
  <si>
    <t>▶ 작업 전 달비계의 상태(마모, 파단 등) 및 기능점검 준수
▶ 작업 전 개인보호구 지급 및 착용상태 관리</t>
  </si>
  <si>
    <t>2016년 9월경 OO도 OO시 OO동 소재 OOOO(주)가 공사하는 OOOO 근린생활시설 신축공사현장 지하 1층 작업장에서 근로자 3명이 스프링클러 배관작업을 하기 위해 강관파이프와 연결자재를 신너가 1/4정도 채워진 통에 집어넣고 흔들어 나사부위를 세척한 후 주변에 적재하던 중, 신너통과 신너가 스며든 나사산 주위에서 발생된 유증기가 주변에서 작업하던 고속절단기에서 날아온 불티(점화원으로 추정)에 의해 점화되어 화재가 발생하였고, 소화기를 사용한 초기 진화가 실패하자 지하 1층 천장에 설치된 110mm 경질폴리우레탄보드로 화염이 전파되어 연소하는 과정에서 발생된 유독가스(시안화수소, 염화수소, 일산화탄소 등)와 화염에 의하여 지하 1층 근로자 2명이 사망하고 1명이 중상을 입었으며, 지하 2층에서 작업하고 있던 닥트 작업자 3명이 화재를 인지하고 대피하다가 유독가스에 중독되어 2명이 사망하고 1명이 중상을 입는 등, 총 4명이 사망하고 2명이 중상을 입은 사고로 추정됨.</t>
  </si>
  <si>
    <t>신너통과 신너가 스며든 자재 주위에서 발생된 유증기가 주변에서 작업하던 고속절단기에서 날아온 불티에 의해 점화되어 화재 및 유독가스 발생</t>
  </si>
  <si>
    <t>▶ 가스용접,용단 등의 작업에 대한 폭발,화재 예방조치 준수
▶ 신나, LP가스 등 위험물 보관 규정 준수
▶ 지하작업장 통풍,환기조치 실시</t>
  </si>
  <si>
    <t xml:space="preserve">2016년 9월경 OOOOOOO(주) OO시험장에서 ㈜OOOO 소속 재해자가 펌프설치 작업 중 펌프하부가 간섭되어 펌프받침대를 산소절단기를 이용하여 절단하던 중 화재가 발생하여 화상을 입고 치료도중 사망한 재해임. </t>
  </si>
  <si>
    <t>펌프설치 작업 중 산소절단기를 이용한 펌프받침대 절단에 의한 화재발생</t>
  </si>
  <si>
    <t>▶ 탱크연결부 등 해체시 탱크를 개방하여 잔류물질을 사전에 제거
▶ 작업 시작전 잔류물질 측정 (가스농도 측정 등) 
    - 측정시 개인보호구 착용(보호복, 장화 등)
▶ 탱크내 취급한 유해위험물질에 대한 교육 실시
    - MSDS교육 및 물질자료 현장 배치
▶ 유해위험물질 대상 탱크 해체 등 작업시 개인보호구 착용
▶ 작업구간 유해가스가 체류되지 않도록 환기조치 실시 (상시가동)
▶ 용접 및 절단 작업시 불티비산 방지 조치 실시</t>
  </si>
  <si>
    <t>2016년 11월경 OOO도 OO시 OO구 소재, ㈜OOO 소속 재해자 OOO 등 6명의 근로자가 SRF(고형연료) 소각로 이상으로 스팀생산을 중단한 후 재 배출 슈트(Chute)에 설치된 점검구를 개방한 상태에서 점검 작업을 하던 중 점검구에서 분출된 용융고형물 및 화염에 휩싸여 1명 사망, 5명 화상을 입은 재해임</t>
  </si>
  <si>
    <t>SRF(고형연료) 소각로 이상으로 스팀생산을 중단한 후 재 배출 슈트(Chute)에 설치된 점검구를 개방한 상태에서 점검 작업을 하던 중 점검구에서 분출된 용융고형물 및 화염에 휩싸임</t>
  </si>
  <si>
    <t>▶ 소각로를 점검 시 갑작스런 폭발 등에 상황에 대비하기 위해 열과 화염을 차단하는 개인보호구 지급 및 착용여부 관리감독
▶ 사전에 작업현장 내에 위험성 평가를 실시하여 폭발사고 발생위험 예방</t>
  </si>
  <si>
    <t>2016년 11월경 OO공장 내부에서 재해자가 이동식 고소작업대을 이용하여 크레인 레일을 H-beam에 후크볼트로 체결하는 작업을 하는 과정에서 4m높이의 콘크리트 바닥으로 떨어짐</t>
  </si>
  <si>
    <t>고소작업대(시저형) 탑숭 후 등기구 및 설비배관 설치, 철골조립 작업 중 작업자가 몸의 중심을 잃고 지상바닥으로 추락함</t>
  </si>
  <si>
    <t>▶ 고소작업대 탑승자 안전대 체결
▶ 작업자의 불안전한 행동 금지 (안전난간대 상부를 밟고 작업하는 등)</t>
  </si>
  <si>
    <t>2016년 11월경 OO시 OO면 OO리 소재 OOOOOO(주) OOO동 지상 5층 달비계 상부에서 Air 이송용 SUS배관(700mm) TIG(Tungsten Inert Gas welding) 용접 완료 후 가스 누출 방지패드(Purge cap)를 제거하기 위해 배관 내부로 진입한 재해자가 배관내부에 잔류해 있던 아르곤가스에 질식된 후 동료 작업자에 의해 구출되고 심폐소생술 등 응급조치 후 병원으로 후송되어 치료를 받던 중 사망한 재해임</t>
  </si>
  <si>
    <t>배관내부에 잔류해 있던 아르곤가스에 질식</t>
  </si>
  <si>
    <t>2016년 11월경 OOO도 OO시 (주)OOOO 공장 소재 『OOOO점검』현장에서,냉연정압기실내 중간밸브에서 LNG 누출이 의심되어 GEAR BOX 해체 중 폭발음과 함께 건물외벽인 판넬에 구멍이 생기면서 LNG가 누출되자, 메인밸브 차단을 위해 가스배관공이 냉연정압기실 지붕(H≒3.2m)으로 올라가서 수직배관에 돌출된 부위에 발을 딛고 손으로 잡고 매달려 메인밸브(H≒6.0m)를 돌리던 중 동료작업자와 작업교대를 하고 경사지붕으로 내려와 서서 동료작업자의 작업상황을 지켜보던 중, 몸의 중심을 잃고 건물 아래 잔디바닥(H≒3.2m)에 떨어져 사망한 재해임.</t>
  </si>
  <si>
    <t>밸브에서 가스 누출이 의심되어 GEAR BOX 해체 중 폭발음과 함께 건물외벽인 판넬에 구멍이 생기면서 LNG가 누출되자, 메인밸브 차단을 위해 배관공이 지붕으로 올라가서 밸브를 돌리던 중 경사지붕에서 추락</t>
  </si>
  <si>
    <t>2017년 1월경 OO도 OO시 OO동 소재 OOOO(주)에서 시공하는 OO빌딩 주차타워 리모델링공사 현장에서 협력업체인 OOOOO(주) 소속 재해자가 주차타워 내부 지하바닥에서 높이 2.45m 위에 위치한 리프트로 이동하기 위해 팔레트(약 531kg)를 잡고 팔레트 위로 올라가던 중, 팔레트가 재해자 쪽으로 이탈되어 팔레트에 충격을 받고 깔려 사망한 재해임.</t>
  </si>
  <si>
    <t>주차타워 내부 팔레트를 잡고 상부로 이동하려던 중 이탈된 팔레트와 함께 추락 및 깔림</t>
  </si>
  <si>
    <t>2017년 1월경 OOO도 OO군 소재 OOOOOO 태양광시설 설치공사 현장에서 재해자가 태양광 모듈을 설치하기 위해 파형 강판으로 된 차양대 위에 올라가 핸드그라인더를 사용하여 차양대를 절단하고, 사다리를 사용하여 내려오던 중 사다리가 접히면서 미끄러지며 바닥으로 떨어져(H=5m) 사망함.</t>
  </si>
  <si>
    <t>태양광 모듈 설치 작업 중 사다리를 통해 내려오던 중 사다리가 접히면서 미끄러지며 바닥으로 추락</t>
  </si>
  <si>
    <t>2017년 2월경 OO 물류센터 내 보관설비 설치공사 현장에서 재해자가 고소작업대에 탑승하여 안전난간대를 딛고 팔레트 랙의 서포트를 고정하는 작업 중, 몸의 중심을 잃고 작업대 내부로 떨어져 조작박스에 안면부를 맞음</t>
  </si>
  <si>
    <t>2017년 2월경 OOO도 OO시 OO읍 소재 OOOO(주) 내에서 협력업체인 OOOOOO 소속 재해자(OOO)가 장비 분리작업 중 넘어지는 반도체 장비(AVI)에 깔려 병원으로 후송하였으나 사망한 재해임</t>
  </si>
  <si>
    <t>장비 분리작업 중 넘어지는 반도체 장비에 깔림</t>
  </si>
  <si>
    <t>▶ 장비 해체작업시 해체작업 계획서 작성
   - 해체 구조물에 대한 정보 확인 (도면, 구조검토서 등)
   - 설비의 해체순서 및 해체방법
   - 해체시 전도방지 조치 및 보강조치 수립</t>
  </si>
  <si>
    <t>2017년 3월경 OO시 OO구 OO동 소재 ㈜OOOO OOOO도서관 본관 노후설비 교체공사 현장의 지상 6층 공조실 외측 덕트구간 개구부 주변에서 재해자가 설비배관작업용 발판을 설치하기 위해 거치대를 운반하던 중 개구부로 실족하여 지상 2층 바닥으로 추락(H≒19.35m) 사망한 재해임.</t>
  </si>
  <si>
    <t>덕트 입상(또는 보온) 작업 중 개구부로 추락</t>
  </si>
  <si>
    <t>▶ 개구부 등 추락위험 구간에 덮개, 안전난간 등 추락방지조치 준수
▶ 작업발판, 안전대 부착설비 설치를 통한 추락방지조치 준수
▶ 위험 노출 최소화 작업순서 이행</t>
  </si>
  <si>
    <t>2017년 3월경 오피스텔 신축공사 현장에서 재해자가 지상 4층 주차장 내부 천장 급수배관 누수부위 점검 중 이동식 비계의 상부구간(2단~3단)이 전도되면서 콘크리트 바닥으로 추락(H≒6.0m)하여 사망</t>
  </si>
  <si>
    <t>이동식비계 위에서 작업 중 이동식 비계의 전도에 의한 근로자 추락</t>
  </si>
  <si>
    <t>▶ 이동식 비계 설치 시 아웃트리거 및 대각재 설치를 통한 전도방지조치 준수
▶ 작업 전 작업방법에 대한 위험성평가 실시</t>
  </si>
  <si>
    <t>2017년 3월경 OOO도 OO군 OO면 소재의 OOO 건물 내에서 주식회사 OO 소속 재해자가 천장 크레인 이설을 위해 크레인의 주행로와 주행로 사이에 설치된 통로 바닥재인 익스팬디드 메탈(expanded metal)을 산소절단기를 이용하여 해체하던 중 바닥재와 함께 높이 약 16m 아래의 바닥으로 떨어져 사망한 사고임</t>
  </si>
  <si>
    <t>조선소 내 통로 바닥재(스틸그레이팅) 산소절단 중 바닥재와 함께 추락</t>
  </si>
  <si>
    <t>▶ 추락 위험이 있는 장소에서 작업 시, 안전난간대, 추락방호망 등 추락방지조치 준수
▶ 발을 이용한 출입문 개방행위 금지 실시
▶ 작업 전 근로자의 음주여부를 확인하고 음주를 하였을 시 작업에서 배제할 것</t>
  </si>
  <si>
    <t xml:space="preserve"> 2017년 4월</t>
  </si>
  <si>
    <t xml:space="preserve"> 2017년 4월경 OO시 OO읍 소재 OO(주) OO시 OOOO센터 설치 현장의 설비동 지하 2층 전처리실에서 재해자가 분리막 전처리장치의 초미세목 스크린(1.5t)을 설치하려던 중 호이스트의 훅에 걸었던 보조 달기구인 체인이 훅으로부터 이탈하여 매달려있던 초미세목 스크린이 낙하하여 재해자가 맞아 사망함. </t>
  </si>
  <si>
    <t>보조 달기구인 체인이 훅으로부터 이탈하여 낙하하는 초미세목 스크린과 근로자가 충돌</t>
  </si>
  <si>
    <t>▶ 훅 걸이용 달기체인 이탈방지를 위해 해지장치 구비 
▶ 인양작업 시 엔드리스(endless)가 아닌 훅 등을 달기체인 양단에 사용</t>
  </si>
  <si>
    <t>2017년 4월경 OO시 OO읍 OO리 소재 OOOOO(주)에서 시공하는 OOOO 이전 설치공사 현장에서 협력업체 소속 재해자가 소방 배관(스프링 쿨러) 설치 및 용접 작업을 위해 중층 2층의 바닥 정리 작업 중, 후면 개구부(컨베이어 설치 예정, 1.3mx4.0m)에서 1층 바닥으로 추락(H=4.5m)하여 사망한 것으로 추정되는 재해임.</t>
  </si>
  <si>
    <t>2017년 4월경 OOOO이 시공하는 OO시 OO군 OO읍 소재 OO공사 현장에서 협력업체 OOOO(주)의 재하도급업체인 OOOO 소속 작업자들이 부지내 Vessel (높이 104.4m, 2090톤) 설치를 위한 Tower Mast  system(일명 : Tower Lift System)을 조립하는 과정에서 Tower Mast System의 수직도를 조정하기 위하여 G1, G4 Stability Guys를 유압장치로 당기던 중 Tower Mast System의 Tower "A"상단의 Capping Beam과 Side Beam 연결부가 파단 되었고, Tower “A”는 남쪽으로 넘어지면서 기존 배관라인을 강타하여 화재(Jet Fire)가 발생하였고, Tower “B”는 인접한 휴게실을 강타하여 휴식 중이던 재해자 1명이 사망하고 4명이 부상한 재해임.</t>
  </si>
  <si>
    <t>타워 리프트 시스템 조립작업 중 타워 상단의 빔 연결부 파단에 의한 전도 및 휴게실 붕괴</t>
  </si>
  <si>
    <t>▶ 설치작업 구간에 작업구역 설정 및 근로자 출입제한
▶ 시설물 붕괴, 전도 등의 위험 방지조치 준수</t>
  </si>
  <si>
    <t>2017년 4월경 OO시 OO구 OO동 소재 근린생활시설 신축공사 현장에서 협력업체 소속 재해자가 지하 2층 주차설비 설치작업을 위하여 격납고 3단 카트 인근에 위치한 격납레일에 앉아 카트 하부의 가이드롤러 설치작업 중 몸의 중심을 잃고 바닥으로 떨어져 병원으로 후송하였으나, 치료도중 사망한 재해임.(H≒4.5m)</t>
  </si>
  <si>
    <t>평행왕복식 주차설비 설치작업을 위해 지하 2층 격납레일에 앉아 카드 하부 가이드롤러를 설치하던 중 몸의 중심을 잃고 바닥으로 추락</t>
  </si>
  <si>
    <t>▶ 격납고 및 카트레일 가이드롤러 설치 작업 시, 사다리를 통해 레일 위로 올라가 작업하는 행위를 금지하고 이동식비계를 설치하여 작업하도록 조치
▶ 격납고 및 카트레일 가이드롤러 설치 작업 시, 이동식비계의 설치가 어려운 경우, 별도의 안전대 부착설비를 설치하거나 안전방망 설치 등 추락방지조치를 실시</t>
  </si>
  <si>
    <t xml:space="preserve">2017년 5월경, OOOO OOO 신축공사현장에서 지상 1층 천장 배관 작업을 마치고 사다리를 이용하여 내려오던 중 몸의 중심을 잃고 콘크리트 바닥(H≒70cm)으로 넘어져 사망한 재해임 </t>
  </si>
  <si>
    <t>2017년 5월경, OO도 OO시 OO구 OO동 소재 OOOOO(주) OOOO 신축공사 현장에서 재해자가 플렉시블 덕트 연결작업 중 비계 작업발판 사이 개구부로 추락(H≒4.5m)하여 병원으로 후송되어 치료 중 사망함</t>
  </si>
  <si>
    <t>비계에서 플렉시블 덕트 연결작업 중 작업발판 사이 개구부로 추락</t>
  </si>
  <si>
    <t>2017년 6월경 OO 복합시설 신축공사 현장에서 재해자가 고소작업대 상부에서 오배수 통기관 설치·확인 작업 중 떨어짐(H≒2.4m)</t>
  </si>
  <si>
    <t>2017년 6월경 OO시 소재 빌딩신축 현장에서 재해자가 A동 3층 P.S실에서 용접작업 준비 중 강도가 부족한 함석덮개를 밟는순간 A/D개구부를 (700*1000) 통과하여 10m아래 1층 바닥으로 떨어져 사망한 재해임.※ P.S실(Pipe Shaft실) : 전기,설비,배기 등 배관이 위치한 공동구</t>
  </si>
  <si>
    <t>빌딩 PS실에서 용접작업 중 덕트 개구부 상부에 덮여있는 함석덮개를 밟는 순간 덮개가 파손되면서 개구부로 추락</t>
  </si>
  <si>
    <t>2017년 6월경 OO시 OO구 OO동 OOOO 전열교환기 설치 공사현장, Tank#6 1층 주 출입구 우측 썬큰 내부에서 OOOOOO 소속 재해자가 이동식 틀비계 3단 위 스티로폼 조각 2장을 깔고 그 위에서 공기순환기 외부 후드캡 설치를 하던 중 몸의 중심을 잃고 추락 (H≒5.3m), 인근 병원으로 이송 후  3개월 이상 요양한 재해임.</t>
  </si>
  <si>
    <t>2017년 7월경 OO시 OO구 OOO소재 OOOO 내 기계식 주차설비 팔레트 상부에서 하청업체 대표와 근로자 2명이 노후된 주차용 리프트 가이드 레일 교체작업 중 주차 팔레트가 가이드 레일에서 이탈되면서, 팔레트 위에서 작업 중이던 작업자 3명이 주차 팔레트와 함께 6.6m 아래 지하2층 주차장 바닥으로 추락하여 1명은 사망, 2명은 팔·다리 등에 골절상을 입은 재해임</t>
  </si>
  <si>
    <t>기계식 주차설비 가이드 레일 교체작업 중 주차 팔레트가 가이드 레일에서 이탈되면서 추락</t>
  </si>
  <si>
    <t>2017년 7월경 OOO도 OO군 OO면 소재 OOOO의 돈사순환시스템 변경공사 현장에서 시스템 구성설비 중 사이클론(침강조) 하부 지지대를 약1m 높이는 작업을 완료한 후, 재해자가 사이클론(침강조) 상판을 건축물 기둥에 지지하고자 브라켓(ㄷ형강)을 덧대어 용접하다가 용접불티가 사이클론(침강조) 내부로 유입되어 분뇨에 의해 발생되어 체류중이던 가스(메탄)가 폭발하면서 사이클론 상판과 함께 비래하여 지상으로 떨어져 사망한 재해임</t>
  </si>
  <si>
    <t>돈사순환시스템 설비 용접작업 중 용접불티가 침전조로 유입되어 분뇨 가스(메탄)가 폭발</t>
  </si>
  <si>
    <t>2017년 7월경 ㈜OOO, 우수관 세정공사 현장에서 지하2층 주차램프 인근 구간에서 재해자 OOO가 공중에 설치된 우수관의 막힘 여부를 확인하기 위해 배관 조인트 부위를 분해하던 중, 배관이 탈락되면서 약 5m 아래 바닥으로 추락하여 사망한 재해임</t>
  </si>
  <si>
    <t>빌딩 우수관 세정공사 현장에서 주차램프 인근에서 상부 배관 분해 중 배관이 탈락되면서 주차램프 주변 개부부로 추락</t>
  </si>
  <si>
    <t>2017년 7월경 OO시 OO구 OO동 소재 (주)OOOO의 오수처리시설 최종 배수조(排水槽) 내부에 설치되어 있던 배수용 펌프를 교체하는 작업 중 근로자 2명이 유해가스에 질식, 1명이 사망하고 1명은 부상한 재해임- 지상에서 맨홀(직경 약 0.6m) 뚜껑을 열고 지하의 배수조(깊이 약 2.2m)로 먼저 내려갔던 근로자가 사다리를 타고 올라오던 중 갑자기 의식을 잃고 바닥으로 추락, 쓰러지자 동료 근로자가 구조하러 배수조 내부로 들어갔다가 같이 쓰러졌고 지상에서 작업하던 다른 근로자가 119에 신고하여 구출 후 병원에 이송, 치료 중 1명이 사망하고 1명은 부상함</t>
  </si>
  <si>
    <t>오수처리시설 배수용 펌프를 교체하는 작업 중 유해가스에 질식</t>
  </si>
  <si>
    <t>2017년 7월경 OO 아파트 신축공사 현장에서 재해자와 동료작업자가 이동식비계 상부에서 PVC배관 연결작업 중 노후화된 이동식비계가 작업자의 하중을 견디지 못하고 넘어지면서 재해자가 약 1.7m 콘크리트 바닥 아래로 떨어져 사망</t>
  </si>
  <si>
    <t>2017년 7월경 OOO도 OO시 소재 OOO 태양광 발전소 설치현장의 공장 주2동 지붕에서 재해자 OOO와 동료근로자 3명이 태양광 모듈 고정용 철골조립 작업을 진행하던 중, 인접한 공장동 사이에 설치된 선라이트를  밟고 이동하다 파단되면서 9.6m 아래 콘크리트 바닥에 추락하여 사망한 재해임</t>
  </si>
  <si>
    <t>지붕 위에서 태양광 모듈 고정용 철골조립 작업 진행 중 선라이트 파단에 의해 바닥으로 추락</t>
  </si>
  <si>
    <t>▶ 근로자용 이동통로 설치
▶ 추락할 위험이 있는 작업 시, 작업발판, 추락방호망 등 안전방호조치 실시
▶ 작업 전 개인보호구 지급 및 착용상태 관리
▶ 작업 전 안전대 지급 및 체결상태 관리</t>
  </si>
  <si>
    <t>2017년 7월경 OOO시 OO시 OO면 OO리 소재 (주)OOOOOO이 시공하는 (주)OO OO O사업장(T9동) OO룸 설비공사 현장에서 협력업체 소속 덕트공이 OO룸 천장 마감재인 샌드위치 패널(t=5cm)을 발판삼아 공기정화 덕트(800mm×500mm) 연결부(플랜지)에 보온재 부착 후 덕트 측면에 알루미늄 테이핑 작업을 하던 중 밟고 있던 천장패널 1장(2m×1m)이 꺾이면서 천장틀(T-bar)에서 탈락하여 패널과  함께 약 10m 아래 콘크리트 바닥으로 떨어져 사망한 재해임</t>
  </si>
  <si>
    <t>2017년 8월경, OOO도 OO군 OO면 소재 OOOOOO(주)에서 시공하는 태양광발전 시설 설치 공사 현장에서 OOOO 근로자 등 6명이 건물 지붕 위에서 태양광 모듈 지지대를 설치하던 중, 지붕 끝 단부에서 재해자가 몸의 중심을 잃고 콘크리트 바닥으로 떨어져H6.2m) 사망한 재해임.</t>
  </si>
  <si>
    <t>공장 지붕 상부 태양광 시설 설치 작업 중 지붕 단부로 추락</t>
  </si>
  <si>
    <t>2017년 8월경 OO시 OO구 OO동 소재 ㈜OOOO이 시공 중인 OOOOOO 완공공사 현장에서 OOOO(주) 소속 재해자가 지상1층 혹은 지상2층 설비 배관 덕트실 슬래브 개구부에서 지하 2층 공조기계 패드 바닥에 떨어져 있는 것을 최초목격자 OOO(전기작업자)가 발견하여 119에 신고하였으나 사망한 재해로 추정됨</t>
  </si>
  <si>
    <t>2017년 8월경 OO시 OO군 OO읍 소재 ㈜OOOO OOOO 1, 2호기 2차측 기전설비 정비공사 현장에서 ㈜OOOO 소속 재해자 OOO이 동료작업자 3명과 함께 OOOO 순환수 배수관로 거품제거장치 제거를 위하여 맨홀 상부 그레이팅에 안전대 고리를 연결하여 들어 올리던 중 그레이팅과 함께 맨홀로 떨어져(H≒7m 추정) 사망(익사)한 재해임.</t>
  </si>
  <si>
    <t>맨홀 내부 거품제거장치 제거를 위하여 맨홀 상부에서 그레이팅을 들던 중 그레이팅과 함께 추락</t>
  </si>
  <si>
    <t>2017년 8월경 OO 공장 내 반응기 설치공사 현장에서 재해자가 공장 설비인 반응기 탱크를 설치하고 탱크주변 개구부를 체크 플레이트로 덮는 작업을 위해 체크 플레이트 단부에서 체크 플레이트 하부 보강재(ㄷ형강,75mm×40mm×4m)를 설치하는 작업 중 몸의 중심을 잃고 약 4m 아래 콘크리트 바닥으로 떨어져 사망</t>
  </si>
  <si>
    <t>▶ 바닥 개구부 주변에서 작업 시 안전난간 설치
▶ 안전난간 설치가 곤란할 경우 안전대 부착설비 설치 및 안전대 착용</t>
  </si>
  <si>
    <t xml:space="preserve"> 2017년 8월</t>
  </si>
  <si>
    <t xml:space="preserve"> 2017년 8월경 OOO도 OO시 소재 OOOOOO(주)에서 에탄올 워셔액 탱크(60ton) 이설을 완료하고 물 공급 배관에 드레인 밸브 설치를 위해 용접기로 구멍을 뚫던 중 폭발이 발생하여 2명이 부상을 당하고 워셔액 탱크 및 사무실 유리창 일부가 파손된 사고임</t>
  </si>
  <si>
    <t>에탄올 워셔액 탱크 배관에 밸브 설치를 위해 용접기로 구멍을 뚫던 중 폭발</t>
  </si>
  <si>
    <t>2017년 9월경 OO시 OO구에 소재한 OOOO(주)에서 시공중인 OOOO 개선공사 현장에서 OOOO(주) 소속 근로자가 주수송관 교체공사 전 회수관 내부 물을 빼기위해 이동식 크레인(25ton)에 탑승설비를 매단 후 탑승설비 내부에서 핸드그라인더를 이용하여 커팅작업 중 내부 수압에 의해 커팅부위가 파열되며 그 수압에 의해 재해자가 탑승설비에서 이탈하며 굴착바닥(H≒4.1m)으로 떨어져 사망한 재해임.</t>
  </si>
  <si>
    <t>배수작업을 위한 커팅작업 중 내부 수압에 의한 회수관 파열 및 근로자 추락</t>
  </si>
  <si>
    <t>▶ 근로자 탑승제한 준수
▶ 작업발판 설치를 통한 추락방지조치 준수
▶ 작업 전 개인보호구 지금 및 착용상태 관리</t>
  </si>
  <si>
    <t>2017년 9월경, OOO도 OO시 소재 OOOOOO(주)가 시공하는 OOOO 신축공사 현장에서 자재납품업체 소속 재해자가 지하2층 PIT구간에 설치 된 이동식비계 2단 작업발판에서 PVC덕트 설치작업 중 임시로 고정해 놓은 덕트가 탈락되면서 재해자를 덮쳐, 콘크리트 바닥(H=3.4m)으로 떨어졌고 병원으로 이송, 치료 중 사망한 재해임.</t>
  </si>
  <si>
    <t>이동식비계 2단 작업발판에서 PVC덕트 설치작업 중 임시로 고정해 놓은 덕트가 탈락되면서 맞은 후 콘크리트 바닥으로 추락</t>
  </si>
  <si>
    <t xml:space="preserve">▶ 배관행거등 소방배관 고정철물은 앙카볼트 및 달대 시공시 충분한 깊이로 시공
    - 배관행거 등에 안전를 체결한 상태로 작업금지
    - 배관을 올라타서 작업하는 등 불안전한 행동 금지 </t>
  </si>
  <si>
    <t>2017년 10월경, OO도 OO시 OO면 소재 「㈜OOOOOO  OOOOO OOOO 태양광 설치공사」 현장에서, 재해자가 저수지 내 수상 부유체의 중심선 표시용 로프를 설치하려 부유체 위를 이동 중 미끄러져 저수지(깊이 약 6m 추정) 물에 빠짐</t>
  </si>
  <si>
    <t>저수지 내 수상 부유체의 중심선 표시용 로프 설치작업을 위한 이동 중 몸의 중심을 잃고 저수지에 빠짐</t>
  </si>
  <si>
    <t>▶ 수상 작업 시 개인 구명조끼 지급 및 착용지도 실시
▶ 빠질 위험이 있는 작업 시, 안전난간, 안전대 부착설비, 작업발판 등 안전방호조치 실시</t>
  </si>
  <si>
    <t>2017년 10월경 OOOOOOOO 소속 재해자가 OO시 OO구 소재 OOOO 내 작업장에 설치된 천장크레인을 이전 및 설치하기 위하여 천장크레인의 주행레일 지지용 H-Beam을 해체하다가 테이블리프트 상판 위에서 약3.5m 아래 작업장 바닥으로 추락하여 사망한 재해임</t>
  </si>
  <si>
    <t>천장크레인 이전을 위하여 테이블리프트 상판 위에서 주행레일 지지용 H-Beam을 해체하다가 몸의 중심을 잃고 추락</t>
  </si>
  <si>
    <t>▶ 작업도구 등의 제조 당시의 목적 외의 용도로 사용금지
▶ 추락할 위험이 있는 작업 시, 안전대 지급 및 체결상태 관리</t>
  </si>
  <si>
    <t>2017년 11월경 OO도 OO시 소재 OOOOOO(주) OOOO발전소 #O 가스터빈 발전기 차단기 큐비클 내부에서 단로기 수리·교체 보조작업 중 OOOO(주) 소속 재해자가 19kV 충전부에 접촉되어 사망함.</t>
  </si>
  <si>
    <t>발전소 내 가스터빈 발전기 차단기 큐비클 내부에서 단로기 수리·교체 보조작업 중 19kV 충전부에 접촉되어 감전</t>
  </si>
  <si>
    <t>▶ 감전될 위험이 있는 작업 시, 해당 전로의 정전상태 확인 준수
▶ 작업 전 절연장갑, 절연복 등 절연용 보호구 지급 및 착용상태 관리
▶ 작업 전 개인보호구 지급 및 착용 상태 관리</t>
  </si>
  <si>
    <t>2017년 11월경 OO 발전소 정비공사 현장에서 재해자가 안전대 부착설비 보수작업 중 바닥개구부를 통해 약 17.0M 아래 지상 10층 바닥으로 떨어져 사망</t>
  </si>
  <si>
    <t>안전대를 미착용한 상태에서 바닥 개구부 인근에서 작업 중 실족하여 추락</t>
  </si>
  <si>
    <t>▶ 바닥개구부 등 추락 위험구간에서 근로자 작업 시 안전블럭 등을 설치하여 안전대 체결상태로 작업 실시</t>
  </si>
  <si>
    <t>2017년 11월경 OO발전소 3호기 정비공사 현장에서 재하청 소속 재해자가 발전용 보일러(3호기) 공기예열기(GAH) 내부 회전체(Rotor)에 설치되는 열소자(Element) 교체 작업 중 수동 에어밸브(Air Valve)로 작동되는 회전체가 완전히 정지되지 않은 상황에서 회전체와 하부 구조체 사이에 머리가 끼여 사망한 재해임.</t>
  </si>
  <si>
    <t>화력발전소 정비공사 현장에서 발전용 보일러 공기예열기 내부 회전체에 설치되는 열소자 교체 작업 중 수동 에어밸브로 작동되는 회전체가 완전히 정지되지 않은 상황에서 회전체와 하부 구조체 사이에 머리가 끼임</t>
  </si>
  <si>
    <t>2017년 12월경 OO도 OO시 OO구 소재 ㈜OOOOOO OOOO신축공사 현장에서 ㈜OOOOO 소속 재해자(배관공)가 안전 난간이 미 설치된 지하4층 기계실 계단참에서 출입문을 열기위해 발로 밀다가 반동으로 중심을 잃고 뒤로 넘어지면서 기계실 바닥으로 떨어져(H≒2.5m) 병원에서 치료 중 사망.</t>
  </si>
  <si>
    <t>닫혀있는 철제여닫이 출입믄 개방을 위해 발로 밀다가 반동으로 근로자가 중심을 잃고 뒤로 넘어지며 안전난간이 미설치된 계단참에서 바닥으로 추락</t>
  </si>
  <si>
    <t>2017년 12월경, OOO도 OO시 OO구 소재 ㈜OOOO 제습실 및 클린룸 설치 공사 현장에서 덕트공 2명(재해자 포함)이 1층 클린룸 천장 속에 설치되어 있는 덕트 이음부에 보온재를 설치하던 중 재해자가 기설치되어 있는 천장 판넬 상의 개구부(0.7m×0.7m)에 빠져 1층 바닥(H≒4m)으로 떨어졌으며, 병원으로 후송·치료 중 12월 22일(금)에 사망한 재해임.</t>
  </si>
  <si>
    <t>2017년 12월경 OOOO 현장에서 OO시 OO군 OO읍 소재에서 OOOOO(주) 소속 재해자 OOO가 압축공기 저장탱크 등 연결배관 용접부 비파괴검사를 위해 인근에 위치한 사다리식 통로를 이용하여 이동하던 중 지면으로 떨어져 병원으로 후송하였으나 사망한 재해임.</t>
  </si>
  <si>
    <t>연결배관 용접부 비파괴검사를 위해 인근에 위치한 사다리식 통로를 이용하여 이동하던 중 추락</t>
  </si>
  <si>
    <t>2018년 2월경 의료시설 증축공사 현장에서 재해자가 사다리 위에서 스프링클러 배관 작업 중, 약 0.6m아래 바닥으로 떨어짐</t>
  </si>
  <si>
    <t>2018년 3월경 OO(주)  OO신축공사 현장에서 천장 전기,소방설비 설치공사를 위해 지지레일에 매달아 설치한 이동식 천장 작업대를 다음 장업장소로 수평이동 시키던 중 작업대 이동방향의 우측 레일 이음부가 작업대의 하중을 이기지 못하고 꺽이면서 레일에 결속된 작업대 지지부(Bogie)가 레일에서 이탈되었고 그 여파로 작업대의 나머지 3개 지지부가 파단되면서 작업대 위에 있던 재해자가 작업대와 함께 약 14.6m 아래 지상으로 추락하여 사망</t>
  </si>
  <si>
    <t>이동식 천장작업대 수평이동 중 작업대 지지부의 레일에서의 이탈에 의해 지지부 파단 및 지상으로 추락</t>
  </si>
  <si>
    <t>▶ 제조사에서 정한 이동식 천장 작업대의 사용기준을 준수하여 사용
▶ 작업대 지지용 레일 설치 시 설계기준 준수</t>
  </si>
  <si>
    <t>2018년 3월경 OOO도 OO시 소재 물류센터 신축공사 현장 내 5층 주방에서 협력업체 소속 배관공인 재해자가 천장 에어컨 배관 용접 등의 작업 중 주방 바닥 개구부를 통해 약 5m 아래의 4층 바닥으로 떨어져 발생한 재해로 추정됨.</t>
  </si>
  <si>
    <t>천장 에어컨 배관 용접 작업 중 주방 바닥 개구부로 추락</t>
  </si>
  <si>
    <t>2018년 3월경 OO시 OO로 소재 OOOO 건물 내 지하1층 소방시설 신축공사 현장에서 재해자가 소방급수배관에 보온재 설치작업을 위해 경량철골천장틀의 달대(행거볼트)를 잡고 아래로 이동하던 중 추락하여 천장마감재를 뚫고 약 8m 아래 대강당 출입문 주변의 지하1층 바닥으로 떨어져 사망한 재해임</t>
  </si>
  <si>
    <t>2018경 3월경</t>
  </si>
  <si>
    <t>2018경 3월경 OO시 OO구 소재 OOOO(주)에서 시공하는 OO대학교 OO대학 신축공사 현장에서 설비공 2명이 지하 2층 기계실에서 온수저장탱크를 인력으로 이동 및 설치 작업을 하는 도중, 온수저장탱크가 중심을 잃고 전도되면서 재해자 1명을 강타하여 사망한 재해임.</t>
  </si>
  <si>
    <t>온수저장탱크 이동 및 설치 작업 중 전도, 협착</t>
  </si>
  <si>
    <t>▶ 장비 운반 시 전도되지 않도록 깔판, 깔목 등 견고한 받침대 설치
▶ 작업 전 안전점검을 통한 해당 기계설비 작동여부 확인</t>
  </si>
  <si>
    <t>2018년 4월경 OO시 OO구 소재 OOOO(주) / OOOO 신축공사 현장에서 OOOO(주) 소속의 재해자가 고소작업대 작업대에 탑승 이동중 고소작업대의 조정레버에 신체가 접촉되면서 작업대가 갑자기 상승 되어 재해자의 상체 가슴부위가 작업대의 상부 난간대와 난방배관 사이에 협착되어 사망한 재해로 추정됨</t>
  </si>
  <si>
    <t>고소작업대 탑승 후 이동중 작업대의 급상승에 의한 난간대와의 충돌, 협착</t>
  </si>
  <si>
    <t>▶ 협착방지조치를 위한 과상승 방지장치 설치 및 작업적정 높이 기준 준수
▶ 작업 전 과상승방지장치 점검을 통한 협착방지조치 준수</t>
  </si>
  <si>
    <t>2018년 4월경 OO신축현장 인테리어공사 현장에서 재해자가 사다리 위에 올라가 배관의 기울기를 확인하던 중, 사다리가 전도되면서 무게중심을 잃고 약 2.5m아래 바닥으로 떨어짐</t>
  </si>
  <si>
    <t>사다리 위에서 작업 중 사다리 전도에 의해 바닥으로 추락</t>
  </si>
  <si>
    <t>▶ 사다리 전도방지를 위한 아웃트리거 설치 후 작업을 수행하고 2인 1조 작업수행
▶ 작업 전 개인보호구 지급 및 착용상태 관리</t>
  </si>
  <si>
    <t>2018년 6월경 OO시 OO구 OO동 소재 ㈜OOOOO OO동 복합시설 신축공사 현장에서 OOOOO 소속 재해자가 주차타워 내부 팔레트 위에서 사다리를 설치하여 벽면에 전등 설치를 위하여 배관작업을 하던 중 바퀴가 달린 팔레트가 밀리면서 높이 약 9.1M아래 수직개구부로 추락하여 사망한 재해임</t>
  </si>
  <si>
    <t>기계식 주차설비 팔레트 위에서 작업 중 바퀴가 달린 팔레트가 밀리면서 추락</t>
  </si>
  <si>
    <t>▶ 작업용 탑승대를 팔레트로 사용시 안전조치 확인
   - 팔레트의 고정여부 확인 및 팔레트 단부 안전난간대 설치
   - 안전난간대 설치가 불가할시 작업자는 안전대를 체결
▶ 주차설비 내부통로 사용시 안전한 통로를 설치 및 구획
   - 레일 등 철골위로 승강시 작업자는 안전대 체결</t>
  </si>
  <si>
    <t>2018년 6월경 OO도 OO시 OO읍 소재 ㈜OOOOOO OOOOO 스마트오피스텔 신축공사 현장에서 재해자가 지하3층 주차설비 소방설비 배관작업 자재점검을 위해 주차설비 내부작업통로를 이동중 4.6m 아래로 떨어져 사망한 재해임.</t>
  </si>
  <si>
    <t>배관작업 자재점검을 위해 주차설비 내부 내부작업 통로를 이동 중 추락</t>
  </si>
  <si>
    <t>2018년 6월경 OO도 OO시 OO구 OO동 소재 ㈜OOOO OO OOO 복합건물 신축공사 현장에서 재해자 2명이 설비덕트가 간섭되는 위치에서 냉온수배관 가대 설치를 위해 설비덕트 위로 올라가 천정을 드릴로 천공하는 작업을 하던 중 설비덕트(단위길이 3.0m)를 지지하는 행거가 하중을 견디지 못하고 천정에서 이탈되면서 재해자가 덕트와 함께 떨어져(높이 약 3.5m) 2명이 부상을 당한 재해임</t>
  </si>
  <si>
    <t>설비 덕트 위로 올라가 천장 천공 작업 중 설비 덕트를 지지하는 행거가 이탈되면서 추락</t>
  </si>
  <si>
    <t>2018년 7월경 OOO시 O구 소재한 ㈜OOOOOO에서 시공중인 OOOO 복합시설 공사 현장에서 협력업체 소속 근로자가 20층 엘리베이터 홀의 입상 제연덕트 설치작업 중 나사못을 이용하여 제연덕트를 고정하다 몸의 중심을 잃고 덕트내부(개구부)로 빠지며 3층 엘리베이터 홀 바닥으로 떨어져(H≒58.9m) 사망한 재해임.</t>
  </si>
  <si>
    <t>제연덕트 입상 작업 중 덕트 내부 개구부로 추락</t>
  </si>
  <si>
    <t>2018년 7월경 OO군 OO면 OO리 OOOO 태양광 시설공사 현장에서 태양광 모듈패널 설치 작업 후 현장 뒷정리 작업 중 재해자가 어지러움 증세를 느껴 동료작업자에게 보고한 후  나무그늘 아래에 앉아서 휴식을 취하던 중 갑자기 일어나 5~6m 정도 뛰어가다 쓰러지는 것을 동료작업자가 발견후 응급조치를 실시하고, 119를 통해 병원으로 후송하여 치료도중 사망한 재해임.</t>
  </si>
  <si>
    <t>태양광 모듈패널 설치 작업 후 현장 뒷정리 작업 중 어지러움 증세를 느껴 앉아서 휴식을 취하던 중 쓰러짐</t>
  </si>
  <si>
    <t>2018년 8월경,OO시 OO면 소재 ㈜OOOOO OOO공장 內 「㈜OOOO / OOO공장 OO호기 기계 설비」 공사 현장에서, 협력업체 OOOO 소속 근로자가 알루미늄 사다리 답단(H≒4m)에 서서 공장설비(쿨링타워 냉각수 배관) 보온재 작업 중 몸의 중심을 잃고 바닥으로 떨어져 사망한 재해임.</t>
  </si>
  <si>
    <t>2018년 8월경 OO도 OO시 소재 OOOO『OOOO 신규 제작설치 및 배관공사』 현장에서 재해자가 이동식사다리 위에서 판넬 해체작업 중 콘크리트 바닥으로 추락하여(H≒1.2m) 사망.</t>
  </si>
  <si>
    <t>A형 사다리 위에서 판넬 해체작업 중 몸의 균형을 잃고 바닥으로 추락</t>
  </si>
  <si>
    <t>2018년 8월경 OO시 OO군 OO읍 소재 OOOO현장에서 OOOOOO(주) 소속 재해자가 기계설비 용접부 비파괴검사 위치 확인을 위하여 가설통로를 이용, 작업장(추정)으로 이동한 후 원인미상의이유로 높이 9m∼15m아래 콘크리트바닥으로 떨어져 사망</t>
  </si>
  <si>
    <t>기계설비 용접부 비파괴검사 위치 확인을 위하여 이동 후 원인미상의 이유로 추락</t>
  </si>
  <si>
    <t>2018년 8월경, OOO도 OO시 OO면 소재「㈜OOOO, OO OOOOO 슬러지 건조시설 보일러 제작·설치공사」현장에서 협력업체 소속 용접공이 태풍에 대비하여 옥외작업장에서 조립 중이던 보일러 위(높이4m)에 올라가 보일러에 천막을 씌우고 다시 내려오기 위해 이동하던 중 보일러 상단부에서 몸의 중심을 잃고 4m 하부 콘크리트 바닥으로 떨어져 인근 병원으로 이송·치료 중 사망한 재해임.</t>
  </si>
  <si>
    <t>보일러 조립 중 보일러 위로 올라가 천막 설치 작업 후 이동 중 추락</t>
  </si>
  <si>
    <t>2018년 8월경 OO시 OOO구 OO동 소재 OOOOOO(주) 공동주택 신축공사 현장에서 전기 협력업체 ㈜OOOOOO 소속 재해자가 지하2층 소화설비에 전기연결 작업을 위해 기계식 주차설비를 이용하여 이동하던 중 약 2.5m 아래로 추락</t>
  </si>
  <si>
    <t>소화설비 전기연결 작업을 위해 기계식 주차설비를 이용한 이동 중 지면으로 추락</t>
  </si>
  <si>
    <t>2018년 8월경 ㈜OO에서 시공하는 간선도로 건설공사 현장에서 재해자가 양감IC 영업소 1층 식당 천정 위생배관을 진행하고 이동식 비계 1단에서 내려오던 중 추락(약2.3m)하여 사망</t>
  </si>
  <si>
    <t>2018년 8월경 OOO도 OO군 OO리 소재 OOOOOO(주)에서 시공하는 OOO 태양광 발전소 현장에서 재해자가 축사 지붕위에서 2인 1조로 태양전지 모듈 구조용 C형강을 옮기는 중, 노후화된 선라이트*를 밟아 파손되면서 약 5.4m 아래 축사 바닥으로 떨어져 병원으로 이송·치료 중 사망한 재해임_x000D_</t>
  </si>
  <si>
    <t>2018년 9월경, OOO도 OO시 OOO면 소재 OOOOOO(주)공장 내 생산1동 배관 보온작업장에서 (유)OOOO 소속 재해자가 생산1동 파이프랙(총4단) 3단에 위치한 온수배관(L=9m) 보온작업을 위해 4단 파이프랙 상부에서 작업도중에  지상 콘크리트 바닥으로 떨어져(H≒12m)병원으로 후송하였으나 사망한 재해임.</t>
  </si>
  <si>
    <t>공장 파이프랙 상부에서 배관 보온작업 중 추락</t>
  </si>
  <si>
    <t>2018년 9월경 OO도 OO군 OO면 소재 OOOO 신축공사 현장에서 재해자가 지하층 기계실 배관 보온공사를 위해 이동식비계 안전난간대 설치작업 중 이동식비계 1단 작업발판 위에서 콘크리트 바닥으로 떨어져 (h=1.7m) 사망한 사고임</t>
  </si>
  <si>
    <t>2018년 10월경 OO 복합시설 신축공사 현장 지상 1층 방재실 인근에서 재해자가 고소작업대에 탑승하여 배관설비 작업 중, 고소작업대의 안전난간과 천정에 설치된 파이프 사이에 끼임</t>
  </si>
  <si>
    <t>2018년 10월경 OO 증축현장에서 재해자가 2층 내부 소방 배관공사를 하기 위하여 이동식크레인으로 고소작업대를 양중하여 슬라브에 전륜바퀴를 지지한 상태에서 고소작업대에 탑승하여 운전하던 중 고소작업차가 슬라브로부터 이탈하여 약 7m 아래로 떨어짐</t>
  </si>
  <si>
    <t>차량탑재형 고소작업대에 탑승하여 배관 도장작업 중 몸의 균형을 잃고 바닥으로 추락</t>
  </si>
  <si>
    <t>▶ 고소작업대를 이용한 작업 시 고소작업대에 설치된 안전문 개방금지 준수
▶ 부득이하게 안전문을 개방할 시 안전대 부착설비를 설치하고 해당 부착설비에 안전대를 걸고 작업을 실시할 것
▶ 고소작업대에 자재 등을 양중하는 작업 시 고소작업대를 가장 낮게 내린 상태에서 적재를 한 뒤 상승 후 작업하는 방식으로 진행할 것</t>
  </si>
  <si>
    <t xml:space="preserve"> 2018년 11월경 OO도 OOO시 소재 OOOOO(주) OO동 OOO-OO 외 1필지 공동주택 신축 현장에서 재해자가 주차설비 철골구조물 볼트 조임 작업 중 주차설비 외부로 추락하여(H≒32m) 사망.</t>
  </si>
  <si>
    <t>주차설비 철골구조물 볼트 조임 작업 중 주차설비 외부로 추락</t>
  </si>
  <si>
    <t>2018년 12월경 OOO도 OO시 소재 OOOO 설치 현장에서 직영 근로자인 재해자가 철구조물 상부 바닥판에 설치한 이동식 사다리(A형) 위에서 탈수기 룸(Room) 지붕 구조물의 용접작업 후 사다리에서 내려오려던 순간 몸의 중심을 잃고 약 6미터 아래 지면으로 떨어진 재해로 추정됨.</t>
  </si>
  <si>
    <t>A형 사다리 위에서 탈수설비 용접작업 후 내려오돈 중 몸의 중심을 잃고 추락</t>
  </si>
  <si>
    <t>이상온도 노출 접촉</t>
  </si>
  <si>
    <t>2018년 12월경 OOOO 소재 (주) OOO 공장 내 OCU공정의 반응기 후단 열교환기 채널커버(Channel Cover)에서 Mixed C4 및 프로필렌이 누출되면서 점화되어 열교환기 보온작업 중이던 협력업체 작업자가 얼굴에 화상을 입은 재해임.</t>
  </si>
  <si>
    <t>반응기 후단 열교환기 채널커버에서 Mixed C4 및 프로필렌이 누출되면서 점화되어 열교환기 보온작업 중이던 작업자 얼굴에 화상</t>
  </si>
  <si>
    <t>2018년 12월경, OOO도 OO군 소재 OOOOOO(주) OOOOOO 內 「OOOO O·OO호기 및 OOOO 연료환경설비 위탁운전용역」 현장에서, 재해자가 석탄 운반용 컨베이어벨트(턴오버 아이들러) 점검 중 머리가 벨트에 끼어 사망함</t>
  </si>
  <si>
    <t>석탄 운반용 컨베이어벨트(턴오버 아이들러) 점검 중 머리가 벨트에 끼임</t>
  </si>
  <si>
    <t>2018년 12월경, OO시 OO구 OO동 소재, OOOOOO(주)에서 시공하는 OOO 신축공사현장에서 OOOO(주) 소속 재해자가 정화조 기계실에 들어가 급기 덕트(PVC배관) 내부로 들어간 골재를 제거하려고 작업준비를 하던 중, 정화조 기계실 바닥 개구부에서 떨어져(H=3m) 사망(12. 31일)한 재해 임</t>
  </si>
  <si>
    <t>아파트 정화조 기계실 내부 골재 제거 작업 중 기계실 바닥 개구부로 추락</t>
  </si>
  <si>
    <t>2018년 12월경 OO병원 신축공사 현장에서 재해자가 천장마감재(텍스타일) 상부(높이 2.5m)에 올라가 공조기 배관 설치작업을 하던 중-*천장받침재(T-bar)가 재해자의 하중을 이기지 못하고 고정부가 탈락되면서 바닥으로 떨어짐</t>
  </si>
  <si>
    <t>천장마감재(텍스타일) 상부에 올라가 공조기 배관 설치 보조작업 중 천장받침대(T-bar)가 근로자의 하중을 이기지 못하고 고정부가 탈락되면서 바닥으로 추락</t>
  </si>
  <si>
    <t>▶ 추락 위험이 있는 고소작업 시, 이동식비계, 작업발판 설치 등을 통한 추락방지조치 실시
▶ 천장 공조기 배관설치작업은 천장마감공가보다 우선 공사를 진행하여 작업장 조도 확보 및 작업발판 설치 후 작업하는 공정관리 조치 실시</t>
  </si>
  <si>
    <t>2019년 1월경 OO공사에서 재해자가 5톤 크레인의 적재함에 실린 고소작업대 상부에서 터널 내 등기구의 등주감시기 설치를 위해 드릴천공 작업 중 터널 바닥으로 추락하여(H≒3.9m) 사망</t>
  </si>
  <si>
    <t>고소작업대(시저형) 탑승 후 등기구 및 설비배관 설치, 철골조립 작업 중 작업자가 몸의 중심을 잃고 지상바닥으로 추락함</t>
  </si>
  <si>
    <t>2019년 1월경 OO 아파트 건설현장 지하1층 주차장에서 고소작업대(일명, 렌탈)에 탑승하여 지하층 천정에 소방배관 설치작업 중이던 재해자가 렌탈이 과상승 되어 렌탈 프레임에 걸쳐진 배관과 지하층 상부 콘크리트 구조물(보)에 목이 충돌·협착</t>
  </si>
  <si>
    <t xml:space="preserve">2019년 1월경 OOO시 OO구 OO산단로 소재 ㈜OOOO에서 시공하는 스파이럴 프리져(급속동결장치) 설치공사 현장에서 재해자가 스파이럴 프리져 기초 프레임 설치 작업 중 프레임(1.6m(폭)x7.5m(길이),약 447kg(중량))을 수직으로 세워 잡고 있던 중 프레임이 재해자 방향으로 기울어지면서 재해자의 머리를 강타하여 사망한 재해임. </t>
  </si>
  <si>
    <t>급속동결장치 기초프레임 설치작업 중 프레임을 수직상태로 세우고 대기하던 중 프레임이 균형을 잃고 근로자의 머리를 강타</t>
  </si>
  <si>
    <t>2019년 1월경 OO도 OO시 소재 OOOO OOOOO OO변전소 내에서 ㈜OOOOO 소속 근로자인 재해자가 OO설비(22.9kV, #4-2Sh.C)차단기 진공 개폐부 지지애자 균열여부 점검 중 차단기 전원측 충전부에 접촉 · 감전된 사고로 병원에서 치료 중 사망한 재해임.</t>
  </si>
  <si>
    <t>변전소 조상설비(22.9kV) 차단기 진공 개폐부 지지애자 균열여부 점검 둥 차단기 충전부에 접촉되어 감전</t>
  </si>
  <si>
    <t>2019년 1월경 OO도 OO시 OO동 소재 OOOO(주)이 시공하는 OO OOO 주상복합신축공사 현장에서 재해가 지하 2층 휀룸 내부에 있는 환기구(삼각 개구부 형태)에서 원인불명의 행위를 하다가 지하 5층 바닥으로 떨어져(높이 약 10.2m) 사망함._x000D_</t>
  </si>
  <si>
    <t>지하층 휀룸 내부 개구부로 실족하여 추락</t>
  </si>
  <si>
    <t>2019년 1월경 OO병원 건립공사 현장에서 재해자가 1층 B구간에서 방화셔터감지기 이설 작업을 위해 고소작업대를 약 2.5m 상승시킨 후에 발판위에 서서, 안전문을 개방한 상태에서 하부바닥에서 동료근로자가 건네주는 자재를 받아 고소작업대 발판에 내려놓거나 정리하던 중 몸의 균형을 잃고 콘크리트 바닥(H≒2.5m)으로 떨어짐</t>
  </si>
  <si>
    <t>2019년 1월경 OOO도 OO군 OO면 OO로 소재 OOOO(주)에서 발주한 태양광 발전소 건립공사 현장에서 공장동 지붕에 태양광 모듈 지지용 철구조물 설치 작업을 진행하던 재해자가 지붕의 선라이트를 밟아 파손되면서 13.5m 아래 콘크리트 바닥으로 추락하여 병원으로 후송하였으나 사망한 재해임</t>
  </si>
  <si>
    <t>철골기둥 건립작업을 위해 철골기둥의 앵커볼트 가체결 후 철골기둥에 매단 슬링을 제거하는 순간, 철골기둥이 전도되면서 철골 보의 철골기둥에 부딪혀 철골 보 상부에서 이동 중인 근로자가 중심을 잃고 추락</t>
  </si>
  <si>
    <t>2019년 2월경, OO시 OO읍 소재 OOOO㈜ OOOO OO공장내에서 OO 소속 재해자가 벨트컨베이어에 풀리레깅(PulleyLegging) 작업 중 작업용 자재(볼트)를 가지러간 후 바로 옆에 위치한 가동 중인 벨트컨베이어에 끼여 사망한 재해임_x000D_</t>
  </si>
  <si>
    <t>벨트컨베이어에 풀리레깅(PulleyLegging) 작업 중 작업용 자재(볼트)를 가지러간 후 바로 옆에 위치한 가동 중인 벨트컨베이어에 끼임</t>
  </si>
  <si>
    <t>2019년 2월경, (주)OOOO건설에서 시공중인 「OOOO지점 신축공사」현장에서 재해자가 엘리베이터 승강로(Pit) 천장에 연기식 감지기(화재감지기) 설치를 위해 엘리베이터 카 상부에서 작업준비 중, 엘리베이터가 갑자기 운행되면서 재해자가 중심을 잃고 지상 2층과 3층 사이 승강로에서 카와 벽체 사이에 끼어 사망한 재해._x000D_</t>
  </si>
  <si>
    <t>화재감지기 설치를 위해 엘리베이터 카 상부에서 작업준비 중 엘리베이터 운행에 의해 카와 벽체 사이에 협착</t>
  </si>
  <si>
    <t>▶ 엘리베이터 승강로내 작업 시 운전정지, 표지판, 잠금장치 등 방호조치 실시
▶ 작업 전 개인보호구 지급 및 착용상태 관리</t>
  </si>
  <si>
    <t xml:space="preserve">2019년 3월경 OOOO(주) OOOO 3층 Flux Bin들 중 석회석 Bin 하부에서 OOOO 소속 재해자 두 명이 Bin 내부 부식상태 확인 및 유지 보수를 위하여 석회석 Bin 하부 절개 작업 중 석회석이 외부로 쏟아지면서 OOO은 중상, OOO은 경상을 입었고, 석회석에 매몰된 재해자(OOO)가 요양 중 사망한 재해 임.  </t>
  </si>
  <si>
    <t>Bin 내부 부식상태 확인 및 유지 보수를 위하여 석회석 Bin 하부 절개 작업 중 석회석이 외부로 쏟아지면서 매몰(깔림)</t>
  </si>
  <si>
    <t>▶ 장비 해체작업시 해체작업 계획서 작성
   - 해체 구조물에 대한 정보 확인 (도면, 구조검토서 등)
   - 설비의 해체순서 및 해체방법
   - 해체시 전도방지 조치 및 보강조치 수립
   - 탱크 내부 물질 확인</t>
  </si>
  <si>
    <t xml:space="preserve"> 2019년 3월</t>
  </si>
  <si>
    <t xml:space="preserve"> 2019년 3월경 OO시 OO구 OO동 소재의 OOOO병원 기계식 주차장 설치 공사 하청업체 OOOO(원청 : OOOOOO) 소속 재해자(OOO)가 동료작업자 2명과 함께 기계식 주차장 입구 보강공사 작업을 하던 중에 작업자들이 서 있던 차량 운반대(파렛트)가 뒤로 밀리면서 약 12미터 기계식 주차설비 지하통로 바닥 아래로 떨어져 사망한 재해임_x000D_</t>
  </si>
  <si>
    <t>2019년 3월경 OO시 OO구 OO동 소재 ㈜OOOO에서 시공하는 OOO OOO-OOO업무시설 신축공사 중 소방공사 현장에서 재해자가 주차설비 팔레트 1단 배면측 횡방향 소방배관 용접작업을 위하여 배관을 들어올리는 과정에서 운반기를 운전하여 상승과 동시에 균형추(Counter Weight)가 하강하면서 균형추 하부에서 작업 중이던 재해자가 균형추와 철골에 끼여 사망한 재해임.</t>
  </si>
  <si>
    <t>소방배관 용접을 위한 배관 운반작업 중 균형추 하강에 의한 철골과 균형추 사이 근로자 협착</t>
  </si>
  <si>
    <t>▶ 기계식 주차설비 운반기 운전 시, 위험 방지조치 및 신호체계 구축
▶ 기계식 주차설비 운반기 운전시 동시작업 금지 실시</t>
  </si>
  <si>
    <t>2019년 4월경 OOOO 소속 근로자 재해자 OOOO㈜OO공장 내 Q1공장 P2공정에서 Spandex Pilot 설비용Polymer Filter Housing 철거작업 중 Filter Housing이 넘어지면서 Filter Housing에 깔려 병원 후송 후 치료도중 사망한 재해임.</t>
  </si>
  <si>
    <t>Spandex Pilot 설비용 Polymer Filter Housing 철거작업 중 Filter Housing이 넘어지면서 깔림</t>
  </si>
  <si>
    <t>▶ 설비 해체작업시 해체작업 계획서 작성
   - 해체 구조물에 대한 정보 확인 (도면, 구조검토서 등)
   - 설비의 해체순서 및 해체방법
   - 해체시 전도방지 조치 및 보강조치 수립</t>
  </si>
  <si>
    <t>2019년 4월경, OO시 소재 OOOOOO(주) OO 공정에서 OOOOOO(주) 소속 재해자가  Process Sewer Sump 내 지하 탱크의 이송펌프를 해체하고 이동식 크레인으로 들어올리던 중 이송펌프와 탱크 연결부위에서 발생한 유해가스에 중독되어 병원으로 이송 후 치료 받던 중 사망한 재해임</t>
  </si>
  <si>
    <t>경유탈황공정 Process Sewer Sump 내 지하 탱크의 이송펌프를 해체하고 이동식 크레인으로 들어올리던 중 이송펌프와 탱크 연결부위에서 발생한 유해가스에 중독되어 사망</t>
  </si>
  <si>
    <t>2019년 4월경 OO도 OO시 OO구 OO동 소재 OOOOOO 기계실에서 보일러 배관의 안전밸브 교체를 위해 배관 단부에 맹플랜지를 설치하던 중, 스팀 응축수가 일용직 재해자 2명에게 쏟아져 신체 일부에 2도 화상을 입은 재해로 추정됨.</t>
  </si>
  <si>
    <t>기계실에서 보일러 배관의 안전밸브 교체를 위해 배관 단부에 맹플랜지를 설치하던 중, 스팀 응축수가 재해자에게 쏟아져 화상</t>
  </si>
  <si>
    <t>▶ 기존 안전밸브 교체 시 내부에 고온의 스팀 등을 제거한 상태에서 교체작업 실시
▶ 기존 안전밸브 교체 시 내부 물질 확인이 어려울 경우 작업중지</t>
  </si>
  <si>
    <t xml:space="preserve">  2019년 4</t>
  </si>
  <si>
    <t xml:space="preserve">  2019년 4월경 OO도 OO시 OO구 소재 OOOOOO에서 재해자가 천장(높이 약 15m) 석고보드 윗 부분에 디퓨져 설치 작업 중, 중심을 잃고 석고보드 위로 넘어짐과 동시에 충격을 받은 석고보드가 부서지면서 재해자가 약 15m 아래 바닥으로 떨어져, 병원 치료 중 재해당일 16:20분경 사망한 재해임.</t>
  </si>
  <si>
    <t>▶ 추락할 위험이 있는 작업 시, 추락방호망, 안전난간대, 안전대 부착설비 등의 안전방호조치 실시
▶ 작업 전 개인보호구 지급 및 착용상태 관리 실시</t>
  </si>
  <si>
    <t>2019년 5월경 OOO도 OO시 OOO동 소재 OOOO(주)가 시공하는 OOOO 주상복합 신축공사 현장에서 협력업체 소속 재해자가 2층 덕트 설치작업을 위해 차량탑재형 이동식크레인으로 고소작업대 양중작업 중 고소작업대가 뒤집어지면서 7m 바닥으로 떨어져 사망한 재해임.</t>
  </si>
  <si>
    <t>덕트 설치작업을 위한 양중작업 중 이동식크레인 고소작업대 전도에 의한 추락</t>
  </si>
  <si>
    <t>▶ 작업 전 개인보호구 지급 및 착용상태 관리
▶ 크레인 탑승제한조치 철저</t>
  </si>
  <si>
    <t>2019년 6월경 OO시 OO구에 소재한 OOOO(주)이 시공중인 ㈜OOOO 공장 신축공사 현장에서 협력업체 OOOO 소속 근로자인 재해자가 지상2층 이동식비계 위에서 배수관 달대 설치작업 중 몸의 중심을 잃고 1층 바닥(H≒8.1m)으로 떨어져 사망한 재해임.</t>
  </si>
  <si>
    <t>2019년 6월경 OOO도 OO군 OO면 소재 OO 태양광발전소 건립공사에서 재해자가 퇴비사 지붕 위에서 태양광발전 구조물 하부위치의 기초플레이트 천공 부위 빗물유입 방지 실리콘코킹작업 중 선라이트가 파손되면서 4.8m 아래 콘크리트 바닥으로 떨어져 사망한 재해임</t>
  </si>
  <si>
    <t xml:space="preserve"> 2019년 7월경 OO시 OO구 소재 OOOO 주상복합 신축공사 현장 지하 1층 기계실에서 ㈜OOOOOO 소속 보온공이 사다리 위에서 소방배관 보온작업 중 떨어져 후송후 치료도중 사망한 재해임.</t>
  </si>
  <si>
    <t>2019년 7월경 OOOOOO(주) 공장 지붕위에서 재해자가 태양광 발전시설을 설치하기 위해 지붕위를 이동 중 지붕 판넬이 파손되면서 높이 8.3m 아래의 공장 바닥으로 추락하여 인근 병원으로 이송하였으나 사망한 재해임._x000D_</t>
  </si>
  <si>
    <t>2019년 7월경 OO시 OO군 OO면 소재 OOOO 내 기계설비 해체·이송·설치 작업 중 재해자가 장비와 연결된 국소배기장치 해체를 위해 바닥 앵커 볼트 절단 후, 국소배기장치를 천장크레인의 훅에 매달기 위해 국소배기장치에 부착된 사다리로 올라가던 중 국소배기장치가 무게중심을 잃고 넘어지면서 바닥에 부딪혀 사망한 것으로 추정된 재해임.</t>
  </si>
  <si>
    <t>국소배기장치 해체를 위해 바닥 앵커 볼트 절단 후 국소배기장치를 천장크레인의 훅에 매달기 위해 국소배기장치에 부착된 사다리로 올라가던 중 국소배기장치가 전도되며 바닥에 부딪혀 사망</t>
  </si>
  <si>
    <t>2019년 7월경 ㈜OOOO에서 시공 중인 OO시 OO구 OO동 소재 근린생활시설 신축공사 현장에서, 재해자가 지하층 기계식 주차설비 내부에 팔레트를 설치하던 중, 레일에 미고정(호이스트에 매달려있는 상태) 된 팔레트를 밟는 순간 팔레트가 뒤집히며 바닥으로 떨어져(H≒7.5m) 사망함.</t>
  </si>
  <si>
    <t>기계식 주차설비 내부 팔레트 설치 중 호이스트에 매달려 있는 팔레트를 밟는 순간 팔레트가 뒤집히며 추락</t>
  </si>
  <si>
    <t>2019년 7월경 OOOO(주)가 시공 중인 OO시 OO구 OO동 소재 OO체육문화센터신축 소방공사 현장에서 소속 근로자가 지하1층 기계실에서 소화배관(100㎜) 용접부위에 광명단을 칠하던 중 추락</t>
  </si>
  <si>
    <t>소화배관 용접부 도장 작업 중 추락</t>
  </si>
  <si>
    <t>2019년 7월경 OO시 OO구에 소재한 골프연습장 엘리베이터(E/V) PIT 내에서 자재 인양용 윈치 설치를 위한 도르래 설치 중 사다리가 파손되어 재해자가 지하1층 바닥으로 추락(H≒15m)하여 병원으로 이송하였으나 사고 사망한 재해</t>
  </si>
  <si>
    <t xml:space="preserve">엘리베이터 PIT 내에서 사다리를 걸쳐 그 위에서 자재 인양용 윈치 설치를 위한 도르래 설치 중 사다리가 파손되어 바닥으로 추락 </t>
  </si>
  <si>
    <t>2019년 8월경 OO시 OO구 OO동 소재 ㈜OOOO이 시공하는 OOOO 리모델링 소방공사 현장에서 ㈜OOOO 소속 소방설비배관공이 천장의 소방배관 보온작업을 위해 1단 이동식비계 발판에 서서 단열재(보온재) 설치작업을 하던 중, 몸의 균형을 잃고 하부 콘크리트바닥으로 추락하여 병원으로 이송·치료 중 사망한 재해임.</t>
  </si>
  <si>
    <t>2019년 8월경 OO도 OO시 OO읍 소재 ㈜OOO OOOO 공장 현장 내 공장동 지상 3층에서 OOOOOO(주) 소속의 재해자 2명이 천장 마감재(샌드위치 패널) 위로 올라가서 스프링클러 설치 작업을 하던 중 천장 마감재 한쪽이 탈락되며 높이 3.3m아래 콘크리트 바닥으로 추락, 2명 모두 부상당한 재해임.</t>
  </si>
  <si>
    <t>천장 마감재(샌드위치 패널) 상부에서 스프링쿨러 설치 작업 중 마감재 한쪽이 탈락되며 추락</t>
  </si>
  <si>
    <t>2019년 8월경, OOO도 OO시 OO 소재 ㈜OOOO에서 시공하는「OOOO 교체공사」현장에서 재해자가 OO 남측에 위치한 콘크리트 구조물 상부에서 해수 양수용 동력분무기를 점검하던 중 구조물 단부에서 떨어져 당일 17:45경 약 100m 떨어진 해상에서 사망한 채 발견된 것으로 추정되는 재해임_x000D_</t>
  </si>
  <si>
    <t>콘크리트 구조물 상부에서 해수 양수용 동력분무기 점검 중 구조물 단부에서 근로자 추락</t>
  </si>
  <si>
    <t xml:space="preserve">▶ 구조물 단부와 같이 추락 위험이 있는 장소에는 안전난간, 울타리 등 추락방지 조치 실시
▶ 해상과 인접한 구조물 상부에서 작업시에는 물에 빠지는 등의 위험에 대비하여 구명의 지급 및 착용 관리 철저 </t>
  </si>
  <si>
    <t>2019년 9월경 OO시 O구 OO동 소재 OOOO 지하 기계식(다층순환식)주차설비 해체 작업장에서 OOOO의 작업자 3명이 주차설비 3단 팔레트 상부에서 해체작업을 하던 중 팔레트가 레일로부터 이탈되면서 팔레트와 함께 약1.7m 아래 2단 파레트로 떨어져 2명이 부상당한 재해임.</t>
  </si>
  <si>
    <t>기계식 주차설비 해체 중 팔레트가 레일로부터 이탈되면서 팔레트와 함께 추락</t>
  </si>
  <si>
    <t>2019년 9월경 OOO도 OO시 OO동 소재, OOOO구조물 설치공사 현장에서 ㈜OOO 소속 재해자가 공장 1동 지붕에 태양광 설비 구조물 기초를 설치하기 위해 천공한 위치에 실리콘 주입작업 후 공장2동으로 이동 중 공장1동과 공장2동 사이의 개구부(B≒0.48m)에서 바닥으로 떨어져(H=6.0m) 병원으로 후송하여 치료중 사망한 재해임</t>
  </si>
  <si>
    <t>세대 에어컨 배관작업을 위한 에어컨 자재 운반중 계단실 주변 개구부의 안전난간이 자재운반에 간섭이 되어 보수작업을 하던 도중 몸의 중심을 잃고 바닥으로 추락</t>
  </si>
  <si>
    <t>▶ 개구부에 설치된 안전난간 해체금지
▶ 미장작업으로 인해 해체가 불가피한 경우, 작업 완료 후 즉시 견고하게 재설치할 것.</t>
  </si>
  <si>
    <t xml:space="preserve"> 2019년 9월경 OO도 OO시 OO구 소재의 OOOO 근린생활시설 신축공사에서 소방배관 보온작업 준비 작업 중 이동식 비계 상부 난간 밖으로 몸을 내밀어 작업 상황을 확인하다가 이동식 비계가 전도되면서 바닥으로 추락, 당일 병원으로 이송 후 사망함.</t>
  </si>
  <si>
    <t>2019년 9월경 OOO도 OO시 OO면 소재, OOO 태양광발전소 설치 현장에서 재해자가 축사 지붕에 설치할 태양전지모듈의 지지구조물 설치를 위해 지붕에서 철재부재(C형강)를 옆으로 옮기던 중 열화된 선라이트를 밟아 파손되면서 약 6.2m 아래 축사 내부 콘크리트 바닥으로 떨어져 병원으로 이송, 치료중 사망한 재해임.</t>
  </si>
  <si>
    <t>2019년 10월경, OO시 OO구 OO소재 음식점의 인테리어 및 덕트설치가 진행중인 현장에서 외벽에 달비계 작업으로 덕트배관의 고정용 앵커를 4단을 설치하는 작업을 진행하는 과정에서 재해자가 최하단부 앵커설치를 위해 하강작업 중 로프의 중간부분이 갑자기 끊어지며 4층 외벽에서 지상바닥으로 떨어져(H≒13.3m) 병원으로 이동하여 치료 중 사망한 재해임</t>
  </si>
  <si>
    <t>달비계를 타고 외벽 덕트배관 고정용 앵커설치 작업 중 달비계 로프 파단에 의한 추락</t>
  </si>
  <si>
    <t>2019년 10월경 OOO도 OO군 OO읍 소재 ㈜OOO 공장동 OO설비 설치 현장에서 OOOOOO 소속 재해자가 OO설비 상부의 호퍼 작업발판과 원료투입장치 작업발판 사이(높낮이차 775㎜)에 고정하지 않고 걸쳐 놓은 계단을 통해 이동하던 중 계단이 미끌어지면서 몸의 균형을 잃고 약 5m 아래의 작업장 바닥으로 떨어져 병원치료 중 사망한 재해임</t>
  </si>
  <si>
    <t>볼밀설비 상부의 호퍼 작업발판과 원료투입장치 작업발판 사이에 고정하지 않고 걸쳐 놓은 계단을 통해 이동하던 중 계단이 미끌어지면서 몸의 균형을 잃고 작업장 바닥으로 추락</t>
  </si>
  <si>
    <t>▶ 작업 전 자재의 변형ㆍ손상 등 확인 후 이상유무 점검 실시
▶ 추락 위험 장소에서의 작업 시 작업발판 설치 및 추락방호망 설치
▶ 추락방호망 설치가 곤란한 경우 안전대 부착설비 설치 및 안전대 착용</t>
  </si>
  <si>
    <t>2019년 10월경 OO시 소재 OOOOOOO(주) OO공장 OOOO 옥외탱크저장소 내 Slop oil저장탱크 외벽에서 외주 협력업체인 OOOOOO(주)이 물 분무 소화설비 설치를 위한 배관 지지대 용접 작업 중 고온에 의해 탱크 내 잔류하던 인화성증기가 탱크 내부에서 폭발이 발생하여 근로자 2명이 부상한 사고임_x000D_</t>
  </si>
  <si>
    <t>오일 저장탱크 외벽에 설비용접 작업 중 고온에 의해 탱크내 잔류하던 인화성증기가 탱크 내부에서 폭발</t>
  </si>
  <si>
    <t>2019년 10월경 OO 신축 기계소방공사 현장에서 재해자가 차량탑재형 고소작업대에 탑승하여 공장동 1층 스프링클러 배관의 도장 작업 중, 재해자가 고소작업대(높이 약 4m)에서 떨어짐</t>
  </si>
  <si>
    <t>2019년 10월경 OOOO(주) OOOO 1,2호기 건설공사 현장에서 하도급업체 ㈜OOOOO 소속 근로자가 아르곤 가스(용접실드가스)가 차있던 Drip Pot배관(직경 84cm, 깊이 2m) 내부에 훼손된 퍼지페이퍼를 복구하기 위해 배관 내부로 들어가 산소결핍으로 사망한 재해임.</t>
  </si>
  <si>
    <t>화력발전 건설공사 현장에서 아르곤 가스가 차있던 Drip Pot 배관 내부에 훼손된 퍼지페이퍼를 복구하기 위해 배관 내부로 들어가 산소결핍으로 사망</t>
  </si>
  <si>
    <t>▶ 배관 TIG 용접작업 후, 아르곤 가스 주입으로 인해 산소결핍이 우려되는 배관 내부(밀폐공간)에서 퍼지페이퍼 보수 등의 작업하는 경우, 배관 내부로 진입 전 산소농도를 측정한 후 작업하도록 하며 공기가 적정상태가 유지되도록 작업 시작과 작업 중 강제 급기를 통해 환기를 실시
▶ 배관 내 아르곤, 헬륨 가스 등을 효율적으로 체류시키기 위해 퍼지페이퍼를 설치하는 경우, 추후에 파손, 찢어짐 등으로 인해 재작업을 해야하는 경우가 없도록 완전시공조치 권고</t>
  </si>
  <si>
    <t>2019년 11월경 OO도 OO시 OOOOO 내  OOO촉매탑 4단에서 ㈜OOOOOO 소속 근로자가 OOO촉매를 촉매탑 투입구에 설치 하던중 촉매 인양 개구부 단부에서 실족 17.65m아래 바닥으로 추락 사망한 재해임.</t>
  </si>
  <si>
    <t>SCR촉매를 촉매탑 투입구에 설치 하던 중 촉매 인양 개구부 단부로 추락</t>
  </si>
  <si>
    <t>2019년 11월경 (주)OOOOO에서 시공중인 OO시 OO면 OO리 OOO-O 창고시설 신축공사의 설비전기 협력업체인 OOOOO 소속 재해자가 4층 공기 흡입 감지기 시공 작업을 마치고 지게차 출입구로 이동하던 중, 근처 시저형 고소작업대에서 배관공(OOO)이 용접이음작업중이던 천장 소방배관(아연도금강관 배관 길이 7m, 무게 약 32kg)이 행거에서 이탈, 바닥에 떨어져 튕겨나와 재해자를 타격하여 쓰러져, 병원 후송 치료 중 사망한 재해</t>
  </si>
  <si>
    <t>근처 고소작업대에서 용접 이음작업중이던 천장 소방배관의 이탈에 의한 낙하 및 근로자 타격</t>
  </si>
  <si>
    <t>2019년 11월경 (주)OOOO에서 시공 중인 OO시 OO동 소재 다가구주택 태양광 발전설비 설치공사 현장에서, 재해자가 건물 옥상에 위치한 이동식틀비계(H≒1.8m) 또는 태양광 패널(태양전자모듈)의 철재구조물(H≒4m) 상에서 이동 또는 작업 중 옥상 바닥으로 떨어져 사망함.</t>
  </si>
  <si>
    <t>2019년 11월경 OO 신축공사에서 재해자가 지하2층 OO 인테리어 현장에서 인테리어 구조물(미끄럼틀) 상부 천정의 설비 배관을 확인하고 계단으로 내려오는 과정에서, 계단의 측면에 설치된 상부 안전난간을 잡다가 미고정된 상부 안전난간이 탈락하면서 재해자도 같이 추락(H≒2.8m)</t>
  </si>
  <si>
    <t>인테리어 구조물(미끄럼틀) 상부 천정의 설비 배관을 확인하고 계단으로 내려오던 중 계단의 측면에 설치된 상부 안전난간을 잡다가 미고정된 상부 안전난간이 탈락하면서 추락</t>
  </si>
  <si>
    <t>▶ 계단에서 작업 또는 이동 시 근로자의 추락위험이 있는 경우 강관파이프 등의 충분한 강도를 가진 자재를 이용하여 안전난간 설치
▶ 작업에 의해 안전난간 설치가 곤란할 경우 안전대 부착설비 설치 및 안전대 착용
▶ 개인보호구 지급 및 착용</t>
  </si>
  <si>
    <t>2019년 11월경 OO도 OO시 OO면 OO리 소재 OOOO㈜ OOOO 공장 신축 중 기계제작 설치 현장에서 에어컨 설치  협력업체인 OOOO 대표와 근로자 4명이 공장동 천장 마감재를 밟고 에어컨 및 배관 설치작업을 하던 중 천장 패널 3장이 고정부(T-bar)에서 이탈하며 높이 6m 아래 콘크리트 바닥으로 5명 모두 추락, 모두 부상(중상 2, 경상 3, 대표 포함)한 재해임.</t>
  </si>
  <si>
    <t>2019년 12월경 OOO도 OO시 OO구 소재 ㈜OOO 사업장에서 640톤 절곡기설치를 위하여 이동식크레인으로 절곡기 측판을 옮겨 설치작업중 측판의 줄걸이를제거하는 순간 측판이 넘어져 작업자 2명이 깔려 사망함.</t>
  </si>
  <si>
    <t>절곡기 설치를 위하여 이동식크레인으로 절곡기 측판을 옮겨 설치 작업 중 측판의 줄걸이를 제거하는 순간 측판이 넘어져 깔림</t>
  </si>
  <si>
    <t>▶ 장비 설치작업시 작업계획서 작성
   - 설치 대상에 대한 정보 확인 (도면, 구조검토서 등)
   - 설비의 설치순서 및 방법
   - 전도방지 조치 등 보강조치 수립</t>
  </si>
  <si>
    <t>2020년 1월경 OO시 OO구 소재 OOOO㈜OO공장 내 No.1 EGL 권취(捲取)공정 권취기(1호기, Recoiler)의 유압라인 정비작업을 하던 ㈜OO 소속 근로자가 Belt wrapper를 고정한 섬유제 벨트 슬링이 끊어지며 Tension Reel과 Belt wrapper 사이에 끼여, OO대학교병원으로 이송하였으나 치료도중 사망한 재해임</t>
  </si>
  <si>
    <t>권취(捲取)공정 권취기(Recoiler)의 유압라인 정비작업을 하던 중 Belt wrapper를 고정한 섬유제 벨트 슬링이 끊어지며 Tension Reel과 Belt wrapper 사이에 끼임</t>
  </si>
  <si>
    <t>2020년 1월경 OO시 OO구에 소재한 ㈜OOOOOO이 시공 중인 OOO OOO-O 주상복합 신축공사 현장에서 협력업체 ㈜OOOO 소속 근로자인 OOO이 기계식 주차설비 철골 최상단(29단)에서 레일 양중작업 중, 몸의 중심을 잃고 기계식 주차설비 25단 철골거더(추락높이(H≒11m))로 떨어져 사망한 재해임.</t>
  </si>
  <si>
    <t>기계식 주차설비 철골 최상단에서 레일 양중작업 중 몸의 중심을 잃고 추락</t>
  </si>
  <si>
    <t>2020년 2월경 OO공장 신축공사 중 2차 건축공사 현장에서 재해자가 제품냉각실에서 고소작업대를 이용하여 냉동기(UNIT COOLER) 설치작업 중 고소작업대의 급작스러운 상승으로 천장과 고소작업대 사이에 끼임</t>
  </si>
  <si>
    <t>2020년 2월경 OOO도 OO시 OO산단 소재 OOOOOOO(주) 2공장내 OOO(Ⅲ) 이성화 반응기 내부에서 폐촉매를 제거하던 재해자가 경사면에서 흘러내려온 폐촉매에 가슴까지 매몰된 후 119에 구조되어 병원으로 후송하였으나 사망한 재해임._x000D_</t>
  </si>
  <si>
    <t>이성화 반응기 내부에서 폐촉매를 제거하던 중 경사면에서 흘러내려온 폐촉매에 매몰</t>
  </si>
  <si>
    <t>2020년 2월경 OO시 OO구 소재 부정형 내화물 생산업체인 OOOO(주)에서 발주한 ‘공정 자동화 설비 공사’ 과정에서  칭량(weight measuring) 자동화 설비가 원활한 작동이 되지 않는 지점에서 설비를 점검하던 중, 칭량대차가 갑자기 재해자 방향으로 이동하면서 재해자 신체(가슴)가 사일로와 칭량대차사이에 끼여 사망한 재해임.</t>
  </si>
  <si>
    <t>칭량(weight measuring) 자동화 설비가 원활한 작동이 되지 않는 지점에서 설비를 점검하던 중 칭량대차가 재해자 방향으로 이동하면서 사일로와 칭량대차 사이에 끼임</t>
  </si>
  <si>
    <t>2020년 3월경,  OO도 OO군 OO읍 소재「OOOO, OOOO 신축공사」현장에서 2층 천장에 소방설비 배관을 연결하고자 협력업체 소속 배관공이 A형사다리에 올라가 배관(73.2kg)을 연결하던 중 배관을 매달고 있던 달대가 콘크리트 면에서 탈락하면서 배관이 재해자 위로 떨어져, 재해자와 같이 사다리가 넘어지면서 콘크리트 바닥으로 떨어져(추락높이 1.8∼2.1M 추정), 병원으로 이송·치료 중 사망한 재해임.</t>
  </si>
  <si>
    <t>2020년 3월경 OO 지식산업센터 신축공사 현장에서 재해자가 고소작업대(시저형)에 탑승하여 FCU배관 보온작업을 위하여 상승하던 중, 높이 약 6.5m 지점에서 전기 트레이와 고소작업대 난간대 사이에 목이 협착</t>
  </si>
  <si>
    <t>2020년 3월경 OOO도 OO시 OOO동 소재 OO OOOO OOOO상가 신축사업 현장에서 재하청업체 소속 재해자가 지상 5층 영화관 복도 상부덕트(설치높이 7.2m) 설치를 위해 고소작업대(시저형) 난간대를 밟고 기 설치된 하부덕트(설치높이 6.3m) 위로 올라 타 덕트 행거에 안전대를 걸고 실측 작업을 하던 중 덕트 행거가 파손(전산볼트 탈락)되어 하부덕트가 아래로 쳐지면서 약 6.3m 바닥으로 떨어져 사망한 재해임._x000D_</t>
  </si>
  <si>
    <t>상부덕트 설치를 위해 기설치된 하부덕트 위에 올라타 덕트행거에 안전대를 걸고 실측작업 중 전산볼트 탈락에 의해 덕트행거가 파손되어 하부덕트가 기울어지며 바닥으로 추락</t>
  </si>
  <si>
    <t>▶ 추락 위험이 있는 공조덕트 설치 작업 시 견고한 구조의 작업발판, 고소작업대 등 추락방지조치 실시
▶ 작업발판 설치가 곤란한 경우 안전대 부착설비 설치 등의 방지조치 실시
▶ 작업 전 전산볼트의 정상체결 여부 확인을 위한 안전점검 실시</t>
  </si>
  <si>
    <t xml:space="preserve">2020년3월경 </t>
  </si>
  <si>
    <t>2020년3월경 OO시 OO군 OO면 소재 ㈜OOOOO OOOOOO 오피스텔 신축공사 현장에서 에어컨 설치 업체인 ㈜OOOOO 소속 재해자(설비공)가 지상 27층 각 세대 에어컨 배관작업을 위해 에어컨 자재를 24층에서 27층으로 운반 하던 중, 지상 26층 계단실 주변 개구부에서 높이 약 23m 아래 지상 18층 옥외 데크콘크리트 바닥으로 떨어져 사망한 재해임.</t>
  </si>
  <si>
    <t>2020년 4월경 OO공장 신축공사 현장 내 지상1층 천장 설비배관설치 작업장소에서 주행 중 넘어진 고소작업대를 다른 고소작업대(2대)에 묶어서 세우는 작업을 진행하던 중, 상승시키던 고소작업대 1대(2호기)가 넘어지며 옆에서 지켜보던 재해자가 깔림</t>
  </si>
  <si>
    <t>넘어진 1호기 고소작업대를 3대의 고소작업대를 이용해 일으켜세우던 중, 2호기 고소작업대의 전도에 의해 근로자가 깔림</t>
  </si>
  <si>
    <t>▶ 고소작업대 사용시 주된 용도인 작업대 전용 외의 목적(양중용, 운반용 등)으로 사용금지조치 실시</t>
  </si>
  <si>
    <t>2020년 5월경 OO시 OO군 OO면 소재 (주)OOOOO #1백필터 철거 및 원형사이클론 백필터 제작, 설치공사 현장에서 7.5m 높이의 백필터 상단에서 작업하던 하도급업체 (주)OOOO 소속 재해자 두 명이 백필터 전면부 줄걸이를 연장하고 지면으로 내려오는 과정에서 백필터 지지 기둥의 접속부 연결볼트가 파단되면서 백필터가 전면부로 넘어져 백필터 상단에 설치된 안전난간에 충격 후 콘크리트 바닥으로 떨어져 1명은 사망하고, 1명은 부상한 재해임.</t>
  </si>
  <si>
    <t>백필터(여과집진설비) 해체 및 인양을 위해 백필터 상부에서 줄걸이 작업 중 백필터 지지 기둥의 접속부 연결볼트가 파단되고 백필터가 전도되며 바닥으로 추락</t>
  </si>
  <si>
    <t>2020년 5월경 OOO도 OO군 OO면 소재 ㈜OOOOO 주택용 태양광 구조물 조립작업 현장에서 재해자가 주택용 태양광 구조물 설치공사 중 축사 지붕 위에서 이동 중 기존 설치된 선라이트를 밟아 깨지면서 약3.1m 아래의 축사 내부 콘크리트 바닥으로 떨어져 병원 후송 후 치료하였으나 사망한 재해임.</t>
  </si>
  <si>
    <t>2020년 6월경 OOOO O층(식당가 아래층)에서 엔진구동식 고압세척기로 배관세척 작업 후 건물 밖의 지상 1층 분수광장 벤치에서 휴식을 취하던 중, 재해자 OOO이 앉은 채 의식이 없는 것을 동료 작업자들이 확인하여 병원으로 이송하였으나 사망한 재해임._x000D_</t>
  </si>
  <si>
    <t>엔진구동식 고압세척기로 배관세척 작업 후 건물 밖에서 휴식을 취하던 중 의식이 없는 상태로 발견</t>
  </si>
  <si>
    <t>2020년 6월경 OOO도 OO시 OO면 소재 OOOO 태양광발전소 설치공사 현장에서 협력업체인 OOOOOO(주) 소속 근로자인 재해자가 휴식시간에 음료수를 가지고 이동 중 지붕과 지붕사이의 선라이트를 통해 약 4.5m 아래 바닥으로 떨어져 사망한 재해임.</t>
  </si>
  <si>
    <t>2020년 6월경 ㈜OOOO OOOO체육관 냉난방 및 공조기 설치 현장에서 협력업체 ㈜OOOOO 소속 재해자가 체육관 천정 상부에서 냉난방 덕트 배관을 설치하던 중 체육관 바닥으로 추락(H≒8.9m)하여 사망한 재해임.</t>
  </si>
  <si>
    <t>체육관 천정 상부에서 냉난방 덕트 배관 중 추락</t>
  </si>
  <si>
    <t>2020년 7월경 ㈜OOOOOO이 시공하는 OOOO공사 등 2건 현장에서 재해자가 사다리(신축형)를 이용하여 집수정 상부(H≒6.2m)에 위치한 배수펌프 배관 연결부 용접부위 도색 작업중 실족하여 사다리에서 하부 작업발판과 지지대(H≒4.6m)로 1차 떨어진 후 집수정 안으로 재차 굴러 떨어져(깊이 0.5m) 사망한 재해임</t>
  </si>
  <si>
    <t>A형 사다리 위에서 배관 연결부 도색작업 중 몸의 균형을 잃고 바닥으로 추락</t>
  </si>
  <si>
    <t>2020년 8월경 OOO도 OO군 OO읍 소재 OOOOO(주)가 시공하는 ㈜OOOO에서 설비 제작 및 설치시운전 현장에서 협력업체 소속 배관공이 안전난간이 없는 이동식비계(높이 3.6M) 작업발판에 앉아 동료작업자가 배관 PIPE 설치지점을 실측한 내용을 기록하고 몸을 트는 순간 중심을 잃고 하부 콘크리트 바닥으로 떨어져 사망한 재해임</t>
  </si>
  <si>
    <t>2020년 9월경 OO시 OO읍 OOO OO 소재 OOOO(주) 공장 이전 보수공사 현장에서 OOOO(주) 소속의 재해자(남,직원) 2명이 LCD필름 가공장의 천장 위에서 환기설비(덕트관) 설치작업을 한 후 바닥으로 내려오기 위해 이동하던 중, 샌드위치 패널(EPS, 2,200×1,000×50)이 꺾이며 약 2.8m 아래 콘크리트 바닥으로 떨어져 부상당한 재해임.</t>
  </si>
  <si>
    <t>2020년 10월경 OO시 OO구 소재 ㈜OOOO, OOO 현장(공장) 천정 텍스  도색, 보수건 공사 현장에서 OOOO 소속의 재해자가 천장 환기 시설물 철거작업을 하기 위해 천정 텍스 내부(안)에서 이동 중 몸의 중심을 잃고 넘어지면서 높이 약 4m 공장 바닥으로 추락하여 인근병원에서 치료중 사망한 재해임.</t>
  </si>
  <si>
    <t>2020년 11월경 OO시 OO구 OO동 소재 OOOOO 「OOOO 신축공사」현장에서 재해자가 지하1층 천장에 설치된 소방배관에 하향식 스프링클러 배관 연결 작업 중, 니플을 체결하기 위해 A형으로 설치한 이동식사다리에 오르던 중 또는 사다리에서 배관연결 중 바닥으로 떨어져 병원으로 후송 치료 중 사망한 재해임._x000D_</t>
  </si>
  <si>
    <t>2020년 11월경 OO시 OO구 OO동 소재 ㈜OOOOO이 시공 중인 「OOO공사」현장에서 협력업체 ㈜OOOO 소속 재해자가 소방배관작업 중 압력테스트로 인하여 압력이 걸려 있는 배관 끝단부 캡의 연결부 볼트를 해체하던 중 배관 내부에 남아있던 압력에 의해 이탈되어 날아가는 캡에 안면부를 맞아 사망한 재해임</t>
  </si>
  <si>
    <t>소방배관작업 중 배관 끝단부 캡의 연결부 볼트를 해체하던 중 잔여압력에 의해 캡이 이탈되어 안면부 강타</t>
  </si>
  <si>
    <t>▶ 압력 배관 작업 시 압력을 확인할 수 있는 압력계 필히 설치할 것
▶ 압력 배관 작업 시 배관의 압력 제거에 대한 기준 선정 및 근로자에게 교육조치 실시</t>
  </si>
  <si>
    <t>2020년 11월경 OO도 OO시 OO면 소재 ㈜OOOOOO 시공하는 OO발전소 설치공사 현장에서 재해자가 농장 지붕에 태양광발전소 설치를 위해 지붕 상부에서 이동 중 선라이트를 밟아 파손되면서 약 6m 아래 축사 바닥으로 떨어져 병원으로 이송 치료 중 사망한 재해임_x000D_</t>
  </si>
  <si>
    <t>2020년 11월경 OOO도 OO시 OO로 소재 OOOO(주)가 시공하는 OOO O호 태양광 발전설비 건설공사 현장에서 OOOOO(협력업체) 소속의 재해자가 축사 지붕의 태양광 모듈 설치작업을 하던 중 선라이트(Sunlight)를 밟아 높이 약 5.0m 아래 바닥으로 추락하여 사망한 재해임.</t>
  </si>
  <si>
    <t>2020년 11월경 OOOO도 OO시 OO읍 소재 OOOO(주)에서 시공하는 음식물류폐기물공공처리시설 기계설비 철거공사 현장에서 OOOO(주) 소속 재해자가(남, 51)가 혐기성 소화조 탱크 철거(산소 절단) 작업 중 절단된 탱크 벽체 철판과 탱크 내부 MEDIA층이 붕괴되면서 재해자를 덮쳐 사망한 재해임</t>
  </si>
  <si>
    <t>혐기성 소화조 탱크 철거(산소 절단) 작업 중 절단된 탱크 벽체 철판과 탱크 내부 MEDIA층이 붕괴되면서 재해자를 덮침</t>
  </si>
  <si>
    <t>2020년 12월경 OOO도 OO군 OO면 소재 『㈜OOOOOO OOOOO공장 덕트 및 전기공사』현장에서, 재해자가 철재전동셔터 셔터박스(Shutter Box) 상부에서 FRP 덕트 설치 작업 중, 약 5m 아래 콘크리트 바닥으로 떨어져 병원 이송 치료 중 18:15경 사망한 재해임</t>
  </si>
  <si>
    <t>철재전동셔터 셔터박스 상부에서 FRP 덕트 설치 작업 중 추락</t>
  </si>
  <si>
    <t>2021년 2월경 OOO도 OO시에 위치한 OOOOOO 건설현장 내 터빈동에서 ㈜OOOOO 소속 재해자(OOO)가 안전대 훅을 이용하여 2층 바닥에 설치된 그레이팅을 들어 올리던 중 그레이팅과 함께 9.5m 아래로 추락하여 사망한 재해임.</t>
  </si>
  <si>
    <t>스틸 그레이팅을 들어 올리던 중 그레이팅과 함께 추락</t>
  </si>
  <si>
    <t>2021년 3월경 OOO도 OO시 OO읍 소재 OOOO(주)에서 시공하는 플랜트 현장 Water Quench Tower(증류탑) 내부에서, 재해자가 Support Beam(#1, #2, #3 Piece를 조립하여 구성)을 설치하던 중 가조립된 #1, #2 Piece의 볼트를 뽑은 상태에서 체인블럭으로 인양한 #3 Piece를 연결하려는 순간, #2 Piece가 전도되면서 연쇄적으로 전도된 #3 Piece(㉢자형, 가로 x 세로 x 폭 = 9,220 x 862 x 160mm, , t=12mm, 973kgf)와 기 설치된 Support Beam 사이에 재해자 목이 협착되어 사망한 재해임</t>
  </si>
  <si>
    <t>Water Quench Tower(증류탑) 내부에서, 재해자가 Support Beam을 설치하던 중 가조립된 #1, #2 Piece의 볼트를 뽑은 상태에서 체인블럭으로 인양한 #3 Piece를 연결하려는 순간, #2 Piece가 전도되면서 연쇄적으로 전도된 #3 Piece와 기 설치된 Support Beam 사이에 재해자 목이 협착</t>
  </si>
  <si>
    <t>▶ 인양한 부재를 가조립한 경우 전도 방지를 위해 벨트 등으로 체결하여 붙들어 지탱
▶ 부재를 조립하는 등의 작업 시 부재의 갑작스러운 전도 등의 위험을 방지할 수 있는 범위에서 작업 실시</t>
  </si>
  <si>
    <t>2021년 3월경 OO시 OO구 소재 OOOO 시설공사 현장에서 이동식비계를 사용하여 천장 상부에 위치한 신설 급수배관 연결작업을 하던 재해자가 원인 미상으로 바닥에 엎드려 있어 병원으로 후송·치료 중, 사망한 재해임.</t>
  </si>
  <si>
    <t>2021년 4월경 OO공장 현장에서 재해자가 고소작업대에 탑승하여 케이블트레이 접속부의 본딩접지 볼트체결을 위해 상체를 숙인 후 작업 중 고소작업대 안전난간과 소방배관 사이에 복부가 끼임</t>
  </si>
  <si>
    <t>2021년 4월경 OO도 OO시 소재 OOOO 지하2층 내 기계식 주차설비 리뉴얼공사 현장에서 재해자가 지하2층 슬래브에서 코어드릴을 이용한 천공 작업 중 드릴 날(비트)이 슬래브 바닥에 고정된 상태에서 불시 전원이 투입되어 회전하는 드릴 상부에 의해 슬래브 단부에서 지하 3층 바닥(h=5.7m)으로 떨어져 사망한 재해임.</t>
  </si>
  <si>
    <t>기계식 주차설비 리뉴얼공사 현장에서 지하2층 슬래브에서 코어드릴을 이용한 천공 작업 중 드릴 날(비트)이 슬래브 바닥에 고정된 상태에서 불시 전원이 투입되어 회전하는 드릴 상부에 의해 슬래브 단부에서 지하 3층 바닥으로 떨어져 추락 사망한 재해임.</t>
  </si>
  <si>
    <t>▶ 코어드릴 사용시 절단 작업 중 회전날 노출이 최소화 되도록 날 접촉예방장치 보완 설치
▶ 코어드릴 사용시 물체를 고정한 상태에서 작업을 수행하며, 갑작스런 전원공급을 방지하기 위해 미사용 시 전력차단 
▶ 추락 위험이 있는 작업 시 비계 조립, 안전발판 등 추락방지조치 실시</t>
  </si>
  <si>
    <t>2021년 5월경, OO시 OO읍 소재 숙박시설 신축공사 현장 지하 기계실에서, 재해자가 이동식비계 작업발판을 이탈하여 수평보강재를 밟고 외부에서 전등설비 (레이스웨이) 설치 작업 중 추락(H≒2.2m), 병원으로 후송되었으나 치료 중 사망함</t>
  </si>
  <si>
    <t>2021년 7월경 OO시 OO구에 위치한 OOOO빌딩 기계식주차장치 3호기 내에서 ㈜OOOOOO 소속 재해자가 상부에서 떨어진 래칫렌치에 맞아 사망한 재해임</t>
  </si>
  <si>
    <t>기계식주차장치 내에서 상부에서 떨어진 래칫렌치에 맞음</t>
  </si>
  <si>
    <t>▶ 안전모 등 개인보호구 지급 및 착용 철저
▶ 자재 이탈을 방지하기 위한 보관함 설치</t>
  </si>
  <si>
    <t>2021년 7월경 ㈜OOOO이 시공하는 OO시 OO구 소재 OOOO 이중배관/탱크 교체 건설공사 현장에서 버팀대 보강 용접작업 중 생긴 불티가 오염된 토양 속에서 발생한 유증기와 만나 발생한 것으로 추정되는 화재·폭발에 의해 용접작업 중이던 흙막이공사 협력업체 ㈜OOOO 소속 재해자가 전신 2도 화상을 입고 치료 중 사망한 재해임.</t>
  </si>
  <si>
    <t>보강 용접작업 중 생긴 불티가 오염된 토양 속에서 발생한 유증기와 만나 화재·폭발에 의해 용접작업 중이던 재해자가 화상</t>
  </si>
  <si>
    <t>2021년 7월경 OO시 OO구 소재 OOOOO아파트 지하 1층 물탱크실에서 재해자(용접공)가 배관의 누수 부위 확인 및 보수작업 협의를 위해 물탱크 상부에 올라가 있던 중 2.59m 아래 바닥으로 추락하여 병원으로 이송되었으나 치료 중 사망함.</t>
  </si>
  <si>
    <t>2021년 8월경 OOO도 OO시 소재 ㈜OO가 시공하는 OO 기숙사 확충 기계·설비공사 현장에서 배관보조공이 접이식사다리(A형) 위에서 배관 보온재 설치작업 중 몸의 중심을 잃고 바닥으로 떨어져(H≒1.9m) 병원으로 이송·치료 중 사망한 재해임.</t>
  </si>
  <si>
    <t>2021년 10월경 ㈜OOOOO에서 시공하는 OO도 OO시 소재 OOOO(주) OOO동 OOOO 제조설비 설치 공사 현장에서 배관공사 협력업체 OOOOO 소속 재해자가 생산D동 5층 보관실천장 상부에서 배관 서포트 설치작업을 위한 레이저측량 작업 중 5층 보관실 천장 개구부에서 약 4.5m 아래 5층 보관실 바닥으로 추락하여 병원에서 치료 중 재해당일 사망한 재해임.</t>
  </si>
  <si>
    <t>2021년 11월 OOO도 OO시 소재, OO빌딩 뒤 기계식 주차장치 철거작업을 진행하던 (유)OOOO 소속 근로자(3명)가 지붕 패널 해체 후 지상으로 내려오기 위해 주차운반기에 설치된 차판을 타고 내려오는 과정에서 주차리프트의 급하강으로 인해 차판에 탑승한 상태로 약 5.8m 아래 바닥으로 떨어져 부상당한 재해임(3개월이상 요양 2명)_x000D_</t>
  </si>
  <si>
    <t>기계식 주차설비 철거 현장에서 지붕패털 해체 후 카리프트를 타고 내려오던 중 카리프트의 급하강으로 카리프트와 함께 추락</t>
  </si>
  <si>
    <t>형틀공인 재해자가</t>
  </si>
  <si>
    <t>형틀공인 재해자가 정화조 시공용 강관파이프를 운반 중, 기초 거푸집 측면 토사 선단부에서 실족(H≒0.9m)하면서 바닥에 삽입된 철근(지름 10mm)에 입 속이 찔려 병원으로 후송하였으나, 내상 및 과다 출혈로 인해 사망한 재해임.</t>
  </si>
  <si>
    <t>정화조 시공용 강관파이프 운반 중 기초 거푸집 측면 토사 선단부에서 근로자가 실족하면서 바닥에 삽입된 철근으로 넘어짐</t>
  </si>
  <si>
    <t>▶ 작업장 내 근로자를 위한 안전 통로 설치 및 관리
▶ 협소한 작업공간에서의 자재 운반 경우 넘어짐 방지를 위한 토사 단차구간 제거 및 부득이 존치할 경우 작업발판을 단차구간 상부에 설치</t>
  </si>
  <si>
    <t>OO시 OO동 소</t>
  </si>
  <si>
    <t>OO시 OO동 소재 (주)○○○○건설이 시공하는 (주)○○○○ 신축공사 현장에서 협력업체 소속 재해자가 모노레일식 호이스트 작업대 작업발판(철판망) 설치작업을 위해 호이스트 작업대 상부를 이동하던 중 몸의 중심을 잃고 H=11.6 m 아래 지상바닥으로 떨어짐.</t>
  </si>
  <si>
    <t>OO 소속 재해자</t>
  </si>
  <si>
    <t>OO 소속 재해자가 지상2층 설비배관 작업을 위하여 개구부 상에 작업발판을 설치하는 도중 실족하여 개구부(1.12m×0.97m)로 작업발판과 동시에 1층 콘크리트 바닥으로 추락(H≒7.5m)하여 사망</t>
  </si>
  <si>
    <t>5.3 엘리베이터 설치 작업</t>
  </si>
  <si>
    <t>5.3.1 엘리베이터 기계 설치</t>
  </si>
  <si>
    <t>2016년 2월경 OO건설의 공장 신축공사 현장에서 재해자가 지상 1층 화물용 엘리베이터 출입문 앞에서 내부 판넬 조정을 위한 준비작업 중 엘리베이터 하부와 지상 1층 바닥 사이 공간(높이 약 80cm, 폭 282cm)으로 실족하여 지하 1층 엘리베이터 피트 바닥(높이 6.2m)으로 떨어져 사망</t>
  </si>
  <si>
    <t>안전난간이 미설치된 바닥 개구부 주변 작업 중 근로자 추락</t>
  </si>
  <si>
    <t>▶ 추락 위험 구간에 작업발판 및 안전난간 설치 또는 추락방지망을 설치하는 등 추락 방지 조치 실시한 후 작업 실시
▶ 안전난간 등 추락 방지용 안전시설물 설치가 곤란한 경우, 근로자 작업구간에 안전대 부착설비를 견고하게 설치하고 근로자에게 안전대 지급 및 체결여부 점검 관리감독 실시
▶ E/V 출입문 앞에서 카운터블럭케이스 등 무거운 자재를 인양하는 작업을 할 경우, 리모컨 작동인원 이외의 자재를 운반하는 인원을 2명이상 배치하고, 안전난간 설치, 안전대 부착설비 설치 등 안전방호조치 실시 후 작업진행</t>
  </si>
  <si>
    <t>2016년 7월경, OO시 OO구 OO동 소재, OOOO(주)이 시공하는 OOOO 신축공사 현장에서 하청업체 (주)OOOO 소속 재해자(기계설비공) 2명이 자동차용 승강기 내부 가설작업대 상부에서 승강기 레일 설치 작업을 위해 윈치로 레일(L형강, 4.65m, 약 110kg)을 인양하던 중 인양중인 레일에 결속된 와이어로프가 풀려 재결속을 위해 벽체 철골보로 이동한 후 OOO가 가설작업대를 하강하던 순간 벽체에 기대져 있던 레일이 전도되며 OOO은 가설작업대 단부에서 지하1층 바닥(H≒28m)으로 추락하여 사망, OOO은 전도되던 레일에 맞아 손가락이 골절 된 재해임.</t>
  </si>
  <si>
    <t>승강기 레일 설치작업을 위해 레일을 인양하던 중 레일에 결손된 로프가 풀려 재결속을 위해 벽체 철골보로 이동한 후  가설작업대를 하강하던 순간에 벽체에 기대져 있던 레일이 전도되며 가설작업대 탑승 중인 근로자가 단부에서 바닥으로 추락</t>
  </si>
  <si>
    <t>▶ 자동차용 승강기 레일 설치작업 시, 가설작업대는 개구부가 발생하지 않도록 밀실하게 설치하며 작업대 4면에 모두 상부, 중간 안전 난간대를 설치하도록 조치
▶ 자동차용 승강기 레일 설치작업 시, 불가피하게 가설작업대를 벗어나야 하는 경우, 안전대를 체결한 후 이동 및 작업하도록 조치
▶ 자동차용 승강기 레일 설치작업 시, 가설작업대에 레일 등과 같은 자재를 기울여 놓는 경우, 가설작업대의 상하부 이동 시 발생할 수 있는 자재의 전도를 방지하기 위해 자재를 평탄한 발판 위에 올려놓는 등의 전도방지조치를 취한 후 작업 진행
▶ 근로자 개인보호구 지급 및 착용상태 관리감독</t>
  </si>
  <si>
    <t>2017년 5월경 OO시 OO구 소재한 ㈜OOO OOOO 신축공사 현장에서 협력업체 OOOO(주) 소속 재해자가 지하1층 E/V 홀 전실에 있는 화물용 엘리베이터 카운터블럭케이스를 벽체에 기대어 세워 E/V 홀 내부로 호이스트를 사용하여 옮기던 중 엘리베이터 카운터블럭케이스가 넘어지자 이를 피하려다 E/V 홀 내부 약 8m  아래 콘크리트 바닥으로 떨어져 사망한 재해임.</t>
  </si>
  <si>
    <t>엘리베이터 피트 내부에서 자재 및 공구 운반 또는 이동, 설치작업 중 근로자 추락</t>
  </si>
  <si>
    <t>▶ 추락 위험 구간에 작업발판 및 안전난간 설치 또는 추락방지망을 설치하는 등 추락 방지 조치 실시한 후 작업 실시
▶ 안전난간 등 추락 방지용 안전시설물 설치가 곤란한 경우, 근로자 작업구간에 안전대 부착설비를 견고하게 설치하고 근로자에게 안전대 지급 및 체결여부 점검 관리감독 실시
▶ 엘리베이터 피트 내부에서 인력으로 자재, 공구를 전달하는 작업방법을 지양하고, 되도록 장비를 사용하여 양중을 실시, 부득이하게 인력 운반 시 안전대 체결 등 관리감독 철저
▶ E/V 출입문 앞에서 카운터블럭케이스 등 무거운 자재를 인양하는 작업을 할 경우, 리모컨 작동인원 이외의 자재를 운반하는 인원을 2명이상 배치하고, 안전난간 설치, 안전대 부착설비 설치 등 안전방호조치 실시 후 작업진행</t>
  </si>
  <si>
    <t>2017년 7월경 공장 장비 교체공사 현장에서 재해자가 노후된 버켓엘리베이터(H≒4.5m) 해체작업을 하던 중, 산소절단 작업 시 발생되는 연기(흄)를 제거하기 위해 설치한 송풍기를 드는 순간 감전되어 약 2m아래의 작업발판으로 떨어져 사망</t>
  </si>
  <si>
    <t>산소절단 작업 중 발생하는 연기를 제거하기 위해 송풍기를 트는 순간 감전되어 바닥으로 추락</t>
  </si>
  <si>
    <t>▶ 전기기계 및 기구의 사용 시, 임시분전함 외함접지 실시, 접지극이 있는 코드 및 플러그 사용, 접지극에 접지선을 연결, 누전차단기 설치 등과 같은 감전재해 예방조치 실시 
▶ 기계장치 상부 등 추락위험이 있는 작업장소에 안전난간, 안전대 부착설비를 설치하여 작업자가 안전대를 체결한 상태로 작업 및 이동할 수 있도록 조치</t>
  </si>
  <si>
    <t>2017년 11월경 OO도 OO시 소재 OOOO 승강기 재설치 공사 현장에서 OOO(사망자) 및 동료작업자(4명)들이 철거된 기존 승강기 폐자재를 지하 5층에 세워둔 화물차에 싣는 작업을 하기 위해 신규로 설치된 승강기를 사용하여 폐자재를 운반 후, 1층에 Parking(이하 파킹) 시키려 하던 중, 카가 상승하면서 승강로 내에 있던 OOO(재해자)가 카와 승강장문 사이에 끼여 사망함</t>
  </si>
  <si>
    <t>승강기 카 상부 또는 카 내부에 탑승하여 운반 등의 작업 중 승강장 문이나 승강로 벽체에 근로자 끼임</t>
  </si>
  <si>
    <t>▶ 승강기 카 내부, 상부 등에서 작업 시 단독작업을 금지하고, 스위치 작동 등을 임의 조작하지 못하도록 사전에 운전 정지 또는 전원 차단 등의 조치
▶ 승강기 탑승 전 상태점검을 실시하여, 방호장치 등에 결함이 발견된 경우, 정비 후 사용 조치
▶ 승강기 방호장치의 임의 해제 및 사용 중지 등을 금지하도록 근로자 교육</t>
  </si>
  <si>
    <t>2017년 12월경, OOO도 OO시 OO구 소재 OOOOOO(주)  OOOO 신축공사 현장에서 협력업체 OOOO(주) 소속 재해자가 승강기 카(Car)상부에서 카도어를 닫기 위해, 카 상부에 설치되어 있는 안전난간 1단과 2단 사이로 몸을 숙여 카와 승강로 벽체 사이로 팔을 뻗어 카도어를 닫는 순간, 지하1층과 지상1층 중간지점에 있던 카가 지상1층으로 리레벨링(상승)하면서 카와 승강로 벽체 사이에 몸이 협착, 병원으로 후송하였으나 사망한 재해임.</t>
  </si>
  <si>
    <t>2017년 12월경 OO시 OO구 소재 ㈜OOOOO에서 시공하는 OOOO 철거현장에서 고철·비철 수거업체 소속 OOO이 승강기 해체를 위해 승강기 피트 하부에서 산소-LPG 용접기로 승강기 카(car)와 균형추에 연결된 주로프(와이어로프)를 용단하던 중 상부에 위치한 승강기 카가 지상으로 떨어지며 압사한 것으로 추정 됨.</t>
  </si>
  <si>
    <t>승강기 해체를 위해 PIT 하부에서 카와 균형추에 연결된 로프를 용단하던 중 상부에 위치한 카가 낙하하며 깔림</t>
  </si>
  <si>
    <t>▶ 승강기 해체 작업 전, 사전 작업계획서를 수립하여 작업 방법을 계획하고, 작업 시 관리감독할 수 있는 작업지휘자를 배치
▶ 승강기 해체 작업 시, 이해도와 숙련도가 높은 작업자에게 작업지시
▶ 승강기 해체 작업 시, 승강기 카를 하부에 위치한 후, 상부에서 승강기 카와 균형추 연결로프를 절단하도록 조치</t>
  </si>
  <si>
    <t>2018년 2월경 OOO시 OO구 소재 OOOO사옥 내 노후 승강기(엘리베이터) 인테리어 공사 중 지하 3층에서 승강기 1호기 카(CAR) 내부 핸드레일을 설치(고정)하기 위해 OOO은 카 내부, 재해자 OOO는 카 우측의 승강로 내부 중간 빔 위에 서서 작업하려던 중 승강기 2호기가 하강하면서 1호기와 2호기 카 사이(60cm)에 신체가 끼어 119에 의해 구조되어 인근 병원에서 치료도중 사망한 재해임</t>
  </si>
  <si>
    <t>엘리베이터 수리 또는 설치 작업 중 갑작스러운 카 작동 등의 원인으로 카와 벽체 또는 승강장 문 사이에 근로자 끼임</t>
  </si>
  <si>
    <t>▶ 승강기 설치, 정비, 보수 등의 작업 시 운전 정지 및 전원 차단 조치
▶ 작업 지휘자 선임, 관계근로자 외 사람의 출입 금지 등 안전조치 실시
▶ 근로자 개인보호구 지급 및 착용상태 관리감독</t>
  </si>
  <si>
    <t>2018년 9월경 승강기 교체공사 현장에서 재해자는 기존 승강기 해체를 위해 설치한 체인블럭과 전동호이스트 해체작업을 실시하기 위해 3층에 위치한 승강기 내부에 설치된 기울어진 비계 작업발판에서 전동호이스트 해체 작업을 하다 작업발판 주변 개구부 12m 아래 승강기 바닥으로 추락하여 사망</t>
  </si>
  <si>
    <t>▶ 추락 위험 구간에 작업발판 및 안전난간 설치 또는 추락방지망을 설치하는 등 추락 방지 조치 실시한 후 작업 실시
▶ 안전난간 등 추락 방지용 안전시설물 설치가 곤란한 경우, 근로자 작업구간에 안전대 부착설비를 견고하게 설치하고 근로자에게 안전대 지급 및 체결여부 점검 관리감독 실시</t>
  </si>
  <si>
    <t>2019년 3월경 OO시 OOO구 소재 OOOO아파트에서 OOOO(주) 소속 근로자 2명이 노후 엘리베이터 교체공사 중, 엘리베이터의 카를 임시로 매달고 있던 고리(카라비너)가 벌어져 카가 18층에서 1층 바닥으로 낙하하면서 카 위에서 작업하던 근로자 2명이 함께 추락하여 사망함_x000D_</t>
  </si>
  <si>
    <t>승강기 교체공사 중 승강기를 임시로 매달고 있던 고리(카라비너)가 벌어져 승강기와 함께 추락</t>
  </si>
  <si>
    <t>▶ 승강기 해체작업 전 중량물 취급 등의 작업계획서를 검토 및 수립하여 승강기 매달기 구조나 체결 방식을 선정하는 등 안전한 작업방식을 검토
▶ 중량물을 지지하는 달기구는 충분한 강도를 가지고 목적에 맞는 것을 선정해야 하며, 관리감독자는 와이어로프 등을 매달기 전 로프 등의 상태 및 체결 고정상태 등을 반드시 점검하고 이상 발견 시 즉시 교체를 지시
▶ 달기 체인은 관리감독자가 작업 전 육안점검을 통해 제조된 때의 길이의 5%를 초과하거나, 링의 단면지름이 제조된 때의 해당 링의 지름의 10%를 초과하여 감소한 것, 심하게 변형된 것은 사용을 금지
▶ 작업 지휘자 선임, 관계근로자 외 사람의 출입 금지 등 안전조치 실시</t>
  </si>
  <si>
    <t>2019년 7월경, OOOO(주)에서 시공 중인 OOOO 신축공사현장 3, 4호 라인의 엘리베이터 도어 소음 및 버튼 불량 A/S작업 중이던 재해자(OOO)가 엘리베이터 승강로 지상 1층과 2층 사이 엘리베이터카와 벽체 사이에 끼여 사망한 재해임.</t>
  </si>
  <si>
    <t>2019년 10월경 OOO시 OO군에 소재한 OOOO이 시공중인  OOOO 공장 엘리베이터 슬래브 해체공사 현장에서 직영 근로자인 OOO이 엘리베이터 슬래브 해체를 위해 절단기를 이용하여 작업하던 중, 데크플레이트가 무게를 버티지 못하고 하부로 꺽이면서 생긴 개구부(1.1m×1.2m)를 통해 재해자가 엘리베이트 피트 바닥(H≒13.4m)으로 떨어져 병원으로 후송 치료 중 사망한 재해임.</t>
  </si>
  <si>
    <t>E/V 슬래브 해체를 위해 절단기로 작업하던 중 데크플레이트가 하중을 버티지 못하고 파손되면서 생긴 개구부를 통해 E/V PIT 바닥으로 추락</t>
  </si>
  <si>
    <t>▶ E/V 옥탑 슬래브 해체 공사 시, 옥탑 안전 난간대를 설치하고, 안전블럭 등을 통해 안전대 부착설비 구축 및 작업자 안전대 체결상태 확인 후 작업 실시
▶ 노후화된 구조체의 경우 해체 전, 사전 검토를 통해 보강이 필요할 경우 지지대 등의 보강재 설치 후 해체 작업 진행
▶ 작업자의 개인보호구, 안전대 체결여부 점검 및 관리감독</t>
  </si>
  <si>
    <t>2019년 10월경, OOO도 OO시 OO읍 소재, OOOO 근생 증축공사현장에서 엘리베이터 자재 양중용 윈치를 승강로 상부(옥탑 철골구간)에 설치하기 위해, 재해자가 승강로 내부(지상4층)에서 강관비계를 이용하여 임시작업대를 설치하던 중, 강관비계 시설물과 함께 약12m바닥으로 떨어져 사망한 재해임.</t>
  </si>
  <si>
    <t>2019년 11월경, OO시 OO로 소재, OOOO 아파트 201동 1호기 엘리베이터에서 (유)OOOO 소속 재해자가 엘리베이터 카 상부에서 고장 수리 작업을 하던 중 엘리베이터가 갑자기 상승하여 재해자가 승강장 문턱 아래에 끼이면서 사망한 재해임</t>
  </si>
  <si>
    <t>2019년 12월경, OOO도 OO시 소재 OOOO(주)(발주자)내에서 원청(OOOO(주))의 하청업체인 OOOO(주) 소속 재해자가노후 승강기(엘리베이터) 교체공사 중, 승강로 균형추 프레임 상부에서 카 벽면 판넬 설치작업을 하다 승강로 바닥으로 추락(높이: 15미터)하여 사망함._x000D_</t>
  </si>
  <si>
    <t>2020년 9월경 OO시 OOO구 소재 OOOO(주) OOOO현장 승강기 제작·판매·설치공사에서 재해자가 각 층의 엘리베이터 설치현황을 확인하던 중 8층 계단참 창호 개구부에서 추락H=23m), 병원으로 후송되었으나 사망한 재해임</t>
  </si>
  <si>
    <t>각 층의 엘리베이터 설치현황 확인을 위해 계단으로 이동중 계단참 창호 개구부에서 추락</t>
  </si>
  <si>
    <t>▶ 개구부 등 추락위험 구간에 안전난간 설치 등 추락 방지 조치
▶ 추락 위험 장소는 안전시설물 설치 전 근로자 출입통제 조치 실시</t>
  </si>
  <si>
    <t>2020년 11월경 재해자가 OO동 1~2호라인 승강기(11호기) 점검을 마치고 3~4호라인 승강기(12호기) 점검을 위해 옥상 경사지붕 위로 이동하던 중에 중심을 잃고 바닥으로 추락(H≒14m)하여 사망</t>
  </si>
  <si>
    <t>안전난간이 미설치된 옥상 경사지붕 이동 중 몸의 균형을 잃고 바닥으로 추락</t>
  </si>
  <si>
    <t>2020년 12월경 OOOOOO(주) OOOO건물 승강기 교체공사 현장에서 ㈜OOOOOO 소속 재해자가 승강기 내부에서 철거작업 중 기계실에서 승강기를 매달고 있던 체인이 끊어지면서 승강기가 낙하하여 추락(H≒22.9m)하여 사망한 재해임.</t>
  </si>
  <si>
    <t>승강기 교체를 위해 기존 승강기 해체 작업 중 승강기를 매달고 있던 체인(줄거리로프 등)이 끊어지면서 승강기와 함께 추락</t>
  </si>
  <si>
    <t>2021년 1월경 OO도 OO시 O구 소재 ㈜OOO OOO 승강기 교체공사 현장에서 승강기 교체공사 협력업체 소속의 재해자가 엘리베이터의 승강로 내부에서 임시카를 타고 도어행거(지상 2층) 철거 작업을 하던 중, 임시카를 매달고 있던 줄걸이 로프(슬링벨트)가 파단되면서 약 5미터 아래 PIT바닥으로 임시카와 함께 추락하여 사망한 재해임._x000D_</t>
  </si>
  <si>
    <t>2021년 2월경 OOO도 OO시 OO동 소재 ㈜OOOO에서 시공하는 OOOO 신축공사현장에서 승강기 설치공사 공동수급사인 ㈜OOOO 소속 OOO(이하 “재해자”)이 타워 B동 화물용 승강기 출입문 설치작업 준비를 위해 운반구에 실려있는 금속절단기, 자재 등을 승강장으로 꺼내는 과정에서 실족하여 운반구와 승강장 사이의 개구부로 약 15m 추락하여 지하3층에 설치된 비계에 충돌 후 사망함</t>
  </si>
  <si>
    <t>승강기 출입문 설치작업 준비를 위해 운반구에 실려있는 금속절단기, 자재 등을 승강장으로 꺼내는 과정에서 실족하여 운반구와 승강장 사이의 개구부로 추락</t>
  </si>
  <si>
    <t>2021년 12월경 OO도 OO군 소재 OO공장 신축공사 현장에서, 화물용 승강기 피트 내부에서, 이동하던 재해자가 작업발판과 구조물 사이로 떨어져(H≒18m) 병원으로 후송, 치료 중 사망함.</t>
  </si>
  <si>
    <t>5.3.2 엘리베이터 가이드레일 설치</t>
  </si>
  <si>
    <t>2016년 1월경 OO시 OO동 소재 리모델링공사 현장 내 4층 승강로 내부에서 협력업체 소속 재해자가 산소절단기로 덤웨이터(dumbwaiter) 가이드레일 철거작업 중 덤웨이터 균형추를 지지하고 있던 현수로프를 절단하여 덤웨이터 균형추가 떨어지면서 머리를 맞아 사망한 재해임.</t>
  </si>
  <si>
    <t>승강로 내부에서 덤 웨이터 가이드레일을 철거하던 중 균형추를 지지하고 있던 로프를 절단하여 떨어지는 균형추와 충돌</t>
  </si>
  <si>
    <t>▶ 덤 웨이터 철거 작업 시, 기계설비상 또는 작업상 발생할 수 있는 위험 요인에 대해 사전 조사를 실시한 후 작업계획서를 수립하여 작업 진행
▶ 덤 웨이터 철거 작업 시, 덤 웨이터는 별도의 비상정지장치가 없으며 카와 균형추가 현수로프에만 지지된 상태로 운행된다는 사실을 인지하고 현수로프를 먼저 절단하여 카 또는 균형추를 밑으로 내린 후, 레일을 철거하는 등의 안전한 방법으로 작업개선</t>
  </si>
  <si>
    <t>2016년 8월경 OO시 OO구 소재 OOOO(주)에서 시공하는 OOOO OO빌딩 엘리베이터 교체공사 현장에서 협력업체 ㈜OO 소속 근로자 OOO이 지상14층에 위치한 엘리베이터 카 상부에서 와이어로프, 레일 철거작업중 임시로 엘리베이터를 매달고 있는 호이스트(5톤)의 체인이 파단되어 지하1층 엘리베이터 핏트로 추락 사망한 재해임.</t>
  </si>
  <si>
    <t>E/V 카 상부에서 E/V 로프, 레일 등을 철거하던 중 임시 카를 매달고 있는 호이스트의 연결체인 링이 파단되며 카와 함께 PIT 바닥으로 추락</t>
  </si>
  <si>
    <t>▶ 링의 일부분이 절단된 연결체인을 메인체인과 연결하여 사용하지 않도록 관리감독
▶ 달기 체인은 관리감독자가 작업 전 육안점검을 통해 제조된 때의 길이의 5%를 초과하거나, 링의 단면지름이 제조된 때의 해당 링의 지름의 10%를 초과하여 감소한 것, 심하게 변형된 것은 사용을 금지
▶ E/V의 설치 및 해체 등 추락할 위험이 있는 작업 시, 안전난간대, 안전대 부착설비 설치 등의 안전방호조치 실시
▶ 근로자의 개인보호구 착용 및 안전대 체결여부 점검 및 관리감독</t>
  </si>
  <si>
    <t>2016년 9월경, OOO도 OO시 OO구 소재, 『㈜OOOO, OOOO신축』현장에서 재해자가 가이드레일 설치작업 중 가이드레일을 인양하고 있던 후크가 해지되어 가이드레일이 넘어졌고 작업발판이 지지대 위에서 탈락되면서 레일을 붙잡고 있던 재해자가 레일과 함께 승강기 피트 바닥으로 떨어져(H=19.8m) 사망한 재해임</t>
  </si>
  <si>
    <t>E/V 가이드레일 설치작업 중 레일을 인양하던 후크가 해지되어 레일 부재가 넘어지면서 작업발판이 지지대 위에서 탈락되며 레일을 붙잡고 있던 근로자가 레일과 함께 추락</t>
  </si>
  <si>
    <t>▶ 가이드레일 인양 및 설치 작업 시, 해지장치가 부착된 훅 사용
▶ 승강기 설치 시 호이스트에 전용 탑승설비를 설치하는 것을 지향하고 별도의 전용 탑승설비가 없어 작업발판을 설치하는 경우 승강로용 브라켓 등을 사용하여 작업발판을 움직이거나 탈락되지 않도록 견고하고 밀실하게 설치</t>
  </si>
  <si>
    <t>2016년 9월경 OO시 OO구 소재 OOOO(주)에서 시공하는 OOO 에스컬레이터 가이드레일 교체공사 현장에서 협력업체(㈜OOOO)소속 재해자가 에스컬레이터 스텝체인 설치 작업 중 스텝체인 전진을 위해 에스컬레이터 구동부 체인 스프로켓 작동 중 전진하던 스텝지지대와 레일지지대 사이에 머리가 끼어 119구조 후 병원으로 후송 치료중 사망한 재해임</t>
  </si>
  <si>
    <t>에스컬레이터 스텝체인 설치작업 중 스텝체인의 전진을 위해 구동부 체인 스프로켓 작동 과정에서 스텝 지지대와 레일 지지대 사이에 근로자 두부 협착</t>
  </si>
  <si>
    <t xml:space="preserve">▶ 에스컬레이터의 수리 및 교체 시 내부에 작업자가 있는 상태에서 기계의 작동금지 조치
▶ 에스컬레이터의 스텝체인을 당길 시, 내부가 아닌 외부에서 당김작업을 실시
▶ 에스컬레이터의 수리 및 교체 시 불가피하게 내부에서 기계를 작동하는 경우, 내부에 있는 작업자가 리모컨으로 기계를 조작할 수 있도록 조치 </t>
  </si>
  <si>
    <t>2016년 10월경 OOO도 OO시 소재 OOOO구역 정비공사 수로관(플륨관) 설치작업 현장에서 ㈜OOOO 소속 재해자(OOO)가 통행차량 유도를 위해 도로상에서 교통정리 중 후진하는 굴삭기에 부딪혀 사망한 재해 임.</t>
  </si>
  <si>
    <t>수로관(플륨관) 설치작업 현장에서 근로자가 도로상에서 통행차량을 통제하던 중 후진하는 굴삭기와 충돌</t>
  </si>
  <si>
    <t>▶ 차량계 건설기계 작업반경 내 근로자 접근 금지 조치 및 유도자 배치
▶ 차량 통행이 많은 경우 교통신호수 추가 배치</t>
  </si>
  <si>
    <t>2016년 11월경 OO도 OO시 OO읍 소재 OOOO(주) OO공장 증축 건설현장 내 자재준비실 화물용 승강기 설치 작업장에서 OOOO(주) 소속 재해자가 승강기 실린더 상하부 도르래에 와이어로프 연결작업을 위해 2층과 3층 사이의 H빔 위에서 와이어로프를 인력으로 끌어올려 도르래에 감던 중, 약 12m 아래 콘크리트 바닥으로 떨어져 사망한 재해임.</t>
  </si>
  <si>
    <t>승강기 설치작업 중 승상기 실린더 상하부 도르래에 와이어 로프를 연결하기 위해 H빔 위에서 인력으로 로프를 올리던 중 H빔과 도르래 사이의 개구부를 통해 바닥으로 추락</t>
  </si>
  <si>
    <t>▶ 승강기 설치 공사 중, 도르래에 와이어로프를 설치하는 작업단계에서 H-BEAM에 올라타 작업하는 등의 불안전한 작업방법을 금지하고 이동식비계를 설치하여 작업안전성을 확보한 후 작업 진행하도록 조치
▶ 승강기 설치 공사 시, 추락의 위험이 있는 작업을 진행할 경우, 철골기둥 승강용 트랩에 안전대를 걸고 작업을 실시
▶ 근로자의 개인보호구 착용 및 안전대 체결여부 점검 및 관리감독</t>
  </si>
  <si>
    <t>2017년 4월경, OOO도 OO시 OO읍 소재 「OOOO(주) OOOO 신축 현장」105동 9층 승강기 레일 설치 작업장에서 OOOO 소속 재해자가 승강기 출입구 바닥과 승강기실 내부의 레일 설치 작업용 임시카 1단 작업발판 사이를 이동하던 중, 출입구 바닥과 약 1.2m 높이의 임시카 1단 작업발판 사이 개구부(폭 1m, 높이 1.2m)로 재해자가 빠지면서 승강기실 내 지하 4층 바닥으로 떨어져 사망한 것으로 추정되는 재해임.</t>
  </si>
  <si>
    <t>승강기 레일 설치 작업장에서 승강기실 내부의 레일 설치 작업용 임시 카 1단 작업발판 사이를 이동하던 중 작업발판 사이 개구부(폭 약 1m)로 떨어짐</t>
  </si>
  <si>
    <t>▶ 작업발판 설치 시 발판 틈새간격은 3cm 이하로 설치하고, 뒤집히거나 떨어지지 않도록 지지대에 견고하게 고정
▶ 엘리베이트 승강로 피트 등 추락 위험구간에서 근로자 작업 시 안전블럭 등을 설치하여 안전대 체결상태로 작업 실시</t>
  </si>
  <si>
    <t>2017년 6월경 OOO시 OO구 소재 OOOO빌딩 엘리베이터 확장공사 현장에서 재해자가 지상5층 엘리베이터 피트 슬래브 단부에서 윈치로 인양된 H형강을 슬래브 위로 옮기기 위해 끌어당기던 중 H형강을 지지하던 로프가 갑자기 풀리면서 H형강과 함께 약 15.0m아래 엘리베이터 피트 바닥으로 추락하여 사망한 재해임.</t>
  </si>
  <si>
    <t>슬래브 단부에서 윈치로 인양된 H형강을 슬래브 위로 옮기기 위해 끌어당기던 중 H형강을 지지하던 로프가 갑자기 풀리면서 H형강과 함께 약 15.0m아래 엘리베이터 피트 바닥으로 추락</t>
  </si>
  <si>
    <t>▶ 자재 인양 전 인양용 와이어로프 및 안전장치(훅 해지장치 등) 부착 및 상태 점검
▶ 슬래브 단부 등 근로자가 추락할 위험이 있는 곳에서 작업 시 안전대 부착설비 설치 및 안전대 체결여부 점검 및 관리감독</t>
  </si>
  <si>
    <t>2018년 1월경 OOO도 OO시 소재 OOOO(주) OO공장내에서 OOOO(주) 소속 재해자(OOO)가 동료 작업자 2명과 함께 7층 Panel Lifter 2호기의 Main Seive, Wire, Base Plate 교체 및 방책 재장착 작업을 실시하고 공구 등을 아래로 내리던 중, 1.5m떨어진 Panel Lifter 1호기의 커플링에 재해자의 상체에 착용된 안전대 걸이(2개걸이 방식)가 말려 어깨 및 엉덩이 부위가 절단되어 사망한 재해임.</t>
  </si>
  <si>
    <t>Panel Lifter 2호기의 설비 정비 후 공구 등을 아래로 내리던 중 Panel Lifter 1호기의 커플링에 재해자의 안전대 걸이가 말려 들어가 끼임</t>
  </si>
  <si>
    <t>▶ 승강기 설치, 정비, 보수 등의 작업 시 운전 정지 및 전원 차단 조치
▶ Panel Lifter 상부 방호장치 등을 임의 해제하지 않도록 관리감독
▶ 작업 지휘자 선임, 관계근로자 외 사람의 출입 금지 등 안전조치 실시
▶ 근로자 개인보호구 지급 및 착용상태 관리감독</t>
  </si>
  <si>
    <t>2018년 10월경 OO시 OO구 소재 OOOO(주)에서 시공하는 OOOO아파트 승강기 교체 공사현장에서 하도급업체인 OOOO(주) 소속 OOO이 승강기 교체를 위해 균형추(카운터 웨이트) 체대에 권상용 와이어로프 7본을 연결하는 작업 중 균형추 가이드레일 밖으로 이탈한 로프 1본을 정렬하려다 엘리베이터 피트 바닥으로 떨어져(H≒68m) 119 구급차로 병원에 후송 하였으나 사망한 재해임.</t>
  </si>
  <si>
    <t>2020년 7월경 OO시 OO읍 소재 ㈜OOOO에서 시공하는 OOOO 창고시설 신축공사 현장에서 화물용 엘리베이터 설치작업 협력사인 ㈜OOOOO 소속 OOO이 지상 2층에서 엘리베이터 피트 내부에 있는 동료작업자에게 윈치(W=20kg)를 전달하던 중 몸의 중심을 잃고 엘리베이터 출입구[수직개구부(2m×0.9m)]를 통하여 지상 1층 엘리베이터 피트 바닥(H≒7.8m)으로 떨어져 사망한 재해임.</t>
  </si>
  <si>
    <t>6. 조경공사</t>
  </si>
  <si>
    <t>6.1 조경작업</t>
  </si>
  <si>
    <t>6.1.1 조경 부지정리</t>
  </si>
  <si>
    <t>2016년 6월경 주택마당에서 재해자가 잔디를 심던 중 마당 단부에서 3m 아래 바닥으로 추락하여 사망</t>
  </si>
  <si>
    <t>마당에서 잔디를 식재하던 근로자가 마당 단부에서 지면으로 추락</t>
  </si>
  <si>
    <t>▶ 추락 우려가 있는 곳에 안전난간을 설치 또는 접근금지 휀스 설치
▶ 개인 보호구 지급 및 착용 철저</t>
  </si>
  <si>
    <t>2016년 7월경 지방하천 정비공사에서 재해자가 제방 돌망태 조립작업 중 돌망태석을 운반하기 위해 후진하던 덤프트럭과 충돌하여 사망</t>
  </si>
  <si>
    <t>제방 돌망태석 운반을 위해 후진하던 덤프트럭에 충돌</t>
  </si>
  <si>
    <t>2016년 8월경 OOO시 OO군 OO면 소재 ○○건설(주) 『○○○클럽 조경공사』현장에서 OO9번 홀 주변 제초작업을 하던 중 재해자는 OO1번 홀에서 이동을 하다가 제초 한 풀을 버리기 위해 후진 중이던 골프 카트(작업용 전동카트)에 깔려서 사망함.</t>
  </si>
  <si>
    <t>제초작업 중 후진하는 골프 카트(작업용 전동카트)에 깔림</t>
  </si>
  <si>
    <t xml:space="preserve">2018년 3월경 ㈜OOOO OOOO사업 현장에서 재해자가 집게차(화물자동차) 주변에서 임목폐기물 상차후 도로변에 잔재물을 모으던 중 집게차 측면의 철판난간대가 떨어지면서 재해자를 강타, 의식을 잃은 재해자를 병원으로 이송하여 치료중 사망한 재해임     </t>
  </si>
  <si>
    <t>임목폐기물 상차 후 도로변에 잔재물을 모으던 중 집게차 측면의 철판난간대가 떨어져 근로자를 강타</t>
  </si>
  <si>
    <t>▶ 차량계 하역운반기계 사용할 경우 작업계획서를 작성하고 작업계획에 맞게 작업실시
▶ 자재인양 등 중량물 취급작업 시 낙하위험 지역에 대해 근로자 출입 통제</t>
  </si>
  <si>
    <t>2018년 4월경 OOO시 OO구 소재 OOOO 주차장 담장 보강공사 현장에서 L형 담장 설치를 위해 터파기한 바닥을 정리하던 재해자가 기존 주택 철거 후 남아있던 조적조 벽체(면적:4.68㎡)가 넘어지면서 하부에 깔려 주변 사람들이 구출하여 병원으로 이송하였으나, 사망한 재해임</t>
  </si>
  <si>
    <t>L형 담장 설치를 위해 터파기한 바닥을 정리하던 중 기존 주택 철거 후 남아있던 조적조 벽체가 넘어지면서 하부에 깔림</t>
  </si>
  <si>
    <t>▶ 굴착작업 중 인접 구조물의 전도위험 방지(견고한 지지대 설치 등) 조치 실시
▶ 노후된 담장에 근접하여 작업할 경우 진동 및 충격 등에 의한 위험성을 사전조사 실시로 파악</t>
  </si>
  <si>
    <t>2019년 3월경 협력업체 OOOO 소속 재해자 OOO가 동료근로자 4명과 함께 골프장 11번 홀 훼손된 잔디 이식작업 중 주변에서 불어온강한 바람과 함께 많은 먼지 발생 후 동료근로자들 옆에 쓰러져, 119구조대 차량으로인근 병원으로 이송되었으나 사망한 재해임</t>
  </si>
  <si>
    <t>잔디 이식작업 중 주변 강한 바람으로 합판이 날아와 근로자와 충돌</t>
  </si>
  <si>
    <t>▶ 바람 등 기상상태 불안정으로 인하여 근로자가 위험해질 우려가 있는 경우 작업 중지</t>
  </si>
  <si>
    <t>2019년 7월경, OOO도 OO군 OO면 소재 OOOO 위험수목 제거사업 현장에서 OOOO(주) 소속 재해자 외 4명이 느티나무 벌목작업 중 재해자가 자른 느티나무 벌도목(약 500kg)이 재해자 방향으로 넘어지며 돌계단과 벌도목 사이에 재해자 머리가 깔려 사망한 재해임.</t>
  </si>
  <si>
    <t>벌목작업 중 쓰러지는 벌도목에 부딪혀 깔림</t>
  </si>
  <si>
    <t>2019년 12월경 OO초등학교에서 재해자가 고소작업대(차량탑재형) 작업대 위에서 붐 끝단에 연결된 슬링벨트로 벌목대상 나무 상단을 고정한 후 하부에서 동료근로자가 엔진톱으로 나무 하단을 절단하던 중, 나무가 기울어지면서 고소작업대의 흔들림이 발생하여 재해자가 H≒5m 아래로 추락하여 사망</t>
  </si>
  <si>
    <t>2019년 12월경 태양광 발전시설 설치공사에서 벌목작업을 하던 중 나무에 부딪혀 사망</t>
  </si>
  <si>
    <t>2020년 3월경 OO도 OO시 OO면 소재 OOOO(주) OOOO 도시개발사업 토목조경공사 현장에서 재해자 등 조경공 6명이 소나무 등(7주)을 가(임시) 이식장으로 운반하여 식재하는 작업을 완료하고 재해자가 진입로 바닥 정지작업을 위해 후진하는 굴삭기(0.6㎥) 후방으로 이동하던 중 굴삭기 바퀴에 깔려 사망한 재해임.</t>
  </si>
  <si>
    <t>조경작업 중(또는 이동중) 주변 굴삭기에 깔림</t>
  </si>
  <si>
    <t>2020년 8월경 부지조성 공사에서 재해자가 벌목작업 중 벌도목이 쓰러지면서 머리에 맞아 사망</t>
  </si>
  <si>
    <t>2020년 11월경 배수로 정비공사에서 재해자가 벌목작업 중 동료작업자가 절단한 벌도목이 쓰러지면서 머리에 맞아 사망</t>
  </si>
  <si>
    <t>2020년 12월경 경관보완 식재공사에서 재해자가 나무 밑동을 절단하던 중 수목이 쓰러지면서 덮쳐 사망함</t>
  </si>
  <si>
    <t>2021년 2월경 공중화장실 설치공사에서 재해자가 벌목작업 중이던 소나무에 걸린 전선을 풀기위해 전신주에 올라가 내려오던 중 감전되어 13m 아래 바닥으로 추락하여 사망</t>
  </si>
  <si>
    <t>벌목작업 중 넘어지는 소나무에 의해 전신주의 특고압 전력선과 가공지선이 엉키자 엉킨 전선을 풀기위해 전신주에 올라가 고압선에 로프를 걸고 내려오려는 도중 감전돼 지상으로 추락</t>
  </si>
  <si>
    <t>▶ 추락할 위험이 있는 작업 시, 활선작업용 장치(고소작업대차 등), 안전대 부착설비 등의 안전방호조치 실시
▶ 충전부 인근에서 작업 시, 감전방지를 위해 적정 이격거리 준수
▶ 감전 위험이 있는 작업 시, 배선의 절연조치, 충전부 방호조치 등 안전방호조치 실시</t>
  </si>
  <si>
    <t>2021년 3월경 입목벌채 현장에서 재해자가 벌목작업을 하던 중 인접나무에 걸려 회전하면서 쓰러지며 두부를 가격하여 사망</t>
  </si>
  <si>
    <t xml:space="preserve">2021년 3월경 OOO도 OO군 OO면 소재 OOO 지장목 제거 현장에서 재해자 OOO이 기계톱으로 가래나무를 벌목한 후 줄기를 절단하고 이동하던 중 힘의 균형을 잃은 벌도목이 회전하며 재해자를 덮쳐 나무에 깔려 사망한 것으로 추정됨 </t>
  </si>
  <si>
    <t>2021년 7월경 관광농원조성공사에서 재해자가 벌목하던 중 벌도목 가지가 부러지면서 두부를 강타하여 사망</t>
  </si>
  <si>
    <t>2021년 12월경 군부대 철조망 설치공사에서 재해자가 굴착기 버킷 위에 올라타 나무 자르던 중 벌도목이 넘어지면서 강타하여 사망</t>
  </si>
  <si>
    <t>6.1.2 조경 시공 및 설치</t>
  </si>
  <si>
    <t>2016년 1월경 OO농장에서 재해자가 불용수목 제거작업을 하던 중 기존에 벌목되어 걸쳐져 있던 나무가 떨어지면서 머리를 가격하여 사망</t>
  </si>
  <si>
    <t>2016년 2월경 부지정지공사에서 재해자가 차량 탑재형 크레인을 이용하여 조경수 인양작업을 하던 중 크레인 슬링벨트에 걸린 나뭇가지가 회전하여 타격 후 몸의 중심을 잃고 15m 아래 바닥으로 추락하여 사망</t>
  </si>
  <si>
    <t>차량 탑재형 크레인을 이용하여 조경수 인양작업을 하던 중 크레인 붐대를 상승하던 순간 슬링벨트에 의해 나뭇가지가 회전하여 근로자를 타격해 몸의 중심을 잃고 추락함</t>
  </si>
  <si>
    <t>▶ 크레인으로 수목을 인양하는 경우 수목의 갑작스런 요동 등을 방지하기 위해 줄걸이를 활용하여 요동 방지
▶ 수목 인양 시 회전반경 내 작업자 접근방지 조치 실시
▶ 추락할 위험이 있는 장소에서 작업할 경우 이에 맞는 안전 보호구(안전모)착용</t>
  </si>
  <si>
    <t>2016년 5월경 공원시설물 정비공사에서 재해자가 경사면에 있는 수목을 제거하는 작업 중 넘어지는 벌도목에 깔려 사망</t>
  </si>
  <si>
    <t>전기체인톱을 이용하여 경사면에 있는 위험수목 제거하는 작업 중 벌도목이 주변 인접목에 걸려 쓰러지지 않자, 벌도목 주변을 돌며 추구작업을 추가로 실시하다가 의도치 않은 방향으로 넘어진 나무에 깔림</t>
  </si>
  <si>
    <t xml:space="preserve">▶ 벌목 작업 시 작업 반경 내 출입 금지 및 대피장소 지정
▶ 벌목 작업 시 신호방법을 정하여 근로자에게 주시 </t>
  </si>
  <si>
    <t>2016년 5월경 공원 정비사업에서 재해자가 자재하역을 지켜보던 중 위험을 느껴 피하려다 주변 돌출된 바위 사이에 끼어 사망</t>
  </si>
  <si>
    <t>헬리콥터에 매달린 자재가 회전하여 근로자를 쳐 바위 사이에 끼임</t>
  </si>
  <si>
    <t>▶ 중량물 취급 작업 시 주변 근로자의 충돌, 협착 등의 위험이 없도록 작업 반경 밖으로 근로자 대피
▶ 헬리콥터 하강 시 신호수와 신호 또는 무전을 통해 안전한 장소에 하강</t>
  </si>
  <si>
    <t>2016년 7월경 OO 레지던스 신축 조경공사 현장에서 조경공사 협력업체 소속인 재해자(조경공)가 주출입구 화단 조경작업을 위해 수목고르기 및 심기 작업 준비 중, 8m도로(구배 약16%)에서 보·차도경계석을 넘어온 지게차와 충돌하여 사망</t>
  </si>
  <si>
    <t>화단 조경작업을 위한 수목 고르기 및 심기 작업준비 중 지게차가 보∙차도경계석을 넘어와 근로자와 충돌</t>
  </si>
  <si>
    <t>▶ 운전원이 차량 이탈 시 시동키를 운전대에서 분리 또는 잠금장치 실시 
▶ 지게차 제동장치 등 주요장치의 작업 시작 전 안전점검 실시</t>
  </si>
  <si>
    <t>2016년 9월경 펜션 신축공사에서 재해자가 굴착기 옆에서 돌쌓기 작업을 하던 중 탈락한 버킷에 깔려 사망</t>
  </si>
  <si>
    <t>절토사면의 돌쌓기 작업을 위해 굴삭기의 채버켓(채바가지) 옆에서 작업하던 중 연결핀이 설치되어 있지 않은 채버켓이 탈락하면서 채버켓에 깔림</t>
  </si>
  <si>
    <t>2016년 10월경 경계석 공사현장에서 재해자가 울타리 기둥 상부에서 기계톱을 이용하여 화단의 나무 절단 작업 중 절단된 나무에 맞아 몸의 중심을 잃고 6m 아래 바닥으로 추락하여 사망</t>
  </si>
  <si>
    <t>화단 나무절단 중 절단된 나무에 작업중인 근로자가 맞아 추락</t>
  </si>
  <si>
    <t>2016년 12월경 토지조성공사에서 재해자가 조재작업을 하던 중 소나무 가지가 부러지며 넘어진 잣나무에 맞아 사망</t>
  </si>
  <si>
    <t>벌목작업 중 완전히 넘어가지 않은 벌도목 주변에서 조재작업 중 벌도목을 지지하던 나뭇가지가 부러지며 넘어지는 벌도목에 맞음</t>
  </si>
  <si>
    <t>2017년 5월경 조경석쌓기 현장에서 재해자가 굴착기와 같이 조경석을 쌓던 중 굴착기 붐이 보호수 가지를 건드려 부러진 나뭇가지가 아래로 떨어져 머리를 가격하여 사망</t>
  </si>
  <si>
    <t>굴삭기로 조경석을 쌓던 중 부러진 나뭇가지가 근로자의 머리로 낙하</t>
  </si>
  <si>
    <t>▶ 나뭇가지 등 낙하물에 의한 위험 방지를 위해 낙하위험지역의 근로자 불필요한 출입 통제(출입 시 관리감독자 등 감독하에 출입)
▶ 개인 보호구 지급 및 착용 철저</t>
  </si>
  <si>
    <t>2017년 6월경 댐 설치사업현장에서 재해자가 돌쌓기면 줄눈 몰탈 작업하던 중 우측사면에 위치한 돌이 굴러 떨어져 머리를 가격하여 사망</t>
  </si>
  <si>
    <t>돌쌓기면 줄눈 몰탈 작업을 하던 중 우측 사면에 위치한 돌이 굴러 떨어져 근로자 머리를 가격</t>
  </si>
  <si>
    <t>▶ 작업 전 작업장 주변 위험요인 사전조사 및 돌 제거
▶ 수로 바닥 돌붙임 작업을 실시할 때 법면 등에 쌓아둔 돌이 사면 아래로 굴러 떨어지는 위험상황을 관리하고 해당 작업을 안전하게 수행하는 관리감독자 배치</t>
  </si>
  <si>
    <t>2017년 6월경 OO은행 주변에서 재해자가 고소작업대에 탑승하여 가로수 전지작업을 하던 중 공구가 특고압전로(22.9kV)에 접촉하여 감전되어 사망</t>
  </si>
  <si>
    <t>이동식 크레인에 설치된 작업대에 탑승하여 가로수 가지치기 작업 중 상부 고압선(22.9kV)에 감전</t>
  </si>
  <si>
    <t>2017년 6월경 섬 조경공사에서 재해자가 조경사다리 위에서 전지작업을 마치고 내려오던 중 발을 헛디뎌 중심을 잃고 3m 바닥으로 추락하여 사망</t>
  </si>
  <si>
    <t>전지작업을 마친 후 내려오는 사다리에서 발을 헛디뎌 콘크리트 바닥으로 추락</t>
  </si>
  <si>
    <t>▶ 이동식사다리 위에서 근로자가 떨어질 위험이 있는 작업할 경우 안전모 착용 및 2인 1조로 작업 수행
▶ 이동식 사다리를 작업에 사용 시 경작업에만 A형 사다리의 형태로 사용하고, 일자로 핀 경우 이동통로만으로 사용 
▶ 추락할 위험이 있는 장소에서 작업 시 발판이 설치된 이동식 비계, 고소작업대 등을 활용</t>
  </si>
  <si>
    <t>2017년 6월경 정원 수목 전지작업 현장에서 재해자가 전지작업 중 조경용사다리에서 1.5m 바닥으로 추락하여 사망</t>
  </si>
  <si>
    <t>2017년 10월경 단독주택 신축공사 현장에서 재해자가 석축쌓기 작업을 하던 중 줄걸이 해체작업 중 석축용 돌이 넘어지면서 깔려 사망</t>
  </si>
  <si>
    <t>조경 자연석 쌓기 작업 중 굴삭기 집게로 옮긴 자연석을 놓은 순간 자연석이 전도되면서 작업자 협착</t>
  </si>
  <si>
    <t>▶ 조경용 자연석 설치 작업 사면과 자연석 사이에 사보강재 설치 또는 토사로 뒷채움 등 전도방지 조치 실시
▶ 해당 작업 구간에 작업자 접근 통제
▶ 작업 반경 내 근로자가 벗어 난 상태에서 돌 취급용 줄걸이 해체 등 작업 실시</t>
  </si>
  <si>
    <t>2017년 11월경 소나무 이식공사현장에서 재해자가 난로 앞에서 대기하던 중 착용한 작업복에 불이 옮겨 붙어 화상당하여 사망</t>
  </si>
  <si>
    <t>임시화구(난로) 앞에서 대기 중 작업자가 착용한 일회용 포켓형 작업복에 불이 옮겨 붙어 화상</t>
  </si>
  <si>
    <t>▶ 화기사용 장소의 화재방지 설비 조치
▶ 현장내 대기 시 폴리에스터 스펀본드 등 화재에 취약한 작업복을 착용한 채로 임시화구 및 열이 작용하는 곳에서 대기 금지
▶ 현장내 소화기 등 소화설비 상시 배치</t>
  </si>
  <si>
    <t>2018년 2월경 공동주택 신축공사에서 재해자가 신호수 업무를 수행하던 중 덤프트럭 운전원의 요청에 의해 덤프트럭 적재함 후면 잔여 흙을 제거하던 과정에서 적재함 후미와 후문 사이에 두부가 협착되어 사망</t>
  </si>
  <si>
    <t>조경작업용 덤프트럭 운전자가 적재함과 적재함 후문 사이에서 흙을 제거하던 중 트럭이 움직여 후문에 부딪힘</t>
  </si>
  <si>
    <t>2018년 2월경 조경공사에서 재해자가 콘크리트 벽체 배면에서 자연석쌓기 작업을 진행하던 중 콘크리트 벽체가 넘어지며 깔려 사망</t>
  </si>
  <si>
    <t>콘크리트 벽체 배면에 자연석쌓기 작업을 진행하던 중 콘크리트 벽체가 자연석 쌓기 작업 반대방향으로 넘어지며 벽체 뒷면에 위치한 근로자가 깔림</t>
  </si>
  <si>
    <t>▶ 기존 구조물과 인접하여 조경 작업 등을 하는 경우 인접 구조물의 전도위험 방지(견고한 지지대 설치 등) 조치 실시
▶ 기존 구조물 등이 근접해있는 경우 진동 및 충격 등에 의한 사전 안전성평가 실시</t>
  </si>
  <si>
    <t>2018년 3월경 OO현장에서 ㈜OO 소속 재해자가 이동식크레인에 부착한 작업대에 탑승하여 고지가위를 이용한 가지치기 작업 중, 22.9KV 배전선로에 고지가위가 접촉하며 감전되어 사망</t>
  </si>
  <si>
    <t>2018년 4월경 도로 정비공사에서 재해자가 굴착기를 이용하여 자재운반하고 후진으로 경사길을 내려오던 중 굴착기가 전도되어 충돌 후 사망</t>
  </si>
  <si>
    <t>▶ 차량계 건설기계 전도 방지를 위해 급경사 구간 사면완화 작업 조치
▶ 차량계 건설기계 사용시 작업 장소 내에 근로자의 출입 통제
▶ 유도자를 배치하여 차량계 건설기계 유도</t>
  </si>
  <si>
    <t>2018년 4월경 아파트 단지 내 조경공사에서 재해자가 소나무 상부 전지작업을 위해 고소작업대에서 가지로 이동하던 중 나뭇가지가 무게를 견디지 못하고 부러져 8.5m 아래 바닥으로 추락하여 사망</t>
  </si>
  <si>
    <t>전지작업을 위하여 나무 상부에 올라 작업 중 나뭇가지가 부러지면서 추락</t>
  </si>
  <si>
    <t>▶ 고소작업대에서 붐대를 상승시킨 상태에서 탑승자가 작업대를 벗어나는 경우 작업대에 안전대 부착설비 설치 밀 안전대 연결 후 작업 수행
▶ 근로자가 떨어질 위험이 있는 장소에서 작업 시 안전모, 안전대 등 보호구 지급 및 착용관리감독</t>
  </si>
  <si>
    <t>2018년 5월경 조경공사 현장에서 재해자가 화물차에 수목을 상차하는 작업 중 슬링벨트가 붐대 후크에서 이탈되어 떨어지면서 머리에 부딪혀 사망</t>
  </si>
  <si>
    <t>슬링벨트가 붐대 후크에서 이탈하여 수목이 떨어짐과 동시에 넘어져 근로자에 머리에 부딪혀 협착</t>
  </si>
  <si>
    <t>▶ 굴삭기 붐대 후크에 해지장치를 사용하여 슬링벨트 이탈 방지
▶ 차량계 건설기계 사용시 근로자 통제 또는 유도자 배치
▶ 나뭇가지 등 낙하물에 의한 위험 방지를 위해 낙하위험지역의 근로자 불필요한 출입 통제(출입 시 관리감독자 등 감독하에 출입)
▶ 안전모 및 개인보호구 지급 및 착용관리</t>
  </si>
  <si>
    <t>2018년 5월경 아파트 부대토목공사에서 재해자가 조경 자연석 쌓기 작업 중 굴착기 집게로 옮긴 자연석을 놓는 순간 자연석이 전도되면서 협착되어 사망</t>
  </si>
  <si>
    <t>2018년 5월경 아파트 신축공사에서 조경토 평탄작업과 제석작업을 하던 중 출발하던 굴착기 바퀴에 협착되어 2명 사망, 1명 부상</t>
  </si>
  <si>
    <t>2018년 9월경 부지조성공사에서 이식예정인 소나무 아래에서 쉬던 중 묶어놓은 로프가 풀리면서 소나무가 전도되어 1명 사망, 2명 부상</t>
  </si>
  <si>
    <t>이식예정인 소나무에 묶어놓은 로프가 풀리면서 쉬고 있던 작업자 쪽으로 전도되어 깔림</t>
  </si>
  <si>
    <t>▶ 수목을 이식하기 위하여 굴취한 경우 넘어가지 않도록 붙들어 지탱하는 등의 전도방지 조치 실시
▶ 수목을 굴취하여 작업하는 경우 줄걸이 상태에서 지지하거나 나무를 안전하게 눞혀놓고 다음 공정 진행
▶ 수목과 같은 중량물을 불안정한 상태로 적재를 금지</t>
  </si>
  <si>
    <t>2018년 11월경 수목 수형교정공사에서 재해자가 이동식 사다리 위에서 나뭇가지에 밴드를 감는 작업을 하던 중 몸의 중심을 잃고 2.3m 바닥으로 추락하여 사망</t>
  </si>
  <si>
    <t xml:space="preserve">2019년 3월경 관광단지 조성공사에서 재해차가 살수차로 눈썰매장 상부에 위치한 공사용 가설도로를 운행하던 중 차량이 갑자기 뒤로 밀리면서 눈썰매장 슬로프(길이 115m, 경사도 약14°)를 따라 빠른 속도로 주행되어 하부 가설도로 경사면에 전복하여 사망 </t>
  </si>
  <si>
    <t>눈썰매장 정상부에 정차된 살수차가 뒤로 밀려 하부 가설도로 경사면에서 전복</t>
  </si>
  <si>
    <t>▶ 차량운행 중 넘어지거나 굴러 떨어질 위험이 있는 운행구간에서 차량 유도자를 배치하여 전복사고 예방
▶ 현장에서 작업하는 노후 된 살수차 등의 차량계 하역운반기계 및 건설기계는 정기적으로 자동차검사 실시 및 작업전 제동장치 등의 기능 점검</t>
  </si>
  <si>
    <t>2019년 3월경 석재 반출현장에서 재해자가 굴착기의 버킷에 탑승하여 암석분할 작업을 하던 중 암석이 넘어지면서 굴착기의 버킷을 타격하여 6.4m 바닥으로 추락하고 이후 굴러오는 암석에 깔려 2명 사망</t>
  </si>
  <si>
    <t>2019년 4월경 수목 이식공사 현장에서 재해자가 적재한 소나무를 고정용 고무로프로 결박하는 작업 중 고무로프가 끊어지면서 몸의 중심을 잃고 0.8m 아래 바닥으로 추락하여 사망</t>
  </si>
  <si>
    <t>굴취한 소나무 1주를 운반하기 위해 소형 화물자동차(1톤)에 소나무를 싣고 화물 고정용 고무로프로 결박하는 작업 중 고무로프가 끊어지면서 몸의 중심을 잃고 화물자동차의 적재함에서 도로 바닥면으로 추락</t>
  </si>
  <si>
    <t>2019년 4월경 산책로 난간보수공사에서 재해자가 난간 조립 및 설치작업 중 몸의 균형을 잃고 바닥으로 추락하여 사망</t>
  </si>
  <si>
    <t>해안산책로 난간보수 작업 중 몸의 균형을 잃고 추락</t>
  </si>
  <si>
    <t>2019년 5월경 조경공사에서 재해자가 굴착기와 자연석 인양 작업 중 체인이 벗겨지며 자연석이 덮쳐 사망</t>
  </si>
  <si>
    <t>굴삭기로 조경석을 쌓던 중 인양줄걸이가 벗겨지면서 조경석이 전도되어 이에 깔림</t>
  </si>
  <si>
    <t>2019년 5월경 가로수 전지작업공사에서 재해자가 나무 위로 올라가 가지 절단작업을 하던 중 추락하여 사망</t>
  </si>
  <si>
    <t>2019년 8월경 공동주택 신축공사에서 재해자가 조경석 설치작업 중 연결체인에서 이탈된 조경석에 흉부가 협착되어 사망</t>
  </si>
  <si>
    <t>체인으로 연결된 줄걸이에서 조경석이 이탈하여 근로자 쪽으로 전도되어 협착</t>
  </si>
  <si>
    <t>▶ 조경석과 같은 중량물을 취급하는 경우 전도가 발생하지 않도록 잘 묶거나 지탱 할 수 있도록 조치
▶ 전도위험이 있는 작업현장에 근로자가 접근하지 못하도록 통제
▶ 작업 반경 내 근로자가 벗어 난 상태에서 줄걸이 해체 등 작업 실시</t>
  </si>
  <si>
    <t>2019년 10월경 산업단지 내 전기공사에서 재해자가 신호등 기초구조물 매설작업을 하던 중 PC기초를 양중하던 굴착기가 균형을 잃고 넘어지면서 굴착기 붐대에 깔려 사망</t>
  </si>
  <si>
    <t>굴삭기를 이용하여 PC 기초 콘크리트 양중작업 중 굴삭기가 전도되면서 인근 작업자가 붐대에 깔림</t>
  </si>
  <si>
    <t>2019년 11월경 담장설치공사에서 재해자가 옹벽 위를 이동하던 중 몸의 균형을 잃고 2.3m 아래 바닥으로 추락하여 사망</t>
  </si>
  <si>
    <t>옹벽 위를 이동하던 중 콘크리트 바닥으로 추락</t>
  </si>
  <si>
    <t>▶ 추락 위험이 있는 장소에서 안전방망 또는 안전대 착용 등 추락방지조치 실시
▶ 안전모 및 안전대 착용</t>
  </si>
  <si>
    <t>2020년 2월경 골프장 수목이식공사에서 재해자가 느티나무 포장 작업 중 돌풍에 의해 쓰러진 나무에 깔려 사망</t>
  </si>
  <si>
    <t>수목이식공사를 위해 나무 분포장 작업 중 돌풍에 의해 나무가 쓰러져 이에 깔림</t>
  </si>
  <si>
    <t>2020년 3월경 수목식재 사업현장에서 재해자가 화단 정리작업을 위해 이동하던 중 잔가지를 톤마대에 담고 매달아 이동하던 굴착기에 깔려 사망</t>
  </si>
  <si>
    <t>굴삭기로 잔가지를 톤백마대에 담아 함께 이동 중 뒤따라오던 굴삭기에 깔림</t>
  </si>
  <si>
    <t>2020년 3월경 가로수 가지치기 공사에서 재해자가 이동식 크레인 작업대에 탑승하여 가지치지 작업 중 상부 배전선(22.9kV)에 신체일부가 닿아 감전되어 10m 바닥으로 추락하여 사망</t>
  </si>
  <si>
    <t>2020년 7월경 아파트 하자보수공사에서 재해자가 퇴근하던 중 굴착기에 충돌하여 넘어진 후 앞바퀴에 하반신 일부(다리)가 깔려 사망</t>
  </si>
  <si>
    <t>2020년 10월경 공장 조경공사에서 재해자가 이동식 크레인을 사용하여 조경수를 이식하는 작업 중 잡고있던 크레인의 지브 끝 부분이 인접한 충전전로(22.9kV)에 접촉되어 감전으로 사망</t>
  </si>
  <si>
    <t>이동식 크레인을 사용하여 조경수 이식 작업 중 크레인 붐이 고압선(22.9kV)에 접촉되어 크레인 훅을 잡고 있던 작업자 감전</t>
  </si>
  <si>
    <t>2020년 12월경 가로수 개선공사에서 재해자가 소나무 가지 위에서 전정작업 또는 이동 중 소나무 가지가 부러지면서 4.1.m 아래 바닥으로 추락하여 사망</t>
  </si>
  <si>
    <t>2021년 1월경 수목유지관리 현장에서 재해자가 나뭇가지로 올라가 전지작업을 하던 중 나뭇가지가 부러지면서 3.5m 아래 바닥으로 추락하여 사망</t>
  </si>
  <si>
    <t>2021년 7월경 수목이식작업 현장에서 재해자가 경사로에서 나무뿌리를 철선으로 고정하는 작업 중 눕혀놓은 나무가 세워지면서 뿌리분에 깔려 사망</t>
  </si>
  <si>
    <t>나무 굴취 후 경사가 있는 지면에 비스듬히 눕혀놓고 뿌리 분매기 작업 중 눕혀놓은 나무가 세워지면서 뿌리분에 깔림</t>
  </si>
  <si>
    <t>7. 도로 및 포장공사</t>
  </si>
  <si>
    <t>7.1 포장 작업</t>
  </si>
  <si>
    <t>7.1.1 포장 장비 반입</t>
  </si>
  <si>
    <t>2017년 10월경 도로건설공사 현장에서 재해자가 굴착기를 이용하여 화물차 적재함의 PC 방호벽 하자 작업 중 PC 방호벽이 적재함에서 떨어지며 하반신이 깔려 사망</t>
  </si>
  <si>
    <t>굴삭기를 이용한 화물차 하차작업 중 자재가 충격으로 흔들리며 적재함에서 떨어져 근로자 깔림</t>
  </si>
  <si>
    <t>2017년 12월경 고속국도 건설공사에서 재해자가 도로 레벨측량 작업 중 후진하는 덤프트럭에 깔려 사망</t>
  </si>
  <si>
    <t>2018년 5월경 도로 포장공사 현장에서 재해자가 화물트럭 하부 정비작업 중 갑자기 경사면 아래로 굴러가면서 두부가 협착되어 사망</t>
  </si>
  <si>
    <t>경사면에 주차된 차량이 브레이크 이상으로 굴러가면서 근로자 충돌</t>
  </si>
  <si>
    <t>2018년 5월경 포장공사 현장에서 재해자가 거푸집을 들고 이동중 포장작업을 위해 레미콘을 싣고 후진 중이던 덤프트럭에 깔려 사망</t>
  </si>
  <si>
    <t>2021년 6월경 도로 포장보수공사현장에서 재해자가 교통신호를 하던 중 작업 예정구간으로 이동하기 위해 후진하던 덤프트럭에 깔려 사망</t>
  </si>
  <si>
    <t>7.1.2 포장 시공</t>
  </si>
  <si>
    <t>2016년 4월경 도로 포장공사현장에서 재해자가 덤프트럭 운행구간에 서있던 중 후진하던 덤프트럭에 치여 사망</t>
  </si>
  <si>
    <t>2016년 6월경 도로 포장공사에서 재해자가 유제살포기가 적재된 차량을 직접 운전하여 이동 후 아스팔트 유제를 충전하기 위해 유제살포기 연결관을 분리하는 순간 압력에 의하여 연결관이 튀어나와 두부 강타, 충격으로 몸의 균형을 잃고 1.2m 아래 바닥으로 추락하여 사망</t>
  </si>
  <si>
    <t>유제를 살포하는 운반차량에서 유제를 보관하는 드럼용기에서 연결관을 분리하는 순간 내부의 잔류공기 압력에 의해 연결관이 튀어나와 근로자와 충돌 후 추락</t>
  </si>
  <si>
    <t>▶ 단순 물질 저장용 드럼용기에 공기압을 주입하여 압력을 가하는 압력용기로 임의 변경하는 용도 외 사용 금지
▶ 갑작스런 파열 등의 상황에 대비하여 보호구(안전모) 착용</t>
  </si>
  <si>
    <t>2016년 8월경 도로 포장공사에서 재해자가 탠덤롤러 운전 후 하차하여 타이어 롤러 근처 서있다가 후진하는 타이어 롤러와 충돌하여 사망</t>
  </si>
  <si>
    <t>2016년 12월경 도로개설공사 현장에서 재해자가 자전거도로 작업을 마무리 하던 중 후진하던 타이어롤러에 깔려 사망</t>
  </si>
  <si>
    <t>2017년 1월경 도로 포장공사현장에서 재해자가 기존도로 아스콘 절삭 작업을 하던 중 후진하던 덤프트럭에 치여 사망</t>
  </si>
  <si>
    <t>2017년 11월경 도로 개설현장에서 재해자가 터널 내부에서 수평 고르기 작업을 하던 중 후진하는 살수차(25t)에 깔려 사망</t>
  </si>
  <si>
    <t>2017년 12월경 공장 신축공사 현장에서 재해자가 아스팔트 포장작업 중 후진하는 덤프트럭(25.5t)과 아스팔트 피니셔 사이에 끼여 사망</t>
  </si>
  <si>
    <t>2018년 4월경 도로 포장공사 현장에서 재해자가 작업구간 내 주변 차량을 통제하던 중 후진하던 타이어롤러에 깔려 사망</t>
  </si>
  <si>
    <t>2018년 5월경 도로 포장보수공사에서 재해자가 주행차량 신호업무를 하던 중 후진하던 타이어롤러에 충돌협착하여 사망</t>
  </si>
  <si>
    <t>2018년 5월경 국도 개선공사현장에서 재해자가 롤러를 후진하던 중 다짐작업구간 단부에서 2.5m 사면 아래로 굴러 떨어지면서 롤러 뒷바퀴에 깔려 사망</t>
  </si>
  <si>
    <t>2018년 5월경 포장보수공사 현장에서 재해자가 덤프트럭의 신호를 보던 중 덤프트럭 운전자가 갑자기 보이지 않는 재해자를 인지하지 못하고 후진하다 치여 사망</t>
  </si>
  <si>
    <t>2018년 6월경 도로 확포장공사에서 재해자가 도로 아스콘 포장작업 진행을 위해 횡단하던 중 회전교차로에 진입하던 굴착기에 깔려 사망</t>
  </si>
  <si>
    <t>적재물로 인해 시야가 미확보된 굴삭기에 주변 근로자가 깔림</t>
  </si>
  <si>
    <t>2019년 5월경 도로 포장공사에서 재해자가 교통차단 시설을 옮기려던 중 후진하는 작업보호차량에 깔려 사망</t>
  </si>
  <si>
    <t>2019년 6월경 하수시설물 보수공사에서 재해자가 4.5t 덤프트럭 상부에서 작업을 준비하던 중 추락하여 사망</t>
  </si>
  <si>
    <t>횡단 빗물받이 주변 아스콘 포장을 하기 위해 덤프트럭(화물자동차) 상부에서 작업을 준비하던 중 중심을 잃고 추락</t>
  </si>
  <si>
    <t>2019년 7월경 도로 포장공사 현장에서 재해자가 포장온도를 확인하던 중 후진하던 타이어올러에 깔려 사망</t>
  </si>
  <si>
    <t>2019년 12월경 도로 포장공사에서 재해자가 콘크리트 포장작업을 위해 거리 측정을 도와주던 중 후진으로 운전 중인 화물트럭적재함(2.5t) 후면부에 깔려 사망</t>
  </si>
  <si>
    <t>2019년 12월경 지하보도 설치공사 중 재해자가 현장 내 이동 중 보도의 일부가 붕괴되어 2.5m 아래로 추락하여 토사에 묻히며 파단된 상수도에서 쏟아진 유출수에 수몰되어 사망</t>
  </si>
  <si>
    <t>재포장한 보도의 일부가 갑자기 붕괴되어 근로자가 추락하여 토사에 묻힌 후 파단된 상수도에서 쏟아진 유출수로 인해 수몰</t>
  </si>
  <si>
    <t>▶ 작업 전 보도블럭 등 작업구간의 이상여부를 확인하고 특이사항이 있을 경우 작업 즉시 중단
▶ 상수도관의 노후화에 따른 주기적인 점검을 통해 이상상태 유무 확인</t>
  </si>
  <si>
    <t>2020년 4월경 도로 포장공사에서 재해자가 도로 주행차량 통행을 유도하던 중 폐기물을 싣기 위해 후진하던 폐기물 운반용 덤프트럭(5t)에 깔려 사망</t>
  </si>
  <si>
    <t>2020년 5월경 도로 확포장공사에서 노면파쇄기를 운반해 온 트레일러 운전자인 재해자가 후진으로 작업 중인 스키드로더 바퀴에 깔려 사망</t>
  </si>
  <si>
    <t>2020년 7월경 도로 건설현장에서 재해자가 굴착기 옆을 이동하던 중 굴착기의 붐대가 빠르게 회전하여 1차 충돌 후 정지상태의 콘크리트 피니셔와 2차 충돌 후 사망</t>
  </si>
  <si>
    <t>시야가 미확보된 상태에서 회전하는 굴착기 붐태에 충돌</t>
  </si>
  <si>
    <t>2020년 9월경 공장 신축공사에서 재해자가 건물 외부 주차장에서 아스팔트 포장작업을 하던 중 포장 장비에 아스팔트 재료를 공급하기 위해 후진하는 덤프트럭을 피하려다 장비반입구 5.5m 아래 바닥으로 추락하여 사망</t>
  </si>
  <si>
    <t>아스팔트 포장 작업을 하던 중 후진하는 덤프트럭을 피하려고 뒷걸음치다가 장비반입용 바닥개구부로 추락</t>
  </si>
  <si>
    <t>▶ 후속시공이 연속하여 이어지지 않는 경우, 발생한 개구부(집수정 등)는 개구부 덮개 등을 이용하여 막음조치
▶ 개구부 부근에서 작업 시 안전난간 설치 등 추락방지조치 실시
▶ 차량계 하역운반기계 유도자 배치</t>
  </si>
  <si>
    <t>2021년 4월경 도로 포장공사에서 재해자가 덤프트럭이 부은 아스콘을 삽으로 펼치는 작업을 하던 중 추가 공급을 위해 후진하던 덤프트럭에 깔려 사망</t>
  </si>
  <si>
    <t>2021년 5월경 노후관료 교체공사에서 재해자가 임시 포장구간을 청소하던 중 아스팔트 평탄화 작업을 위해 후진하던 굴착기에 깔려 사망</t>
  </si>
  <si>
    <t>2021년 8월경 도로 포장공사에서 재해자가 장비유도자 역할을 하던 중 후진하는 덤프트럭(25.5.t)에 치여 사망</t>
  </si>
  <si>
    <t>2021년 9월경 하천 재해예방사업 현장에서 재해자가 적재함 청소작업 하던 중 후진하는 스키드 로더와 덤프트럭 적재함 사이에 협착되어 사망</t>
  </si>
  <si>
    <t>2021년 9월경 포장복구공사 현장에서 재해자가 포장복구 작업을 하던 중 후진하는 타이어롤러에 부딪힌 후 깔려 사망</t>
  </si>
  <si>
    <t>7.2 포설 및 다짐 작업</t>
  </si>
  <si>
    <t>7.2.1 포설 및 다짐</t>
  </si>
  <si>
    <t>2016년 1월경 부지정지공사 현장에서 재해자가 이동식 크레인을 이용하여 쇄석기 인양작업을 하던 중 인양하중을 견디지 못하고 전도되어 이동식 크레인에 깔려 사망</t>
  </si>
  <si>
    <t>이동식크레인을 이용하여 쇄석기(콘크러셔) 톱셀 인양작업을 하던 중 인양하중을 견디지 못해 전도되던 이동식크레인 붐대에 깔림</t>
  </si>
  <si>
    <t>▶ 이동식크레인을 사용하여 인양작업을 하는 경우 전도에 예방하기 위해 크레인의 강도, 안정도 등 설계기준을 준수
▶ 이동식크레인을 사용하여 인양작업을 하는 경우 임계하중 값을 초과하지 않는 범위내에서 작업 수행</t>
  </si>
  <si>
    <t>2016년 5월경 부지조성공사에서 재해자가 덤프트럭 신호를 보던 중 몸의 중심을 잃고 갯벌에 빠져 사망</t>
  </si>
  <si>
    <t>덤프트럭이 매립지반 단부에서 하역하는 순간 매립지반 단부가 침하되어 덤프트럭이 전락</t>
  </si>
  <si>
    <t>▶ 매립지반 단부에서 하역작업을 실시하는 경우 무리하게 단부에 접근을 금지
▶ 기계 운전 시작 시 근로자 배치 및 교육, 작업방법, 방호장치 등 위험방지를 위한 조치 실시
▶ 슬래그 하역작업 시 하역작업 부근에는 근로자 출입금지 및 유도자 배치</t>
  </si>
  <si>
    <t>2016년 9월경 철도 유지보수공사에서 재해자가 자재를 반출하기 위해 궤도를 따라 이동하던 중 운행중이던 전동열차와 충돌하여 2명 사망</t>
  </si>
  <si>
    <t>근로자가 침목 하부로부터 교체된 폐자갈을 반출하기 위해 궤도를 따라 작업지점으로 이동 중 열차와 충돌</t>
  </si>
  <si>
    <t>2016년 10월경 국도건설공사현장에서 재해자가 진동롤러를 사용하여 노상 다짐작업 중 도로 경사면으로 굴러 떨어져 장비협착되어 사망</t>
  </si>
  <si>
    <t>도로 성토부 노상 다짐 작업 중 진동로울러가 도로 경사면 단부 끝으로 굴러 떨어지며 전도되어 운전중이던 근로자가 튕겨 나와 진동로울러에 깔림</t>
  </si>
  <si>
    <t>▶ 성토부 단부에서 진동롤러로 다짐을 실시하는 경우 무리하게 단부에 접근을 금지
▶ 성토부 단부를 다짐할 경우 단부끝에서 1~1.5m 이격하여 작업할 수 있도록 접근금지 조치 및 난간 등 설치 후 소형 다짐기로 다짐작업 조치
▶ 기계 운전 시작 시 근로자 배치 및 교육, 작업방법, 방호장치 등 위험방지를 위한 조치 실시</t>
  </si>
  <si>
    <t>2017년 1월경 고속도로 터널현장에서 재해자가 이동하던 중 덤프트럭(15t)에 부딪혀 사망</t>
  </si>
  <si>
    <t>2017년 3월경 도로 포장공사현장에서 재해자가 타이어롤러를 운전하여 포장 다짐작업을 하던 중 후진하다 갓길 측면에 굴러 5m 아래로 추락하여 사망</t>
  </si>
  <si>
    <t>2017년 4월경 보도블럭 보수 및 도로 재포장 공사현장에서 재해자가 아스콘 다짐작업 후 주차장 램프로 후진하여 이동하던 중 천정과 타이어 롤러 핸들사이에 끼여 사망</t>
  </si>
  <si>
    <t>아파트 지하주차장 램프로 타이어로라가 후진하여 이동 중 지하주차장 램프 천정 콘크리트 면과 타이어로라 핸들에 근로자가 끼임</t>
  </si>
  <si>
    <t>▶ 지하주차장 램프로 후진하는 타이어로라 주변에 장비유도자 배치
▶ 차량계 건설기계가 사각지대 발생가능성이 높은 장소에서 단독으로 작업을 금지</t>
  </si>
  <si>
    <t>2017년 5월경 단지 부지조성공사에서 재해자가 불도저를 운행하여 경사지에서 흙을 밀어내리는 작업을 하던 중 주변 지반이 무너져 전복되어 주변 토사에 매몰되어 사망</t>
  </si>
  <si>
    <t>불도져가 경사지에서 흙을 밀어내리는 작업을 위해 경사로를 운행하여 이동 중 주변 지반이 무너져 불도저가 전복되어 주변 토사에 매몰됨</t>
  </si>
  <si>
    <t>▶ 건설기계를 사용하는 작업 시 장비유도자 배치
▶ 지반의 부등침하, 성토부의 붕괴 방지 및 장비이동통로 폭을 유지한 뒤 작업 실시
▶ 성토부에서 불도저로 작업을 하는 경우 무리하게 단부 끝으로 접근 금지</t>
  </si>
  <si>
    <t>2017년 10월경 아파트 건설현장에서 재해자가 현장 관리감독하던 중 후진하던 덤프트럭(25t)에 치여 사망</t>
  </si>
  <si>
    <t>2017년 11월경 도로 확포장공사현장에서 재해자가 덤프트럭을 운전하여 경사로를 올라가던 중 차량의 이상함을 느끼고 점검하던 중 브레이크가 풀리면서 차량에 깔려 사망</t>
  </si>
  <si>
    <t>하적(下積)작업을 위한 불도저 수리 후 작동유무를 확인하는 과정에서 불도저가 후진하자 시동을 끄기 위해 운전석으로 탑승시도 중 불도저 무한궤도에 깔림</t>
  </si>
  <si>
    <t>2018년 9월경 도시가스 배관공사 현장에서 재해자가 바닥면 골재 정리 작업중인 굴착기 후면으로 이동하던 중 굴착기가 갑자기 후진하여 충돌 후 깔려 사망</t>
  </si>
  <si>
    <t>2018년 10월경 야적장에서 재해자가 불도저 수리후 작동유무를 확인하던 중 불도저가 후진하자 시동을 끄기위해 운전석에 탑승시도 중 깔려 사망</t>
  </si>
  <si>
    <t>2018년 12월경 부지조성공사에서 재해자가 타이어 롤러를 운전하던 중 교량 하부 구조물에 협착되어 사망</t>
  </si>
  <si>
    <t>2019년 2월경 도로 개설공사 현장에서 재해자가 진동롤러를 운행하여 이동하던 중 진동롤러가 5.3m 아래로 떨어지면서 진동롤러에 깔려 사망</t>
  </si>
  <si>
    <t>2019년 5월경 하천 정비공사현장에서 재해자가 일반차량 교통통제 신호를 보던 중 후진하던 굴착기에 깔려 사망</t>
  </si>
  <si>
    <t>2019년 5월경 항만개발 사업현장에서 재해자가 자재 하역하던 중 자재가 적재함 측면 모서리에 걸려 제거하던 중 자재에 깔려 사망</t>
  </si>
  <si>
    <t>연약지반개량 포설용 PET MAT를 반입하여 하역하던 중 PET MAT가 화물자동차의 적재함에 걸려 근로자가 걸린것을 제거 중 PET MAT에 깔림</t>
  </si>
  <si>
    <t>▶ 하역작업 시 끼인 자재를 인력으로 무리하게 제거하는 등의 근로자 단독작업 금지
▶ 하역작업 시 작업계획서를 작성하여 작업계획에 맞게 하역작업 실시</t>
  </si>
  <si>
    <t>2019년 11월 철도 노반건설공사현장에서 재해자가 이동을 위해 안전난간에 체중을 지지하자 난간기둥이 탈락되면서 6m 아래 농로바닥으로 추락하여 사망</t>
  </si>
  <si>
    <t>안전난간이 체중을 못이겨 난간기둥이 탈락되어 안전난간 자재와 농로 바닥으로 추락</t>
  </si>
  <si>
    <t>▶ 안전모 지급 및 착용관리
▶ 추락에 의한 위험이 있는 경우 근로자 투입 통제
▶ 작업전 안전난간 상태 확인 후 튼튼하게 설치</t>
  </si>
  <si>
    <t>2020년 6월경 도로공사 현장에서 재해자가 이동하던 중 운행 중이던 덤프트럭(25.5t)에 부딪혀 사망</t>
  </si>
  <si>
    <t>2020년 7월경 골프장 부지조성공사 현장에서 재해자가 덤프트럭 후면과 적재함 문사이의 흙을 털어내는 작업 중 후진하던 굴착기가 덤프트럭 적재함 문에 충돌하면서 그 사이 협착되어 사망</t>
  </si>
  <si>
    <t>2020년 8월경 야적장에서 재해자가 덤프트럭 운행하던 중 차량이 조수석 방향으로 전도되면서 사망</t>
  </si>
  <si>
    <t>하역 작업 중 적재함을 상승시키자 덤프트럭이 균형을 잃고 전도됨</t>
  </si>
  <si>
    <t>▶ 운반 및 하역 작업 시 적재용량을 초과하여 무리한 운반을 금지
▶ 지반이 고르지 못한 곳에서는 하역 시 무리한 적재함 상승 금지
▶ 덤프트럭 하역작업 시 차량 전도 등 비상사태를 예방하기 위해 안전벨트 등 보호구 상시 착용</t>
  </si>
  <si>
    <t>2021년 6월경 다세대주택 신축공사 현장에서 재해자가 담장하부에서 골재 고르던 중 굴착법면 및 상부 담장이 붕괴되어 사망</t>
  </si>
  <si>
    <t>담장 굴착저면 하부에서 골재 고르기 중 굴착법면 및 상부 담장이 붕괴</t>
  </si>
  <si>
    <t>▶ 인근 구조물이 인접한 굴착면의 경우 주기적 계측을 통해 굴착사면 붕괴 관리
▶ 굴착면 계측 시 특이사항이 발생할 경우 즉시 작업중단 및 인근 사면 보강 및 지보공 설치</t>
  </si>
  <si>
    <t>2021년 7월경 구조물 개량공사 현장에서 재해자가 탠덤롤러 운전석에서 내려오던 중 몸의 중심을 잃고 1.8m 아래로 떨어져 사망</t>
  </si>
  <si>
    <t>탠덤롤러 운전원이 다음 작업 구간으로 이동하기 위해 탠덤롤러를 트레일러에 싣고 운전석에서 내려오던 중 몸의 중심을 잃고 바닥으로 떨어짐</t>
  </si>
  <si>
    <t>▶ 건설기계에 승하강 시 승하강 사다리, 통로, 계단 등으로만 승하강 실시
▶ 기계 운전 시작 시 근로자 배치 및 교육, 작업방법, 방호장치 등 위험방지를 위한 조치 실시
▶ 개인보호구 지급 및 착용</t>
  </si>
  <si>
    <t>2021년 7월경 공장 신축공사 현장에서 재해자가 롤러를 운행하여 바닥 다짐작업을 하던 중 롤러를 정지시키지 않고 하차하여 롤러에 깔려 사망</t>
  </si>
  <si>
    <t>8. 교량공사</t>
  </si>
  <si>
    <t>8.1 슬립폼(슬라이딩폼) 작업</t>
  </si>
  <si>
    <t>8.1.1 슬립폼(슬라이딩폼) 제작</t>
  </si>
  <si>
    <t>2021년 6월경 도로 개설공사 현장에서 교각 철제 거푸집에 앵커볼트를 체결하던 도중 철제 거푸집이 전도되어 하부에 깔려 1명 사망, 1명 부상</t>
  </si>
  <si>
    <t>거푸집 설치 작업자가 교각 철제 거푸집에 세트 앵커 볼트를 체결하던 도중 철제 거푸집이 전도되어 철제 거푸집 하부에 깔림</t>
  </si>
  <si>
    <t>▶ 거푸집 설치작업을 하는 경우 거푸집의 자중이나 그밖의 외력을 견딜 수 있도록 와이어로프 또는 단관비계를 이용한 버팀대 등 설치하여 전도방지조치 실시
▶ 중량물 취급시 전도위험을 예방할 수 있는 안전대책(거푸집 2회 분할조립, 2회 콘크리트 타설, 작업순서 및 방법 등)을 포함한 작업계획서를 구체적으로 작성하고 해당 내용을 근로자에게 전달하여 작업 실시</t>
  </si>
  <si>
    <t>8.1.2 슬립폼(슬라이딩폼) 해체</t>
  </si>
  <si>
    <t>2021년 3월경 고속도로 건설공사에서 재해자가 교각 기둥 거푸집 해체 중 마지막 수평볼트를 해체하는 순간 교각 기둥과 거푸집 사이가 벌어지면서 발생한 개구부로 추락하여 사망</t>
  </si>
  <si>
    <t>고속도로 건설공사 현장에서 교각 기둥 거푸집 해체 중 거푸집을 결속하고 있는 마지막 수평볼트를 해체하는 순간 교각 기둥과 거푸집 사이가 벌어지며 발생한 개구부로 빠져 추락</t>
  </si>
  <si>
    <t>▶ 교각 기둥 또는 개구부 등 추락 가능성이 있는 장소에 대해 안전난간, 수직형 추락방망 등 설치
▶ 임시로 난간 등을 해체하여야 하는 경우 추락방호망 설치
▶ 추락방호망 설치가 곤란한 경우 안전대(안전고리 2개 모두 체결) 착용 등 추락 방지 조치 수행</t>
  </si>
  <si>
    <t>8.2 강교 설치 작업</t>
  </si>
  <si>
    <t>8.2.1 강교 부재 조립</t>
  </si>
  <si>
    <t>2017년 5월경 고속도로 시설개량공사 현장에서 재해자가 강교거더 걸침비계 해체를 위해 비계파이프 상부에 합판을 깔고 이동하면서 클램프를 해체하던 중 13m 아래 바닥으로 추락하여 사망</t>
  </si>
  <si>
    <t>비계파이프 상부에 합판을 깔고 이동하면서 클램프 해체작업 중 합판이 이탈되어 합판과 함께 교량 하부 바닥으로 추락</t>
  </si>
  <si>
    <t>▶ 추락 위험이 있는 작업 시, 견고한 작업발판 설치 또는 안전대 부착설비를 통한 추락방호조치 실시
▶ 교량 작업 전문 장비인 굴절스카이 사용을 통한 거더 하부 작업 실시</t>
  </si>
  <si>
    <t>2018년 1월경 위험교량개축사업 현장에서 라멘교 교대벽체 등을 조립하면서 기울어진 철근 수직도를 바로 잡으려고 철근을 잡아당기던 중 수직철근이 전도되면서 깔려 2명 사망</t>
  </si>
  <si>
    <t>기울어진 철근 수직도를 바로 잡기 위해 화물고정용 라쳇으로 철근을 무리하게 당겨 수직철근이 교대 축의 횡방향으로 전도됨</t>
  </si>
  <si>
    <t>▶ 교대 수직철근조립 시 설계도서 준수
▶ 철근의 수직도를 수정하기 위해 무리하게 철근을 잡아당기는 등의 불안정한 작업 금지
▶ 수직철근 조립작업 시 전도재해를 예방하기 위해 관리감독자 지휘 ∙ 감독 철저</t>
  </si>
  <si>
    <t>2018년 1월경 복선전철 건설공사 현장에서 코핑 강재거푸집 탈형을 위해 줄걸이 작업을 하던 중 강재거푸집이 외벽에서 탈락되어 하부 작업발판을 덮치며 13m 아래 바닥으로 추락하여 1명사망, 부재에 맞아 1명 부상</t>
  </si>
  <si>
    <t>코핑 강재거푸집을 매달지 않은 상태에서 연결철물을 해체하여 외벽에서 탈락되어 하부 피어밴드 작업발판을 덮쳐 근로자가 추락</t>
  </si>
  <si>
    <t>▶ 거푸집을 인양장비에 매달기 전에는 지지 또는 연결철물 해체 금지
▶ 코핑거푸집 등의 중량물을 취급하는 작업에는 작업지휘자를 지정하고 해당 작업 지휘 조치</t>
  </si>
  <si>
    <t xml:space="preserve">2018년 5월 </t>
  </si>
  <si>
    <t>2018년 5월 고속국도 유지보수현장에서 교좌장치 보수작업을 위해 갓길에 있던 용접발전기를 교각으로 연결되는 경사형 출입계단에 올려놓고 계단에 올라서는 순간 계단을 지지하던 세트앵커볼트가 탈락되면서 30.9m 아래로 추락하여 4명 사망</t>
  </si>
  <si>
    <t>콘크리트에 얕게 매입된 앵커볼트가 경사형 출입계단을 지지하던 중 상부하중을 견디지 못해 탈락되면서 근로자가 지면으로 추락</t>
  </si>
  <si>
    <t>▶ 앵커볼트 시공 시 소요 묻힘깊이(최소삽입깊이)에 맞게 앵커볼트 시공
▶ 내부 철근 등의 간섭으로 인해 묻힘깊이를 만족하지 못할 경우 앵커볼트 시공위치를 변경하는 등 시공방법 변경
▶ 작업자가 임의로 시공방법을 변경하지 못하도록 주기적인 관리, 감독 필요</t>
  </si>
  <si>
    <t xml:space="preserve">2018년 9월 </t>
  </si>
  <si>
    <t>2018년 9월 교량 균열 보수공사 현장에서 재해자가 하부 균열 보수작업 완료 확인 후 하부 작업대와 수직타워의 연결부가 파단되면서 42m 아래 수면으로 떨어져 익사</t>
  </si>
  <si>
    <t>굴절차 철수 과정 중 하부 작업대와 수직타워의 연결부가 걸려 무리하게 작동 중 파단되어 작업대에 있던 근로자가 수면으로 추락해 익사</t>
  </si>
  <si>
    <t>▶ 굴절차와 같은 작업자를 태운상태에서 구조물에 장비일부가 걸린 경우 무리하게 작동금지
▶ 하부작업대 작업상황 확인 및 신호체계 확보 후 굴절차 조작
▶ 교량 구조물과 충돌 방지를 위한 하부 작업대 안전장치 설치
▶ 고소작업대 사용 시 안전대 지급 및 안전대 부착설비 설치</t>
  </si>
  <si>
    <t xml:space="preserve">2019년 4월 </t>
  </si>
  <si>
    <t>2019년 4월 중 국도개선공사현장에서 재해자가 교량 교대 벽체 거푸집을 설치하던 중 교대 기초 슬라브에서 1.3m 버림콘크리트 바닥으로 떨어져 사망</t>
  </si>
  <si>
    <t>근로자가 교량교대 벽체 거푸집을 설치하던 중 교대 기초 슬라브 개구부에서 실족하여 버림콘크리트 바닥으로 떨어짐</t>
  </si>
  <si>
    <t>▶ 근로자가 추락할 위험이 있는 장소에는 충분한 강도를 가진 구조의 (작업발판형) 덮개 또는 안전난간 등의 방호조치 실시
▶ 낙하위험이 있는 고소 작업 시 안전대(안전고리 2개 모두 체결) 착용 등 추락 방지 조치 수행</t>
  </si>
  <si>
    <t>8.2.2 강교 슬라브 시공</t>
  </si>
  <si>
    <t>2019년 11월 육교설치 현장에서 재해자가 고소작업대에 탑승하여 하부 도장 보수작업 중 고소작업대 작업구간에 접근하던 버스와 충돌하여 4.6m 아래 바닥으로 추락하여 사망</t>
  </si>
  <si>
    <t>근로자가 고소작업대에 탑승하여 강교 하부 도장 보수 작업 중 접근하던 버스와 충돌하면서 근로자가 도로 바닥으로 추락</t>
  </si>
  <si>
    <t>▶ 고소작업대 추락에 대비하여 안전대 착용
▶ 고소작업대 사용 시 안전대 지급 및 안전대 부착설비 설치</t>
  </si>
  <si>
    <t>8.3 PSC 교량 작업</t>
  </si>
  <si>
    <t>8.3.1 PSC 교량 거더 인양 및 거치</t>
  </si>
  <si>
    <t>2020년 11월경 교량 보수공사 현장에서 상부 강연선 긴장작업을 완료하고 재해자가 공구 운반 작업을 도와주는 과정에서 상부 강연선의 정착구가 탈락하면서 두부를 타격하여 사망</t>
  </si>
  <si>
    <t>상부 강연선의 정착구가 탈락하면서 이탈한 장착구 또는 연결된 강봉이 근로자의 두부를 타격함</t>
  </si>
  <si>
    <t>▶ 강연선 긴장력 등 정착구에 부가되는 하중으로 인해 정착구 및 강봉이 탈락할 위험이 있는 경우 강연선 긴장력 증가, 정착구 및 콘크리트 간 접촉면의 마찰력 감소 등 안전성 평가 실시</t>
  </si>
  <si>
    <t>8.4 특수교량 작업</t>
  </si>
  <si>
    <t>8.4.1 특수교량(ILM 공법)</t>
  </si>
  <si>
    <t xml:space="preserve">2017년 1월 </t>
  </si>
  <si>
    <t>2017년 1월 고속국도 건설공사에서 재해자가 교량 제작장 몰드커버 해체작업 중 거치되어 있던 몰드커버가 전도되면서 끼여 사망</t>
  </si>
  <si>
    <t>레일기초와 교량거푸집 상부에 경사지게 거치된 몰드커버가 전도되며 기둥강관더미와 바닥 경사면 사이에 깔림</t>
  </si>
  <si>
    <t>▶ 몰드커버 해체작업 시, 사전에 적절한 작업순서를 수립
▶ 크레인으로 인양작업 시, 작업반경 내 작업자 접근 금지조치</t>
  </si>
  <si>
    <t>9. 터널공사</t>
  </si>
  <si>
    <t>9.1 라이닝 거푸집 작업</t>
  </si>
  <si>
    <t>9.1.1 라이닝 거푸집 자재반입, 하역</t>
  </si>
  <si>
    <t>2019년 9월경 OO건설(주)이 시공하는 OO노반건설공사 OO터널에서 라이닝작업 협력업체 소속 재해자가 터널 종점부 입구방향으로 이동 중 후진하는 트럭에 접촉되어 사망</t>
  </si>
  <si>
    <t>근로자용 안전통로가 미 설치된 현장에서 근로자가 터널 종점부 입구방향으로 이동 중 후진하는 트럭에 접촉</t>
  </si>
  <si>
    <t>▶ 작업장 주변 및 내부에 근로자용 안전통로 설치
▶ 차량계 건설기계와 접촉을 방지하기 위해 근로자 출입 통제 및 유도자 배치</t>
  </si>
  <si>
    <t>2021년 10월경 OO순환도로 확장공사 터널 작업현장에서 터널전용으로 제작된 강재거푸집을 유압잭으로 이동시키던 과정에서, 강재거푸집 러그와 굴착기에 연결시켜 사용하던 와이어로프(∵강재거푸집 고정용)를 굴착기 운전기사가 끌어당기자 러그에서 이탈하여 와이어로프가 재해자를 타격해 사망</t>
  </si>
  <si>
    <t>유압잭으로 터널용 강재거푸집을 이동중, 굴삭기에 연결시켜 사용하던 와이어로프가 러그에서 이탈하여 와이어로프가 재해자를 타격하여 사망한 재해임</t>
  </si>
  <si>
    <t>▶작업 전 인양장비에 대한 결함 유무 및 점검 실시
▶인양작업 전 작업반경에 따른 근로자 통제 조치 실시</t>
  </si>
  <si>
    <t>9.2 터널 굴착 작업</t>
  </si>
  <si>
    <t>9.2.1 터널 천공</t>
  </si>
  <si>
    <t>2016년 4월경 도로 건설공사 현장에서 재해자가 터널 막장 측량 마킹작업을 하던 중 막장면에서 암석이 떨어지면서 맞아 사망</t>
  </si>
  <si>
    <t>막장면에서 암석이 떨어지면서 근로자를 강타</t>
  </si>
  <si>
    <t>▶ 낙반부위의 절리상태 및 낙반위치 확인하여 떨어질 암석의 상태 파악
▶ 터널용 고소작업차(차징카)를 사용하는 등 작업방법을 변경하고 헤드가드 및 전면가드 등을 설치하여 낙반 방지조치 실시
▶ 낙반 등에 의한 피해 우려시 부석의 제거, 막장면 숏크리트 타설, 굴착공법 변경 등 위험 방지 조치 실시</t>
  </si>
  <si>
    <t>2017년 5월경 철도공사 현장에서 재해자가 쉴드 TBM 해체작업을 하던 중 세그먼트 진원유지장치가 전도되어 맞아 사망</t>
  </si>
  <si>
    <t>쉴드TBM 해체작업 준비를 하던 중 전도방지조치를 하지 않은 세그먼트 진원유지장치가 기울어지면서 진원유지장치와 작업발판에 설치된 안간난간대 사이에 협착</t>
  </si>
  <si>
    <t>▶ 운반용구인 이렉터 위에 진원유지장치 받침용 H-beam을 올려놓고 진원유지장치가 이탈하지 않도록 용접고정을 한 상태에서 유압제거 및 전도방지재인 틸트프로텍션을 해체 실시(전도방지 철저)
▶ 중량물 운반용구인 이렉터를 이용하여 쉴드TBM 철제 원통내부로 운반·고정하는 작업을 하는 경우 중량물 취급작업계획서를 작성
▶ 작업자간 신호체계 확립과 작업지휘자를 지정하여 신호에 따라 작업</t>
  </si>
  <si>
    <t>9.2.2 터널 버널처리</t>
  </si>
  <si>
    <t>2017년 5월경 터널공사 현장에서 재해자가 덤프트럭을 운반하여 하차하는 작업 중 지반이 침하되면서 12m 아래로 떨어져 사망</t>
  </si>
  <si>
    <t>덤프트럭을 후진 정차하는 도중 단부의 지반이 침하되면서 차량이 전복되어 근로자가 운전석에 협착</t>
  </si>
  <si>
    <t>▶ 건설기계를 사용하는 작업 시 장비유도자 배치
▶ 지반의 부등침하, 붕괴 방지를 위해 사전 조사 후 작업 실시
▶ 하역작업시 무리하게 단부 끝으로 접근 금지
▶ 덤프트럭 하역작업 시 차량 전도 등 비상사태를 예방하기 위해 안전벨트 등 보호구 상시 착용</t>
  </si>
  <si>
    <t>2018년 11월경 고속국도 건설공사에서 재해자가 터널용 고소작업차에 탑승하여 부석제거작업 중 떨어지는 암석에 맞아 사망</t>
  </si>
  <si>
    <t>▶ 터널 지보공 설치작업 시 숏크리트 타설방법 및 두께 관리
▶ 록볼트 정착재의 적절한 충진여부 확인
▶ 기계굴착 및 천공작업으로 막장면에 충격이 가해질 경우 막장면 숏크리트 등의 보강대책 적용
▶ 터널 굴착작업 시 주변 지질 및 지층의 상태 사전조사 실시</t>
  </si>
  <si>
    <t>2019년 9월경 터널 건설공사에서 재해자가 버력 반출용도의 광차를 연결하던 중 광차 사이에 머리가 끼여 사망</t>
  </si>
  <si>
    <t>터널 내부 배터리카(갱내형 축전차) 하역을 마치고 수직구 방향으로 이동하던 중 근로자 본인이 운전하던 배터리카가 움직여 운반대차 하부 철제바퀴와 레일 사이에 끼임</t>
  </si>
  <si>
    <t>▶ 배터리카 운전자가 운전석을 이탈하는 경우 브레이크의 확실한 체결 등 이탈에 대해 방지조치 실시
▶ 배터리카에 자재를 적재 시 고정상태 확인 후 이동
▶ 작업 전 사전에 차량의 제동장치 기능 이상 유무 점검</t>
  </si>
  <si>
    <t>2020년 4월경 도로 건설공사에서 재해자가 굴착기로 막장면 부석정리 중 떨어지는 낙반에 맞아 사망</t>
  </si>
  <si>
    <t>2020년 11월경 철도 건설공사에서 재해자가 굴삭기를 이용하여 부석정리작업 중 천단부 부석이 무너져 매몰되어 사망</t>
  </si>
  <si>
    <t>9.3 터널 보강 작업</t>
  </si>
  <si>
    <t>9.3.1 터널 강지보</t>
  </si>
  <si>
    <t>2016년 12월경 터널 공사현장에서 재해자가 지보재 다발의 슬링벨트를 제거하던 중 근처에 있더 터널용 고소작업차가 움직이면서 끼여 사망</t>
  </si>
  <si>
    <t>지보재를 하역하던 중 터널용 고소작업차(차징카)가 갑자기 움직여 작업대와 지보재 사이에 근로자가 끼임</t>
  </si>
  <si>
    <t>▶ 근로자가 고소작업차 등에 탑승하여 작업을 수행하는 경우 유도자를 배치하여 신호에 따라 작업
▶ 운전자가 운전석에서 이탈하는 경우 갑작스러운 주행이나 이탈이 발생하지 않도록 엔진 정지, 브레이크 작동 및 운전대에서 시동키 분리 등의 안전조치 실시</t>
  </si>
  <si>
    <t>2017년 2월경 단지 조성공사에서 재해자가 도갱내 강지보재 절단작업을 마치고 이동하던 중 막장면 일부 붕괴로 매몰되어 사망</t>
  </si>
  <si>
    <t>도갱내 강지보재 절단작업 후 밖으로 나온 순간 막장면 일부 붕괴되며 매몰</t>
  </si>
  <si>
    <t>▶ 낙반등에 의해 위험할 경우 구획별 굴착 후 토류공 설치 후 페이스잭으로 지지하여 낙반 등에 의한 위험방지 철저
▶ 비개착 통로박스 작업시 막장 붕괴에 의한 근로자의 위험을 방지하기 위하여 사전조사 실시
▶ 지반교란 및 이완 등에 의한 막장면의 붕괴위험시 보강조치 등 사전대응 실시</t>
  </si>
  <si>
    <t>9.3.2 터널 특수보강</t>
  </si>
  <si>
    <t>2017년 6월경 철도 건설공사 현장에서 재해자가 풍도 슬래브를 설치하는 작업 중 풍도슬래브가 낙하하여 1명 깔려 사망, 1명 추락하여 사망</t>
  </si>
  <si>
    <t>터널 브라켓에 풍도슬래브를 정치하기 위해 위치조정 중 풍도슬래브 1본이 4m 높이에서 낙하하여 근로자 추락 및 하부에 있던 근로자 깔림</t>
  </si>
  <si>
    <t>▶ 중량물을 인양 시 인양물에 작업자를 탑승시키는 등 부적절한 작업 금지(불가피할 경우 인양물이 아닌 양중기 등에 별도의 추락방지조치 실시)
▶ 중량물을 인양하는 등의 작업 시 중량물 취급작업계획서를 작성하고 작업계획에 따라 작업진행</t>
  </si>
  <si>
    <t>2018년 7월경 지하철 운행구간 터널 내부에서 보강공인 재해자가 작업대차(이동식비계) 상부에서 처장면 보강마감면 도포작업 중 실족, 철도 레일 측면 콘크리트 바닥으로 추락(H=3.5m)하여 사망</t>
  </si>
  <si>
    <t>안전난간이 미설치된 작업대차에서 작업 중 실족하여 근로자 추락</t>
  </si>
  <si>
    <t>▶ 작업대차 상부에서 보강공사 작업 중 작업발판 면적을 확장하는 경우 단부 방향으로 추락하지 않도록 기준에 적합하게 설치
▶ 안전대 부착설비 설치 및 안전대 착용</t>
  </si>
  <si>
    <t>9.4 수직구 작업</t>
  </si>
  <si>
    <t>9.4.1 수직구 흙막이 지보공 시공</t>
  </si>
  <si>
    <t>2018년 9월경 전철 건설공사현장에서 재해자가 철근 산소용단 작업 중 굴착기의 후방 무한궤도에 깔려 사망</t>
  </si>
  <si>
    <t>2019년 6월경 송수시설공사에서 재해자가 수직구로 내려가 흙막이 지보공 띠장 용접위치를 확인하던 중 3m 아래 콘크리트 바닥으로 추락하여 사망</t>
  </si>
  <si>
    <t>안전대를 미착용하고 흙막이지보공 사보강재 위에서 작업 중 균형을 잃고 추락</t>
  </si>
  <si>
    <t>▶ 추락방지를 위해 안전대 부착설비 설치 및 안전대 지급
▶ 작업 또는 이동 시 안전대에 걸도록 관리감독 수행</t>
  </si>
  <si>
    <t>9.5 갱구부 작업</t>
  </si>
  <si>
    <t>9.5.1 갱구부 보강</t>
  </si>
  <si>
    <t>2020년 6월경 전력구공사 현장에서 재해자가 수직구 방향으로 이동하던 중 운전하던 운반대차 하부 철제바퀴와 레일 사이에 끼여 사망</t>
  </si>
  <si>
    <t>9.6 특수터널 작업</t>
  </si>
  <si>
    <t>9.6.1 특수터널(TBM공법)</t>
  </si>
  <si>
    <t>2016년 12월경 OO지구 청소공구 토목공사현장에서 재해자가 고장난 세미쉴드(Semi-Shield) 기기 및 콘크리트 관로 인출작업 중 유압에 의해 튕겨져 나온 원통형 강봉밀대에 두부를 맞아 사망</t>
  </si>
  <si>
    <t>고장난 세미쉴드 기기 및 콘크리트 관로 인출작업 중 유압에 의해 튕겨져 나온 원통형 강봉밀대에 근로자가 맞음</t>
  </si>
  <si>
    <t>▶ 유압잭의 길이가 짧아 강재 밀대를 붙여 연장할 경우 유압 잭과 밀대 사이에 볼트 체결, 용접 등 결속하여 편심 발생여부 확인
▶ 세미쉴드 인출작업 시 해당 작업구간에 근로자의 출입금지</t>
  </si>
  <si>
    <t>행 레이블</t>
  </si>
  <si>
    <t>총합계</t>
  </si>
  <si>
    <t>재해형태</t>
  </si>
  <si>
    <t>비율</t>
  </si>
  <si>
    <t>건수</t>
  </si>
  <si>
    <t>개수 : 위험성 감소대책(예시)</t>
  </si>
  <si>
    <t>기인물 분류</t>
  </si>
  <si>
    <t>고위험공정 판별</t>
    <phoneticPr fontId="2" type="noConversion"/>
  </si>
  <si>
    <t>건설업 주요 재해형태 분석</t>
    <phoneticPr fontId="2" type="noConversion"/>
  </si>
  <si>
    <t>재해형태별 주요 기인물 분석</t>
    <phoneticPr fontId="2" type="noConversion"/>
  </si>
  <si>
    <t>기인물 그룹화에 따른 주요 위험도 분석</t>
    <phoneticPr fontId="2" type="noConversion"/>
  </si>
  <si>
    <t>기인물에 따른 주요 위험도 분석</t>
    <phoneticPr fontId="2" type="noConversion"/>
  </si>
  <si>
    <t xml:space="preserve">12대 기인물에 따른 주요 위험도 분석 </t>
    <phoneticPr fontId="2" type="noConversion"/>
  </si>
  <si>
    <t>그룹 기인물별 주요 재해형태</t>
    <phoneticPr fontId="2" type="noConversion"/>
  </si>
  <si>
    <t>기인물별 주요 재해형태</t>
    <phoneticPr fontId="2" type="noConversion"/>
  </si>
  <si>
    <t>개수 : 작업명</t>
  </si>
  <si>
    <t>공정별-기인물-재해형태</t>
    <phoneticPr fontId="2" type="noConversion"/>
  </si>
  <si>
    <t>공정별-기인물별-재해형태</t>
    <phoneticPr fontId="2" type="noConversion"/>
  </si>
  <si>
    <t>고위험공정 정의</t>
    <phoneticPr fontId="2" type="noConversion"/>
  </si>
  <si>
    <t>YES</t>
  </si>
  <si>
    <t>YES</t>
    <phoneticPr fontId="2" type="noConversion"/>
  </si>
  <si>
    <t>NO</t>
    <phoneticPr fontId="2" type="noConversion"/>
  </si>
  <si>
    <t>열 레이블</t>
  </si>
  <si>
    <t>개수 : 재해형태</t>
  </si>
  <si>
    <t>개수 : 재해개요 : 재해시기 추출</t>
  </si>
  <si>
    <t>공정별 기인물 1단계</t>
    <phoneticPr fontId="2" type="noConversion"/>
  </si>
  <si>
    <t>공정별 기인물 2단계</t>
    <phoneticPr fontId="2" type="noConversion"/>
  </si>
  <si>
    <t>공정별 주요 기인물 3단계</t>
    <phoneticPr fontId="2" type="noConversion"/>
  </si>
  <si>
    <t>공정</t>
  </si>
  <si>
    <t>가장 위험한 공정은?  사고사망사례 빈번 사례 발생 공정은?</t>
    <phoneticPr fontId="2" type="noConversion"/>
  </si>
  <si>
    <t>기인물 중심의 위험성평가 체계 구축</t>
    <phoneticPr fontId="2" type="noConversion"/>
  </si>
  <si>
    <r>
      <t>건설사업</t>
    </r>
    <r>
      <rPr>
        <sz val="14"/>
        <color rgb="FF002060"/>
        <rFont val="Aptos Narrow"/>
      </rPr>
      <t xml:space="preserve">/OH </t>
    </r>
    <r>
      <rPr>
        <sz val="14"/>
        <color rgb="FF002060"/>
        <rFont val="맑은 고딕"/>
        <family val="2"/>
        <charset val="129"/>
        <scheme val="minor"/>
      </rPr>
      <t>위험성평가 검토 프로그램</t>
    </r>
  </si>
  <si>
    <r>
      <t>&lt;</t>
    </r>
    <r>
      <rPr>
        <sz val="14"/>
        <color rgb="FF002060"/>
        <rFont val="맑은 고딕"/>
        <family val="2"/>
        <charset val="129"/>
        <scheme val="minor"/>
      </rPr>
      <t xml:space="preserve">공정 전환 시 </t>
    </r>
    <r>
      <rPr>
        <sz val="14"/>
        <color rgb="FF002060"/>
        <rFont val="Aptos Narrow"/>
      </rPr>
      <t xml:space="preserve">SIF </t>
    </r>
    <r>
      <rPr>
        <sz val="14"/>
        <color rgb="FF002060"/>
        <rFont val="맑은 고딕"/>
        <family val="2"/>
        <charset val="129"/>
        <scheme val="minor"/>
      </rPr>
      <t>위험성평가 검토 시스템 반영</t>
    </r>
    <r>
      <rPr>
        <sz val="14"/>
        <color rgb="FF002060"/>
        <rFont val="Aptos Narrow"/>
      </rPr>
      <t>&gt;</t>
    </r>
  </si>
  <si>
    <t>공정별 기인물 확인 (Blue)</t>
    <phoneticPr fontId="2" type="noConversion"/>
  </si>
  <si>
    <t>2. 기인물별 적정 재해형태 반영여부 확인</t>
    <phoneticPr fontId="2" type="noConversion"/>
  </si>
  <si>
    <t>1. 고위험 기인물 정의 (다빈도 사고사망사례 발생 기인물)</t>
    <phoneticPr fontId="2" type="noConversion"/>
  </si>
  <si>
    <t>2. 시공사가 제출한 위험성평가 공정과 비교</t>
    <phoneticPr fontId="2" type="noConversion"/>
  </si>
  <si>
    <r>
      <t xml:space="preserve">3. </t>
    </r>
    <r>
      <rPr>
        <sz val="14"/>
        <color rgb="FF002060"/>
        <rFont val="Malgun Gothic"/>
        <family val="2"/>
        <charset val="129"/>
      </rPr>
      <t>누락</t>
    </r>
    <r>
      <rPr>
        <sz val="14"/>
        <color rgb="FF002060"/>
        <rFont val="Aptos Narrow"/>
      </rPr>
      <t xml:space="preserve"> </t>
    </r>
    <r>
      <rPr>
        <sz val="14"/>
        <color rgb="FF002060"/>
        <rFont val="Malgun Gothic"/>
        <family val="2"/>
        <charset val="129"/>
      </rPr>
      <t>공정</t>
    </r>
    <r>
      <rPr>
        <sz val="14"/>
        <color rgb="FF002060"/>
        <rFont val="Aptos Narrow"/>
      </rPr>
      <t xml:space="preserve"> -&gt; </t>
    </r>
    <r>
      <rPr>
        <sz val="14"/>
        <color rgb="FF002060"/>
        <rFont val="Malgun Gothic"/>
        <family val="2"/>
        <charset val="129"/>
      </rPr>
      <t>시공사</t>
    </r>
    <r>
      <rPr>
        <sz val="14"/>
        <color rgb="FF002060"/>
        <rFont val="Aptos Narrow"/>
      </rPr>
      <t xml:space="preserve"> </t>
    </r>
    <r>
      <rPr>
        <sz val="14"/>
        <color rgb="FF002060"/>
        <rFont val="Malgun Gothic"/>
        <family val="2"/>
        <charset val="129"/>
      </rPr>
      <t>반영</t>
    </r>
    <r>
      <rPr>
        <sz val="14"/>
        <color rgb="FF002060"/>
        <rFont val="Aptos Narrow"/>
      </rPr>
      <t xml:space="preserve"> </t>
    </r>
    <r>
      <rPr>
        <sz val="14"/>
        <color rgb="FF002060"/>
        <rFont val="Malgun Gothic"/>
        <family val="2"/>
        <charset val="129"/>
      </rPr>
      <t>요청</t>
    </r>
    <r>
      <rPr>
        <sz val="14"/>
        <color rgb="FF002060"/>
        <rFont val="Aptos Narrow"/>
      </rPr>
      <t xml:space="preserve"> </t>
    </r>
    <phoneticPr fontId="2" type="noConversion"/>
  </si>
  <si>
    <r>
      <t xml:space="preserve">4. </t>
    </r>
    <r>
      <rPr>
        <sz val="14"/>
        <color rgb="FF002060"/>
        <rFont val="Malgun Gothic"/>
        <family val="2"/>
        <charset val="129"/>
      </rPr>
      <t>공정별</t>
    </r>
    <r>
      <rPr>
        <sz val="14"/>
        <color rgb="FF002060"/>
        <rFont val="Aptos Narrow"/>
      </rPr>
      <t xml:space="preserve"> </t>
    </r>
    <r>
      <rPr>
        <sz val="14"/>
        <color rgb="FF002060"/>
        <rFont val="Malgun Gothic"/>
        <family val="2"/>
        <charset val="129"/>
      </rPr>
      <t>누락</t>
    </r>
    <r>
      <rPr>
        <sz val="14"/>
        <color rgb="FF002060"/>
        <rFont val="Aptos Narrow"/>
      </rPr>
      <t xml:space="preserve"> </t>
    </r>
    <r>
      <rPr>
        <sz val="14"/>
        <color rgb="FF002060"/>
        <rFont val="Malgun Gothic"/>
        <family val="2"/>
        <charset val="129"/>
      </rPr>
      <t>기인물</t>
    </r>
    <r>
      <rPr>
        <sz val="14"/>
        <color rgb="FF002060"/>
        <rFont val="Aptos Narrow"/>
      </rPr>
      <t xml:space="preserve"> -&gt; </t>
    </r>
    <r>
      <rPr>
        <sz val="14"/>
        <color rgb="FF002060"/>
        <rFont val="Malgun Gothic"/>
        <family val="2"/>
        <charset val="129"/>
      </rPr>
      <t>시공사</t>
    </r>
    <r>
      <rPr>
        <sz val="14"/>
        <color rgb="FF002060"/>
        <rFont val="Aptos Narrow"/>
      </rPr>
      <t xml:space="preserve"> </t>
    </r>
    <r>
      <rPr>
        <sz val="14"/>
        <color rgb="FF002060"/>
        <rFont val="Malgun Gothic"/>
        <family val="2"/>
        <charset val="129"/>
      </rPr>
      <t>반영요청</t>
    </r>
    <r>
      <rPr>
        <sz val="14"/>
        <color rgb="FF002060"/>
        <rFont val="Aptos Narrow"/>
      </rPr>
      <t xml:space="preserve"> (Next Sheet)</t>
    </r>
    <phoneticPr fontId="2" type="noConversion"/>
  </si>
  <si>
    <r>
      <t xml:space="preserve">5. </t>
    </r>
    <r>
      <rPr>
        <sz val="14"/>
        <color rgb="FF002060"/>
        <rFont val="Malgun Gothic"/>
        <family val="2"/>
        <charset val="129"/>
      </rPr>
      <t>기인물별</t>
    </r>
    <r>
      <rPr>
        <sz val="14"/>
        <color rgb="FF002060"/>
        <rFont val="Aptos Narrow"/>
      </rPr>
      <t xml:space="preserve"> </t>
    </r>
    <r>
      <rPr>
        <sz val="14"/>
        <color rgb="FF002060"/>
        <rFont val="Malgun Gothic"/>
        <family val="2"/>
        <charset val="129"/>
      </rPr>
      <t>재해사례</t>
    </r>
    <r>
      <rPr>
        <sz val="14"/>
        <color rgb="FF002060"/>
        <rFont val="Aptos Narrow"/>
      </rPr>
      <t xml:space="preserve"> -&gt; </t>
    </r>
    <r>
      <rPr>
        <sz val="14"/>
        <color rgb="FF002060"/>
        <rFont val="Malgun Gothic"/>
        <family val="2"/>
        <charset val="129"/>
      </rPr>
      <t>위험성평가</t>
    </r>
    <r>
      <rPr>
        <sz val="14"/>
        <color rgb="FF002060"/>
        <rFont val="Aptos Narrow"/>
      </rPr>
      <t xml:space="preserve"> </t>
    </r>
    <r>
      <rPr>
        <sz val="14"/>
        <color rgb="FF002060"/>
        <rFont val="Malgun Gothic"/>
        <family val="2"/>
        <charset val="129"/>
      </rPr>
      <t>반영요청</t>
    </r>
    <r>
      <rPr>
        <sz val="14"/>
        <color rgb="FF002060"/>
        <rFont val="Aptos Narrow"/>
      </rPr>
      <t xml:space="preserve"> </t>
    </r>
    <phoneticPr fontId="2" type="noConversion"/>
  </si>
  <si>
    <r>
      <t xml:space="preserve">6. </t>
    </r>
    <r>
      <rPr>
        <sz val="14"/>
        <color rgb="FF002060"/>
        <rFont val="Malgun Gothic"/>
        <family val="2"/>
        <charset val="129"/>
      </rPr>
      <t>위험요인</t>
    </r>
    <r>
      <rPr>
        <sz val="14"/>
        <color rgb="FF002060"/>
        <rFont val="Aptos Narrow"/>
      </rPr>
      <t xml:space="preserve"> </t>
    </r>
    <r>
      <rPr>
        <sz val="14"/>
        <color rgb="FF002060"/>
        <rFont val="Malgun Gothic"/>
        <family val="2"/>
        <charset val="129"/>
      </rPr>
      <t>및</t>
    </r>
    <r>
      <rPr>
        <sz val="14"/>
        <color rgb="FF002060"/>
        <rFont val="Aptos Narrow"/>
      </rPr>
      <t xml:space="preserve"> </t>
    </r>
    <r>
      <rPr>
        <sz val="14"/>
        <color rgb="FF002060"/>
        <rFont val="Malgun Gothic"/>
        <family val="2"/>
        <charset val="129"/>
      </rPr>
      <t>개선대책</t>
    </r>
    <r>
      <rPr>
        <sz val="14"/>
        <color rgb="FF002060"/>
        <rFont val="Aptos Narrow"/>
      </rPr>
      <t xml:space="preserve"> -&gt; </t>
    </r>
    <r>
      <rPr>
        <sz val="14"/>
        <color rgb="FF002060"/>
        <rFont val="Malgun Gothic"/>
        <family val="2"/>
        <charset val="129"/>
      </rPr>
      <t>참고</t>
    </r>
    <phoneticPr fontId="2" type="noConversion"/>
  </si>
  <si>
    <t>1. 고위험 공정의 정의 가능 (다빈도 사고사망 발생 공정)</t>
    <phoneticPr fontId="2" type="noConversion"/>
  </si>
  <si>
    <t xml:space="preserve">3. 누락 재해형태에 대한 보완 요청 </t>
    <phoneticPr fontId="2" type="noConversion"/>
  </si>
  <si>
    <t>4. 기인물 별 SIF 대표사례 위험성평가 반영 및 TBM 교육 활용</t>
    <phoneticPr fontId="2" type="noConversion"/>
  </si>
  <si>
    <r>
      <t xml:space="preserve">7. </t>
    </r>
    <r>
      <rPr>
        <sz val="14"/>
        <color rgb="FF002060"/>
        <rFont val="맑은 고딕"/>
        <family val="2"/>
        <charset val="129"/>
      </rPr>
      <t>적용범위</t>
    </r>
    <r>
      <rPr>
        <sz val="14"/>
        <color rgb="FF002060"/>
        <rFont val="Aptos Narrow"/>
      </rPr>
      <t xml:space="preserve"> : </t>
    </r>
    <r>
      <rPr>
        <sz val="14"/>
        <color rgb="FF002060"/>
        <rFont val="맑은 고딕"/>
        <family val="2"/>
        <charset val="129"/>
      </rPr>
      <t>건설공사</t>
    </r>
    <phoneticPr fontId="2" type="noConversion"/>
  </si>
  <si>
    <t>5. 적용범위 : 건설공사 + O/H.공사 (기인물은 공통)</t>
    <phoneticPr fontId="2" type="noConversion"/>
  </si>
  <si>
    <t>6. O/H는 기인물 중심으로 SIF 활용</t>
    <phoneticPr fontId="2" type="noConversion"/>
  </si>
  <si>
    <t>7. 기인물 1차 검토 -&gt; 해당 시 재해유형 검토, 사용공정 참고</t>
    <phoneticPr fontId="2" type="noConversion"/>
  </si>
  <si>
    <t>8. 기인물 검토 시 재해형태 누락여부 CHK -&gt; 누락 시 반영 요청</t>
    <phoneticPr fontId="2" type="noConversion"/>
  </si>
  <si>
    <t>떨어짐 재해 근절을 위한 주요 기인물 범위 지정</t>
    <phoneticPr fontId="2" type="noConversion"/>
  </si>
  <si>
    <t>No</t>
  </si>
  <si>
    <t>공종목록</t>
  </si>
  <si>
    <t>전체기인물</t>
  </si>
  <si>
    <t>12대기인물</t>
  </si>
  <si>
    <t>일반기인물</t>
  </si>
  <si>
    <t>공종</t>
    <phoneticPr fontId="2" type="noConversion"/>
  </si>
  <si>
    <t>작업명</t>
    <phoneticPr fontId="2" type="noConversion"/>
  </si>
  <si>
    <t>1. 토공사</t>
    <phoneticPr fontId="2" type="noConversion"/>
  </si>
  <si>
    <t>1.2 흙막이 지보공 작업</t>
    <phoneticPr fontId="2" type="noConversion"/>
  </si>
  <si>
    <t>1.3 기초파일 작업</t>
    <phoneticPr fontId="2" type="noConversion"/>
  </si>
  <si>
    <t>1.4 되메움 작업</t>
    <phoneticPr fontId="2" type="noConversion"/>
  </si>
  <si>
    <t>1.5 발파 작업</t>
    <phoneticPr fontId="2" type="noConversion"/>
  </si>
  <si>
    <t>1.6 그라우팅작업</t>
    <phoneticPr fontId="2" type="noConversion"/>
  </si>
  <si>
    <t>10. 하천 및 항만공사</t>
    <phoneticPr fontId="2" type="noConversion"/>
  </si>
  <si>
    <t>10.1 준설매립</t>
    <phoneticPr fontId="2" type="noConversion"/>
  </si>
  <si>
    <t>10.2 수중, 해상공사</t>
    <phoneticPr fontId="2" type="noConversion"/>
  </si>
  <si>
    <t>11. 기타 토목공사</t>
    <phoneticPr fontId="2" type="noConversion"/>
  </si>
  <si>
    <t>11.1 부대 토목 작업</t>
    <phoneticPr fontId="2" type="noConversion"/>
  </si>
  <si>
    <t>11.2 가설도로 작업</t>
    <phoneticPr fontId="2" type="noConversion"/>
  </si>
  <si>
    <t>11.3 지장물 조사 및 이설 작업</t>
    <phoneticPr fontId="2" type="noConversion"/>
  </si>
  <si>
    <t>11.4 맨홀 및 관부설작업</t>
    <phoneticPr fontId="2" type="noConversion"/>
  </si>
  <si>
    <t>11.5 특수댐 작업</t>
    <phoneticPr fontId="2" type="noConversion"/>
  </si>
  <si>
    <t>12. 공통공사</t>
    <phoneticPr fontId="2" type="noConversion"/>
  </si>
  <si>
    <t>12.1 철거, 해체</t>
    <phoneticPr fontId="2" type="noConversion"/>
  </si>
  <si>
    <t>12.2 안전가시설 작업</t>
    <phoneticPr fontId="2" type="noConversion"/>
  </si>
  <si>
    <t>12.3 가설전기 작업</t>
    <phoneticPr fontId="2" type="noConversion"/>
  </si>
  <si>
    <t>12.4 가설플랜트 작업</t>
    <phoneticPr fontId="2" type="noConversion"/>
  </si>
  <si>
    <t>12.5 양중기 작업</t>
    <phoneticPr fontId="2" type="noConversion"/>
  </si>
  <si>
    <t>12.6 위험기계기구 작업(장비수리, 이동 등)</t>
    <phoneticPr fontId="2" type="noConversion"/>
  </si>
  <si>
    <t>12.7 기타(작업환경, 청소 등)</t>
    <phoneticPr fontId="2" type="noConversion"/>
  </si>
  <si>
    <t>2. 철근콘크리트공사</t>
    <phoneticPr fontId="2" type="noConversion"/>
  </si>
  <si>
    <t>2.1 거푸집 작업</t>
    <phoneticPr fontId="2" type="noConversion"/>
  </si>
  <si>
    <t>2.2 갱폼 작업</t>
    <phoneticPr fontId="2" type="noConversion"/>
  </si>
  <si>
    <t>2.3 철근 작업</t>
    <phoneticPr fontId="2" type="noConversion"/>
  </si>
  <si>
    <t>2.4 콘크리트 작업</t>
    <phoneticPr fontId="2" type="noConversion"/>
  </si>
  <si>
    <t>3. 철골공사</t>
    <phoneticPr fontId="2" type="noConversion"/>
  </si>
  <si>
    <t>3.1 철골 작업</t>
    <phoneticPr fontId="2" type="noConversion"/>
  </si>
  <si>
    <t>4. 마감공사</t>
    <phoneticPr fontId="2" type="noConversion"/>
  </si>
  <si>
    <t>4.1 조적, 미장 및 견출작업</t>
    <phoneticPr fontId="2" type="noConversion"/>
  </si>
  <si>
    <t>4.2 방수 작업</t>
    <phoneticPr fontId="2" type="noConversion"/>
  </si>
  <si>
    <t>4.3 석재 및 타일 작업</t>
    <phoneticPr fontId="2" type="noConversion"/>
  </si>
  <si>
    <t>4.4 도장작업</t>
    <phoneticPr fontId="2" type="noConversion"/>
  </si>
  <si>
    <t>4.5 금속 및 잡철물 작업</t>
    <phoneticPr fontId="2" type="noConversion"/>
  </si>
  <si>
    <t>4.6 창호 및 유리 작업</t>
    <phoneticPr fontId="2" type="noConversion"/>
  </si>
  <si>
    <t>4.7 수장 작업</t>
    <phoneticPr fontId="2" type="noConversion"/>
  </si>
  <si>
    <t>4.8 판넬 등 외부마감 작업</t>
    <phoneticPr fontId="2" type="noConversion"/>
  </si>
  <si>
    <t>5. 전기, 기계설비공사</t>
    <phoneticPr fontId="2" type="noConversion"/>
  </si>
  <si>
    <t>5.1 전기 설비 작업</t>
    <phoneticPr fontId="2" type="noConversion"/>
  </si>
  <si>
    <t>5.2 기계설비 작업</t>
    <phoneticPr fontId="2" type="noConversion"/>
  </si>
  <si>
    <t>5.3 엘리베이터 설치 작업</t>
    <phoneticPr fontId="2" type="noConversion"/>
  </si>
  <si>
    <t>6. 조경공사</t>
    <phoneticPr fontId="2" type="noConversion"/>
  </si>
  <si>
    <t>6.1 조경작업</t>
    <phoneticPr fontId="2" type="noConversion"/>
  </si>
  <si>
    <t>7. 도로 및 포장공사</t>
    <phoneticPr fontId="2" type="noConversion"/>
  </si>
  <si>
    <t>7.1 포장 작업</t>
    <phoneticPr fontId="2" type="noConversion"/>
  </si>
  <si>
    <t>7.2 포설 및 다짐 작업</t>
    <phoneticPr fontId="2" type="noConversion"/>
  </si>
  <si>
    <t>8. 교량공사</t>
    <phoneticPr fontId="2" type="noConversion"/>
  </si>
  <si>
    <t>8.1 슬립폼(슬라이딩폼) 작업</t>
    <phoneticPr fontId="2" type="noConversion"/>
  </si>
  <si>
    <t>8.2 강교 설치 작업</t>
    <phoneticPr fontId="2" type="noConversion"/>
  </si>
  <si>
    <t>8.3 PSC 교량 작업</t>
    <phoneticPr fontId="2" type="noConversion"/>
  </si>
  <si>
    <t>8.4 특수교량 작업</t>
    <phoneticPr fontId="2" type="noConversion"/>
  </si>
  <si>
    <t>9. 터널공사</t>
    <phoneticPr fontId="2" type="noConversion"/>
  </si>
  <si>
    <t>9.1 라이닝 거푸집 작업</t>
    <phoneticPr fontId="2" type="noConversion"/>
  </si>
  <si>
    <t>9.2 터널 굴착 작업</t>
    <phoneticPr fontId="2" type="noConversion"/>
  </si>
  <si>
    <t>9.3 터널 보강 작업</t>
    <phoneticPr fontId="2" type="noConversion"/>
  </si>
  <si>
    <t>9.4 수직구 작업</t>
    <phoneticPr fontId="2" type="noConversion"/>
  </si>
  <si>
    <t>9.5 갱구부 작업</t>
    <phoneticPr fontId="2" type="noConversion"/>
  </si>
  <si>
    <t>9.6 특수터널 작업</t>
    <phoneticPr fontId="2" type="noConversion"/>
  </si>
  <si>
    <t>단위작업명</t>
    <phoneticPr fontId="2" type="noConversion"/>
  </si>
  <si>
    <t>1.1.1 굴착 장비반입</t>
    <phoneticPr fontId="2" type="noConversion"/>
  </si>
  <si>
    <t>1.1.2 굴착</t>
    <phoneticPr fontId="2" type="noConversion"/>
  </si>
  <si>
    <t>1.1.3 굴착 토사반출</t>
    <phoneticPr fontId="2" type="noConversion"/>
  </si>
  <si>
    <t>1.2.1 흙막이 지보공 자재반입</t>
    <phoneticPr fontId="2" type="noConversion"/>
  </si>
  <si>
    <t>1.2.2 흙막이 지보공 설치</t>
    <phoneticPr fontId="2" type="noConversion"/>
  </si>
  <si>
    <t>1.2.3 흙막이 지보공 해체</t>
    <phoneticPr fontId="2" type="noConversion"/>
  </si>
  <si>
    <t>1.2.4 흙막이 지보공 자재반출</t>
    <phoneticPr fontId="2" type="noConversion"/>
  </si>
  <si>
    <t>1.3.1 기초파일 자재, 장비반입, 운반, 보관</t>
    <phoneticPr fontId="2" type="noConversion"/>
  </si>
  <si>
    <t>1.3.2 기초파일 천공</t>
    <phoneticPr fontId="2" type="noConversion"/>
  </si>
  <si>
    <t>1.3.3 기초파일 항타</t>
    <phoneticPr fontId="2" type="noConversion"/>
  </si>
  <si>
    <t>1.4.1 토사반입 및 되메움 실시</t>
    <phoneticPr fontId="2" type="noConversion"/>
  </si>
  <si>
    <t>1.4.2 되메움 토사다짐</t>
    <phoneticPr fontId="2" type="noConversion"/>
  </si>
  <si>
    <t>1.5.1 발파</t>
    <phoneticPr fontId="2" type="noConversion"/>
  </si>
  <si>
    <t>1.6.1 그라우팅 장비 및 자재반입</t>
    <phoneticPr fontId="2" type="noConversion"/>
  </si>
  <si>
    <t>1.6.2 그라우팅 천공 및 시공</t>
    <phoneticPr fontId="2" type="noConversion"/>
  </si>
  <si>
    <t>10.1.1 준설매립 등</t>
    <phoneticPr fontId="2" type="noConversion"/>
  </si>
  <si>
    <t>10.2.1 수중, 해상공사(잠수, 해상작업 등)</t>
    <phoneticPr fontId="2" type="noConversion"/>
  </si>
  <si>
    <t>11.1.1 부대토목 옹벽시공</t>
    <phoneticPr fontId="2" type="noConversion"/>
  </si>
  <si>
    <t>11.1.2 부대토목 구내포장</t>
    <phoneticPr fontId="2" type="noConversion"/>
  </si>
  <si>
    <t>11.2.1 가설도로 벌목 및 표토 제거</t>
    <phoneticPr fontId="2" type="noConversion"/>
  </si>
  <si>
    <t>11.2.2 가설도로 시공</t>
    <phoneticPr fontId="2" type="noConversion"/>
  </si>
  <si>
    <t>11.3.1 지장물 조사 굴착</t>
    <phoneticPr fontId="2" type="noConversion"/>
  </si>
  <si>
    <t>11.3.2 지장물 이설</t>
    <phoneticPr fontId="2" type="noConversion"/>
  </si>
  <si>
    <t>11.4.1 맨홀 및 관부설 굴착</t>
    <phoneticPr fontId="2" type="noConversion"/>
  </si>
  <si>
    <t>11.4.2 맨홀 및 관 부설</t>
    <phoneticPr fontId="2" type="noConversion"/>
  </si>
  <si>
    <t>11.5.1 양수발전용 댐</t>
    <phoneticPr fontId="2" type="noConversion"/>
  </si>
  <si>
    <t>12.1.1 철거 및 해체</t>
    <phoneticPr fontId="2" type="noConversion"/>
  </si>
  <si>
    <t>12.2.1 안전가시설(개구부)</t>
    <phoneticPr fontId="2" type="noConversion"/>
  </si>
  <si>
    <t>12.2.6 안전가시설(추락방지망)</t>
    <phoneticPr fontId="2" type="noConversion"/>
  </si>
  <si>
    <t>12.2.7 안전가시설(가설통로 또는 가설계단)</t>
    <phoneticPr fontId="2" type="noConversion"/>
  </si>
  <si>
    <t>12.2.8 안전가시설(낙하물방지망)</t>
    <phoneticPr fontId="2" type="noConversion"/>
  </si>
  <si>
    <t>12.2.9 안전가시설(방호선반)</t>
    <phoneticPr fontId="2" type="noConversion"/>
  </si>
  <si>
    <t>12.3.1 가설전기(분전반)</t>
    <phoneticPr fontId="2" type="noConversion"/>
  </si>
  <si>
    <t>12.3.2 가설전기(전선)</t>
    <phoneticPr fontId="2" type="noConversion"/>
  </si>
  <si>
    <t>12.3.3 가설전기(충전부)</t>
    <phoneticPr fontId="2" type="noConversion"/>
  </si>
  <si>
    <t>12.3.4 가설전기(조명등)</t>
    <phoneticPr fontId="2" type="noConversion"/>
  </si>
  <si>
    <t>12.3.5 가설전기(교류아크용접기)</t>
    <phoneticPr fontId="2" type="noConversion"/>
  </si>
  <si>
    <t>12.3.6 가설전기(이동식 전기 기계기구)</t>
    <phoneticPr fontId="2" type="noConversion"/>
  </si>
  <si>
    <t>12.4.1 가설플랜트(크라샤 Plant)</t>
    <phoneticPr fontId="2" type="noConversion"/>
  </si>
  <si>
    <t>12.5.1 양중기(타워크레인)</t>
    <phoneticPr fontId="2" type="noConversion"/>
  </si>
  <si>
    <t>12.5.2 양중기(리프트)</t>
    <phoneticPr fontId="2" type="noConversion"/>
  </si>
  <si>
    <t>12.5.3 양중기(이동식 크레인)</t>
    <phoneticPr fontId="2" type="noConversion"/>
  </si>
  <si>
    <t>12.5.4 양중기(윈치)</t>
    <phoneticPr fontId="2" type="noConversion"/>
  </si>
  <si>
    <t>12.5.5 양중기(특수작업대)</t>
    <phoneticPr fontId="2" type="noConversion"/>
  </si>
  <si>
    <t>12.6.1 건설기계 장비수리, 개량, 이동 등</t>
    <phoneticPr fontId="2" type="noConversion"/>
  </si>
  <si>
    <t>12.7.1 기타(작업환경, 청소 등)</t>
    <phoneticPr fontId="2" type="noConversion"/>
  </si>
  <si>
    <t>2.1.1 거푸집 자재반입, 가공, 운반</t>
    <phoneticPr fontId="2" type="noConversion"/>
  </si>
  <si>
    <t>2.1.2 거푸집 동바리 조립</t>
    <phoneticPr fontId="2" type="noConversion"/>
  </si>
  <si>
    <t>2.1.3 거푸집 동바리 해체</t>
    <phoneticPr fontId="2" type="noConversion"/>
  </si>
  <si>
    <t>2.1.4 거푸집 동바리 인양</t>
    <phoneticPr fontId="2" type="noConversion"/>
  </si>
  <si>
    <t>2.2.1 갱폼 자재반입</t>
    <phoneticPr fontId="2" type="noConversion"/>
  </si>
  <si>
    <t>2.2.2 갱폼 조립</t>
    <phoneticPr fontId="2" type="noConversion"/>
  </si>
  <si>
    <t>2.2.3 갱폼 인양, 설치</t>
    <phoneticPr fontId="2" type="noConversion"/>
  </si>
  <si>
    <t>2.2.4 갱폼 해체, 반출</t>
    <phoneticPr fontId="2" type="noConversion"/>
  </si>
  <si>
    <t>2.3.1 철근 반입</t>
    <phoneticPr fontId="2" type="noConversion"/>
  </si>
  <si>
    <t>2.3.2 철근 가공 및 운반</t>
    <phoneticPr fontId="2" type="noConversion"/>
  </si>
  <si>
    <t>2.3.3 철근 조립</t>
    <phoneticPr fontId="2" type="noConversion"/>
  </si>
  <si>
    <t>2.4.1 콘크리트 반입, 운반</t>
    <phoneticPr fontId="2" type="noConversion"/>
  </si>
  <si>
    <t>2.4.2 콘크리트 타설 및 다짐</t>
    <phoneticPr fontId="2" type="noConversion"/>
  </si>
  <si>
    <t>2.4.3 콘크리트 양생</t>
    <phoneticPr fontId="2" type="noConversion"/>
  </si>
  <si>
    <t>3.1.1 철골 부재반입 및 운반</t>
    <phoneticPr fontId="2" type="noConversion"/>
  </si>
  <si>
    <t>3.1.2 철골 부재 인양, 조립</t>
    <phoneticPr fontId="2" type="noConversion"/>
  </si>
  <si>
    <t>3.1.3 철골 데크 플레이트 설치</t>
    <phoneticPr fontId="2" type="noConversion"/>
  </si>
  <si>
    <t>4.1.1 조적, 미장 및 견출 자재반입, 운반</t>
    <phoneticPr fontId="2" type="noConversion"/>
  </si>
  <si>
    <t>4.1.2 조적시공</t>
    <phoneticPr fontId="2" type="noConversion"/>
  </si>
  <si>
    <t>4.1.3 미장 및 견출 시공</t>
    <phoneticPr fontId="2" type="noConversion"/>
  </si>
  <si>
    <t>4.2.1 방수면처리, 방수 및 보호몰탈 등 시공</t>
    <phoneticPr fontId="2" type="noConversion"/>
  </si>
  <si>
    <t>4.3.1 석재 및 타일 자재반입, 운반</t>
    <phoneticPr fontId="2" type="noConversion"/>
  </si>
  <si>
    <t>4.3.2 석재 및 타일 붙임</t>
    <phoneticPr fontId="2" type="noConversion"/>
  </si>
  <si>
    <t>4.3.3 석재 및 타일 줄눈, 코킹 시공</t>
    <phoneticPr fontId="2" type="noConversion"/>
  </si>
  <si>
    <t>4.4.1 도장 면처리</t>
    <phoneticPr fontId="2" type="noConversion"/>
  </si>
  <si>
    <t>4.4.2 실내 도장</t>
    <phoneticPr fontId="2" type="noConversion"/>
  </si>
  <si>
    <t>4.4.3 실외 도장</t>
    <phoneticPr fontId="2" type="noConversion"/>
  </si>
  <si>
    <t>4.5.1 금속 및 잡철물 자재반입, 가공</t>
    <phoneticPr fontId="2" type="noConversion"/>
  </si>
  <si>
    <t>4.5.2 금속 및 잡철물 시공</t>
    <phoneticPr fontId="2" type="noConversion"/>
  </si>
  <si>
    <t>4.6.1 창호 및 유리 자재반입, 가공, 운반</t>
    <phoneticPr fontId="2" type="noConversion"/>
  </si>
  <si>
    <t>4.6.2 창호 및 유리 설치</t>
    <phoneticPr fontId="2" type="noConversion"/>
  </si>
  <si>
    <t>4.7.1 수장 자배반입, 운반</t>
    <phoneticPr fontId="2" type="noConversion"/>
  </si>
  <si>
    <t>4.7.2 수장시공(석고보드, 도배 등)</t>
    <phoneticPr fontId="2" type="noConversion"/>
  </si>
  <si>
    <t>4.8.1 판넬 등 외부마감 자재반입</t>
    <phoneticPr fontId="2" type="noConversion"/>
  </si>
  <si>
    <t>4.8.2 판넬 등 외부마감 시공</t>
    <phoneticPr fontId="2" type="noConversion"/>
  </si>
  <si>
    <t>5.1.1 전기설비 자재반입, 가공, 운반</t>
    <phoneticPr fontId="2" type="noConversion"/>
  </si>
  <si>
    <t>5.1.2 전기설비 배선</t>
    <phoneticPr fontId="2" type="noConversion"/>
  </si>
  <si>
    <t>5.1.3 전기설비 설치</t>
    <phoneticPr fontId="2" type="noConversion"/>
  </si>
  <si>
    <t>5.1.4 전기특고압선로, 활선 및 전주시공</t>
    <phoneticPr fontId="2" type="noConversion"/>
  </si>
  <si>
    <t>5.2.1 기계설비 자재반입, 가공, 운반</t>
    <phoneticPr fontId="2" type="noConversion"/>
  </si>
  <si>
    <t>5.2.2 기계설비 설치</t>
    <phoneticPr fontId="2" type="noConversion"/>
  </si>
  <si>
    <t>5.3.1 엘리베이터 기계 설치</t>
    <phoneticPr fontId="2" type="noConversion"/>
  </si>
  <si>
    <t>5.3.2 엘리베이터 가이드레일 설치</t>
    <phoneticPr fontId="2" type="noConversion"/>
  </si>
  <si>
    <t>6.1.1 조경 부지정리</t>
    <phoneticPr fontId="2" type="noConversion"/>
  </si>
  <si>
    <t>6.1.2 조경 시공 및 설치</t>
    <phoneticPr fontId="2" type="noConversion"/>
  </si>
  <si>
    <t>7.1.1 포장 장비 반입</t>
    <phoneticPr fontId="2" type="noConversion"/>
  </si>
  <si>
    <t>7.1.2 포장 시공</t>
    <phoneticPr fontId="2" type="noConversion"/>
  </si>
  <si>
    <t>7.2.1 포설 및 다짐</t>
    <phoneticPr fontId="2" type="noConversion"/>
  </si>
  <si>
    <t>8.1.1 슬립폼(슬라이딩폼) 제작</t>
    <phoneticPr fontId="2" type="noConversion"/>
  </si>
  <si>
    <t>8.1.2 슬립폼(슬라이딩폼) 해체</t>
    <phoneticPr fontId="2" type="noConversion"/>
  </si>
  <si>
    <t>8.2.1 강교 부재 조립</t>
    <phoneticPr fontId="2" type="noConversion"/>
  </si>
  <si>
    <t>8.2.2 강교 슬라브 시공</t>
    <phoneticPr fontId="2" type="noConversion"/>
  </si>
  <si>
    <t>8.3.1 PSC 교량 거더 인양 및 거치</t>
    <phoneticPr fontId="2" type="noConversion"/>
  </si>
  <si>
    <t>8.4.1 특수교량(ILM 공법)</t>
    <phoneticPr fontId="2" type="noConversion"/>
  </si>
  <si>
    <t>9.1.1 라이닝 거푸집 자재반입, 하역</t>
    <phoneticPr fontId="2" type="noConversion"/>
  </si>
  <si>
    <t>9.2.1 터널 천공</t>
    <phoneticPr fontId="2" type="noConversion"/>
  </si>
  <si>
    <t>9.2.2 터널 버널처리</t>
    <phoneticPr fontId="2" type="noConversion"/>
  </si>
  <si>
    <t>9.3.1 터널 강지보</t>
    <phoneticPr fontId="2" type="noConversion"/>
  </si>
  <si>
    <t>9.3.2 터널 특수보강</t>
    <phoneticPr fontId="2" type="noConversion"/>
  </si>
  <si>
    <t>9.4.1 수직구 흙막이 지보공 시공</t>
    <phoneticPr fontId="2" type="noConversion"/>
  </si>
  <si>
    <t>9.5.1 갱구부 보강</t>
    <phoneticPr fontId="2" type="noConversion"/>
  </si>
  <si>
    <t>9.6.1 특수터널(TBM공법)</t>
    <phoneticPr fontId="2" type="noConversion"/>
  </si>
  <si>
    <t>전체</t>
  </si>
  <si>
    <t>기인물명</t>
    <phoneticPr fontId="2" type="noConversion"/>
  </si>
  <si>
    <t>구분</t>
    <phoneticPr fontId="2" type="noConversion"/>
  </si>
  <si>
    <t>사고건수</t>
    <phoneticPr fontId="2" type="noConversion"/>
  </si>
  <si>
    <t>비계</t>
    <phoneticPr fontId="2" type="noConversion"/>
  </si>
  <si>
    <t>12대 기인물(중점관리)</t>
    <phoneticPr fontId="2" type="noConversion"/>
  </si>
  <si>
    <t>지붕(처마,홈통)</t>
    <phoneticPr fontId="2" type="noConversion"/>
  </si>
  <si>
    <t>철골(철골구조물)</t>
    <phoneticPr fontId="2" type="noConversion"/>
  </si>
  <si>
    <t>사다리</t>
    <phoneticPr fontId="2" type="noConversion"/>
  </si>
  <si>
    <t>고소작업대</t>
    <phoneticPr fontId="2" type="noConversion"/>
  </si>
  <si>
    <t>굴착기</t>
    <phoneticPr fontId="2" type="noConversion"/>
  </si>
  <si>
    <t>지붕(채광판,선라이트)</t>
    <phoneticPr fontId="2" type="noConversion"/>
  </si>
  <si>
    <t>작업발판/가설계단</t>
    <phoneticPr fontId="2" type="noConversion"/>
  </si>
  <si>
    <t>거푸집</t>
    <phoneticPr fontId="2" type="noConversion"/>
  </si>
  <si>
    <t>개구부(바닥개구부)</t>
    <phoneticPr fontId="2" type="noConversion"/>
  </si>
  <si>
    <t>트럭</t>
    <phoneticPr fontId="2" type="noConversion"/>
  </si>
  <si>
    <t>이동식비계</t>
    <phoneticPr fontId="2" type="noConversion"/>
  </si>
  <si>
    <t>달비계</t>
    <phoneticPr fontId="2" type="noConversion"/>
  </si>
  <si>
    <t>개구부(기타개구부)</t>
    <phoneticPr fontId="2" type="noConversion"/>
  </si>
  <si>
    <t>이동식크레인</t>
    <phoneticPr fontId="2" type="noConversion"/>
  </si>
  <si>
    <t>철골(철골자재)</t>
    <phoneticPr fontId="2" type="noConversion"/>
  </si>
  <si>
    <t>말비계</t>
    <phoneticPr fontId="2" type="noConversion"/>
  </si>
  <si>
    <t>동바리</t>
    <phoneticPr fontId="2" type="noConversion"/>
  </si>
  <si>
    <t>비계(일체형비계)</t>
    <phoneticPr fontId="2" type="noConversion"/>
  </si>
  <si>
    <t>슬라브단부</t>
    <phoneticPr fontId="2" type="noConversion"/>
  </si>
  <si>
    <t>일반 기인물</t>
    <phoneticPr fontId="2" type="noConversion"/>
  </si>
  <si>
    <t>기계설비</t>
    <phoneticPr fontId="2" type="noConversion"/>
  </si>
  <si>
    <t>충전부</t>
    <phoneticPr fontId="2" type="noConversion"/>
  </si>
  <si>
    <t>토사</t>
    <phoneticPr fontId="2" type="noConversion"/>
  </si>
  <si>
    <t>기타자재(내부마감재,시멘트,마대)</t>
    <phoneticPr fontId="2" type="noConversion"/>
  </si>
  <si>
    <t>화학물질</t>
    <phoneticPr fontId="2" type="noConversion"/>
  </si>
  <si>
    <t>기타구조물</t>
    <phoneticPr fontId="2" type="noConversion"/>
  </si>
  <si>
    <t>분류불능</t>
    <phoneticPr fontId="2" type="noConversion"/>
  </si>
  <si>
    <t>각재(파이프,강관,합판)</t>
    <phoneticPr fontId="2" type="noConversion"/>
  </si>
  <si>
    <t>철근콘크리트자재(철근,콘크리트,PC)</t>
    <phoneticPr fontId="2" type="noConversion"/>
  </si>
  <si>
    <t>고정식크레인</t>
    <phoneticPr fontId="2" type="noConversion"/>
  </si>
  <si>
    <t>흙막이가시설</t>
    <phoneticPr fontId="2" type="noConversion"/>
  </si>
  <si>
    <t>천공기/항타기</t>
    <phoneticPr fontId="2" type="noConversion"/>
  </si>
  <si>
    <t>수목</t>
    <phoneticPr fontId="2" type="noConversion"/>
  </si>
  <si>
    <t>리프트</t>
    <phoneticPr fontId="2" type="noConversion"/>
  </si>
  <si>
    <t>천장(판넬 등 마감재)</t>
    <phoneticPr fontId="2" type="noConversion"/>
  </si>
  <si>
    <t>콘크리트펌프카</t>
    <phoneticPr fontId="2" type="noConversion"/>
  </si>
  <si>
    <t>외부마감재</t>
    <phoneticPr fontId="2" type="noConversion"/>
  </si>
  <si>
    <t>엘리베이터피트</t>
    <phoneticPr fontId="2" type="noConversion"/>
  </si>
  <si>
    <t>지게차</t>
    <phoneticPr fontId="2" type="noConversion"/>
  </si>
  <si>
    <t>암석</t>
    <phoneticPr fontId="2" type="noConversion"/>
  </si>
  <si>
    <t>물</t>
    <phoneticPr fontId="2" type="noConversion"/>
  </si>
  <si>
    <t>배관</t>
    <phoneticPr fontId="2" type="noConversion"/>
  </si>
  <si>
    <t>방망</t>
    <phoneticPr fontId="2" type="noConversion"/>
  </si>
  <si>
    <t>로울러</t>
    <phoneticPr fontId="2" type="noConversion"/>
  </si>
  <si>
    <t>교통수단</t>
    <phoneticPr fontId="2" type="noConversion"/>
  </si>
  <si>
    <t>바닥(바닥에 걸려 넘어짐)</t>
    <phoneticPr fontId="2" type="noConversion"/>
  </si>
  <si>
    <t>용접(단)기</t>
    <phoneticPr fontId="2" type="noConversion"/>
  </si>
  <si>
    <t>콘크리트믹서</t>
    <phoneticPr fontId="2" type="noConversion"/>
  </si>
  <si>
    <t>절단기/톱</t>
    <phoneticPr fontId="2" type="noConversion"/>
  </si>
  <si>
    <t>기타가설구조물</t>
    <phoneticPr fontId="2" type="noConversion"/>
  </si>
  <si>
    <t>기초파일</t>
    <phoneticPr fontId="2" type="noConversion"/>
  </si>
  <si>
    <t>원인미상</t>
    <phoneticPr fontId="2" type="noConversion"/>
  </si>
  <si>
    <t>기타건설기계기구</t>
    <phoneticPr fontId="2" type="noConversion"/>
  </si>
  <si>
    <t>KOEN 공정</t>
    <phoneticPr fontId="2" type="noConversion"/>
  </si>
  <si>
    <t>건설기계</t>
    <phoneticPr fontId="2" type="noConversion"/>
  </si>
  <si>
    <t>기인물과 교육자료 연계</t>
    <phoneticPr fontId="2" type="noConversion"/>
  </si>
  <si>
    <r>
      <rPr>
        <sz val="14"/>
        <color rgb="FF002060"/>
        <rFont val="맑은 고딕"/>
        <family val="2"/>
        <charset val="129"/>
      </rPr>
      <t>중건설</t>
    </r>
    <r>
      <rPr>
        <sz val="14"/>
        <color rgb="FF002060"/>
        <rFont val="Aptos Narrow"/>
      </rPr>
      <t xml:space="preserve"> </t>
    </r>
    <r>
      <rPr>
        <sz val="14"/>
        <color rgb="FF002060"/>
        <rFont val="맑은 고딕"/>
        <family val="2"/>
        <charset val="129"/>
      </rPr>
      <t>공사</t>
    </r>
    <r>
      <rPr>
        <sz val="14"/>
        <color rgb="FF002060"/>
        <rFont val="Aptos Narrow"/>
      </rPr>
      <t xml:space="preserve"> </t>
    </r>
    <phoneticPr fontId="2" type="noConversion"/>
  </si>
  <si>
    <t>대공정</t>
    <phoneticPr fontId="2" type="noConversion"/>
  </si>
  <si>
    <t>위험도 순위(총37위)</t>
    <phoneticPr fontId="2" type="noConversion"/>
  </si>
  <si>
    <t>JK_9_1</t>
  </si>
  <si>
    <t>JK_9_2</t>
  </si>
  <si>
    <t>JK_9_3</t>
  </si>
  <si>
    <t>JK_9_4</t>
  </si>
  <si>
    <t>JK_9_5</t>
  </si>
  <si>
    <t>JK_9_6</t>
  </si>
  <si>
    <t>JK_10_1</t>
  </si>
  <si>
    <t>JK_10_2</t>
  </si>
  <si>
    <t>JK_11_1</t>
  </si>
  <si>
    <t>JK_11_2</t>
  </si>
  <si>
    <t>JK_11_3</t>
  </si>
  <si>
    <t>JK_11_4</t>
  </si>
  <si>
    <t>JK_11_5</t>
  </si>
  <si>
    <t>JK_12_1</t>
  </si>
  <si>
    <t>JK_12_2</t>
  </si>
  <si>
    <t>JK_12_3</t>
  </si>
  <si>
    <t>JK_12_4</t>
  </si>
  <si>
    <t>JK_12_5</t>
  </si>
  <si>
    <t>JK_12_6</t>
  </si>
  <si>
    <t>JK_12_7</t>
  </si>
  <si>
    <t>구분(12대 기인물 선택)</t>
    <phoneticPr fontId="2" type="noConversion"/>
  </si>
  <si>
    <t>⑤ 기인물</t>
  </si>
  <si>
    <t>① KOEN 공정</t>
  </si>
  <si>
    <t>② 공종</t>
  </si>
  <si>
    <t>③ 작업명</t>
  </si>
  <si>
    <t>④ 단위작업명</t>
  </si>
  <si>
    <t>🔴 재해형태</t>
  </si>
  <si>
    <t>⚠ 재해유발요인</t>
  </si>
  <si>
    <t>📝 재해개요</t>
  </si>
  <si>
    <t>🔒 위험성 감소대책</t>
  </si>
  <si>
    <t>적용 필터 경로:</t>
  </si>
  <si>
    <t>※ ①→②→③→④→⑤ 순서로 선택하세요. 상위 항목 변경 시 하위를 다시 선택하세요.</t>
  </si>
  <si>
    <t>기계설비 / 기타건설장비</t>
  </si>
  <si>
    <t>교통수단 / 굴착기 / 기타구조물 / 기타자재(내부마감재,시멘트,마대) / 엘리베이터피트 / 이동식크레인 / 지게차 / 트럭</t>
  </si>
  <si>
    <t>각재(파이프,강관,합판) / 개구부(기타개구부) / 개구부(바닥개구부) / 거푸집 / 계단 / 고소작업대 / 교통수단 / 굴착기 / 기계설비 / 기타가설구조물 / 기타건설장비 / 기타구조물 / 기타자재(내부마감재,시멘트,마대) / 물 / 배관 / 분류불능 / 비계 / 사다리 / 수목 / 슬라브단부 / 암석 / 엘리베이터피트 / 용접(단)기 / 원인미상 / 작업발판/가설계단 / 지게차 / 지붕(처마,홈통) / 철골(철골구조물) / 철근콘크리트자재(철근,콘크리트,PC) / 충전부 / 트럭 / 화학물질 / 흙막이가시설</t>
  </si>
  <si>
    <t>각재(파이프,강관,합판) / 개구부(기타개구부) / 개구부(바닥개구부) / 계단 / 고소작업대 / 기타구조물 / 기타자재(내부마감재,시멘트,마대) / 달비계 / 리프트 / 방망 / 분류불능 / 비계 / 사다리 / 슬라브단부 / 외부마감재 / 이동식비계 / 이동식크레인 / 지붕(채광판,선라이트) / 지붕(처마,홈통) / 충전부 / 화학물질</t>
  </si>
  <si>
    <t>교통수단 / 굴착기 / 기타가설구조물 / 기타건설장비 / 기타구조물 / 로울러 / 이동식크레인 / 트럭</t>
  </si>
  <si>
    <t>개구부(기타개구부) / 거푸집 / 교통수단 / 기타건설장비 / 비계 / 작업발판/가설계단 / 철근콘크리트자재(철근,콘크리트,PC)</t>
  </si>
  <si>
    <t>기타자재(내부마감재,시멘트,마대) / 트럭</t>
  </si>
  <si>
    <t>기타건설장비 / 암석 / 작업발판/가설계단 / 토사</t>
  </si>
  <si>
    <t>고소작업대 / 암석 / 이동식비계 / 철근콘크리트자재(철근,콘크리트,PC)</t>
  </si>
  <si>
    <t>굴착기 / 흙막이가시설</t>
  </si>
  <si>
    <t>고소작업대 / 사다리</t>
  </si>
  <si>
    <t>개구부(바닥개구부) / 고정식크레인 / 기타자재(내부마감재,시멘트,마대) / 리프트 / 이동식크레인 / 철근콘크리트자재(철근,콘크리트,PC)</t>
  </si>
  <si>
    <t>기계설비 / 리프트</t>
  </si>
  <si>
    <t>분류불능 / 이동식크레인</t>
  </si>
  <si>
    <t>각재(파이프,강관,합판) / 슬라브단부</t>
  </si>
  <si>
    <t>각재(파이프,강관,합판) / 개구부(기타개구부) / 개구부(바닥개구부) / 거푸집 / 고정식크레인 / 기타건설장비 / 동바리 / 방망 / 분류불능 / 비계 / 슬라브단부 / 이동식크레인 / 작업발판/가설계단 / 지게차 / 지붕(처마,홈통) / 철근콘크리트자재(철근,콘크리트,PC) / 충전부 / 트럭</t>
  </si>
  <si>
    <t>개구부(기타개구부) / 개구부(바닥개구부) / 거푸집 / 계단 / 기타자재(내부마감재,시멘트,마대) / 동바리 / 리프트 / 바닥(바닥에 걸려 넘어짐) / 분류불능 / 비계 / 비계(일체형비계) / 사다리 / 슬라브단부 / 엘리베이터피트 / 이동식크레인 / 작업발판/가설계단 / 철골(철골구조물) / 화학물질 / 흙막이가시설</t>
  </si>
  <si>
    <t>각재(파이프,강관,합판) / 개구부(바닥개구부) / 거푸집 / 계단 / 동바리 / 바닥(바닥에 걸려 넘어짐) / 벽체 / 분류불능 / 비계 / 사다리 / 슬라브단부 / 이동식비계 / 작업발판/가설계단 / 철골(철골자재) / 철근콘크리트자재(철근,콘크리트,PC) / 토사</t>
  </si>
  <si>
    <t>각재(파이프,강관,합판) / 거푸집 / 비계 / 작업발판/가설계단</t>
  </si>
  <si>
    <t>비계 / 용접(단)기 / 작업발판/가설계단</t>
  </si>
  <si>
    <t>거푸집 / 고정식크레인 / 동바리 / 비계(일체형비계) / 작업발판/가설계단</t>
  </si>
  <si>
    <t>비계 / 비계(일체형비계)</t>
  </si>
  <si>
    <t>굴착기 / 지게차 / 철근콘크리트자재(철근,콘크리트,PC)</t>
  </si>
  <si>
    <t>각재(파이프,강관,합판) / 개구부(바닥개구부) / 계단 / 고소작업대 / 고정식크레인 / 굴착기 / 비계 / 엘리베이터피트 / 이동식크레인 / 철근콘크리트자재(철근,콘크리트,PC) / 충전부</t>
  </si>
  <si>
    <t>개구부(바닥개구부) / 고소작업대 / 바닥(바닥에 걸려 넘어짐) / 벽체 / 분류불능 / 비계 / 사다리 / 슬라브단부 / 작업발판/가설계단 / 철근콘크리트자재(철근,콘크리트,PC) / 충전부</t>
  </si>
  <si>
    <t>개구부(기타개구부) / 기타건설장비 / 기타구조물 / 분류불능 / 철근콘크리트자재(철근,콘크리트,PC) / 콘크리트믹서 / 콘크리트펌프카 / 트럭</t>
  </si>
  <si>
    <t>각재(파이프,강관,합판) / 개구부(기타개구부) / 개구부(바닥개구부) / 거푸집 / 기타자재(내부마감재,시멘트,마대) / 동바리 / 리프트 / 분류불능 / 비계 / 비계(일체형비계) / 슬라브단부 / 작업발판/가설계단 / 지붕(처마,홈통) / 철골(철골구조물) / 철근콘크리트자재(철근,콘크리트,PC) / 콘크리트믹서 / 콘크리트펌프카 / 흙막이가시설</t>
  </si>
  <si>
    <t>각재(파이프,강관,합판) / 개구부(기타개구부) / 계단 / 분류불능 / 슬라브단부 / 외부마감재 / 화학물질</t>
  </si>
  <si>
    <t>개구부(바닥개구부) / 고소작업대 / 이동식크레인 / 철골(철골구조물) / 철골(철골자재) / 트럭</t>
  </si>
  <si>
    <t>각재(파이프,강관,합판) / 개구부(기타개구부) / 개구부(바닥개구부) / 계단 / 고소작업대 / 기타건설장비 / 바닥(바닥에 걸려 넘어짐) / 벽체 / 비계(일체형비계) / 사다리 / 외부마감재 / 이동식비계 / 이동식크레인 / 작업발판/가설계단 / 전주 / 지붕(처마,홈통) / 천장(판넬 등 마감재) / 철골(철골구조물) / 철골(철골자재)</t>
  </si>
  <si>
    <t>각재(파이프,강관,합판) / 개구부(바닥개구부) / 기타자재(내부마감재,시멘트,마대) / 동바리 / 슬라브단부 / 철골(철골구조물)</t>
  </si>
  <si>
    <t>개구부(기타개구부) / 개구부(바닥개구부) / 계단 / 고소작업대 / 달비계 / 리프트 / 말비계 / 비계 / 사다리 / 슬라브단부 / 엘리베이터피트 / 이동식비계 / 이동식크레인 / 지게차</t>
  </si>
  <si>
    <t>개구부(바닥개구부) / 계단 / 교통수단 / 굴착기 / 기타자재(내부마감재,시멘트,마대) / 벽체 / 비계 / 사다리 / 슬라브단부 / 이동식비계 / 작업발판/가설계단 / 지게차</t>
  </si>
  <si>
    <t>각재(파이프,강관,합판) / 개구부(기타개구부) / 개구부(바닥개구부) / 거푸집 / 계단 / 고소작업대 / 기타건설기계기구 / 기타건설장비 / 기타구조물 / 기타자재(내부마감재,시멘트,마대) / 달비계 / 리프트 / 말비계 / 물 / 벽체 / 비계 / 사다리 / 슬라브단부 / 암석 / 엘리베이터피트 / 이동식비계 / 작업발판/가설계단 / 지붕(처마,홈통) / 철근콘크리트자재(철근,콘크리트,PC) / 충전부</t>
  </si>
  <si>
    <t>계단 / 고소작업대 / 기타건설장비 / 기타자재(내부마감재,시멘트,마대) / 리프트 / 비계 / 슬라브단부 / 지게차</t>
  </si>
  <si>
    <t>계단 / 바닥(바닥에 걸려 넘어짐) / 비계 / 용접(단)기 / 화학물질</t>
  </si>
  <si>
    <t>달비계 / 말비계 / 비계 / 사다리 / 슬라브단부 / 외부마감재 / 작업발판/가설계단</t>
  </si>
  <si>
    <t>계단 / 달비계 / 사다리 / 지붕(처마,홈통)</t>
  </si>
  <si>
    <t>개구부(바닥개구부) / 계단 / 고소작업대 / 기타자재(내부마감재,시멘트,마대) / 말비계 / 분류불능 / 사다리 / 슬라브단부 / 이동식비계 / 작업발판/가설계단 / 철골(철골구조물)</t>
  </si>
  <si>
    <t>개구부(기타개구부) / 개구부(바닥개구부) / 고소작업대 / 기타구조물 / 달비계 / 바닥(바닥에 걸려 넘어짐) / 비계 / 사다리 / 슬라브단부 / 이동식비계 / 이동식크레인 / 작업발판/가설계단 / 지붕(처마,홈통) / 철골(철골구조물)</t>
  </si>
  <si>
    <t>각재(파이프,강관,합판) / 고소작업대 / 기계설비 / 기타건설기계기구 / 기타자재(내부마감재,시멘트,마대) / 리프트 / 사다리 / 지붕(채광판,선라이트) / 천장(판넬 등 마감재)</t>
  </si>
  <si>
    <t>각재(파이프,강관,합판) / 개구부(기타개구부) / 개구부(바닥개구부) / 계단 / 고소작업대 / 교통수단 / 기계설비 / 기타구조물 / 기타자재(내부마감재,시멘트,마대) / 리프트 / 말비계 / 사다리 / 슬라브단부 / 엘리베이터피트 / 이동식비계 / 작업발판/가설계단 / 지붕(처마,홈통) / 철골(철골구조물)</t>
  </si>
  <si>
    <t>고소작업대 / 기타자재(내부마감재,시멘트,마대) / 비계</t>
  </si>
  <si>
    <t>개구부(기타개구부) / 개구부(바닥개구부) / 고소작업대 / 달비계 / 벽체 / 비계 / 사다리 / 슬라브단부 / 작업발판/가설계단 / 철골(철골구조물) / 화학물질</t>
  </si>
  <si>
    <t>각재(파이프,강관,합판) / 계단 / 고소작업대 / 기타건설장비 / 기타자재(내부마감재,시멘트,마대) / 리프트 / 분류불능 / 이동식비계 / 지게차 / 화학물질</t>
  </si>
  <si>
    <t>개구부(기타개구부) / 개구부(바닥개구부) / 고소작업대 / 기타가설구조물 / 기타자재(내부마감재,시멘트,마대) / 달비계 / 리프트 / 말비계 / 벽체 / 분류불능 / 비계 / 사다리 / 슬라브단부 / 이동식비계 / 이동식크레인 / 작업발판/가설계단 / 절단기/톱 / 지붕(처마,홈통) / 철골(철골구조물) / 충전부 / 트럭 / 화학물질</t>
  </si>
  <si>
    <t>개구부(바닥개구부) / 고소작업대 / 사다리 / 슬라브단부 / 외부마감재 / 지붕(채광판,선라이트) / 지붕(처마,홈통) / 철골(철골구조물) / 충전부 / 트럭</t>
  </si>
  <si>
    <t>각재(파이프,강관,합판) / 개구부(기타개구부) / 개구부(바닥개구부) / 고소작업대 / 굴착기 / 기계설비 / 기타구조물 / 기타자재(내부마감재,시멘트,마대) / 달비계 / 벽체 / 분류불능 / 비계 / 사다리 / 슬라브단부 / 엘리베이터피트 / 외부마감재 / 이동식비계 / 이동식크레인 / 작업발판/가설계단 / 지붕(채광판,선라이트) / 지붕(처마,홈통) / 천장(판넬 등 마감재) / 철골(철골구조물) / 철골(철골자재) / 철근콘크리트자재(철근,콘크리트,PC) / 충전부</t>
  </si>
  <si>
    <t>개구부(바닥개구부) / 굴착기 / 기계설비 / 기타자재(내부마감재,시멘트,마대) / 리프트 / 사다리 / 이동식크레인 / 전주 / 지붕(처마,홈통) / 화학물질</t>
  </si>
  <si>
    <t>개구부(바닥개구부) / 거푸집 / 계단 / 고소작업대 / 교통수단 / 굴착기 / 기타구조물 / 기타자재(내부마감재,시멘트,마대) / 말비계 / 바닥(바닥에 걸려 넘어짐) / 분류불능 / 사다리 / 엘리베이터피트 / 이동식비계 / 이동식크레인 / 전주 / 지붕(채광판,선라이트) / 지붕(처마,홈통) / 천장(판넬 등 마감재) / 충전부 / 토사 / 트럭</t>
  </si>
  <si>
    <t>개구부(바닥개구부) / 고소작업대 / 기계설비 / 기타구조물 / 기타자재(내부마감재,시멘트,마대) / 비계 / 사다리 / 슬라브단부 / 외부마감재 / 이동식비계 / 작업발판/가설계단 / 전주 / 절단기/톱 / 지붕(처마,홈통) / 천장(판넬 등 마감재) / 충전부 / 토사 / 화학물질</t>
  </si>
  <si>
    <t>각재(파이프,강관,합판) / 개구부(기타개구부) / 고소작업대 / 굴착기 / 기계설비 / 기타구조물 / 비계 / 작업발판/가설계단 / 전주 / 철골(철골구조물) / 철골(철골자재) / 충전부</t>
  </si>
  <si>
    <t>각재(파이프,강관,합판) / 개구부(기타개구부) / 계단 / 고소작업대 / 굴착기 / 기계설비 / 기타건설장비 / 기타구조물 / 기타자재(내부마감재,시멘트,마대) / 배관 / 사다리 / 이동식크레인 / 작업발판/가설계단 / 지붕(채광판,선라이트) / 지붕(처마,홈통) / 트럭</t>
  </si>
  <si>
    <t>각재(파이프,강관,합판) / 개구부(기타개구부) / 개구부(바닥개구부) / 계단 / 고소작업대 / 고정식크레인 / 기계설비 / 기타가설구조물 / 기타구조물 / 기타자재(내부마감재,시멘트,마대) / 달비계 / 리프트 / 말비계 / 물 / 바닥(바닥에 걸려 넘어짐) / 배관 / 분류불능 / 사다리 / 슬라브단부 / 암석 / 엘리베이터피트 / 용접(단)기 / 원인미상 / 이동식비계 / 이동식크레인 / 작업발판/가설계단 / 절단기/톱 / 지게차 / 지붕(채광판,선라이트) / 지붕(처마,홈통) / 천장(판넬 등 마감재) / 철골(철골구조물) / 철골(철골자재) / 충전부 / 화학물질</t>
  </si>
  <si>
    <t>개구부(기타개구부) / 기계설비 / 기타자재(내부마감재,시멘트,마대) / 분류불능 / 엘리베이터피트 / 용접(단)기 / 작업발판/가설계단 / 지붕(처마,홈통)</t>
  </si>
  <si>
    <t>개구부(기타개구부) / 개구부(바닥개구부) / 굴착기 / 기계설비 / 기타건설기계기구 / 엘리베이터피트 / 작업발판/가설계단</t>
  </si>
  <si>
    <t>각재(파이프,강관,합판) / 고소작업대 / 굴착기 / 기타건설장비 / 기타구조물 / 수목 / 슬라브단부 / 충전부 / 트럭</t>
  </si>
  <si>
    <t>계단 / 고소작업대 / 굴착기 / 기타자재(내부마감재,시멘트,마대) / 벽체 / 분류불능 / 사다리 / 수목 / 암석 / 지게차 / 철골(철골자재) / 충전부 / 트럭</t>
  </si>
  <si>
    <t>기타구조물 / 트럭</t>
  </si>
  <si>
    <t>개구부(바닥개구부) / 굴착기 / 기계설비 / 기타건설장비 / 로울러 / 바닥(바닥에 걸려 넘어짐) / 트럭</t>
  </si>
  <si>
    <t>개구부(기타개구부) / 거푸집 / 기타건설장비 / 비계 / 작업발판/가설계단 / 철근콘크리트자재(철근,콘크리트,PC)</t>
  </si>
  <si>
    <t>암석 / 작업발판/가설계단</t>
  </si>
  <si>
    <t>기타건설장비 / 암석 / 토사</t>
  </si>
  <si>
    <t>고소작업대 / 암석</t>
  </si>
  <si>
    <t>이동식비계 / 철근콘크리트자재(철근,콘크리트,PC)</t>
  </si>
  <si>
    <r>
      <rPr>
        <b/>
        <sz val="15"/>
        <color rgb="FFFFFFFF"/>
        <rFont val="Apple Color Emoji"/>
        <family val="2"/>
      </rPr>
      <t>📋</t>
    </r>
    <r>
      <rPr>
        <b/>
        <sz val="15"/>
        <color rgb="FFFFFFFF"/>
        <rFont val="Calibri"/>
        <family val="2"/>
      </rPr>
      <t xml:space="preserve">  </t>
    </r>
    <r>
      <rPr>
        <b/>
        <sz val="15"/>
        <color rgb="FFFFFFFF"/>
        <rFont val="Malgun Gothic"/>
        <family val="2"/>
        <charset val="129"/>
      </rPr>
      <t>공정별</t>
    </r>
    <r>
      <rPr>
        <b/>
        <sz val="15"/>
        <color rgb="FFFFFFFF"/>
        <rFont val="Calibri"/>
        <family val="2"/>
      </rPr>
      <t xml:space="preserve"> </t>
    </r>
    <r>
      <rPr>
        <b/>
        <sz val="15"/>
        <color rgb="FFFFFFFF"/>
        <rFont val="Malgun Gothic"/>
        <family val="2"/>
        <charset val="129"/>
      </rPr>
      <t>재해사례</t>
    </r>
    <r>
      <rPr>
        <b/>
        <sz val="15"/>
        <color rgb="FFFFFFFF"/>
        <rFont val="Calibri"/>
        <family val="2"/>
      </rPr>
      <t xml:space="preserve"> </t>
    </r>
    <r>
      <rPr>
        <b/>
        <sz val="15"/>
        <color rgb="FFFFFFFF"/>
        <rFont val="Malgun Gothic"/>
        <family val="2"/>
        <charset val="129"/>
      </rPr>
      <t>조회</t>
    </r>
    <r>
      <rPr>
        <b/>
        <sz val="15"/>
        <color rgb="FFFFFFFF"/>
        <rFont val="Calibri"/>
        <family val="2"/>
      </rPr>
      <t xml:space="preserve">  —  KOEN · </t>
    </r>
    <r>
      <rPr>
        <b/>
        <sz val="15"/>
        <color rgb="FFFFFFFF"/>
        <rFont val="Malgun Gothic"/>
        <family val="2"/>
        <charset val="129"/>
      </rPr>
      <t>공종</t>
    </r>
    <r>
      <rPr>
        <b/>
        <sz val="15"/>
        <color rgb="FFFFFFFF"/>
        <rFont val="Calibri"/>
        <family val="2"/>
      </rPr>
      <t xml:space="preserve"> · </t>
    </r>
    <r>
      <rPr>
        <b/>
        <sz val="15"/>
        <color rgb="FFFFFFFF"/>
        <rFont val="Malgun Gothic"/>
        <family val="2"/>
        <charset val="129"/>
      </rPr>
      <t>작업명</t>
    </r>
    <r>
      <rPr>
        <b/>
        <sz val="15"/>
        <color rgb="FFFFFFFF"/>
        <rFont val="Calibri"/>
        <family val="2"/>
      </rPr>
      <t xml:space="preserve"> · </t>
    </r>
    <r>
      <rPr>
        <b/>
        <sz val="15"/>
        <color rgb="FFFFFFFF"/>
        <rFont val="Malgun Gothic"/>
        <family val="2"/>
        <charset val="129"/>
      </rPr>
      <t>단위작업</t>
    </r>
    <r>
      <rPr>
        <b/>
        <sz val="15"/>
        <color rgb="FFFFFFFF"/>
        <rFont val="Calibri"/>
        <family val="2"/>
      </rPr>
      <t xml:space="preserve"> · </t>
    </r>
    <r>
      <rPr>
        <b/>
        <sz val="15"/>
        <color rgb="FFFFFFFF"/>
        <rFont val="Malgun Gothic"/>
        <family val="2"/>
        <charset val="129"/>
      </rPr>
      <t>기인물</t>
    </r>
    <r>
      <rPr>
        <b/>
        <sz val="15"/>
        <color rgb="FFFFFFFF"/>
        <rFont val="Calibri"/>
        <family val="2"/>
      </rPr>
      <t xml:space="preserve"> </t>
    </r>
    <r>
      <rPr>
        <b/>
        <sz val="15"/>
        <color rgb="FFFFFFFF"/>
        <rFont val="Malgun Gothic"/>
        <family val="2"/>
        <charset val="129"/>
      </rPr>
      <t>순차</t>
    </r>
    <r>
      <rPr>
        <b/>
        <sz val="15"/>
        <color rgb="FFFFFFFF"/>
        <rFont val="Calibri"/>
        <family val="2"/>
      </rPr>
      <t xml:space="preserve"> </t>
    </r>
    <r>
      <rPr>
        <b/>
        <sz val="15"/>
        <color rgb="FFFFFFFF"/>
        <rFont val="Malgun Gothic"/>
        <family val="2"/>
        <charset val="129"/>
      </rPr>
      <t>필터</t>
    </r>
    <phoneticPr fontId="2" type="noConversion"/>
  </si>
  <si>
    <t>🏗 공종</t>
  </si>
  <si>
    <t>🔨 작업명</t>
  </si>
  <si>
    <t>🔩 단위작업명</t>
  </si>
  <si>
    <t>(보조)</t>
  </si>
  <si>
    <t>2018년 8월경 산업단지 조성공사 현장에서 재해자가 시트파일 인발 보조작업 및 삽을 이용한 개흙(뻘) 제거작업과 흙막이용 띠장설치 보조작업을 하는 중 작업장소에서 약 20m 떨어진 휴식장소로 자력으로 이동하여 휴식 중 갑자기 경련을 일으키는 것을 동료작업자가 발견하고 인근에 있던 가시설팀장이 응급조치 후 응급실로 이송 후 치료 중 사망 (사망진단서 상 사망원인 : 열사병)</t>
    <phoneticPr fontId="2" type="noConversion"/>
  </si>
  <si>
    <t>📋  기인물 중심 재해사례 분석  —  기인물 선택 → 공정·재해형태·사고사례 자동 조회</t>
  </si>
  <si>
    <t>※ 기인물을 선택하면 관련 공정, 재해형태, 재해사례가 자동으로 표시됩니다.</t>
  </si>
  <si>
    <t>② 기인물 선택</t>
  </si>
  <si>
    <t>🔍 조회기준</t>
  </si>
  <si>
    <t>기인물_분류목록</t>
  </si>
  <si>
    <t>마감재</t>
    <phoneticPr fontId="2" type="noConversion"/>
  </si>
  <si>
    <t>건설자재</t>
    <phoneticPr fontId="2" type="noConversion"/>
  </si>
  <si>
    <t>개구부</t>
    <phoneticPr fontId="2" type="noConversion"/>
  </si>
  <si>
    <t>전기</t>
    <phoneticPr fontId="2" type="noConversion"/>
  </si>
  <si>
    <t>벽체</t>
    <phoneticPr fontId="2" type="noConversion"/>
  </si>
  <si>
    <t>계단</t>
    <phoneticPr fontId="2" type="noConversion"/>
  </si>
  <si>
    <t>유해위험기계기구</t>
    <phoneticPr fontId="2" type="noConversion"/>
  </si>
  <si>
    <t>12대기인물_분류</t>
  </si>
  <si>
    <t>12대기인물_목록</t>
  </si>
  <si>
    <t>전주</t>
    <phoneticPr fontId="2" type="noConversion"/>
  </si>
  <si>
    <t>기타건설장비</t>
    <phoneticPr fontId="2" type="noConversion"/>
  </si>
  <si>
    <t>구분▼</t>
  </si>
  <si>
    <t>_드롭다운참조!$AT$2:$AT$3</t>
    <phoneticPr fontId="2" type="noConversion"/>
  </si>
  <si>
    <t>_드롭다운참조!$AU$2:$AU$3</t>
    <phoneticPr fontId="2" type="noConversion"/>
  </si>
  <si>
    <t>_드롭다운참조!$AV$2:$AV$3</t>
    <phoneticPr fontId="2" type="noConversion"/>
  </si>
  <si>
    <t>_드롭다운참조!$AW$2:$AW$3</t>
    <phoneticPr fontId="2" type="noConversion"/>
  </si>
  <si>
    <t>_드롭다운참조!$AX$2:$AX$3</t>
    <phoneticPr fontId="2" type="noConversion"/>
  </si>
  <si>
    <t>_드롭다운참조!$AY$2:$AY$3</t>
    <phoneticPr fontId="2" type="noConversion"/>
  </si>
  <si>
    <t>_드롭다운참조!$AZ$2:$AZ$3</t>
    <phoneticPr fontId="2" type="noConversion"/>
  </si>
  <si>
    <t>_드롭다운참조!$BA$2:$BA$3</t>
    <phoneticPr fontId="2" type="noConversion"/>
  </si>
  <si>
    <t>_드롭다운참조!$BB$2:$BB$3</t>
    <phoneticPr fontId="2" type="noConversion"/>
  </si>
  <si>
    <t>_드롭다운참조!$BC$2:$BC$3</t>
    <phoneticPr fontId="2" type="noConversion"/>
  </si>
  <si>
    <t>_드롭다운참조!$BD$2:$BD$3</t>
    <phoneticPr fontId="2" type="noConversion"/>
  </si>
  <si>
    <t>_드롭다운참조!$BE$2:$BE$3</t>
    <phoneticPr fontId="2" type="noConversion"/>
  </si>
  <si>
    <t>_드롭다운참조!$BF$2:$BF$3</t>
    <phoneticPr fontId="2" type="noConversion"/>
  </si>
  <si>
    <t>_드롭다운참조!$BG$2:$BG$3</t>
    <phoneticPr fontId="2" type="noConversion"/>
  </si>
  <si>
    <t>_드롭다운참조!$BH$2:$BH$4</t>
    <phoneticPr fontId="2" type="noConversion"/>
  </si>
  <si>
    <t>_드롭다운참조!$BI$2:$BI$3</t>
    <phoneticPr fontId="2" type="noConversion"/>
  </si>
  <si>
    <t>_드롭다운참조!$BJ$2:$BJ$3</t>
    <phoneticPr fontId="2" type="noConversion"/>
  </si>
  <si>
    <t>_드롭다운참조!$BK$2:$BK$3</t>
    <phoneticPr fontId="2" type="noConversion"/>
  </si>
  <si>
    <t>_드롭다운참조!$BL$2:$BL$3</t>
    <phoneticPr fontId="2" type="noConversion"/>
  </si>
  <si>
    <t>폭염</t>
    <phoneticPr fontId="2" type="noConversion"/>
  </si>
  <si>
    <t>열사병</t>
    <phoneticPr fontId="2" type="noConversion"/>
  </si>
  <si>
    <t>크레인</t>
  </si>
  <si>
    <t>12대 기인물</t>
    <phoneticPr fontId="2" type="noConversion"/>
  </si>
  <si>
    <t>2017년 10월경 OO건설(주)가 시공하는 OO근린생활시설 신축공사 현장에서, 9층(H≒33.0m)의 거푸집동바리 정리 및 운반작업 중 거푸집동바리 각재가 낙하·비래하여 낙하물방지망 3단 끝부분에 튕긴 후 현장 건너편 약 10m 떨어진 인도와 도로 사이의 경계석에 걸터앉아 휴식중이던 재해자의 머리를 강타하여 사망</t>
    <phoneticPr fontId="2" type="noConversion"/>
  </si>
  <si>
    <t>2019년 3월경 OO종합건설(주) OO기초공사 현장에서, 재해자가 공장 내 기계 기초(COOLING PART) 피트 벽체철근조립을 위해 피트 바닥(깊이 약 2.4m)으로 내려가기 위해 굴착면 단차 부위(깊이 0.9m, 폭 0.6m)를 밟는 순간, 몸의 중심을 잃고 약 1.5m 아래 콘크리트 바닥으로 떨어지면서 벽체 수직철근 이음을 위해 미리 시공한 바닥 슬래브 수직철근(돌출길이≒21cm)에 머리가 찔려 사망</t>
    <phoneticPr fontId="2" type="noConversion"/>
  </si>
  <si>
    <t>▶ 건수</t>
  </si>
  <si>
    <t>🔨 작업명 (건수순)</t>
  </si>
  <si>
    <t>🔴 재해형태 (건수순)</t>
  </si>
  <si>
    <t>순위</t>
    <phoneticPr fontId="2" type="noConversion"/>
  </si>
  <si>
    <t>조회 결과</t>
    <phoneticPr fontId="2" type="noConversion"/>
  </si>
  <si>
    <t>12.2.10 안전가시설(휀스, 안전난간)</t>
    <phoneticPr fontId="2" type="noConversion"/>
  </si>
  <si>
    <t>12.2.2 안전가시설(작업발판)</t>
    <phoneticPr fontId="2" type="noConversion"/>
  </si>
  <si>
    <t>12.2.3 안전가시설(비계)</t>
    <phoneticPr fontId="2" type="noConversion"/>
  </si>
  <si>
    <t>12.2.4 안전가시설(이동식비계)</t>
    <phoneticPr fontId="2" type="noConversion"/>
  </si>
  <si>
    <t>12.2.5 안전가시설(달비계)</t>
    <phoneticPr fontId="2" type="noConversion"/>
  </si>
  <si>
    <t>기인물</t>
    <phoneticPr fontId="2" type="noConversion"/>
  </si>
  <si>
    <t>재해개요</t>
    <phoneticPr fontId="2" type="noConversion"/>
  </si>
  <si>
    <t>재해유발요인</t>
    <phoneticPr fontId="2" type="noConversion"/>
  </si>
  <si>
    <t>위험성 감소대책</t>
    <phoneticPr fontId="2" type="noConversion"/>
  </si>
  <si>
    <t>🔧 기인물 (건수순)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</si>
</sst>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yyyy&quot;년&quot;\ m&quot;월&quot;;@"/>
    <numFmt numFmtId="177" formatCode="0_ "/>
    <numFmt numFmtId="178" formatCode="0.0%"/>
    <numFmt numFmtId="179" formatCode="mm"/>
  </numFmts>
  <fonts count="61">
    <font>
      <sz val="12"/>
      <color theme="1"/>
      <name val="맑은 고딕"/>
      <family val="2"/>
      <charset val="129"/>
      <scheme val="minor"/>
    </font>
    <font>
      <b/>
      <sz val="11"/>
      <color theme="1"/>
      <name val="맑은 고딕"/>
      <family val="3"/>
      <charset val="129"/>
      <scheme val="minor"/>
    </font>
    <font>
      <sz val="8"/>
      <name val="맑은 고딕"/>
      <family val="2"/>
      <charset val="129"/>
      <scheme val="minor"/>
    </font>
    <font>
      <b/>
      <sz val="11"/>
      <color rgb="FFFF0000"/>
      <name val="맑은 고딕"/>
      <family val="3"/>
      <charset val="129"/>
      <scheme val="minor"/>
    </font>
    <font>
      <b/>
      <sz val="12"/>
      <color theme="1"/>
      <name val="맑은 고딕"/>
      <family val="2"/>
      <charset val="129"/>
      <scheme val="minor"/>
    </font>
    <font>
      <b/>
      <sz val="16"/>
      <color rgb="FF00B050"/>
      <name val="맑은 고딕"/>
      <family val="2"/>
      <charset val="129"/>
      <scheme val="minor"/>
    </font>
    <font>
      <sz val="14"/>
      <color rgb="FF002060"/>
      <name val="맑은 고딕"/>
      <family val="2"/>
      <charset val="129"/>
      <scheme val="minor"/>
    </font>
    <font>
      <sz val="14"/>
      <color rgb="FF002060"/>
      <name val="Aptos Narrow"/>
    </font>
    <font>
      <sz val="14"/>
      <color rgb="FF002060"/>
      <name val="Malgun Gothic"/>
      <family val="2"/>
      <charset val="129"/>
    </font>
    <font>
      <sz val="14"/>
      <color theme="1"/>
      <name val="맑은 고딕"/>
      <family val="2"/>
      <charset val="129"/>
      <scheme val="minor"/>
    </font>
    <font>
      <sz val="14"/>
      <color rgb="FF002060"/>
      <name val="맑은 고딕"/>
      <family val="2"/>
      <charset val="129"/>
    </font>
    <font>
      <b/>
      <sz val="12"/>
      <color theme="0"/>
      <name val="맑은 고딕"/>
      <family val="2"/>
      <charset val="129"/>
      <scheme val="minor"/>
    </font>
    <font>
      <sz val="11"/>
      <color theme="1"/>
      <name val="Calibri"/>
      <family val="2"/>
      <charset val="1"/>
    </font>
    <font>
      <b/>
      <sz val="10"/>
      <color rgb="FFFFFFFF"/>
      <name val="맑은 고딕"/>
      <family val="2"/>
      <charset val="129"/>
      <scheme val="minor"/>
    </font>
    <font>
      <sz val="12"/>
      <color rgb="FFFFFFFF"/>
      <name val="맑은 고딕"/>
      <family val="2"/>
      <charset val="129"/>
      <scheme val="minor"/>
    </font>
    <font>
      <b/>
      <sz val="12"/>
      <color rgb="FFFFFFFF"/>
      <name val="맑은 고딕"/>
      <family val="2"/>
      <charset val="129"/>
      <scheme val="minor"/>
    </font>
    <font>
      <b/>
      <sz val="15"/>
      <color rgb="FFFFFFFF"/>
      <name val="Calibri"/>
      <family val="2"/>
    </font>
    <font>
      <b/>
      <sz val="10"/>
      <color rgb="FF1F3864"/>
      <name val="맑은 고딕"/>
      <family val="2"/>
      <charset val="129"/>
      <scheme val="minor"/>
    </font>
    <font>
      <i/>
      <sz val="9"/>
      <color rgb="FF666666"/>
      <name val="맑은 고딕"/>
      <family val="2"/>
      <charset val="129"/>
      <scheme val="minor"/>
    </font>
    <font>
      <b/>
      <sz val="11"/>
      <color rgb="FFC00000"/>
      <name val="맑은 고딕"/>
      <family val="2"/>
      <charset val="129"/>
      <scheme val="minor"/>
    </font>
    <font>
      <sz val="9"/>
      <color rgb="FFC00000"/>
      <name val="맑은 고딕"/>
      <family val="2"/>
      <charset val="129"/>
      <scheme val="minor"/>
    </font>
    <font>
      <b/>
      <sz val="14"/>
      <color rgb="FF375623"/>
      <name val="맑은 고딕"/>
      <family val="2"/>
      <charset val="129"/>
      <scheme val="minor"/>
    </font>
    <font>
      <b/>
      <sz val="11"/>
      <color rgb="FF375623"/>
      <name val="맑은 고딕"/>
      <family val="2"/>
      <charset val="129"/>
      <scheme val="minor"/>
    </font>
    <font>
      <b/>
      <sz val="10"/>
      <color rgb="FF2E5FA3"/>
      <name val="맑은 고딕"/>
      <family val="2"/>
      <charset val="129"/>
      <scheme val="minor"/>
    </font>
    <font>
      <sz val="9"/>
      <color rgb="FF7F4B00"/>
      <name val="맑은 고딕"/>
      <family val="2"/>
      <charset val="129"/>
      <scheme val="minor"/>
    </font>
    <font>
      <sz val="9"/>
      <color rgb="FF1F3864"/>
      <name val="맑은 고딕"/>
      <family val="2"/>
      <charset val="129"/>
      <scheme val="minor"/>
    </font>
    <font>
      <sz val="9"/>
      <color rgb="FF375623"/>
      <name val="맑은 고딕"/>
      <family val="2"/>
      <charset val="129"/>
      <scheme val="minor"/>
    </font>
    <font>
      <b/>
      <sz val="9"/>
      <color rgb="FF375623"/>
      <name val="맑은 고딕"/>
      <family val="2"/>
      <charset val="129"/>
      <scheme val="minor"/>
    </font>
    <font>
      <b/>
      <sz val="9"/>
      <color rgb="FFFFFFFF"/>
      <name val="맑은 고딕"/>
      <family val="2"/>
      <charset val="129"/>
      <scheme val="minor"/>
    </font>
    <font>
      <i/>
      <sz val="9"/>
      <color rgb="FFCC4400"/>
      <name val="맑은 고딕"/>
      <family val="2"/>
      <charset val="129"/>
      <scheme val="minor"/>
    </font>
    <font>
      <b/>
      <sz val="9"/>
      <color rgb="FF1F4E79"/>
      <name val="맑은 고딕"/>
      <family val="2"/>
      <charset val="129"/>
      <scheme val="minor"/>
    </font>
    <font>
      <b/>
      <sz val="10"/>
      <color rgb="FF375623"/>
      <name val="맑은 고딕"/>
      <family val="2"/>
      <charset val="129"/>
      <scheme val="minor"/>
    </font>
    <font>
      <b/>
      <i/>
      <sz val="9"/>
      <color rgb="FF375623"/>
      <name val="맑은 고딕"/>
      <family val="2"/>
      <charset val="129"/>
      <scheme val="minor"/>
    </font>
    <font>
      <b/>
      <i/>
      <sz val="9"/>
      <color rgb="FF1F3864"/>
      <name val="맑은 고딕"/>
      <family val="2"/>
      <charset val="129"/>
      <scheme val="minor"/>
    </font>
    <font>
      <b/>
      <sz val="11"/>
      <color theme="1"/>
      <name val="맑은 고딕"/>
      <family val="2"/>
      <charset val="129"/>
      <scheme val="minor"/>
    </font>
    <font>
      <i/>
      <sz val="9"/>
      <color rgb="FF7030A0"/>
      <name val="맑은 고딕"/>
      <family val="2"/>
      <charset val="129"/>
      <scheme val="minor"/>
    </font>
    <font>
      <b/>
      <i/>
      <sz val="9"/>
      <color rgb="FF7030A0"/>
      <name val="맑은 고딕"/>
      <family val="2"/>
      <charset val="129"/>
      <scheme val="minor"/>
    </font>
    <font>
      <i/>
      <sz val="8"/>
      <color rgb="FF7030A0"/>
      <name val="맑은 고딕"/>
      <family val="2"/>
      <charset val="129"/>
      <scheme val="minor"/>
    </font>
    <font>
      <b/>
      <sz val="8"/>
      <color rgb="FF7030A0"/>
      <name val="맑은 고딕"/>
      <family val="2"/>
      <charset val="129"/>
      <scheme val="minor"/>
    </font>
    <font>
      <b/>
      <sz val="15"/>
      <color rgb="FFFFFFFF"/>
      <name val="Apple Color Emoji"/>
      <family val="2"/>
    </font>
    <font>
      <b/>
      <sz val="15"/>
      <color rgb="FFFFFFFF"/>
      <name val="Malgun Gothic"/>
      <family val="2"/>
      <charset val="129"/>
    </font>
    <font>
      <sz val="9"/>
      <color rgb="FFFFFFFF"/>
      <name val="맑은 고딕"/>
      <family val="2"/>
      <charset val="129"/>
      <scheme val="minor"/>
    </font>
    <font>
      <b/>
      <sz val="8"/>
      <color rgb="FFCCCCCC"/>
      <name val="맑은 고딕"/>
      <family val="2"/>
      <charset val="129"/>
      <scheme val="minor"/>
    </font>
    <font>
      <sz val="8"/>
      <color rgb="FFCCCCCC"/>
      <name val="맑은 고딕"/>
      <family val="2"/>
      <charset val="129"/>
      <scheme val="minor"/>
    </font>
    <font>
      <b/>
      <sz val="9"/>
      <color rgb="FF1F3864"/>
      <name val="맑은 고딕"/>
      <family val="2"/>
      <charset val="129"/>
      <scheme val="minor"/>
    </font>
    <font>
      <b/>
      <sz val="9"/>
      <color rgb="FFC00000"/>
      <name val="맑은 고딕"/>
      <family val="2"/>
      <charset val="129"/>
      <scheme val="minor"/>
    </font>
    <font>
      <sz val="8"/>
      <color rgb="FFFFFFFF"/>
      <name val="맑은 고딕"/>
      <family val="2"/>
      <charset val="129"/>
      <scheme val="minor"/>
    </font>
    <font>
      <sz val="8"/>
      <color rgb="FFFFFFFF"/>
      <name val="맑은 고딕"/>
      <family val="2"/>
      <charset val="129"/>
    </font>
    <font>
      <b/>
      <sz val="13"/>
      <color rgb="FFFFFFFF"/>
      <name val="Calibri"/>
      <family val="2"/>
    </font>
    <font>
      <b/>
      <sz val="12"/>
      <color rgb="FFC00000"/>
      <name val="맑은 고딕"/>
      <family val="2"/>
      <charset val="129"/>
      <scheme val="minor"/>
    </font>
    <font>
      <b/>
      <sz val="12"/>
      <color rgb="FF375623"/>
      <name val="맑은 고딕"/>
      <family val="2"/>
      <charset val="129"/>
      <scheme val="minor"/>
    </font>
    <font>
      <b/>
      <sz val="18"/>
      <color rgb="FF375623"/>
      <name val="맑은 고딕"/>
      <family val="2"/>
      <charset val="129"/>
      <scheme val="minor"/>
    </font>
    <font>
      <b/>
      <sz val="10"/>
      <color rgb="FF000000"/>
      <name val="맑은 고딕"/>
      <family val="2"/>
      <charset val="129"/>
      <scheme val="minor"/>
    </font>
    <font>
      <sz val="7"/>
      <color rgb="FFFFFFFF"/>
      <name val="맑은 고딕"/>
      <family val="2"/>
      <charset val="129"/>
      <scheme val="minor"/>
    </font>
    <font>
      <i/>
      <sz val="8"/>
      <color rgb="FF1F3864"/>
      <name val="맑은 고딕"/>
      <family val="2"/>
      <charset val="129"/>
      <scheme val="minor"/>
    </font>
    <font>
      <sz val="9"/>
      <color rgb="FF7B0000"/>
      <name val="맑은 고딕"/>
      <family val="2"/>
      <charset val="129"/>
      <scheme val="minor"/>
    </font>
    <font>
      <b/>
      <sz val="9"/>
      <color rgb="FF7B0000"/>
      <name val="맑은 고딕"/>
      <family val="2"/>
      <charset val="129"/>
      <scheme val="minor"/>
    </font>
    <font>
      <sz val="12"/>
      <color rgb="FF000000"/>
      <name val="맑은 고딕"/>
      <family val="2"/>
      <charset val="129"/>
      <scheme val="minor"/>
    </font>
    <font>
      <b/>
      <i/>
      <sz val="8"/>
      <color rgb="FFFF0000"/>
      <name val="맑은 고딕"/>
      <family val="2"/>
      <charset val="129"/>
      <scheme val="minor"/>
    </font>
    <font>
      <sz val="1"/>
      <color rgb="FFFFFFFF"/>
      <name val="맑은 고딕"/>
      <family val="2"/>
      <charset val="129"/>
      <scheme val="minor"/>
    </font>
    <font>
      <sz val="10"/>
      <color rgb="FF000000"/>
      <name val="Times New Roman"/>
      <family val="1"/>
    </font>
  </fonts>
  <fills count="37">
    <fill>
      <patternFill patternType="none"/>
    </fill>
    <fill>
      <patternFill patternType="gray125"/>
    </fill>
    <fill>
      <patternFill patternType="solid">
        <fgColor theme="3" tint="0.89999084444715716"/>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rgb="FF2E5FA3"/>
        <bgColor indexed="64"/>
      </patternFill>
    </fill>
    <fill>
      <patternFill patternType="solid">
        <fgColor rgb="FFFFF2CC"/>
        <bgColor indexed="64"/>
      </patternFill>
    </fill>
    <fill>
      <patternFill patternType="solid">
        <fgColor rgb="FFF2F7FB"/>
        <bgColor indexed="64"/>
      </patternFill>
    </fill>
    <fill>
      <patternFill patternType="solid">
        <fgColor rgb="FF375623"/>
        <bgColor indexed="64"/>
      </patternFill>
    </fill>
    <fill>
      <patternFill patternType="solid">
        <fgColor rgb="FF1F3864"/>
        <bgColor indexed="64"/>
      </patternFill>
    </fill>
    <fill>
      <patternFill patternType="solid">
        <fgColor rgb="FFFFFFFF"/>
        <bgColor indexed="64"/>
      </patternFill>
    </fill>
    <fill>
      <patternFill patternType="solid">
        <fgColor rgb="FFC00000"/>
        <bgColor indexed="64"/>
      </patternFill>
    </fill>
    <fill>
      <patternFill patternType="solid">
        <fgColor rgb="FFFFE0E0"/>
        <bgColor indexed="64"/>
      </patternFill>
    </fill>
    <fill>
      <patternFill patternType="solid">
        <fgColor rgb="FF2E75B6"/>
        <bgColor indexed="64"/>
      </patternFill>
    </fill>
    <fill>
      <patternFill patternType="solid">
        <fgColor rgb="FFFFF9E6"/>
        <bgColor indexed="64"/>
      </patternFill>
    </fill>
    <fill>
      <patternFill patternType="solid">
        <fgColor rgb="FFF2F8FF"/>
        <bgColor indexed="64"/>
      </patternFill>
    </fill>
    <fill>
      <patternFill patternType="solid">
        <fgColor rgb="FFF9F9F9"/>
        <bgColor indexed="64"/>
      </patternFill>
    </fill>
    <fill>
      <patternFill patternType="solid">
        <fgColor rgb="FFE2EFDA"/>
        <bgColor indexed="64"/>
      </patternFill>
    </fill>
    <fill>
      <patternFill patternType="solid">
        <fgColor rgb="FF404040"/>
        <bgColor indexed="64"/>
      </patternFill>
    </fill>
    <fill>
      <patternFill patternType="solid">
        <fgColor rgb="FFFFF0F0"/>
        <bgColor indexed="64"/>
      </patternFill>
    </fill>
    <fill>
      <patternFill patternType="solid">
        <fgColor rgb="FFFFF8E6"/>
        <bgColor indexed="64"/>
      </patternFill>
    </fill>
    <fill>
      <patternFill patternType="solid">
        <fgColor rgb="FFF5F9FF"/>
        <bgColor indexed="64"/>
      </patternFill>
    </fill>
    <fill>
      <patternFill patternType="solid">
        <fgColor rgb="FFF0FFF0"/>
        <bgColor indexed="64"/>
      </patternFill>
    </fill>
    <fill>
      <patternFill patternType="solid">
        <fgColor rgb="FFE8F0FB"/>
        <bgColor indexed="64"/>
      </patternFill>
    </fill>
    <fill>
      <patternFill patternType="solid">
        <fgColor rgb="FFEBF3FB"/>
        <bgColor indexed="64"/>
      </patternFill>
    </fill>
    <fill>
      <patternFill patternType="solid">
        <fgColor rgb="FFEBF5EB"/>
        <bgColor indexed="64"/>
      </patternFill>
    </fill>
    <fill>
      <patternFill patternType="solid">
        <fgColor rgb="FFDEEAF1"/>
        <bgColor indexed="64"/>
      </patternFill>
    </fill>
    <fill>
      <patternFill patternType="solid">
        <fgColor rgb="FFF3E6FF"/>
        <bgColor indexed="64"/>
      </patternFill>
    </fill>
    <fill>
      <patternFill patternType="solid">
        <fgColor rgb="FFF9F0FF"/>
        <bgColor indexed="64"/>
      </patternFill>
    </fill>
    <fill>
      <patternFill patternType="solid">
        <fgColor rgb="FF4472C4"/>
        <bgColor indexed="64"/>
      </patternFill>
    </fill>
    <fill>
      <patternFill patternType="solid">
        <fgColor rgb="FFDAE8F5"/>
        <bgColor indexed="64"/>
      </patternFill>
    </fill>
    <fill>
      <patternFill patternType="solid">
        <fgColor rgb="FFD0E0F0"/>
        <bgColor indexed="64"/>
      </patternFill>
    </fill>
    <fill>
      <patternFill patternType="solid">
        <fgColor rgb="FF7F4B00"/>
        <bgColor indexed="64"/>
      </patternFill>
    </fill>
    <fill>
      <patternFill patternType="solid">
        <fgColor rgb="FFF5F5F5"/>
        <bgColor indexed="64"/>
      </patternFill>
    </fill>
    <fill>
      <patternFill patternType="solid">
        <fgColor rgb="FFED7D31"/>
        <bgColor indexed="64"/>
      </patternFill>
    </fill>
    <fill>
      <patternFill patternType="solid">
        <fgColor theme="8" tint="0.79998168889431442"/>
        <bgColor indexed="64"/>
      </patternFill>
    </fill>
    <fill>
      <patternFill patternType="solid">
        <fgColor theme="0"/>
        <bgColor indexed="64"/>
      </patternFill>
    </fill>
  </fills>
  <borders count="38">
    <border>
      <left/>
      <right/>
      <top/>
      <bottom/>
      <diagonal/>
    </border>
    <border>
      <left/>
      <right/>
      <top style="medium">
        <color theme="4" tint="-0.249977111117893"/>
      </top>
      <bottom/>
      <diagonal/>
    </border>
    <border>
      <left style="thin">
        <color rgb="FF2E75B6"/>
      </left>
      <right style="thin">
        <color rgb="FF2E75B6"/>
      </right>
      <top style="thin">
        <color rgb="FF2E75B6"/>
      </top>
      <bottom/>
      <diagonal/>
    </border>
    <border>
      <left style="thin">
        <color rgb="FF2E5FA3"/>
      </left>
      <right style="thin">
        <color rgb="FF2E5FA3"/>
      </right>
      <top style="thin">
        <color rgb="FF2E5FA3"/>
      </top>
      <bottom/>
      <diagonal/>
    </border>
    <border>
      <left style="medium">
        <color rgb="FFED7D31"/>
      </left>
      <right style="medium">
        <color rgb="FFED7D31"/>
      </right>
      <top style="medium">
        <color rgb="FFED7D31"/>
      </top>
      <bottom/>
      <diagonal/>
    </border>
    <border>
      <left style="thin">
        <color rgb="FFC00000"/>
      </left>
      <right style="thin">
        <color rgb="FFC00000"/>
      </right>
      <top style="thin">
        <color rgb="FFC00000"/>
      </top>
      <bottom style="thin">
        <color rgb="FFC00000"/>
      </bottom>
      <diagonal/>
    </border>
    <border>
      <left style="medium">
        <color rgb="FFC00000"/>
      </left>
      <right style="medium">
        <color rgb="FFC00000"/>
      </right>
      <top style="medium">
        <color rgb="FFC00000"/>
      </top>
      <bottom style="medium">
        <color rgb="FFC00000"/>
      </bottom>
      <diagonal/>
    </border>
    <border>
      <left style="thin">
        <color rgb="FF375623"/>
      </left>
      <right style="thin">
        <color rgb="FF375623"/>
      </right>
      <top style="thin">
        <color rgb="FF375623"/>
      </top>
      <bottom style="thin">
        <color rgb="FF375623"/>
      </bottom>
      <diagonal/>
    </border>
    <border>
      <left style="thin">
        <color rgb="FF595959"/>
      </left>
      <right style="thin">
        <color rgb="FF595959"/>
      </right>
      <top style="thin">
        <color rgb="FF595959"/>
      </top>
      <bottom style="thin">
        <color rgb="FF595959"/>
      </bottom>
      <diagonal/>
    </border>
    <border>
      <left/>
      <right style="thin">
        <color rgb="FFD9D9D9"/>
      </right>
      <top/>
      <bottom/>
      <diagonal/>
    </border>
    <border>
      <left/>
      <right style="thin">
        <color rgb="FFFFCCCC"/>
      </right>
      <top/>
      <bottom/>
      <diagonal/>
    </border>
    <border>
      <left/>
      <right style="thin">
        <color rgb="FFFFE0A0"/>
      </right>
      <top/>
      <bottom/>
      <diagonal/>
    </border>
    <border>
      <left/>
      <right style="thin">
        <color rgb="FFBDD7EE"/>
      </right>
      <top/>
      <bottom/>
      <diagonal/>
    </border>
    <border>
      <left/>
      <right style="thin">
        <color rgb="FFA9D08E"/>
      </right>
      <top/>
      <bottom/>
      <diagonal/>
    </border>
    <border>
      <left/>
      <right style="thin">
        <color rgb="FF2E75B6"/>
      </right>
      <top/>
      <bottom/>
      <diagonal/>
    </border>
    <border>
      <left/>
      <right style="thin">
        <color rgb="FF2E75B6"/>
      </right>
      <top style="thin">
        <color rgb="FF2E75B6"/>
      </top>
      <bottom/>
      <diagonal/>
    </border>
    <border>
      <left style="thin">
        <color rgb="FFC00000"/>
      </left>
      <right/>
      <top/>
      <bottom/>
      <diagonal/>
    </border>
    <border>
      <left style="thin">
        <color rgb="FF2E5FA3"/>
      </left>
      <right/>
      <top/>
      <bottom/>
      <diagonal/>
    </border>
    <border>
      <left style="thin">
        <color rgb="FF375623"/>
      </left>
      <right style="thin">
        <color rgb="FF375623"/>
      </right>
      <top/>
      <bottom style="thin">
        <color rgb="FF375623"/>
      </bottom>
      <diagonal/>
    </border>
    <border>
      <left style="thin">
        <color rgb="FF595959"/>
      </left>
      <right/>
      <top style="thin">
        <color rgb="FF595959"/>
      </top>
      <bottom style="thin">
        <color rgb="FF595959"/>
      </bottom>
      <diagonal/>
    </border>
    <border>
      <left style="thin">
        <color rgb="FFD9D9D9"/>
      </left>
      <right/>
      <top/>
      <bottom/>
      <diagonal/>
    </border>
    <border>
      <left style="thin">
        <color rgb="FF8DB4E2"/>
      </left>
      <right/>
      <top/>
      <bottom/>
      <diagonal/>
    </border>
    <border>
      <left style="thin">
        <color rgb="FF4472C4"/>
      </left>
      <right/>
      <top/>
      <bottom/>
      <diagonal/>
    </border>
    <border>
      <left style="thin">
        <color rgb="FFBDD7EE"/>
      </left>
      <right/>
      <top/>
      <bottom/>
      <diagonal/>
    </border>
    <border>
      <left/>
      <right/>
      <top style="thin">
        <color rgb="FF595959"/>
      </top>
      <bottom style="thin">
        <color rgb="FF595959"/>
      </bottom>
      <diagonal/>
    </border>
    <border>
      <left style="thin">
        <color rgb="FFA9D08E"/>
      </left>
      <right/>
      <top/>
      <bottom/>
      <diagonal/>
    </border>
    <border>
      <left style="thin">
        <color rgb="FF70AD47"/>
      </left>
      <right/>
      <top/>
      <bottom/>
      <diagonal/>
    </border>
    <border>
      <left style="thin">
        <color rgb="FF70AD47"/>
      </left>
      <right style="thin">
        <color rgb="FF70AD47"/>
      </right>
      <top/>
      <bottom/>
      <diagonal/>
    </border>
    <border>
      <left style="thin">
        <color rgb="FF70AD47"/>
      </left>
      <right style="thin">
        <color rgb="FF595959"/>
      </right>
      <top/>
      <bottom/>
      <diagonal/>
    </border>
    <border>
      <left/>
      <right/>
      <top/>
      <bottom style="thin">
        <color theme="4" tint="0.39997558519241921"/>
      </bottom>
      <diagonal/>
    </border>
    <border>
      <left style="thin">
        <color rgb="FF595959"/>
      </left>
      <right/>
      <top style="medium">
        <color rgb="FF404040"/>
      </top>
      <bottom style="medium">
        <color rgb="FF404040"/>
      </bottom>
      <diagonal/>
    </border>
    <border>
      <left style="thin">
        <color rgb="FFC00000"/>
      </left>
      <right/>
      <top style="medium">
        <color rgb="FF404040"/>
      </top>
      <bottom style="medium">
        <color rgb="FF404040"/>
      </bottom>
      <diagonal/>
    </border>
    <border>
      <left style="thin">
        <color rgb="FFA9D08E"/>
      </left>
      <right/>
      <top style="medium">
        <color rgb="FF404040"/>
      </top>
      <bottom style="medium">
        <color rgb="FF404040"/>
      </bottom>
      <diagonal/>
    </border>
    <border>
      <left style="thin">
        <color rgb="FF70AD47"/>
      </left>
      <right style="thin">
        <color rgb="FF595959"/>
      </right>
      <top style="medium">
        <color rgb="FF404040"/>
      </top>
      <bottom style="medium">
        <color rgb="FF404040"/>
      </bottom>
      <diagonal/>
    </border>
    <border>
      <left style="thin">
        <color rgb="FF70AD47"/>
      </left>
      <right/>
      <top style="medium">
        <color rgb="FF404040"/>
      </top>
      <bottom style="medium">
        <color rgb="FF404040"/>
      </bottom>
      <diagonal/>
    </border>
    <border>
      <left style="thin">
        <color rgb="FFFF9999"/>
      </left>
      <right/>
      <top/>
      <bottom/>
      <diagonal/>
    </border>
    <border>
      <left style="thin">
        <color rgb="FFC00000"/>
      </left>
      <right/>
      <top style="thin">
        <color rgb="FFC00000"/>
      </top>
      <bottom style="thin">
        <color rgb="FFC00000"/>
      </bottom>
      <diagonal/>
    </border>
    <border>
      <left style="thin">
        <color rgb="FFD9B3FF"/>
      </left>
      <right style="thin">
        <color rgb="FFD9B3FF"/>
      </right>
      <top style="thin">
        <color rgb="FFD9B3FF"/>
      </top>
      <bottom style="thin">
        <color rgb="FFD9B3FF"/>
      </bottom>
      <diagonal/>
    </border>
  </borders>
  <cellStyleXfs count="3">
    <xf numFmtId="0" fontId="0" fillId="0" borderId="0">
      <alignment vertical="center"/>
    </xf>
    <xf numFmtId="0" fontId="12" fillId="0" borderId="0"/>
    <xf numFmtId="0" fontId="60" fillId="0" borderId="0"/>
  </cellStyleXfs>
  <cellXfs count="163">
    <xf numFmtId="0" fontId="0" fillId="0" borderId="0" xfId="0">
      <alignment vertical="center"/>
    </xf>
    <xf numFmtId="0" fontId="1" fillId="2" borderId="0" xfId="0" applyFont="1" applyFill="1">
      <alignment vertical="center"/>
    </xf>
    <xf numFmtId="0" fontId="3" fillId="2" borderId="0" xfId="0" applyFont="1" applyFill="1">
      <alignment vertical="center"/>
    </xf>
    <xf numFmtId="176" fontId="3" fillId="2" borderId="0" xfId="0" applyNumberFormat="1" applyFont="1" applyFill="1" applyAlignment="1">
      <alignment horizontal="center" vertical="center"/>
    </xf>
    <xf numFmtId="177" fontId="0" fillId="0" borderId="0" xfId="0" applyNumberFormat="1">
      <alignment vertical="center"/>
    </xf>
    <xf numFmtId="178" fontId="0" fillId="0" borderId="0" xfId="0" applyNumberFormat="1">
      <alignment vertical="center"/>
    </xf>
    <xf numFmtId="176" fontId="0" fillId="0" borderId="0" xfId="0" applyNumberFormat="1" applyAlignment="1">
      <alignment horizontal="center" vertical="center"/>
    </xf>
    <xf numFmtId="179" fontId="0" fillId="0" borderId="0" xfId="0" applyNumberFormat="1" applyAlignment="1">
      <alignment horizontal="center" vertical="center"/>
    </xf>
    <xf numFmtId="0" fontId="0" fillId="0" borderId="0" xfId="0" pivotButton="1">
      <alignment vertical="center"/>
    </xf>
    <xf numFmtId="0" fontId="0" fillId="0" borderId="0" xfId="0" applyAlignment="1">
      <alignment horizontal="left" vertical="center"/>
    </xf>
    <xf numFmtId="0" fontId="0" fillId="0" borderId="0" xfId="0" applyAlignment="1">
      <alignment horizontal="left" vertical="center" indent="1"/>
    </xf>
    <xf numFmtId="10" fontId="0" fillId="0" borderId="0" xfId="0" applyNumberFormat="1">
      <alignment vertical="center"/>
    </xf>
    <xf numFmtId="0" fontId="4" fillId="0" borderId="0" xfId="0" applyFont="1">
      <alignment vertical="center"/>
    </xf>
    <xf numFmtId="0" fontId="0" fillId="0" borderId="0" xfId="0" applyAlignment="1">
      <alignment horizontal="left" vertical="center" indent="2"/>
    </xf>
    <xf numFmtId="0" fontId="0" fillId="0" borderId="0" xfId="0" applyAlignment="1">
      <alignment horizontal="center" vertical="center"/>
    </xf>
    <xf numFmtId="0" fontId="5" fillId="0" borderId="0" xfId="0" applyFont="1">
      <alignment vertical="center"/>
    </xf>
    <xf numFmtId="0" fontId="6" fillId="0" borderId="0" xfId="0" applyFont="1">
      <alignment vertical="center"/>
    </xf>
    <xf numFmtId="0" fontId="7" fillId="0" borderId="0" xfId="0" applyFont="1">
      <alignment vertical="center"/>
    </xf>
    <xf numFmtId="0" fontId="9" fillId="0" borderId="0" xfId="0" applyFont="1">
      <alignment vertical="center"/>
    </xf>
    <xf numFmtId="0" fontId="11" fillId="4" borderId="1" xfId="0" applyFont="1" applyFill="1" applyBorder="1">
      <alignment vertical="center"/>
    </xf>
    <xf numFmtId="0" fontId="4" fillId="3" borderId="0" xfId="0" applyFont="1" applyFill="1" applyAlignment="1">
      <alignment horizontal="left" vertical="center"/>
    </xf>
    <xf numFmtId="0" fontId="4" fillId="0" borderId="0" xfId="0" applyFont="1" applyAlignment="1">
      <alignment horizontal="left" vertical="center" indent="1"/>
    </xf>
    <xf numFmtId="10" fontId="4" fillId="0" borderId="0" xfId="0" applyNumberFormat="1" applyFont="1">
      <alignment vertical="center"/>
    </xf>
    <xf numFmtId="0" fontId="11" fillId="4" borderId="0" xfId="0" applyFont="1" applyFill="1">
      <alignment vertical="center"/>
    </xf>
    <xf numFmtId="0" fontId="15" fillId="9" borderId="0" xfId="0" applyFont="1" applyFill="1">
      <alignment vertical="center"/>
    </xf>
    <xf numFmtId="0" fontId="0" fillId="13" borderId="0" xfId="0" applyFill="1">
      <alignment vertical="center"/>
    </xf>
    <xf numFmtId="0" fontId="14" fillId="9" borderId="0" xfId="0" applyFont="1" applyFill="1" applyAlignment="1">
      <alignment horizontal="center" vertical="center"/>
    </xf>
    <xf numFmtId="0" fontId="17" fillId="14" borderId="4" xfId="0" applyFont="1" applyFill="1" applyBorder="1">
      <alignment vertical="center"/>
    </xf>
    <xf numFmtId="0" fontId="18" fillId="16" borderId="0" xfId="0" applyFont="1" applyFill="1" applyAlignment="1">
      <alignment horizontal="left" vertical="center"/>
    </xf>
    <xf numFmtId="0" fontId="17" fillId="6" borderId="4" xfId="0" applyFont="1" applyFill="1" applyBorder="1">
      <alignment vertical="center"/>
    </xf>
    <xf numFmtId="0" fontId="19" fillId="12" borderId="6" xfId="0" applyFont="1" applyFill="1" applyBorder="1">
      <alignment vertical="center"/>
    </xf>
    <xf numFmtId="0" fontId="14" fillId="17" borderId="0" xfId="0" applyFont="1" applyFill="1" applyAlignment="1">
      <alignment horizontal="center" vertical="center"/>
    </xf>
    <xf numFmtId="0" fontId="0" fillId="17" borderId="0" xfId="0" applyFill="1">
      <alignment vertical="center"/>
    </xf>
    <xf numFmtId="0" fontId="21" fillId="17" borderId="7" xfId="0" applyFont="1" applyFill="1" applyBorder="1" applyAlignment="1">
      <alignment horizontal="center" vertical="center"/>
    </xf>
    <xf numFmtId="0" fontId="22" fillId="17" borderId="0" xfId="0" applyFont="1" applyFill="1" applyAlignment="1">
      <alignment horizontal="left" vertical="center"/>
    </xf>
    <xf numFmtId="0" fontId="22" fillId="17" borderId="7" xfId="0" applyFont="1" applyFill="1" applyBorder="1" applyAlignment="1">
      <alignment horizontal="center" vertical="center"/>
    </xf>
    <xf numFmtId="0" fontId="14" fillId="8" borderId="0" xfId="0" applyFont="1" applyFill="1" applyAlignment="1">
      <alignment horizontal="center" vertical="center"/>
    </xf>
    <xf numFmtId="0" fontId="0" fillId="8" borderId="0" xfId="0" applyFill="1">
      <alignment vertical="center"/>
    </xf>
    <xf numFmtId="0" fontId="13" fillId="18" borderId="8" xfId="0" applyFont="1" applyFill="1" applyBorder="1" applyAlignment="1">
      <alignment horizontal="center" vertical="center"/>
    </xf>
    <xf numFmtId="0" fontId="23" fillId="7" borderId="9" xfId="0" applyFont="1" applyFill="1" applyBorder="1" applyAlignment="1">
      <alignment horizontal="center" vertical="center"/>
    </xf>
    <xf numFmtId="0" fontId="25" fillId="21" borderId="12" xfId="0" applyFont="1" applyFill="1" applyBorder="1" applyAlignment="1">
      <alignment horizontal="left" vertical="center" wrapText="1"/>
    </xf>
    <xf numFmtId="0" fontId="26" fillId="22" borderId="0" xfId="0" applyFont="1" applyFill="1" applyAlignment="1">
      <alignment horizontal="left" vertical="center" wrapText="1"/>
    </xf>
    <xf numFmtId="0" fontId="23" fillId="23" borderId="9" xfId="0" applyFont="1" applyFill="1" applyBorder="1" applyAlignment="1">
      <alignment horizontal="center" vertical="center"/>
    </xf>
    <xf numFmtId="0" fontId="0" fillId="10" borderId="0" xfId="0" applyFill="1">
      <alignment vertical="center"/>
    </xf>
    <xf numFmtId="0" fontId="27" fillId="17" borderId="0" xfId="0" applyFont="1" applyFill="1">
      <alignment vertical="center"/>
    </xf>
    <xf numFmtId="0" fontId="28" fillId="8" borderId="7" xfId="0" applyFont="1" applyFill="1" applyBorder="1" applyAlignment="1">
      <alignment horizontal="center" vertical="center"/>
    </xf>
    <xf numFmtId="0" fontId="29" fillId="15" borderId="0" xfId="0" applyFont="1" applyFill="1" applyAlignment="1">
      <alignment horizontal="left" vertical="center"/>
    </xf>
    <xf numFmtId="0" fontId="0" fillId="10" borderId="0" xfId="0" applyFill="1" applyAlignment="1">
      <alignment vertical="center" wrapText="1"/>
    </xf>
    <xf numFmtId="0" fontId="0" fillId="0" borderId="0" xfId="0" applyAlignment="1">
      <alignment vertical="center" wrapText="1"/>
    </xf>
    <xf numFmtId="0" fontId="13" fillId="10" borderId="8" xfId="0" applyFont="1" applyFill="1" applyBorder="1" applyAlignment="1">
      <alignment horizontal="center" vertical="center"/>
    </xf>
    <xf numFmtId="0" fontId="31" fillId="17" borderId="7" xfId="0" applyFont="1" applyFill="1" applyBorder="1" applyAlignment="1">
      <alignment horizontal="center" vertical="center"/>
    </xf>
    <xf numFmtId="0" fontId="30" fillId="26" borderId="10" xfId="0" applyFont="1" applyFill="1" applyBorder="1" applyAlignment="1">
      <alignment horizontal="center" vertical="center" wrapText="1"/>
    </xf>
    <xf numFmtId="0" fontId="20" fillId="19" borderId="11" xfId="0" applyFont="1" applyFill="1" applyBorder="1" applyAlignment="1">
      <alignment horizontal="center" vertical="center" wrapText="1"/>
    </xf>
    <xf numFmtId="0" fontId="24" fillId="20" borderId="13" xfId="0" applyFont="1" applyFill="1" applyBorder="1" applyAlignment="1">
      <alignment horizontal="left" vertical="center" wrapText="1"/>
    </xf>
    <xf numFmtId="0" fontId="13" fillId="9" borderId="2" xfId="0" applyFont="1" applyFill="1" applyBorder="1" applyAlignment="1">
      <alignment horizontal="left" vertical="center"/>
    </xf>
    <xf numFmtId="0" fontId="13" fillId="5" borderId="3" xfId="0" applyFont="1" applyFill="1" applyBorder="1" applyAlignment="1">
      <alignment horizontal="left" vertical="center"/>
    </xf>
    <xf numFmtId="0" fontId="13" fillId="11" borderId="5" xfId="0" applyFont="1" applyFill="1" applyBorder="1" applyAlignment="1">
      <alignment horizontal="left" vertical="center"/>
    </xf>
    <xf numFmtId="0" fontId="34" fillId="17" borderId="0" xfId="0" applyFont="1" applyFill="1" applyAlignment="1">
      <alignment horizontal="center" vertical="center"/>
    </xf>
    <xf numFmtId="0" fontId="36" fillId="27" borderId="0" xfId="0" applyFont="1" applyFill="1" applyAlignment="1">
      <alignment horizontal="left" vertical="center"/>
    </xf>
    <xf numFmtId="0" fontId="37" fillId="10" borderId="0" xfId="0" applyFont="1" applyFill="1">
      <alignment vertical="center"/>
    </xf>
    <xf numFmtId="0" fontId="35" fillId="28" borderId="0" xfId="0" applyFont="1" applyFill="1">
      <alignment vertical="center"/>
    </xf>
    <xf numFmtId="0" fontId="38" fillId="10" borderId="0" xfId="0" applyFont="1" applyFill="1">
      <alignment vertical="center"/>
    </xf>
    <xf numFmtId="0" fontId="14" fillId="9" borderId="14" xfId="0" applyFont="1" applyFill="1" applyBorder="1" applyAlignment="1">
      <alignment horizontal="center" vertical="center"/>
    </xf>
    <xf numFmtId="0" fontId="13" fillId="9" borderId="15" xfId="0" applyFont="1" applyFill="1" applyBorder="1" applyAlignment="1">
      <alignment horizontal="left" vertical="center"/>
    </xf>
    <xf numFmtId="0" fontId="16" fillId="9" borderId="0" xfId="0" applyFont="1" applyFill="1" applyAlignment="1">
      <alignment horizontal="center" vertical="center"/>
    </xf>
    <xf numFmtId="0" fontId="14" fillId="10" borderId="0" xfId="0" applyFont="1" applyFill="1">
      <alignment vertical="center"/>
    </xf>
    <xf numFmtId="0" fontId="41" fillId="10" borderId="25" xfId="0" applyFont="1" applyFill="1" applyBorder="1" applyAlignment="1">
      <alignment horizontal="left" vertical="center"/>
    </xf>
    <xf numFmtId="0" fontId="0" fillId="18" borderId="24" xfId="0" applyFill="1" applyBorder="1">
      <alignment vertical="center"/>
    </xf>
    <xf numFmtId="0" fontId="42" fillId="33" borderId="19" xfId="0" applyFont="1" applyFill="1" applyBorder="1" applyAlignment="1">
      <alignment horizontal="center" vertical="center"/>
    </xf>
    <xf numFmtId="0" fontId="43" fillId="33" borderId="19" xfId="0" applyFont="1" applyFill="1" applyBorder="1" applyAlignment="1">
      <alignment horizontal="center" vertical="center"/>
    </xf>
    <xf numFmtId="0" fontId="42" fillId="33" borderId="8" xfId="0" applyFont="1" applyFill="1" applyBorder="1" applyAlignment="1">
      <alignment horizontal="center" vertical="center"/>
    </xf>
    <xf numFmtId="0" fontId="43" fillId="33" borderId="0" xfId="0" applyFont="1" applyFill="1" applyAlignment="1">
      <alignment horizontal="center" vertical="center"/>
    </xf>
    <xf numFmtId="0" fontId="4" fillId="3" borderId="29" xfId="0" applyFont="1" applyFill="1" applyBorder="1">
      <alignment vertical="center"/>
    </xf>
    <xf numFmtId="0" fontId="23" fillId="7" borderId="0" xfId="0" applyFont="1" applyFill="1" applyAlignment="1">
      <alignment horizontal="center" vertical="center" wrapText="1"/>
    </xf>
    <xf numFmtId="0" fontId="0" fillId="7" borderId="20" xfId="0" applyFill="1" applyBorder="1" applyAlignment="1">
      <alignment vertical="center" wrapText="1"/>
    </xf>
    <xf numFmtId="0" fontId="25" fillId="21" borderId="23" xfId="0" applyFont="1" applyFill="1" applyBorder="1" applyAlignment="1">
      <alignment horizontal="left" vertical="top" wrapText="1"/>
    </xf>
    <xf numFmtId="0" fontId="24" fillId="20" borderId="25" xfId="0" applyFont="1" applyFill="1" applyBorder="1" applyAlignment="1">
      <alignment horizontal="left" vertical="top" wrapText="1"/>
    </xf>
    <xf numFmtId="0" fontId="25" fillId="20" borderId="25" xfId="0" applyFont="1" applyFill="1" applyBorder="1" applyAlignment="1">
      <alignment horizontal="left" vertical="top" wrapText="1"/>
    </xf>
    <xf numFmtId="0" fontId="26" fillId="22" borderId="26" xfId="0" applyFont="1" applyFill="1" applyBorder="1" applyAlignment="1">
      <alignment horizontal="left" vertical="top" wrapText="1"/>
    </xf>
    <xf numFmtId="0" fontId="14" fillId="5" borderId="0" xfId="0" applyFont="1" applyFill="1" applyAlignment="1">
      <alignment horizontal="center" vertical="center"/>
    </xf>
    <xf numFmtId="0" fontId="22" fillId="17" borderId="18" xfId="0" applyFont="1" applyFill="1" applyBorder="1" applyAlignment="1">
      <alignment horizontal="center" vertical="center"/>
    </xf>
    <xf numFmtId="0" fontId="28" fillId="8" borderId="18" xfId="0" applyFont="1" applyFill="1" applyBorder="1" applyAlignment="1">
      <alignment horizontal="center" vertical="center"/>
    </xf>
    <xf numFmtId="0" fontId="13" fillId="18" borderId="30" xfId="0" applyFont="1" applyFill="1" applyBorder="1" applyAlignment="1">
      <alignment horizontal="center" vertical="center"/>
    </xf>
    <xf numFmtId="0" fontId="0" fillId="18" borderId="30" xfId="0" applyFill="1" applyBorder="1" applyAlignment="1">
      <alignment horizontal="center" vertical="center"/>
    </xf>
    <xf numFmtId="0" fontId="13" fillId="9" borderId="30" xfId="0" applyFont="1" applyFill="1" applyBorder="1" applyAlignment="1">
      <alignment horizontal="center" vertical="center"/>
    </xf>
    <xf numFmtId="0" fontId="0" fillId="9" borderId="30" xfId="0" applyFill="1" applyBorder="1" applyAlignment="1">
      <alignment horizontal="center" vertical="center"/>
    </xf>
    <xf numFmtId="0" fontId="13" fillId="5" borderId="30" xfId="0" applyFont="1" applyFill="1" applyBorder="1" applyAlignment="1">
      <alignment horizontal="center" vertical="center"/>
    </xf>
    <xf numFmtId="0" fontId="0" fillId="5" borderId="30" xfId="0" applyFill="1" applyBorder="1" applyAlignment="1">
      <alignment horizontal="center" vertical="center"/>
    </xf>
    <xf numFmtId="0" fontId="13" fillId="29" borderId="30" xfId="0" applyFont="1" applyFill="1" applyBorder="1" applyAlignment="1">
      <alignment horizontal="center" vertical="center"/>
    </xf>
    <xf numFmtId="0" fontId="0" fillId="29" borderId="30" xfId="0" applyFill="1" applyBorder="1" applyAlignment="1">
      <alignment horizontal="center" vertical="center"/>
    </xf>
    <xf numFmtId="0" fontId="13" fillId="11" borderId="31" xfId="0" applyFont="1" applyFill="1" applyBorder="1" applyAlignment="1">
      <alignment horizontal="center" vertical="center"/>
    </xf>
    <xf numFmtId="0" fontId="0" fillId="11" borderId="31" xfId="0" applyFill="1" applyBorder="1" applyAlignment="1">
      <alignment horizontal="center" vertical="center"/>
    </xf>
    <xf numFmtId="0" fontId="13" fillId="32" borderId="32" xfId="0" applyFont="1" applyFill="1" applyBorder="1" applyAlignment="1">
      <alignment horizontal="center" vertical="center"/>
    </xf>
    <xf numFmtId="0" fontId="13" fillId="8" borderId="33" xfId="0" applyFont="1" applyFill="1" applyBorder="1" applyAlignment="1">
      <alignment horizontal="center" vertical="center"/>
    </xf>
    <xf numFmtId="0" fontId="13" fillId="8" borderId="34" xfId="0" applyFont="1" applyFill="1" applyBorder="1" applyAlignment="1">
      <alignment horizontal="center" vertical="center"/>
    </xf>
    <xf numFmtId="0" fontId="13" fillId="10" borderId="24" xfId="0" applyFont="1" applyFill="1" applyBorder="1" applyAlignment="1">
      <alignment horizontal="center" vertical="center"/>
    </xf>
    <xf numFmtId="0" fontId="44" fillId="24" borderId="21" xfId="0" applyFont="1" applyFill="1" applyBorder="1" applyAlignment="1">
      <alignment horizontal="center" vertical="center" wrapText="1"/>
    </xf>
    <xf numFmtId="0" fontId="25" fillId="30" borderId="22" xfId="0" applyFont="1" applyFill="1" applyBorder="1" applyAlignment="1">
      <alignment horizontal="center" vertical="center" wrapText="1"/>
    </xf>
    <xf numFmtId="0" fontId="25" fillId="31" borderId="17" xfId="0" applyFont="1" applyFill="1" applyBorder="1" applyAlignment="1">
      <alignment horizontal="center" vertical="center" wrapText="1"/>
    </xf>
    <xf numFmtId="0" fontId="45" fillId="19" borderId="35" xfId="0" applyFont="1" applyFill="1" applyBorder="1" applyAlignment="1">
      <alignment horizontal="center" vertical="center" wrapText="1"/>
    </xf>
    <xf numFmtId="0" fontId="25" fillId="22" borderId="0" xfId="0" applyFont="1" applyFill="1" applyAlignment="1">
      <alignment horizontal="left" vertical="top" wrapText="1"/>
    </xf>
    <xf numFmtId="0" fontId="25" fillId="22" borderId="27" xfId="0" applyFont="1" applyFill="1" applyBorder="1" applyAlignment="1">
      <alignment horizontal="left" vertical="top" wrapText="1"/>
    </xf>
    <xf numFmtId="0" fontId="26" fillId="10" borderId="0" xfId="0" applyFont="1" applyFill="1" applyAlignment="1">
      <alignment horizontal="left" vertical="top" wrapText="1"/>
    </xf>
    <xf numFmtId="0" fontId="25" fillId="10" borderId="28" xfId="0" applyFont="1" applyFill="1" applyBorder="1" applyAlignment="1">
      <alignment horizontal="left" vertical="top" wrapText="1"/>
    </xf>
    <xf numFmtId="0" fontId="46" fillId="10" borderId="25" xfId="0" applyFont="1" applyFill="1" applyBorder="1">
      <alignment vertical="center"/>
    </xf>
    <xf numFmtId="0" fontId="47" fillId="10" borderId="27" xfId="0" applyFont="1" applyFill="1" applyBorder="1" applyAlignment="1">
      <alignment horizontal="left" vertical="center"/>
    </xf>
    <xf numFmtId="0" fontId="46" fillId="10" borderId="0" xfId="0" applyFont="1" applyFill="1">
      <alignment vertical="center"/>
    </xf>
    <xf numFmtId="0" fontId="0" fillId="24" borderId="21" xfId="0" applyFill="1" applyBorder="1" applyAlignment="1">
      <alignment vertical="center" wrapText="1"/>
    </xf>
    <xf numFmtId="0" fontId="0" fillId="30" borderId="22" xfId="0" applyFill="1" applyBorder="1" applyAlignment="1">
      <alignment vertical="center" wrapText="1"/>
    </xf>
    <xf numFmtId="0" fontId="0" fillId="31" borderId="17" xfId="0" applyFill="1" applyBorder="1" applyAlignment="1">
      <alignment vertical="center" wrapText="1"/>
    </xf>
    <xf numFmtId="0" fontId="0" fillId="19" borderId="35" xfId="0" applyFill="1" applyBorder="1" applyAlignment="1">
      <alignment vertical="center" wrapText="1"/>
    </xf>
    <xf numFmtId="0" fontId="14" fillId="18" borderId="0" xfId="0" applyFont="1" applyFill="1" applyAlignment="1">
      <alignment horizontal="center" vertical="center"/>
    </xf>
    <xf numFmtId="0" fontId="48" fillId="9" borderId="0" xfId="0" applyFont="1" applyFill="1" applyAlignment="1">
      <alignment horizontal="center" vertical="center"/>
    </xf>
    <xf numFmtId="0" fontId="51" fillId="17" borderId="18" xfId="0" applyFont="1" applyFill="1" applyBorder="1" applyAlignment="1">
      <alignment horizontal="center" vertical="center"/>
    </xf>
    <xf numFmtId="0" fontId="52" fillId="17" borderId="0" xfId="0" applyFont="1" applyFill="1" applyAlignment="1">
      <alignment horizontal="center" vertical="center"/>
    </xf>
    <xf numFmtId="0" fontId="15" fillId="11" borderId="0" xfId="0" applyFont="1" applyFill="1">
      <alignment vertical="center"/>
    </xf>
    <xf numFmtId="0" fontId="15" fillId="5" borderId="0" xfId="0" applyFont="1" applyFill="1">
      <alignment vertical="center"/>
    </xf>
    <xf numFmtId="0" fontId="15" fillId="34" borderId="0" xfId="0" applyFont="1" applyFill="1">
      <alignment vertical="center"/>
    </xf>
    <xf numFmtId="0" fontId="15" fillId="18" borderId="0" xfId="0" applyFont="1" applyFill="1">
      <alignment vertical="center"/>
    </xf>
    <xf numFmtId="0" fontId="53" fillId="10" borderId="0" xfId="0" applyFont="1" applyFill="1">
      <alignment vertical="center"/>
    </xf>
    <xf numFmtId="0" fontId="0" fillId="11" borderId="16" xfId="0" applyFill="1" applyBorder="1">
      <alignment vertical="center"/>
    </xf>
    <xf numFmtId="0" fontId="14" fillId="11" borderId="0" xfId="0" applyFont="1" applyFill="1" applyAlignment="1">
      <alignment horizontal="center" vertical="center"/>
    </xf>
    <xf numFmtId="0" fontId="13" fillId="11" borderId="36" xfId="0" applyFont="1" applyFill="1" applyBorder="1" applyAlignment="1">
      <alignment horizontal="left" vertical="center"/>
    </xf>
    <xf numFmtId="0" fontId="49" fillId="12" borderId="6" xfId="0" applyFont="1" applyFill="1" applyBorder="1">
      <alignment vertical="center"/>
    </xf>
    <xf numFmtId="0" fontId="38" fillId="10" borderId="0" xfId="0" applyFont="1" applyFill="1" applyAlignment="1">
      <alignment horizontal="right" vertical="center"/>
    </xf>
    <xf numFmtId="0" fontId="36" fillId="27" borderId="37" xfId="0" applyFont="1" applyFill="1" applyBorder="1" applyAlignment="1">
      <alignment horizontal="left" vertical="center"/>
    </xf>
    <xf numFmtId="0" fontId="13" fillId="9" borderId="0" xfId="0" applyFont="1" applyFill="1" applyAlignment="1">
      <alignment horizontal="center" vertical="center"/>
    </xf>
    <xf numFmtId="0" fontId="13" fillId="11" borderId="0" xfId="0" applyFont="1" applyFill="1" applyAlignment="1">
      <alignment horizontal="center" vertical="center"/>
    </xf>
    <xf numFmtId="0" fontId="54" fillId="24" borderId="0" xfId="0" applyFont="1" applyFill="1" applyAlignment="1">
      <alignment horizontal="center" vertical="center"/>
    </xf>
    <xf numFmtId="0" fontId="25" fillId="24" borderId="0" xfId="0" applyFont="1" applyFill="1" applyAlignment="1">
      <alignment horizontal="center" vertical="center"/>
    </xf>
    <xf numFmtId="0" fontId="55" fillId="19" borderId="0" xfId="0" applyFont="1" applyFill="1" applyAlignment="1">
      <alignment horizontal="left" vertical="center"/>
    </xf>
    <xf numFmtId="0" fontId="44" fillId="30" borderId="0" xfId="0" applyFont="1" applyFill="1" applyAlignment="1">
      <alignment horizontal="center" vertical="center"/>
    </xf>
    <xf numFmtId="0" fontId="0" fillId="0" borderId="0" xfId="0" applyAlignment="1">
      <alignment horizontal="left" vertical="center" indent="3"/>
    </xf>
    <xf numFmtId="0" fontId="0" fillId="0" borderId="0" xfId="0" applyAlignment="1">
      <alignment horizontal="left" vertical="center" indent="4"/>
    </xf>
    <xf numFmtId="0" fontId="28" fillId="5" borderId="0" xfId="0" applyFont="1" applyFill="1" applyAlignment="1">
      <alignment horizontal="left" vertical="center"/>
    </xf>
    <xf numFmtId="0" fontId="28" fillId="11" borderId="0" xfId="0" applyFont="1" applyFill="1" applyAlignment="1">
      <alignment horizontal="left" vertical="center"/>
    </xf>
    <xf numFmtId="0" fontId="56" fillId="19" borderId="0" xfId="0" applyFont="1" applyFill="1" applyAlignment="1">
      <alignment horizontal="center" vertical="center"/>
    </xf>
    <xf numFmtId="0" fontId="13" fillId="5" borderId="17" xfId="0" applyFont="1" applyFill="1" applyBorder="1" applyAlignment="1">
      <alignment horizontal="center" vertical="center"/>
    </xf>
    <xf numFmtId="0" fontId="25" fillId="30" borderId="17" xfId="0" applyFont="1" applyFill="1" applyBorder="1" applyAlignment="1">
      <alignment horizontal="left" vertical="center"/>
    </xf>
    <xf numFmtId="0" fontId="52" fillId="0" borderId="0" xfId="0" applyFont="1" applyAlignment="1">
      <alignment horizontal="center" vertical="center"/>
    </xf>
    <xf numFmtId="0" fontId="51" fillId="0" borderId="0" xfId="0" applyFont="1" applyAlignment="1">
      <alignment horizontal="center" vertical="center"/>
    </xf>
    <xf numFmtId="0" fontId="31" fillId="0" borderId="0" xfId="0" applyFont="1" applyAlignment="1">
      <alignment horizontal="left" vertical="center"/>
    </xf>
    <xf numFmtId="0" fontId="50" fillId="0" borderId="0" xfId="0" applyFont="1" applyAlignment="1">
      <alignment horizontal="center" vertical="center"/>
    </xf>
    <xf numFmtId="0" fontId="22" fillId="0" borderId="0" xfId="0" applyFont="1" applyAlignment="1">
      <alignment horizontal="center" vertical="center"/>
    </xf>
    <xf numFmtId="0" fontId="28" fillId="0" borderId="0" xfId="0" applyFont="1" applyAlignment="1">
      <alignment horizontal="center" vertical="center"/>
    </xf>
    <xf numFmtId="0" fontId="27" fillId="0" borderId="0" xfId="0" applyFont="1">
      <alignment vertical="center"/>
    </xf>
    <xf numFmtId="0" fontId="50" fillId="35" borderId="0" xfId="0" applyFont="1" applyFill="1" applyAlignment="1">
      <alignment horizontal="right" vertical="center" wrapText="1"/>
    </xf>
    <xf numFmtId="0" fontId="0" fillId="35" borderId="0" xfId="0" applyFill="1">
      <alignment vertical="center"/>
    </xf>
    <xf numFmtId="0" fontId="50" fillId="35" borderId="18" xfId="0" applyFont="1" applyFill="1" applyBorder="1" applyAlignment="1">
      <alignment horizontal="center" vertical="center" wrapText="1"/>
    </xf>
    <xf numFmtId="0" fontId="57" fillId="10" borderId="0" xfId="0" applyFont="1" applyFill="1">
      <alignment vertical="center"/>
    </xf>
    <xf numFmtId="0" fontId="25" fillId="10" borderId="0" xfId="0" applyFont="1" applyFill="1" applyAlignment="1">
      <alignment horizontal="left" vertical="top" wrapText="1"/>
    </xf>
    <xf numFmtId="0" fontId="25" fillId="30" borderId="0" xfId="0" applyFont="1" applyFill="1" applyAlignment="1">
      <alignment horizontal="left" vertical="center"/>
    </xf>
    <xf numFmtId="0" fontId="58" fillId="10" borderId="0" xfId="0" applyFont="1" applyFill="1">
      <alignment vertical="center"/>
    </xf>
    <xf numFmtId="0" fontId="13" fillId="5" borderId="0" xfId="0" applyFont="1" applyFill="1" applyAlignment="1">
      <alignment horizontal="center" vertical="center"/>
    </xf>
    <xf numFmtId="0" fontId="28" fillId="5" borderId="0" xfId="0" applyFont="1" applyFill="1">
      <alignment vertical="center"/>
    </xf>
    <xf numFmtId="0" fontId="59" fillId="0" borderId="0" xfId="0" applyFont="1">
      <alignment vertical="center"/>
    </xf>
    <xf numFmtId="0" fontId="14" fillId="36" borderId="0" xfId="0" applyFont="1" applyFill="1" applyAlignment="1">
      <alignment horizontal="center" vertical="center"/>
    </xf>
    <xf numFmtId="0" fontId="0" fillId="36" borderId="0" xfId="0" applyFill="1">
      <alignment vertical="center"/>
    </xf>
    <xf numFmtId="0" fontId="16" fillId="9" borderId="0" xfId="0" applyFont="1" applyFill="1" applyAlignment="1">
      <alignment horizontal="center" vertical="center"/>
    </xf>
    <xf numFmtId="0" fontId="16" fillId="10" borderId="0" xfId="0" applyFont="1" applyFill="1" applyAlignment="1">
      <alignment horizontal="center" vertical="center"/>
    </xf>
    <xf numFmtId="0" fontId="33" fillId="24" borderId="0" xfId="0" applyFont="1" applyFill="1" applyAlignment="1">
      <alignment horizontal="left" vertical="center" wrapText="1"/>
    </xf>
    <xf numFmtId="0" fontId="32" fillId="25" borderId="0" xfId="0" applyFont="1" applyFill="1" applyAlignment="1">
      <alignment horizontal="left" vertical="center" wrapText="1"/>
    </xf>
    <xf numFmtId="0" fontId="48" fillId="9" borderId="0" xfId="0" applyFont="1" applyFill="1" applyAlignment="1">
      <alignment horizontal="center" vertical="center"/>
    </xf>
  </cellXfs>
  <cellStyles count="3">
    <cellStyle name="표준" xfId="0" builtinId="0"/>
    <cellStyle name="표준 2" xfId="1" xr:uid="{14944415-E480-B34E-A6E1-C3E091B2B546}"/>
    <cellStyle name="표준 3" xfId="2" xr:uid="{91725288-D9DD-AB47-A1BF-DD8932763CEA}"/>
  </cellStyles>
  <dxfs count="26">
    <dxf>
      <font>
        <color rgb="FFFFFFFF"/>
      </font>
      <fill>
        <patternFill patternType="solid">
          <fgColor indexed="64"/>
          <bgColor rgb="FFFFFFFF"/>
        </patternFill>
      </fill>
    </dxf>
    <dxf>
      <font>
        <color rgb="FFCC0000"/>
      </font>
      <fill>
        <patternFill patternType="solid">
          <fgColor indexed="64"/>
          <bgColor rgb="FFFFB3B3"/>
        </patternFill>
      </fill>
    </dxf>
    <dxf>
      <font>
        <color rgb="FFCC0000"/>
      </font>
      <fill>
        <patternFill patternType="solid">
          <fgColor indexed="64"/>
          <bgColor rgb="FFFFB3B3"/>
        </patternFill>
      </fill>
    </dxf>
    <dxf>
      <font>
        <color rgb="FFFFFFFF"/>
      </font>
      <fill>
        <patternFill patternType="solid">
          <fgColor indexed="64"/>
          <bgColor rgb="FFFFFFFF"/>
        </patternFill>
      </fill>
    </dxf>
    <dxf>
      <font>
        <b val="0"/>
      </font>
    </dxf>
    <dxf>
      <font>
        <b/>
        <i val="0"/>
        <strike val="0"/>
        <condense val="0"/>
        <extend val="0"/>
        <outline val="0"/>
        <shadow val="0"/>
        <u val="none"/>
        <vertAlign val="baseline"/>
        <sz val="12"/>
        <color theme="1"/>
        <name val="맑은 고딕"/>
        <family val="2"/>
        <charset val="129"/>
        <scheme val="minor"/>
      </font>
      <numFmt numFmtId="14" formatCode="0.00%"/>
    </dxf>
    <dxf>
      <font>
        <b/>
        <i val="0"/>
        <strike val="0"/>
        <condense val="0"/>
        <extend val="0"/>
        <outline val="0"/>
        <shadow val="0"/>
        <u val="none"/>
        <vertAlign val="baseline"/>
        <sz val="12"/>
        <color theme="1"/>
        <name val="맑은 고딕"/>
        <family val="2"/>
        <charset val="129"/>
        <scheme val="minor"/>
      </font>
      <numFmt numFmtId="0" formatCode="General"/>
    </dxf>
    <dxf>
      <font>
        <b/>
        <i val="0"/>
        <strike val="0"/>
        <condense val="0"/>
        <extend val="0"/>
        <outline val="0"/>
        <shadow val="0"/>
        <u val="none"/>
        <vertAlign val="baseline"/>
        <sz val="12"/>
        <color theme="1"/>
        <name val="맑은 고딕"/>
        <family val="2"/>
        <charset val="129"/>
        <scheme val="minor"/>
      </font>
      <alignment horizontal="left" vertical="center" textRotation="0" wrapText="0" indent="1" justifyLastLine="0" shrinkToFit="0" readingOrder="0"/>
    </dxf>
    <dxf>
      <font>
        <b/>
        <i val="0"/>
        <strike val="0"/>
        <condense val="0"/>
        <extend val="0"/>
        <outline val="0"/>
        <shadow val="0"/>
        <u val="none"/>
        <vertAlign val="baseline"/>
        <sz val="12"/>
        <color theme="1"/>
        <name val="맑은 고딕"/>
        <family val="2"/>
        <charset val="129"/>
        <scheme val="minor"/>
      </font>
      <fill>
        <patternFill patternType="solid">
          <fgColor theme="4" tint="0.79998168889431442"/>
          <bgColor theme="4" tint="0.79998168889431442"/>
        </patternFill>
      </fill>
      <alignment horizontal="left" vertical="center" textRotation="0" wrapText="0" indent="0" justifyLastLine="0" shrinkToFit="0" readingOrder="0"/>
    </dxf>
    <dxf>
      <font>
        <b/>
        <i val="0"/>
        <strike val="0"/>
        <condense val="0"/>
        <extend val="0"/>
        <outline val="0"/>
        <shadow val="0"/>
        <u val="none"/>
        <vertAlign val="baseline"/>
        <sz val="12"/>
        <color theme="0"/>
        <name val="맑은 고딕"/>
        <family val="2"/>
        <charset val="129"/>
        <scheme val="minor"/>
      </font>
      <fill>
        <patternFill patternType="solid">
          <fgColor theme="4"/>
          <bgColor theme="4"/>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numFmt numFmtId="14" formatCode="0.00%"/>
    </dxf>
    <dxf>
      <numFmt numFmtId="0" formatCode="General"/>
    </dxf>
    <dxf>
      <font>
        <b/>
        <i val="0"/>
        <strike val="0"/>
        <condense val="0"/>
        <extend val="0"/>
        <outline val="0"/>
        <shadow val="0"/>
        <u val="none"/>
        <vertAlign val="baseline"/>
        <sz val="12"/>
        <color theme="1"/>
        <name val="맑은 고딕"/>
        <family val="2"/>
        <charset val="129"/>
        <scheme val="minor"/>
      </font>
      <fill>
        <patternFill patternType="solid">
          <fgColor theme="4" tint="0.79998168889431442"/>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altLang="en-US" sz="1000" b="1" i="0" u="none" strike="noStrike" kern="1200" spc="0" baseline="0">
                <a:solidFill>
                  <a:srgbClr val="7B0000"/>
                </a:solidFill>
                <a:latin typeface="+mn-lt"/>
                <a:ea typeface="+mn-ea"/>
                <a:cs typeface="+mn-cs"/>
              </a:defRPr>
            </a:pPr>
            <a:r>
              <a:rPr lang="ko-KR" altLang="en-US"/>
              <a:t>공정 고위험 기인물 순위</a:t>
            </a:r>
            <a:endParaRPr lang="ko-KR"/>
          </a:p>
        </c:rich>
      </c:tx>
      <c:overlay val="0"/>
      <c:spPr>
        <a:noFill/>
        <a:ln>
          <a:noFill/>
        </a:ln>
        <a:effectLst/>
      </c:spPr>
      <c:txPr>
        <a:bodyPr rot="0" spcFirstLastPara="1" vertOverflow="ellipsis" vert="horz" wrap="square" anchor="ctr" anchorCtr="1"/>
        <a:lstStyle/>
        <a:p>
          <a:pPr>
            <a:defRPr altLang="en-US" sz="1000" b="1" i="0" u="none" strike="noStrike" kern="1200" spc="0" baseline="0">
              <a:solidFill>
                <a:srgbClr val="7B0000"/>
              </a:solidFill>
              <a:latin typeface="+mn-lt"/>
              <a:ea typeface="+mn-ea"/>
              <a:cs typeface="+mn-cs"/>
            </a:defRPr>
          </a:pPr>
          <a:endParaRPr lang="ko-KR"/>
        </a:p>
      </c:txPr>
    </c:title>
    <c:autoTitleDeleted val="0"/>
    <c:plotArea>
      <c:layout/>
      <c:barChart>
        <c:barDir val="col"/>
        <c:grouping val="clustered"/>
        <c:varyColors val="0"/>
        <c:ser>
          <c:idx val="0"/>
          <c:order val="0"/>
          <c:tx>
            <c:v>재해건수</c:v>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7B0000"/>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③공정조회!$X$14:$X$22</c:f>
              <c:strCache>
                <c:ptCount val="9"/>
                <c:pt idx="0">
                  <c:v>토사</c:v>
                </c:pt>
                <c:pt idx="1">
                  <c:v>굴착기</c:v>
                </c:pt>
                <c:pt idx="2">
                  <c:v>트럭</c:v>
                </c:pt>
                <c:pt idx="3">
                  <c:v>기타구조물</c:v>
                </c:pt>
                <c:pt idx="4">
                  <c:v>물</c:v>
                </c:pt>
                <c:pt idx="5">
                  <c:v>배관</c:v>
                </c:pt>
                <c:pt idx="6">
                  <c:v>화학물질</c:v>
                </c:pt>
                <c:pt idx="7">
                  <c:v>기타자재(내부마감재,시멘트,마대)</c:v>
                </c:pt>
                <c:pt idx="8">
                  <c:v>벽체</c:v>
                </c:pt>
              </c:strCache>
            </c:strRef>
          </c:cat>
          <c:val>
            <c:numRef>
              <c:f>③공정조회!$Y$14:$Y$22</c:f>
              <c:numCache>
                <c:formatCode>General</c:formatCode>
                <c:ptCount val="9"/>
                <c:pt idx="0">
                  <c:v>47</c:v>
                </c:pt>
                <c:pt idx="1">
                  <c:v>31</c:v>
                </c:pt>
                <c:pt idx="2">
                  <c:v>11</c:v>
                </c:pt>
                <c:pt idx="3">
                  <c:v>7</c:v>
                </c:pt>
                <c:pt idx="4">
                  <c:v>6</c:v>
                </c:pt>
                <c:pt idx="5">
                  <c:v>6</c:v>
                </c:pt>
                <c:pt idx="6">
                  <c:v>6</c:v>
                </c:pt>
                <c:pt idx="7">
                  <c:v>4</c:v>
                </c:pt>
                <c:pt idx="8">
                  <c:v>4</c:v>
                </c:pt>
              </c:numCache>
            </c:numRef>
          </c:val>
          <c:extLst>
            <c:ext xmlns:c16="http://schemas.microsoft.com/office/drawing/2014/chart" uri="{C3380CC4-5D6E-409C-BE32-E72D297353CC}">
              <c16:uniqueId val="{00000000-0A17-F043-95F8-44998ABDBCE2}"/>
            </c:ext>
          </c:extLst>
        </c:ser>
        <c:dLbls>
          <c:showLegendKey val="0"/>
          <c:showVal val="0"/>
          <c:showCatName val="0"/>
          <c:showSerName val="0"/>
          <c:showPercent val="0"/>
          <c:showBubbleSize val="0"/>
        </c:dLbls>
        <c:gapWidth val="219"/>
        <c:overlap val="-27"/>
        <c:axId val="1128341823"/>
        <c:axId val="1128351039"/>
      </c:barChart>
      <c:catAx>
        <c:axId val="112834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ko-KR"/>
          </a:p>
        </c:txPr>
        <c:crossAx val="1128351039"/>
        <c:crosses val="autoZero"/>
        <c:auto val="1"/>
        <c:lblAlgn val="ctr"/>
        <c:lblOffset val="100"/>
        <c:tickLblSkip val="1"/>
        <c:noMultiLvlLbl val="0"/>
      </c:catAx>
      <c:valAx>
        <c:axId val="112835103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28341823"/>
        <c:crosses val="autoZero"/>
        <c:crossBetween val="between"/>
      </c:valAx>
      <c:spPr>
        <a:solidFill>
          <a:srgbClr val="FFFAFA"/>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8F8"/>
    </a:solidFill>
    <a:ln w="25400" cap="flat" cmpd="sng" algn="ctr">
      <a:noFill/>
      <a:round/>
    </a:ln>
    <a:effectLst/>
  </c:spPr>
  <c:txPr>
    <a:bodyPr/>
    <a:lstStyle/>
    <a:p>
      <a:pPr>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altLang="ko-KR" sz="1100" b="1" i="0" u="none" strike="noStrike" kern="1200" spc="0" baseline="0">
                <a:solidFill>
                  <a:srgbClr val="1F3864"/>
                </a:solidFill>
                <a:latin typeface="+mn-lt"/>
                <a:ea typeface="+mn-ea"/>
                <a:cs typeface="+mn-cs"/>
              </a:defRPr>
            </a:pPr>
            <a:r>
              <a:rPr lang="ko-KR" altLang="en-US"/>
              <a:t>공정별 </a:t>
            </a:r>
            <a:r>
              <a:rPr lang="ko-KR"/>
              <a:t> 재해건수</a:t>
            </a:r>
          </a:p>
        </c:rich>
      </c:tx>
      <c:overlay val="0"/>
      <c:spPr>
        <a:noFill/>
        <a:ln>
          <a:noFill/>
        </a:ln>
        <a:effectLst/>
      </c:spPr>
      <c:txPr>
        <a:bodyPr rot="0" spcFirstLastPara="1" vertOverflow="ellipsis" vert="horz" wrap="square" anchor="ctr" anchorCtr="1"/>
        <a:lstStyle/>
        <a:p>
          <a:pPr>
            <a:defRPr altLang="ko-KR" sz="1100" b="1" i="0" u="none" strike="noStrike" kern="1200" spc="0" baseline="0">
              <a:solidFill>
                <a:srgbClr val="1F3864"/>
              </a:solidFill>
              <a:latin typeface="+mn-lt"/>
              <a:ea typeface="+mn-ea"/>
              <a:cs typeface="+mn-cs"/>
            </a:defRPr>
          </a:pPr>
          <a:endParaRPr lang="ko-KR"/>
        </a:p>
      </c:txPr>
    </c:title>
    <c:autoTitleDeleted val="0"/>
    <c:plotArea>
      <c:layout/>
      <c:barChart>
        <c:barDir val="col"/>
        <c:grouping val="clustered"/>
        <c:varyColors val="0"/>
        <c:ser>
          <c:idx val="0"/>
          <c:order val="0"/>
          <c:tx>
            <c:v>재해건수</c:v>
          </c:tx>
          <c:spPr>
            <a:solidFill>
              <a:srgbClr val="2E5FA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1F3864"/>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③기인물조회!$AB$17:$AB$25</c:f>
              <c:strCache>
                <c:ptCount val="9"/>
                <c:pt idx="0">
                  <c:v>3.1 철골 작업</c:v>
                </c:pt>
                <c:pt idx="1">
                  <c:v>4.8 판넬 등 외부마감 작업</c:v>
                </c:pt>
                <c:pt idx="2">
                  <c:v>12.1 철거, 해체</c:v>
                </c:pt>
                <c:pt idx="3">
                  <c:v>2.4 콘크리트 작업</c:v>
                </c:pt>
                <c:pt idx="4">
                  <c:v>4.5 금속 및 잡철물 작업</c:v>
                </c:pt>
                <c:pt idx="5">
                  <c:v>12.7 기타(작업환경, 청소 등)</c:v>
                </c:pt>
                <c:pt idx="6">
                  <c:v>4.4 도장작업</c:v>
                </c:pt>
                <c:pt idx="7">
                  <c:v>5.2 기계설비 작업</c:v>
                </c:pt>
                <c:pt idx="8">
                  <c:v>2.1 거푸집 작업</c:v>
                </c:pt>
              </c:strCache>
            </c:strRef>
          </c:cat>
          <c:val>
            <c:numRef>
              <c:f>③기인물조회!$AC$17:$AC$25</c:f>
              <c:numCache>
                <c:formatCode>General</c:formatCode>
                <c:ptCount val="9"/>
                <c:pt idx="0">
                  <c:v>78</c:v>
                </c:pt>
                <c:pt idx="1">
                  <c:v>9</c:v>
                </c:pt>
                <c:pt idx="2">
                  <c:v>8</c:v>
                </c:pt>
                <c:pt idx="3">
                  <c:v>7</c:v>
                </c:pt>
                <c:pt idx="4">
                  <c:v>6</c:v>
                </c:pt>
                <c:pt idx="5">
                  <c:v>2</c:v>
                </c:pt>
                <c:pt idx="6">
                  <c:v>2</c:v>
                </c:pt>
                <c:pt idx="7">
                  <c:v>2</c:v>
                </c:pt>
                <c:pt idx="8">
                  <c:v>1</c:v>
                </c:pt>
              </c:numCache>
            </c:numRef>
          </c:val>
          <c:extLst>
            <c:ext xmlns:c16="http://schemas.microsoft.com/office/drawing/2014/chart" uri="{C3380CC4-5D6E-409C-BE32-E72D297353CC}">
              <c16:uniqueId val="{00000000-6370-414F-95E6-21C8BBFCAE6D}"/>
            </c:ext>
          </c:extLst>
        </c:ser>
        <c:dLbls>
          <c:showLegendKey val="0"/>
          <c:showVal val="0"/>
          <c:showCatName val="0"/>
          <c:showSerName val="0"/>
          <c:showPercent val="0"/>
          <c:showBubbleSize val="0"/>
        </c:dLbls>
        <c:gapWidth val="219"/>
        <c:overlap val="-27"/>
        <c:axId val="1568888960"/>
        <c:axId val="1568892992"/>
      </c:barChart>
      <c:catAx>
        <c:axId val="156888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ko-KR"/>
          </a:p>
        </c:txPr>
        <c:crossAx val="1568892992"/>
        <c:crosses val="autoZero"/>
        <c:auto val="1"/>
        <c:lblAlgn val="ctr"/>
        <c:lblOffset val="100"/>
        <c:noMultiLvlLbl val="0"/>
      </c:catAx>
      <c:valAx>
        <c:axId val="156889299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ko-KR"/>
          </a:p>
        </c:txPr>
        <c:crossAx val="1568888960"/>
        <c:crosses val="autoZero"/>
        <c:crossBetween val="between"/>
      </c:valAx>
      <c:spPr>
        <a:solidFill>
          <a:srgbClr val="F8F8F8"/>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altLang="ko-KR" sz="1100" b="1" i="0" u="none" strike="noStrike" kern="1200" spc="0" baseline="0">
                <a:solidFill>
                  <a:srgbClr val="C00000"/>
                </a:solidFill>
                <a:latin typeface="+mn-lt"/>
                <a:ea typeface="+mn-ea"/>
                <a:cs typeface="+mn-cs"/>
              </a:defRPr>
            </a:pPr>
            <a:r>
              <a:rPr lang="en-US"/>
              <a:t> </a:t>
            </a:r>
            <a:r>
              <a:rPr lang="ko-KR"/>
              <a:t>재해형태별 재해건수</a:t>
            </a:r>
          </a:p>
        </c:rich>
      </c:tx>
      <c:overlay val="0"/>
      <c:spPr>
        <a:noFill/>
        <a:ln>
          <a:noFill/>
        </a:ln>
        <a:effectLst/>
      </c:spPr>
      <c:txPr>
        <a:bodyPr rot="0" spcFirstLastPara="1" vertOverflow="ellipsis" vert="horz" wrap="square" anchor="ctr" anchorCtr="1"/>
        <a:lstStyle/>
        <a:p>
          <a:pPr>
            <a:defRPr altLang="ko-KR" sz="1100" b="1" i="0" u="none" strike="noStrike" kern="1200" spc="0" baseline="0">
              <a:solidFill>
                <a:srgbClr val="C00000"/>
              </a:solidFill>
              <a:latin typeface="+mn-lt"/>
              <a:ea typeface="+mn-ea"/>
              <a:cs typeface="+mn-cs"/>
            </a:defRPr>
          </a:pPr>
          <a:endParaRPr lang="ko-KR"/>
        </a:p>
      </c:txPr>
    </c:title>
    <c:autoTitleDeleted val="0"/>
    <c:plotArea>
      <c:layout/>
      <c:barChart>
        <c:barDir val="col"/>
        <c:grouping val="clustered"/>
        <c:varyColors val="0"/>
        <c:ser>
          <c:idx val="0"/>
          <c:order val="0"/>
          <c:tx>
            <c:v>재해건수</c:v>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C00000"/>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③기인물조회!$AE$17:$AE$25</c:f>
              <c:strCache>
                <c:ptCount val="8"/>
                <c:pt idx="0">
                  <c:v>떨어짐</c:v>
                </c:pt>
                <c:pt idx="1">
                  <c:v>무너짐</c:v>
                </c:pt>
                <c:pt idx="2">
                  <c:v>깔림 뒤집힘</c:v>
                </c:pt>
                <c:pt idx="3">
                  <c:v>끼임</c:v>
                </c:pt>
                <c:pt idx="4">
                  <c:v>맞음</c:v>
                </c:pt>
                <c:pt idx="5">
                  <c:v>넘어짐</c:v>
                </c:pt>
                <c:pt idx="6">
                  <c:v>맞음(낙하물체)</c:v>
                </c:pt>
                <c:pt idx="7">
                  <c:v>부딪힘 접촉</c:v>
                </c:pt>
              </c:strCache>
            </c:strRef>
          </c:cat>
          <c:val>
            <c:numRef>
              <c:f>③기인물조회!$AF$17:$AF$25</c:f>
              <c:numCache>
                <c:formatCode>General</c:formatCode>
                <c:ptCount val="9"/>
                <c:pt idx="0">
                  <c:v>103</c:v>
                </c:pt>
                <c:pt idx="1">
                  <c:v>7</c:v>
                </c:pt>
                <c:pt idx="2">
                  <c:v>2</c:v>
                </c:pt>
                <c:pt idx="3">
                  <c:v>2</c:v>
                </c:pt>
                <c:pt idx="4">
                  <c:v>1</c:v>
                </c:pt>
                <c:pt idx="5">
                  <c:v>1</c:v>
                </c:pt>
                <c:pt idx="6">
                  <c:v>1</c:v>
                </c:pt>
                <c:pt idx="7">
                  <c:v>1</c:v>
                </c:pt>
                <c:pt idx="8">
                  <c:v>0</c:v>
                </c:pt>
              </c:numCache>
            </c:numRef>
          </c:val>
          <c:extLst>
            <c:ext xmlns:c16="http://schemas.microsoft.com/office/drawing/2014/chart" uri="{C3380CC4-5D6E-409C-BE32-E72D297353CC}">
              <c16:uniqueId val="{00000000-0B7B-3E4B-9479-3EC88BD349AC}"/>
            </c:ext>
          </c:extLst>
        </c:ser>
        <c:dLbls>
          <c:showLegendKey val="0"/>
          <c:showVal val="0"/>
          <c:showCatName val="0"/>
          <c:showSerName val="0"/>
          <c:showPercent val="0"/>
          <c:showBubbleSize val="0"/>
        </c:dLbls>
        <c:gapWidth val="219"/>
        <c:overlap val="-27"/>
        <c:axId val="1704115072"/>
        <c:axId val="1704111040"/>
      </c:barChart>
      <c:catAx>
        <c:axId val="170411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ko-KR"/>
          </a:p>
        </c:txPr>
        <c:crossAx val="1704111040"/>
        <c:crosses val="autoZero"/>
        <c:auto val="1"/>
        <c:lblAlgn val="ctr"/>
        <c:lblOffset val="100"/>
        <c:noMultiLvlLbl val="0"/>
      </c:catAx>
      <c:valAx>
        <c:axId val="170411104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ko-KR"/>
          </a:p>
        </c:txPr>
        <c:crossAx val="1704115072"/>
        <c:crosses val="autoZero"/>
        <c:crossBetween val="between"/>
      </c:valAx>
      <c:spPr>
        <a:solidFill>
          <a:srgbClr val="FFF8F8"/>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14</xdr:col>
      <xdr:colOff>103716</xdr:colOff>
      <xdr:row>0</xdr:row>
      <xdr:rowOff>152400</xdr:rowOff>
    </xdr:from>
    <xdr:to>
      <xdr:col>24</xdr:col>
      <xdr:colOff>575732</xdr:colOff>
      <xdr:row>7</xdr:row>
      <xdr:rowOff>270933</xdr:rowOff>
    </xdr:to>
    <xdr:graphicFrame macro="">
      <xdr:nvGraphicFramePr>
        <xdr:cNvPr id="14" name="차트 13">
          <a:extLst>
            <a:ext uri="{FF2B5EF4-FFF2-40B4-BE49-F238E27FC236}">
              <a16:creationId xmlns:a16="http://schemas.microsoft.com/office/drawing/2014/main" id="{16AC022A-DF10-B45D-6B8C-A39C159376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69085</xdr:colOff>
      <xdr:row>9</xdr:row>
      <xdr:rowOff>360150</xdr:rowOff>
    </xdr:from>
    <xdr:to>
      <xdr:col>14</xdr:col>
      <xdr:colOff>2519059</xdr:colOff>
      <xdr:row>12</xdr:row>
      <xdr:rowOff>777164</xdr:rowOff>
    </xdr:to>
    <xdr:graphicFrame macro="">
      <xdr:nvGraphicFramePr>
        <xdr:cNvPr id="2" name="작업명별_재해건수">
          <a:extLst>
            <a:ext uri="{FF2B5EF4-FFF2-40B4-BE49-F238E27FC236}">
              <a16:creationId xmlns:a16="http://schemas.microsoft.com/office/drawing/2014/main" id="{A1660860-B67D-965C-27C9-E9951A3B9D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114172</xdr:colOff>
      <xdr:row>9</xdr:row>
      <xdr:rowOff>326648</xdr:rowOff>
    </xdr:from>
    <xdr:to>
      <xdr:col>9</xdr:col>
      <xdr:colOff>985672</xdr:colOff>
      <xdr:row>12</xdr:row>
      <xdr:rowOff>777165</xdr:rowOff>
    </xdr:to>
    <xdr:graphicFrame macro="">
      <xdr:nvGraphicFramePr>
        <xdr:cNvPr id="3" name="재해형태별_건수">
          <a:extLst>
            <a:ext uri="{FF2B5EF4-FFF2-40B4-BE49-F238E27FC236}">
              <a16:creationId xmlns:a16="http://schemas.microsoft.com/office/drawing/2014/main" id="{09AD1397-609D-62FC-0F16-1BA196F5BD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김지환" refreshedDate="46083.950958333335" createdVersion="8" refreshedVersion="8" minRefreshableVersion="3" recordCount="2574" xr:uid="{766EE832-315B-FB49-A816-4952EA748E74}">
  <cacheSource type="worksheet">
    <worksheetSource ref="A1:R2575" sheet="DB"/>
  </cacheSource>
  <cacheFields count="18">
    <cacheField name="순" numFmtId="0">
      <sharedItems containsSemiMixedTypes="0" containsString="0" containsNumber="1" containsInteger="1" minValue="1" maxValue="12"/>
    </cacheField>
    <cacheField name="공종" numFmtId="177">
      <sharedItems count="12">
        <s v="11. 기타 토목공사"/>
        <s v="12. 공통공사"/>
        <s v="2. 철근콘크리트공사"/>
        <s v="3. 철골공사"/>
        <s v="4. 마감공사"/>
        <s v="5. 전기, 기계설비공사"/>
        <s v="6. 조경공사"/>
        <s v="8. 교량공사"/>
        <s v="1. 토공사"/>
        <s v="7. 도로 및 포장공사"/>
        <s v="10. 하천 및 항만공사"/>
        <s v="9. 터널공사"/>
      </sharedItems>
    </cacheField>
    <cacheField name="작업명" numFmtId="177">
      <sharedItems count="49">
        <s v="11.1 부대 토목 작업"/>
        <s v="11.4 맨홀 및 관부설작업"/>
        <s v="12.1 철거, 해체"/>
        <s v="12.2 안전가시설 작업"/>
        <s v="12.5 양중기 작업"/>
        <s v="12.7 기타(작업환경, 청소 등)"/>
        <s v="2.1 거푸집 작업"/>
        <s v="2.3 철근 작업"/>
        <s v="2.4 콘크리트 작업"/>
        <s v="3.1 철골 작업"/>
        <s v="4.1 조적, 미장 및 견출작업"/>
        <s v="4.2 방수 작업"/>
        <s v="4.5 금속 및 잡철물 작업"/>
        <s v="4.7 수장 작업"/>
        <s v="4.8 판넬 등 외부마감 작업"/>
        <s v="5.1 전기 설비 작업"/>
        <s v="5.2 기계설비 작업"/>
        <s v="6.1 조경작업"/>
        <s v="8.4 특수교량 작업"/>
        <s v="1.1 굴착 작업"/>
        <s v="1.3 기초파일 작업"/>
        <s v="4.4 도장작업"/>
        <s v="4.6 창호 및 유리 작업"/>
        <s v="5.3 엘리베이터 설치 작업"/>
        <s v="7.1 포장 작업"/>
        <s v="8.1 슬립폼(슬라이딩폼) 작업"/>
        <s v="8.2 강교 설치 작업"/>
        <s v="2.2 갱폼 작업"/>
        <s v="1.2 흙막이 지보공 작업"/>
        <s v="1.4 되메움 작업"/>
        <s v="1.6 그라우팅작업"/>
        <s v="10.1 준설매립"/>
        <s v="10.2 수중, 해상공사"/>
        <s v="11.2 가설도로 작업"/>
        <s v="11.3 지장물 조사 및 이설 작업"/>
        <s v="12.3 가설전기 작업"/>
        <s v="12.4 가설플랜트 작업"/>
        <s v="12.6 위험기계기구 작업(장비수리, 이동 등)"/>
        <s v="4.3 석재 및 타일 작업"/>
        <s v="7.2 포설 및 다짐 작업"/>
        <s v="9.1 라이닝 거푸집 작업"/>
        <s v="9.2 터널 굴착 작업"/>
        <s v="9.4 수직구 작업"/>
        <s v="9.5 갱구부 작업"/>
        <s v="9.3 터널 보강 작업"/>
        <s v="9.6 특수터널 작업"/>
        <s v="8.3 PSC 교량 작업"/>
        <s v="11.5 특수댐 작업"/>
        <s v="1.5 발파 작업"/>
      </sharedItems>
    </cacheField>
    <cacheField name="단위작업명" numFmtId="177">
      <sharedItems count="113">
        <s v="11.1.1 부대토목 옹벽시공"/>
        <s v="11.4.1 맨홀 및 관부설 굴착"/>
        <s v="11.4.2 맨홀 및 관 부설"/>
        <s v="12.1.1 철거 및 해체"/>
        <s v="12.2.3 안전가시설(비계)"/>
        <s v="12.5.4 양중기(윈치)"/>
        <s v="12.7.1 기타(작업환경, 청소 등)"/>
        <s v="2.1.1 거푸집 자재반입, 가공, 운반"/>
        <s v="2.1.3 거푸집 동바리 해체"/>
        <s v="2.1.4 거푸집 동바리 인양"/>
        <s v="2.3.2 철근 가공 및 운반"/>
        <s v="2.4.2 콘크리트 타설 및 다짐"/>
        <s v="2.4.3 콘크리트 양생"/>
        <s v="3.1.2 철골 부재 인양, 조립"/>
        <s v="3.1.3 철골 데크 플레이트 설치"/>
        <s v="4.1.3 미장 및 견출 시공"/>
        <s v="4.2.1 방수면처리, 방수 및 보호몰탈 등 시공"/>
        <s v="4.5.1 금속 및 잡철물 자재반입, 가공"/>
        <s v="4.5.2 금속 및 잡철물 시공"/>
        <s v="4.7.1 수장 자배반입, 운반"/>
        <s v="4.8.2 판넬 등 외부마감 시공"/>
        <s v="5.1.4 전기특고압선로, 활선 및 전주시공"/>
        <s v="5.2.1 기계설비 자재반입, 가공, 운반"/>
        <s v="5.2.2 기계설비 설치"/>
        <s v="6.1.1 조경 부지정리"/>
        <s v="8.4.1 특수교량(ILM 공법)"/>
        <s v="1.1.1 굴착 장비반입"/>
        <s v="1.1.2 굴착"/>
        <s v="1.3.2 기초파일 천공"/>
        <s v="12.2.1 안전가시설(개구부)"/>
        <s v="12.2.2 안전가시설(작업발판)"/>
        <s v="12.2.8 안전가시설(낙하물방지망)"/>
        <s v="12.5.1 양중기(타워크레인)"/>
        <s v="2.1.2 거푸집 동바리 조립"/>
        <s v="2.3.3 철근 조립"/>
        <s v="2.4.1 콘크리트 반입, 운반"/>
        <s v="3.1.1 철골 부재반입 및 운반"/>
        <s v="4.1.1 조적, 미장 및 견출 자재반입, 운반"/>
        <s v="4.1.2 조적시공"/>
        <s v="4.4.2 실내 도장"/>
        <s v="4.4.3 실외 도장"/>
        <s v="4.6.2 창호 및 유리 설치"/>
        <s v="4.7.2 수장시공(석고보드, 도배 등)"/>
        <s v="4.8.1 판넬 등 외부마감 자재반입"/>
        <s v="5.1.1 전기설비 자재반입, 가공, 운반"/>
        <s v="5.1.2 전기설비 배선"/>
        <s v="5.1.3 전기설비 설치"/>
        <s v="5.3.1 엘리베이터 기계 설치"/>
        <s v="5.3.2 엘리베이터 가이드레일 설치"/>
        <s v="7.1.2 포장 시공"/>
        <s v="8.1.2 슬립폼(슬라이딩폼) 해체"/>
        <s v="8.2.1 강교 부재 조립"/>
        <s v="2.2.3 갱폼 인양, 설치"/>
        <s v="8.1.1 슬립폼(슬라이딩폼) 제작"/>
        <s v="1.1.3 굴착 토사반출"/>
        <s v="1.2.1 흙막이 지보공 자재반입"/>
        <s v="1.2.2 흙막이 지보공 설치"/>
        <s v="1.2.3 흙막이 지보공 해체"/>
        <s v="1.3.1 기초파일 자재, 장비반입, 운반, 보관"/>
        <s v="1.3.3 기초파일 항타"/>
        <s v="1.4.1 토사반입 및 되메움 실시"/>
        <s v="1.4.2 되메움 토사다짐"/>
        <s v="1.6.1 그라우팅 장비 및 자재반입"/>
        <s v="1.6.2 그라우팅 천공 및 시공"/>
        <s v="10.1.1 준설매립 등"/>
        <s v="10.2.1 수중, 해상공사(잠수, 해상작업 등)"/>
        <s v="11.1.2 부대토목 구내포장"/>
        <s v="11.2.1 가설도로 벌목 및 표토 제거"/>
        <s v="11.2.2 가설도로 시공"/>
        <s v="11.3.1 지장물 조사 굴착"/>
        <s v="11.3.2 지장물 이설"/>
        <s v="12.2.4 안전가시설(이동식비계)"/>
        <s v="12.3.1 가설전기(분전반)"/>
        <s v="12.4.1 가설플랜트(크라샤 Plant)"/>
        <s v="12.5.3 양중기(이동식 크레인)"/>
        <s v="12.6.1 건설기계 장비수리, 개량, 이동 등"/>
        <s v="2.2.1 갱폼 자재반입"/>
        <s v="2.3.1 철근 반입"/>
        <s v="4.3.1 석재 및 타일 자재반입, 운반"/>
        <s v="6.1.2 조경 시공 및 설치"/>
        <s v="7.1.1 포장 장비 반입"/>
        <s v="7.2.1 포설 및 다짐"/>
        <s v="8.2.2 강교 슬라브 시공"/>
        <s v="9.1.1 라이닝 거푸집 자재반입, 하역"/>
        <s v="9.2.2 터널 버널처리"/>
        <s v="9.4.1 수직구 흙막이 지보공 시공"/>
        <s v="9.5.1 갱구부 보강"/>
        <s v="12.2.10 안전가시설(휀스, 안전난간)"/>
        <s v="4.6.1 창호 및 유리 자재반입, 가공, 운반"/>
        <s v="9.3.2 터널 특수보강"/>
        <s v="9.6.1 특수터널(TBM공법)"/>
        <s v="4.3.2 석재 및 타일 붙임"/>
        <s v="4.4.1 도장 면처리"/>
        <s v="1.2.4 흙막이 지보공 자재반출"/>
        <s v="12.3.4 가설전기(조명등)"/>
        <s v="12.5.5 양중기(특수작업대)"/>
        <s v="9.3.1 터널 강지보"/>
        <s v="12.5.2 양중기(리프트)"/>
        <s v="8.3.1 PSC 교량 거더 인양 및 거치"/>
        <s v="12.3.2 가설전기(전선)"/>
        <s v="4.3.3 석재 및 타일 줄눈, 코킹 시공"/>
        <s v="12.2.6 안전가시설(추락방지망)"/>
        <s v="11.5.1 양수발전용 댐"/>
        <s v="12.2.5 안전가시설(달비계)"/>
        <s v="12.2.9 안전가시설(방호선반)"/>
        <s v="2.2.2 갱폼 조립"/>
        <s v="2.2.4 갱폼 해체, 반출"/>
        <s v="12.2.7 안전가시설(가설통로 또는 가설계단)"/>
        <s v="1.5.1 발파"/>
        <s v="9.2.1 터널 천공"/>
        <s v="12.3.5 가설전기(교류아크용접기)"/>
        <s v="12.3.3 가설전기(충전부)"/>
        <s v="12.3.6 가설전기(이동식 전기 기계기구)"/>
      </sharedItems>
    </cacheField>
    <cacheField name="KOEN 공정" numFmtId="177">
      <sharedItems/>
    </cacheField>
    <cacheField name="기인물 분류(VlookUp)" numFmtId="0">
      <sharedItems count="37">
        <s v="각재(파이프,강관,합판)"/>
        <s v="개구부"/>
        <s v="거푸집"/>
        <s v="건설기계"/>
        <s v="건설자재"/>
        <s v="계단"/>
        <s v="기계설비"/>
        <s v="기타건설기계기구"/>
        <s v="기타구조물"/>
        <s v="동바리"/>
        <s v="리프트"/>
        <s v="마감재"/>
        <s v="비계"/>
        <s v="물"/>
        <s v="바닥(바닥에 걸려 넘어짐)"/>
        <s v="방망"/>
        <s v="배관"/>
        <s v="벽체"/>
        <s v="원인미상"/>
        <s v="분류불능"/>
        <s v="열사병"/>
        <s v="사다리"/>
        <s v="수목"/>
        <s v="슬라브단부"/>
        <s v="암석"/>
        <s v="엘리베이터피트"/>
        <s v="유해위험기계기구"/>
        <s v="작업발판/가설계단"/>
        <s v="전기"/>
        <s v="토사"/>
        <s v="화학물질"/>
        <s v="흙막이가시설"/>
        <s v="고소작업대" u="1"/>
        <s v="이동식비계" u="1"/>
        <s v="말비계" u="1"/>
        <s v="기타자재(내부마감재,시멘트,마대)" u="1"/>
        <s v="기타가설구조물" u="1"/>
      </sharedItems>
    </cacheField>
    <cacheField name="기인물" numFmtId="0">
      <sharedItems count="59">
        <s v="각재(파이프,강관,합판)"/>
        <s v="개구부(기타개구부)"/>
        <s v="개구부(바닥개구부)"/>
        <s v="거푸집"/>
        <s v="굴착기"/>
        <s v="이동식크레인"/>
        <s v="트럭"/>
        <s v="기타건설장비"/>
        <s v="천공기/항타기"/>
        <s v="콘크리트펌프카"/>
        <s v="로울러"/>
        <s v="교통수단"/>
        <s v="고정식크레인"/>
        <s v="지게차"/>
        <s v="콘크리트믹서"/>
        <s v="기초파일"/>
        <s v="철골(철골자재)"/>
        <s v="기타자재(내부마감재,시멘트,마대)"/>
        <s v="철근콘크리트자재(철근,콘크리트,PC)"/>
        <s v="철골(철골구조물)"/>
        <s v="계단"/>
        <s v="고소작업대"/>
        <s v="기계설비"/>
        <s v="기타건설기계기구"/>
        <s v="기타구조물"/>
        <s v="기타가설구조물"/>
        <s v="동바리"/>
        <s v="리프트"/>
        <s v="천장(판넬 등 마감재)"/>
        <s v="지붕(처마,홈통)"/>
        <s v="지붕(채광판,선라이트)"/>
        <s v="외부마감재"/>
        <s v="말비계"/>
        <s v="물"/>
        <s v="바닥(바닥에 걸려 넘어짐)"/>
        <s v="방망"/>
        <s v="배관"/>
        <s v="벽체"/>
        <s v="원인미상"/>
        <s v="분류불능"/>
        <s v="폭염"/>
        <s v="비계"/>
        <s v="달비계"/>
        <s v="비계(일체형비계)"/>
        <s v="사다리"/>
        <s v="수목"/>
        <s v="슬라브단부"/>
        <s v="암석"/>
        <s v="엘리베이터피트"/>
        <s v="절단기/톱"/>
        <s v="용접(단)기"/>
        <s v="이동식비계"/>
        <s v="작업발판/가설계단"/>
        <s v="전주"/>
        <s v="충전부"/>
        <s v="토사"/>
        <s v="화학물질"/>
        <s v="흙막이가시설"/>
        <s v="크레인" u="1"/>
      </sharedItems>
    </cacheField>
    <cacheField name="구분(12대 기인물 선택)" numFmtId="0">
      <sharedItems/>
    </cacheField>
    <cacheField name="위험도 순위 (~12위)" numFmtId="0">
      <sharedItems containsMixedTypes="1" containsNumber="1" containsInteger="1" minValue="1" maxValue="12"/>
    </cacheField>
    <cacheField name="3년간 사고비중(19~21년)" numFmtId="178">
      <sharedItems containsMixedTypes="1" containsNumber="1" minValue="2.3E-2" maxValue="0.09"/>
    </cacheField>
    <cacheField name="재해년월 추출(함수)" numFmtId="0">
      <sharedItems/>
    </cacheField>
    <cacheField name="재해년월추출" numFmtId="176">
      <sharedItems containsDate="1" containsMixedTypes="1" minDate="2013-07-01T00:00:00" maxDate="2021-12-02T00:00:00"/>
    </cacheField>
    <cacheField name="재해월추출" numFmtId="0">
      <sharedItems containsMixedTypes="1" containsNumber="1" containsInteger="1" minValue="1" maxValue="12"/>
    </cacheField>
    <cacheField name="혹서기" numFmtId="179">
      <sharedItems/>
    </cacheField>
    <cacheField name="재해형태" numFmtId="0">
      <sharedItems count="20">
        <s v="맞음"/>
        <s v="깔림 뒤집힘"/>
        <s v="떨어짐"/>
        <s v="맞음(낙하물체)"/>
        <s v="절단 베임 찔림"/>
        <s v="넘어짐"/>
        <s v="끼임"/>
        <s v="무너짐"/>
        <s v="부딪힘 접촉"/>
        <s v="화재"/>
        <s v="감전"/>
        <s v="폭발"/>
        <s v="산소결핍 질식"/>
        <s v="원인미상"/>
        <s v="보호구 이상"/>
        <s v="익사"/>
        <s v="이상온도 노출 접촉"/>
        <s v="폭염"/>
        <s v="유해위험물질 노출 접촉"/>
        <s v="열사병"/>
      </sharedItems>
    </cacheField>
    <cacheField name="재해개요 : 재해시기 추출" numFmtId="0">
      <sharedItems longText="1"/>
    </cacheField>
    <cacheField name="재해유발요인  재해형태 추출(떨어짐, 추락 등 &gt;&gt; 맨오른쪽 2글자)" numFmtId="0">
      <sharedItems/>
    </cacheField>
    <cacheField name="위험성 감소대책(예시)" numFmtId="0">
      <sharedItems longText="1"/>
    </cacheField>
  </cacheFields>
  <extLst>
    <ext xmlns:x14="http://schemas.microsoft.com/office/spreadsheetml/2009/9/main" uri="{725AE2AE-9491-48be-B2B4-4EB974FC3084}">
      <x14:pivotCacheDefinition pivotCacheId="1147276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74">
  <r>
    <n v="11"/>
    <x v="0"/>
    <x v="0"/>
    <x v="0"/>
    <s v="YES"/>
    <x v="0"/>
    <x v="0"/>
    <s v="해당없음"/>
    <s v="해당없음"/>
    <s v="해당없음"/>
    <s v="2015년 12월"/>
    <d v="2015-12-01T00:00:00"/>
    <n v="12"/>
    <s v="혹한기"/>
    <x v="0"/>
    <s v="2015년 12월경 군부대 방호문 설치공사에서 재해자가 보강초 벽체에 각재를 대어 기울어진 보강토 블록 벽체를 바로 세우는 작업 중 굴착기 버킷으로 힘을 가하다 각재가 갑자기 이탈되면서 힘을 가하던 굴착기 버킷에 맞아 사망"/>
    <s v="보강토 벽체에 각재를 대어 굴삭기 버켓으로 힘을 가하던 과정에서 각재가 갑자기 이탈되면서 타격함"/>
    <s v="▶ 굴삭기 작업시 토사의 굴착, 절토 등 장비용도에 맞게 사용_x000a_▶ 건설기계 제원, 성능, 작업반경 등을 고려하여 작업"/>
  </r>
  <r>
    <n v="11"/>
    <x v="0"/>
    <x v="1"/>
    <x v="1"/>
    <s v="YES"/>
    <x v="0"/>
    <x v="0"/>
    <s v="해당없음"/>
    <s v="해당없음"/>
    <s v="해당없음"/>
    <s v="2020년 6월경"/>
    <d v="2020-06-01T00:00:00"/>
    <n v="6"/>
    <s v="혹서기"/>
    <x v="1"/>
    <s v="2020년 6월경 OOO도 OO군 OOO면 소재 (주)OOOO 자재 야적장에서 재해자가 화물차량(25.5톤) 높이 약 1.7 m 적재함 위에서 크레인(10톤)으로 인양된 강관파이프(하수관거*)를 차량에 적재하던 중, 3단으로 불안정하게 적재된 강관파이프가 붕괴되어 재해자가 야적장 바닥으로 떨어졌으며, 이때 차량 적재함에서 낙하한 강관파이프(약 390kg)에 깔려서 사망한 재해임._x000d_"/>
    <s v="크레인으로 인양된 강관파이프를 차량에 적재하던 중, 3단으로 불안정하게 적재된 강관파이프가 붕괴되어 강관파이프에 깔림"/>
    <s v="▶ 자재를 야적하는 경우 평탄한 곳에 적재하며 구름방지조치 실시_x000a_▶ 경사면에서 흄관을 고정하기 위해 쐐기 등을 이용_x000a_▶ 강관파이프를 3단이상 등 과도하게 적재 금지"/>
  </r>
  <r>
    <n v="11"/>
    <x v="0"/>
    <x v="1"/>
    <x v="2"/>
    <s v="YES"/>
    <x v="0"/>
    <x v="0"/>
    <s v="해당없음"/>
    <s v="해당없음"/>
    <s v="해당없음"/>
    <s v="2021년 4월경"/>
    <d v="2021-04-01T00:00:00"/>
    <n v="4"/>
    <s v="-"/>
    <x v="0"/>
    <s v="2021년 4월경 OOO도 OO시 OO동 소재 OOOO(주) OOOO 노후 상수관망 정비 공사 현장에서 화물차에 적재되어 있는 주철관을 슬링벨트로 묶어 하역하는 준비 작업 중 주철관이 슬링벨트 밖으로 이탈하며 재해자를 덮쳐 약 1.85m 높이의 차량 측면에서 바닥으로 떨어져 사망한 재해임"/>
    <s v="관로 정비 공사 현장에서 화물차에 적재되어 있는 주철관을 슬링벨트로 묶어 하역하는 준비 작업 중 주철관이 슬링벨트 밖으로 이탈하며 재해자를 덮침"/>
    <s v="▶ 화물적재 작업 시 최대 적재량 및 한쪽으로 치우치지 않은 적재 등의 조치 준수_x000a_▶ 로프 풀기 작업 전 적재함 주변에 근로자의 통행을 통제한 뒤 하역작업 실시"/>
  </r>
  <r>
    <n v="12"/>
    <x v="1"/>
    <x v="2"/>
    <x v="3"/>
    <s v="YES"/>
    <x v="0"/>
    <x v="0"/>
    <s v="해당없음"/>
    <s v="해당없음"/>
    <s v="해당없음"/>
    <s v="2017년 2월경"/>
    <d v="2017-02-01T00:00:00"/>
    <n v="2"/>
    <s v="혹한기"/>
    <x v="1"/>
    <s v="2017년 2월경 OO(주)가 시공하는 OO신축공사 현장에서 철근콘크리트공사 협력업체인 (주)OO건설 소속 재해자가 방음벽 Post(지지대) 해체작업을 하다가 중심을 잃은 방음벽 Post가 재해자 쪽으로 넘어지면서 재해자를 타격하여 사망"/>
    <s v="해체작업을 하던 중 방음벽 및 배관 등 해체물이 재해자쪽으로 전도되어 맞음, 깔림"/>
    <s v="▶ 해체물, 자재 등 현장 내 존치할 경우 전도방지조치 실시_x000a_▶ 건축물의 해체 작업시 작업반경 내 작업자의 출입 금지조치"/>
  </r>
  <r>
    <n v="12"/>
    <x v="1"/>
    <x v="3"/>
    <x v="4"/>
    <s v="YES"/>
    <x v="0"/>
    <x v="0"/>
    <s v="해당없음"/>
    <s v="해당없음"/>
    <s v="해당없음"/>
    <s v="2017년 2월경"/>
    <d v="2017-02-01T00:00:00"/>
    <n v="2"/>
    <s v="혹한기"/>
    <x v="2"/>
    <s v="2017년 2월경 근린생활시설 신축공사 현장에서 재해자가 2층 외벽 비계 발판 4단위에서 강관 파이프를 상부 발판으로 이동 중 실족 지상 7m 아래 바닥으로 떨어져 사망"/>
    <s v="가설 울타리의 강관지지대 해체작업 중 기 해체한 수평재를 밟고 바닥으로 추락"/>
    <s v="▶ 비계 해체 작업 등 고소작업 시, 강관지지대로 올라가 작업하는 행위름 금지하고 이동식비계 또는 고소작업대를 사용하여 작업하도록 조치_x000a_▶ 비계 해체 작업 등 고소작업 시, 해체장소가 협소하거나 지형이 가파름 등의 이유로 이동식비계, 고소작업대 등을 사용할 수 없을 경우, 굴삭기 등 건설장비를 사용하여 인명피해가 없도록 조치 후 작업 진행"/>
  </r>
  <r>
    <n v="12"/>
    <x v="1"/>
    <x v="3"/>
    <x v="4"/>
    <s v="YES"/>
    <x v="0"/>
    <x v="0"/>
    <s v="해당없음"/>
    <s v="해당없음"/>
    <s v="해당없음"/>
    <s v="2018년 1월경"/>
    <d v="2018-01-01T00:00:00"/>
    <n v="1"/>
    <s v="혹한기"/>
    <x v="2"/>
    <s v="2018년 1월경 ㈜OO지점이 시공중인 (주)OOO코리아 신사옥 건설공사 현장에서 협력업체 OO건설 소속 재해자(비계공)가 전면부 지상4층 외부 강관비계 작업발판 상부에서 비계기둥 연장설치 작업 중 쓰러지는 강관파이프(6m, 약 15.78kg)와 함께 지상1층 바닥(H≒15m)으로 떨어져 사망"/>
    <s v="추락방지조치 미흡한 상태에서 지상층 전면부 철골기둥의 비계 외측 수직 강관설치작업을 도와주기 위해 비계 작업발판 상부에서 외측 수직강관 설치작업 중 쓰러지는 강관파이프와 함께 지면으로 추락"/>
    <s v="▶ 추락 위험이 있는 작업 시, 안전방망, 안전난간, 안전대 부착설비 등 안전방호조치 실시_x000a_▶ 작업 전 안전대 지급 및 착용, 체결상태 관리감독자 확인 철저"/>
  </r>
  <r>
    <n v="12"/>
    <x v="1"/>
    <x v="3"/>
    <x v="4"/>
    <s v="YES"/>
    <x v="0"/>
    <x v="0"/>
    <s v="해당없음"/>
    <s v="해당없음"/>
    <s v="해당없음"/>
    <s v="2018년 8월경"/>
    <d v="2018-08-01T00:00:00"/>
    <n v="8"/>
    <s v="혹서기"/>
    <x v="2"/>
    <s v="2018년 8월경 OO 지식산업센터 신축공사 현장에서 재해자가 현장 대지경계선에 설치되어 있던 가설 울타리의 강관지지대 해체를 위해 하단 수평재를 밟고 서서 상단 수평재를 해체하던 중 해체한 수평재와 함께 약 3.5m 바닥에 추락하여 사망"/>
    <s v="가설 울타리의 강관지지대 해체작업 중 기 해체한 수평재를 밟고 바닥으로 추락"/>
    <s v="▶ 비계 해체 작업 등 고소작업 시, 강관지지대로 올라가 작업하는 행위름 금지하고 이동식비계 또는 고소작업대를 사용하여 작업하도록 조치_x000a_▶ 비계 해체 작업 등 고소작업 시, 해체장소가 협소하거나 지형이 가파름 등의 이유로 이동식비계, 고소작업대 등을 사용할 수 없을 경우, 굴삭기 등 건설장비를 사용하여 인명피해가 없도록 조치 후 작업 진행"/>
  </r>
  <r>
    <n v="12"/>
    <x v="1"/>
    <x v="3"/>
    <x v="4"/>
    <s v="YES"/>
    <x v="0"/>
    <x v="0"/>
    <s v="해당없음"/>
    <s v="해당없음"/>
    <s v="해당없음"/>
    <s v="2019년 1월경"/>
    <d v="2019-01-01T00:00:00"/>
    <n v="1"/>
    <s v="혹한기"/>
    <x v="0"/>
    <s v="2019년 1월경 OO건설의 지식산업센터 신축공사 현장의 주차타워 내부 비계 위에서 재해자 2명이 타워크레인으로 인양되는 비계재료(강관, 클램프 등)를 받기 위해 신호 및 대기하던 중 지상 14층 주차타워 개구부 단부에 설치된 안전난간에 인양하물이 걸려 기울어지면서 강관파이프 등 비계재료가 줄걸이에서 이탈되어 약 26.8m 아래에 있던 재해자 2명이 떨어지는 비계 재료에 맞거나 피하던 중 지하바닥 등으로 추락하여 사망"/>
    <s v="적재된 단관비계다발 하역을 위한 화물고정용 섬유벨트 해체 후 비계다발이 차량하부로 낙하하며 근로자 강타"/>
    <s v="▶ 화물적재 작업 시 최대 적재량 및 한쪽으로 치우치지 않은 적재 등의 조치 준수_x000a_▶ 로프 풀기 작업 시 적재함의 화물이 떨어질 위험이 없음을 확인 호 주치 실시"/>
  </r>
  <r>
    <n v="12"/>
    <x v="1"/>
    <x v="3"/>
    <x v="4"/>
    <s v="YES"/>
    <x v="0"/>
    <x v="0"/>
    <s v="해당없음"/>
    <s v="해당없음"/>
    <s v="해당없음"/>
    <s v="2020년 8월경"/>
    <d v="2020-08-01T00:00:00"/>
    <n v="8"/>
    <s v="혹서기"/>
    <x v="0"/>
    <s v="2020년 8월경 OO공사 현장에서 재해자가 카고트럭 적재함에 적재된 단관비계 다발을 하역하기 위해 짐걸이로 사용했던 화물고정용 섬유벨트(자동바)를 해체하는 순간 상단에 적재되어 있던 단관비계 다발이 차량하부로 떨어지면서(H≒2.3m) 재해자의 상반신(두부 및 흉부)이 충돌되어 사망"/>
    <s v="적재된 단관비계다발 하역을 위한 화물고정용 섬유벨트 해체 후 비계다발이 차량하부로 낙하하며 근로자 강타"/>
    <s v="▶ 화물적재 작업 시 최대 적재량 및 한쪽으로 치우치지 않은 적재 등의 조치 준수_x000a_▶ 로프 풀기 작업 시 적재함의 화물이 떨어질 위험이 없음을 확인 호 주치 실시"/>
  </r>
  <r>
    <n v="12"/>
    <x v="1"/>
    <x v="3"/>
    <x v="4"/>
    <s v="YES"/>
    <x v="0"/>
    <x v="0"/>
    <s v="해당없음"/>
    <s v="해당없음"/>
    <s v="해당없음"/>
    <s v="재해자가 카고트럭"/>
    <s v="X"/>
    <e v="#VALUE!"/>
    <e v="#VALUE!"/>
    <x v="0"/>
    <s v="재해자가 카고트럭 상부에서 강관파이프 다발(중량≒630kg) 적재작업을 하는 중 굴착기 운전원의 오조작에 의해 붐대와 함께 강관파이프 다발이 회전하면서 재해자의 안면을 강타하여 사망"/>
    <s v="굴삭기 운전원의 오조작에 의해 붐대와 함께 강관파이프 다발이 회전하면서 안면을 강타"/>
    <s v="▶ 관리감독자의 유해ㆍ위험방지 업무 철저_x000a_▶ 중량물 취급시에는 운반 등의 작업에 있어서 계획서를 작업하고 그 계획에 따라 작업하도록 지시_x000a_▶ 개인보호구 착용 및 관리 철저 "/>
  </r>
  <r>
    <n v="12"/>
    <x v="1"/>
    <x v="4"/>
    <x v="5"/>
    <s v="YES"/>
    <x v="0"/>
    <x v="0"/>
    <s v="해당없음"/>
    <s v="해당없음"/>
    <s v="해당없음"/>
    <s v="2018년 8월경"/>
    <d v="2018-08-01T00:00:00"/>
    <n v="8"/>
    <s v="혹서기"/>
    <x v="0"/>
    <s v="2018년 8월경 OO건설에서 시공중인 OO초등학교 교실증축공사 현장에서 재해자가 1층 유치원 내부 벽체 내진보강을 위해 전동윈치에 ㄷ형강(149.45kg)을 걸어 인양하여 벽체에 세우던 중 벽체에 설치했던 전동윈치 걸이용 앵커볼트가 휘어지며 전동윈치가 탈락, 인양중인 ㄷ형강이 넘어져 재해자의 머리부위에 충돌해 사망"/>
    <s v="전동윈치에 ㄷ형강을 걸어 인양하여 벽체에 세우던 중, 전동윈치 걸이용 앵커볼트가 휘어지며 전동윈치가 탈락하여 ㄷ형강이 넘어져 근로자 두부 강타"/>
    <s v="▶ 내진보강을 위한 ㄷ형강 설치 등 중량물 취급작업 시 제원파악이 가능한 출처분명의 앵커볼트를 사용_x000a_▶ 천장부위 해체 시 ㄷ형강의 길이고려 등을 통해 양중 중 발생할 수 있는 낙하 및 전도 방지 "/>
  </r>
  <r>
    <n v="12"/>
    <x v="1"/>
    <x v="5"/>
    <x v="6"/>
    <s v="YES"/>
    <x v="0"/>
    <x v="0"/>
    <s v="해당없음"/>
    <s v="해당없음"/>
    <s v="해당없음"/>
    <s v="2016년 6월경"/>
    <d v="2016-06-01T00:00:00"/>
    <n v="6"/>
    <s v="혹서기"/>
    <x v="0"/>
    <s v="2016년 6월경 OO신축공사 현장에서 외부비계 상부에 있던(높이: 약 9m) 강관(길이: 약 2m, 무게: 약 5kg)이 떨어지면서 통로에서 자재정리를 하던 재해자의 머리에 맞아 사망"/>
    <s v="외부 비계 상부에 있던 강관이 떨어지면서 통로에서 자재정리하던 재해자 맞음"/>
    <s v="▶ 비계, 작업발판 등에는 재료, 공구 등 낙하물 방치되지 않도록 관리_x000a_▶ 근로자 개인보호구, 안전대 체결여부 점검 및 관리감독"/>
  </r>
  <r>
    <n v="12"/>
    <x v="1"/>
    <x v="5"/>
    <x v="6"/>
    <s v="YES"/>
    <x v="0"/>
    <x v="0"/>
    <s v="해당없음"/>
    <s v="해당없음"/>
    <s v="해당없음"/>
    <s v="2019년 6월경"/>
    <d v="2019-06-01T00:00:00"/>
    <n v="6"/>
    <s v="혹서기"/>
    <x v="2"/>
    <s v="2019년 6월경 OO설치현장에서 재해자가 비닐하우스 활대(폭10m, 높이 7m, 개당중량 30kg, 재질: 강관파이프(Ø50mm))설치 준비작업 중 작업대로 사용하던 철재선반(가로 5.5mX 세로 4.5m, H≒2.6m)위에서 중심을 잃고 미끄러지며 지상1층 바닥(H≒2.6m)으로 추락하여  사망"/>
    <s v="비닐하우스 활대 설치 준비작업 중 작업대로 사용하던 철재선반 위에서 중심을 잃고 미끄러져 바닥으로 떨어짐"/>
    <s v="▶ 불안전한 작업발판 위에서의 작업 금지"/>
  </r>
  <r>
    <n v="2"/>
    <x v="2"/>
    <x v="6"/>
    <x v="7"/>
    <s v="YES"/>
    <x v="0"/>
    <x v="0"/>
    <s v="해당없음"/>
    <s v="해당없음"/>
    <s v="해당없음"/>
    <s v="2016년 4월경"/>
    <d v="2016-04-01T00:00:00"/>
    <n v="4"/>
    <s v="-"/>
    <x v="3"/>
    <s v="2016년 4월경 OO건설 공사현장에서 재해자가 지하2층 슬라브 보 거푸집 제작작업 중, 타워크레인으로 인양 중이던 인양물(거푸집제작용 목재(약 0.5톤))이 작업부위 상부 약 4m위치로 접근하자, 작업부위와 인양물과의 충돌을 막기 위해 인양물 하부로 이동하는 순간, 인양물의 갑작스러운 떨어짐에 의하여 재해자가 맞음으로써 사망"/>
    <s v="타워크레인으로 거푸집 제작용 목재 등을 인양하던 중 미고정된 인양물의 인양물 낙하"/>
    <s v="▶ 타워크레인 등 유해·위험한 기계·기구를 설치 시 안전인증을 받은 후 사용_x000a_▶ 크레인 작업 시 낙하물에 의한 위험방지를 위해 사전에 근로자 출입 통제_x000a_▶ 크레인 등을 사용하여 작업 시 작업 전 감속기 등 기계적 상태 점검 실시 후 작업"/>
  </r>
  <r>
    <n v="2"/>
    <x v="2"/>
    <x v="6"/>
    <x v="7"/>
    <s v="YES"/>
    <x v="0"/>
    <x v="0"/>
    <s v="해당없음"/>
    <s v="해당없음"/>
    <s v="해당없음"/>
    <s v="2017년 12월"/>
    <d v="2017-12-01T00:00:00"/>
    <n v="12"/>
    <s v="혹한기"/>
    <x v="2"/>
    <s v="2017년 12월경 OO단독주택 신축공사 현장에서 재해자가 외부비계 최상단과 건물사이에  각재(산승각)을 거치하고, 그 위에 거푸집자재(각관, 각재 등)를 적재하던 중 하부에 거치된 각재가 부러지며 상부에 적재된 자재가 무너져 내리며 약 9m아래로 추락하여 사망"/>
    <s v="작업발판 미설치한 상태에서 외부비계 최상단과 건물사이에 각재(산승각)을 거치하고, 그 위에 거푸집자재를 적재하던 중 하부에 거치된 각재가 부러지며 상부 적재된 자재 위에 서있던 근로자 추락"/>
    <s v="▶ 추락 및 넘어질 위험이 있는 장소에 작업발판 및 안전난간 설치_x000a_▶ 자재적재 작업을 위한 작업발판 설치 시 상부 적재하중을 고려하여 구조 검토 후 설치_x000a_▶ 구조물 위에 자재적재가 어려워 거치목을 이용한 경우 최대적재하중에 대해 구조검토(휨, 전단) 실시"/>
  </r>
  <r>
    <n v="2"/>
    <x v="2"/>
    <x v="6"/>
    <x v="8"/>
    <s v="YES"/>
    <x v="0"/>
    <x v="0"/>
    <s v="해당없음"/>
    <s v="해당없음"/>
    <s v="해당없음"/>
    <s v="2016년 4월경"/>
    <d v="2016-04-01T00:00:00"/>
    <n v="4"/>
    <s v="-"/>
    <x v="0"/>
    <s v="2016년 4월경 OO건설 주식회사 OO신축공사 현장에서  협력업체 소속 재해자가 띠장 4단 사각강관 버팀보(350mm×350mm×9t, L=34m(11m+11m+12m), W=3.33t) 하부에서 거푸집 정리작업을 하던 중 해체 준비 중이던 사각강관 버팀보가 떨어지면서 머리부위를 맞아 사망"/>
    <s v="낙하물 위험구간 출입금지 미실시한 상태에서 띠장 버팀보 하부에서 거푸집 정리작업을 하던 중 해체 준비 중이던 사각강관 버팀보가 떨어지면서 머리에 맞음"/>
    <s v="▶ 흙막이가시설 해체작업시 작업계획서 작성 및 준수_x000a_▶ 버팀보도 등 인양 단위부재에 줄걸이를 체결한 후 볼트 제거, 인양 하는 등 단계적으로 작업 실시_x000a_▶ 해체작업을 하는 장소에는 관계 근로자가 아닌 근로자 출입을 금지 철저"/>
  </r>
  <r>
    <n v="2"/>
    <x v="2"/>
    <x v="6"/>
    <x v="9"/>
    <s v="YES"/>
    <x v="0"/>
    <x v="0"/>
    <s v="해당없음"/>
    <s v="해당없음"/>
    <s v="해당없음"/>
    <s v="2016년 7월경"/>
    <d v="2016-07-01T00:00:00"/>
    <n v="7"/>
    <s v="혹서기"/>
    <x v="2"/>
    <s v="2016년 7월경 (주)00건설 00청사 신축공사 현장에서 재해자가 지하2층 저수조의 시스템동바리 상부 합판 위에서 해체된 거푸집동바리(무폼타이 거푸집, 51.8kg)를 작업용 로프에 묶어 하부 바닥으로 내리던 중 시스템동바리 상부 합판 위에 산재된 자재에 걸려 넘어지면서 하부 바닥(H≒3.3m)으로 추락하여 사망"/>
    <s v="추락 방지조치 미실시한 상태에서 지하층 저수조 시스템동바리 상부 합판 위에서 해체된 거푸집동바리를 작업용 로프에 묶어 하부 바닥으로 내리던 중 합판 주변 산재된 자재에 걸려 넘어지면서 근로자 추락"/>
    <s v="▶ 추락위험이 있는 구간에는 추락방호망, 안전난간 설치 또는 및 안전대 착용후 작업_x000a_▶ 낙하 및 전도 등의 위험구간에서 자재 인양 및 운반시 근로자 출입 통제 "/>
  </r>
  <r>
    <n v="2"/>
    <x v="2"/>
    <x v="7"/>
    <x v="10"/>
    <s v="YES"/>
    <x v="0"/>
    <x v="0"/>
    <s v="해당없음"/>
    <s v="해당없음"/>
    <s v="해당없음"/>
    <s v="2016년 3월경"/>
    <d v="2016-03-01T00:00:00"/>
    <n v="3"/>
    <s v="-"/>
    <x v="2"/>
    <s v="2016년 3월경 OO 건설공사 주택재개발 정비사업 현장의 3층 높이 엘리베이터 피트에서 재해자는 동료작업자가 작업발판용으로 매립된 철근을 산소용접기 및 핸드그라인더를 사용하여 절단하면, 절단된 철근을 받아 바깥 측에 적재, 정리 등의 작업 중 작업상의 이유로 엘리베이터 피트 내부로 진입한 재해자가 밟은 발판(합판)이 뒤집어지며 지하 2층 바닥으로 떨어져(H=11.2) 사망"/>
    <s v="고정되지 않은 작업발판을 밟고 작업 중 작업발판이 뒤집어지며 근로자 추락"/>
    <s v="▶ 외부비계 상에서 작업 시 작업구간 전체에 걸쳐 작업발판 및 안전난간을 밀실하고 견고하게 설치 후 작업 실시_x000a_▶ 작업발판 및 안전난간 설치가 곤란한 경우 안전대 걸 수 있는 안전대 부착설비 설치_x000a_▶ 추락할 위험이 있는 장소에서 작업 시 개인보호구 착용 철저"/>
  </r>
  <r>
    <n v="2"/>
    <x v="2"/>
    <x v="7"/>
    <x v="10"/>
    <s v="YES"/>
    <x v="0"/>
    <x v="0"/>
    <s v="해당없음"/>
    <s v="해당없음"/>
    <s v="해당없음"/>
    <s v="2016년 8월경"/>
    <d v="2016-08-01T00:00:00"/>
    <n v="8"/>
    <s v="혹서기"/>
    <x v="2"/>
    <s v="2016년 8월경 (주)OO종합건설에서 시공중인 OO공장신축공사 현장에서 재해자가 A동 지상2층 바닥 철근배근 작업을 위해 자재(철근-D13 L≒0.8m 약200EA)를 화물용 리프트 구간으로 운반작업 중, 받침판으로 사용한 각재(80mm×80mm×3,630mm) 4개중 3개가 파단되며, 지상1층 바닥(H≒5.8m)으로 떨어져 사망한 재해임"/>
    <s v="철근배근 작업을 위해 자재를 화물용 리프트 구간으로 운반작업 중, 받침판으로 사용한 각재가 파단되어 근로자 추락"/>
    <s v="▶ 철근 등 중량물 적재 시 붕괴의 우려가 없는 받침판 위에 적재 또는 최대 적재하중을 초과하지 않는 선에서의 적재_x000a_▶ 추락방지조치를 위한 안전대 부착설비 설치 및 안전대 착용"/>
  </r>
  <r>
    <n v="2"/>
    <x v="2"/>
    <x v="7"/>
    <x v="10"/>
    <s v="YES"/>
    <x v="0"/>
    <x v="0"/>
    <s v="해당없음"/>
    <s v="해당없음"/>
    <s v="해당없음"/>
    <s v="2017년 5월경"/>
    <d v="2017-05-01T00:00:00"/>
    <n v="5"/>
    <s v="-"/>
    <x v="4"/>
    <s v="2017년 5월경 OO상가주택 신축공사 현장 1층 바닥에서 재해자가 동료작업자와 기둥 띠철근 조립 후, 후속작업을 위해 이동하던 중 바닥에 놓인 나무각재에 걸려 넘어지면서, 바닥에서 돌출된 벽체철근이 재해자 머리에 박혀 사망"/>
    <s v="기둥 띠철근 조립 후, 후속작업을 위해 이동하던 중 바닥에 놓인 각재에 걸려 넘어지면서 돌출된 벽체철근이 근로자 머리에 찔림"/>
    <s v="▶ 현장 내부가 협소한 경우 별도의 자재보관 장소 확보 및 일부 자재만 내부에 순차적 반입으로 작업공간 및 이동통로 확보_x000a_▶ 부득이하게 바닥에 각재와 같은 자재적치 시 상부에 근로자 전도방지를 위해 바닥으로부터 띄워 이동통로 설치_x000a_▶ 이동구간에 돌출철근 등 재해우려 자재 돌출 시 철근 돌출부에 보호캡 설치"/>
  </r>
  <r>
    <n v="2"/>
    <x v="2"/>
    <x v="8"/>
    <x v="11"/>
    <s v="YES"/>
    <x v="0"/>
    <x v="0"/>
    <s v="해당없음"/>
    <s v="해당없음"/>
    <s v="해당없음"/>
    <s v="2019년 3월경"/>
    <d v="2019-03-01T00:00:00"/>
    <n v="3"/>
    <s v="-"/>
    <x v="0"/>
    <s v="2019년 3월경 OO건설(주) OO공동주택 신축공사 현장에서 협력업체 ㈜OO 소속 재해자(콘크리트공)가 주차장 누름콘크리트 타설 장소로 이동하기 위해 슬래브에 기대어 세운 목재각재를 밟고 올라가던 중 목재각재가 부러지며 복부를 맞아 복강내출혈 등이 발생하여 사망"/>
    <s v="콘크리트 타설 장소로 이동하던 중 이동통로가 확보되지 않은 상태에서 슬래브에 기대어 세운 목재각재를 밟고 올라가던 중 목재각재가 부러지며 근로자 복부를 강타 "/>
    <s v="▶ 작업장으로 통하는 장소 또는 작업장내에 통로의 주요 부분에 통로표시로 안전한 통행 보장_x000a_▶ 작업여건에 의해 후속작업이 영향을 받은 경우 무리한 작업진행 지양"/>
  </r>
  <r>
    <n v="2"/>
    <x v="2"/>
    <x v="8"/>
    <x v="12"/>
    <s v="YES"/>
    <x v="0"/>
    <x v="0"/>
    <s v="해당없음"/>
    <s v="해당없음"/>
    <s v="해당없음"/>
    <s v="2017년 12월"/>
    <d v="2017-12-01T00:00:00"/>
    <n v="12"/>
    <s v="혹한기"/>
    <x v="2"/>
    <s v="2017년 12월 OO(주) 아파트 신축공사 현장에서, ㈜OO 소속 재해자가 지하주차장 지하1층 슬래브 거푸집 위에서 콘크리트 양생 보양천막 틀 설치작업 중, 몸의 중심을 잃고 지하 1층 바닥으로 떨어져(H≒4m) 사망"/>
    <s v="슬래브 거푸집 위에서 콘크리트 양생 보양천막 특 설치 작업 중 근로자가 몸의 중심을 잃고 안전난간이 설치되어 있지 않은 단부로 추락"/>
    <s v="▶ 추락위험이 있는 개구부 주변에서 작업 시 단부에 안전난간 및 추락방호망 설치_x000a_▶ 높이 2m 이상의 추락위험 장소에서 작업 시 안전대 부착설비 설치 및 안전대 착용_x000a_▶ 개인보호구 지급 및 착용"/>
  </r>
  <r>
    <n v="3"/>
    <x v="3"/>
    <x v="9"/>
    <x v="13"/>
    <s v="YES"/>
    <x v="0"/>
    <x v="0"/>
    <s v="해당없음"/>
    <s v="해당없음"/>
    <s v="해당없음"/>
    <s v="2017년 3월경"/>
    <d v="2017-03-01T00:00:00"/>
    <n v="3"/>
    <s v="-"/>
    <x v="2"/>
    <s v="2017년 3월경 OO(주)에서 시공중인 OO 증축공사(지상5층) 현장에서 재해자(철골조립공) 등 2명이 옥상층에서 각파이프(100*50*9000) 설치작업중 재해자가 몸의 중심을 잃고 지상3층 콘크리트 바닥(높이 약 8.9m)으로 떨어져 사망"/>
    <s v="각파이프를 이동식크레인으로 운반 작업 중 거더에 설치된 안전대부착설비에 걸려 파이프를 빼기 위해 근로자가 힘을 주는 순간 안전대를 고정하지 않은 재해자가 몸의 균형을 잃고 추락"/>
    <s v="▶ 철골조립 완료 즉시 해당 층에 추락방지망 설치 하고 후속공정 진행_x000a_▶ 추락위험이 있는 장소에서 작업 시 안전대 부착설비 설치 및 안전대 착용"/>
  </r>
  <r>
    <n v="3"/>
    <x v="3"/>
    <x v="9"/>
    <x v="13"/>
    <s v="YES"/>
    <x v="0"/>
    <x v="0"/>
    <s v="해당없음"/>
    <s v="해당없음"/>
    <s v="해당없음"/>
    <s v="2018년 10월"/>
    <d v="2018-10-01T00:00:00"/>
    <n v="10"/>
    <s v="-"/>
    <x v="2"/>
    <s v="2018년 10월경 OO 사무실 증축 공사 현장에서 OO 소속 재해자가 2층 철골구조물(H빔 및 사각파이프를 교차로 설치) 위에서 합판 재단 보조작업 후 이동 중, 지지되어 있지 않은 합판 모서리 부분을 밟자 합판이 위로 들리며, 합판과 함께 H빔 및 사각파이프에 의해 형성된 개구부(1200㎜×610㎜)로 추락(높이≒3.2m)하여 사망"/>
    <s v="철골 구조물 위에서 합판 재단 보조작업 후 이동 중 지지되어 있지 않은 합판 모서리 부분을 밟아 합판이 위로 들리며 합판과 함께 근로자 추락"/>
    <s v="▶ 추락위험이 있는 개구부에는 덮개 등 방호조치 설치_x000a_▶ 추락위험이 있는 장소에서 작업 시 안전대 부착설비 설치 및 안전대 착용_x000a_▶ 개인보호구 지급 및 착용 "/>
  </r>
  <r>
    <n v="3"/>
    <x v="3"/>
    <x v="9"/>
    <x v="13"/>
    <s v="YES"/>
    <x v="0"/>
    <x v="0"/>
    <s v="해당없음"/>
    <s v="해당없음"/>
    <s v="해당없음"/>
    <s v="2021년 8월경"/>
    <d v="2021-08-01T00:00:00"/>
    <n v="8"/>
    <s v="혹서기"/>
    <x v="2"/>
    <s v="2021년 8월경 공장신축공사 현장에서 벽체 하지철물 용접작업을 위해 재해자 2명이 하지철물(수평부재) 위에서 상부 하지철물 용접작업 중 지지하고 있던 하지철물이 순간적으로 탈락 되면서 재해자 2명 모두 추락(H≒4m)하여 부상"/>
    <s v="벽체 하지철물 용접작업을 위해 재해자 2명이 하지철물(수평부재) 위에서 상부 하지철물 용접작업 중 지지하고 있던 하지철물이 순간적으로 탈락 되어 동시에 추락"/>
    <s v="▶ 안전대 걸이 시설을 설치하는 경우 처지거나 탈락하지 않도록 견고히 설치_x000a_▶ 작업 시작 전 안전대 및 부속설비의 이상 유무 확인"/>
  </r>
  <r>
    <n v="3"/>
    <x v="3"/>
    <x v="9"/>
    <x v="14"/>
    <s v="YES"/>
    <x v="0"/>
    <x v="0"/>
    <s v="해당없음"/>
    <s v="해당없음"/>
    <s v="해당없음"/>
    <s v="2018년 7월경"/>
    <d v="2018-07-01T00:00:00"/>
    <n v="7"/>
    <s v="혹서기"/>
    <x v="3"/>
    <s v="2018년 7월경 OO건설(주) 공장 신축공사 현장에서 재해자(철골공)가 지상1층 바닥에서 하역자재 받는 작업을 하던 중, 지상 3층 철골작업용 데크플레이트 묶음(Packing)의 상부 고정용 철물(L=1.9m,W=8kg)이 떨어지면서(H=17.0m) 재해자의 머리에 맞아 사망"/>
    <s v="지상에서 하역자재 받는 작업 중 지상 3층 철골 작업용 테크플레이트 묶음의 상부 고정용 철물이 떨어지면서 근로자에게 낙하 "/>
    <s v="▶ 테크플레이트 설치작업 시 낙하물에 의한 위험방지조치 철저_x000a_▶ 관리감독자의 유해ㆍ위험방지 업무 철저 "/>
  </r>
  <r>
    <n v="4"/>
    <x v="4"/>
    <x v="10"/>
    <x v="15"/>
    <s v="YES"/>
    <x v="0"/>
    <x v="0"/>
    <s v="해당없음"/>
    <s v="해당없음"/>
    <s v="해당없음"/>
    <s v="2019년 3월경"/>
    <d v="2019-03-01T00:00:00"/>
    <n v="3"/>
    <s v="-"/>
    <x v="3"/>
    <s v="2019년 3월경 현장 내 지하 2층 계단실에서 재해자가 미장 작업준비 중 타 작업자가 상부층(1층)에서 기준층(6층)으로 철물공사에 사용할 자재가 담긴 용기(전체 무게 약 20Kg)를 계단실 OPEN부로 양중장치(미니윈치)를 이용해 들어올리는 과정에서 계단실에 기 설치된 안전난간에 용기가 충돌하며 용기의 손잡이가 빠져 용기가 지하 2층(H≒9.4m)으로 낙하하면서 재해자 두부를 강타하여 사망"/>
    <s v="철물공사에 사용할 자재가 담긴 용기를 양중장치를 이용해 들어올리는 과정에서 기 설치된 안전난간에 용기가 충돌하여 근로자에게 낙하 "/>
    <s v="▶ 자재인양 작업 시 낙하위험 지역에 대해 근로자 출입 통제_x000a_▶ 개인보호구 착용 및 관리 철저 "/>
  </r>
  <r>
    <n v="4"/>
    <x v="4"/>
    <x v="11"/>
    <x v="16"/>
    <s v="YES"/>
    <x v="0"/>
    <x v="0"/>
    <s v="해당없음"/>
    <s v="해당없음"/>
    <s v="해당없음"/>
    <s v="2019년 8월 "/>
    <d v="2019-08-01T00:00:00"/>
    <n v="8"/>
    <s v="혹서기"/>
    <x v="0"/>
    <s v="2019년 8월 OO(주)에서 시공중인 기계설비공사 현장에서 재해자(방수공)이 지하3층 환기용 배기구 방수턱 방수 작업상태 확인 또는 잔손보기 작업 중, 환기용 배기구 상부에서 사각파이프 등이 떨어져 머리부분에 맞아 사망(추정)"/>
    <s v="환기용 배기구 방수턱 방수 작업상태 확인 또는 잔손보기 작업 중 낙하물 위험방지조치 없는 상태에서 환기용 배기구 상부에서 사각파이프 등의 낙하로 근로자 머리 가격"/>
    <s v="▶ 근로자가 작업으로 인해 물체가 떨어지거나 날아올 위험이 있는 장소에서 작업 시 낙하물방지망, 수직보호망 또는 봉호선반의 설치 등 위험을 방지하기 위해 필요한 조치 실시_x000a_▶ 물체가 떨어지거나 날아올 위험이 있는 장소에는 관계자 외 아닌 사람 출입 금지 조치 실시"/>
  </r>
  <r>
    <n v="4"/>
    <x v="4"/>
    <x v="12"/>
    <x v="17"/>
    <s v="YES"/>
    <x v="0"/>
    <x v="0"/>
    <s v="해당없음"/>
    <s v="해당없음"/>
    <s v="해당없음"/>
    <s v="2017년 3월경"/>
    <d v="2017-03-01T00:00:00"/>
    <n v="3"/>
    <s v="-"/>
    <x v="0"/>
    <s v="2017년 3월경 OO물류창고 신축공사 현장 4층 슬라브 지붕구조틀 야적장에서 협력업체 소속 재해자가 이동식크레인으로 인양하던 지붕구조틀이 아랫단 지붕구조틀과의 임시용접된 부분이 미절단되어 인양이 되지 않아 하강시킬 때, 하강중인 지붕구조틀 내부로 들어가 임시용접부분을 절단하는 순간  하강작업이 끝나지 않아 반발력이 생겨 솟아 오른 지붕구조틀에  흉부를 가격 당하여 사망"/>
    <s v="이동식크레인에 양중물을 매달은 상태로 양중물 하단의 접합부(용접부)를 절단하는 순간 반발력으로 튕겨오른 양중물에 맞음"/>
    <s v="▶ 중량물 취급 작업계획서 수립 및 준수, 근로자 내용 주지  _x000a_▶ 양중작업 중 양중물에 대한 조치가 필요한 경우 양중물을 지면에 안전하게 내려놓은 후 작업_x000a_▶ 중량물 양중작업 시 작업반경 내 접근통제 조치 및 작업지휘자 배치"/>
  </r>
  <r>
    <n v="4"/>
    <x v="4"/>
    <x v="12"/>
    <x v="18"/>
    <s v="YES"/>
    <x v="0"/>
    <x v="0"/>
    <s v="해당없음"/>
    <s v="해당없음"/>
    <s v="해당없음"/>
    <s v="2020년 2월경"/>
    <d v="2020-02-01T00:00:00"/>
    <n v="2"/>
    <s v="혹한기"/>
    <x v="2"/>
    <s v="2020년 2월경 OO오피스텔 신축공사 현장에서 재해자가 현장출입문 상부 입간판 해체를 위하여 약 5.5M 높이의 지주 각파이프 위에서 작업 중 몸의 중심을 잃고 추락하여 사망"/>
    <s v="현장 출입문 지주 위 각파이프(디딤폭 10cm) 상부에서 입간판을 해체 하던 중 발을 헛디뎌 바닥으로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
  </r>
  <r>
    <n v="4"/>
    <x v="4"/>
    <x v="12"/>
    <x v="18"/>
    <s v="YES"/>
    <x v="0"/>
    <x v="0"/>
    <s v="해당없음"/>
    <s v="해당없음"/>
    <s v="해당없음"/>
    <s v="2020년 3월경"/>
    <d v="2020-03-01T00:00:00"/>
    <n v="3"/>
    <s v="-"/>
    <x v="5"/>
    <s v="2020년 3월경 창고 증축공사 현장에서 재해자가 기존 창고 구조물 각형강관(T자형)의 용접부위를 절단하는 해체작업 중, 각형강관 (100×100×3.2t) 수직재(H=3.7m)가 재해자와 함께 넘어지면서 콘크리트 바닥에 후두부를 부딪쳐 사망"/>
    <s v="강관부재 해체작업 중 기존 구조물에서 분리되지 않은 부재를 흔들다가 부재가 탈락, 전도되면서 재해자가 함께 넘어짐"/>
    <s v="▶ 양중작업 시 작업반경 내 출입통제 조치_x000a_▶ 중량물 취급작업 시 작업방법 및 상태를 고려하여 작업계획서 작성 및 근로자 주지_x000a_▶ 개인보호구(안전모) 착용관리 철저"/>
  </r>
  <r>
    <n v="4"/>
    <x v="4"/>
    <x v="13"/>
    <x v="19"/>
    <s v="YES"/>
    <x v="0"/>
    <x v="0"/>
    <s v="해당없음"/>
    <s v="해당없음"/>
    <s v="해당없음"/>
    <s v="2016년 9월경"/>
    <d v="2016-09-01T00:00:00"/>
    <n v="9"/>
    <s v="-"/>
    <x v="0"/>
    <s v="2016년 9월경 OO교회 신축공사 현장에서 인테리어 공사 협력업체 소속 재해자가 합판 운반 작업 중 2~3층 계단참에 적재한 합판이 전도되면서 계단을 내려가는 재해자를 덮쳐 바닥으로 넘어짐"/>
    <s v="계단참에 기울여 세워둔 자재(합판)가 작업충격 등에 의해 전도되면서 계단을 내려가던 재해자가 맞음"/>
    <s v="▶ 자재 적재 시 낙하 위험이 없는 구간에 눕혀서 적재하도록 하고, 만약 세워서 적재할 경우 길이가 긴 변을 바닥으로 적재한 후 자재 하단에 전도 방지를 위한 받침 등의 안전 조치_x000a_▶ 작업자의 개인보호구 착용상태 점검 및 관리감독"/>
  </r>
  <r>
    <n v="4"/>
    <x v="4"/>
    <x v="14"/>
    <x v="20"/>
    <s v="YES"/>
    <x v="0"/>
    <x v="0"/>
    <s v="해당없음"/>
    <s v="해당없음"/>
    <s v="해당없음"/>
    <s v="2021년 2월경"/>
    <d v="2021-02-01T00:00:00"/>
    <n v="2"/>
    <s v="혹한기"/>
    <x v="2"/>
    <s v="2021년 2월경 OO 축사 증축공사 현장에서 재해자(보통인부)가 지붕판넬 상부에서 인양벨트 해체를위해 이동하던 중 갑작스러운 돌풍으로 인해 솟구치는 지붕판넬(EPS판넬, 11,850×100×75mm)에 맞아 약 10m 아래 콘크리트 바닥으로 떨어져 사망"/>
    <s v="지붕에서 이동하던 중 순간 돌풍에 의해 솟구치는 마감재에 부딪힌 후 바닥으로 추락"/>
    <s v="▶ 지붕 등 추락 위험 구간의 이동 및 작업 전 안전대 부착설비를 설치하고 근로자 이동 및 작업 시 안전대 체결여부 점검 및 관리감독_x000a_▶ 지붕 단부 구간에는 작업발판 및 안전난간 등을 설치하여 추락 방지 조치_x000a_▶ 작업자의 개인보호구 착용상태 점검 및 관리감독"/>
  </r>
  <r>
    <n v="4"/>
    <x v="4"/>
    <x v="14"/>
    <x v="20"/>
    <s v="YES"/>
    <x v="0"/>
    <x v="0"/>
    <s v="해당없음"/>
    <s v="해당없음"/>
    <s v="해당없음"/>
    <s v="2021년 9월경"/>
    <d v="2021-09-01T00:00:00"/>
    <n v="9"/>
    <s v="-"/>
    <x v="2"/>
    <s v="2021년 9월경 OO소재 식당 건물 뒤편의 비가림막 용도 캐노피 설치공사 현장에서 재해자(보통인부)가 캐노피 상부에서 발판으로 사용하기 위한 합판을 옮기던 중 약 3.3미터 높이에서 떨어져 사망"/>
    <s v="캐노피 상부에서 자재를 운반하던 중 발을 헛디뎌 바닥으로 추락"/>
    <s v="▶ 추락 위험이 있는 고소작업 시 이동식비계 등의 작업발판을 설치하고 발판 등의 단부 구간에는 추락방지용 안전시설물(안전난간, 안전대 부착설비 등) 설치를 통한 추락 방지 조치_x000a_▶ 작업자의 개인보호구 착용상태 및 안전대 체결여부 점검 및 관리감독"/>
  </r>
  <r>
    <n v="5"/>
    <x v="5"/>
    <x v="15"/>
    <x v="21"/>
    <s v="YES"/>
    <x v="0"/>
    <x v="0"/>
    <s v="해당없음"/>
    <s v="해당없음"/>
    <s v="해당없음"/>
    <s v="2020년 6월경"/>
    <d v="2020-06-01T00:00:00"/>
    <n v="6"/>
    <s v="혹서기"/>
    <x v="3"/>
    <s v="2020년 6월경 OO 공사용 자재 야적장에서 차량 탑재형 이동식크레인의 적재함에 실려 있는 전신주를 하역하기 위해 재해자가 크레인 훅에 걸려진 줄걸이용 와이어로프를 전신주에 체결하고 수평으로 무게 중심을 잡던 중 함께 실려 있던 강관주가 적재함에서 미끄러지며 낙하하면서 전신주와 강관주 사이에 재해자가 끼임"/>
    <s v="이동식크레인의 적재함에 실려 있는 전신주를 하역하기 위해 크레인 훅에 걸려진 줄걸이용 와이어로프를 전신주에 체결하고 수평으로 무게 중심을 잡던 중 함께 실려 있던 강관주가 적재함에서 미끄러지며 낙하"/>
    <s v="▶ 적재함내의 자재를 양중시, 양중물과 적재함 자재와 분리한 후 양중 (엉켜있는 자재는 제거 후 양중작업 실시)_x000a_   - 양중시 지상에서 50cm 띄운후 줄걸이 고정상태 사전 확인 후 양중_x000a_▶ 인양물을 양중시 작업반경내 근로자 접근통제"/>
  </r>
  <r>
    <n v="5"/>
    <x v="5"/>
    <x v="16"/>
    <x v="22"/>
    <s v="YES"/>
    <x v="0"/>
    <x v="0"/>
    <s v="해당없음"/>
    <s v="해당없음"/>
    <s v="해당없음"/>
    <s v="2021년 9월경"/>
    <d v="2021-09-01T00:00:00"/>
    <n v="9"/>
    <s v="-"/>
    <x v="2"/>
    <s v="2021년 9월경 OO 이전공사(설비) 공사현장에서 재해자가 해당 빌딩 지상 2층 외측 발코니에서 설비자재를 반입하던 중, 밟고 있던 발코니 하부 합판이 파손되면서 높이 약 4.5m 아래 지상1층 바닥으로 추락"/>
    <s v="현장에서 임의로 만든 개구부 덮개를 밟고 작업중 개구부 덮개가 부서지면서 근로자가 바닥으로 추락함"/>
    <s v="▶ 개구부 발생시 개구부 덮개 설치 및 위험표지 부착 (개구부덮개는 단단한 구조로 제작)_x000a_▶ 개구부 덮개 미설치시 주변 안전난간대 설치"/>
  </r>
  <r>
    <n v="5"/>
    <x v="5"/>
    <x v="16"/>
    <x v="23"/>
    <s v="YES"/>
    <x v="0"/>
    <x v="0"/>
    <s v="해당없음"/>
    <s v="해당없음"/>
    <s v="해당없음"/>
    <s v="2018년 12월"/>
    <d v="2018-12-01T00:00:00"/>
    <n v="12"/>
    <s v="혹한기"/>
    <x v="2"/>
    <s v="2018년 12월경 OO병원 신축공사 현장에서 재해자가 천장마감재(텍스타일) 상부(높이 2.5m)에 올라가 공조기 배관 설치작업을 하던 중-*천장받침재(T-bar)가 재해자의 하중을 이기지 못하고 고정부가 탈락되면서 바닥으로 떨어짐"/>
    <s v="천장마감재(텍스타일) 상부에 올라가 공조기 배관 설치 보조작업 중 천장받침대(T-bar)가 근로자의 하중을 이기지 못하고 고정부가 탈락되면서 바닥으로 추락"/>
    <s v="▶ 추락 위험이 있는 고소작업 시, 이동식비계, 작업발판 설치 등을 통한 추락방지조치 실시_x000a_▶ 천장 공조기 배관설치작업은 천장마감공가보다 우선 공사를 진행하여 작업장 조도 확보 및 작업발판 설치 후 작업하는 공정관리 조치 실시"/>
  </r>
  <r>
    <n v="6"/>
    <x v="6"/>
    <x v="17"/>
    <x v="24"/>
    <s v="YES"/>
    <x v="0"/>
    <x v="0"/>
    <s v="해당없음"/>
    <s v="해당없음"/>
    <s v="해당없음"/>
    <s v="2019년 3월경"/>
    <d v="2019-03-01T00:00:00"/>
    <n v="3"/>
    <s v="-"/>
    <x v="0"/>
    <s v="2019년 3월경 협력업체 OOOO 소속 재해자 OOO가 동료근로자 4명과 함께 골프장 11번 홀 훼손된 잔디 이식작업 중 주변에서 불어온강한 바람과 함께 많은 먼지 발생 후 동료근로자들 옆에 쓰러져, 119구조대 차량으로인근 병원으로 이송되었으나 사망한 재해임"/>
    <s v="잔디 이식작업 중 주변 강한 바람으로 합판이 날아와 근로자와 충돌"/>
    <s v="▶ 바람 등 기상상태 불안정으로 인하여 근로자가 위험해질 우려가 있는 경우 작업 중지"/>
  </r>
  <r>
    <n v="8"/>
    <x v="7"/>
    <x v="18"/>
    <x v="25"/>
    <s v="NO"/>
    <x v="0"/>
    <x v="0"/>
    <s v="해당없음"/>
    <s v="해당없음"/>
    <s v="해당없음"/>
    <s v="2017년 1월 "/>
    <d v="2017-01-01T00:00:00"/>
    <n v="1"/>
    <s v="혹한기"/>
    <x v="1"/>
    <s v="2017년 1월 고속국도 건설공사에서 재해자가 교량 제작장 몰드커버 해체작업 중 거치되어 있던 몰드커버가 전도되면서 끼여 사망"/>
    <s v="레일기초와 교량거푸집 상부에 경사지게 거치된 몰드커버가 전도되며 기둥강관더미와 바닥 경사면 사이에 깔림"/>
    <s v="▶ 몰드커버 해체작업 시, 사전에 적절한 작업순서를 수립_x000a_▶ 크레인으로 인양작업 시, 작업반경 내 작업자 접근 금지조치"/>
  </r>
  <r>
    <n v="1"/>
    <x v="8"/>
    <x v="19"/>
    <x v="26"/>
    <s v="YES"/>
    <x v="1"/>
    <x v="1"/>
    <s v="12대 기인물"/>
    <n v="1"/>
    <n v="0.09"/>
    <s v="2019년 3월경"/>
    <d v="2019-03-01T00:00:00"/>
    <n v="3"/>
    <s v="-"/>
    <x v="2"/>
    <s v="2019년 3월경 OO공사에서 재해재가 장비 진입로를 위해 방호시설(나무합판, 석자재, 고체연료통)을 이동시키던 중 개구부에 빠져 약 4.7m 아래인 지하층 바닥으로 추락하여 사망"/>
    <s v="장비 진입을 위한 현장 정리 중 개구부를 인식하지 못하고 실족하여 추락"/>
    <s v="▶ 추락 위험 구간 접근금지 표지 설치_x000a_▶ 개구부 덮개 설치 및 위험표지 부착"/>
  </r>
  <r>
    <n v="1"/>
    <x v="8"/>
    <x v="19"/>
    <x v="27"/>
    <s v="YES"/>
    <x v="1"/>
    <x v="2"/>
    <s v="12대 기인물"/>
    <n v="1"/>
    <n v="0.09"/>
    <s v="2016년 1월경"/>
    <d v="2016-01-01T00:00:00"/>
    <n v="1"/>
    <s v="혹한기"/>
    <x v="2"/>
    <s v="2016년 1월경 OO공사에서 재해자가 하천 유입수가 고인 기초 굴착부 주변으로 설치해둔 로프에 위험표지를 부착하던 중 몸의 중심을 잃고 굴착부로 빠져 익사로 사망"/>
    <s v="기초 굴착부에 하천수 유입으로 생긴 물 웅덩이 주변으로 설치된 로프에 위험표지를 부착하던 중 동결된 토사에서 미끄러지면서 물웅덩이에 빠져 익사"/>
    <s v="▶ 기초 굴착부에 PE드럼 및 로프를 설치하며 PE 드럼이 안전난간의 역할을 수행할 수 있게 안에 중량물(물, 모래, 흙 등)을 채움_x000a_▶ 교각 기초굴착 단부에 근로자가 추락할 위험이 있는 경우 충분한 강도가 지닌 안전난간 등의 추락방지 조치 실시"/>
  </r>
  <r>
    <n v="1"/>
    <x v="8"/>
    <x v="20"/>
    <x v="28"/>
    <s v="YES"/>
    <x v="1"/>
    <x v="1"/>
    <s v="12대 기인물"/>
    <n v="1"/>
    <n v="0.09"/>
    <s v="2019년 10월"/>
    <d v="2019-10-01T00:00:00"/>
    <n v="10"/>
    <s v="-"/>
    <x v="2"/>
    <s v="2019년 10월경 재해자가 PRD(현장타설말뚝) 콘크리트 타설 후에 물청소용으로 사용할 물 호스를 뒷걸음(추정)으로 이동 시키던 중, 측량을 위하여 덮개를 열어 놓았던 개구부[PRD 천공 컷팅홀(□ 100x100Cm)]에 추락[지하2층 바닥(H≒9.95m)]하여 사망"/>
    <s v="콘크리트 말뚝 타설 후 물청소용으로 사용할 물 호스를 이동 중 측량을 위해 덮개를 열어놓은 개구부[PRD 천공 컷팅홀]에 추락"/>
    <s v="▶ 추락 위험이 있는 장소에 방호조치를 가진 안전울(안전난간), 추락방망 등을 설치 및 개구부 표시 조치_x000a_▶ 측량을 위해 개구부 덮개를 제거할 시 측량작업에 영향이 없는 안전울(안전난간)을 제작 및 설치"/>
  </r>
  <r>
    <n v="12"/>
    <x v="1"/>
    <x v="2"/>
    <x v="3"/>
    <s v="YES"/>
    <x v="1"/>
    <x v="1"/>
    <s v="12대 기인물"/>
    <n v="1"/>
    <n v="0.09"/>
    <s v="2016년 12월"/>
    <d v="2016-12-01T00:00:00"/>
    <n v="12"/>
    <s v="혹한기"/>
    <x v="2"/>
    <s v="2016년 12월경 OO증축공사 현장 지상4층(옥상)에서 철거공인 재해자가  폐기물 반출작업 중 몸의 중심을 잃고 슬래브 단부 약 10.7m아래 엘리베이터 피트 바닥에 추락하여 사망"/>
    <s v="엘레베이터 옥상 슬라브 단부에서 윈치를 이용하여 폐기물을 반출하기 위해 안전난간대 하부 개구부로 몸을 내밀어 윈치 인양고리 잡으려던 중 몸의 중심을 잃고 엘리베이터 피드 바닥으로 추락"/>
    <s v="▶ 개구부 등 추락단부 안전난간대 설치 등 추락방호조치 실시_x000a_▶ 불가피한 사유로 안전난간대 해체해야하는 경우 안전대부착설비 설치 및 안전대 체결 후 작업"/>
  </r>
  <r>
    <n v="12"/>
    <x v="1"/>
    <x v="2"/>
    <x v="3"/>
    <s v="YES"/>
    <x v="1"/>
    <x v="1"/>
    <s v="12대 기인물"/>
    <n v="1"/>
    <n v="0.09"/>
    <s v="2018년 5월경"/>
    <d v="2018-05-01T00:00:00"/>
    <n v="5"/>
    <s v="-"/>
    <x v="2"/>
    <s v="2018년 5월경 OO리모델링 현장 2층에서 재해자가 주방조적벽체 해체를 위해 주방발코니쪽에서 그라인더를 이용 벽체를 상단에서 하단으로 절단 중 그라인더날이 상단 조적벽체에 끼여 힘을 주어 빼내던중 기계와 함께 발코니 난간(H=70cm) 아래로(H=6m) 추락하여 사망"/>
    <s v="주방조적벽체 해체 작업 중 그라인더날이 조적벽체에 끼여 빼내던 중 기계와 함께 발코니 난간 아래로(70CM) 추락"/>
    <s v="▶ 개구부 등 추락단부 안전난간대 설치 등 추락방호조치 실시_x000a_▶ 근로자의 개인보호구, 안전대 체결여부 점검 및 관리감독"/>
  </r>
  <r>
    <n v="12"/>
    <x v="1"/>
    <x v="2"/>
    <x v="3"/>
    <s v="YES"/>
    <x v="1"/>
    <x v="2"/>
    <s v="12대 기인물"/>
    <n v="1"/>
    <n v="0.09"/>
    <s v="2018년 8월경"/>
    <d v="2018-08-01T00:00:00"/>
    <n v="8"/>
    <s v="혹서기"/>
    <x v="2"/>
    <s v="2018년 8월경 OO철거공사 현장에서 재해자가 건물 옥상 바닥에 서서 상부 이동식크레인의 인양물(산소통 등 용단기구)을 신호하던 중 폐기물 투척구 겸 자재반입구(90cm x 120cm)에서 실족하여 지상 1층 바닥(H≒10m)으로 추락하여 사망"/>
    <s v="건축물 철거현장 옥상에서 이동식 크레인의 인양물 신호를 하던 중 실족하여 자재반입구를 통해 바닥으로 추락"/>
    <s v="▶ 개구부 등 추락단부 안전난간대 설치 등 추락방호조치 실시_x000a_▶ 근로자의 개인보호구, 안전대 체결여부 점검 및 관리감독"/>
  </r>
  <r>
    <n v="12"/>
    <x v="1"/>
    <x v="2"/>
    <x v="3"/>
    <s v="YES"/>
    <x v="1"/>
    <x v="1"/>
    <s v="12대 기인물"/>
    <n v="1"/>
    <n v="0.09"/>
    <s v="2019년 4월경"/>
    <d v="2019-04-01T00:00:00"/>
    <n v="4"/>
    <s v="-"/>
    <x v="2"/>
    <s v="2019년 4월경 OO철거 및 벽체 도장 공사를 위해 재해자가 동료작업자 2명과 함께 샌드위치 판넬 철거 작업 중에 의식을 잃고 바닥에 쓰러져 사망"/>
    <s v="지붕판넬 철거작업 중 경사면에 미끄러지면서 철거된 판넬 개구부를 통해 추락"/>
    <s v="▶ 추락방호망, 안전대 부착설비 설치, 근로자의 안전대 체결 등 안전방호조치 실시_x000a_▶ 근로자의 개인보호구, 안전대 체결여부 점검 및 관리감독"/>
  </r>
  <r>
    <n v="12"/>
    <x v="1"/>
    <x v="2"/>
    <x v="3"/>
    <s v="YES"/>
    <x v="1"/>
    <x v="1"/>
    <s v="12대 기인물"/>
    <n v="1"/>
    <n v="0.09"/>
    <s v="2020년 5월경"/>
    <d v="2020-05-01T00:00:00"/>
    <n v="5"/>
    <s v="-"/>
    <x v="2"/>
    <s v="2020년 5월경 OO(주) 공장건물 지붕에서 재해자가 지붕 판넬 철거작업을 위해 공장건물 지붕에서 판넬 고정나사를 제거 후 이동하던 중 판넬이 경사면을 따라 미끄러지면서 재해자가 판넬과 함께 공장 바닥(H≒3m)으로 추락하여 사망"/>
    <s v="지붕판넬 철거작업 중 경사면에 미끄러지면서 철거된 판넬 개구부를 통해 추락"/>
    <s v="▶ 추락방호망, 안전대 부착설비 설치, 근로자의 안전대 체결 등 안전방호조치 실시_x000a_▶ 근로자의 개인보호구, 안전대 체결여부 점검 및 관리감독"/>
  </r>
  <r>
    <n v="12"/>
    <x v="1"/>
    <x v="3"/>
    <x v="29"/>
    <s v="YES"/>
    <x v="1"/>
    <x v="2"/>
    <s v="12대 기인물"/>
    <n v="1"/>
    <n v="0.09"/>
    <s v="2017년 12월"/>
    <d v="2017-12-01T00:00:00"/>
    <n v="12"/>
    <s v="혹한기"/>
    <x v="2"/>
    <s v="2017년 12월경 OO건설 토목공사현장에서 재해자 등 2명이 수로박스 내부 준공청소를 위해 수로박스 점검구 덮개(스틸 그레이팅)를 맨손으로 몸쪽으로 당기며 개방하던 중 걸침턱이 없던 좌측방향으로 전도되며 하부로 떨어질 때 동료작업자는 손을 놓았지만 재해자는 덮개와 함께 하부로 떨어져(H≒3m) 사망"/>
    <s v="수로박스 내부 준공청소를 위해 점검구 덮개를 맨손으로 당기며 개방하던 중 걸침턱이 없던 좌측방향으로 전도되며 하부로 떨어짐"/>
    <s v="▶ 근로자 추락 위험이 있는 장소에 안전대 부착 설비 설치, 안전대 착용 등 추락방지 조치 실시_x000a_▶ 스틸 그레이팅 덮개 개방시 근로자가 직접 하는 것이 아닌 이동식 크레인 등 인양장비를 이용하여 Belt Sling 등 사용"/>
  </r>
  <r>
    <n v="12"/>
    <x v="1"/>
    <x v="3"/>
    <x v="29"/>
    <s v="YES"/>
    <x v="1"/>
    <x v="1"/>
    <s v="12대 기인물"/>
    <n v="1"/>
    <n v="0.09"/>
    <s v="2019년 4월경"/>
    <d v="2019-04-01T00:00:00"/>
    <n v="4"/>
    <s v="-"/>
    <x v="2"/>
    <s v="2019년 4월경 OO공장 신축공사 현장에서 재해자는 건물내부 청소작업 중 발생되는 쓰레기를 반출하고자 카리프트 겸용 화물용승강기 운반구에 싣던 중 벽체와 일부 개방된 화물용 승강기 운반구 도어의 수직 개구부를 통해 아래(약 H=22m)로 추락"/>
    <s v="자재 운반 및 작업 중 안전난간이 미설치된 창호 개구부 등을 통해 근로자 추락"/>
    <s v="▶ 창호 개구부 등 추락의 위험이 있는 장소에는 안전난간대 설치 또는 수직형 추락방망 등 추락방지용 안전시설물을 설치하여 근로자 추락을 예방_x000a_▶ 설치된 안전시설물에 대해 유지관리하고, 임의 해체 예방을 위한 관리감독"/>
  </r>
  <r>
    <n v="12"/>
    <x v="1"/>
    <x v="3"/>
    <x v="29"/>
    <s v="YES"/>
    <x v="1"/>
    <x v="2"/>
    <s v="12대 기인물"/>
    <n v="1"/>
    <n v="0.09"/>
    <s v="2019년 8월경"/>
    <d v="2019-08-01T00:00:00"/>
    <n v="8"/>
    <s v="혹서기"/>
    <x v="2"/>
    <s v="2019년 8월경 지하주차장 청소작업을 하던 재해자가 폐쇄형 점검구 내부에서 몸의 중심을 잃고, 점검구 내 개구부(△2.3x2.4x3.2m) 약 5m 아래 콘크리트 바닥으로 떨어져 사망"/>
    <s v="덮개가 고정되지 않은 개구부 인근에서 작업 중 바닥으로 추락함"/>
    <s v="▶ 추락을 방지하기 위한 안전대 체결_x000a_▶ 개구부 덮개 설치 및 위험표지 부착"/>
  </r>
  <r>
    <n v="12"/>
    <x v="1"/>
    <x v="3"/>
    <x v="29"/>
    <s v="YES"/>
    <x v="1"/>
    <x v="2"/>
    <s v="12대 기인물"/>
    <n v="1"/>
    <n v="0.09"/>
    <s v="2020년 2월경"/>
    <d v="2020-02-01T00:00:00"/>
    <n v="2"/>
    <s v="혹한기"/>
    <x v="2"/>
    <s v="2020년 2월경 OO건설 공사현장에서 청소 작업을 하던 작업자가 지하1층 바닥 개구부(1.2mX0.7m)에서 지하2층 저수조 바닥으로 추락(H=5.0m)하여 사망"/>
    <s v="덮개가 고정되지 않은 개구부 인근에서 작업 중 바닥으로 추락함"/>
    <s v="▶ 방지하기 위한 안전대 착용_x000a_▶ 개구부 덮개 설치 및 위험표지 부착"/>
  </r>
  <r>
    <n v="12"/>
    <x v="1"/>
    <x v="3"/>
    <x v="29"/>
    <s v="YES"/>
    <x v="1"/>
    <x v="2"/>
    <s v="12대 기인물"/>
    <n v="1"/>
    <n v="0.09"/>
    <s v="2020년 10월"/>
    <d v="2020-10-01T00:00:00"/>
    <n v="10"/>
    <s v="-"/>
    <x v="2"/>
    <s v="2020년 10월경 OO 공동주택 신축공사 현장에서 재해자가 옥상 비상용 엘리베이터 자재반입구로 들어가 피트 개구부로 실족하여 지하2층 피트바닥으로 떨어져(높이 약47.4m) 사망"/>
    <s v="안전난간이 미설치된 엘리베이터 피트 개구부로 실족하여 피트 바닥으로 추락함"/>
    <s v="▶ 추락 위험이 있는 곳에 근로자 출입 통제_x000a_▶ 엘리베이터 피트에 난간 설치 및 추락방호망 설치"/>
  </r>
  <r>
    <n v="12"/>
    <x v="1"/>
    <x v="3"/>
    <x v="30"/>
    <s v="YES"/>
    <x v="1"/>
    <x v="2"/>
    <s v="12대 기인물"/>
    <n v="1"/>
    <n v="0.09"/>
    <s v="2017년 11월"/>
    <d v="2017-11-01T00:00:00"/>
    <n v="11"/>
    <s v="-"/>
    <x v="2"/>
    <s v="2017년 11월경 OO신축공사 현장에서, 재해자가 지상2층 EPS실 내부 청소작업 중, 수직트레이 설치용 바닥개구부 바닥면에 부착되어 있던 합판(개구부 설치용 박스거푸집의 바닥면)을 밟고, 합판 위에 있었던 쓰레기를 치우던 중 합판이 탈락되며 높이 약10m아래로 떨어져 사망"/>
    <s v="덮개가 고정되지 않은 개구부 인근에서 작업 중 바닥으로 추락함"/>
    <s v="▶ 개구부로 근로자가 추락할 위험이 있는 장소에 덮개를 뒤집히거나 떨어지지 않도록 설치_x000a_▶ 덮개해체 시 안전방망 설치 또는 근로자에게 안전대를 지급하여 착용 및 부착설비에 걸고 작업 실시"/>
  </r>
  <r>
    <n v="12"/>
    <x v="1"/>
    <x v="3"/>
    <x v="4"/>
    <s v="YES"/>
    <x v="1"/>
    <x v="1"/>
    <s v="12대 기인물"/>
    <n v="1"/>
    <n v="0.09"/>
    <s v="2017년 2월경"/>
    <d v="2017-02-01T00:00:00"/>
    <n v="2"/>
    <s v="혹한기"/>
    <x v="2"/>
    <s v="2017년 2월경 도시형생활주택 신축공사 현장에서 재해자가 동 외부 시스템비계를 통해 약 1.2m 건너편에 설치된 다른 동 외부 시스템비계로 건너가던 중 몸의 중심을 잃고 약 14.3m아래 지상으로 추락하여 사망"/>
    <s v="외부비계 내∙외부 안전난간을 해체 하던 중, 근로자가 비계 내부 구조물 바닥으로 추락 "/>
    <s v="▶ 추락위험 장소에서 임시로 안전난간 해체 시 추락방호망 등 추가 안전조치 실시_x000a_▶ 추락방호망 등의 설치가 곤란할 경우 안전대 부착설비 설치 및 안전대 착용"/>
  </r>
  <r>
    <n v="12"/>
    <x v="1"/>
    <x v="3"/>
    <x v="4"/>
    <s v="YES"/>
    <x v="1"/>
    <x v="1"/>
    <s v="12대 기인물"/>
    <n v="1"/>
    <n v="0.09"/>
    <s v="2018년 12월"/>
    <d v="2018-12-01T00:00:00"/>
    <n v="12"/>
    <s v="혹한기"/>
    <x v="2"/>
    <s v="2018년 12월경 크레인으로 벽체 조립용 철근을 지상에서 4F 바닥으로 인양작업 중 크레인 붐대에 외부비계(System)의 안전난간이 간섭되자 재해자가 5F 높이의 외부비계 내외부 안전난간을 해체하던 중 구조물 4F 바닥으로 추락(H≒4.6m)하여 사망"/>
    <s v="외부비계 내∙외부 안전난간을 해체 하던 중, 근로자가 비계 내부 구조물 바닥으로 추락 "/>
    <s v="▶ 추락위험 장소에서 임시로 안전난간 해체 시 추락방호망 등 추가 안전조치 실시_x000a_▶ 추락방호망 등의 설치가 곤란할 경우 안전대 부착설비 설치 및 안전대 착용"/>
  </r>
  <r>
    <n v="12"/>
    <x v="1"/>
    <x v="3"/>
    <x v="4"/>
    <s v="YES"/>
    <x v="1"/>
    <x v="1"/>
    <s v="12대 기인물"/>
    <n v="1"/>
    <n v="0.09"/>
    <s v="2019년 7월경"/>
    <d v="2019-07-01T00:00:00"/>
    <n v="7"/>
    <s v="혹서기"/>
    <x v="2"/>
    <s v="2019년 7월경 OO(주)가 시공하는 PLANT 공사 현장에서 재해자가 공장 타워동 3.5층(3층과 4층사이 Work Plate)에 비계설치 작업을 위해 자재를 운반하던 중, 몸의 균형을 잃고 개구부(1.8m×1.7m)에서 공장 1층 바닥(H≒24m)으로 추락하여 사망"/>
    <s v="안전난간이 미설치된 개구부 주변에서 작업 중 몸의 중심을 잃고 추락"/>
    <s v="▶ 추락위험 장소에서 임시로 안전난간 해체 시 추락방호망 등 추가 안전조치 실시_x000a_▶ 추락방호망 등의 설치가 곤란할 경우 안전대 부착설비 설치 및 안전대 착용"/>
  </r>
  <r>
    <n v="12"/>
    <x v="1"/>
    <x v="3"/>
    <x v="31"/>
    <s v="YES"/>
    <x v="1"/>
    <x v="1"/>
    <s v="12대 기인물"/>
    <n v="1"/>
    <n v="0.09"/>
    <s v="2018년 5월경"/>
    <d v="2018-05-01T00:00:00"/>
    <n v="5"/>
    <s v="-"/>
    <x v="2"/>
    <s v="2018년 5월경 재해자가 OO공사 현장의 구조물 2층 외부비계에서 낙하물방지망(1단)을 설치하던 중 지하1층 바닥으로 추락(H≒10m)하여  사망"/>
    <s v="외부비계에서 낙하물방지망을 설치하던 중 몸의 중심을 잃고 안전난간이 미설치된 건물 외벽방향으로 실족하여 추락"/>
    <s v="▶ 추락 위험이 있는 작업 시, 낙하물방지망, 쌍줄비계의 작업발판, 안전난간 등 안전방호조치 실시_x000a_▶ 작업 전 안전대 지급 및 착용, 체결상태 관리"/>
  </r>
  <r>
    <n v="12"/>
    <x v="1"/>
    <x v="3"/>
    <x v="31"/>
    <s v="YES"/>
    <x v="1"/>
    <x v="1"/>
    <s v="12대 기인물"/>
    <n v="1"/>
    <n v="0.09"/>
    <s v=" 2021년 1월"/>
    <d v="2021-01-01T00:00:00"/>
    <n v="1"/>
    <s v="혹한기"/>
    <x v="2"/>
    <s v=" 2021년 1월경 OO조성사업 현장에서 재해자가 낙하물 방지망 설치 후 휴식을 취하기 위해 이동 중 절벽 아래로 떨어져(H≒30m) 사망"/>
    <s v="잔도설치 작업을 위해 벼량에서 낙하물 방지망 설치 후 휴식을 취하기 위해 이동 중 실족하여 벼량 아래로 떨어짐"/>
    <s v="▶ 단부 등 추락 가능성이 있는 장소에 대해 조립식 안전난간 설치_x000a_▶ 임시로 난간 등을 해체하여야 하는 경우 해당 구간에 추락방호망 설치_x000a_▶ 추락방호망 설치가 곤란한 경우 안전대 착용 등 추락 방지 조치 수행"/>
  </r>
  <r>
    <n v="12"/>
    <x v="1"/>
    <x v="4"/>
    <x v="32"/>
    <s v="YES"/>
    <x v="1"/>
    <x v="2"/>
    <s v="12대 기인물"/>
    <n v="1"/>
    <n v="0.09"/>
    <s v="2021년 4월경"/>
    <d v="2021-04-01T00:00:00"/>
    <n v="4"/>
    <s v="-"/>
    <x v="2"/>
    <s v="2021년 4월경 OO건설에서 가로주택정비사업 현장에서 재해자는 타워크레인 인상작업 중 Wall Bracing을 설치하던 작업자를 지원하기 위하여 갱폼 작업발판으로 이동(작업) 중 갱폼 바닥 개구부를 통해 약 53m 아래 리프트 방호선반으로 떨어져 사망"/>
    <s v="타워크레인 인상작업중 Wall Bracing을 설치하던 작업자를 지원하기 위하여 갱폼 작업발판으로 이동(작업)중 갱폼 바닥 개구부를 통해 아래 리프트 방호선반으로 떨어짐"/>
    <s v="▶ 갱폼 작업발판과 구조물 사이 개구부가 발생하여 추락위험 장소에는 안전방망 설치_x000a_▶ 갱폼 작업발판에 개구부가 발생한 경우 즉시 덮개 설치 등 방호조치 실시_x000a_▶ 개구부에 난간 등 설치가 어려운 경우 근로자에게 안전대를 착용토록 하고 안전대 부착 설비 설치"/>
  </r>
  <r>
    <n v="12"/>
    <x v="1"/>
    <x v="5"/>
    <x v="6"/>
    <s v="YES"/>
    <x v="1"/>
    <x v="1"/>
    <s v="12대 기인물"/>
    <n v="1"/>
    <n v="0.09"/>
    <s v="2016년 4월경"/>
    <d v="2016-04-01T00:00:00"/>
    <n v="4"/>
    <s v="-"/>
    <x v="2"/>
    <s v="2016년 4월경 OO 목조주택 신축공사 현장에서 재해자가 벽체를 설치하기 위하여 지상2층에서 다른 작업자와 2인 1조로 목재프레임(2,460×2,430mm, 약 70kg)을 운반하던 중, 몸의 중심을 잃고 지상1층 콘크리트 바닥으로 떨어져(H≒2.8m) 사망"/>
    <s v="자재 운반 중 안전난간이 미설치된 바닥개구부로 추락"/>
    <s v="▶ 개구부는 안전난간, 울타리 또는 덮개 등의 방호조치 실시_x000a_▶ 덮개를 설치하는 경우 뒤집히거나 떨어지지 않도록 설치 및 개구부임을 표시_x000a_▶ 높이 2m 이상에서 작업 시 추락방지를 위해 안전대 부착설비 설치 및 안전대 착용 "/>
  </r>
  <r>
    <n v="12"/>
    <x v="1"/>
    <x v="5"/>
    <x v="6"/>
    <s v="YES"/>
    <x v="1"/>
    <x v="1"/>
    <s v="12대 기인물"/>
    <n v="1"/>
    <n v="0.09"/>
    <s v="2016년 11월"/>
    <d v="2016-11-01T00:00:00"/>
    <n v="11"/>
    <s v="-"/>
    <x v="2"/>
    <s v="2016년 11월경 OO시설 현장에서 재해자가 대형 정비고 천장에 설치된 공조기(ERV, 높이:1.87m) Control Box 입선 및 결선작업을 하기위해 공조기 상부로 올라가려던 중 실족하여 높이 약 12m 아래 지상 콘크리트 바닥으로 추락하여 사망"/>
    <s v="천장에 설치된 공조기 입선 및 결선작업을 하기 위해 상부로 올라가던 중 실족하여 바닥으로 추락"/>
    <s v="▶ 방호울 설치 상태 등 기 설치된 안전통로의 기준 준수여부 확인_x000a_▶ 근로자의 개인보호구, 안전대 체결여부 점검 및 관리감독"/>
  </r>
  <r>
    <n v="12"/>
    <x v="1"/>
    <x v="5"/>
    <x v="6"/>
    <s v="YES"/>
    <x v="1"/>
    <x v="2"/>
    <s v="12대 기인물"/>
    <n v="1"/>
    <n v="0.09"/>
    <s v="2017년 6월경"/>
    <d v="2017-06-01T00:00:00"/>
    <n v="6"/>
    <s v="혹서기"/>
    <x v="2"/>
    <s v="2017년 6월경 OO건설에서 시공하는 OO학교 신축공사 현장에서 협력업체 소속 재해자가 기숙사동 폐자재 정리 및 청소 등의 작업 중 지하1층 바닥단부 또는 지상1층 개구부(추락발생장소 미상)에서 피트층 물탱크실 바닥으로 떨어져 사망"/>
    <s v="환기용 개구부 주변 자재 정리하다 개구부 또는 개구부 덮개가 무너지면서 바닥으로 추락"/>
    <s v="▶ 추락 위험이 있는 장소에 비계조립으로 작업발판 설치_x000a_▶ 작업발판 설치가 곤란할 시 추락방호망 설치_x000a_▶ 안전대 지급 및 체결 _x000a_▶ 바닥에 설치되는 개구부 덮개는 식별이 가능하도록 표시함"/>
  </r>
  <r>
    <n v="12"/>
    <x v="1"/>
    <x v="5"/>
    <x v="6"/>
    <s v="YES"/>
    <x v="1"/>
    <x v="1"/>
    <s v="12대 기인물"/>
    <n v="1"/>
    <n v="0.09"/>
    <s v="2017년 11월"/>
    <d v="2017-11-01T00:00:00"/>
    <n v="11"/>
    <s v="-"/>
    <x v="2"/>
    <s v="2017년 11월경 OO신축공장 3층 공사장에서 재해자가 동료작업자와 함께 성형기에서 생산된 가공품을 저장탱크로 이송하는 배관 연결 작업을 한 후 점심식사를 하기 위하여 통로를 이동하던 중 통로 중간이 장애물(안전난간)로 막혀 있자 이를 피해 돌아가려다 개구부(폭 약 77센티미터, 높이 약 3.27미터)에서 추락하여 사망"/>
    <s v="현장 내 이동하던 중 통로 중간이 안전난간으로 막혀있자 이를 피해 돌아가려다 개구부에서 바닥으로 추락"/>
    <s v="▶ 추락위험이 있는 장소에 안전난간, 수직형 추락방망 또는 덮개 등의 방호조치 설치, "/>
  </r>
  <r>
    <n v="12"/>
    <x v="1"/>
    <x v="5"/>
    <x v="6"/>
    <s v="YES"/>
    <x v="1"/>
    <x v="1"/>
    <s v="12대 기인물"/>
    <n v="1"/>
    <n v="0.09"/>
    <s v="2017년 12월"/>
    <d v="2017-12-01T00:00:00"/>
    <n v="12"/>
    <s v="혹한기"/>
    <x v="2"/>
    <s v="2017년 12월경 OO건설(주)에서 시공하는 OO신축공사 현장에서 재해자가 건물후면 지상 1층 외부에서 주변 청소작업 중 환기구 창호 개구부(1,200mm× 1,200mm)를 통해 약 9.7m 아래의 지하2층 발전기실 콘크리트 바닥으로 추락하여 사망"/>
    <s v="환기용 개구부 주변 자재 정리하다 개구부 또는 개구부 덮개가 무너지면서 바닥으로 추락"/>
    <s v="▶ 주락 위험이 있는 개구부 및 개구부 주변에 수직망, 안전난간 설치, 개구부 표시 등 추락위험 방지조치 실시하여 작업자의 접근을 금지하도록 조치_x000a_▶ 추락위험 방지조치가 되어있지 않은 DA 개구부 및 개구부 주변에서 불가피하게 작업을 해야 하는 경우, 안전대 부착설비, 안전난간대 등을 설치한 후, 안전대를 체결하여 작업진행거나 합판, 철제 덮개 등으로 개구부를 단단히 고정한 후 작업진행"/>
  </r>
  <r>
    <n v="12"/>
    <x v="1"/>
    <x v="5"/>
    <x v="6"/>
    <s v="YES"/>
    <x v="1"/>
    <x v="2"/>
    <s v="12대 기인물"/>
    <n v="1"/>
    <n v="0.09"/>
    <s v="2018년 3월경"/>
    <d v="2018-03-01T00:00:00"/>
    <n v="3"/>
    <s v="-"/>
    <x v="2"/>
    <s v="2018년 3월경 OO건설이 시공하는 OO주상복합신축공사 현장에서 재해자가 구조물 지하1층 청소작업 중 바닥개구부(70㎝X50㎝, 지하층 콘크리트타설 압송관용 개구부)로 떨어져(H=7.2m) 사망"/>
    <s v="환기용 개구부 주변 자재 정리하다 개구부 또는 개구부 덮개가 무너지면서 바닥으로 추락"/>
    <s v="▶ 추락 위험이 있는 장소에 비계조립으로 작업발판 설치_x000a_▶ 작업발판 설치가 곤란할 시 추락방호망 설치_x000a_▶ 안전대 지급 및 체결 _x000a_▶ 바닥에 설치되는 개구부 덮개는 식별이 가능하도록 표시함"/>
  </r>
  <r>
    <n v="12"/>
    <x v="1"/>
    <x v="5"/>
    <x v="6"/>
    <s v="YES"/>
    <x v="1"/>
    <x v="1"/>
    <s v="12대 기인물"/>
    <n v="1"/>
    <n v="0.09"/>
    <s v="2018년 4월경"/>
    <d v="2018-04-01T00:00:00"/>
    <n v="4"/>
    <s v="-"/>
    <x v="2"/>
    <s v="2018년 4월경 OO복합시설 신축공사 현장에서 재해자가 드라이 에어리어 인근에서 자재 반출을 위한 정리 작업 중 약 22.0m 아래 지하 6층 바닥으로 추락하여 사망"/>
    <s v="환기용 개구부 주변 자재 정리하다 개구부 또는 개구부 덮개가 무너지면서 바닥으로 추락"/>
    <s v="▶ 주락 위험이 있는 개구부 및 개구부 주변에 수직망, 안전난간 설치, 개구부 표시 등 추락위험 방지조치 실시하여 작업자의 접근을 금지하도록 조치_x000a_▶ 추락위험 방지조치가 되어있지 않은 DA 개구부 및 개구부 주변에서 불가피하게 작업을 해야 하는 경우, 안전대 부착설비, 안전난간대 등을 설치한 후, 안전대를 체결하여 작업진행거나 합판, 철제 덮개 등으로 개구부를 단단히 고정한 후 작업진행"/>
  </r>
  <r>
    <n v="12"/>
    <x v="1"/>
    <x v="5"/>
    <x v="6"/>
    <s v="YES"/>
    <x v="1"/>
    <x v="2"/>
    <s v="12대 기인물"/>
    <n v="1"/>
    <n v="0.09"/>
    <s v="2018년 8월경"/>
    <d v="2018-08-01T00:00:00"/>
    <n v="8"/>
    <s v="혹서기"/>
    <x v="2"/>
    <s v="2018년 8월경 OO건설(주) OO오피스텔 신축공사 현장에서 재해자가 단독으로 지하1층의 철근콘크리트 공사용 자재를 정리하는 작업 중 환기용 수직개구부(Dry Area)를 통해 약 19미터 아래 지하6층 바닥으로 떨어져 사망"/>
    <s v="환기용 개구부 주변 자재 정리하다 개구부 또는 개구부 덮개가 무너지면서 바닥으로 추락"/>
    <s v="▶ 주락 위험이 있는 개구부 및 개구부 주변에 수직망, 안전난간 설치, 개구부 표시 등 추락위험 방지조치 실시하여 작업자의 접근을 금지하도록 조치_x000a_▶ 추락위험 방지조치가 되어있지 않은 DA 개구부 및 개구부 주변에서 불가피하게 작업을 해야 하는 경우, 안전대 부착설비, 안전난간대 등을 설치한 후, 안전대를 체결하여 작업진행거나 합판, 철제 덮개 등으로 개구부를 단단히 고정한 후 작업진행"/>
  </r>
  <r>
    <n v="12"/>
    <x v="1"/>
    <x v="5"/>
    <x v="6"/>
    <s v="YES"/>
    <x v="1"/>
    <x v="2"/>
    <s v="12대 기인물"/>
    <n v="1"/>
    <n v="0.09"/>
    <s v="2018년 8월경"/>
    <d v="2018-08-01T00:00:00"/>
    <n v="8"/>
    <s v="혹서기"/>
    <x v="2"/>
    <s v="2018년 8월경 OO 안전시설물 개선공사 현장에서 재해자가 약품투입동 내부의 혼화지유입조 바닥 점검구 덮개와 약품투입용 FRP배관 교체작업 준비상태를 확인하기 위하여 이동 중 점검구 바닥 개구부로 추락(H≒3m)하여 익사"/>
    <s v="환기용 개구부 주변 자재 정리하다 개구부 또는 개구부 덮개가 무너지면서 바닥으로 추락"/>
    <s v="▶ 추락 위험이 있는 장소에 비계조립으로 작업발판 설치_x000a_▶ 작업발판 설치가 곤란할 시 추락방호망 설치_x000a_▶ 안전대 지급 및 체결 _x000a_▶ 바닥에 설치되는 개구부 덮개는 식별이 가능하도록 표시함"/>
  </r>
  <r>
    <n v="12"/>
    <x v="1"/>
    <x v="5"/>
    <x v="6"/>
    <s v="YES"/>
    <x v="1"/>
    <x v="1"/>
    <s v="12대 기인물"/>
    <n v="1"/>
    <n v="0.09"/>
    <s v="2019년 11월"/>
    <d v="2019-11-01T00:00:00"/>
    <n v="11"/>
    <s v="-"/>
    <x v="2"/>
    <s v="2019년 11월경 OO신축공사 현장에서 재해자가 단독으로 지상 4층 드라이 에어리어(Dry Area)에서 콘크리트 잔재물 정리 작업 중 약 35.5미터 아래 지하 7층 바닥으로 추락하여 사망"/>
    <s v="환기용 개구부 주변 자재 정리하다 개구부 또는 개구부 덮개가 무너지면서 바닥으로 추락"/>
    <s v="▶ 주락 위험이 있는 개구부 및 개구부 주변에 수직망, 안전난간 설치, 개구부 표시 등 추락위험 방지조치 실시하여 작업자의 접근을 금지하도록 조치_x000a_▶ 추락위험 방지조치가 되어있지 않은 DA 개구부 및 개구부 주변에서 불가피하게 작업을 해야 하는 경우, 안전대 부착설비, 안전난간대 등을 설치한 후, 안전대를 체결하여 작업진행거나 합판, 철제 덮개 등으로 개구부를 단단히 고정한 후 작업진행"/>
  </r>
  <r>
    <n v="12"/>
    <x v="1"/>
    <x v="5"/>
    <x v="6"/>
    <s v="YES"/>
    <x v="1"/>
    <x v="1"/>
    <s v="12대 기인물"/>
    <n v="1"/>
    <n v="0.09"/>
    <s v="2020년 10월"/>
    <d v="2020-10-01T00:00:00"/>
    <n v="10"/>
    <s v="-"/>
    <x v="2"/>
    <s v="2020년 10월경 OO전기공사 현장에서 재해자가 현장 자재 정리를 하던 중 2층 수난구조훈련풀 상부에 설치되어 있던 합판을 밟음과 동시에 합판이 파손되며 약 5.5m 아래 지상 1층 바닥으로 추락하여 사망"/>
    <s v="현장 자재 정리 중 밟고 있던 임시발판이 무너지면서 바닥으로 추락"/>
    <s v="▶ 추락 위험이 있는 장소에 비계조립으로 작업발판 설치_x000a_▶ 작업발판 설치가 곤란할 시 추락방호망 설치_x000a_▶ 안전대 지급 및 체결 _x000a_▶ 바닥에 설치되는 개구부 덮개는 식별이 가능하도록 표시함"/>
  </r>
  <r>
    <n v="12"/>
    <x v="1"/>
    <x v="5"/>
    <x v="6"/>
    <s v="YES"/>
    <x v="1"/>
    <x v="2"/>
    <s v="12대 기인물"/>
    <n v="1"/>
    <n v="0.09"/>
    <s v="2021년 1월경"/>
    <d v="2021-01-01T00:00:00"/>
    <n v="1"/>
    <s v="혹한기"/>
    <x v="2"/>
    <s v="2021년 1월경 OO건설(주) OO오피스텔 신축공사 현장 환기구(D/A) 지하 1층 바닥에서 지하 4층 바닥으로 추락하여 사망"/>
    <s v="환기용 개구부 주변 자재 정리하다 개구부 또는 개구부 덮개가 무너지면서 바닥으로 추락"/>
    <s v="▶ 주락 위험이 있는 개구부 및 개구부 주변에 수직망, 안전난간 설치, 개구부 표시 등 추락위험 방지조치 실시하여 작업자의 접근을 금지하도록 조치_x000a_▶ 추락위험 방지조치가 되어있지 않은 DA 개구부 및 개구부 주변에서 불가피하게 작업을 해야 하는 경우, 안전대 부착설비, 안전난간대 등을 설치한 후, 안전대를 체결하여 작업진행거나 합판, 철제 덮개 등으로 개구부를 단단히 고정한 후 작업진행"/>
  </r>
  <r>
    <n v="2"/>
    <x v="2"/>
    <x v="6"/>
    <x v="7"/>
    <s v="YES"/>
    <x v="1"/>
    <x v="2"/>
    <s v="12대 기인물"/>
    <n v="1"/>
    <n v="0.09"/>
    <s v="2016년 2월경"/>
    <d v="2016-02-01T00:00:00"/>
    <n v="2"/>
    <s v="혹한기"/>
    <x v="2"/>
    <s v="2016년 2월경 OO건설 공동주택 신축공사 현장에서, 재해자가 벽체 거푸집 조립 중, 작업장 내 설치된 지하층의 자재를 인양하기 위하여 만들어 놓은 개구부를 통하여 지하1층 바닥으로 추락(5M)하여 사망"/>
    <s v="개구부 등의 추락위험 방호조치 미실시한 상태에서 거푸집 동바리 자재 운반 중 지하 물탱크실 상부에 위치한 개구부로 추락"/>
    <s v="▶ 추락 위험이 있는 작업발판, 통로 끝 및 개구부에는 안전난간 또는 덮개 등 설치_x000a_▶ 개구부 덮개 설치 시 개구부임을 표기하여 추락 위험 방지"/>
  </r>
  <r>
    <n v="2"/>
    <x v="2"/>
    <x v="6"/>
    <x v="7"/>
    <s v="YES"/>
    <x v="1"/>
    <x v="2"/>
    <s v="12대 기인물"/>
    <n v="1"/>
    <n v="0.09"/>
    <s v="2016년 5월경"/>
    <d v="2016-05-01T00:00:00"/>
    <n v="5"/>
    <s v="-"/>
    <x v="2"/>
    <s v="2016년 5월경 OO신축공사 현장에서 재해자가 1층 구조물의 해체된 거푸집 동바리 자재를 계단실을 통해 2층으로 운반하던 중 지하 물탱크실 상부에 위치한 개구부(0.93M × 0.5M)에 빠져 높이 4.5m 아래 지하물탱크실 바닥으로 떨어져 사망"/>
    <s v="개구부 등의 방호조치 미실시한 상태에서 거푸집 설치 준비 중 시야미확보 또는 거푸집 편심으로 몸의 중심을 잃고 개구부로 넘어지면서 근로자 추락"/>
    <s v="▶ 개구부로의 떨어짐 방지를 위해 개구부 덮개를 견고히 설치_x000a_▶ 어두운 장소에서도 육안 식별이 용이하도록 개구부임을 표시_x000a_▶ 개구부에는 덮개 또는 안전방망과 추락 위험이 있을 경우 안전난간, 안전대 부착설비 등 추락방지조치 실시"/>
  </r>
  <r>
    <n v="2"/>
    <x v="2"/>
    <x v="6"/>
    <x v="7"/>
    <s v="YES"/>
    <x v="1"/>
    <x v="2"/>
    <s v="12대 기인물"/>
    <n v="1"/>
    <n v="0.09"/>
    <s v="2017년 2월경"/>
    <d v="2017-02-01T00:00:00"/>
    <n v="2"/>
    <s v="혹한기"/>
    <x v="2"/>
    <s v="2017년 2월경 OO건설(주)이 시공중인 OO주상복합 신축공사 현장에서 재해자가 지하1층에서 유로폼 및 합판 등 자재정리 작업 중, 바닥개구부(400mm*1160mm)를 덮어 놓은 합판을 치우던 순간 바닥의 개구부에 빠져 지하2층 바닥(H=10.6m)으로 떨어져 사망"/>
    <s v="개구부 등의 방호조치 미실시한 상태에서 바닥 개구부 덮개 위에 서서 기 해체된 거푸집을 상부층 바닥 개구부를 통해 상부로 전달 중 바닥 개구부 덮개가 슬래브 가고정부에서 탈락되면서 근로자 추락"/>
    <s v="▶ 개구부로의 떨어짐 방지를 위해 개구부 덮개를 견고히 설치_x000a_▶ 어두운 장소에서도 육안 식별이 용이하도록 개구부임을 표시_x000a_▶ 각층 린넨 슈트 개구부에도 덮개 또는 안전방망, 안전난간, 안전대 부착설비 등 추락방지조치 실시"/>
  </r>
  <r>
    <n v="2"/>
    <x v="2"/>
    <x v="6"/>
    <x v="7"/>
    <s v="YES"/>
    <x v="1"/>
    <x v="1"/>
    <s v="12대 기인물"/>
    <n v="1"/>
    <n v="0.09"/>
    <s v="2017년 7월경"/>
    <d v="2017-07-01T00:00:00"/>
    <n v="7"/>
    <s v="혹서기"/>
    <x v="2"/>
    <s v="2017년 7월경 OO다세대주택(지상 4층) 신축 현장에서 재해자가 지상 3층 외부비계 작업발판에서 작업발판 상부에 적재되어있는 슬래브 거푸집 자재(합판 등)를 운반하던 중, 작업발판 단부에서 신축건물 옆에 접해 있는 기존 단독주택(1층) 옥상바닥(콘크리트)으로 떨어져(높이:5.4m) 사망"/>
    <s v="추락방지조치 미실한 상태에서 비계 작업발판 위에서 하부층 바닥에서 전달되는 유로폼을 받기 위해 돌아서는 중 왼쪽 발 헛디딤으로 근로자 추락"/>
    <s v="▶ 작업발판 위에서 거푸집 조립 작업 시 충분한 강도의 안전난간 설치_x000a_▶ 안전난간의 설치가 곤란할 경우 안전대 부착설비 설치 및 안전대 착용"/>
  </r>
  <r>
    <n v="2"/>
    <x v="2"/>
    <x v="6"/>
    <x v="7"/>
    <s v="YES"/>
    <x v="1"/>
    <x v="2"/>
    <s v="12대 기인물"/>
    <n v="1"/>
    <n v="0.09"/>
    <s v="2018년 7월경"/>
    <d v="2018-07-01T00:00:00"/>
    <n v="7"/>
    <s v="혹서기"/>
    <x v="2"/>
    <s v="2018년 7월경 OOO신축공사 현장에서 재해자가 11층 린넨슈트 바닥 개구부 덮개(1,030×890mm) 위에 서서 기 해체된 알루미늄 거푸집(1,200×600mm, 약 10kg)을 12층 바닥 개구부를 통해 위로 올려주던 중 바닥 개구부 덮개가 슬래브 고정부에서 탈락되면서 재해자가 개구부 덮개와 함께 1층 콘크리트 바닥으로 떨어져(H≒37m) 사망"/>
    <s v="개구부 등의 방호조치 미실시한 상태에서 바닥 개구부 덮개 위에 서서 기 해체된 거푸집을 상부층 바닥 개구부를 통해 상부로 전달 중 바닥 개구부 덮개가 슬래브 가고정부에서 탈락되면서 근로자 추락"/>
    <s v="▶ 개구부로의 떨어짐 방지를 위해 개구부 덮개를 견고히 설치_x000a_▶ 어두운 장소에서도 육안 식별이 용이하도록 개구부임을 표시_x000a_▶ 각층 린넨 슈트 개구부에도 덮개 또는 안전방망, 안전난간, 안전대 부착설비 등 추락방지조치 실시"/>
  </r>
  <r>
    <n v="2"/>
    <x v="2"/>
    <x v="6"/>
    <x v="7"/>
    <s v="YES"/>
    <x v="1"/>
    <x v="2"/>
    <s v="12대 기인물"/>
    <n v="1"/>
    <n v="0.09"/>
    <s v="2018년 11월"/>
    <d v="2018-11-01T00:00:00"/>
    <n v="11"/>
    <s v="-"/>
    <x v="2"/>
    <s v="2018년 11월경 ㈜OO건설에서 시공하는 다세대 신축공사 현장에서 원청 소속 재해자가 지상 2층 바닥 슬래브의 보 측면 거푸집 설치 준비 중 몸의 중심을 잃고 개구부(500×1,390mm)로 넘어지면서 약 2.9m 아래 1층 바닥으로 추락하여 사망"/>
    <s v="개구부 등의 방호조치 미실시한 상태에서 거푸집 설치 준비 중 시야미확보 또는 거푸집 편심으로 몸의 중심을 잃고 개구부로 넘어지면서 근로자 추락"/>
    <s v="▶ 개구부로의 떨어짐 방지를 위해 개구부 덮개를 견고히 설치_x000a_▶ 어두운 장소에서도 육안 식별이 용이하도록 개구부임을 표시_x000a_▶ 각층 린넨 슈트 개구부에도 덮개 또는 안전방망, 안전난간, 안전대 부착설비 등 추락방지조치 실시"/>
  </r>
  <r>
    <n v="2"/>
    <x v="2"/>
    <x v="6"/>
    <x v="7"/>
    <s v="YES"/>
    <x v="1"/>
    <x v="2"/>
    <s v="12대 기인물"/>
    <n v="1"/>
    <n v="0.09"/>
    <s v="2019년 8월경"/>
    <d v="2019-08-01T00:00:00"/>
    <n v="8"/>
    <s v="혹서기"/>
    <x v="2"/>
    <s v="2019년 8월경 OO건설㈜ 교육연구시설 신축공사 현장에서 재해자가 지상 8층 슬라브 작업을 위해 적재한 콘판넬(PVC합판)을 옮기던 중 콘판넬이 재해자 방향으로 쏟아져 재해자가 몸의 중심을 잃고 자재 인양구로(약 16.8m) 떨어져 사망한 재해임. "/>
    <s v="개구부 등의 방호조치 미실시한 상태에서 거푸집 설치 준비 중 시야미확보 또는 거푸집 편심으로 몸의 중심을 잃고 개구부로 넘어지면서 근로자 추락"/>
    <s v="▶ 개구부로의 떨어짐 방지를 위해 개구부 덮개를 견고히 설치_x000a_▶ 어두운 장소에서도 육안 식별이 용이하도록 개구부임을 표시_x000a_▶ 각층 린넨 슈트 개구부에도 덮개 또는 안전방망, 안전난간, 안전대 부착설비 등 추락방지조치 실시"/>
  </r>
  <r>
    <n v="2"/>
    <x v="2"/>
    <x v="6"/>
    <x v="7"/>
    <s v="YES"/>
    <x v="1"/>
    <x v="2"/>
    <s v="12대 기인물"/>
    <n v="1"/>
    <n v="0.09"/>
    <s v="2020년 4월경"/>
    <d v="2020-04-01T00:00:00"/>
    <n v="4"/>
    <s v="-"/>
    <x v="2"/>
    <s v="2020년 4월경 OO개발(주)이 시공하는 OO주상복합 신축공사 현장에서 재해자가 지상 1층 바닥에 유로폼 등 자재 적재를 위해 개구부를 덮어 놓았던 팔레트를 치우는 작업 중 개구부(90㎝X65㎝)로 떨어져(H=3.9m) 사망"/>
    <s v="개구부 등의 방호조치 미실시한 상태에서 바닥 개구부 덮개 위에 서서 기 해체된 거푸집을 상부층 바닥 개구부를 통해 상부로 전달 중 바닥 개구부 덮개가 슬래브 가고정부에서 탈락되면서 근로자 추락"/>
    <s v="▶ 개구부로의 떨어짐 방지를 위해 개구부 덮개를 견고히 설치_x000a_▶ 어두운 장소에서도 육안 식별이 용이하도록 개구부임을 표시_x000a_▶ 각층 린넨 슈트 개구부에도 덮개 또는 안전방망, 안전난간, 안전대 부착설비 등 추락방지조치 실시"/>
  </r>
  <r>
    <n v="2"/>
    <x v="2"/>
    <x v="6"/>
    <x v="7"/>
    <s v="YES"/>
    <x v="1"/>
    <x v="2"/>
    <s v="12대 기인물"/>
    <n v="1"/>
    <n v="0.09"/>
    <s v="2020년 6월경"/>
    <d v="2020-06-01T00:00:00"/>
    <n v="6"/>
    <s v="혹서기"/>
    <x v="2"/>
    <s v="2020년 6월경 재해자가 지하3층 자재인양구 덮개(각파이프+합판) 위에 타워크레인을 사용하여 지게차(자체중량 약4톤)를 올려놓은 후 바퀴에 끼인 슬링벨트를 풀기 위해 지게차를 운전하던 순간 자재인양구 덮개가 붕괴되며 기계식주차장 PIT층 바닥으로 지게차와 함께 추락(H≒11.4m)하여 사망"/>
    <s v="타워크레인을 사용하여 지게차를 올려놓은 후 바퀴에 끼인 슬링벨트를 풀기 위해 지게차를 운전하던 순간 자재인양구 덮개가 붕괴되며 추락"/>
    <s v="▶ 구조물이 부가되는 하중 등으로 붕괴 위험이 있을 경우 사전에 안전성 평가 진행_x000a_▶ 공정상 불가피하게 자재인양구로 지게차를 양중하여 반입 시 구조적 안정성이 확보된 자재반입대 설치"/>
  </r>
  <r>
    <n v="2"/>
    <x v="2"/>
    <x v="6"/>
    <x v="33"/>
    <s v="YES"/>
    <x v="1"/>
    <x v="1"/>
    <s v="12대 기인물"/>
    <n v="1"/>
    <n v="0.09"/>
    <s v="2018년 4월경"/>
    <d v="2018-04-01T00:00:00"/>
    <n v="4"/>
    <s v="-"/>
    <x v="2"/>
    <s v="2018년 4월경 OO주택 신축공사 현장에서 재해자가 4층 외부 비계 작업발판 위에서 4층 발코니 바닥에 수평목 설치 작업을 하던 중 몸의 균형을 잃고 외부 비계와 건물 벽체사이 개구부(약 70cm)로 추락(높이 약 8m)하여 사망"/>
    <s v="추락방지조치 미실시한 상태에서 지하층 바닥슬래브 거푸집 설치 작업 중 슬래브 개구부로 근로자 추락"/>
    <s v="▶ 기둥 상부 작업 등 추락 위험이 있는 작업은 이동식 비계 등을 이용하여 발판 및 안전난간 등  설치_x000a_▶ 거푸집 조립 작업 등 추락 위험이 있는 장소에서 작업 시 추락방호망, 안전난간 설치, 안전대 착용 등 추락방호조치 실시_x000a_▶ 임시로 난간 등을 해체하여야 하는 경우 비계와 건물 사이에 추락방호망 설치"/>
  </r>
  <r>
    <n v="2"/>
    <x v="2"/>
    <x v="6"/>
    <x v="33"/>
    <s v="YES"/>
    <x v="1"/>
    <x v="1"/>
    <s v="12대 기인물"/>
    <n v="1"/>
    <n v="0.09"/>
    <s v="2018년 7월경"/>
    <d v="2018-07-01T00:00:00"/>
    <n v="7"/>
    <s v="혹서기"/>
    <x v="2"/>
    <s v="2018년 7월경 OO다가구주택 신축공사 현장에서 재해자가 비계 상부에서 3층 벽체 외부 거푸집 조립작업 중 비계와 건물 벽체 사이를 통해 약 6m 아래 지면으로 떨어져 사망"/>
    <s v="추락방지조치 미실시한 상태에서 지하층 바닥슬래브 거푸집 설치 작업 중 슬래브 개구부로 근로자 추락"/>
    <s v="▶ 기둥 상부 작업 등 추락 위험이 있는 작업은 이동식 비계 등을 이용하여 발판 및 안전난간 등  설치_x000a_▶ 거푸집 조립 작업 등 추락 위험이 있는 장소에서 작업 시 추락방호망, 안전난간 설치, 안전대 착용 등 추락방호조치 실시_x000a_▶ 임시로 난간 등을 해체하여야 하는 경우 비계와 건물 사이에 추락방호망 설치"/>
  </r>
  <r>
    <n v="2"/>
    <x v="2"/>
    <x v="6"/>
    <x v="33"/>
    <s v="YES"/>
    <x v="1"/>
    <x v="2"/>
    <s v="12대 기인물"/>
    <n v="1"/>
    <n v="0.09"/>
    <s v="2019년 6월경"/>
    <d v="2019-06-01T00:00:00"/>
    <n v="6"/>
    <s v="혹서기"/>
    <x v="2"/>
    <s v="2019년 6월경 (주)OO에서 시공하는 OO신축공사 현장에서 재해자가 건축물 좌측 옥상층 벽체 거푸집 조립작업용작업발판 설치를 위하여 기존 사용했던 작업발판을 가지러 노출보로 이동하던중 추락해서 1차로 2층 시스템동바리 수평재에 부딪힌 후 2차로 2층 바닥으로추락하여 사망"/>
    <s v="개구부 등의 방호조치 미실시한 상태에서 지상층 보 측면 거푸집에 천공작업 후 계단실 개구부 주변을 하부에서 상부층으로 이동 중 중심을 잃고 개구부로 추락"/>
    <s v="▶ 추락위험이 있는 구간에는 추락방호망, 안전난간 설치 또는 및 안전대 착용후 작업_x000a_▶ 개구부 등으로 인해 추락위험이 있을 경우 개구부 덮개 실시"/>
  </r>
  <r>
    <n v="2"/>
    <x v="2"/>
    <x v="6"/>
    <x v="33"/>
    <s v="YES"/>
    <x v="1"/>
    <x v="1"/>
    <s v="12대 기인물"/>
    <n v="1"/>
    <n v="0.09"/>
    <s v="2019년 6월경"/>
    <d v="2019-06-01T00:00:00"/>
    <n v="6"/>
    <s v="혹서기"/>
    <x v="2"/>
    <s v="2019년 6월경 OO건설㈜ OO건립공사 현장 내에서 재해자가 옥상층 파라펫 거푸집 조립작업을 진행하는 과정에서 건물 외벽 측의 거푸집 보강작업을 위해 파라펫을 넘어 외부 쌍줄비계의작업발판으로 내려가던 중 실족하여 건물과 비계 틈새(개구부)를 통해 지면바닥으로 추락(H≒11m)하여 사망"/>
    <s v="추락방지조치 미실시한 상태에서 지하층 바닥슬래브 거푸집 설치 작업 중 슬래브 개구부로 근로자 추락"/>
    <s v="▶ 기둥 상부 작업 등 추락 위험이 있는 작업은 이동식 비계 등을 이용하여 발판 및 안전난간 등  설치_x000a_▶ 거푸집 조립 작업 등 추락 위험이 있는 장소에서 작업 시 추락방호망, 안전난간 설치, 안전대 착용 등 추락방호조치 실시_x000a_▶ 임시로 난간 등을 해체하여야 하는 경우 비계와 건물 사이에 추락방호망 설치"/>
  </r>
  <r>
    <n v="2"/>
    <x v="2"/>
    <x v="6"/>
    <x v="33"/>
    <s v="YES"/>
    <x v="1"/>
    <x v="1"/>
    <s v="12대 기인물"/>
    <n v="1"/>
    <n v="0.09"/>
    <s v=" 2019년 9월"/>
    <d v="2019-09-01T00:00:00"/>
    <n v="9"/>
    <s v="-"/>
    <x v="2"/>
    <s v=" 2019년 9월경 OO근린생활시설 신축공사 현장에서 재해자가 안전난간이 미설치된 외부 시스템 비계의 4단 작업발판 단부에서 동료 작업자가 던져주는 다림추를 받으려다 덮개가 미설치된 개구부로 떨어지면서 약 2.1M 하부에 있는 계단실 벽체 이음철근에 목이 찔려 사망"/>
    <s v="추락방지조치 미실시한 상태에서 지하층 바닥슬래브 거푸집 설치 작업 중 슬래브 개구부로 근로자 추락"/>
    <s v="▶ 기둥 상부 작업 등 추락 위험이 있는 작업은 이동식 비계 등을 이용하여 발판 및 안전난간 등  설치_x000a_▶ 거푸집 조립 작업 등 추락 위험이 있는 장소에서 작업 시 추락방호망, 안전난간 설치, 안전대 착용 등 추락방호조치 실시_x000a_▶ 임시로 난간 등을 해체하여야 하는 경우 비계와 건물 사이에 추락방호망 설치"/>
  </r>
  <r>
    <n v="2"/>
    <x v="2"/>
    <x v="6"/>
    <x v="33"/>
    <s v="YES"/>
    <x v="1"/>
    <x v="2"/>
    <s v="12대 기인물"/>
    <n v="1"/>
    <n v="0.09"/>
    <s v="2019년 12월"/>
    <d v="2019-12-01T00:00:00"/>
    <n v="12"/>
    <s v="혹한기"/>
    <x v="2"/>
    <s v="2019년 12월경 단독주택신축공사 현장에서 재해자가 지상2층 보 측면 거푸집에 철선 연결·고정을 하기 위한 천공작업을 실시 완료한 후 계단실(2층→3층) 개구부 주변으로 이동하던 중 몸의 중심을 잃고 개구부 바닥(H≒2.7m)으로 떨어져 사망"/>
    <s v="개구부 등의 방호조치 미실시한 상태에서 지상층 보 측면 거푸집에 천공작업 후 계단실 개구부 주변을 하부에서 상부층으로 이동 중 중심을 잃고 개구부로 추락"/>
    <s v="▶ 추락위험이 있는 구간에는 추락방호망, 안전난간 설치 또는 및 안전대 착용후 작업_x000a_▶ 개구부 등으로 인해 추락위험이 있을 경우 개구부 덮개 실시"/>
  </r>
  <r>
    <n v="2"/>
    <x v="2"/>
    <x v="6"/>
    <x v="33"/>
    <s v="YES"/>
    <x v="1"/>
    <x v="2"/>
    <s v="12대 기인물"/>
    <n v="1"/>
    <n v="0.09"/>
    <s v="2021년 3월경"/>
    <d v="2021-03-01T00:00:00"/>
    <n v="3"/>
    <s v="-"/>
    <x v="2"/>
    <s v="2021년 3월경 OO개발(주)에서 시공 중인 OO신축공사 현장에서, 재해자가 지하 1층 개구부에서 13m아래의 지하4층 바닥(발전기실)으로 추락하여 사망"/>
    <s v="개구부 등의 방호조치 미실시한 상태에서 지상층 보 측면 거푸집에 천공작업 후 계단실 개구부 주변을 하부에서 상부층으로 이동 중 중심을 잃고 개구부로 추락"/>
    <s v="▶ 추락위험이 있는 구간에는 추락방호망, 안전난간 설치 또는 및 안전대 착용후 작업_x000a_▶ 개구부 등으로 인해 추락위험이 있을 경우 개구부 덮개 실시"/>
  </r>
  <r>
    <n v="2"/>
    <x v="2"/>
    <x v="6"/>
    <x v="33"/>
    <s v="YES"/>
    <x v="1"/>
    <x v="1"/>
    <s v="12대 기인물"/>
    <n v="1"/>
    <n v="0.09"/>
    <s v="2021년 4월경"/>
    <d v="2021-04-01T00:00:00"/>
    <n v="4"/>
    <s v="-"/>
    <x v="2"/>
    <s v="2021년 4월경 OO신축공사 현장에서 재해자가 기계식주차장 개구부(5.8m×3.0m)에 설치된 시스템동바리의 멍에 교체를 위해 이동 중, 지하 3층 바닥(H≒10.0m)으로 떨어져 사망"/>
    <s v="추락방지조치 미실시한 상태에서 벽체 거푸집 위에서 보 거푸집 하단으로 내려가던 중 실족하여 중심을 잃고 바닥으로 근로자 추락"/>
    <s v="▶ 기둥 상부 작업 등 추락 위험이 있는 작업은 이동식 비계 등을 이용하여 발판 및 안전난간 등  설치_x000a_▶ 거푸집 조립 작업 등 추락 위험이 있는 장소에서 작업 시 추락방호망, 안전난간 설치, 안전대 착용 등 추락방호조치 실시_x000a_▶ 임시로 난간 등을 해체하여야 하는 경우 비계와 건물 사이에 추락방호망 설치"/>
  </r>
  <r>
    <n v="2"/>
    <x v="2"/>
    <x v="6"/>
    <x v="8"/>
    <s v="YES"/>
    <x v="1"/>
    <x v="2"/>
    <s v="12대 기인물"/>
    <n v="1"/>
    <n v="0.09"/>
    <s v="2018년 11월"/>
    <d v="2018-11-01T00:00:00"/>
    <n v="11"/>
    <s v="-"/>
    <x v="2"/>
    <s v="2018년 11월경 OO건설(주) OO신축공사 현장 지하6층에서 협력업체 소속 재해자가 벽/기둥 형틀 해체 구간의 떨어진 콘크리트 잔재물을 슬리브덮개를 밟고 청소작업 중 지하 7층 바닥(높이 약 6.3m)으로 추락하여 사망"/>
    <s v="개구부 방호조치 미흡한 상태에서 벽/기둥 형틀 해체 구간의 떨어진 콘크리트 잔재물을 슬리브덮개를 밟고 청소작업 중, 근로자 추락"/>
    <s v="▶ 견고한 개구부 덮개 설치 및 개구부 위험표지 부착_x000a_▶ 이동식 조명 사용을 통한 적정 조도 확보_x000a_▶ 작업방법/안전 교육 실시 및 관리감독 철저 "/>
  </r>
  <r>
    <n v="2"/>
    <x v="2"/>
    <x v="7"/>
    <x v="10"/>
    <s v="YES"/>
    <x v="1"/>
    <x v="2"/>
    <s v="12대 기인물"/>
    <n v="1"/>
    <n v="0.09"/>
    <s v="도시시설물공사 현"/>
    <s v="X"/>
    <e v="#VALUE!"/>
    <e v="#VALUE!"/>
    <x v="2"/>
    <s v="도시시설물공사 현장에서 교량 Girder상부에 적치된 각파이프 묶음(무게≒600kg)의 벤딩 절단작업 중 각파이프가 전도되어 작업발판 상부에 낙하하면서 그 충격에 의해 작업발판 2개가 탈락하였고, 뚫린 개구부(0.8m×1.8m)를 통해 재해자가 토사 바닥으로 추락(H≒5m)하여 사망"/>
    <s v="적재된 자재가 넘어지며 작업발판이 탈락되어 주변 근로자 추락"/>
    <s v="▶ 철근 등 중량물 적재 시 붕괴의 우려가 없는 받침판 위에 적재 또는 최대 적재하중을 초과하지 않는 선에서의 적재_x000a_▶ 추락방지조치를 위한 안전대 부착설비 설치 및 안전대 착용"/>
  </r>
  <r>
    <n v="2"/>
    <x v="2"/>
    <x v="7"/>
    <x v="34"/>
    <s v="YES"/>
    <x v="1"/>
    <x v="2"/>
    <s v="12대 기인물"/>
    <n v="1"/>
    <n v="0.09"/>
    <s v="2016년 7월경"/>
    <d v="2016-07-01T00:00:00"/>
    <n v="7"/>
    <s v="혹서기"/>
    <x v="2"/>
    <s v="2016년 7월경 OO(주) OO프라자 신축공사 현장에서 재해자가 지상4층 보 철근 조립 중에 주변 바닥 개구부(자재 반입구)로 떨어져(H≒16.2m) 사망"/>
    <s v="보 철근 조립 중, 안전난간 미설치된 주변 바닥 개구부를 통해 중심을 잃고 근로자 추락"/>
    <s v="▶ 자재 반입구와 같이 개구부로서 떨어질 위험이 있는 경우 안전난간 또는 안전방망과 같이 추락방호시설 설치_x000a_▶ 안전난간 또는 안전방망 설치가 곤란한 경우 안전대 지급 및 안전대를 걸 수 있는 안전대 부착설비 설치"/>
  </r>
  <r>
    <n v="2"/>
    <x v="2"/>
    <x v="8"/>
    <x v="35"/>
    <s v="YES"/>
    <x v="1"/>
    <x v="1"/>
    <s v="12대 기인물"/>
    <n v="1"/>
    <n v="0.09"/>
    <s v="2016년 12월"/>
    <d v="2016-12-01T00:00:00"/>
    <n v="12"/>
    <s v="혹한기"/>
    <x v="2"/>
    <s v="2016년 12월경 OO노반건설공사 환기구에서 터널 라이닝 타설에 필요한 콘크리트를 실은 레미콘 차량을 카리프트에  탑승시킨 후에 재해자는 옆에 별도로 위치한 리프트에 탑승 후 상부로 이동하여 대기 중 레미콘 차량을 탑승시킨 카리프트가 상승 중에 레미콘 차량의 사이드 브레이크 미잠금(추정) 상태로 상부 이동 중 카리프트 구간별 속도 변화 등으로 인하여 차량이 전면부로 미끄러져 쏠리면서 지상 1.5m 아래에 있는 지상 복공판 H-beam 사이에 차량 전면부가 끼어 찌그러져 있는 상태에서 재해자가 차량 고임목 설치 및 본인의 휴대폰을 가지러 출입금지 구역인 카리프트 내부로 들어가 후방 타이어 오른쪽 부위에 각재 고임목을 대고, 레미콘차량 전면부 깨진 유리창을 통하여 차를 딛고 운전석으로 올라가다가 차에서 미끄러져 차와 카리프트 사이에 50cm*50cm의 개구부로 추락, 61m 아래 터널 콘크리트 바닥으로 추락하여 사망"/>
    <s v="카리프트 내부에서 레미콘 차량이 전면부로 미끄러져 전면부 파손 이후 근로자가 본인의 물품을 챙기러 파손된 전면부 유리창을 통하여 차를 딛고 운전석으로 올라가던 중 미끄러져 차와 카리프트 사이 개구부로 추락"/>
    <s v="▶ 개구부 등 낙하 위험이 있는 장소에는 방책 등 설치하여 출입 금지 및 표지판 설치_x000a_▶ 카리프트 등 양중기 사용 시 레미콘차량 등이 완전히 빠져나갈 때 까지 모니터 주시"/>
  </r>
  <r>
    <n v="2"/>
    <x v="2"/>
    <x v="8"/>
    <x v="11"/>
    <s v="YES"/>
    <x v="1"/>
    <x v="1"/>
    <s v="12대 기인물"/>
    <n v="1"/>
    <n v="0.09"/>
    <s v="2016년 3월경"/>
    <d v="2016-03-01T00:00:00"/>
    <n v="3"/>
    <s v="-"/>
    <x v="2"/>
    <s v="2016년 3월경 OO(주) 주차장전용건물 신축공사 현장 지상 2층에서 재해자(콘크리트공)가 바닥 무근콘크리트 타설을 위해 도구(갈고리)를 사용하여 콘크리트 타설용 주름관을 이동시키는 작업 중 갈고리가 주름관에서 빠지는 순간 몸의 중심을 잃고 뒤로 넘어지면서 카리프트 출입구(벽면 개구부)를 통해 약 3.96m 아래 파레트(주차설비)로 떨어져 사망"/>
    <s v="무근콘크리트 타설을 위해 도구(갈고리)를 사용하여 콘크리트 타설용 주름관을 이동시키는 작업 중 갈고리가 주름관에서 빠지는 순간 몸의 중심을 잃고 뒤로 넘어지면서 떨어짐"/>
    <s v="▶ 추락 및 낙하 방지 조치 철저 _x000a_▶ 작업장 사전점검 등 관리 감독 철저 _x000a_▶ 안전모 등 개인보호구 착용에 대한 관리 철저 "/>
  </r>
  <r>
    <n v="2"/>
    <x v="2"/>
    <x v="8"/>
    <x v="11"/>
    <s v="YES"/>
    <x v="1"/>
    <x v="2"/>
    <s v="12대 기인물"/>
    <n v="1"/>
    <n v="0.09"/>
    <s v="2018년 5월경"/>
    <d v="2018-05-01T00:00:00"/>
    <n v="5"/>
    <s v="-"/>
    <x v="2"/>
    <s v="2018년 5월경 ㈜OO에서 시공하는 다세대 신축공사 현장에서 재해자(철근공)가 콘크리트 타설 준비작업의 일환으로 콘크리트 진동기의 전원 연결을 위해 외부 쌍줄비계 상에서 리드선을 연결하던 중, 건물 외벽과 비계 사이의 개구부(길이 1600mm×폭800mm)를 통해 약 9.5m 아래 지상 1층 콘크리트 바닥으로 추락하여 사망"/>
    <s v="콘크리트 전동기의 전원 연결을 위해 쌍줄비계에서 리드선을 연결하던 중 안전난간, 추락방호망 등의 안전시설물이 설치되어 있지 않은 상태에서 외벽과 비계 사이의 개구부에서 근로자 추락"/>
    <s v="▶ 작업발판에서 작업시 개구부의 추락위험 방지조치 실시_x000a_▶ 추락 위험장소에서 개인보호구 착용 및 관리감독 철저  "/>
  </r>
  <r>
    <n v="2"/>
    <x v="2"/>
    <x v="8"/>
    <x v="11"/>
    <s v="YES"/>
    <x v="1"/>
    <x v="1"/>
    <s v="12대 기인물"/>
    <n v="1"/>
    <n v="0.09"/>
    <s v="2020년 5월경"/>
    <d v="2020-05-01T00:00:00"/>
    <n v="5"/>
    <s v="-"/>
    <x v="2"/>
    <s v="2020년 5월경 ㈜OO 오피스텔 신축공사 현장에서 재해자(콘크리트공)가 기포콘크리트 믹서기 교반용 용수가 개방형 물백에서 넘치자 물을 잠그기 위하여 지하 4층 벽체 측면 개구부(드라이에어리어)에서 용수공급용 펌프 전원 차단스위치를 찾고자 무리하게 몸을 내밀어 내려다 보던 중 약4.4m 아래의 콘크리트 바닥으로 추락하여 사망"/>
    <s v="기포콘크리트 믹서리 교반용 용수가 개방형 물백에서 넘치자 물을 잠그기 위해 지하 벽체 측면 개구부에서 용수공급용 펌프 전원 차단스위치를 찾고자 무리하게 몸을 내밀어 내려다 보던 중 근로자 추락"/>
    <s v="▶ 개구부에 안전난간 등 추락방지조치 _x000a_▶ 개인보호구 지급 및 관리감독 업무 수행 철저_x000a_▶ 기포콘크리트 믹서기 용수공급용 개방형 물백에 용수가 넘칠 경우 안전하게 차단하도록 감독 철저 "/>
  </r>
  <r>
    <n v="2"/>
    <x v="2"/>
    <x v="8"/>
    <x v="11"/>
    <s v="YES"/>
    <x v="1"/>
    <x v="1"/>
    <s v="12대 기인물"/>
    <n v="1"/>
    <n v="0.09"/>
    <s v="2021년 8월경"/>
    <d v="2021-08-01T00:00:00"/>
    <n v="8"/>
    <s v="혹서기"/>
    <x v="2"/>
    <s v="2021년 8월경 ㈜OO 테라스하우스 신축공사 현장에서 재해자가 내부 계단 타설작업 중인 현장을 확인하고 건축물의 창문을 통해 외부 시스템 비계로 이동 혹은 외부 시스템비계에서 건축물의 창문으로 내부 이동 중 건축물과 시스템 비계 사이 개구부로 떨어져 사망"/>
    <s v="가설통로가 미설치된 외부비계 작업발판과 건축물 내부 사이를 이동 중 비계 작업발판과 외벽 사이 개구부에서 추락"/>
    <s v="▶ 작업발판에서 작업시 개구부의 추락위험 방지조치 실시_x000a_▶ 추락 위험장소에서 개인보호구 착용 및 관리감독 철저  "/>
  </r>
  <r>
    <n v="2"/>
    <x v="2"/>
    <x v="8"/>
    <x v="12"/>
    <s v="YES"/>
    <x v="1"/>
    <x v="1"/>
    <s v="12대 기인물"/>
    <n v="1"/>
    <n v="0.09"/>
    <s v="2019년 1월경"/>
    <d v="2019-01-01T00:00:00"/>
    <n v="1"/>
    <s v="혹한기"/>
    <x v="2"/>
    <s v="2019년 1월경 ㈜OO에서 시공하는 OO 신축공사 현장에서 재해자(보통인부)가 건물배면 지상1층 외부에서 동절기 단열용 보양천막을 설치하던 중, 환기구 개구부(3,200㎜×1,550㎜)를 통해 약 12m 아래 지하3층 콘크리트 바닥으로 떨어져 사망"/>
    <s v="동절기 단열용 보양천막을 설치하던 중 미고정된 상태의 강관파이프 위에 올려진 합판을 밟고 합판이 뒤집어지면서개구부로 근로자 추락"/>
    <s v="▶ 환기구 개구부 등 추락위험 장소에서 작업 시 안전난간, 울타리, 수직형 추락방망 또는 덮개 등 방호조치 실시_x000a_▶ 개구부 덮개 설치 시 전도방지를 위해 구조물 등 견고히 체결_x000a_▶ 추락위험이 있는 장소에서 작업 시 안전대 부착설비 설치 및 안전대 착용"/>
  </r>
  <r>
    <n v="2"/>
    <x v="2"/>
    <x v="8"/>
    <x v="12"/>
    <s v="YES"/>
    <x v="1"/>
    <x v="1"/>
    <s v="12대 기인물"/>
    <n v="1"/>
    <n v="0.09"/>
    <s v="2021년 5월경"/>
    <d v="2021-05-01T00:00:00"/>
    <n v="5"/>
    <s v="-"/>
    <x v="2"/>
    <s v="2021년 5월경 도시형생활주택 신축공사 현장에서 재해자(미장공)가 당일 타설된 콘크리트 표면을 평평하게 고르기 위해 옥상(6층 천장)에서 이동 또는 작업 준비 과정에서 외부비계와 건물 사이로 떨어져(H≒17.4m) 사망(추정)"/>
    <s v="콘크리트 타설작업 중 안전난간이 설치되어 있지 않은 슬래브 단부로 근로자 추락"/>
    <s v="▶ 추락위험이 있는 슬래브 단부에는 안전난간 설치_x000a_▶ 안전난간의 설치가 곤란할 경우 추락방망 설치_x000a_▶ 높이 2m 이상에서의 고소작업 시 안전대 부착설비 설치 및 안전대 착용"/>
  </r>
  <r>
    <n v="3"/>
    <x v="3"/>
    <x v="9"/>
    <x v="36"/>
    <s v="YES"/>
    <x v="1"/>
    <x v="2"/>
    <s v="12대 기인물"/>
    <n v="1"/>
    <n v="0.09"/>
    <s v="2018년 6월경"/>
    <d v="2018-06-01T00:00:00"/>
    <n v="6"/>
    <s v="혹서기"/>
    <x v="2"/>
    <s v="2018년 6월경 OO기업에서 시공하는 ㈜OO 공장 전기공사 현장에서 재해자가 공장동 케이블트레이 설치를 위한 사전작업 준비를 하기 위하여 철골 상부 크레인점검로(Walk way)를 이동하는 과정에서 점검로 상의 개구부를 미쳐 발견하지 못하고 13m 아래 바닥으로 떨어져 사망"/>
    <s v="공장동 케이블트레이 설치를 위한 사전작업 준비를 위한 철골 상부 크레인점검로 이동 중 점검로 상의 개구부를 발견하지 못하고 개구부 아래 바닥으로 추락"/>
    <s v="▶ 개구부 등 추락위험구간에 철제 덮개, 안전난간, 안전망 등 추락방지조치 준수_x000a_▶ 철제 점검로를 이용 시 별도의 안전대 부착설비 설치 및 안전대 체결을 통한 안전방호조치 실시"/>
  </r>
  <r>
    <n v="3"/>
    <x v="3"/>
    <x v="9"/>
    <x v="36"/>
    <s v="YES"/>
    <x v="1"/>
    <x v="2"/>
    <s v="12대 기인물"/>
    <n v="1"/>
    <n v="0.09"/>
    <s v="2020년 3월경"/>
    <d v="2020-03-01T00:00:00"/>
    <n v="3"/>
    <s v="-"/>
    <x v="2"/>
    <s v="2020년 3월경 (주)OO에서 시공하는 OO센터 신축사업 현장에서 협력업체 ㈜OO건설 소속 재해자와 동료작업자가 지하 4층에 설치되어있던 자재반입대(슈퍼데크)를 지하 5층으로 내리는 작업 중 자재반입대 좌/우에 부착된 유도로프(L=9.17m)를 잡는 과정에서 외부충격(추정) 등으로 인하여 자재반입대가 회전을 하자 재해자는 유도로프를 잡기 위해 개구부 내에서 주변 슬래브로 뛰었으나 몸의 중심을 잃고 지하 7층 바닥으로 떨어져(H≒9.05m) 사망"/>
    <s v="자재반입대 설치를 위해 1면의 안전난간을 임시로 해체한 채, 자재반입대를 내리는 작업 중 자재반입대에 부착된 유도로프를 잡는 과정에서 외부충격에 의해 회전하자 로프를 잡기 위해 뛰었으나 근로자가 몸의 중심을 잃고 해체된 안전난간 방면으로 추락"/>
    <s v="▶ 개구부의 경우 우선적으로 안전난간을 설치하며 작업 특성상 임시로 해체 시 추락방호망 설치_x000a_▶ 추락방호망의 설치가 곤란할 경우 안전대 부착설비 설치 및 안전대 착용_x000a_▶ 개인보호구 지급 및 착용"/>
  </r>
  <r>
    <n v="3"/>
    <x v="3"/>
    <x v="9"/>
    <x v="13"/>
    <s v="YES"/>
    <x v="1"/>
    <x v="1"/>
    <s v="12대 기인물"/>
    <n v="1"/>
    <n v="0.09"/>
    <s v="2017년 2월경"/>
    <d v="2017-02-01T00:00:00"/>
    <n v="2"/>
    <s v="혹한기"/>
    <x v="2"/>
    <s v="2017년 2월경 슬라브 단부에서 재해자가 설치 중인 계단 답단의 치수를 줄자로 측정 하던 중 몸의 중심을 잃고 1층 바닥으로 추락하여 사망(높이 5.84m)."/>
    <s v="철골 조립 작업 중 안전대를 미착용한 상태에서 몸의 균형을 잃고 넘어지며 추락"/>
    <s v="▶ 추락위험이 있는 장소에서 작업 시 안전대 부착설비 설치 및 안전대 착용"/>
  </r>
  <r>
    <n v="3"/>
    <x v="3"/>
    <x v="9"/>
    <x v="13"/>
    <s v="YES"/>
    <x v="1"/>
    <x v="2"/>
    <s v="12대 기인물"/>
    <n v="1"/>
    <n v="0.09"/>
    <s v="2019년 8월경"/>
    <d v="2019-08-01T00:00:00"/>
    <n v="8"/>
    <s v="혹서기"/>
    <x v="2"/>
    <s v="2019년 8월경 OO교회 신축공사 현장에서 재해자가 예배당 복층 슬래브 상부에서 철골 도장작업 후 휴식을 위해 이동 중, 슬래브 개구부(계단실 용도, 0.9m×2.4m)로 실족하여 1층 콘크리트 바닥면으로 추락(H≒3.3m)하여 사망"/>
    <s v="철골 도장 작업 후 휴식을 위해 이동 중 근로자가 덮개가 미설치 된 슬래브 개구부로 실족하여 추락"/>
    <s v="▶ 철골구조물 슬래브 개구부 혹은 통로의 끝 등 추락위험이 있는 장소에는 본 구조물을 시공하기 전까지 안전난간 또는 덮개 등의 방호조치 실시_x000a_▶ 추락위험이 있는 장소에서 작업 시 안전대 부착설비 설치 및 안전대 착용"/>
  </r>
  <r>
    <n v="3"/>
    <x v="3"/>
    <x v="9"/>
    <x v="13"/>
    <s v="YES"/>
    <x v="1"/>
    <x v="2"/>
    <s v="12대 기인물"/>
    <n v="1"/>
    <n v="0.09"/>
    <s v="2020년 4월경"/>
    <d v="2020-04-01T00:00:00"/>
    <n v="4"/>
    <s v="-"/>
    <x v="2"/>
    <s v="2020년 4월경 OO(주) OO현장에서 지상1층의 용접작업(데크플레이트) 화재감시자인 재해자(보통인부)가 휴식장소로 이동하던 중 데크플레이트가 미설치된 개구부(2600×570)에서 약 6.1m 아래 지하1층 바닥으로 추락하여 사망"/>
    <s v="휴식장소로 이동 하던 중 데크플레이트가 미설치된 개구부에서 근로자 추락"/>
    <s v="▶ 데크플레이트가 설치되어 있지 않은 개구부는 안전난간, 울타리 또는 덮개 등의 방호조치 실시_x000a_▶ 덮개를 설치하는 경우 뒤집히거나 떨어지지 않도록 설치 및 개구부임을 표시_x000a_▶ 높이 2m 이상에서 작업 시 추락방지를 위해 안전대 부착설비 설치 및 안전대 착용 "/>
  </r>
  <r>
    <n v="3"/>
    <x v="3"/>
    <x v="9"/>
    <x v="13"/>
    <s v="YES"/>
    <x v="1"/>
    <x v="1"/>
    <s v="12대 기인물"/>
    <n v="1"/>
    <n v="0.09"/>
    <s v="2020년 6월경"/>
    <d v="2020-06-01T00:00:00"/>
    <n v="6"/>
    <s v="혹서기"/>
    <x v="2"/>
    <s v="2020년 6월경 OO(주)에서 시공하는 OO 현장에서 재해자(기계공)가 OO항 갑문 위에서 윈치를 이용하여 H-beam(100×100×6×8, L≒ 2.5m, W≒ 42.5kg)을 내리던 중 윈치 프레임이 전도되면서 바닥(H≒18m)으로 떨어져 사망"/>
    <s v="안전난간이 미설치된 구간인 맨홀 부근에서 재해자가 윈치를 이용하여 H-beam을 내리던 중 윈치 프레임이 전도되면서 근로자 추락"/>
    <s v="▶ 갑문 단부에서 중량물 인양 작업 시 전도방지를 위해 윈치가 아닌 크레인 사용_x000a_▶ 갑문 단부 등 개구부에서 작업 시 추락방망 설치 및 안전대 부착설비 설치_x000a_▶ 개인보호구 지급 및 착용"/>
  </r>
  <r>
    <n v="3"/>
    <x v="3"/>
    <x v="9"/>
    <x v="13"/>
    <s v="YES"/>
    <x v="1"/>
    <x v="1"/>
    <s v="12대 기인물"/>
    <n v="1"/>
    <n v="0.09"/>
    <s v="2020년 10월"/>
    <d v="2020-10-01T00:00:00"/>
    <n v="10"/>
    <s v="-"/>
    <x v="2"/>
    <s v="2020년 10월경 ㈜OO 신축공사현장에서, 재해자(용접공)가 지상 2층 바닥 데크플레이트를 가용접한 후 지상 1층으로 내려가기 위하여 개구부(데크플레이트 미설치 구간)로 이동하던 중, 옆에 있던 동료 근로자를 잡고 4m 아래 지상 1층 콘크리트 바닥으로 떨어져 재해자는 사망, 동료 근로자는 부상"/>
    <s v="데크플레이트를 가용접 한 후 지상으로 내려가기 위해 개구부로 이동하던 중 안전대를 미착용한 근로자가 몸의 균형을 잃고 추락"/>
    <s v="▶ 추락위험 장소에서 데크플레이트 설치 시 철골 하부에 추락방호망 설치_x000a_▶ 상부에는 안전대 부착설비를 설치하고 안전대 체결 실시"/>
  </r>
  <r>
    <n v="3"/>
    <x v="3"/>
    <x v="9"/>
    <x v="13"/>
    <s v="YES"/>
    <x v="1"/>
    <x v="1"/>
    <s v="12대 기인물"/>
    <n v="1"/>
    <n v="0.09"/>
    <s v="2021년 5월경"/>
    <d v="2021-05-01T00:00:00"/>
    <n v="5"/>
    <s v="-"/>
    <x v="2"/>
    <s v="2021년 5월경 모델하우스 철거공사에서 재해자(일용직)가 모델하우스의 지붕재 패널을 해체하기 위해 지상 약 9.8m 높이인 철골 지붕에서, 철골에서 분리가 완료된 패널을 이동식크레인으로 하역하기 위해 분리된 패널을 바르게 겹치면서 적재 작업을 하던 중 패널이 해체된 철골사이로 추락하여 사망(추정)"/>
    <s v="작업구간 하부에 근로자의 추락을 방지하는 추락방호망 및 지붕 위에 안전대 부착설비가 설치되지 않은 상태에서 지붕재 패널을 해체하기 위해 철골 지붕에서 철골에서 분리가 완료된 패널을 이동식크레인으로 하역하기 위해 적재 작업을 하던 중 패널이 해체 완료된 철골 구간으로 추락"/>
    <s v="▶ 지붕재 판넬 철거 작업 시, 단독 작업을 금지하며 판넬 해체로 발생된 개구부에 유의하여 작업 실시_x000a_▶ 지붕재 판넬 철거 작업 시, 추락방호망, 안전대 부착설비 설치, 근로자의 안전대 체결 등 안전방호조치 실시_x000a_▶ 작업자의 개인보호구, 안전대 체결여부 점검 및 관리감독"/>
  </r>
  <r>
    <n v="3"/>
    <x v="3"/>
    <x v="9"/>
    <x v="14"/>
    <s v="YES"/>
    <x v="1"/>
    <x v="2"/>
    <s v="12대 기인물"/>
    <n v="1"/>
    <n v="0.09"/>
    <s v="2015년 12월"/>
    <d v="2015-12-01T00:00:00"/>
    <n v="12"/>
    <s v="혹한기"/>
    <x v="2"/>
    <s v="2015년 12월경 OO 근린생활시설 신축공사 현장에서 철골구조물 2층 바닥에 데크플레이트 설치작업 중 인접 개구부(데크플레이트 미설치 부위)를 통해 3.2M 아래 바닥으로 추락하여 사망"/>
    <s v="안전대 부착설비가 설치되지 않은 상태로 데크 플레이트 설치 작업 중 근로자가 몸의 중심을 잃고 데크플레이트 단부, 개구부로 추락"/>
    <s v="▶ 데크플레이트 설치작업 시 통로의 끝이나 개구부 등 추락위험이 있는 장소에는 안전난간, 추락방망 또는 덮개, 안전대 착용 등의 방호조치 실시_x000a_▶ 안전난간 등 설치가 곤란할 경우 추락방호망 설치_x000a_▶ 데크플레이트 설치 및 철근 배근작업 시 근로자의 실족 방지를 위해 작업발판 등을 작업장의 통로에 설치_x000a_▶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
  </r>
  <r>
    <n v="3"/>
    <x v="3"/>
    <x v="9"/>
    <x v="14"/>
    <s v="YES"/>
    <x v="1"/>
    <x v="2"/>
    <s v="12대 기인물"/>
    <n v="1"/>
    <n v="0.09"/>
    <s v="2017년 1월경"/>
    <d v="2017-01-01T00:00:00"/>
    <n v="1"/>
    <s v="혹한기"/>
    <x v="2"/>
    <s v="2017년 1월경 OO건설(주) OO 공장 신축공사 현장에서 재해자(철골공)가 지상2층 바닥 데크플레이트 설치작업 중 지상1층 콘크리트 바닥으로 떨어져(높이 6m) 사망"/>
    <s v="안전대 부착설비가 설치되지 않은 상태로 데크 플레이트 설치 작업 중 근로자가 몸의 중심을 잃고 데크플레이트 단부, 개구부로 추락"/>
    <s v="▶ 데크플레이트 설치작업 시 통로의 끝이나 개구부 등 추락위험이 있는 장소에는 안전난간, 울타리, 수직형 추락방망 또는 덮개 등의 방호조치 실시_x000a_▶ 안전난간 등 설치가 곤란할 경우 추락방호망 설치_x000a_▶ 데크플레이트 설치 및 철근 배근작업 시 근로자의 실족 방지를 위해 작업발판 등을 작업장의 통로에 설치_x000a_▶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
  </r>
  <r>
    <n v="3"/>
    <x v="3"/>
    <x v="9"/>
    <x v="14"/>
    <s v="YES"/>
    <x v="1"/>
    <x v="2"/>
    <s v="12대 기인물"/>
    <n v="1"/>
    <n v="0.09"/>
    <s v="2017년 2월경"/>
    <d v="2017-02-01T00:00:00"/>
    <n v="2"/>
    <s v="혹한기"/>
    <x v="2"/>
    <s v="2017년 2월경 OO공장 신축공사 현장에서 데크 플레이트판개 작업을 진행하던 재해자가 몸의 중심을 잃고 4.06m 아래 콘크리트 바닥으로 떨어져 사망"/>
    <s v="안전대 부착설비가 설치되지 않은 상태로 데크 플레이트 설치 작업 중 근로자가 몸의 중심을 잃고 데크플레이트 단부, 개구부로 추락"/>
    <s v="▶ 데크플레이트 설치작업 시 통로의 끝이나 개구부 등 추락위험이 있는 장소에는 안전난간, 추락방망 또는 덮개, 안전대 착용 등의 방호조치 실시_x000a_▶ 안전난간 등 설치가 곤란할 경우 추락방호망 설치_x000a_▶ 데크플레이트 설치 및 철근 배근작업 시 근로자의 실족 방지를 위해 작업발판 등을 작업장의 통로에 설치_x000a_▶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
  </r>
  <r>
    <n v="3"/>
    <x v="3"/>
    <x v="9"/>
    <x v="14"/>
    <s v="YES"/>
    <x v="1"/>
    <x v="2"/>
    <s v="12대 기인물"/>
    <n v="1"/>
    <n v="0.09"/>
    <s v="2020년 2월경"/>
    <d v="2020-02-01T00:00:00"/>
    <n v="2"/>
    <s v="혹한기"/>
    <x v="2"/>
    <s v="2020년 2월경 ㈜OO건설이 시공하는 OO 공장 및 기숙사 신축공사에서, 재해자(보통인부)가 공장 2층에 판개된 데크플레이트 위치조정 작업을 하던 중 데크플레이트 개구부로 떨어지면서 약 4.5m 아래 콘크리트 바닥에 부딪혀 사망"/>
    <s v="안전대 부착설비가 설치되지 않은 상태로 데크 플레이트 설치 작업 중 근로자가 몸의 중심을 잃고 데크플레이트 단부, 개구부로 추락"/>
    <s v="▶ 데크플레이트 설치작업 시 통로의 끝이나 개구부 등 추락위험이 있는 장소에는 안전난간, 추락방망 또는 덮개, 안전대 착용 등의 방호조치 실시_x000a_▶ 안전난간 등 설치가 곤란할 경우 추락방호망 설치_x000a_▶ 데크플레이트 설치 및 철근 배근작업 시 근로자의 실족 방지를 위해 작업발판 등을 작업장의 통로에 설치_x000a_▶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
  </r>
  <r>
    <n v="4"/>
    <x v="4"/>
    <x v="10"/>
    <x v="37"/>
    <s v="YES"/>
    <x v="1"/>
    <x v="2"/>
    <s v="12대 기인물"/>
    <n v="1"/>
    <n v="0.09"/>
    <s v="2016년 8월경"/>
    <d v="2016-08-01T00:00:00"/>
    <n v="8"/>
    <s v="혹서기"/>
    <x v="2"/>
    <s v="2016년 8월경 OO리모델링 공사에서 조적벽돌 묶음을 건물내부로 운반하기 위해 준비작업 중 개구부에서 약 4m 아래 콘크리트 바닥으로 추락하여 사망"/>
    <s v="조적자재 운반작업 중 덮개가 설치되지 않은 바닥 개구부로 추락"/>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
  </r>
  <r>
    <n v="4"/>
    <x v="4"/>
    <x v="10"/>
    <x v="37"/>
    <s v="YES"/>
    <x v="1"/>
    <x v="1"/>
    <s v="12대 기인물"/>
    <n v="1"/>
    <n v="0.09"/>
    <s v="2018년 1월경"/>
    <d v="2018-01-01T00:00:00"/>
    <n v="1"/>
    <s v="혹한기"/>
    <x v="2"/>
    <s v="2018년 1월경 OO신축공사에서 조적작업을 위하여 벽돌을 운반하던 중 환기개구부에서 추락하여(H〓3.5m) 사망"/>
    <s v="덮개가 설치되지 않은 환기용 개구부 단부에서 화단조성용 조적자재를 운반하던 중 몸의 균형을 잃고 개구부로 추락"/>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_x000a_▶ 추락방지망 또는 안전난간 설치가 어려운 경우, 안전대 부착설비를 설치하고 안전대 체결 후 작업토록 관리감독"/>
  </r>
  <r>
    <n v="4"/>
    <x v="4"/>
    <x v="10"/>
    <x v="37"/>
    <s v="YES"/>
    <x v="1"/>
    <x v="2"/>
    <s v="12대 기인물"/>
    <n v="1"/>
    <n v="0.09"/>
    <s v="2018년 7월경"/>
    <d v="2018-07-01T00:00:00"/>
    <n v="7"/>
    <s v="혹서기"/>
    <x v="2"/>
    <s v="2018년 7월경 OO빌딩 본관 내부공사 현장에서 재해자가 손수레에 담긴 시멘트 벽돌을 윈치를 이용하여 4층 자재 인양 개구부로 인양하여 건물 내부로 옮기던 중 몸의 중심을 잃고 개구부 단부에서 높이 약 15m 아래 지면 바닥으로 떨어져 사망"/>
    <s v="조적자재 운반작업 중 덮개가 설치되지 않은 바닥 개구부로 추락"/>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
  </r>
  <r>
    <n v="4"/>
    <x v="4"/>
    <x v="10"/>
    <x v="37"/>
    <s v="YES"/>
    <x v="1"/>
    <x v="2"/>
    <s v="12대 기인물"/>
    <n v="1"/>
    <n v="0.09"/>
    <s v="2018년 8월경"/>
    <d v="2018-08-01T00:00:00"/>
    <n v="8"/>
    <s v="혹서기"/>
    <x v="2"/>
    <s v="2018년 8월경 OO리모델링 공사에서 지상1층 벽체 조적작업을 위해 시멘트벽돌 운반 후 이동 중 바닥개구부에 빠져 7m 아래 지하1층 콘크리트 바닥으로 추락하여 사망"/>
    <s v="조적자재 운반작업 중 덮개가 설치되지 않은 바닥 개구부로 추락"/>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
  </r>
  <r>
    <n v="4"/>
    <x v="4"/>
    <x v="10"/>
    <x v="37"/>
    <s v="YES"/>
    <x v="1"/>
    <x v="1"/>
    <s v="12대 기인물"/>
    <n v="1"/>
    <n v="0.09"/>
    <s v="2019년 11월"/>
    <d v="2019-11-01T00:00:00"/>
    <n v="11"/>
    <s v="-"/>
    <x v="2"/>
    <s v="2019년 11월경 OO신축공사에서 엘리베이터 피트 내부에 설치된 윈치를 이용하여 레미탈 묶음을 지상8층에서 지상 15층으로 인양 후 엘리베이터 실 바닥에 내리던 중 몸의 중심을 잃고 떨어져 지상 1층 엘리베이터 피트 바닥(H≒41m)으로 추락하여 사망"/>
    <s v="안전대를 체결하지 않은 상태에서 엘리베이터 피트에 설치한 윈치를 이용하여 미장자재를 인양하던 중 몸의 중심을 잃고 추락"/>
    <s v="▶ 근로자가 추락하거나 넘어질 위험이 있는 장소에서 작업 시 비계를 조립하는 등 작업발판을 설치하고 단부에 안전난간 등 방호조치 실시_x000a_▶ 작업발판 설치가 곤란한 경우 근로자에게 안전대를 착용하도록 하고 안전대를 걸어 사용할수 있는 부착설비 등 설치 조치"/>
  </r>
  <r>
    <n v="4"/>
    <x v="4"/>
    <x v="10"/>
    <x v="38"/>
    <s v="YES"/>
    <x v="1"/>
    <x v="2"/>
    <s v="12대 기인물"/>
    <n v="1"/>
    <n v="0.09"/>
    <s v="2018년 11월"/>
    <d v="2018-11-01T00:00:00"/>
    <n v="11"/>
    <s v="-"/>
    <x v="2"/>
    <s v="2018년 11월경 OO신축공사에서 43층 승강기 전실 내부 덕트(Duct) 설치 구간에 마감용 조적작업을 위한 먹줄작업 전 청소를 위해 이동 중, 몸의 균형을 잃고 바로 옆 C.P.B 마스트용 개구부로 넘어지면서 42층(43층→42층) 개구부덮개(H≒2.8m)로 추락하여 사망"/>
    <s v="미장 또는 견출작업 중 덮개가 설치되지 않은 바닥 개구부로 추락"/>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
  </r>
  <r>
    <n v="4"/>
    <x v="4"/>
    <x v="10"/>
    <x v="15"/>
    <s v="YES"/>
    <x v="1"/>
    <x v="1"/>
    <s v="12대 기인물"/>
    <n v="1"/>
    <n v="0.09"/>
    <s v="2016년 1월경"/>
    <d v="2016-01-01T00:00:00"/>
    <n v="1"/>
    <s v="혹한기"/>
    <x v="2"/>
    <s v="2016년 1월경 OO인테리어 공사에서 작업장 내를 이동하는 중  바닥개구부(1,100mm×1,100mm)를 통해 지상 1층 바닥으로 추락하여(H≒9.5m) 사망"/>
    <s v="재해자가 작업장 내를 이동하는 중  바닥개구부를 통해 지상 1층 바닥으로 떨어짐"/>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_x000a_▶ 추락방지망 또는 안전난간 설치가 어려운 경우, 안전대 부착설비를 설치하고 안전대 체결 후 작업토록 관리감독"/>
  </r>
  <r>
    <n v="4"/>
    <x v="4"/>
    <x v="10"/>
    <x v="15"/>
    <s v="YES"/>
    <x v="1"/>
    <x v="2"/>
    <s v="12대 기인물"/>
    <n v="1"/>
    <n v="0.09"/>
    <s v="2016년 5월경"/>
    <d v="2016-05-01T00:00:00"/>
    <n v="5"/>
    <s v="-"/>
    <x v="2"/>
    <s v="2016년 5월경 OO신축공사에서 26층 세대 내부 견출작업을 마치고 옆 세대로 이동하기 위해 안방 발코니 단부의 안전 난간대(40cm×3단) 사이를 통과하여 1.2m아래 25층 외부 갱폼(gang form) 작업발판으로 내려가던 중 갱폼 작업발판 내측과 25층 안방 창 사이 개구부(57cm×25cm) 또는 압송관을 설치했던 갱폼 작업발판 개구부(60cm×50cm)로 빠지면서 약 56m아래(지상 6층) 1단 낙하물방지망으로 추락 후 낙하물방지망이 파손되면서 약 15m 아래 콘크리트 바닥으로 추락하여 사망"/>
    <s v="갱폼 작업발판에서 미장·견출작업 또는 작업장소를 이동하던 중 덮개가 설치되지 않은 작업발판 내 개구부로 추락"/>
    <s v="▶ 근로자가 추락할 위험이 있는 장소에서 작업 시 충분한 강도를 가진 덮개 설치 후 개구부임을 표시_x000a_▶ 위험을 미칠 우려가 있는 장소에는 관계 근로자가 아닌 사람의 출입 금지 조치 실시_x000a_▶ 개구부에 난간 등 설치가 어려운 경우 근로자에게 안전대를 착용토록 하고 안전대 부착 설비 설치"/>
  </r>
  <r>
    <n v="4"/>
    <x v="4"/>
    <x v="10"/>
    <x v="15"/>
    <s v="YES"/>
    <x v="1"/>
    <x v="2"/>
    <s v="12대 기인물"/>
    <n v="1"/>
    <n v="0.09"/>
    <s v="2016년 5월경"/>
    <d v="2016-05-01T00:00:00"/>
    <n v="5"/>
    <s v="-"/>
    <x v="2"/>
    <s v="2016년 5월경 OO신축공사에서 갱폼 작업발판 위에서 지상 6층 외벽 견출작업 중 콘크리트 압송관(φ150mm) 설치를 위해 절단한 작업발판 개구부(폭 500㎜×너비 350㎜)를 통해 약 16m 아래의 지상 콘크리트 바닥으로 추락하여 사망"/>
    <s v="갱폼 작업발판에서 미장·견출작업 또는 작업장소를 이동하던 중 덮개가 설치되지 않은 작업발판 내 개구부로 추락"/>
    <s v="▶ 근로자가 추락할 위험이 있는 장소에서 작업 시 충분한 강도를 가진 덮개 설치 후 개구부임을 표시_x000a_▶ 위험을 미칠 우려가 있는 장소에는 관계 근로자가 아닌 사람의 출입 금지 조치 실시_x000a_▶ 개구부에 난간 등 설치가 어려운 경우 근로자에게 안전대를 착용토록 하고 안전대 부착 설비 설치"/>
  </r>
  <r>
    <n v="4"/>
    <x v="4"/>
    <x v="10"/>
    <x v="15"/>
    <s v="YES"/>
    <x v="1"/>
    <x v="2"/>
    <s v="12대 기인물"/>
    <n v="1"/>
    <n v="0.09"/>
    <s v="2017년 1월경"/>
    <d v="2017-01-01T00:00:00"/>
    <n v="1"/>
    <s v="혹한기"/>
    <x v="2"/>
    <s v="2017년 1월경 OO신축공사에서 9층 세대 현관 앞 바닥 개구부 (800mm*800mm) 주변에서 콘크리트 벽에 노출된 폼 타이(form-tie)를 제거하던 중 몸의 중심을 잃고 높이 5.6M 개구부 아래로 추락하여 사망"/>
    <s v="미장 또는 견출작업 중 덮개가 설치되지 않은 바닥 개구부로 추락"/>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
  </r>
  <r>
    <n v="4"/>
    <x v="4"/>
    <x v="11"/>
    <x v="16"/>
    <s v="YES"/>
    <x v="1"/>
    <x v="2"/>
    <s v="12대 기인물"/>
    <n v="1"/>
    <n v="0.09"/>
    <s v="2016년 6월경"/>
    <d v="2016-06-01T00:00:00"/>
    <n v="6"/>
    <s v="혹서기"/>
    <x v="2"/>
    <s v="2016년 6월경 OO건설 사옥 신축공사 현장 지하에서 재해자가 정화조 내부 방수공사를 진행하던 중 밖으로 나와 지하 4층 정화조관리실에서 이동하다가 인접한 정화조 바닥 개구부(1m×1m)로 떨어져(H≒3.3m) 사망"/>
    <s v="안전난간이 미설치된 바닥 개구부 인근에서 이동 중 근로자가 몸의 중심을 잃고 바닥 개구부로 추락"/>
    <s v="▶ 주락 위험이 있는 개구부 및 개구부 주변에 철재 안전덮개, 안전난간 설치, 개구부 표시 등 추락위험 방지조치 실시_x000a_▶ 주락 위험이 있는 개구부에 불가피하게 임시로 합판 등의 자재로 덮어 놓는 경우, 흔들림 및 움직임이 없도록 별도의 고정을 실시하며 이후에 전용 안전덮개 또는 안전난간 설치 등 추락방지조치 실시"/>
  </r>
  <r>
    <n v="4"/>
    <x v="4"/>
    <x v="11"/>
    <x v="16"/>
    <s v="YES"/>
    <x v="1"/>
    <x v="2"/>
    <s v="12대 기인물"/>
    <n v="1"/>
    <n v="0.09"/>
    <s v="2017년 2월경"/>
    <d v="2017-02-01T00:00:00"/>
    <n v="2"/>
    <s v="혹한기"/>
    <x v="2"/>
    <s v="2017년 2월경 OO(주)이 시공중인 OO센터 건설공사 현장에서 협력업체 소속 재해자(방수공)가 공장동 지상2층 폐수처리장에서 폐자재 정리 작업 중, 바닥개구부(700*700mm)를 덮어 놓은 합판을 치우던 순간 몸의 중심을 잃고 12m 아래 지하1층 바닥으로 떨어져 사망"/>
    <s v="추락방지조치 미실한 상태에서 폐자재 정리 작업 중 바닥개구부를 덮어 놓은 합판을 치우던 순간 몸의 중심을 잃고 떨어짐"/>
    <s v="▶ 주락 위험이 있는 개구부 및 개구부 주변에 철재 안전덮개, 안전난간 설치, 개구부 표시 등 추락위험 방지조치 실시_x000a_▶ 주락 위험이 있는 개구부에 불가피하게 임시로 합판 등의 자재로 덮어 놓는 경우, 흔들림 및 움직임이 없도록 별도의 고정을 실시하며 이후에 전용 안전덮개 또는 안전난간 설치 등 추락방지조치 실시"/>
  </r>
  <r>
    <n v="4"/>
    <x v="4"/>
    <x v="11"/>
    <x v="16"/>
    <s v="YES"/>
    <x v="1"/>
    <x v="2"/>
    <s v="12대 기인물"/>
    <n v="1"/>
    <n v="0.09"/>
    <s v="2017년 5월경"/>
    <d v="2017-05-01T00:00:00"/>
    <n v="5"/>
    <s v="-"/>
    <x v="2"/>
    <s v="2017년 5월경 ㈜OO에서 시공하는 OO 신축공사 현장에서, 협력업체 소속 재해자(방수공)가 지하 2층에 있는 덕트 개구부에서 방수작업 준비 중 바닥 개구부로 몸의 중심을 잃고 지하 3층 기계실 바닥으로 추락(H≒6.3m) 사망"/>
    <s v="추락방지조치 미실한 상태에서 바닥 개구부 인근 방수작업 준비중 근로자가 몸의 중심을 잃고 바닥 개구부로 추락"/>
    <s v="▶ 주락 위험이 있는 개구부 및 개구부 주변에 철재 안전덮개, 안전난간 설치, 개구부 표시 등 추락위험 방지조치 실시_x000a_▶ 주락 위험이 있는 개구부에 불가피하게 임시로 합판 등의 자재로 덮어 놓는 경우, 흔들림 및 움직임이 없도록 별도의 고정을 실시하며 이후에 전용 안전덮개 또는 안전난간 설치 등 추락방지조치 실시"/>
  </r>
  <r>
    <n v="4"/>
    <x v="4"/>
    <x v="11"/>
    <x v="16"/>
    <s v="YES"/>
    <x v="1"/>
    <x v="1"/>
    <s v="12대 기인물"/>
    <n v="1"/>
    <n v="0.09"/>
    <s v="2019년 10월"/>
    <d v="2019-10-01T00:00:00"/>
    <n v="10"/>
    <s v="-"/>
    <x v="2"/>
    <s v="2019년 10월경 ㈜OO이 시공하는 OO 소음저감시설 설치공사 현장에서 재해자(잡철물공)이 방음터널 지붕 상부의 방음판(t=10mm,강화유리) 고정용 프레임 틈새의 방수작업을 위해 방음터널 지붕의 끝단부 또는 빗물받이 판을 밟고 이동하던 중 몸의 중심을 잃고 방음판이 미설치된 개구부(2.6m×1.1m) 아래 약 7.8m 지상 바닥으로 떨어져 사망   "/>
    <s v="방음터널 지붕 상부의 방음판 고정용 프레임 틈새의 방수작업을 위해 방음터널 지붕의 끝단부 또는 빗물받이 판을 밟고 이동 중 추락방지조치 미실시한 상태에서 몸의 중심을 잃고 방음판이 미설치된 개구부로 추락"/>
    <s v="▶ 철골조 방음터널 곡면 지붕 작업 중 추락방지를 위해 안전대 지급 및 안전대 부착설비 설치_x000a_▶ 추락방호망 설치 후 작업"/>
  </r>
  <r>
    <n v="4"/>
    <x v="4"/>
    <x v="21"/>
    <x v="39"/>
    <s v="YES"/>
    <x v="1"/>
    <x v="2"/>
    <s v="12대 기인물"/>
    <n v="1"/>
    <n v="0.09"/>
    <s v="2016년 12월"/>
    <d v="2016-12-01T00:00:00"/>
    <n v="12"/>
    <s v="혹한기"/>
    <x v="2"/>
    <s v="2016년 12월경 OO 플랜트 공사현장에서 재해자가 내화피복 뿜칠작업을 실시하고, 비계 작업발판에서 내려와 인접된 장소에 위치한 개구부의 안전난간을 넘어가 개구부에 설치된 철판(t=0.6mm)을 밟는 순간 철판이 탈락되면서 69.0m 아래 CON`C 바닥으로 떨어져 사망"/>
    <s v="견고하지 않은 바닥 개구부 덮개를 밟아 개구부 덮개가 탈락하며 추락"/>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
  </r>
  <r>
    <n v="4"/>
    <x v="4"/>
    <x v="21"/>
    <x v="39"/>
    <s v="YES"/>
    <x v="1"/>
    <x v="2"/>
    <s v="12대 기인물"/>
    <n v="1"/>
    <n v="0.09"/>
    <s v="2017년 6월경"/>
    <d v="2017-06-01T00:00:00"/>
    <n v="6"/>
    <s v="혹서기"/>
    <x v="2"/>
    <s v="2017년 6월경 OO증축공사 현장에서 재해자가 건물 내부 2층에서 페인트를 운반하던 중 바닥 개구부(1.8m×1.5m)를 통해 1층 바닥으로 추락하여(H≒4m) 사망"/>
    <s v="도장자재를 운반하던 중 바닥 개구부를 인지하지 못하고 추락"/>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
  </r>
  <r>
    <n v="4"/>
    <x v="4"/>
    <x v="21"/>
    <x v="40"/>
    <s v="YES"/>
    <x v="1"/>
    <x v="2"/>
    <s v="12대 기인물"/>
    <n v="1"/>
    <n v="0.09"/>
    <s v="2016년 2월경"/>
    <d v="2016-02-01T00:00:00"/>
    <n v="2"/>
    <s v="혹한기"/>
    <x v="2"/>
    <s v="2016년 2월경 OO건설 주상복합 신축공사 현장에서 재해자가 정화조 중간관리층에서 벽체 도장작업을 완료하고 동료근로자 2명과 함께 자재 및 공구 정리작업 중 바닥 개구부에서 높이 3.5M 아래 콘크리트 바닥으로 떨어져 사망"/>
    <s v="도장자재를 운반하던 중 바닥 개구부를 인지하지 못하고 추락"/>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
  </r>
  <r>
    <n v="4"/>
    <x v="4"/>
    <x v="21"/>
    <x v="40"/>
    <s v="YES"/>
    <x v="1"/>
    <x v="1"/>
    <s v="12대 기인물"/>
    <n v="1"/>
    <n v="0.09"/>
    <s v="2021년 7월경"/>
    <d v="2021-07-01T00:00:00"/>
    <n v="7"/>
    <s v="혹서기"/>
    <x v="2"/>
    <s v="2021년 7월경 사옥 리모델링 공사 현장에서 도장 협력업체 소속 재해자가 차량탑재형 고소작업대의 작업대에 탑승하여 건물 3층 높이에서 외벽 도색 작업을 위한 마스킹 테이프 부착 작업 중 작업대 우측면 개구부에서 지상으로(h≒7.8m) 추락하여 사망"/>
    <s v="차량탑재형 고소작업대에 탑승하여 철골 용접부 도장작업 중 몸의 중심을 잃고 안전난간이 설치되지 않은 작업대 단부로 추락"/>
    <s v="▶ 고소작업대의 모든 면에 안전난간 설치_x000a_▶ 고소작업대 작업 시 작업대의 안전난간이 아닌 별도의 안전대 부착설비 설치 및 안전대 체결 후 작업"/>
  </r>
  <r>
    <n v="4"/>
    <x v="4"/>
    <x v="12"/>
    <x v="18"/>
    <s v="YES"/>
    <x v="1"/>
    <x v="2"/>
    <s v="12대 기인물"/>
    <n v="1"/>
    <n v="0.09"/>
    <s v="2016년 4월경"/>
    <d v="2016-04-01T00:00:00"/>
    <n v="4"/>
    <s v="-"/>
    <x v="2"/>
    <s v="2016년 4월경 OOOO 신축공사 현장에서 협력업체 소속 재해자가 개구부(D/A)에서 스틸 그레이팅을 설치하다 약 5m 아래 콘크리트 바닥으로 추락하여 사망"/>
    <s v="환기구 벽체 상부(폭 10cm)에서 몸을 굽혀 개구부 방향으로 자재를 잡아당기던 중 무게중심이 쏠려 개구부 아래로 추락   "/>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_x000a_▶ 추락방지망 또는 안전난간 설치가 어려운 경우, 안전대 부착설비를 설치하고 안전대 체결 후 작업토록 관리감독"/>
  </r>
  <r>
    <n v="4"/>
    <x v="4"/>
    <x v="12"/>
    <x v="18"/>
    <s v="YES"/>
    <x v="1"/>
    <x v="2"/>
    <s v="12대 기인물"/>
    <n v="1"/>
    <n v="0.09"/>
    <s v="2019년 11월"/>
    <d v="2019-11-01T00:00:00"/>
    <n v="11"/>
    <s v="-"/>
    <x v="2"/>
    <s v="2019년 11월경 OOO 풋살경기장 판넬/창호공사(실내 풋살장) 현장에서 재해자가 지붕용 샌드위치 판넬 자재측면 후레싱 설치를 위해 판넬과 판넬 사이의 선라이트 설치 예정인 개구부 위를이동하던 중 실족하여 바닥으로 추락하여(H ≒ 7.7 m) 사망"/>
    <s v="개구부 주변에서 자재 운반 중 발을 헛디뎌 개구부로 추락"/>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_x000a_▶ 추락방지망 또는 안전난간 설치가 어려운 경우, 안전대 부착설비를 설치하고 안전대 체결 후 작업토록 관리감독"/>
  </r>
  <r>
    <n v="4"/>
    <x v="4"/>
    <x v="12"/>
    <x v="18"/>
    <s v="YES"/>
    <x v="1"/>
    <x v="1"/>
    <s v="12대 기인물"/>
    <n v="1"/>
    <n v="0.09"/>
    <s v="2020년 2월경"/>
    <d v="2020-02-01T00:00:00"/>
    <n v="2"/>
    <s v="혹한기"/>
    <x v="2"/>
    <s v="2020년 2월경 물류창고 차양막 설치 공사현장에서, 재해자가 차량탑재형 고소작업대를 이용해 차양 철물(높이 약 5m)위에 올라가 차양막 덮개(폴리카보네이트)를 임팩 드라이버로 고정시키던 중, 실족하여 작업면 우측 철물 프레임 사이(덮개 미설치 구간) 개구부를 통해 지상 콘크리트 바닥으로 추락하여 사망"/>
    <s v="차양 구조물 상부에서 차양막 덮개를 설치하던 중 발을 헛디뎌 차양 구조물간 개구부로 추락"/>
    <s v="▶ 개구부 등 추락위험이 있는 장소에서 작업하는 경우 작업높이에 맞는 견고한 작업발판(비계 등)을 설치_x000a_▶ 작업발판을 설치하기 곤란한 경우 안전방망을 설치하고 안전대걸이설비에 안전대를 체결한 후 작업"/>
  </r>
  <r>
    <n v="4"/>
    <x v="4"/>
    <x v="12"/>
    <x v="18"/>
    <s v="YES"/>
    <x v="1"/>
    <x v="2"/>
    <s v="12대 기인물"/>
    <n v="1"/>
    <n v="0.09"/>
    <s v="2020년 7월경"/>
    <d v="2020-07-01T00:00:00"/>
    <n v="7"/>
    <s v="혹서기"/>
    <x v="2"/>
    <s v="2020년 7월경 OO산 산림레포츠시설 조성사업 조경공사 현장에서 일용직 재해자가 짚라인 3번 코스 출발 탑승장(플랫폼, platform) 철골 프레임(사각 지지대) 위에 그레이팅 발판 설치 작업 중 개구부로 실족하여 약 15.5m아래 콘크리트 바닥으로 추락하여 사망"/>
    <s v="철골 구조물의 그레이팅 발판 설치를 위해 손가락에 그레이팅을 끼워 들어올린 상태로 실측하던 중 그레이팅이 개구부로 낙하하면서 무게중심이 쏠려 함께 추락    "/>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_x000a_▶ 추락방지망 또는 안전난간 설치가 어려운 경우, 안전대 부착설비를 설치하고 안전대 체결 후 작업토록 관리감독"/>
  </r>
  <r>
    <n v="4"/>
    <x v="4"/>
    <x v="12"/>
    <x v="18"/>
    <s v="YES"/>
    <x v="1"/>
    <x v="1"/>
    <s v="12대 기인물"/>
    <n v="1"/>
    <n v="0.09"/>
    <s v="2020년 9월경"/>
    <d v="2020-09-01T00:00:00"/>
    <n v="9"/>
    <s v="-"/>
    <x v="2"/>
    <s v="2020년 9월경 OOOOO 신축공사 현장에서, 협력업체 소속 재해자가 지상 1층 환기구에서 개구부 덮개 받침용 철물을 용접 후 이동 중, 환기구 내부 바닥으로 추락(H≒4.7m)하여 사망"/>
    <s v="환기구 내벽의 돌출부(폭 20cm 이내) 위에서 작업하던 중 발을 헛디뎌 환기구 아래로 추락 "/>
    <s v="▶ 개구부 등 추락위험이 있는 장소에서 작업하는 경우 작업높이에 맞는 견고한 작업발판(비계 등)을 설치_x000a_▶ 작업발판을 설치하기 곤란한 경우 안전방망을 설치하고 안전대걸이설비에 안전대를 체결한 후 작업"/>
  </r>
  <r>
    <n v="4"/>
    <x v="4"/>
    <x v="22"/>
    <x v="41"/>
    <s v="YES"/>
    <x v="1"/>
    <x v="1"/>
    <s v="12대 기인물"/>
    <n v="1"/>
    <n v="0.09"/>
    <s v="2016년 10월"/>
    <d v="2016-10-01T00:00:00"/>
    <n v="10"/>
    <s v="-"/>
    <x v="2"/>
    <s v="2016년 10월경 개인이 시공하는 다세대주택 신축공사 현장에서 재해자가 지상 5층 창 가림막 설치작업을 진행하던 중 몸의 중심을 잃고 창 가림막과 함께 약 12.8m아래 지상 바닥으로 추락"/>
    <s v="창틀 위에 앉은 자세로 몸을 구조물 외측으로 내밀어 창 가림막 지지대를 고정하던 중 몸을 기대고 있던 지지대가 파단되면서 바닥으로 추락"/>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_x000a_▶ 추락방지망 또는 안전난간 설치가 어려운 경우, 안전대 부착설비를 설치하고 안전대 체결 후 작업토록 관리감독"/>
  </r>
  <r>
    <n v="4"/>
    <x v="4"/>
    <x v="22"/>
    <x v="41"/>
    <s v="YES"/>
    <x v="1"/>
    <x v="1"/>
    <s v="12대 기인물"/>
    <n v="1"/>
    <n v="0.09"/>
    <s v="2016년 11월"/>
    <d v="2016-11-01T00:00:00"/>
    <n v="11"/>
    <s v="-"/>
    <x v="2"/>
    <s v="2016년 11월경 OO신축공사 현장에서 재해자가 2층 상가 폴딩도어의 외부 실리콘을 보수하기 위해 상가 내부에서 유리창 외부로 작업하려던 중 갑자기 몸의 중심을 잃고 유리창 외부 바닥으로 추락(H≒4m)"/>
    <s v="안전대를 착용하지 않고 외벽창호 작업 중 몸의 중심을 잃고 추락"/>
    <s v="▶ 추락할 위험이 있는 외벽창호작업 시 고소작업대, 비계 등을 이용하여 견고한 작업발판, 안전난간 설치 등 떨어짐 위험을 방지하기 위한 필요한 조치 실시_x000a_▶ 고소작업대, 비계 등을 이용한 작업발판 또는 안전난간 설치가 어려운 경우, 안전대 부착설비를 설치하고 안전대 체결 후 작업토록 관리감독"/>
  </r>
  <r>
    <n v="4"/>
    <x v="4"/>
    <x v="22"/>
    <x v="41"/>
    <s v="YES"/>
    <x v="1"/>
    <x v="1"/>
    <s v="12대 기인물"/>
    <n v="1"/>
    <n v="0.09"/>
    <s v="2016년 11월"/>
    <d v="2016-11-01T00:00:00"/>
    <n v="11"/>
    <s v="-"/>
    <x v="2"/>
    <s v="2016년 11월경 OO역사 신축공사 현장에서 재해자는 역사 주차장 연결통로 케노피 높은 구간 유리의 충진재를 채우고 낮은 구간의 케노피에서 이동 중 일부 유리가 미설치된 구간의 개구부(너비≒900x1500mm)를 미쳐 발견하지 못하고 약 3.5m 아래 바닥으로 추락"/>
    <s v="캐노피 구조물 상부에서 이동하던 중 유리가 미설치된 개구부를 인지하지 못하고 발을 헛디뎌 추락 "/>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_x000a_▶ 추락방지망 또는 안전난간 설치가 어려운 경우, 안전대 부착설비를 설치하고 안전대 체결 후 작업토록 관리감독"/>
  </r>
  <r>
    <n v="4"/>
    <x v="4"/>
    <x v="22"/>
    <x v="41"/>
    <s v="YES"/>
    <x v="1"/>
    <x v="2"/>
    <s v="12대 기인물"/>
    <n v="1"/>
    <n v="0.09"/>
    <s v="2017년 11월"/>
    <d v="2017-11-01T00:00:00"/>
    <n v="11"/>
    <s v="-"/>
    <x v="2"/>
    <s v="2017년 11월경 인테리어공사 현장에서 재해자가 건물 내부 2층 바닥에 강화유리를 설치하기 위해 이동 중 바닥 개구부(900mm×800mm)를 미처 발견하지 못하고 추락(H≒3m)"/>
    <s v="건물 내부 바닥에 강화유리를 설치하기 위해 이동하는 중 바닥 개구부를 인지하지 못하고 추락 "/>
    <s v="▶ 바닥면에 유리설치 작업 시 순차적으로 작업 및 표시하여 개구부 추락 방지_x000a_▶ 바닥면에 유리설치 작업 중 미작업 부분에 대해 안전난간, 개구부 덮개 및 추락방망 설치_x000a_▶ 추락위험이 있는 장소에서 작업 시 안전대 부착설비 설치 및 안전대 착용"/>
  </r>
  <r>
    <n v="4"/>
    <x v="4"/>
    <x v="22"/>
    <x v="41"/>
    <s v="YES"/>
    <x v="1"/>
    <x v="1"/>
    <s v="12대 기인물"/>
    <n v="1"/>
    <n v="0.09"/>
    <s v="2017년 12월"/>
    <d v="2017-12-01T00:00:00"/>
    <n v="12"/>
    <s v="혹한기"/>
    <x v="2"/>
    <s v="2017년 12월경 OO아파트 신축공사 현장에서 금속창호공사 협력업체 소속의 재해자가 중공구간의 천창 금속 프레임 용접작업중, 시스템비계와 강관비계 작업발판 사이의 개구부로 추락(H≒40m)"/>
    <s v="시스템비계에서 작업 중 발을 헛디뎌 안전난간이 설치되지 않은 작업발판 단부로 추락"/>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_x000a_▶ 추락방지망 또는 안전난간 설치가 어려운 경우, 안전대 부착설비를 설치하고 안전대 체결 후 작업토록 관리감독"/>
  </r>
  <r>
    <n v="4"/>
    <x v="4"/>
    <x v="22"/>
    <x v="41"/>
    <s v="YES"/>
    <x v="1"/>
    <x v="1"/>
    <s v="12대 기인물"/>
    <n v="1"/>
    <n v="0.09"/>
    <s v="2019년 12월"/>
    <d v="2019-12-01T00:00:00"/>
    <n v="12"/>
    <s v="혹한기"/>
    <x v="2"/>
    <s v="2019년 12월경 주택재개발 현장에서 협력업체 소속 재해자가 거실창호 외측 중앙의 접합유리(Fix창, 대형창호 개구부) 설치를 위하여 기 설치되어있던 내측 창호를 해체하여 이동하려던 중, 무게중심을 잃고 중앙의 대형창호 개구부로 추락하여 외부 시스템비계 상단(높이 약 10.8m)에 1차 추락 후, 지상 바닥(높이 약 12.4m)으로 2차 추락"/>
    <s v="기 설치된 창호를 해체하여 양손으로 들어 옮기는 과정에서 창호가 개구부 외측으로 무게중심이 쏠리면서 창호와 함께 개구부로 추락"/>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_x000a_▶ 추락방지망 또는 안전난간 설치가 어려운 경우, 안전대 부착설비를 설치하고 안전대 체결 후 작업토록 관리감독"/>
  </r>
  <r>
    <n v="4"/>
    <x v="4"/>
    <x v="22"/>
    <x v="41"/>
    <s v="YES"/>
    <x v="1"/>
    <x v="1"/>
    <s v="12대 기인물"/>
    <n v="1"/>
    <n v="0.09"/>
    <s v="2020년 8월경"/>
    <d v="2020-08-01T00:00:00"/>
    <n v="8"/>
    <s v="혹서기"/>
    <x v="2"/>
    <s v="2020년 8월경 OO역사 신축 공사 현장에서 협력업체 소속 재해자가 보행캐노피 상부에서 유리를 설치하던 중 보행캐노피 구조물에서 발을 헛디뎌 약 4.6m 아래로 추락"/>
    <s v="캐노피 구조물 상부에서 유리 설치 작업 중 발을 헛디뎌 추락 "/>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_x000a_▶ 추락방지망 또는 안전난간 설치가 어려운 경우, 안전대 부착설비를 설치하고 안전대 체결 후 작업토록 관리감독"/>
  </r>
  <r>
    <n v="4"/>
    <x v="4"/>
    <x v="22"/>
    <x v="41"/>
    <s v="YES"/>
    <x v="1"/>
    <x v="1"/>
    <s v="12대 기인물"/>
    <n v="1"/>
    <n v="0.09"/>
    <s v="2021년 3월경"/>
    <d v="2021-03-01T00:00:00"/>
    <n v="3"/>
    <s v="-"/>
    <x v="2"/>
    <s v="2021년 3월경 아파트에서 발코니 창틀 외부 실리콘 코킹을 위해 재해자가 단독으로 비계를 이용하여 측방에 있는 창틀에 코킹작업 하고자 하였으나, 수평방향으로 약 2.5m 이격되어 있어 달비계 작업대에서 벗어나 해당 위치로 이동해 코킹작업을 시도하다 약 10m의 지상으로 추락"/>
    <s v="달비계 작업 중 작업위치가 닿지 않아 작업대에서 벗어나 실외기 난간을 밟고 작업하던 중 발을 헛디뎌 추락"/>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_x000a_▶ 추락방지망 또는 안전난간 설치가 어려운 경우, 안전대 부착설비를 설치하고 안전대 체결 후 작업토록 관리감독"/>
  </r>
  <r>
    <n v="4"/>
    <x v="4"/>
    <x v="22"/>
    <x v="41"/>
    <s v="YES"/>
    <x v="1"/>
    <x v="1"/>
    <s v="12대 기인물"/>
    <n v="1"/>
    <n v="0.09"/>
    <s v="2021년 11월"/>
    <d v="2021-11-01T00:00:00"/>
    <n v="11"/>
    <s v="-"/>
    <x v="2"/>
    <s v="2021년 11월경 다중주택시설 내부 리모델링 공사현장 내 3층 거실 창틀에서 2인 1조로 창호 설치작업을 하던 중 동료작업자가 창호 고정공구(타정총)를 가져오기 위해 이동한 사이에 재해자가 창호와 함께 추락(h≒8.5m)"/>
    <s v="창호 설치 작업 중 창틀에 기대어 세워둔 창호가 구조물 외측으로 전도되면서 창호를 붙잡으려던 재해자가 함께 추락"/>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_x000a_▶ 추락방지망 또는 안전난간 설치가 어려운 경우, 안전대 부착설비를 설치하고 안전대 체결 후 작업토록 관리감독"/>
  </r>
  <r>
    <n v="4"/>
    <x v="4"/>
    <x v="13"/>
    <x v="42"/>
    <s v="YES"/>
    <x v="1"/>
    <x v="1"/>
    <s v="12대 기인물"/>
    <n v="1"/>
    <n v="0.09"/>
    <s v="2016년 7월경"/>
    <d v="2016-07-01T00:00:00"/>
    <n v="7"/>
    <s v="혹서기"/>
    <x v="2"/>
    <s v="2016년 7월경 개인상가주택 신축현장 2층 거실에서 재해자(목수)가 삼나무판재를 잡고 움직이던 중 2층 거실 유리창 창문틀에 발이 걸리면서 건물 밖으로 떨어져(H=4.8m) 사망(추정)"/>
    <s v="슬래브 단부에서 이동하던 중 창틀에 발이 걸려 창호 개구부로 추락"/>
    <s v="▶ 창호 개구부 등 추락의 위험이 있는 장소에는 안전난간대 설치 또는 수직형 추락방망 등 추락방지용 안전시설물을 설치하여 근로자 추락을 예방_x000a_▶ 설치된 안전시설물에 대해 유지관리하고, 임의 해체 예방을 위한 관리감독"/>
  </r>
  <r>
    <n v="4"/>
    <x v="4"/>
    <x v="13"/>
    <x v="42"/>
    <s v="YES"/>
    <x v="1"/>
    <x v="1"/>
    <s v="12대 기인물"/>
    <n v="1"/>
    <n v="0.09"/>
    <s v="2017년 11월"/>
    <d v="2017-11-01T00:00:00"/>
    <n v="11"/>
    <s v="-"/>
    <x v="2"/>
    <s v="2017년 11월경 다세대 신축공사현장에서 재해자(내장목공)가 지상 5층 세대 내 침실3 천정틀작업을 위해 우마, 산승각재, 합판을 사용하여 작업발판을 설치하던 중 안전 난간이 미설치된 창호 수직개구부(2,100mm×2,100mm) 외측으로 실족하여 11.5m 아래 지상바닥에 떨어져 사망"/>
    <s v="슬래브 단부에서 작업하던 중 발을 헛디뎌 안전난간이 설치되지 않은 창호 개구부로 추락"/>
    <s v="▶ 창호 개구부 등 추락의 위험이 있는 장소에는 안전난간대 설치 또는 수직형 추락방망 등 추락방지용 안전시설물을 설치하여 근로자 추락을 예방_x000a_▶ 설치된 안전시설물에 대해 유지관리하고, 임의 해체 예방을 위한 관리감독"/>
  </r>
  <r>
    <n v="4"/>
    <x v="4"/>
    <x v="13"/>
    <x v="42"/>
    <s v="YES"/>
    <x v="1"/>
    <x v="2"/>
    <s v="12대 기인물"/>
    <n v="1"/>
    <n v="0.09"/>
    <s v="2018년 9월경"/>
    <d v="2018-09-01T00:00:00"/>
    <n v="9"/>
    <s v="-"/>
    <x v="2"/>
    <s v="2018년 9월경 OO신축공사 현장에서 재해자가 합판 자재정리를 위하여 그리스트랩 설치용 개구부를 덮어놓은 합판을 옮기던 중 합판 아래 개구부를 알지 못하고 이동하다 2층 콘크리트 바닥으로 추락"/>
    <s v="개구부 덮개가 고정되지 않은 바닥의 개구부를 통해 근로자 추락"/>
    <s v="▶ 지붕 등 바닥 개구부 발생 시 근로자 및 자재 등에 대한 무게의 2배 이상을 견딜 수 있는 구조의 철재 안전덮개(개구부 표시 포함)를 설치하거나, 안전난간 및 추락방지망 설치 등 근로자 추락 방지 조치_x000a_▶ 안전난간 설치 시 지름 2.7cm 이상의 금속제 파이프나 그 이상 강도의 재료 사용하며 구조적으로 가장 취약한 지점에서 가장 취약한 방향으로 작용하는 100kg 이상의 하중에 견딜 수 있는 구조로 설치_x000a_▶ 설치된 안전시설물에 대해 유지관리하고, 임의 해체 예방을 위한 관리감독_x000a_▶ 개구부에 마감 등 작업 진행 시 안전대 부착설비 설치 및 근로자 안전대 체결여부 점검 및 관리감독"/>
  </r>
  <r>
    <n v="4"/>
    <x v="4"/>
    <x v="13"/>
    <x v="42"/>
    <s v="YES"/>
    <x v="1"/>
    <x v="1"/>
    <s v="12대 기인물"/>
    <n v="1"/>
    <n v="0.09"/>
    <s v="2019년 4월경"/>
    <d v="2019-04-01T00:00:00"/>
    <n v="4"/>
    <s v="-"/>
    <x v="2"/>
    <s v="2019년 4월경 OO 연립주택 신축공사 현장에서 재해자가 세대 내 거실 천장 도배작업 진행 상황을 확인하고 계단으로 내려가던 중 계단실 내부 개구부(1.55m x 1.1m)로 실족하여 약 13m 아래 지하 2층 바닥으로 추락하여 사망"/>
    <s v="자재 운반 및 작업 중 안전난간이 미설치된 창호 개구부 등을 통해 근로자 추락"/>
    <s v="▶ 창호 개구부 등 추락의 위험이 있는 장소에는 안전난간대 설치 또는 수직형 추락방망 등 추락방지용 안전시설물을 설치하여 근로자 추락을 예방_x000a_▶ 설치된 안전시설물에 대해 유지관리하고, 임의 해체 예방을 위한 관리감독"/>
  </r>
  <r>
    <n v="4"/>
    <x v="4"/>
    <x v="13"/>
    <x v="42"/>
    <s v="YES"/>
    <x v="1"/>
    <x v="2"/>
    <s v="12대 기인물"/>
    <n v="1"/>
    <n v="0.09"/>
    <s v="2020년 1월경"/>
    <d v="2020-01-01T00:00:00"/>
    <n v="1"/>
    <s v="혹한기"/>
    <x v="2"/>
    <s v="2020년 1월경 OO 소속 재해자(배달원)가 사무실 증축공사현장으로 외벽단열재를 배송하던 중 단열재를 지상 2층으로 운반하는 과정에서 지상 2층 바닥에 있는 개구부(2.5m×1.0m,계단설치위치,H≒3.5m)를 보지 못하고 1층 바닥으로 떨어져 사망"/>
    <s v="자재 운반 중 바닥의 개구부를 인지하지 못하고 발을 헛디뎌 추락"/>
    <s v="▶ 바닥 개구부 발생 시 근로자 및 자재 등에 대한 무게의 2배 이상을 견딜 수 있는 구조의 철재 안전덮개(개구부 표시 포함)를 설치하거나, 안전난간 및 추락방지망 설치 등 근로자 추락 방지 조치_x000a_▶ 안전난간 설치 시 지름 2.7cm 이상의 금속제 파이프나 그 이상 강도의 재료 사용하며 구조적으로 가장 취약한 지점에서 가장 취약한 방향으로 작용하는 100kg 이상의 하중에 견딜 수 있는 구조로 설치_x000a_▶ 설치된 안전시설물에 대해 유지관리하고, 임의 해체 예방을 위한 관리감독_x000a_▶ 개구부에 마감 등 작업 진행 시 안전대 부착설비 설치 및 근로자 안전대 체결여부 점검 및 관리감독"/>
  </r>
  <r>
    <n v="4"/>
    <x v="4"/>
    <x v="14"/>
    <x v="43"/>
    <s v="YES"/>
    <x v="1"/>
    <x v="2"/>
    <s v="12대 기인물"/>
    <n v="1"/>
    <n v="0.09"/>
    <s v="2016년 2월경"/>
    <d v="2016-02-01T00:00:00"/>
    <n v="2"/>
    <s v="혹한기"/>
    <x v="2"/>
    <s v="2016년 2월경 OO건설(주)이 시공중인 OO 공장 증축공사 현장에서 재해자(판넬공)가 옥상층에서 동료작업자와 함께 판넬(5000mm × 1000mm, 두께 150mm, 약 50kg)을 운반하는 작업 중, 몸의 중심을 잃고 지상 1층 바닥(높이 약 13m)으로 떨어져 사망"/>
    <s v="옥상 슬래브 단부에서 자재 운반작업 중 발을 헛디뎌 안전난간이 설치되지 않은 단부로 추락"/>
    <s v="▶ 추락 위험장소(슬래브 단부 등)에 근로자 이동 또는 작업 시 외부 비계 조립 등 폭 40cm 이상의 작업발판 설치 및 단부 구간에 안전난간 등 추락방지용 안전시설물을 견고하게 설치_x000a_▶ 안전난간 설치 시 지름 2.7cm 이상의 금속제 파이프나 그 이상 강도의 재료 사용하며 구조적으로 가장 취약한 지점에서 가장 취약한 방향으로 작용하는 100kg 이상의 하중에 견딜 수 있는 구조로 설치_x000a_▶ 슬래브 단부 등에 작업발판 및 안전난간 설치가 곤란한 경우 근로자 추락방지를 위해 추락방지망 설치 또는 안전대 부착설비 설치 및 안전대 체결 관리_x000a_▶ 건물 외측의 작업이 필요한 경우 내측에서 몸을 내밀어 작업하는 방식을 지양하고, 고소작업대 또는 달비계 등을 이용하여 작업하도록 관리감독_x000a_▶ 마감재 해체 작업 시, 패널 등 마감재를 해체한 후 지지대를 해체하는 순서로 작업을 계획하여 불시의 마감재 낙하 등의 사고를 예방"/>
  </r>
  <r>
    <n v="4"/>
    <x v="4"/>
    <x v="14"/>
    <x v="43"/>
    <s v="YES"/>
    <x v="1"/>
    <x v="2"/>
    <s v="12대 기인물"/>
    <n v="1"/>
    <n v="0.09"/>
    <s v="2016년 9월경"/>
    <d v="2016-09-01T00:00:00"/>
    <n v="9"/>
    <s v="-"/>
    <x v="2"/>
    <s v="2016년 9월경 ㈜OO에서 시공하는 ㈜OO 신축공사 현장에서 직영반장인 재해자(판넬공)이 공장동 후면 휀룸 측면에 적재되어있던 벽체 판넬자재를 이동시키는 작업 중 휀룸 상부에서 지상 1층 바닥으로 떨어져(약 8m) 사망(추정)"/>
    <s v="개구부 주변에서 자재 운반 중 발을 헛디뎌 개구부로 추락"/>
    <s v="▶ 추락의 위험이 있는 개구부 근처에서 작업할 경우, 안전난간대, 안전대 부착설비, 추락방지망 설치 등의 안전 방호 조치_x000a_▶ 안전난간 설치 시 지름 2.7cm 이상의 금속제 파이프나 그 이상 강도의 재료 사용하며 구조적으로 가장 취약한 지점에서 가장 취약한 방향으로 작용하는 100kg 이상의 하중에 견딜 수 있는 구조로 설치_x000a_▶ 작업자의 개인보호구, 안전대 체결여부 점검 및 관리감독"/>
  </r>
  <r>
    <n v="4"/>
    <x v="4"/>
    <x v="14"/>
    <x v="43"/>
    <s v="YES"/>
    <x v="1"/>
    <x v="2"/>
    <s v="12대 기인물"/>
    <n v="1"/>
    <n v="0.09"/>
    <s v="2018년 4월경"/>
    <d v="2018-04-01T00:00:00"/>
    <n v="4"/>
    <s v="-"/>
    <x v="2"/>
    <s v="2018년 4월경 ㈜OO에서 시공하는 OO 물류센터 2층사무실 개조공사 현장에서 재해자(보통인부)가 2층 사무실의 천장을 설치하기 위해 동료작업자 1명과 함께 샌드위치 판넬(1,000×4,000mm)을 들어서 옮기던 중, 지지력이 약한 1층 천장마감재(렉스판)를 밟아 천장마감재가 탈락되면서 1층 바닥으로 추락(H=2.8m)하여 사망"/>
    <s v="지붕에서 자재운반 중 밟고 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
    <x v="2"/>
    <s v="12대 기인물"/>
    <n v="1"/>
    <n v="0.09"/>
    <s v="2015년 12월"/>
    <d v="2015-12-01T00:00:00"/>
    <n v="12"/>
    <s v="혹한기"/>
    <x v="2"/>
    <s v="2015년 12월경 ㈜OO 신축공사 현장에서 재해자가 외벽마감재(드라이비트) 설치작업 중 다락층 실내로 진입하여 계단 설치 예정인 바닥 개구부에서 지상 1층 콘크리트 바닥으로 추락(H≒6.9)하여 사망"/>
    <s v="작업장소 이동 중 바닥 개구부를 인지하지 못하고 발을 헛디뎌 추락"/>
    <s v="▶ 지붕 등 바닥 개구부 발생 시 근로자 및 자재 등에 대한 무게의 2배 이상을 견딜 수 있는 구조의 철재 안전덮개(개구부 표시 포함)를 설치하거나, 안전난간 및 추락방지망 설치 등 근로자 추락 방지 조치_x000a_▶ 안전난간 설치 시 지름 2.7cm 이상의 금속제 파이프나 그 이상 강도의 재료 사용하며 구조적으로 가장 취약한 지점에서 가장 취약한 방향으로 작용하는 100kg 이상의 하중에 견딜 수 있는 구조로 설치_x000a_▶ 지붕 위에서 지붕재의 해체 또는 설치 작업 시 지붕재가 미시공된 구간에 대해 각별히 유의하여 작업을 실시하고 작업자들에게 약한 재료의 구간으로 이동하지 않도록 교육 실시_x000a_▶ 지붕재의 해체 또는 설치 작업 시 고소작업대, 타워형 계단 등을 사용하여 지붕 위에서의 작업을 최소화할 수 있는 작업 방법을 검토_x000a_▶ 개구부에 마감 등 작업 진행 시 안전대 부착설비 설치 및 근로자 안전대 체결여부 점검 및 관리감독"/>
  </r>
  <r>
    <n v="4"/>
    <x v="4"/>
    <x v="14"/>
    <x v="20"/>
    <s v="YES"/>
    <x v="1"/>
    <x v="2"/>
    <s v="12대 기인물"/>
    <n v="1"/>
    <n v="0.09"/>
    <s v="2016년 5월경"/>
    <d v="2016-05-01T00:00:00"/>
    <n v="5"/>
    <s v="-"/>
    <x v="2"/>
    <s v="2016년 5월경 OO(주)이 시공하는 ㈜OO 공장 신축현장에서 협력업체 소속 재해자(패널공)가 공장동(지상 1층) 철골지붕 상부 물받이 구간에서 샌드위치패널((1m×7.8m, t=17.5cm) 인양을 위한 준비작업 중 패널과 패널사이 개구부(90cm×90cm)에서 약 8.5m아래  콘크리트 바닥으로 떨어져 사망"/>
    <s v="지붕에서 작업 중 개구부를 인지하지 못하고 발을 헛디뎌 바닥으로 추락"/>
    <s v="▶ 지붕 등 바닥 개구부 발생 시 근로자 및 자재 등에 대한 무게의 2배 이상을 견딜 수 있는 구조의 철재 안전덮개(개구부 표시 포함)를 설치하거나, 안전난간 및 추락방지망 설치 등 근로자 추락 방지 조치_x000a_▶ 안전난간 설치 시 지름 2.7cm 이상의 금속제 파이프나 그 이상 강도의 재료 사용하며 구조적으로 가장 취약한 지점에서 가장 취약한 방향으로 작용하는 100kg 이상의 하중에 견딜 수 있는 구조로 설치_x000a_▶ 지붕 위에서 지붕재의 해체 또는 설치 작업 시 지붕재가 미시공된 구간에 대해 각별히 유의하여 작업을 실시하고 작업자들에게 약한 재료의 구간으로 이동하지 않도록 교육 실시_x000a_▶ 지붕재의 해체 또는 설치 작업 시 고소작업대, 타워형 계단 등을 사용하여 지붕 위에서의 작업을 최소화할 수 있는 작업 방법을 검토_x000a_▶ 개구부에 마감 등 작업 진행 시 안전대 부착설비 설치 및 근로자 안전대 체결여부 점검 및 관리감독"/>
  </r>
  <r>
    <n v="4"/>
    <x v="4"/>
    <x v="14"/>
    <x v="20"/>
    <s v="YES"/>
    <x v="1"/>
    <x v="2"/>
    <s v="12대 기인물"/>
    <n v="1"/>
    <n v="0.09"/>
    <s v="2016년 11월"/>
    <d v="2016-11-01T00:00:00"/>
    <n v="11"/>
    <s v="-"/>
    <x v="2"/>
    <s v="2016년 11월경 개인이 시공하는 직영공사 현장에서 협력업체 소속 재해자(용접공)가 철골지붕 위에서 샌드위치 패널 설치작업 중 패널과 패널 사이 개구부(약 5m×0.4m)를 통해 바닥으로 떨어져(H:3.4m) 사망"/>
    <s v="지붕에서 작업 중 개구부를 인지하지 못하고 발을 헛디뎌 바닥으로 추락"/>
    <s v="▶ 지붕 등 바닥 개구부 발생 시 근로자 및 자재 등에 대한 무게의 2배 이상을 견딜 수 있는 구조의 철재 안전덮개(개구부 표시 포함)를 설치하거나, 안전난간 및 추락방지망 설치 등 근로자 추락 방지 조치_x000a_▶ 안전난간 설치 시 지름 2.7cm 이상의 금속제 파이프나 그 이상 강도의 재료 사용하며 구조적으로 가장 취약한 지점에서 가장 취약한 방향으로 작용하는 100kg 이상의 하중에 견딜 수 있는 구조로 설치_x000a_▶ 지붕 위에서 지붕재의 해체 또는 설치 작업 시 지붕재가 미시공된 구간에 대해 각별히 유의하여 작업을 실시하고 작업자들에게 약한 재료의 구간으로 이동하지 않도록 교육 실시_x000a_▶ 지붕재의 해체 또는 설치 작업 시 고소작업대, 타워형 계단 등을 사용하여 지붕 위에서의 작업을 최소화할 수 있는 작업 방법을 검토_x000a_▶ 개구부에 마감 등 작업 진행 시 안전대 부착설비 설치 및 근로자 안전대 체결여부 점검 및 관리감독"/>
  </r>
  <r>
    <n v="4"/>
    <x v="4"/>
    <x v="14"/>
    <x v="20"/>
    <s v="YES"/>
    <x v="1"/>
    <x v="2"/>
    <s v="12대 기인물"/>
    <n v="1"/>
    <n v="0.09"/>
    <s v=" 2018년 1월"/>
    <d v="2018-01-01T00:00:00"/>
    <n v="1"/>
    <s v="혹한기"/>
    <x v="2"/>
    <s v=" 2018년 1월경 OO(주) OO 증축공사 현장에서 재해자가 냉동창고 천정 판넬 위에서 코킹작업 완료 후 이동 중 천막으로 덮여있는 개구부(판넬 미설치 구간)로 떨어져(H≒6.8m) 사망"/>
    <s v="지붕에서 이동 중 개구부를 인지하지 못하고 발을 헛디뎌 바닥으로 추락"/>
    <s v="▶ 지붕 등 바닥 개구부 발생 시 근로자 및 자재 등에 대한 무게의 2배 이상을 견딜 수 있는 구조의 철재 안전덮개(개구부 표시 포함)를 설치하거나, 안전난간 및 추락방지망 설치 등 근로자 추락 방지 조치_x000a_▶ 안전난간 설치 시 지름 2.7cm 이상의 금속제 파이프나 그 이상 강도의 재료 사용하며 구조적으로 가장 취약한 지점에서 가장 취약한 방향으로 작용하는 100kg 이상의 하중에 견딜 수 있는 구조로 설치_x000a_▶ 지붕 위에서 지붕재의 해체 또는 설치 작업 시 지붕재가 미시공된 구간에 대해 각별히 유의하여 작업을 실시하고 작업자들에게 약한 재료의 구간으로 이동하지 않도록 교육 실시_x000a_▶ 지붕재의 해체 또는 설치 작업 시 고소작업대, 타워형 계단 등을 사용하여 지붕 위에서의 작업을 최소화할 수 있는 작업 방법을 검토_x000a_▶ 개구부에 마감 등 작업 진행 시 안전대 부착설비 설치 및 근로자 안전대 체결여부 점검 및 관리감독"/>
  </r>
  <r>
    <n v="4"/>
    <x v="4"/>
    <x v="14"/>
    <x v="20"/>
    <s v="YES"/>
    <x v="1"/>
    <x v="1"/>
    <s v="12대 기인물"/>
    <n v="1"/>
    <n v="0.09"/>
    <s v="2019년 7월경"/>
    <d v="2019-07-01T00:00:00"/>
    <n v="7"/>
    <s v="혹서기"/>
    <x v="2"/>
    <s v="2019년 7월경 OO(주)이 시공하는 OO시설 OO사업 보완공사 현장에서 협력업체소속 재해자가 동료작업자와 함께 퇴비공장 지붕위에 올라가 지붕재인 칼라강판을 해체하던 중 중심을 잃고 해체했던 지붕 개구부를 통해 바닥으로 떨어져(H:약9.5m) 사망"/>
    <s v="지붕에서 작업 중 개구부를 인지하지 못하고 발을 헛디뎌 바닥으로 추락"/>
    <s v="▶ 지붕 등 바닥 개구부 발생 시 근로자 및 자재 등에 대한 무게의 2배 이상을 견딜 수 있는 구조의 철재 안전덮개(개구부 표시 포함)를 설치하거나, 안전난간 및 추락방지망 설치 등 근로자 추락 방지 조치_x000a_▶ 안전난간 설치 시 지름 2.7cm 이상의 금속제 파이프나 그 이상 강도의 재료 사용하며 구조적으로 가장 취약한 지점에서 가장 취약한 방향으로 작용하는 100kg 이상의 하중에 견딜 수 있는 구조로 설치_x000a_▶ 지붕 위에서 지붕재의 해체 또는 설치 작업 시, 지붕재가 미시공된 구간에 대해 각별히 유의하여 작업을 실시하고 작업자들에게 약한 재료의 구간으로 이동하지 않도록 교육 실시_x000a_▶ 지붕재의 해체 또는 설치 작업 시 고소작업대, 타워형 계단 등을 사용하여 지붕 위에서의 작업을 최소화할 수 있는 작업 방법을 검토_x000a_▶ 개구부에 마감 등 작업 진행 시 안전대 부착설비 설치 및 근로자 안전대 체결여부 점검 및 관리감독"/>
  </r>
  <r>
    <n v="4"/>
    <x v="4"/>
    <x v="14"/>
    <x v="20"/>
    <s v="YES"/>
    <x v="1"/>
    <x v="2"/>
    <s v="12대 기인물"/>
    <n v="1"/>
    <n v="0.09"/>
    <s v=" 2019년 11"/>
    <d v="2019-11-01T00:00:00"/>
    <n v="11"/>
    <s v="-"/>
    <x v="2"/>
    <s v=" 2019년 11월경 OO에서 시공하는 OO개·보수공사 현장에서 재해자가 칼라강판을 설치하기 위해 퇴비사 지붕위에 올라가 이동하던 중, 채광용 선라이트(sunlight) 설치를 위해 비워놓은 공간(개구부)으로 떨어져(약 6.5m) 사망"/>
    <s v="지붕에서 이동 중 개구부를 인지하지 못하고 발을 헛디뎌 바닥으로 추락"/>
    <s v="▶ 지붕 등 바닥 개구부 발생 시 근로자 및 자재 등에 대한 무게의 2배 이상을 견딜 수 있는 구조의 철재 안전덮개(개구부 표시 포함)를 설치하거나, 안전난간 및 추락방지망 설치 등 근로자 추락 방지 조치_x000a_▶ 안전난간 설치 시 지름 2.7cm 이상의 금속제 파이프나 그 이상 강도의 재료 사용하며 구조적으로 가장 취약한 지점에서 가장 취약한 방향으로 작용하는 100kg 이상의 하중에 견딜 수 있는 구조로 설치_x000a_▶ 지붕 위에서 지붕재의 해체 또는 설치 작업 시 지붕재가 미시공된 구간에 대해 각별히 유의하여 작업을 실시하고 작업자들에게 약한 재료의 구간으로 이동하지 않도록 교육 실시_x000a_▶ 지붕재의 해체 또는 설치 작업 시 고소작업대, 타워형 계단 등을 사용하여 지붕 위에서의 작업을 최소화할 수 있는 작업 방법을 검토_x000a_▶ 개구부에 마감 등 작업 진행 시 안전대 부착설비 설치 및 근로자 안전대 체결여부 점검 및 관리감독"/>
  </r>
  <r>
    <n v="4"/>
    <x v="4"/>
    <x v="14"/>
    <x v="20"/>
    <s v="YES"/>
    <x v="1"/>
    <x v="1"/>
    <s v="12대 기인물"/>
    <n v="1"/>
    <n v="0.09"/>
    <s v="2021년 4월경"/>
    <d v="2021-04-01T00:00:00"/>
    <n v="4"/>
    <s v="-"/>
    <x v="2"/>
    <s v="2021년 4월경 OO에서 주변정비사업 현장에서 재해자(일용직)가 건물 지붕층 작업발판에서 2층 발코니에 있던 안전모 및 안전대를 가지러 가기 위해 비계를 통하여 해당 장소로 이동 중 실족하여 약 3.8m  아래 지면으로 추락하여 사망"/>
    <s v="비계 내부에서 수평재 및 클램프를 밟고 이동하던 중 발을 헛디뎌 바닥으로 추락 "/>
    <s v="▶ 추락 위험이 있는 장소에서의 이동 및 작업 시 작업발판 설치 및 작업발판 단부에 안전난간 설치_x000a_▶ 안전난간 설치가 곤란한 구간이 있을 경우, 안전대 부착설비를 설치하고 근로자 안전대 체결여부 점검 및 관리감독"/>
  </r>
  <r>
    <n v="4"/>
    <x v="4"/>
    <x v="14"/>
    <x v="20"/>
    <s v="YES"/>
    <x v="1"/>
    <x v="1"/>
    <s v="12대 기인물"/>
    <n v="1"/>
    <n v="0.09"/>
    <s v="2021년 10월"/>
    <d v="2021-10-01T00:00:00"/>
    <n v="10"/>
    <s v="-"/>
    <x v="2"/>
    <s v="2021년 10월경 OO 신축공사 현장 지붕 철골 상부에서 유리설치 작업 중 웨이브 지붕 유리가 설치되지 않아 발생된 지붕의 개구부에서 안전대 부착설비 또는 추락방호망 등을 설치하지 않고 작업하던 중 개구부를 통해 약 20m 아래 바닥으로 떨어져 사망"/>
    <s v="지붕에서 작업 중 개구부를 인지하지 못하고 발을 헛디뎌 바닥으로 추락"/>
    <s v="▶ 지붕 등 바닥 개구부 발생 시 근로자 및 자재 등에 대한 무게의 2배 이상을 견딜 수 있는 구조의 철재 안전덮개(개구부 표시 포함)를 설치하거나, 안전난간 및 추락방지망 설치 등 근로자 추락 방지 조치_x000a_▶ 안전난간 설치 시 지름 2.7cm 이상의 금속제 파이프나 그 이상 강도의 재료 사용하며 구조적으로 가장 취약한 지점에서 가장 취약한 방향으로 작용하는 100kg 이상의 하중에 견딜 수 있는 구조로 설치_x000a_▶ 지붕 위에서 지붕재의 해체 또는 설치 작업 시, 지붕재가 미시공된 구간에 대해 각별히 유의하여 작업을 실시하고 작업자들에게 약한 재료의 구간으로 이동하지 않도록 교육 실시_x000a_▶ 지붕재의 해체 또는 설치 작업 시 고소작업대, 타워형 계단 등을 사용하여 지붕 위에서의 작업을 최소화할 수 있는 작업 방법을 검토_x000a_▶ 개구부에 마감 등 작업 진행 시 안전대 부착설비 설치 및 근로자 안전대 체결여부 점검 및 관리감독"/>
  </r>
  <r>
    <n v="5"/>
    <x v="5"/>
    <x v="15"/>
    <x v="44"/>
    <s v="YES"/>
    <x v="1"/>
    <x v="2"/>
    <s v="12대 기인물"/>
    <n v="1"/>
    <n v="0.09"/>
    <s v="2020년 6월경"/>
    <d v="2020-06-01T00:00:00"/>
    <n v="6"/>
    <s v="혹서기"/>
    <x v="2"/>
    <s v="2020년 6월경 OO공사에서 재해자가 지상 2층에서 전기 자재반입 등 현장 사전조사를 위하여 이동하던 중 바닥 개구부(1.5m×1.5m)를 통해 지상 1층 콘크리트 바닥으로 추락하여(H≒4.0m) 사망"/>
    <s v="현장에서 임의로 만든 개구부 덮개를 밟고 작업중 개구부 덮개가 부서지면서 근로자가 바닥으로 추락함"/>
    <s v="▶ 개구부 발생시 개구부 덮개 설치 및 위험표지 부착 (개구부덮개는 단단한 구조로 제작)_x000a_▶ 개구부 덮개 미설치시 주변 안전난간대 설치"/>
  </r>
  <r>
    <n v="5"/>
    <x v="5"/>
    <x v="15"/>
    <x v="45"/>
    <s v="YES"/>
    <x v="1"/>
    <x v="2"/>
    <s v="12대 기인물"/>
    <n v="1"/>
    <n v="0.09"/>
    <s v="2016년 3월경"/>
    <d v="2016-03-01T00:00:00"/>
    <n v="3"/>
    <s v="-"/>
    <x v="2"/>
    <s v="2016년 3월경 OO공사에서 재해자가 공장 천장 내부에서 전기 배선작업을 하던 중 골판지로 덮은 개구부(1.0×1.0m)를 통과하다 골판지가 파손되면서 높이 3.4m 아래 공장 바닥으로 추락하여 사망"/>
    <s v="공장 천장 마감재 상부에서 전기 배선작업 중 마감재가 파손되면서 추락"/>
    <s v="▶ 설비덕트(제연덕트, 배기덕트 등)의 개구부 덮개는 충분한 강도를 가진 재료로 덮개를 설치_x000a_▶ 개구부 덮개 상단에는 경고표지를 부착_x000a_▶ 개구부 주변 안전난간대 설치 (추가적인 추락위험 조치)"/>
  </r>
  <r>
    <n v="5"/>
    <x v="5"/>
    <x v="15"/>
    <x v="45"/>
    <s v="YES"/>
    <x v="1"/>
    <x v="2"/>
    <s v="12대 기인물"/>
    <n v="1"/>
    <n v="0.09"/>
    <s v="2016년 5월경"/>
    <d v="2016-05-01T00:00:00"/>
    <n v="5"/>
    <s v="-"/>
    <x v="2"/>
    <s v="2016년 5월경 OO 신축 전기공사 현장에서 재해자가 지상 1층 바닥 자재인양 개구부(5.6×2.8m) 옆 보(400×600mm)철근에 전기매립박스 설치 작업 중 몸이 중심을 잃고 실족하여 지하 2층 바닥으로 떨어져(7.5m) 사망"/>
    <s v="바닥 개구부 인근에서 작업 중 근로자가 몸의 중심을 잃고 바닥 개구부로 추락"/>
    <s v="▶ 개구부 덮개를 열고 자재를 전달 및 반입시 근로자는 안전대를 체결후 작업 실시_x000a_▶ 옹벽 단부에서 작업시, 단부에는 안전난간대를 설치"/>
  </r>
  <r>
    <n v="5"/>
    <x v="5"/>
    <x v="15"/>
    <x v="45"/>
    <s v="YES"/>
    <x v="1"/>
    <x v="2"/>
    <s v="12대 기인물"/>
    <n v="1"/>
    <n v="0.09"/>
    <s v="2019년 3월경"/>
    <d v="2019-03-01T00:00:00"/>
    <n v="3"/>
    <s v="-"/>
    <x v="2"/>
    <s v="2019년 3월경 OO공사에서 재해자가 16층 엘리베이터 홀 세대 입구 측에서 방송용 간선 인입 작업 중 제연덕트 개구부(950×600mm)로 넘어지면서 덮개가 탈락되어 덮개와 함께 지하 1층 콘크리트 바닥으로 추락하여(H≒51.45m) 사망"/>
    <s v="아파트 세대 입구 쪽에서 전기 인입 작업 중 제연덕트 개구부로 넘어지면서 개구부 덮개가 탈락되어 개구부로 추락"/>
    <s v="▶ 설비덕트(제연덕트, 배기덕트 등)의 개구부 덮개는 충분한 강도를 가진 재료로 덮개를 설치_x000a_▶ 개구부 덮개 상단에는 경고표지를 부착_x000a_▶ 개구부 주변 안전난간대 설치 (추가적인 추락위험 조치)"/>
  </r>
  <r>
    <n v="5"/>
    <x v="5"/>
    <x v="15"/>
    <x v="46"/>
    <s v="YES"/>
    <x v="1"/>
    <x v="2"/>
    <s v="12대 기인물"/>
    <n v="1"/>
    <n v="0.09"/>
    <s v="2016년 7월경"/>
    <d v="2016-07-01T00:00:00"/>
    <n v="7"/>
    <s v="혹서기"/>
    <x v="2"/>
    <s v="2016년 7월경 OO 공사현장에서 재해자와 동료작업자가 전기용 트레이 설치작업 중 재해자가 지하층을 확인하기 위해 EPS실 주변의 창고로 이동하다가 지하PIT층 개구부(1m×1m×1.8m)로 떨어져 사망"/>
    <s v="고정이 되지 않은 개구부 덮개를 밟아 덮개가 탈락하여 덮개와 함께 바닥으로 추락"/>
    <s v="▶ 설비덕트(제연덕트, 배기덕트 등)의 개구부 덮개는 충분한 강도를 가진 재료로 덮개를 설치_x000a_▶ 개구부 덮개 상단에는 경고표지를 부착_x000a_▶ 개구부 주변 안전난간대 설치 (추가적인 추락위험 조치)"/>
  </r>
  <r>
    <n v="5"/>
    <x v="5"/>
    <x v="15"/>
    <x v="21"/>
    <s v="YES"/>
    <x v="1"/>
    <x v="1"/>
    <s v="12대 기인물"/>
    <n v="1"/>
    <n v="0.09"/>
    <s v="2018년 5월경"/>
    <d v="2018-05-01T00:00:00"/>
    <n v="5"/>
    <s v="-"/>
    <x v="2"/>
    <s v="2018년 5월경 ㈜OO이 시공하는 OO센터 주차장 및 부대시설 신축공사 현장에서 재해자가 옹벽위에 설치되어 기존 건물로 연결되는 고압 케이블 덕트 덮개(3m×0.5m)를 해체하여 지상으로 내리던 중 몸의 중심을 잃고 약 4m 아래 바닥으로 떨어짐"/>
    <s v="옹벽 위에 설치되어 기존 건물로 연결되는 고압 케이블 덕트 덮개 해체 후 지상에 있는 동료작업자에게 전달하는 과정에서 몸의 균형을 잃고 바닥으로 추락"/>
    <s v="▶ 개구부 덮개를 열고 자재를 전달 및 반입시 근로자는 안전대를 체결후 작업 실시_x000a_▶ 옹벽 단부에서 작업시, 단부에는 안전난간대를 설치"/>
  </r>
  <r>
    <n v="5"/>
    <x v="5"/>
    <x v="16"/>
    <x v="22"/>
    <s v="YES"/>
    <x v="1"/>
    <x v="1"/>
    <s v="12대 기인물"/>
    <n v="1"/>
    <n v="0.09"/>
    <s v="2020년 12월"/>
    <d v="2020-12-01T00:00:00"/>
    <n v="12"/>
    <s v="혹한기"/>
    <x v="2"/>
    <s v="2020년 12월경 OO 공장에서 재해자가 공장 2층에서 압출기 반출작업 준비 중 몸의 중심을 잃고 장비·자재 반출구*(이하 “반출구”)로부터 떨어짐(높이: 약6.8M)"/>
    <s v="압출기 반출작업 준비 중 자재반출구로 추락"/>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_x000a_▶ 추락방지망 또는 안전난간 설치가 어려운 경우, 안전대 부착설비를 설치하고 안전대 체결 후 작업토록 관리감독"/>
  </r>
  <r>
    <n v="5"/>
    <x v="5"/>
    <x v="16"/>
    <x v="22"/>
    <s v="YES"/>
    <x v="1"/>
    <x v="1"/>
    <s v="12대 기인물"/>
    <n v="1"/>
    <n v="0.09"/>
    <s v="2021년 9월경"/>
    <d v="2021-09-01T00:00:00"/>
    <n v="9"/>
    <s v="-"/>
    <x v="2"/>
    <s v="2021년 9월경 OO 본선환기 양방향 전기집진기 설치현장에서 재해자 가 전기집진기 자재(방화문) 반입을 위하여 환기구 상부 철재 그레이팅을 여는중 그레이팅과 함께 환기구 하부로 떨어짐(H≒9.5m)"/>
    <s v="전기집진기 자재(방화문) 반입을 위하여 환기구 상부 철재 그레이팅을 여는 도중 그레이팅과 함께 환기구 하부로 추락"/>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_x000a_▶ 추락방지망 또는 안전난간 설치가 어려운 경우, 안전대 부착설비를 설치하고 안전대 체결 후 작업토록 관리감독"/>
  </r>
  <r>
    <n v="5"/>
    <x v="5"/>
    <x v="16"/>
    <x v="23"/>
    <s v="YES"/>
    <x v="1"/>
    <x v="2"/>
    <s v="12대 기인물"/>
    <n v="1"/>
    <n v="0.09"/>
    <s v="2016년 7월경"/>
    <d v="2016-07-01T00:00:00"/>
    <n v="7"/>
    <s v="혹서기"/>
    <x v="2"/>
    <s v="2016년 7월경 OO빌딩 신축공사 현장에서 재해자가 점심식사 이후 보이지 않아 동료 근로자가 찾던 중 지하 기계식주차시설피트(높이 2.5m)에 바닥에 머리에 피를 흘리고 있는 것을 발견하였으나 사망"/>
    <s v="안전난간이 미설치된 바닥 개구부 인근에서 이동 중 근로자가 몸의 중심을 잃고 바닥 개구부로 추락"/>
    <s v="▶ 엘리베이트 승강로 피트 등 추락 위험구간에서 근로자 작업 시 안전블럭 등을 설치하여 안전대 체결상태로 작업 실시"/>
  </r>
  <r>
    <n v="5"/>
    <x v="5"/>
    <x v="16"/>
    <x v="23"/>
    <s v="YES"/>
    <x v="1"/>
    <x v="2"/>
    <s v="12대 기인물"/>
    <n v="1"/>
    <n v="0.09"/>
    <s v="2017년 3월경"/>
    <d v="2017-03-01T00:00:00"/>
    <n v="3"/>
    <s v="-"/>
    <x v="2"/>
    <s v="2017년 3월경 OO시 OO구 OO동 소재 ㈜OOOO OOOO도서관 본관 노후설비 교체공사 현장의 지상 6층 공조실 외측 덕트구간 개구부 주변에서 재해자가 설비배관작업용 발판을 설치하기 위해 거치대를 운반하던 중 개구부로 실족하여 지상 2층 바닥으로 추락(H≒19.35m) 사망한 재해임."/>
    <s v="덕트 입상(또는 보온) 작업 중 개구부로 추락"/>
    <s v="▶ 개구부 등 추락위험 구간에 덮개, 안전난간 등 추락방지조치 준수_x000a_▶ 작업발판, 안전대 부착설비 설치를 통한 추락방지조치 준수_x000a_▶ 위험 노출 최소화 작업순서 이행"/>
  </r>
  <r>
    <n v="5"/>
    <x v="5"/>
    <x v="16"/>
    <x v="23"/>
    <s v="YES"/>
    <x v="1"/>
    <x v="2"/>
    <s v="12대 기인물"/>
    <n v="1"/>
    <n v="0.09"/>
    <s v="2017년 6월경"/>
    <d v="2017-06-01T00:00:00"/>
    <n v="6"/>
    <s v="혹서기"/>
    <x v="2"/>
    <s v="2017년 6월경 OO시 소재 빌딩신축 현장에서 재해자가 A동 3층 P.S실에서 용접작업 준비 중 강도가 부족한 함석덮개를 밟는순간 A/D개구부를 (700*1000) 통과하여 10m아래 1층 바닥으로 떨어져 사망한 재해임.※ P.S실(Pipe Shaft실) : 전기,설비,배기 등 배관이 위치한 공동구"/>
    <s v="빌딩 PS실에서 용접작업 중 덕트 개구부 상부에 덮여있는 함석덮개를 밟는 순간 덮개가 파손되면서 개구부로 추락"/>
    <s v="▶ 설비덕트(제연덕트, 배기덕트 등)의 개구부 덮개는 충분한 강도를 가진 재료로 덮개를 설치_x000a_▶ 개구부 덮개 상단에는 경고표지를 부착_x000a_▶ 개구부 주변 안전난간대 설치 (추가적인 추락위험 조치)"/>
  </r>
  <r>
    <n v="5"/>
    <x v="5"/>
    <x v="16"/>
    <x v="23"/>
    <s v="YES"/>
    <x v="1"/>
    <x v="2"/>
    <s v="12대 기인물"/>
    <n v="1"/>
    <n v="0.09"/>
    <s v="2017년 8월경"/>
    <d v="2017-08-01T00:00:00"/>
    <n v="8"/>
    <s v="혹서기"/>
    <x v="2"/>
    <s v="2017년 8월경 OO시 OO구 OO동 소재 ㈜OOOO이 시공 중인 OOOOOO 완공공사 현장에서 OOOO(주) 소속 재해자가 지상1층 혹은 지상2층 설비 배관 덕트실 슬래브 개구부에서 지하 2층 공조기계 패드 바닥에 떨어져 있는 것을 최초목격자 OOO(전기작업자)가 발견하여 119에 신고하였으나 사망한 재해로 추정됨"/>
    <s v="덕트 입상(또는 보온) 작업 중 개구부로 추락"/>
    <s v="▶ 개구부 등 추락위험 구간에 덮개, 안전난간 등 추락방지조치 준수_x000a_▶ 작업발판, 안전대 부착설비 설치를 통한 추락방지조치 준수_x000a_▶ 위험 노출 최소화 작업순서 이행"/>
  </r>
  <r>
    <n v="5"/>
    <x v="5"/>
    <x v="16"/>
    <x v="23"/>
    <s v="YES"/>
    <x v="1"/>
    <x v="2"/>
    <s v="12대 기인물"/>
    <n v="1"/>
    <n v="0.09"/>
    <s v="2017년 11월"/>
    <d v="2017-11-01T00:00:00"/>
    <n v="11"/>
    <s v="-"/>
    <x v="2"/>
    <s v="2017년 11월경 OO 발전소 정비공사 현장에서 재해자가 안전대 부착설비 보수작업 중 바닥개구부를 통해 약 17.0M 아래 지상 10층 바닥으로 떨어져 사망"/>
    <s v="안전대를 미착용한 상태에서 바닥 개구부 인근에서 작업 중 실족하여 추락"/>
    <s v="▶ 바닥개구부 등 추락 위험구간에서 근로자 작업 시 안전블럭 등을 설치하여 안전대 체결상태로 작업 실시"/>
  </r>
  <r>
    <n v="5"/>
    <x v="5"/>
    <x v="16"/>
    <x v="23"/>
    <s v="YES"/>
    <x v="1"/>
    <x v="2"/>
    <s v="12대 기인물"/>
    <n v="1"/>
    <n v="0.09"/>
    <s v="2017년 12월"/>
    <d v="2017-12-01T00:00:00"/>
    <n v="12"/>
    <s v="혹한기"/>
    <x v="2"/>
    <s v="2017년 12월경, OOO도 OO시 OO구 소재 ㈜OOOO 제습실 및 클린룸 설치 공사 현장에서 덕트공 2명(재해자 포함)이 1층 클린룸 천장 속에 설치되어 있는 덕트 이음부에 보온재를 설치하던 중 재해자가 기설치되어 있는 천장 판넬 상의 개구부(0.7m×0.7m)에 빠져 1층 바닥(H≒4m)으로 떨어졌으며, 병원으로 후송·치료 중 12월 22일(금)에 사망한 재해임."/>
    <s v="덕트 입상(또는 보온) 작업 중 개구부로 추락"/>
    <s v="▶ 개구부 등 추락위험 구간에 덮개, 안전난간 등 추락방지조치 준수_x000a_▶ 작업발판, 안전대 부착설비 설치를 통한 추락방지조치 준수_x000a_▶ 위험 노출 최소화 작업순서 이행"/>
  </r>
  <r>
    <n v="5"/>
    <x v="5"/>
    <x v="16"/>
    <x v="23"/>
    <s v="YES"/>
    <x v="1"/>
    <x v="2"/>
    <s v="12대 기인물"/>
    <n v="1"/>
    <n v="0.09"/>
    <s v="2018년 3월경"/>
    <d v="2018-03-01T00:00:00"/>
    <n v="3"/>
    <s v="-"/>
    <x v="2"/>
    <s v="2018년 3월경 OOO도 OO시 소재 물류센터 신축공사 현장 내 5층 주방에서 협력업체 소속 배관공인 재해자가 천장 에어컨 배관 용접 등의 작업 중 주방 바닥 개구부를 통해 약 5m 아래의 4층 바닥으로 떨어져 발생한 재해로 추정됨."/>
    <s v="천장 에어컨 배관 용접 작업 중 주방 바닥 개구부로 추락"/>
    <s v="▶ 개구부 등 추락위험 구간에 덮개, 안전난간 등 추락방지조치 준수_x000a_▶ 작업발판, 안전대 부착설비 설치를 통한 추락방지조치 준수_x000a_▶ 위험 노출 최소화 작업순서 이행"/>
  </r>
  <r>
    <n v="5"/>
    <x v="5"/>
    <x v="16"/>
    <x v="23"/>
    <s v="YES"/>
    <x v="1"/>
    <x v="2"/>
    <s v="12대 기인물"/>
    <n v="1"/>
    <n v="0.09"/>
    <s v="2019년 1월경"/>
    <d v="2019-01-01T00:00:00"/>
    <n v="1"/>
    <s v="혹한기"/>
    <x v="2"/>
    <s v="2019년 1월경 OO도 OO시 OO동 소재 OOOO(주)이 시공하는 OO OOO 주상복합신축공사 현장에서 재해가 지하 2층 휀룸 내부에 있는 환기구(삼각 개구부 형태)에서 원인불명의 행위를 하다가 지하 5층 바닥으로 떨어져(높이 약 10.2m) 사망함._x000d_"/>
    <s v="지하층 휀룸 내부 개구부로 실족하여 추락"/>
    <s v="▶ 개구부 등 추락위험 구간에 덮개, 안전난간 등 추락방지조치 준수_x000a_▶ 작업발판, 안전대 부착설비 설치를 통한 추락방지조치 준수_x000a_▶ 위험 노출 최소화 작업순서 이행"/>
  </r>
  <r>
    <n v="5"/>
    <x v="5"/>
    <x v="16"/>
    <x v="23"/>
    <s v="YES"/>
    <x v="1"/>
    <x v="1"/>
    <s v="12대 기인물"/>
    <n v="1"/>
    <n v="0.09"/>
    <s v="2019년 9월경"/>
    <d v="2019-09-01T00:00:00"/>
    <n v="9"/>
    <s v="-"/>
    <x v="2"/>
    <s v="2019년 9월경 OOO도 OO시 OO동 소재, OOOO구조물 설치공사 현장에서 ㈜OOO 소속 재해자가 공장 1동 지붕에 태양광 설비 구조물 기초를 설치하기 위해 천공한 위치에 실리콘 주입작업 후 공장2동으로 이동 중 공장1동과 공장2동 사이의 개구부(B≒0.48m)에서 바닥으로 떨어져(H=6.0m) 병원으로 후송하여 치료중 사망한 재해임"/>
    <s v="세대 에어컨 배관작업을 위한 에어컨 자재 운반중 계단실 주변 개구부의 안전난간이 자재운반에 간섭이 되어 보수작업을 하던 도중 몸의 중심을 잃고 바닥으로 추락"/>
    <s v="▶ 개구부에 설치된 안전난간 해체금지_x000a_▶ 미장작업으로 인해 해체가 불가피한 경우, 작업 완료 후 즉시 견고하게 재설치할 것."/>
  </r>
  <r>
    <n v="5"/>
    <x v="5"/>
    <x v="16"/>
    <x v="23"/>
    <s v="YES"/>
    <x v="1"/>
    <x v="2"/>
    <s v="12대 기인물"/>
    <n v="1"/>
    <n v="0.09"/>
    <s v="2019년 11월"/>
    <d v="2019-11-01T00:00:00"/>
    <n v="11"/>
    <s v="-"/>
    <x v="2"/>
    <s v="2019년 11월경 OO도 OO시 OOOOO 내  OOO촉매탑 4단에서 ㈜OOOOOO 소속 근로자가 OOO촉매를 촉매탑 투입구에 설치 하던중 촉매 인양 개구부 단부에서 실족 17.65m아래 바닥으로 추락 사망한 재해임."/>
    <s v="SCR촉매를 촉매탑 투입구에 설치 하던 중 촉매 인양 개구부 단부로 추락"/>
    <s v="▶ 개구부 등 추락위험 구간에 덮개, 안전난간 등 추락방지조치 준수_x000a_▶ 작업발판, 안전대 부착설비 설치를 통한 추락방지조치 준수_x000a_▶ 위험 노출 최소화 작업순서 이행"/>
  </r>
  <r>
    <n v="5"/>
    <x v="5"/>
    <x v="16"/>
    <x v="23"/>
    <s v="YES"/>
    <x v="1"/>
    <x v="1"/>
    <s v="12대 기인물"/>
    <n v="1"/>
    <n v="0.09"/>
    <s v="2020년3월경 "/>
    <d v="2020-03-01T00:00:00"/>
    <n v="3"/>
    <s v="-"/>
    <x v="2"/>
    <s v="2020년3월경 OO시 OO군 OO면 소재 ㈜OOOOO OOOOOO 오피스텔 신축공사 현장에서 에어컨 설치 업체인 ㈜OOOOO 소속 재해자(설비공)가 지상 27층 각 세대 에어컨 배관작업을 위해 에어컨 자재를 24층에서 27층으로 운반 하던 중, 지상 26층 계단실 주변 개구부에서 높이 약 23m 아래 지상 18층 옥외 데크콘크리트 바닥으로 떨어져 사망한 재해임."/>
    <s v="세대 에어컨 배관작업을 위한 에어컨 자재 운반중 계단실 주변 개구부의 안전난간이 자재운반에 간섭이 되어 보수작업을 하던 도중 몸의 중심을 잃고 바닥으로 추락"/>
    <s v="▶ 개구부에 설치된 안전난간 해체금지_x000a_▶ 미장작업으로 인해 해체가 불가피한 경우, 작업 완료 후 즉시 견고하게 재설치할 것."/>
  </r>
  <r>
    <n v="5"/>
    <x v="5"/>
    <x v="16"/>
    <x v="23"/>
    <s v="YES"/>
    <x v="1"/>
    <x v="1"/>
    <s v="12대 기인물"/>
    <n v="1"/>
    <n v="0.09"/>
    <s v="2021년 10월"/>
    <d v="2021-10-01T00:00:00"/>
    <n v="10"/>
    <s v="-"/>
    <x v="2"/>
    <s v="2021년 10월경 ㈜OOOOO에서 시공하는 OO도 OO시 소재 OOOO(주) OOO동 OOOO 제조설비 설치 공사 현장에서 배관공사 협력업체 OOOOO 소속 재해자가 생산D동 5층 보관실천장 상부에서 배관 서포트 설치작업을 위한 레이저측량 작업 중 5층 보관실 천장 개구부에서 약 4.5m 아래 5층 보관실 바닥으로 추락하여 병원에서 치료 중 재해당일 사망한 재해임."/>
    <s v="현장에서 임의로 만든 개구부 덮개를 밟고 작업중 개구부 덮개가 부서지면서 근로자가 바닥으로 추락함"/>
    <s v="▶ 개구부 발생시 개구부 덮개 설치 및 위험표지 부착 (개구부덮개는 단단한 구조로 제작)_x000a_▶ 개구부 덮개 미설치시 주변 안전난간대 설치"/>
  </r>
  <r>
    <n v="5"/>
    <x v="5"/>
    <x v="23"/>
    <x v="47"/>
    <s v="YES"/>
    <x v="1"/>
    <x v="1"/>
    <s v="12대 기인물"/>
    <n v="1"/>
    <n v="0.09"/>
    <s v="2020년 9월경"/>
    <d v="2020-09-01T00:00:00"/>
    <n v="9"/>
    <s v="-"/>
    <x v="2"/>
    <s v="2020년 9월경 OO시 OOO구 소재 OOOO(주) OOOO현장 승강기 제작·판매·설치공사에서 재해자가 각 층의 엘리베이터 설치현황을 확인하던 중 8층 계단참 창호 개구부에서 추락H=23m), 병원으로 후송되었으나 사망한 재해임"/>
    <s v="각 층의 엘리베이터 설치현황 확인을 위해 계단으로 이동중 계단참 창호 개구부에서 추락"/>
    <s v="▶ 개구부 등 추락위험 구간에 안전난간 설치 등 추락 방지 조치_x000a_▶ 추락 위험 장소는 안전시설물 설치 전 근로자 출입통제 조치 실시"/>
  </r>
  <r>
    <n v="5"/>
    <x v="5"/>
    <x v="23"/>
    <x v="47"/>
    <s v="YES"/>
    <x v="1"/>
    <x v="1"/>
    <s v="12대 기인물"/>
    <n v="1"/>
    <n v="0.09"/>
    <s v="2021년 2월경"/>
    <d v="2021-02-01T00:00:00"/>
    <n v="2"/>
    <s v="혹한기"/>
    <x v="2"/>
    <s v="2021년 2월경 OOO도 OO시 OO동 소재 ㈜OOOO에서 시공하는 OOOO 신축공사현장에서 승강기 설치공사 공동수급사인 ㈜OOOO 소속 OOO(이하 “재해자”)이 타워 B동 화물용 승강기 출입문 설치작업 준비를 위해 운반구에 실려있는 금속절단기, 자재 등을 승강장으로 꺼내는 과정에서 실족하여 운반구와 승강장 사이의 개구부로 약 15m 추락하여 지하3층에 설치된 비계에 충돌 후 사망함"/>
    <s v="승강기 출입문 설치작업 준비를 위해 운반구에 실려있는 금속절단기, 자재 등을 승강장으로 꺼내는 과정에서 실족하여 운반구와 승강장 사이의 개구부로 추락"/>
    <s v="▶ 엘리베이트 승강로 피트 등 추락 위험구간에서 근로자 작업 시 안전블럭 등을 설치하여 안전대 체결상태로 작업 실시"/>
  </r>
  <r>
    <n v="5"/>
    <x v="5"/>
    <x v="23"/>
    <x v="48"/>
    <s v="YES"/>
    <x v="1"/>
    <x v="1"/>
    <s v="12대 기인물"/>
    <n v="1"/>
    <n v="0.09"/>
    <s v="2017년 4월경"/>
    <d v="2017-04-01T00:00:00"/>
    <n v="4"/>
    <s v="-"/>
    <x v="2"/>
    <s v="2017년 4월경, OOO도 OO시 OO읍 소재 「OOOO(주) OOOO 신축 현장」105동 9층 승강기 레일 설치 작업장에서 OOOO 소속 재해자가 승강기 출입구 바닥과 승강기실 내부의 레일 설치 작업용 임시카 1단 작업발판 사이를 이동하던 중, 출입구 바닥과 약 1.2m 높이의 임시카 1단 작업발판 사이 개구부(폭 1m, 높이 1.2m)로 재해자가 빠지면서 승강기실 내 지하 4층 바닥으로 떨어져 사망한 것으로 추정되는 재해임."/>
    <s v="승강기 레일 설치 작업장에서 승강기실 내부의 레일 설치 작업용 임시 카 1단 작업발판 사이를 이동하던 중 작업발판 사이 개구부(폭 약 1m)로 떨어짐"/>
    <s v="▶ 작업발판 설치 시 발판 틈새간격은 3cm 이하로 설치하고, 뒤집히거나 떨어지지 않도록 지지대에 견고하게 고정_x000a_▶ 엘리베이트 승강로 피트 등 추락 위험구간에서 근로자 작업 시 안전블럭 등을 설치하여 안전대 체결상태로 작업 실시"/>
  </r>
  <r>
    <n v="5"/>
    <x v="5"/>
    <x v="23"/>
    <x v="48"/>
    <s v="YES"/>
    <x v="1"/>
    <x v="2"/>
    <s v="12대 기인물"/>
    <n v="1"/>
    <n v="0.09"/>
    <s v="2017년 6월경"/>
    <d v="2017-06-01T00:00:00"/>
    <n v="6"/>
    <s v="혹서기"/>
    <x v="2"/>
    <s v="2017년 6월경 OOO시 OO구 소재 OOOO빌딩 엘리베이터 확장공사 현장에서 재해자가 지상5층 엘리베이터 피트 슬래브 단부에서 윈치로 인양된 H형강을 슬래브 위로 옮기기 위해 끌어당기던 중 H형강을 지지하던 로프가 갑자기 풀리면서 H형강과 함께 약 15.0m아래 엘리베이터 피트 바닥으로 추락하여 사망한 재해임."/>
    <s v="슬래브 단부에서 윈치로 인양된 H형강을 슬래브 위로 옮기기 위해 끌어당기던 중 H형강을 지지하던 로프가 갑자기 풀리면서 H형강과 함께 약 15.0m아래 엘리베이터 피트 바닥으로 추락"/>
    <s v="▶ 자재 인양 전 인양용 와이어로프 및 안전장치(훅 해지장치 등) 부착 및 상태 점검_x000a_▶ 슬래브 단부 등 근로자가 추락할 위험이 있는 곳에서 작업 시 안전대 부착설비 설치 및 안전대 체결여부 점검 및 관리감독"/>
  </r>
  <r>
    <n v="7"/>
    <x v="9"/>
    <x v="24"/>
    <x v="49"/>
    <s v="YES"/>
    <x v="1"/>
    <x v="2"/>
    <s v="12대 기인물"/>
    <n v="1"/>
    <n v="0.09"/>
    <s v="2020년 9월경"/>
    <d v="2020-09-01T00:00:00"/>
    <n v="9"/>
    <s v="-"/>
    <x v="2"/>
    <s v="2020년 9월경 공장 신축공사에서 재해자가 건물 외부 주차장에서 아스팔트 포장작업을 하던 중 포장 장비에 아스팔트 재료를 공급하기 위해 후진하는 덤프트럭을 피하려다 장비반입구 5.5m 아래 바닥으로 추락하여 사망"/>
    <s v="아스팔트 포장 작업을 하던 중 후진하는 덤프트럭을 피하려고 뒷걸음치다가 장비반입용 바닥개구부로 추락"/>
    <s v="▶ 후속시공이 연속하여 이어지지 않는 경우, 발생한 개구부(집수정 등)는 개구부 덮개 등을 이용하여 막음조치_x000a_▶ 개구부 부근에서 작업 시 안전난간 설치 등 추락방지조치 실시_x000a_▶ 차량계 하역운반기계 유도자 배치"/>
  </r>
  <r>
    <n v="8"/>
    <x v="7"/>
    <x v="25"/>
    <x v="50"/>
    <s v="NO"/>
    <x v="1"/>
    <x v="1"/>
    <s v="12대 기인물"/>
    <n v="1"/>
    <n v="0.09"/>
    <s v="2021년 3월경"/>
    <d v="2021-03-01T00:00:00"/>
    <n v="3"/>
    <s v="-"/>
    <x v="2"/>
    <s v="2021년 3월경 고속도로 건설공사에서 재해자가 교각 기둥 거푸집 해체 중 마지막 수평볼트를 해체하는 순간 교각 기둥과 거푸집 사이가 벌어지면서 발생한 개구부로 추락하여 사망"/>
    <s v="고속도로 건설공사 현장에서 교각 기둥 거푸집 해체 중 거푸집을 결속하고 있는 마지막 수평볼트를 해체하는 순간 교각 기둥과 거푸집 사이가 벌어지며 발생한 개구부로 빠져 추락"/>
    <s v="▶ 교각 기둥 또는 개구부 등 추락 가능성이 있는 장소에 대해 안전난간, 수직형 추락방망 등 설치_x000a_▶ 임시로 난간 등을 해체하여야 하는 경우 추락방호망 설치_x000a_▶ 추락방호망 설치가 곤란한 경우 안전대(안전고리 2개 모두 체결) 착용 등 추락 방지 조치 수행"/>
  </r>
  <r>
    <n v="8"/>
    <x v="7"/>
    <x v="26"/>
    <x v="51"/>
    <s v="NO"/>
    <x v="1"/>
    <x v="1"/>
    <s v="12대 기인물"/>
    <n v="1"/>
    <n v="0.09"/>
    <s v="2019년 4월 "/>
    <d v="2019-04-01T00:00:00"/>
    <n v="4"/>
    <s v="-"/>
    <x v="2"/>
    <s v="2019년 4월 중 국도개선공사현장에서 재해자가 교량 교대 벽체 거푸집을 설치하던 중 교대 기초 슬라브에서 1.3m 버림콘크리트 바닥으로 떨어져 사망"/>
    <s v="근로자가 교량교대 벽체 거푸집을 설치하던 중 교대 기초 슬라브 개구부에서 실족하여 버림콘크리트 바닥으로 떨어짐"/>
    <s v="▶ 근로자가 추락할 위험이 있는 장소에는 충분한 강도를 가진 구조의 (작업발판형) 덮개 또는 안전난간 등의 방호조치 실시_x000a_▶ 낙하위험이 있는 고소 작업 시 안전대(안전고리 2개 모두 체결) 착용 등 추락 방지 조치 수행"/>
  </r>
  <r>
    <n v="12"/>
    <x v="1"/>
    <x v="3"/>
    <x v="4"/>
    <s v="YES"/>
    <x v="2"/>
    <x v="3"/>
    <s v="12대 기인물"/>
    <n v="11"/>
    <n v="0.03"/>
    <s v="2020년 1월경"/>
    <d v="2020-01-01T00:00:00"/>
    <n v="1"/>
    <s v="혹한기"/>
    <x v="6"/>
    <s v="2020년 1월경 OO건설 공동주택 신축공사 현장에서 재해자가 11층 측면부 벽체 부분에 비계를 설치하기 위해 바닥 정리 작업 중 측면 벽체거푸집(약 2.4톤) 일부가 전도되면서 적재되어 있는 유로폼과 거푸집 사이에 재해자의 두부가 협착되어 사망"/>
    <s v="바닥 정리 작업 중 측면 벽체거푸집 일부가 전도되면서 근로자가 적재되어 있는 유로폼과 거푸집 사이에 끼임"/>
    <s v="▶ 거푸집 전도방지를 위한 버팀대 또는 지지대 설치_x000a_▶ 거푸집 조립 후 인양하여 설치하는 경우 전도방지를 위해 안전대책(버팀대와 당김줄 등 설치) 수립"/>
  </r>
  <r>
    <n v="12"/>
    <x v="1"/>
    <x v="5"/>
    <x v="6"/>
    <s v="YES"/>
    <x v="2"/>
    <x v="3"/>
    <s v="12대 기인물"/>
    <n v="11"/>
    <n v="0.03"/>
    <s v="2018년 12월"/>
    <d v="2018-12-01T00:00:00"/>
    <n v="12"/>
    <s v="혹한기"/>
    <x v="1"/>
    <s v="2018년 12월경 OO아파트 신축공사 현장에서 재해자가 116동 지하 1층 PIT 내부에서 정리정돈 작업 중에 임시로 기대져 있던 벽체 거푸집이 전도되면서 깔려 사망"/>
    <s v="지하층 내부에서 정리정돈 작업 중에 임시로 기대져있던 벽체거푸집이 전도되면서 재해자가 깔림"/>
    <s v="▶ 자재 일부 거치작업시 안전한 각도 유지 및 버팀대 또는 지지대 설치_x000a_▶ 통로 주요 부분에 통로 표시 및 장애물 제거_x000a_▶ 장애물 제거가 어려운 경우 버팀대 및 밀림방지 목재 등을 고정"/>
  </r>
  <r>
    <n v="2"/>
    <x v="2"/>
    <x v="6"/>
    <x v="7"/>
    <s v="YES"/>
    <x v="2"/>
    <x v="3"/>
    <s v="12대 기인물"/>
    <n v="11"/>
    <n v="0.03"/>
    <s v="2016년 4월경"/>
    <d v="2016-04-01T00:00:00"/>
    <n v="4"/>
    <s v="-"/>
    <x v="1"/>
    <s v="2016년 4월경 OO증축공사 현장에서 이동식 크레인으로 수벽거푸집 인양 및 거치작업중 설치된 보거푸집이 전도되며 1층에서 크레인 장비유도를 하던 재해자가 피하지 못하고 거푸집에 깔려 사망"/>
    <s v="대형거푸집 조립도 미작성 및 전도방지조치 미실시한 상태에서 크레인으로 수벽 보 거푸집을 양중 및 거치 상황에서 장비유도 중 편심으로 수벽 보 거푸집이 전도되어 근로자 깔림"/>
    <s v="▶ 벽체, 보, 거푸집 등의 조립작업 시 발생하는 작업하중 및 그 밖의 외력에 대해 견딜 수 있도록 버팀 지지대 설치 등 전도방지조치 실시_x000a_▶ 수벽 보 거푸집 인양 시 상부의 작업하중 등으로 발생하는 수평력을 견딜 수 있는 지지버팀대 설치 후 줄걸이 해체"/>
  </r>
  <r>
    <n v="2"/>
    <x v="2"/>
    <x v="6"/>
    <x v="7"/>
    <s v="YES"/>
    <x v="2"/>
    <x v="3"/>
    <s v="12대 기인물"/>
    <n v="11"/>
    <n v="0.03"/>
    <s v="2017년 3월경"/>
    <d v="2017-03-01T00:00:00"/>
    <n v="3"/>
    <s v="-"/>
    <x v="2"/>
    <s v="2017년 3월경 OO다세대주택 신축공사현장에서, 경사지붕 슬래브 위에 적재된 슬래브용 FRP거푸집(일명 “콘판넬”)을 인양하려던 중, 균형을 잃고 거푸집이 무너지며, 경사지붕위에 위치한 재해자가 FRP 거푸집과 함께 바닥으로 떨어져(높이 : 약13m)사망, 동료근로자는 떨어지는 자재에 맞아 부상"/>
    <s v="추락방지조치 미실시한 상태에서 경사지붕 슬래브 위에 적재된 슬래브용  거푸집(FRP)과을 인양 중 균형을 잃어 거푸집(FRP)과 함께 추락"/>
    <s v="▶ 중량물(5kg 이상)을 인양하는 경우 무게중심 표시 및 2줄걸이 하여 균형상실 방지_x000a_▶ 추락 및 넘어질 위험이 있는 장소에 작업발판 및 안전난간 설치"/>
  </r>
  <r>
    <n v="2"/>
    <x v="2"/>
    <x v="6"/>
    <x v="7"/>
    <s v="YES"/>
    <x v="2"/>
    <x v="3"/>
    <s v="12대 기인물"/>
    <n v="11"/>
    <n v="0.03"/>
    <s v="2017년 3월경"/>
    <d v="2017-03-01T00:00:00"/>
    <n v="3"/>
    <s v="-"/>
    <x v="2"/>
    <s v="2017년 3월경 OO종합건설(주)에서 시공 중인 OO주상복합 신축공사 현장에서 재해자가 4층 바닥에서 형틀 보 상부로 이동 중 유로폼과 함께 12m 아래 1층 콘크리트 바닥으로 떨어져 사망"/>
    <s v="추락방지조치 미실한 상태에서 하부 바닥에서 유로폼을 들고 형틀 보 상부로 이동 중 몸의 중심을 잃고 유로폼과 함께 콘크리트 바닥으로 추락"/>
    <s v="▶ 거푸집 조립 작업을 위한 강관비계, 이동식비계 등의 작업발판 설치_x000a_▶ 추락 방지를 위해 안전대 부착설비 설치 및 안전대 착용 등 추락방지조치 실시"/>
  </r>
  <r>
    <n v="2"/>
    <x v="2"/>
    <x v="6"/>
    <x v="7"/>
    <s v="YES"/>
    <x v="2"/>
    <x v="3"/>
    <s v="12대 기인물"/>
    <n v="11"/>
    <n v="0.03"/>
    <s v="2017년 5월경"/>
    <d v="2017-05-01T00:00:00"/>
    <n v="5"/>
    <s v="-"/>
    <x v="2"/>
    <s v="2017년 5월경 OO종합건설㈜ OO신축공사 현장에서 거푸집 보 설치를 위해 보 상부에서 재해자 2명이 거푸집 보를 고정하던 중, 합판 고정부위가 파단되면서 거푸집 보가 약 3.4m 아래 바닥으로 떨어져 재해자 2명 중 1명은 사망, 1명은 부상, 하부에 있었던 재해자 1명은 떨어지는 보 거푸집에 부딪혀 부상"/>
    <s v="거푸집동바리 조립도 미준수 및 추락방지조치 미실시한 상태에서 거푸집 보 설치를 위해 보 상부에서 거푸집 보 고정 중 합판 고정부위 파단으로 근로자 추락"/>
    <s v="▶ 거푸집동바리 조립 시 조립도에 적합한 동바리 설치 및 거푸집 보 고정완료 상태에서 크레인 슬링벨트 해체_x000a_▶ 2m 이상 고소작업이 빈번한 작업자에 대해 안전대 지급 및 안전대 부착설비  설치"/>
  </r>
  <r>
    <n v="2"/>
    <x v="2"/>
    <x v="6"/>
    <x v="7"/>
    <s v="YES"/>
    <x v="2"/>
    <x v="3"/>
    <s v="12대 기인물"/>
    <n v="11"/>
    <n v="0.03"/>
    <s v="2017년 10월"/>
    <d v="2017-10-01T00:00:00"/>
    <n v="10"/>
    <s v="-"/>
    <x v="2"/>
    <s v="2017년 10월경 ㈜OO건설에서 시공하는 OO상하수도시설 확장사업 현장에서 원청소속 재해자가 배수지 슬래브 콘크리트 타설을 위해 설치한 시스템 동바리 상부에서 작업발판 운반 작업을 위하여 동바리 수평재 위를 이동하던 중, 몸의 중심을 잃고 바닥으로 추락(H≒5.1m)하여 사망"/>
    <s v="추락 방지조치를 미실시한 상태에서 슬래브 콘크리트 타설을 위해 설치한 시스템동바리 상부에서 작업발판 운반 작업을 위해 동바리 수평재 위를 이동 중 중심을 잃고 근로자 추락"/>
    <s v="▶ 동바리 상부 등 추락위험이 있는 장소에는 비계 등의 설치를 통한 작업발판 및 안전난간 설치_x000a_▶ 동바리 상부에서 작업발판 설치 시 추락 위험 방지를 위해 추락방지망 등 설치_x000a_▶ 추락위험이 있는 장소에서 작업 시 안전대 부착설비 설치 및 안전대 착용"/>
  </r>
  <r>
    <n v="2"/>
    <x v="2"/>
    <x v="6"/>
    <x v="7"/>
    <s v="YES"/>
    <x v="2"/>
    <x v="3"/>
    <s v="12대 기인물"/>
    <n v="11"/>
    <n v="0.03"/>
    <s v="2017년 11월"/>
    <d v="2017-11-01T00:00:00"/>
    <n v="11"/>
    <s v="-"/>
    <x v="1"/>
    <s v="2017년 11월경 OO건설(주) OO신축공사 현장에서 재해자(형틀목공)가 OO동 지상 1층 벽체거푸집 조립작업을 위한 사다리(알루미늄 재질, H형(12단, 4m))를 들고 차량통로 구간을 지나가다가 갑자기 불어온 강풍으로 인해 벽체 거푸집(유로폼,  크기 : 15m×3.45m, 중량 : 1.7ton)이 넘어지면서 재해자가 벽체 거푸집에 깔려 사망"/>
    <s v="대형거푸집 조립도 미작성 및 전도방지조치 미실시한 상태에서 크레인으로 수벽 보 거푸집을 양중 및 거치 상황에서 장비유도 중 편심으로 수벽 보 거푸집이 전도되어 근로자 깔림"/>
    <s v="▶ 벽체, 보, 거푸집 등의 조립작업 시 발생하는 작업하중 및 그 밖의 외력에 대해 견딜 수 있도록 버팀 지지대 설치 등 전도방지조치 실시_x000a_▶ 수벽 보 거푸집 인양 시 상부의 작업하중 등으로 발생하는 수평력을 견딜 수 있는 지지버팀대 설치 후 줄걸이 해체"/>
  </r>
  <r>
    <n v="2"/>
    <x v="2"/>
    <x v="6"/>
    <x v="7"/>
    <s v="YES"/>
    <x v="2"/>
    <x v="3"/>
    <s v="12대 기인물"/>
    <n v="11"/>
    <n v="0.03"/>
    <s v="2018년 5월경"/>
    <d v="2018-05-01T00:00:00"/>
    <n v="5"/>
    <s v="-"/>
    <x v="2"/>
    <s v="2018년 5월경 OO건설에서 시공하는 단독주택현장에서 재해자가 내부비계 1단(높이 2m) 작업발판 위에서 지상 1층 바닥에 있는 동료작업자로부터 유로폼을 전달받기 위해 돌아서는 중 왼쪽 발을 헛디뎌 약 2m 아래 콘크리트 바닥으로 떨어져 사망"/>
    <s v="추락방지조치 미실한 상태에서 비계 작업발판 위에서 하부층 바닥에서 전달되는 유로폼을 받기 위해 돌아서는 중 왼쪽 발 헛디딤으로 근로자 추락"/>
    <s v="▶ 작업발판 위에서 거푸집 조립 작업 시 충분한 강도의 안전난간 설치_x000a_▶ 안전난간의 설치가 곤란할 경우 안전대 부착설비 설치 및 안전대 착용"/>
  </r>
  <r>
    <n v="2"/>
    <x v="2"/>
    <x v="6"/>
    <x v="7"/>
    <s v="YES"/>
    <x v="2"/>
    <x v="3"/>
    <s v="12대 기인물"/>
    <n v="11"/>
    <n v="0.03"/>
    <s v="2018년 8월경"/>
    <d v="2018-08-01T00:00:00"/>
    <n v="8"/>
    <s v="혹서기"/>
    <x v="4"/>
    <s v="2018년 8월경 ㈜OO건설이 시공하는 OO주상복합 신축공사 현장에서 ㈜OO건설 소속 재해자가 지상 1층 보 하부 거푸집 합판 연결부를 못으로 고정하는 작업 중 몸의 중심을 잃고 높이 2.6m 아래 지하 1층 콘크리트 바닥에 적재된 자재 상부로 추락하여 사망"/>
    <s v="추락방지조치 미실한 상태에서 보 하부 거푸집에서 합판 연결부을 못으로 고정하는 작업 중 중심을 잃고 근로자다 추락하여 바닥 돌출된 수직 철근에 가슴부위가 찔림"/>
    <s v="▶ 거푸집 조립 작업을 위한 강관비계, 이동식비계 등의 작업발판 설치_x000a_▶ 추락 방지를 위해 안전대 부착설비 설치 및 안전대 착용 등 추락방지조치 실시"/>
  </r>
  <r>
    <n v="2"/>
    <x v="2"/>
    <x v="6"/>
    <x v="7"/>
    <s v="YES"/>
    <x v="2"/>
    <x v="3"/>
    <s v="12대 기인물"/>
    <n v="11"/>
    <n v="0.03"/>
    <s v="2018년 10월"/>
    <d v="2018-10-01T00:00:00"/>
    <n v="10"/>
    <s v="-"/>
    <x v="4"/>
    <s v="2018년 10월경 개인단독주택 신축공사 현장에서 철근콘크리트공사 협력업체 소속 재해자(형틀공)가 지상 2층 보 옆면 거푸집 설치작업을 마치고 현관문 상부 보 거푸집에서 대기하던 중, 몸의 중심을 잃고 1층 바닥으로 떨어지면서(H≒2.7m) 돌출된 수직 철근(L=13cm)에 가슴부위가 찔려 사망"/>
    <s v="추락방지조치 미실한 상태에서 보 하부 거푸집에서 합판 연결부을 못으로 고정하는 작업 중 중심을 잃고 근로자다 추락하여 바닥 돌출된 수직 철근에 가슴부위가 찔림"/>
    <s v="▶ 거푸집 조립 작업을 위한 강관비계, 이동식비계 등의 작업발판 설치_x000a_▶ 추락 방지를 위해 안전대 부착설비 설치 및 안전대 착용 등 추락방지조치 실시"/>
  </r>
  <r>
    <n v="2"/>
    <x v="2"/>
    <x v="6"/>
    <x v="7"/>
    <s v="YES"/>
    <x v="2"/>
    <x v="3"/>
    <s v="12대 기인물"/>
    <n v="11"/>
    <n v="0.03"/>
    <s v="2019년 3월경"/>
    <d v="2019-03-01T00:00:00"/>
    <n v="3"/>
    <s v="-"/>
    <x v="2"/>
    <s v="2019년 3월경 ㈜OO건설 다세대주택 신축공사 현장에서 재해자(형틀공)가 지상1층 보 거푸집 설치를 위해 보밑판(합판)을 하부 근로자에게 받아 설치작업을 하던 중 약 2.5미터 아래 콘크리트 바닥 슬라브로 떨어져 사망"/>
    <s v="추락방지조치 미실한 상태에서 비계 작업발판 위에서 하부층 바닥에서 전달되는 유로폼을 받기 위해 돌아서는 중 왼쪽 발 헛디딤으로 근로자 추락"/>
    <s v="▶ 작업발판 위에서 거푸집 조립 작업 시 충분한 강도의 안전난간 설치_x000a_▶ 안전난간의 설치가 곤란할 경우 안전대 부착설비 설치 및 안전대 착용"/>
  </r>
  <r>
    <n v="2"/>
    <x v="2"/>
    <x v="6"/>
    <x v="7"/>
    <s v="YES"/>
    <x v="2"/>
    <x v="3"/>
    <s v="12대 기인물"/>
    <n v="11"/>
    <n v="0.03"/>
    <s v="2020년 11월"/>
    <d v="2020-11-01T00:00:00"/>
    <n v="11"/>
    <s v="-"/>
    <x v="2"/>
    <s v="2020년 11월경 OO건설㈜이 시공 중인 OO지하주차장 건축공사 현장에서 재해자(형틀공) 2명이 지하 1층 보 거푸집을 기둥 거푸집에 고정하고 안전대 부착설비 설치작업 중, 타워크레인 후크블록을 권상하는 과정에서 보 거푸집 고정철물에 인양용 슬링벨트가 걸려 보 거푸집 상부에서 작업 중인 재해자 2명과 보 거푸집이 함께 약 4.0m 아래 바닥(지하2층 바닥 콘크리트면)으로 추락하여 부상"/>
    <s v="추락 방지조치를 미실시한 상태에서 보 거푸집을 기둥 거푸집에 고정하고 안전대 부착설비 설치작업 중 타워크레인 후크블록을 권상하는 과정에서 보 거푸집 고정철물에 인양용 슬링벨트가 걸려 보 거푸집 상부에서 작업 중인 근로자 추락"/>
    <s v="▶ 추락 방지를 위해 안전대 부착설비 설치 및 안전대 착용 등 추락방지조치 실시_x000a_▶ 타워크레인 작업 시 타워크레인마다 작업자와 신호교육을 이수한 신호업무 담당자 각각 배치"/>
  </r>
  <r>
    <n v="2"/>
    <x v="2"/>
    <x v="6"/>
    <x v="7"/>
    <s v="YES"/>
    <x v="2"/>
    <x v="3"/>
    <s v="12대 기인물"/>
    <n v="11"/>
    <n v="0.03"/>
    <s v="철근콘크리트공사 "/>
    <s v="X"/>
    <e v="#VALUE!"/>
    <e v="#VALUE!"/>
    <x v="4"/>
    <s v="철근콘크리트공사 협력업체 ㈜OO건설 소속 재해자가 지붕층 슬래브의 보(폭×춤=500×900mm, L=4.6m) 거푸집 설치작업을 하던 중 몸의 중심을 잃고 넘어지면서 보 측면 거푸집을 잡고 떨어지지 않으려고 버티다가, 지상 8층 바닥으로 떨어졌고(H=3.3m) 연이어 보 측면 거푸집이 떨어지면서 재해자를 가격하여 사망"/>
    <s v="추락방지조치 미실한 상태에서 보 하부 거푸집에서 합판 연결부을 못으로 고정하는 작업 중 중심을 잃고 근로자다 추락하여 바닥 돌출된 수직 철근에 가슴부위가 찔림"/>
    <s v="▶ 거푸집 조립 작업을 위한 강관비계, 이동식비계 등의 작업발판 설치_x000a_▶ 추락 방지를 위해 안전대 부착설비 설치 및 안전대 착용 등 추락방지조치 실시"/>
  </r>
  <r>
    <n v="2"/>
    <x v="2"/>
    <x v="6"/>
    <x v="33"/>
    <s v="YES"/>
    <x v="2"/>
    <x v="3"/>
    <s v="12대 기인물"/>
    <n v="11"/>
    <n v="0.03"/>
    <s v="2016년 8월경"/>
    <d v="2016-08-01T00:00:00"/>
    <n v="8"/>
    <s v="혹서기"/>
    <x v="1"/>
    <s v="2016년 8월경 (주)OO건설 OO공장 신축공사 현장에서 협력업체 소속 재해자가 사무동 콘크리트 옹벽 벽체거푸집 조립 작업 중 옹벽벽체 외벽 2단 거푸집(20m×2.4m, 약 1.2TON)이 재해자가 위치한 전면으로 넘어져 거푸집에 깔려 사망"/>
    <s v="거푸집 조립시 구조검토에 의한 조립도 미작성, 거푸집 전도방지조치 미실시한 상태로 콘크리트 옹벽 벽체거푸집 조립 작업 중 옹벽벽체 외벽 거푸집이 근로자의 전면으로 넘어져 깔림"/>
    <s v="▶ 거푸집을 설치 할 경우 자중 또는 외력에 의해 넘어지지 않도록 견고한 구조의 버팀대 또는 지지대를 설치 _x000a_▶ 벽체거푸집 조립 시 구조에 대해 자중, 풍하중, 작업하중 등에 의한 수평방향 하중에 대해 구조검토 후 부재의 재질, 간격, 고정방법 등이 포함된 조립도를 작성 _x000a_▶ 거푸집 조립 시 긴결재, 버팀대 또는 지지대 설치 등 전도방지조치 실행"/>
  </r>
  <r>
    <n v="2"/>
    <x v="2"/>
    <x v="6"/>
    <x v="33"/>
    <s v="YES"/>
    <x v="2"/>
    <x v="3"/>
    <s v="12대 기인물"/>
    <n v="11"/>
    <n v="0.03"/>
    <s v="2016년 10월"/>
    <d v="2016-10-01T00:00:00"/>
    <n v="10"/>
    <s v="-"/>
    <x v="2"/>
    <s v="2016년 10월경 복합주거시설 신축공사 현장에서 지하 1층 기둥 형틀(거푸집)에 매달려 플랫타이 및 핀 고정작업을 하던 재해자가 바닥으로 떨어져 사망"/>
    <s v="추락방지조치 미실시한 상태에서 지하층 기둥 거푸집에 매달려 플랫타이 및 핀 고정작업 중 바닥으로 근로자 추락"/>
    <s v="▶ 기둥 상부 작업 등 추락 위험이 있는 작업은 이동식 비계 등을 이용하여 발판 및 안전난간 등  설치_x000a_▶ 거푸집 조립 작업 등 추락 위험이 있는 장소에서 작업 시 추락방호망, 안전난간 설치, 안전대 착용 등 추락방호조치 실시_x000a_▶ 임시로 난간 등을 해체하여야 하는 경우 비계와 건물 사이에 추락방호망 설치"/>
  </r>
  <r>
    <n v="2"/>
    <x v="2"/>
    <x v="6"/>
    <x v="33"/>
    <s v="YES"/>
    <x v="2"/>
    <x v="3"/>
    <s v="12대 기인물"/>
    <n v="11"/>
    <n v="0.03"/>
    <s v="2017년 3월경"/>
    <d v="2017-03-01T00:00:00"/>
    <n v="3"/>
    <s v="-"/>
    <x v="0"/>
    <s v="2017년 3월경 OO건설(주) OO신축공사현장에서 협력업체 소속 재해자가 지하1층 형틀작업 과정에서 임시로 세워놓은 기둥거푸집의 버팀대가 이탈되어 넘어지는 기둥거푸집 상단부가 재해자의 뒷목을 타격하여 사망"/>
    <s v="인양장비에 매달지 않고 버팀대를 견고하게 설치하지 않은 상태에서 지하층 형틀작업 중 임시로 세워놓은 기둥거푸집이 버팀대의 이탈로 넘어져 근로자 뒷목 타격"/>
    <s v="▶ 기둥거푸집이 넘어지지 않도록 인양장비에 매단 후, 견고한 구조의 버팀대를 변형 되지 않은 부재에 설치하고 작업하는 등 필요한 조치_x000a_▶ 버팀대 설치 부재의 손상여부를 사전에 확인하고 이탈되지 않도록 쐐기ㆍ못 등으로 견고하게 고정"/>
  </r>
  <r>
    <n v="2"/>
    <x v="2"/>
    <x v="6"/>
    <x v="33"/>
    <s v="YES"/>
    <x v="2"/>
    <x v="3"/>
    <s v="12대 기인물"/>
    <n v="11"/>
    <n v="0.03"/>
    <s v="2017년 5월경"/>
    <d v="2017-05-01T00:00:00"/>
    <n v="5"/>
    <s v="-"/>
    <x v="1"/>
    <s v="2017년 5월경 OO토건(주)이 시공하는 야구장 건립현장에서 재해자 2명이 외부비계에서 백스크린 벽체거푸집(14m×8m) 조립작업 중 거푸집이 전도되어 전도되는 거푸집에 깔림"/>
    <s v="거푸집 조립시 구조검토에 의한 조립도 미작성, 거푸집 전도방지조치 미실시한 상태로 콘크리트 옹벽 벽체거푸집 조립 작업 중 옹벽벽체 외벽 거푸집이 근로자의 전면으로 넘어져 깔림"/>
    <s v="▶ 거푸집을 설치 할 경우 자중 또는 외력에 의해 넘어지지 않도록 견고한 구조의 버팀대 또는 지지대를 설치 _x000a_▶ 벽체거푸집 조립 시 구조에 대해 자중, 풍하중, 작업하중 등에 의한 수평방향 하중에 대해 구조검토 후 부재의 재질, 간격, 고정방법 등이 포함된 조립도를 작성 _x000a_▶ 거푸집 조립 시 긴결재, 버팀대 또는 지지대 설치 등 전도방지조치 실행"/>
  </r>
  <r>
    <n v="2"/>
    <x v="2"/>
    <x v="6"/>
    <x v="33"/>
    <s v="YES"/>
    <x v="2"/>
    <x v="3"/>
    <s v="12대 기인물"/>
    <n v="11"/>
    <n v="0.03"/>
    <s v="2018년 3월경"/>
    <d v="2018-03-01T00:00:00"/>
    <n v="3"/>
    <s v="-"/>
    <x v="1"/>
    <s v="2018년 3월경 OO단독주택 신축공사 현장에서 재해자 2명이 좌측면 벽체 거푸집 설치작업 중 벽체 거푸집(높이 2.4m, 중량 약 114kg)이 넘어져 재해자를 덮침"/>
    <s v="거푸집 조립시 구조검토에 의한 조립도 미작성, 거푸집 전도방지조치 미실시한 상태로 콘크리트 옹벽 벽체거푸집 조립 작업 중 옹벽벽체 외벽 거푸집이 근로자의 전면으로 넘어져 깔림"/>
    <s v="▶ 거푸집을 설치 할 경우 자중 또는 외력에 의해 넘어지지 않도록 견고한 구조의 버팀대 또는 지지대를 설치 _x000a_▶ 벽체거푸집 조립 시 구조에 대해 자중, 풍하중, 작업하중 등에 의한 수평방향 하중에 대해 구조검토 후 부재의 재질, 간격, 고정방법 등이 포함된 조립도를 작성 _x000a_▶ 거푸집 조립 시 긴결재, 버팀대 또는 지지대 설치 등 전도방지조치 실행"/>
  </r>
  <r>
    <n v="2"/>
    <x v="2"/>
    <x v="6"/>
    <x v="33"/>
    <s v="YES"/>
    <x v="2"/>
    <x v="3"/>
    <s v="12대 기인물"/>
    <n v="11"/>
    <n v="0.03"/>
    <s v="2018년 7월경"/>
    <d v="2018-07-01T00:00:00"/>
    <n v="7"/>
    <s v="혹서기"/>
    <x v="2"/>
    <s v="2018년 7월경 OO 보건소 이전 신축공사 현장에서 재해자가 벽체 거푸집(1층 의약품창고 구간) 위에서 120cm 밑에 있는 보 거푸집(1층 사무실 구간)하단으로 내려가려고 발을 내딛던 중 몸의 중심을 잃고 약 3.6m 아래 지상 콘크리트 바닥으로 추락하여 사망"/>
    <s v="추락방지조치 미실시한 상태에서 벽체 거푸집 위에서 보 거푸집 하단으로 내려가던 중 실족하여 중심을 잃고 바닥으로 근로자 추락"/>
    <s v="▶ 기둥 상부 작업 등 추락 위험이 있는 작업은 이동식 비계 등을 이용하여 발판 및 안전난간 등  설치_x000a_▶ 거푸집 조립 작업 등 추락 위험이 있는 장소에서 작업 시 추락방호망, 안전난간 설치, 안전대 착용 등 추락방호조치 실시_x000a_▶ 임시로 난간 등을 해체하여야 하는 경우 비계와 건물 사이에 추락방호망 설치"/>
  </r>
  <r>
    <n v="2"/>
    <x v="2"/>
    <x v="6"/>
    <x v="33"/>
    <s v="YES"/>
    <x v="2"/>
    <x v="3"/>
    <s v="12대 기인물"/>
    <n v="11"/>
    <n v="0.03"/>
    <s v="2019년 3월경"/>
    <d v="2019-03-01T00:00:00"/>
    <n v="3"/>
    <s v="-"/>
    <x v="1"/>
    <s v="2019년 3월경 위험지구 정비사업 현장에서 재해자가 BOX교량 안쪽 벽체 거푸집 설치작업 중 벽체거푸집(높이 2.3M, 폭 10M, 무게 약 845㎏)이 넘어지면서 가슴 등을 부딪혀 사망"/>
    <s v="거푸집 조립시 구조검토에 의한 조립도 미작성, 거푸집 전도방지조치 미실시한 상태로 콘크리트 옹벽 벽체거푸집 조립 작업 중 옹벽벽체 외벽 거푸집이 근로자의 전면으로 넘어져 깔림"/>
    <s v="▶ 거푸집을 설치 할 경우 자중 또는 외력에 의해 넘어지지 않도록 견고한 구조의 버팀대 또는 지지대를 설치 _x000a_▶ 벽체거푸집 조립 시 구조에 대해 자중, 풍하중, 작업하중 등에 의한 수평방향 하중에 대해 구조검토 후 부재의 재질, 간격, 고정방법 등이 포함된 조립도를 작성 _x000a_▶ 거푸집 조립 시 긴결재, 버팀대 또는 지지대 설치 등 전도방지조치 실행"/>
  </r>
  <r>
    <n v="2"/>
    <x v="2"/>
    <x v="6"/>
    <x v="33"/>
    <s v="YES"/>
    <x v="2"/>
    <x v="3"/>
    <s v="12대 기인물"/>
    <n v="11"/>
    <n v="0.03"/>
    <s v="2019. 3월경"/>
    <d v="2019-03-01T00:00:00"/>
    <n v="3"/>
    <s v="-"/>
    <x v="2"/>
    <s v="2019. 3월경 OO건설(주)이 시공중인 OO신축공사 현장에서 협력업체  소속 재해자가 지상1층 보(0.5m×0.8m)상부에 서서 측면 거푸집(0.3m×1.2m) 조립 작업 중, 몸의 중심을 잃고, 지하1층 바닥(H≒3.6m)으로 떨어져 사망"/>
    <s v="추락방지조치 미실시한 상태에서 지상층 내부 철골 내화페인트 뿜칠작업 중 중심을 잃고 이동식비계 작업발판 위에서 근로자 추락"/>
    <s v="▶ 추락 위험이 있는 작업 시, 안전방망, 안전난간, 안전대 부착설비 등 안전방호조치 실시_x000a_▶ 작업 전 안전대 지급 및 착용, 체결상태 관리감독자 확인 철저"/>
  </r>
  <r>
    <n v="2"/>
    <x v="2"/>
    <x v="6"/>
    <x v="33"/>
    <s v="YES"/>
    <x v="2"/>
    <x v="3"/>
    <s v="12대 기인물"/>
    <n v="11"/>
    <n v="0.03"/>
    <s v="2019년 5월경"/>
    <d v="2019-05-01T00:00:00"/>
    <n v="5"/>
    <s v="-"/>
    <x v="2"/>
    <s v="2019년 5월경 OO(주)에서 시공하는 근린생활시설 신축공사현장에서, 철근콘크리트공사 협력업체 소속 재해자가 동료작업자와 함께 지상4층 보거푸집 거치 후, 거푸집에 결속되어 있던 타워크레인 양중로프를 해제하던 중 로프의 끝단이 거푸집 부속철물(긴결재)에 걸려, 보거푸집이 흔들리면서 몸의 중심을 잃고 약 3.3m 아래 콘크리트 바닥으로 떨어져 사망"/>
    <s v="중량물 취급 작업계획서 미흡 및 작업지휘 미실시한 상태에서 지상층에서 보거푸집에 결속되어있던 슬링벨트를 해체하여 상승시키는 과정 중 슬링벨트의 양 끝 고리부가 보거푸집에 걸려 전도됨에 따라 보거푸집 상부에 있던 근로자 추락"/>
    <s v="▶ 추락위험이 있는 장소에서의 작업 시 안전대 부착설비 설치 및 안전대 지급 및 착용_x000a_▶ 크레인 작업 시 작업자와 신호교육을 이수한 신호업무 담당자 각각 배치"/>
  </r>
  <r>
    <n v="2"/>
    <x v="2"/>
    <x v="6"/>
    <x v="33"/>
    <s v="YES"/>
    <x v="2"/>
    <x v="3"/>
    <s v="12대 기인물"/>
    <n v="11"/>
    <n v="0.03"/>
    <s v="2019년 6월경"/>
    <d v="2019-06-01T00:00:00"/>
    <n v="6"/>
    <s v="혹서기"/>
    <x v="2"/>
    <s v="2019년 6월경 OO건설(주) OO근생시설 신축공사 현장에서 재해자가 지하 1층 상부 슬래브의 보(0.5m×0.8m, L=9.4m) 거푸집수정(15cm 하향 설치)을 위해 거푸집 위에서 연결부 못 제거 등의 해체작업 중 보 거푸집 하부에 있던 동바리(파이프 서포트)가 넘어지면서 지지력을 상실하고 붕괴되는 충격에 의해 약 3.1m 아래 지하 1층 바닥 슬래브로 떨어져 사망"/>
    <s v="보거푸집 수정작업 시 보거푸집을 인양장비에 매달아 하중 지지 후 작업하여야 하나 지하층 상부 슬래브의 보거푸집 수정을 위해 거푸집 위에서 연결부 못 제거 등 해체작업 중 보거푸집 하부에 있던 동바리가 넘어지면서 보거푸집 붕괴에 따른 근로자 추락"/>
    <s v="▶ 거푸집 위치 수정작업 시 보거푸집을 인양장비에 매달아 하중 지지 후 작업 또는 버팀대 설치_x000a_▶ 추락 위험이 있는 장소에서의 작업 시 작업발판 설치 또는 고소작업대 투입"/>
  </r>
  <r>
    <n v="2"/>
    <x v="2"/>
    <x v="6"/>
    <x v="33"/>
    <s v="YES"/>
    <x v="2"/>
    <x v="3"/>
    <s v="12대 기인물"/>
    <n v="11"/>
    <n v="0.03"/>
    <s v="2019년 7월경"/>
    <d v="2019-07-01T00:00:00"/>
    <n v="7"/>
    <s v="혹서기"/>
    <x v="2"/>
    <s v="2019년 7월경 OO건설(주)에서 시공하는 OO블럭 근린생활시설 신축공사 현장에서, 철근콘크리트공사 협력업체 소속 재해자가 동료작업자와 함께 지상2층 보거푸집 설치 후, 보거푸집에 결속되어 있던 이동식크레인의 슬링벨트를 해체하여 상승시키는 과정 중 슬링벨트의 아이(EYE)부가 보거푸집에 걸려 전도되면서, 보거푸집 상부에 있던 재해자가 약 5m 아래 콘크리트 바닥으로 떨어져 사망"/>
    <s v="중량물 취급 작업계획서 미흡 및 작업지휘 미실시한 상태에서 지상층에서 보거푸집에 결속되어있던 슬링벨트를 해체하여 상승시키는 과정 중 슬링벨트의 양 끝 고리부가 보거푸집에 걸려 전도됨에 따라 보거푸집 상부에 있던 근로자 추락"/>
    <s v="▶ 추락위험이 있는 장소에서의 작업 시 안전대 부착설비 설치 및 안전대 지급 및 착용_x000a_▶ 크레인 작업 시 작업자와 신호교육을 이수한 신호업무 담당자 각각 배치"/>
  </r>
  <r>
    <n v="2"/>
    <x v="2"/>
    <x v="6"/>
    <x v="33"/>
    <s v="YES"/>
    <x v="2"/>
    <x v="3"/>
    <s v="12대 기인물"/>
    <n v="11"/>
    <n v="0.03"/>
    <s v="2019년 10월"/>
    <d v="2019-10-01T00:00:00"/>
    <n v="10"/>
    <s v="-"/>
    <x v="2"/>
    <s v="2019년 10월경 OO병원 증축 및 리모델링 공사 현장에서 시스템 동바리 상부 멍에재의 간격을 맞추기 위해 보 거푸집에서 시스템 동바리로 이동하던 중 시스템 동바리 최상단에 걸쳐있는 합판(t≒ 10mm)을 밟고, 높이 5m 아래 바닥으로 추락"/>
    <s v="추락방지조치 미실시한 상태에서 벽체 거푸집 위에서 보 거푸집 하단으로 내려가던 중 실족하여 중심을 잃고 바닥으로 근로자 추락"/>
    <s v="▶ 기둥 상부 작업 등 추락 위험이 있는 작업은 이동식 비계 등을 이용하여 발판 및 안전난간 등  설치_x000a_▶ 거푸집 조립 작업 등 추락 위험이 있는 장소에서 작업 시 추락방호망, 안전난간 설치, 안전대 착용 등 추락방호조치 실시_x000a_▶ 임시로 난간 등을 해체하여야 하는 경우 비계와 건물 사이에 추락방호망 설치"/>
  </r>
  <r>
    <n v="2"/>
    <x v="2"/>
    <x v="6"/>
    <x v="33"/>
    <s v="YES"/>
    <x v="2"/>
    <x v="3"/>
    <s v="12대 기인물"/>
    <n v="11"/>
    <n v="0.03"/>
    <s v="2019년 11월"/>
    <d v="2019-11-01T00:00:00"/>
    <n v="11"/>
    <s v="-"/>
    <x v="2"/>
    <s v="2019년 11월경 OO신축공사 현장에서 건물 8층 상부 슬라브 보·거푸집 공사 중, 비계 등 작업발판이 설치되어 있지 않은 보 거푸집 상부에서 90° 방향에 있는 다른 보로 이동하던 중, 약 3.4m 아래 콘크리트 바닥으로 추락하여 병원에서 치료 중 2021.10.21.(수)에 사망."/>
    <s v="추락방지조치 미실시한 상태에서 벽체 거푸집 위에서 보 거푸집 하단으로 내려가던 중 실족하여 중심을 잃고 바닥으로 근로자 추락"/>
    <s v="▶ 기둥 상부 작업 등 추락 위험이 있는 작업은 이동식 비계 등을 이용하여 발판 및 안전난간 등  설치_x000a_▶ 거푸집 조립 작업 등 추락 위험이 있는 장소에서 작업 시 추락방호망, 안전난간 설치, 안전대 착용 등 추락방호조치 실시_x000a_▶ 임시로 난간 등을 해체하여야 하는 경우 비계와 건물 사이에 추락방호망 설치"/>
  </r>
  <r>
    <n v="2"/>
    <x v="2"/>
    <x v="6"/>
    <x v="33"/>
    <s v="YES"/>
    <x v="2"/>
    <x v="3"/>
    <s v="12대 기인물"/>
    <n v="11"/>
    <n v="0.03"/>
    <s v="2020년 3월경"/>
    <d v="2020-03-01T00:00:00"/>
    <n v="3"/>
    <s v="-"/>
    <x v="1"/>
    <s v="2020년 3월경 위험개선지구 정비사업 현장에서 OO건설(주) 소속 작업자 2명이 교량 차수벽 거푸집 사이에서 거푸집 조립(B≒4.8m, H≒1.2m,) 중, 거푸집(584kg)이 전도되면서 2명이 거푸집에 깔림"/>
    <s v="거푸집 조립시 구조검토에 의한 조립도 미작성, 거푸집 전도방지조치 미실시한 상태로 콘크리트 옹벽 벽체거푸집 조립 작업 중 옹벽벽체 외벽 거푸집이 근로자의 전면으로 넘어져 깔림"/>
    <s v="▶ 거푸집을 설치 할 경우 자중 또는 외력에 의해 넘어지지 않도록 견고한 구조의 버팀대 또는 지지대를 설치 _x000a_▶ 벽체거푸집 조립 시 구조에 대해 자중, 풍하중, 작업하중 등에 의한 수평방향 하중에 대해 구조검토 후 부재의 재질, 간격, 고정방법 등이 포함된 조립도를 작성 _x000a_▶ 거푸집 조립 시 긴결재, 버팀대 또는 지지대 설치 등 전도방지조치 실행"/>
  </r>
  <r>
    <n v="2"/>
    <x v="2"/>
    <x v="6"/>
    <x v="33"/>
    <s v="YES"/>
    <x v="2"/>
    <x v="3"/>
    <s v="12대 기인물"/>
    <n v="11"/>
    <n v="0.03"/>
    <s v="2020년 3월경"/>
    <d v="2020-03-01T00:00:00"/>
    <n v="3"/>
    <s v="-"/>
    <x v="2"/>
    <s v="2020년 3월경 (주)OO건설에서 시공 중인 근생시설 신축공사 현장에서 재해자 2명이 지상 7층에서 윈치(Winch)가 부착된 삼각인양대를 이용하여 대형거푸집 인상작업을 하던 중, 윈치와 거푸집의 연결부가 파손되며 건물 외부비계 위에 있던 재해자는 거푸집과 함께 떨어져(H≒22m) 부상을 입고, 건물 내부슬라브에 있던 재해자는 윈치 또는 윈치를 지지하던 삼각인양대에 머리를 맞아 사망"/>
    <s v="달기구의 안전계수를 미준수한 상태에서 지상 7층 윈치가 부착된 삼각인양대를 이용하여 대형거푸집 인상작업 중 윈치와 거푸집의 연결부 파손으로 건물 외부비계 위에 있던 근로자 추락"/>
    <s v="▶ 사전조립식 대형거푸집을 지지하는 달기구의 경우 안전계수 5 이상 확보된 인증제품 사용_x000a_▶ 조립된 대형거푸집 전체의 중량이 고르게 분포될 수 있도록 줄걸이 방법 결정 및 실행"/>
  </r>
  <r>
    <n v="2"/>
    <x v="2"/>
    <x v="6"/>
    <x v="33"/>
    <s v="YES"/>
    <x v="2"/>
    <x v="3"/>
    <s v="12대 기인물"/>
    <n v="11"/>
    <n v="0.03"/>
    <s v="2020년 4월경"/>
    <d v="2020-04-01T00:00:00"/>
    <n v="4"/>
    <s v="-"/>
    <x v="1"/>
    <s v="2020년 4월경 OO신축공사 현장에서, 재해자가 이동식크레인(정격하중 25ton)을 이용하여 지상 1층으로 인양된 외벽 대형 거푸집(L≒2,300mm×3,000~3,600mm), W≒185.9kg)을 설치하고 지하로 이동하여 다른 외벽 대형 거푸집 해체를 위해 지하로 이동 중, 전도되어 떨어지는 지상 1층 설치된 외벽 대형 거푸집이 재해자를 덮쳐 사망"/>
    <s v="거푸집 조립시 구조검토에 의한 조립도 미작성, 거푸집 전도방지조치 미실시한 상태로 콘크리트 옹벽 벽체거푸집 조립 작업 중 옹벽벽체 외벽 거푸집이 근로자의 전면으로 넘어져 깔림"/>
    <s v="▶ 거푸집을 설치 할 경우 자중 또는 외력에 의해 넘어지지 않도록 견고한 구조의 버팀대 또는 지지대를 설치 _x000a_▶ 벽체거푸집 조립 시 구조에 대해 자중, 풍하중, 작업하중 등에 의한 수평방향 하중에 대해 구조검토 후 부재의 재질, 간격, 고정방법 등이 포함된 조립도를 작성 _x000a_▶ 거푸집 조립 시 긴결재, 버팀대 또는 지지대 설치 등 전도방지조치 실행"/>
  </r>
  <r>
    <n v="2"/>
    <x v="2"/>
    <x v="6"/>
    <x v="33"/>
    <s v="YES"/>
    <x v="2"/>
    <x v="3"/>
    <s v="12대 기인물"/>
    <n v="11"/>
    <n v="0.03"/>
    <s v="2020년  5월"/>
    <d v="2020-05-01T00:00:00"/>
    <n v="5"/>
    <s v="-"/>
    <x v="2"/>
    <s v="2020년  5월경 OO건설(주) OO신축공사 현장에서, 하도급업체 소속 재해자가 지하 1층 바닥슬래브 거푸집 설치 작업 중 슬래브 설치 예정 개구부에서 떨어진(H≒3.5m) 후 병원에 후송되어 치료 중 사망한 재해임."/>
    <s v="추락방지조치 미실시한 상태에서 지하층 바닥슬래브 거푸집 설치 작업 중 슬래브 개구부로 근로자 추락"/>
    <s v="▶ 기둥 상부 작업 등 추락 위험이 있는 작업은 이동식 비계 등을 이용하여 발판 및 안전난간 등  설치_x000a_▶ 거푸집 조립 작업 등 추락 위험이 있는 장소에서 작업 시 추락방호망, 안전난간 설치, 안전대 착용 등 추락방호조치 실시_x000a_▶ 임시로 난간 등을 해체하여야 하는 경우 비계와 건물 사이에 추락방호망 설치"/>
  </r>
  <r>
    <n v="2"/>
    <x v="2"/>
    <x v="6"/>
    <x v="33"/>
    <s v="YES"/>
    <x v="2"/>
    <x v="3"/>
    <s v="12대 기인물"/>
    <n v="11"/>
    <n v="0.03"/>
    <s v="2020년 9월경"/>
    <d v="2020-09-01T00:00:00"/>
    <n v="9"/>
    <s v="-"/>
    <x v="1"/>
    <s v="2020년 9월경 OO건설(주) OO아파트 건설공사 현장에서 OO동 후면 지하주차장 상부 슬래브 거푸집의 하부 강관 동바리 보강작업 중, 기 설치된 슬래브 거푸집이 넘어지면서 하부 작업자 3명이 깔림"/>
    <s v="거푸집 조립시 구조검토에 의한 조립도 미작성, 거푸집 전도방지조치 미실시한 상태로 콘크리트 옹벽 벽체거푸집 조립 작업 중 옹벽벽체 외벽 거푸집이 근로자의 전면으로 넘어져 깔림"/>
    <s v="▶ 거푸집을 설치 할 경우 자중 또는 외력에 의해 넘어지지 않도록 견고한 구조의 버팀대 또는 지지대를 설치 _x000a_▶ 벽체거푸집 조립 시 구조에 대해 자중, 풍하중, 작업하중 등에 의한 수평방향 하중에 대해 구조검토 후 부재의 재질, 간격, 고정방법 등이 포함된 조립도를 작성 _x000a_▶ 거푸집 조립 시 긴결재, 버팀대 또는 지지대 설치 등 전도방지조치 실행"/>
  </r>
  <r>
    <n v="2"/>
    <x v="2"/>
    <x v="6"/>
    <x v="33"/>
    <s v="YES"/>
    <x v="2"/>
    <x v="3"/>
    <s v="12대 기인물"/>
    <n v="11"/>
    <n v="0.03"/>
    <s v="2020년 10월"/>
    <d v="2020-10-01T00:00:00"/>
    <n v="10"/>
    <s v="-"/>
    <x v="2"/>
    <s v="2020년 10월경 시설물연간유지보수공사 현장의 OO고속도로 내에서 재해자가 비탈면 계단식 옹벽 7단 상부에서 8단 거푸집을 설치하던 중 거푸집과 함께 옹벽 하단부(H:10.5m)로 추락하여 사망"/>
    <s v="거푸집 조립시 구조검토에 의한 조립도 미작성, 거푸집 전도방지조치 미실시한 상태로 비탈면 계단식 옹벽 상부에서 거푸집을 설치하던 중 거푸집이 탈락하여 옹벽 하단부로 추락"/>
    <s v="▶ 거푸집을 설치 할 경우 자중 또는 외력에 의해 넘어지지 않도록 견고한 구조의 버팀대 또는 지지대를 설치 _x000a_▶ 벽체거푸집 조립 시 구조에 대해 자중, 풍하중, 작업하중 등에 의한 수평방향 하중에 대해 구조검토 후 부재의 재질, 간격, 고정방법 등이 포함된 조립도를 작성 _x000a_▶ 거푸집 조립 시 긴결재, 버팀대 또는 지지대 설치 등 전도방지조치 실행"/>
  </r>
  <r>
    <n v="2"/>
    <x v="2"/>
    <x v="6"/>
    <x v="33"/>
    <s v="YES"/>
    <x v="2"/>
    <x v="3"/>
    <s v="12대 기인물"/>
    <n v="11"/>
    <n v="0.03"/>
    <s v="2020년 11월"/>
    <d v="2020-11-01T00:00:00"/>
    <n v="11"/>
    <s v="-"/>
    <x v="2"/>
    <s v="2020년 11월경 OO건설㈜ 공장 신축공사 현장에서 재해자 2명이 2층에서 데크플레이트 설치 작업 중 1층 바닥(H≒3.8m)으로 떨어져 각각 부상"/>
    <s v="추락방지조치 미실시한 상태에서 지하층 기둥 거푸집에 매달려 플랫타이 및 핀 고정작업 중 바닥으로 근로자 추락"/>
    <s v="▶ 기둥 상부 작업 등 추락 위험이 있는 작업은 이동식 비계 등을 이용하여 발판 및 안전난간 등  설치_x000a_▶ 거푸집 조립 작업 등 추락 위험이 있는 장소에서 작업 시 추락방호망, 안전난간 설치, 안전대 착용 등 추락방호조치 실시_x000a_▶ 임시로 난간 등을 해체하여야 하는 경우 비계와 건물 사이에 추락방호망 설치"/>
  </r>
  <r>
    <n v="2"/>
    <x v="2"/>
    <x v="6"/>
    <x v="33"/>
    <s v="YES"/>
    <x v="2"/>
    <x v="3"/>
    <s v="12대 기인물"/>
    <n v="11"/>
    <n v="0.03"/>
    <s v="2020년 12월"/>
    <d v="2020-12-01T00:00:00"/>
    <n v="12"/>
    <s v="혹한기"/>
    <x v="2"/>
    <s v="2020년 12월경 OO건설(주) OO오피스텔신축공사 현장에서 협력업체  소속 재해자가 지상2층 바닥 보 거푸집 설치작업 중 높이 약 3.2m아래 콘크리트바닥으로 떨어져 사망"/>
    <s v="추락방지조치 미실시한 상태에서 지하층 기둥 거푸집에 매달려 플랫타이 및 핀 고정작업 중 바닥으로 근로자 추락"/>
    <s v="▶ 기둥 상부 작업 등 추락 위험이 있는 작업은 이동식 비계 등을 이용하여 발판 및 안전난간 등  설치_x000a_▶ 거푸집 조립 작업 등 추락 위험이 있는 장소에서 작업 시 추락방호망, 안전난간 설치, 안전대 착용 등 추락방호조치 실시_x000a_▶ 임시로 난간 등을 해체하여야 하는 경우 비계와 건물 사이에 추락방호망 설치"/>
  </r>
  <r>
    <n v="2"/>
    <x v="2"/>
    <x v="6"/>
    <x v="33"/>
    <s v="YES"/>
    <x v="2"/>
    <x v="3"/>
    <s v="12대 기인물"/>
    <n v="11"/>
    <n v="0.03"/>
    <s v="2021년 5월경"/>
    <d v="2021-05-01T00:00:00"/>
    <n v="5"/>
    <s v="-"/>
    <x v="2"/>
    <s v="2021년 5월경 (주)OO건설에서 시공 중인 OO신축공사 현장에서, 재해자가 지상 2층 보 거푸집 설치작업 중 3.5m 아래로 추락하여 사망"/>
    <s v="추락방지조치 미실시한 상태에서 지하층 기둥 거푸집에 매달려 플랫타이 및 핀 고정작업 중 바닥으로 근로자 추락"/>
    <s v="▶ 기둥 상부 작업 등 추락 위험이 있는 작업은 이동식 비계 등을 이용하여 발판 및 안전난간 등  설치_x000a_▶ 거푸집 조립 작업 등 추락 위험이 있는 장소에서 작업 시 추락방호망, 안전난간 설치, 안전대 착용 등 추락방호조치 실시_x000a_▶ 임시로 난간 등을 해체하여야 하는 경우 비계와 건물 사이에 추락방호망 설치"/>
  </r>
  <r>
    <n v="2"/>
    <x v="2"/>
    <x v="6"/>
    <x v="33"/>
    <s v="YES"/>
    <x v="2"/>
    <x v="3"/>
    <s v="12대 기인물"/>
    <n v="11"/>
    <n v="0.03"/>
    <s v="2021년 9월경"/>
    <d v="2021-09-01T00:00:00"/>
    <n v="9"/>
    <s v="-"/>
    <x v="2"/>
    <s v="2021년 9월경 OO주상복합 신축공사 현장에서 협력업체 소속 재해자가 지상4층 주차장 우수조 기계실 벽체거푸집(H≒7.2m) 조립 후 긴결재(Flat Tie) 설치 작업 중 바닥(H≒5.5m)으로 떨어져 사망"/>
    <s v="추락방지조치 미실시한 상태에서 지하층 기둥 거푸집에 매달려 플랫타이 및 핀 고정작업 중 바닥으로 근로자 추락"/>
    <s v="▶ 기둥 상부 작업 등 추락 위험이 있는 작업은 이동식 비계 등을 이용하여 발판 및 안전난간 등  설치_x000a_▶ 거푸집 조립 작업 등 추락 위험이 있는 장소에서 작업 시 추락방호망, 안전난간 설치, 안전대 착용 등 추락방호조치 실시_x000a_▶ 임시로 난간 등을 해체하여야 하는 경우 비계와 건물 사이에 추락방호망 설치"/>
  </r>
  <r>
    <n v="2"/>
    <x v="2"/>
    <x v="6"/>
    <x v="33"/>
    <s v="YES"/>
    <x v="2"/>
    <x v="3"/>
    <s v="12대 기인물"/>
    <n v="11"/>
    <n v="0.03"/>
    <s v="2021년 11월"/>
    <d v="2021-11-01T00:00:00"/>
    <n v="11"/>
    <s v="-"/>
    <x v="2"/>
    <s v="2021년 11월경 OO건설㈜ OO빌딩신축공사 현장에서 재해자가 지상2층 바닥 보 거푸집 상부에서 측면거푸집 수정(해체)작업 중 지상1층 바닥(H≒3.6m)으로 떨어져 사망"/>
    <s v="추락방지조치 미실시한 상태에서 지하층 기둥 거푸집에 매달려 플랫타이 및 핀 고정작업 중 바닥으로 근로자 추락"/>
    <s v="▶ 기둥 상부 작업 등 추락 위험이 있는 작업은 이동식 비계 등을 이용하여 발판 및 안전난간 등  설치_x000a_▶ 거푸집 조립 작업 등 추락 위험이 있는 장소에서 작업 시 추락방호망, 안전난간 설치, 안전대 착용 등 추락방호조치 실시_x000a_▶ 임시로 난간 등을 해체하여야 하는 경우 비계와 건물 사이에 추락방호망 설치"/>
  </r>
  <r>
    <n v="2"/>
    <x v="2"/>
    <x v="6"/>
    <x v="8"/>
    <s v="YES"/>
    <x v="2"/>
    <x v="3"/>
    <s v="12대 기인물"/>
    <n v="11"/>
    <n v="0.03"/>
    <s v="2016년 4월경"/>
    <d v="2016-04-01T00:00:00"/>
    <n v="4"/>
    <s v="-"/>
    <x v="2"/>
    <s v="2016년 4월경 OO건설(주)에서 시공하는 도로공사 현장에서 재해자가 교각 1번 코핑 거푸집 해체작업 중 코핑 거푸집이 구조물과 분리되어 재해자가 코핑 거푸집과 함께 바닥으로 떨어져(H≒30m) 사망"/>
    <s v="갱폼 작업시 안전조치사항을 미준수한 상태에서 옥탑층 갱폼 해체작업 중 갱폼이 외벽으로부터 탈락되어 근로자 추락"/>
    <s v="▶ 갱폼을 해체ㆍ인양 작업을 하는 경우 갱폼을 인양장비에 매단 후 작업 실시_x000a_▶ 인양장비에 매달기 전에는 지지 또는 고정철물을 미리 해체하지 않도록 준수 _x000a_▶ 추락위험이 있는 구간에는 추락방호망, 안전난간 설치 또는 및 안전대 착용후 작업"/>
  </r>
  <r>
    <n v="2"/>
    <x v="2"/>
    <x v="6"/>
    <x v="8"/>
    <s v="YES"/>
    <x v="2"/>
    <x v="3"/>
    <s v="12대 기인물"/>
    <n v="11"/>
    <n v="0.03"/>
    <s v="2016년 7월경"/>
    <d v="2016-07-01T00:00:00"/>
    <n v="7"/>
    <s v="혹서기"/>
    <x v="2"/>
    <s v="2016년 7월경 OOOO(주) / OO사면보강공사 현장에서 재해자가 계단식 옹벽 상부에서 거푸집 해체 작업 중  몸의 중심을 잃고 약 7.0m 아래 지상 바닥으로 떨어져 사망"/>
    <s v="추락방지조치 미실시한 상태에서 거푸집 일부 해체작업 중 중심을 잃고 근로자 추락"/>
    <s v="▶ 경사진 바위나 이끼 등 평탄치 않은 곳에서의 작업 시 비계 조립등의 방법으로 작업발판 설치_x000a_▶ 추락위험이 있는 구간에는 추락방호망, 안전난간 설치 또는 및 안전대 착용후 작업"/>
  </r>
  <r>
    <n v="2"/>
    <x v="2"/>
    <x v="6"/>
    <x v="8"/>
    <s v="YES"/>
    <x v="2"/>
    <x v="3"/>
    <s v="12대 기인물"/>
    <n v="11"/>
    <n v="0.03"/>
    <s v="2016년 8월경"/>
    <d v="2016-08-01T00:00:00"/>
    <n v="8"/>
    <s v="혹서기"/>
    <x v="0"/>
    <s v="2016년 8월경 OO건설(주) OO현장에서 재해자가 TETRANEO(방파제 보호블럭) 제작장에서 철제 거푸집 해체작업을 하던 중 해체중이던 거푸집에 깔려 사망"/>
    <s v="낙하 , 붕괴 등 위험조치 미실시한 상태에서 거푸집 해체 작업에서 장선재를 받치고 있던 파이프 서포트의 방향을 조절하던 중 상부 해체 자재가 낙하하여 근로자 가격"/>
    <s v="▶ 거푸집동바리 조립하거나 해체하는 작업 시 낙하에 의한 재해를 방지하기 위해 순차적으로 파이프 써포트를 제거하면서 부분적으로 해체 _x000a_▶ 버팀목을 설치하여 전도 및 낙하물에 의한 사고 예방 조치 실시 _x000a_▶ 해체작업을 하는 장소에는 관계 근로자가 아닌 근로자 출입을 금지 철저"/>
  </r>
  <r>
    <n v="2"/>
    <x v="2"/>
    <x v="6"/>
    <x v="8"/>
    <s v="YES"/>
    <x v="2"/>
    <x v="3"/>
    <s v="12대 기인물"/>
    <n v="11"/>
    <n v="0.03"/>
    <s v="2016년 10월"/>
    <d v="2016-10-01T00:00:00"/>
    <n v="10"/>
    <s v="-"/>
    <x v="2"/>
    <s v="2016년 10월경 OO다가구주택 신축공사 현장에서 재해자가 건물 5층 파라펫 내측 거푸집 해체작업 도중 몸의 균형을 잃고 떨어져 사망"/>
    <s v="추락방지조치 미실시한 상태에서 거푸집 일부 해체작업 중 중심을 잃고 근로자 추락"/>
    <s v="▶ 경사진 바위나 이끼 등 평탄치 않은 곳에서의 작업 시 비계 조립등의 방법으로 작업발판 설치_x000a_▶ 추락위험이 있는 구간에는 추락방호망, 안전난간 설치 또는 및 안전대 착용후 작업"/>
  </r>
  <r>
    <n v="2"/>
    <x v="2"/>
    <x v="6"/>
    <x v="8"/>
    <s v="YES"/>
    <x v="2"/>
    <x v="3"/>
    <s v="12대 기인물"/>
    <n v="11"/>
    <n v="0.03"/>
    <s v="2016년 10월"/>
    <d v="2016-10-01T00:00:00"/>
    <n v="10"/>
    <s v="-"/>
    <x v="6"/>
    <s v="2016년 10월경 개인공장부지공사중 개인이 발주 받아 시공하는 OO 이전 및 부지 내 흙 성토작업 현장에서 근로자가 철근이 정착되지 않고 콘크리트만 타설(양생기간 5일)된 계단(무게 약 1.53ton, 끝단 높이 약 2.4m) 부위의 하부 거푸집을 제거하기 위해 거푸집 동바리를 해체 하던 중 옹벽에 붙어있던 경사 콘크리트 계단이 순간적으로 무너지면서 약 2m아래 하부에서 작업하던 재해자가 무너진 콘크리트계단에 협착 되어 사망"/>
    <s v="콘크리트 붕괴 방지조치를 미실시한 상태에서 계단 하부 거푸집을 제거하기 위해 거푸집 동바리를 해체 하던 중 옹벽에 붙어 있던 경사 콘크리트 계단이 순간적으로 무너지면서 근로자가 무너진 콘크리트계단에 협착"/>
    <s v="▶ 거푸집동바리 조립하거나 해체하는 작업 시 붕괴등의 재해를 방지하기 위해 순차적으로 파이프 써포트를 제거하면서 부분적으로 해체 _x000a_▶ 버팀목을 설치하여 낙하물에 의한 사고 예방 조치 실시 "/>
  </r>
  <r>
    <n v="2"/>
    <x v="2"/>
    <x v="6"/>
    <x v="8"/>
    <s v="YES"/>
    <x v="2"/>
    <x v="3"/>
    <s v="12대 기인물"/>
    <n v="11"/>
    <n v="0.03"/>
    <s v="2017년 7월경"/>
    <d v="2017-07-01T00:00:00"/>
    <n v="7"/>
    <s v="혹서기"/>
    <x v="2"/>
    <s v="2017년 7월경 OO공동주택 신축공사 현장에서 재해자가 옥탑층 갱폼 해체작업 중 갱폼이 외벽으로부터 탈락되어 재해자가 갱폼과 함께 약 67m 아래 지상 콘크리트 바닥으로 떨어져 사망"/>
    <s v="갱폼 작업시 안전조치사항을 미준수한 상태에서 옥탑층 갱폼 해체작업 중 갱폼이 외벽으로부터 탈락되어 근로자 추락"/>
    <s v="▶ 갱폼을 해체ㆍ인양 작업을 하는 경우 갱폼을 인양장비에 매단 후 작업 실시_x000a_▶ 인양장비에 매달기 전에는 지지 또는 고정철물을 미리 해체하지 않도록 준수 _x000a_▶ 추락위험이 있는 구간에는 추락방호망, 안전난간 설치 또는 및 안전대 착용후 작업"/>
  </r>
  <r>
    <n v="2"/>
    <x v="2"/>
    <x v="6"/>
    <x v="8"/>
    <s v="YES"/>
    <x v="2"/>
    <x v="3"/>
    <s v="12대 기인물"/>
    <n v="11"/>
    <n v="0.03"/>
    <s v="2017년 7월경"/>
    <d v="2017-07-01T00:00:00"/>
    <n v="7"/>
    <s v="혹서기"/>
    <x v="2"/>
    <s v="2017년 7월경 (주)OO에서 시공하는 OO공사 현장에서(주)OO소속 재해자가 통합제어실 보 거푸집 해체 작업 중 각재 상부에 올려놓은 거푸집을 밟는 순간 거푸집이 뒤집어지면서 높이 약 4.6m 아래 바닥으로 추락하여 사망"/>
    <s v="작업발판 설치 상태 미흡한 상태에서 보 거푸집 해체 작업 중 각재 상부에 올려놓은 거푸집을 밟는 순간 거푸집이 뒤집어짐에 따라 근로자 추락"/>
    <s v="▶ 추락위험이 있는 구간에는 추락방호망, 안전난간 설치 또는 및 안전대 착용후 작업_x000a_▶ 작업발판 설치시 작업발판이 뒤집어지거나 떨어지지 않도록 견고히 고정"/>
  </r>
  <r>
    <n v="2"/>
    <x v="2"/>
    <x v="6"/>
    <x v="8"/>
    <s v="YES"/>
    <x v="2"/>
    <x v="3"/>
    <s v="12대 기인물"/>
    <n v="11"/>
    <n v="0.03"/>
    <s v="2018년 3월경"/>
    <d v="2018-03-01T00:00:00"/>
    <n v="3"/>
    <s v="-"/>
    <x v="2"/>
    <s v="2018년 3월경 (주)OO건설 OO공원 조성사업 현장에서 재해자가 도교 기초(가로 4.5m × 세로 3.6m × 높이 5m) 측면에서 거푸집(유로폼) 해체 작업 중 바다(수심≒3m)로 추락하여 익사"/>
    <s v="추락방지조치 미실시한 상태에서 거푸집 일부 해체작업 중 중심을 잃고 근로자 추락"/>
    <s v="▶ 경사진 바위나 이끼 등 평탄치 않은 곳에서의 작업 시 비계 조립등의 방법으로 작업발판 설치_x000a_▶ 추락위험이 있는 구간에는 추락방호망, 안전난간 설치 또는 및 안전대 착용후 작업"/>
  </r>
  <r>
    <n v="2"/>
    <x v="2"/>
    <x v="6"/>
    <x v="8"/>
    <s v="YES"/>
    <x v="2"/>
    <x v="3"/>
    <s v="12대 기인물"/>
    <n v="11"/>
    <n v="0.03"/>
    <s v="2018년 7월경"/>
    <d v="2018-07-01T00:00:00"/>
    <n v="7"/>
    <s v="혹서기"/>
    <x v="2"/>
    <s v="2018년 7월경 OO단독주택 신축공사 현장에서, 재해자가 화장실 벽체 거푸집을 해체하기 위해 거푸집 면판 보강재(L 형강)를 밟고 올라가 거푸집 연결핀(Wedge pin, 유로폼 조립용 부속자재)을 제거하던 중, 몸의 중심을 잃고 약 1.0m 아래 콘크리트 바닥으로 떨어져 사망"/>
    <s v="작업발판 미설치한 상태에서 화장실 벽체 거푸집을 해체하기 위해 거푸집 면판 보강재를 밟고 올라가 거푸집 연결핀을 제거하던 중 중심을 잃고 근로자 추락"/>
    <s v="▶ 거푸집 해체작업 시 안전한 작업을 위해 말비계 등 기준에 적합한 작업발판 설치_x000a_▶ 추락위험이 있는 구간에는 추락방호망, 안전난간 설치 또는 및 안전대 착용후 작업"/>
  </r>
  <r>
    <n v="2"/>
    <x v="2"/>
    <x v="6"/>
    <x v="8"/>
    <s v="YES"/>
    <x v="2"/>
    <x v="3"/>
    <s v="12대 기인물"/>
    <n v="11"/>
    <n v="0.03"/>
    <s v="2019년 4월경"/>
    <d v="2019-04-01T00:00:00"/>
    <n v="4"/>
    <s v="-"/>
    <x v="2"/>
    <s v="2019년 4월경 OOOO(주)가 시공하는 고속국도 현장에서 협력업체 소속 재해자가 OO2교 P2 코핑 상부에서 이동식 크레인(110ton)에 매단 좌측 코핑 거푸집 해체 작업 중, 우측 코핑 거푸집이 탈락되면서 높이 약 17.4m에서 떨어져 사망"/>
    <s v="갱폼 작업시 안전조치사항을 미준수한 상태에서 옥탑층 갱폼 해체작업 중 갱폼이 외벽으로부터 탈락되어 근로자 추락"/>
    <s v="▶ 갱폼을 해체ㆍ인양 작업을 하는 경우 갱폼을 인양장비에 매단 후 작업 실시_x000a_▶ 인양장비에 매달기 전에는 지지 또는 고정철물을 미리 해체하지 않도록 준수 _x000a_▶ 추락위험이 있는 구간에는 추락방호망, 안전난간 설치 또는 및 안전대 착용후 작업"/>
  </r>
  <r>
    <n v="2"/>
    <x v="2"/>
    <x v="6"/>
    <x v="8"/>
    <s v="YES"/>
    <x v="2"/>
    <x v="3"/>
    <s v="12대 기인물"/>
    <n v="11"/>
    <n v="0.03"/>
    <s v="2019년 6월경"/>
    <d v="2019-06-01T00:00:00"/>
    <n v="6"/>
    <s v="혹서기"/>
    <x v="0"/>
    <s v="2019년 6월경 (주)OO건설이 시공중인 OO주상복합 현장에서 협력업체  소속 재해자가 지하1층 정화조 관리실 슬래브 거푸집 해체 작업 중, 장선재를 받치고 있던 파이프 써포트의 방향을 조절하던 중, 각재(장선,멍에)가 낙하하여 재해자의 등 부위를 타격하여 사망"/>
    <s v="낙하 , 붕괴 등 위험조치 미실시한 상태에서 지하층 정화조 관리실 슬래브 거푸집 해체 작업에서 장선재를 받치고 있던 파이프 서포트의 방향을 조절하던 중 상부 해체 자재가 낙하하여 근로자 가격"/>
    <s v="▶ 거푸집동바리 조립하거나 해체하는 작업 시 낙하에 의한 재해를 방지하기 위해 순차적으로 파이프 써포트를 제거하면서 부분적으로 해체 _x000a_▶ 버팀목을 설치하여 전도 및 낙하물에 의한 사고 예방 조치 실시 _x000a_▶ 해체작업을 하는 장소에는 관계 근로자가 아닌 근로자 출입을 금지 철저"/>
  </r>
  <r>
    <n v="2"/>
    <x v="2"/>
    <x v="6"/>
    <x v="8"/>
    <s v="YES"/>
    <x v="2"/>
    <x v="3"/>
    <s v="12대 기인물"/>
    <n v="11"/>
    <n v="0.03"/>
    <s v="2019년 6월경"/>
    <d v="2019-06-01T00:00:00"/>
    <n v="6"/>
    <s v="혹서기"/>
    <x v="0"/>
    <s v="2019년 6월경 (주)OO이 시공중인 OO단독주택 현장에서 협력업체 소속 재해자가 지상2층 보 거푸집(0.86m×5.3m, 약 82kg) 해체 작업 중, 떨어지는 보 거푸집에 머리와 상체 등을 맞아 사망"/>
    <s v="낙하 , 붕괴 등 위험조치 미실시한 상태에서 지하층 정화조 관리실 슬래브 거푸집 해체 작업에서 장선재를 받치고 있던 파이프 서포트의 방향을 조절하던 중 상부 해체 자재가 낙하하여 근로자 가격"/>
    <s v="▶ 거푸집동바리 조립하거나 해체하는 작업 시 낙하에 의한 재해를 방지하기 위해 순차적으로 파이프 써포트를 제거하면서 부분적으로 해체 _x000a_▶ 버팀목을 설치하여 전도 및 낙하물에 의한 사고 예방 조치 실시 _x000a_▶ 해체작업을 하는 장소에는 관계 근로자가 아닌 근로자 출입을 금지 철저"/>
  </r>
  <r>
    <n v="2"/>
    <x v="2"/>
    <x v="6"/>
    <x v="8"/>
    <s v="YES"/>
    <x v="2"/>
    <x v="3"/>
    <s v="12대 기인물"/>
    <n v="11"/>
    <n v="0.03"/>
    <s v="2019년 12월"/>
    <d v="2019-12-01T00:00:00"/>
    <n v="12"/>
    <s v="혹한기"/>
    <x v="0"/>
    <s v="2019년 12월경 (주)OO건설이 시공하는 OO현장에서 재해자 2명이 수로암거 내부에서 상부 슬래브 합판거푸집을 해체하던 중 거푸집이 콘크리트면과 분리되어 떨어지면서(H=1.5m) 거푸집 하부에 위치하고 있던 재해자 2명이 협착되어 1명 사망, 1명 부상"/>
    <s v="낙하 , 붕괴 등 위험조치 미실시한 상태에서 지하층 정화조 관리실 슬래브 거푸집 해체 작업에서 장선재를 받치고 있던 파이프 서포트의 방향을 조절하던 중 상부 해체 자재가 낙하하여 근로자 가격"/>
    <s v="▶ 거푸집동바리 조립하거나 해체하는 작업 시 낙하에 의한 재해를 방지하기 위해 순차적으로 파이프 써포트를 제거하면서 부분적으로 해체 _x000a_▶ 버팀목을 설치하여 전도 및 낙하물에 의한 사고 예방 조치 실시 _x000a_▶ 해체작업을 하는 장소에는 관계 근로자가 아닌 근로자 출입을 금지 철저"/>
  </r>
  <r>
    <n v="2"/>
    <x v="2"/>
    <x v="6"/>
    <x v="8"/>
    <s v="YES"/>
    <x v="2"/>
    <x v="3"/>
    <s v="12대 기인물"/>
    <n v="11"/>
    <n v="0.03"/>
    <s v="2020년 1월경"/>
    <d v="2020-01-01T00:00:00"/>
    <n v="1"/>
    <s v="혹한기"/>
    <x v="2"/>
    <s v="2020년 1월경 (주)OO에서 시공하는 OO아파트 신축공사 현장에서 협력업체 소속 재해자가 OO동 옥탑층(지상25층 부위) 외부에 설치된 갱폼을 해체하기 갱폼 내부에서 벽체에 고정된 갱폼 지지용 고정볼트를 해체하고 이동하는 중 갱폼이 벽체와 분리되면서 발생한 개구부로 떨어져 지상 4층 높이의 1단 낙하물방지망(H≒53m)에 충돌 후 지상2층 높이의 캐노피(H≒9m, 총 추락H≒62m)로 추락하여 사망"/>
    <s v="갱폼 작업시 안전조치사항을 미준수한 상태에서 옥탑층 갱폼 해체작업 중 갱폼이 외벽으로부터 탈락되어 근로자 추락"/>
    <s v="▶ 갱폼을 해체ㆍ인양 작업을 하는 경우 갱폼을 인양장비에 매단 후 작업 실시_x000a_▶ 인양장비에 매달기 전에는 지지 또는 고정철물을 미리 해체하지 않도록 준수 _x000a_▶ 추락위험이 있는 구간에는 추락방호망, 안전난간 설치 또는 및 안전대 착용후 작업"/>
  </r>
  <r>
    <n v="2"/>
    <x v="2"/>
    <x v="6"/>
    <x v="8"/>
    <s v="YES"/>
    <x v="2"/>
    <x v="3"/>
    <s v="12대 기인물"/>
    <n v="11"/>
    <n v="0.03"/>
    <s v="2020년 2월경"/>
    <d v="2020-02-01T00:00:00"/>
    <n v="2"/>
    <s v="혹한기"/>
    <x v="0"/>
    <s v="2020년 2월경 OO신축현장에서 재해자가 3층 천정 거푸집 동바리 등을 해체하기 위해 거푸집을 지지하고 있던 강관 동바리를 제거하던 중, 상부에 조립되어 있던 거푸집(폼판넬, 합판, 장선, 멍에 등)이 떨어지면서 그 무게에 의해 강관 동바리가 미끄러져 넘어가 강관 동바리의 상단받침판이 재해자의 이마를 타격하여 사망"/>
    <s v="낙하 , 붕괴 등 위험조치 미실시한 상태에서 지하층 정화조 관리실 슬래브 거푸집 해체 작업에서 장선재를 받치고 있던 파이프 서포트의 방향을 조절하던 중 상부 해체 자재가 낙하하여 근로자 가격"/>
    <s v="▶ 거푸집동바리 조립하거나 해체하는 작업 시 낙하에 의한 재해를 방지하기 위해 순차적으로 파이프 써포트를 제거하면서 부분적으로 해체 _x000a_▶ 버팀목을 설치하여 전도 및 낙하물에 의한 사고 예방 조치 실시 _x000a_▶ 해체작업을 하는 장소에는 관계 근로자가 아닌 근로자 출입을 금지 철저"/>
  </r>
  <r>
    <n v="2"/>
    <x v="2"/>
    <x v="6"/>
    <x v="8"/>
    <s v="YES"/>
    <x v="2"/>
    <x v="3"/>
    <s v="12대 기인물"/>
    <n v="11"/>
    <n v="0.03"/>
    <s v="2020년 3월경"/>
    <d v="2020-03-01T00:00:00"/>
    <n v="3"/>
    <s v="-"/>
    <x v="2"/>
    <s v="2020년 3월경 OO건설(주) OO방파제공사 현장에서 방파제(호안도로) 옹벽 측면 계단 거푸집 일부를 재해자가 해체작업을 하던 중 몸의 중심을 잃고 실족 익사하여 사망"/>
    <s v="추락방지조치 미실시한 상태에서 거푸집 일부 해체작업 중 중심을 잃고 근로자 추락"/>
    <s v="▶ 경사진 바위나 이끼 등 평탄치 않은 곳에서의 작업 시 비계 조립등의 방법으로 작업발판 설치_x000a_▶ 추락위험이 있는 구간에는 추락방호망, 안전난간 설치 또는 및 안전대 착용후 작업"/>
  </r>
  <r>
    <n v="2"/>
    <x v="2"/>
    <x v="6"/>
    <x v="8"/>
    <s v="YES"/>
    <x v="2"/>
    <x v="3"/>
    <s v="12대 기인물"/>
    <n v="11"/>
    <n v="0.03"/>
    <s v="2020년 6월경"/>
    <d v="2020-06-01T00:00:00"/>
    <n v="6"/>
    <s v="혹서기"/>
    <x v="2"/>
    <s v="2020년 6월경 OOOO(주), (주)OOO에서 시공하는 OO공공주택 건설사업 현장에서 협력업체 소속 재해자가 아파트 OO동 옥상층 파라펫(L=10m, H=42cm) 거푸집 해체 작업을 위하여 갱폼 최상부 작업발판 위에서 작업 중 갱폼(2.3톤, 10.6m×3.2m)이 외벽에서 탈락하여 갱폼과 함께 아래로 떨어져(H≒30m) 사망"/>
    <s v="갱폼 작업시 안전조치사항을 미준수한 상태에서 옥탑층 갱폼 해체작업 중 갱폼이 외벽으로부터 탈락되어 근로자 추락"/>
    <s v="▶ 갱폼을 해체ㆍ인양 작업을 하는 경우 갱폼을 인양장비에 매단 후 작업 실시_x000a_▶ 인양장비에 매달기 전에는 지지 또는 고정철물을 미리 해체하지 않도록 준수 _x000a_▶ 추락위험이 있는 구간에는 추락방호망, 안전난간 설치 또는 및 안전대 착용후 작업"/>
  </r>
  <r>
    <n v="2"/>
    <x v="2"/>
    <x v="6"/>
    <x v="8"/>
    <s v="YES"/>
    <x v="2"/>
    <x v="3"/>
    <s v="12대 기인물"/>
    <n v="11"/>
    <n v="0.03"/>
    <s v="2020년 8월경"/>
    <d v="2020-08-01T00:00:00"/>
    <n v="8"/>
    <s v="혹서기"/>
    <x v="2"/>
    <s v="2020년 8월경 OO건설(주)에서 시공하는 OO터널공사 현장에서 협력업체 소속 재해자가 교각 원형 철재거푸집 해체작업 과정에서 원형 철재거푸집에 부착된 수직사다리에서 볼트를 해체하는 순간 몸의 균형을 잃고 약 9.6m 아래 바닥으로 추락하여 사망"/>
    <s v="갱폼 작업시 안전조치사항을 미준수한 상태에서 옥탑층 갱폼 해체작업 중 갱폼이 외벽으로부터 탈락되어 근로자 추락"/>
    <s v="▶ 갱폼을 해체ㆍ인양 작업을 하는 경우 갱폼을 인양장비에 매단 후 작업 실시_x000a_▶ 인양장비에 매달기 전에는 지지 또는 고정철물을 미리 해체하지 않도록 준수 _x000a_▶ 추락위험이 있는 구간에는 추락방호망, 안전난간 설치 또는 및 안전대 착용후 작업"/>
  </r>
  <r>
    <n v="2"/>
    <x v="2"/>
    <x v="6"/>
    <x v="8"/>
    <s v="YES"/>
    <x v="2"/>
    <x v="3"/>
    <s v="12대 기인물"/>
    <n v="11"/>
    <n v="0.03"/>
    <s v="2020년 9월경"/>
    <d v="2020-09-01T00:00:00"/>
    <n v="9"/>
    <s v="-"/>
    <x v="2"/>
    <s v="2020년 9월경 OO공사 현장에서 협력업체 소속 재해자가 방호벽 거푸집 해체 작업 중 약 17m 아래 바닥으로 추락하여 사망"/>
    <s v="추락방지조치 미실시한 상태에서 거푸집 일부 해체작업 중 중심을 잃고 근로자 추락"/>
    <s v="▶ 경사진 바위나 이끼 등 평탄치 않은 곳에서의 작업 시 비계 조립등의 방법으로 작업발판 설치_x000a_▶ 추락위험이 있는 구간에는 추락방호망, 안전난간 설치 또는 및 안전대 착용후 작업"/>
  </r>
  <r>
    <n v="2"/>
    <x v="2"/>
    <x v="6"/>
    <x v="9"/>
    <s v="YES"/>
    <x v="2"/>
    <x v="3"/>
    <s v="12대 기인물"/>
    <n v="11"/>
    <n v="0.03"/>
    <s v="2016년 5월경"/>
    <d v="2016-05-01T00:00:00"/>
    <n v="5"/>
    <s v="-"/>
    <x v="4"/>
    <s v="2016년 5월경 OO다가구주택 현장에서 재해자가 지상 3층 외벽 대형 거푸집(5,010㎜ x 3,200㎜)을 지상 4층으로 인양하던 중 전도되는 대형 거푸집에 깔리며 지상 4층 슬래브 바닥에 돌출되어 있던 수직철근에 머리 부위를 찔려 사망"/>
    <s v="중량물의 취급 작업방법 불량한 상태에서 지상층 외벽 대형 거푸집을 상부층으로 인양하던 중 전도되는 대형 거푸집에 깔리며 상부층 바닥에 돌출되어 있던 수직철근에 머리부위 찔림"/>
    <s v="▶ 중량물 양중작업 시 안전성 확보를 위한 줄걸이 종류별 안전계수(율) 확보 및 줄걸이 방법, 줄걸이 안전성 검토_x000a_▶ 대형 거푸집 패널 조립 시 불량 재료 사용 금지"/>
  </r>
  <r>
    <n v="2"/>
    <x v="2"/>
    <x v="6"/>
    <x v="9"/>
    <s v="YES"/>
    <x v="2"/>
    <x v="3"/>
    <s v="12대 기인물"/>
    <n v="11"/>
    <n v="0.03"/>
    <s v="2016년 11월"/>
    <d v="2016-11-01T00:00:00"/>
    <n v="11"/>
    <s v="-"/>
    <x v="0"/>
    <s v="2016년 11월경 OO건설(주) OO신축공사 현장에서 이동식크레인(50t)으로 2층 거푸집공사용 유로폼 다발(60장)을 1층 도로변에서 벨트로프 줄걸이 2개소를 묶고 들어 올려 운반하던 중 묶음 다발 최상단 모서리 유로폼 1개(10㎏)가 높이 약 4m에서 떨어져 약 2m 거리에서 서포트 등 자재 정리를 하고 서서 쉬고 있던 재해자 얼굴 측면을 가격하여 사망"/>
    <s v="낙하물 방지조치 미실시한 상태에서 이동식크레인으로 거푸집공사용 유로폼 다발 운반 중 유로폼 낙하로 근로자 가격"/>
    <s v="▶ 자재 인양 시 화물경로에 대해 사전에 모든 근로자의 작업 및 출입 통제_x000a_▶ 인양화물 이탈 및 분리 방지를 위해 달포 등을 사용하여 견고히 고정_x000a_▶ 자재인양함 사용"/>
  </r>
  <r>
    <n v="2"/>
    <x v="2"/>
    <x v="6"/>
    <x v="9"/>
    <s v="YES"/>
    <x v="2"/>
    <x v="3"/>
    <s v="12대 기인물"/>
    <n v="11"/>
    <n v="0.03"/>
    <s v="2017년 6월경"/>
    <d v="2017-06-01T00:00:00"/>
    <n v="6"/>
    <s v="혹서기"/>
    <x v="1"/>
    <s v="2017년 6월경, OO건설(주)가 시공하는 OO현장에서 재해자가 강재거푸집을 인양·하역 작업 중 인양용 섬유로프가 파단되면서 낙하하는 강재거푸집에 깔려 사망"/>
    <s v="인양용 자재 관리 불량한 상태에서 강재거푸집을 인양 및 하역 작업 중 인양용 섬유로프가 파단됨에따라 강재거푸집 낙하 연이어 근로자 깔림"/>
    <s v="▶ 작업 전 인양용 섬유로프 점검 및 인양허용하중 이내 사용_x000a_▶ 차량용 건설기계인 굴삭기는 주 용도 외에 사용 금지"/>
  </r>
  <r>
    <n v="2"/>
    <x v="2"/>
    <x v="6"/>
    <x v="9"/>
    <s v="YES"/>
    <x v="2"/>
    <x v="3"/>
    <s v="12대 기인물"/>
    <n v="11"/>
    <n v="0.03"/>
    <s v="2019년 9월경"/>
    <d v="2019-09-01T00:00:00"/>
    <n v="9"/>
    <s v="-"/>
    <x v="2"/>
    <s v="2019년 9월경 OO신축공사 현장에서 재해자가 지상1층 보 거푸집을 설치하기 위하여 보 하부거푸집 상부에 서서 보 측판거푸집 인양작업을 보조하던 중 몸의 중심을 잃고, 지상1층 바닥(H≒2.85m)으로 떨어져 사망"/>
    <s v="추락 방지조치 미실시한 상태에서 지상층 보 거푸집을 설치하기 위해 보 하부거푸집 상부에 서서 보 측판거푸집 인양작업 보조 중 중심을 잃고 근로자 추락"/>
    <s v="▶ 추락 위험 장소에서의 작업 시 작업발판 설치 및 추락방호망 설치_x000a_▶ 추락방호망 설치가 곤란한 경우 안전대 부착설비 설치 및 안전대 착용"/>
  </r>
  <r>
    <n v="2"/>
    <x v="2"/>
    <x v="6"/>
    <x v="9"/>
    <s v="YES"/>
    <x v="2"/>
    <x v="3"/>
    <s v="12대 기인물"/>
    <n v="11"/>
    <n v="0.03"/>
    <s v="2020년 4월경"/>
    <d v="2020-04-01T00:00:00"/>
    <n v="4"/>
    <s v="-"/>
    <x v="2"/>
    <s v="2020년 4월경 (주)OO건설 OOOO신축공사 현장에서 재해자 2인이 지하 2층 보 거푸집 설치를 위해 타워크레인으로 양중한 보 거푸집 위에서 양중 로프를 해체하던 중 로프가 덜 풀어진 상태에서 상승하면서 매달린 보 거푸집이 기울어져 몸의 중심을 잃고 바닥으로 떨어져(H=3.9m) 부상(3개월이상 요양)"/>
    <s v="지하층 보 거푸집 설치를 위해 타워크레인으로 양중한 보 거푸집 위에서 양중 로프를 해제하던 중 로프가 덜 풀어진 상태에서 상승하면서 매달린 보 거푸집이 기울어져 중심을 잃고 근로자 추락 "/>
    <s v="▶ 추락 방지를 위해 안전대 부착설비 설치 및 안전대 착용 등 추락방지조치 실시_x000a_▶ 타워크레인 작업 시 타워크레인마다 작업자와 신호교육을 이수한 신호업무 담당자 각각 배치"/>
  </r>
  <r>
    <n v="2"/>
    <x v="2"/>
    <x v="27"/>
    <x v="52"/>
    <s v="YES"/>
    <x v="2"/>
    <x v="3"/>
    <s v="12대 기인물"/>
    <n v="11"/>
    <n v="0.03"/>
    <s v="2017년 3월경"/>
    <d v="2017-03-01T00:00:00"/>
    <n v="3"/>
    <s v="-"/>
    <x v="2"/>
    <s v="2017년 3월경 (주)OOO OO아파트 현장에서 재해자가 갱폼작업발판 최하단(5단)에서 견출작업 중 작업발판하부 철재 지지물의 용접부가 탈락되면서 발판이 개방되어 4층(H=12.6m) 높이에서 지반으로 떨어져 사망"/>
    <s v="작업발판 등 철재 지지물의 변형ㆍ손상 등 확인이 불량한 상태에서 갱폼작업발판 최하단에서 견출작업 중, 작업발판하부 철재 지지물의 용접부가 탈락되면서 발판이 개방되어 근로자 추락 "/>
    <s v="▶ 추락 위험 장소에서의 작업 시 작업발판 설치 및 추락방호망 설치_x000a_▶ 추락방호망 설치가 곤란한 경우 안전대 부착설비 설치 및 안전대 착용_x000a_▶ 작업 전 철재 지지물의 변형ㆍ손상 등 확인 후 이상유무 점검 실시"/>
  </r>
  <r>
    <n v="2"/>
    <x v="2"/>
    <x v="27"/>
    <x v="52"/>
    <s v="YES"/>
    <x v="2"/>
    <x v="3"/>
    <s v="12대 기인물"/>
    <n v="11"/>
    <n v="0.03"/>
    <s v="2017년 5월경"/>
    <d v="2017-05-01T00:00:00"/>
    <n v="5"/>
    <s v="-"/>
    <x v="0"/>
    <s v="2017년 5월경 아파트 신축공사에서 재해자가 지상 4층에서 타워크레인으로 인양 운반되어온 부재를 받기 위해 유도로프를 잡고서 당기던 중 순간 라운드 슬링이 파단되며 부재가 낙하하여 머리, 어깨 등 맞아 사망"/>
    <s v="타워크레인으로 인양 운반된 R.C.S폼 레일 부재를 받아 내리기 위해 유도로프를 잡아당기는 작업 중 라운드 슬링 파단으로 레일 부재 낙하 후 근로자 타격"/>
    <s v="▶ 줄걸이 작업 시 섬유로프 등과 자재 4변 모퉁이 접촉부에 별도의 완충재를 설치하여 절단 또는 손상 방지_x000a_▶ 타워크레인 작업을 할 경우 작업계획서를 작성하고 작업계획에 맞게 작업실시_x000a_▶ 자재인양 등 중량물 취급작업 시 낙하위험 지역에 대해 근로자 출입 통제"/>
  </r>
  <r>
    <n v="2"/>
    <x v="2"/>
    <x v="27"/>
    <x v="52"/>
    <s v="YES"/>
    <x v="2"/>
    <x v="3"/>
    <s v="12대 기인물"/>
    <n v="11"/>
    <n v="0.03"/>
    <s v="2018년 1월경"/>
    <d v="2018-01-01T00:00:00"/>
    <n v="1"/>
    <s v="혹한기"/>
    <x v="2"/>
    <s v="2018년 1월경 (주)OOO건설에서 시공중인 OO신축공사 현장에서 협력업체 소속 재해자가 OO동 지상44층 외부에 설치된 G.C.S폼(K-06)을 해체하기 위하여 타워크레인의 와이어로프에 G.C.S폼(K-06)을 매달고, 벽체에 고정된 부재를 해체한 후 좌측에 기 설치된 G.C.S폼(K-07)으로 이동한 후 무전기를 이용하여 타워크레인 기사와 신호를 하던 중, 이동중이던 G.C.S폼(K-06)과 재해자가 서있던 G.C.S폼(K-07)이 충돌하며, 기 설치된 G.C.S폼(K-07)이 한쪽으로 기울어졌고, 몸의 중심을 잃은 재해자가 지상1층 바닥(H≒125m)으로 떨어져 사망"/>
    <s v="작업발판 일체형 거푸집의 안전조치 미실시한 상태에서 지상층 외부에 설치된 G.C.S폼을 해체한 후 좌측에 설치된 G.C.S폼으로 이동하여 타워크레인 기사와 신호 중 해체한 폼과 서있던 폼이 충돌하며 서있던 폼이 기울이짐에 따라 중심을 잃고 근로자 추락 "/>
    <s v="▶ G.C.S폼에 설치된 작업발판 끝 등 근로자가 추락할 위험이 있는 장소에는 안전난간을 설치하고, 작업의 필요상 임시로 난간 등을 해체해야 하는 경우 안전방망 설치 실시_x000a_▶ 높은 장소에서 작업 시 근로자에게 안전대를 착용시킨 경우 안전대를 안전하게 걸어 사용할 수 있는 안전대 부착설비 등 설치 실시 "/>
  </r>
  <r>
    <n v="2"/>
    <x v="2"/>
    <x v="27"/>
    <x v="52"/>
    <s v="YES"/>
    <x v="2"/>
    <x v="3"/>
    <s v="12대 기인물"/>
    <n v="11"/>
    <n v="0.03"/>
    <s v="2018년 1월경"/>
    <d v="2018-01-01T00:00:00"/>
    <n v="1"/>
    <s v="혹한기"/>
    <x v="2"/>
    <s v="2018년 1월경 OO건설(주) OO오피스텔 신축공사 현장 지상 15층 바닥 상부에서 갱폼 인양작업 중 재해자가 갱폼 고정줄을 잡고 있다가 갑작스러운 돌풍으로 인하여 갱폼이 날리면서 고정줄을 놓지 못한 재해자가 지상으로 추락(H≒41m)하여 사망"/>
    <s v="중량물취급 작업계획서 미작성한 상태에서 갱폼 인양작업 중 돌풍으로 고정되지 않은 갱폼이 아파트 골조면 외측으로 벗어남에 따라 갱폼 고정용 로프에 근로자의 신체 일부가 걸려서 따라 나가면서 추락"/>
    <s v="▶ 갱폼 등 중량물을 취급하는 작업 시, 돌풍 등 예상치 못한 추락 사고 예방을 위한 안전대책을 수립하고 그 계획에 따라 작업을 진행_x000a_▶ 갱폼 고정용 와이어로프 및 고정용 러그를 견고히 체결 및 설치 후 작업 시행_x000a_▶ 갱폼 인양작업 등 추락위험이 있는 장소에서 작업 시 안전대 부착설비 설치 및 안전대 착용"/>
  </r>
  <r>
    <n v="2"/>
    <x v="2"/>
    <x v="27"/>
    <x v="52"/>
    <s v="YES"/>
    <x v="2"/>
    <x v="3"/>
    <s v="12대 기인물"/>
    <n v="11"/>
    <n v="0.03"/>
    <s v="2018년 3월경"/>
    <d v="2018-03-01T00:00:00"/>
    <n v="3"/>
    <s v="-"/>
    <x v="2"/>
    <s v="2018년 3월경 (주)OO에서 시공하는 OO블럭 현장에서 협력업체 소속 재해자가 갱폼 인양작업중 돌풍이 불어 고정되지 않은 갱폼이 아파트 골조면 외측으로 벗어나자 갱폼 고정용 로프에 신체의 일부가 걸려 딸려 나가면서 지상1층 바닥으로 추락하여 사망"/>
    <s v="중량물취급 작업계획서 미작성한 상태에서 갱폼 인양작업 중 돌풍으로 고정되지 않은 갱폼이 아파트 골조면 외측으로 벗어남에 따라 갱폼 고정용 로프에 근로자의 신체 일부가 걸려서 따라 나가면서 추락"/>
    <s v="▶ 갱폼 등 중량물을 취급하는 작업 시, 돌풍 등 예상치 못한 추락 사고 예방을 위한 안전대책을 수립하고 그 계획에 따라 작업을 진행_x000a_▶ 갱폼 고정용 와이어로프 및 고정용 러그를 견고히 체결 및 설치 후 작업 시행_x000a_▶ 갱폼 인양작업 등 추락위험이 있는 장소에서 작업 시 안전대 부착설비 설치 및 안전대 착용"/>
  </r>
  <r>
    <n v="2"/>
    <x v="2"/>
    <x v="27"/>
    <x v="52"/>
    <s v="YES"/>
    <x v="2"/>
    <x v="3"/>
    <s v="12대 기인물"/>
    <n v="11"/>
    <n v="0.03"/>
    <s v="2018년 6월경"/>
    <d v="2018-06-01T00:00:00"/>
    <n v="6"/>
    <s v="혹서기"/>
    <x v="2"/>
    <s v="2018년 6월경 OO종합건설(주)에서 시공 중인 OO오피스텔 신축공사 현장에서 철근콘크리트공사 협력업체 소속 재해자가 타워파킹(Tower Parking) 내부 갱폼을 16층에서 17층으로 인양하는 과정에서 갱폼 하부 고정볼트 설치를 위해 갱폼 최상부 작업발판위에서 체인블럭으로 미세 조정(인상)작업 중 갱폼 인양고리에 용접된 수직재와 수평재 사이 용접부분이 파단되며, 갱폼과 함께 추락(H≒63m)하여 사망"/>
    <s v="갱폼인양시 추락 방지조치 미실시한 상태에서 지상층에서 갱폼 하부 고정볼트 설치를 위해 갱폼 최상부 작업발판 위에서 체인블럭으로 미세 조정(인양) 중 갱폼 인양고리에 용접된 수직재와 수평재 사이 용접부분의 파단으로 갱폼과 근로자 추락"/>
    <s v="▶ 갱폼 인양 작업 전 연결부 용접상태 및 턴버클의 정상 작동상태 점검_x000a_▶ 갱폼 인양 시 인전 갱폼 등과의 간섭 최소화와 같은 작업 지시 및 실시"/>
  </r>
  <r>
    <n v="2"/>
    <x v="2"/>
    <x v="27"/>
    <x v="52"/>
    <s v="YES"/>
    <x v="2"/>
    <x v="3"/>
    <s v="12대 기인물"/>
    <n v="11"/>
    <n v="0.03"/>
    <s v="2019년 4월경"/>
    <d v="2019-04-01T00:00:00"/>
    <n v="4"/>
    <s v="-"/>
    <x v="6"/>
    <s v="2019년 4월경 (주)OO산업이 시공 중인 OO신축공사 현장에서 협력업체 소속의 갱폼인양 작업자인 재해자가 지상에서 약 36m 높이의 지상7층 외부에 설치되어 있던 갱폼을 8층으로 인양 작업 중 지상1층 바닥으로 떨어져 사망"/>
    <s v="끼임 방지조치 미실시한 상태에서 지상층에서 경사 벨트 컨베이어에서 발생하는 이상 소음 원인 파악을 위해 작동중인 컨베이어의 방호덮개를 해체 후 점검 중 근로자의 왼쪽 팔이 벨트와 드럼사이에 끼임"/>
    <s v="▶ 컨베이어 정비·검사 작업 시 운전 정지 실시_x000a_▶ 장력 유지장치 방호덮개 임의 해체 금지"/>
  </r>
  <r>
    <n v="2"/>
    <x v="2"/>
    <x v="27"/>
    <x v="52"/>
    <s v="YES"/>
    <x v="2"/>
    <x v="3"/>
    <s v="12대 기인물"/>
    <n v="11"/>
    <n v="0.03"/>
    <s v="2019년 4월경"/>
    <d v="2019-04-01T00:00:00"/>
    <n v="4"/>
    <s v="-"/>
    <x v="2"/>
    <s v="2019년 4월경 (주)OO종합건설이 시공중인 OO주상복합 신축공사 현장에서 협력업체 소속 재해자 2명이 지상7층 기계식 주차장 내부에 설치되어 있던 갱폼을 인상하기 위해 타워크레인에 매달기를 하지 않은 채 갱폼 작업발판에 올라가서 갱폼을 지지하고 있는 하부 고정볼트를 해체하던 중, 갱폼과 함께 지하3층 바닥(H≒35.8m)으로 떨어져 1명 사망, 1명 부상"/>
    <s v="추락 방지조치 미실시한 상태에서 지상층 내부에 설치되어 있던 갱폼을 인상하기 위해 타워크레인에 매달기를 하지 않은채 갱폼 작업발판에 올라가서 갱폼을 지지 하부 고정볼트를 해체하던 중, 갱폼과 함께 바닥으로 추락"/>
    <s v="▶ 추락 위험 장소에서의 작업 시 작업발판 설치 및 추락방호망 설치_x000a_▶ 추락방호망 설치가 곤란한 경우 안전대 부착설비 설치 및 안전대 착용"/>
  </r>
  <r>
    <n v="2"/>
    <x v="2"/>
    <x v="27"/>
    <x v="52"/>
    <s v="YES"/>
    <x v="2"/>
    <x v="3"/>
    <s v="12대 기인물"/>
    <n v="11"/>
    <n v="0.03"/>
    <s v="2019년 6월경"/>
    <d v="2019-06-01T00:00:00"/>
    <n v="6"/>
    <s v="혹서기"/>
    <x v="2"/>
    <s v="2019년 6월경 (주)OO건설이 시공 중인 생활형숙박시설 신축공사 현장에서 협력업체 소속 재해자가 12층 주차타워 내벽 갱폼 인상작업 중 인접한 갱폼이 주차타워 내벽에서 탈락하였고, 그 갱폼 작업발판에서 작업대기 중이던 재해자가 갱폼과 함께 주차타워 바닥으로 떨어져(H≒43m) 사망"/>
    <s v="갱폼인양시 추락 방지조치 미실시한 상태에서 지상층 주차타워 내벽 갱폼 인상작업 중 인접 갱폼이 주차타워 내벽에서 탈락하여 해당 갱폼 작업발판에서 작업대기 중이던 근로자 추락"/>
    <s v="▶ 앵커볼트를 일부만 고정할 경우 자중과 작업ㆍ충격 및 풍하중 등에 의해 갱폼의 안전성이 저하되지 않도록 전도방지용 와이어로프를 설치 준수 _x000a_▶ 갱폼의 조립ㆍ해체 시 지지 또는 고정볼트의 이상유무를 수시로 점검하고 이상이 발견될 경우 즉시 교체 실시_x000a_▶ 갱폼 조립ㆍ해체 시 앵커볼트를 견고하게 설치 및 체결 후 작업 실시"/>
  </r>
  <r>
    <n v="2"/>
    <x v="2"/>
    <x v="8"/>
    <x v="11"/>
    <s v="YES"/>
    <x v="2"/>
    <x v="3"/>
    <s v="12대 기인물"/>
    <n v="11"/>
    <n v="0.03"/>
    <s v="2016년 5월경"/>
    <d v="2016-05-01T00:00:00"/>
    <n v="5"/>
    <s v="-"/>
    <x v="2"/>
    <s v="2016년 5월경 ㈜OO OO센터 신축공사 현장의 옥상 단부에서 폭이 10cm 넓혀진 파라펫 거푸집(H=5.3m, L=6.8m)에 콘크리트를 타설하고 재해자가 외부비계에서 상부를 면고르기 하던 중, 파라펫이 건물외부로 전락하여 재해자가 인접한 건물 옥상으로 떨어져(H=13.5m) 사망"/>
    <s v="파라펫 거푸집에 콘크리트를 타설하고 근로자가 외부비계에서 상부를 면고르기 하던 중 파라펫이 건물외부로 전락하여 근로자 추락"/>
    <s v="▶ 설계도면에 적합한 거푸집을 조립하고 안전성 평가 실시 _x000a_▶ 외부비계 고정 벽이음 철물 설치_x000a_▶ 거푸집 변형ㆍ변위 확인 등 관리감독 철저 "/>
  </r>
  <r>
    <n v="2"/>
    <x v="2"/>
    <x v="8"/>
    <x v="11"/>
    <s v="YES"/>
    <x v="2"/>
    <x v="3"/>
    <s v="12대 기인물"/>
    <n v="11"/>
    <n v="0.03"/>
    <s v="2016년 12월"/>
    <d v="2016-12-01T00:00:00"/>
    <n v="12"/>
    <s v="혹한기"/>
    <x v="2"/>
    <s v="2016년 12월경 OO신축 공사(지하 1층, 지상 6층 건물) 현장에서 지상 6층 바닥 콘크리트 타설 작업 중 재해자(형틀목공)가 계단실 쪽 벽체 거푸집 보강 작업을 위해 슬라브 단부에서 벽체 거푸집지지 횡재로 올라서는 중 몸의 중심을 잃고 계단실 돌음계단 내부로 지하1층까지 추락(H≒21m)하여 사망"/>
    <s v="벽체 거푸집 보강 작업을 위해 슬라브 단부에서 거푸집지지 횡재로 올라서는 중 몸의 중심을 잃고 근로자 추락"/>
    <s v="▶ 높이가 2m 이상인 장소에서 거푸집 조립 및 보수 작업 시 비계 등의 조립을 통한 작업발판 설치_x000a_▶ 돌음계단 내부 개구부와 같이 추락위험이 있는 장소에는 추락방망 설치_x000a_▶ 높이 2m 이상의 고소작업 시 안전대 부착설비 설치 및 안전대 착용"/>
  </r>
  <r>
    <n v="2"/>
    <x v="2"/>
    <x v="8"/>
    <x v="11"/>
    <s v="YES"/>
    <x v="2"/>
    <x v="3"/>
    <s v="12대 기인물"/>
    <n v="11"/>
    <n v="0.03"/>
    <s v="2017년 10월"/>
    <d v="2017-10-01T00:00:00"/>
    <n v="10"/>
    <s v="-"/>
    <x v="1"/>
    <s v="2017년 10월 OO교회 신축 현장에서 1층 벽체(길이 6m, 높이 3.8m, 두께 20cm) 콘크리트 타설 중 벽체 거푸집이 무너지면서 벽체 외부 쌍줄비계 작업발판에서 작업 중이던 재해자가 무너지는 거푸집에 깔려 사망(추정)"/>
    <s v="편 하중에 따라 무너질 위험 및 무너짐 방지조치가 미흡한 상태에서 벽체 콘크리트 타설 중 벽체 거푸집이 무너지면서 작업발판에서 작업 중이던 근로자가 깔림"/>
    <s v="▶ 타설시 편하중 미 검토 등 거푸집 무너짐 방지조치 실시 _x000a_▶ 거푸집 지지재의 재료 결함 여부 점검 _x000a_▶ 버팀대 및 버팀줄을 구조적으로 안전하게 설치 "/>
  </r>
  <r>
    <n v="2"/>
    <x v="2"/>
    <x v="8"/>
    <x v="11"/>
    <s v="YES"/>
    <x v="2"/>
    <x v="3"/>
    <s v="12대 기인물"/>
    <n v="11"/>
    <n v="0.03"/>
    <s v=" 2019년 9월"/>
    <d v="2019-09-01T00:00:00"/>
    <n v="9"/>
    <s v="-"/>
    <x v="2"/>
    <s v=" 2019년 9월경 OO(주) 해수욕장 연안정비사업현장의 블록 제작장에서 재해자(형틀목공, 펌프카 운전자) 2명이 거푸집 상부 작업발판 위에서 콘크리트 타설작업 중 거푸집이 순간 기울면서 전도되는 과정에서 지상으로 떨어져 부상"/>
    <s v="근로자가 잠제블록 AI 거푸집 상부 작업발판 위에서 콘크리트 타설작업 중 콘크리트가 유출되면서 거푸집이 순간 기울면서 전도되는 괒어에서 지상으로 추락"/>
    <s v="▶ 거푸집은 외력에 견디거나 넘어지지 않게 버팀대, 긴결재 설치_x000a_▶ 콘크리트 타설작업 시 감시자를 배치하여 거푸집의 변형, 침하, 콘크리트 유출 등 이상이 있을 시 작업 중지 및 근로자 대피"/>
  </r>
  <r>
    <n v="2"/>
    <x v="2"/>
    <x v="8"/>
    <x v="11"/>
    <s v="YES"/>
    <x v="2"/>
    <x v="3"/>
    <s v="12대 기인물"/>
    <n v="11"/>
    <n v="0.03"/>
    <s v="2021년 1월경"/>
    <d v="2021-01-01T00:00:00"/>
    <n v="1"/>
    <s v="혹한기"/>
    <x v="7"/>
    <s v="2021년 1월경 11:10경 OO(주) OO공동주택 신축공사 현장에서 105동 지하주차장 진입구간 램프벽체 콘크리트 타설 작업 중 거푸집이 붕괴되면서 ㈜OO건설 소속 재해자 2명중 붕괴구간 하부에 있었던 재해자(형틀공)가 사망, 비계위에 있었던 재해자(타설공)가 추락하여 부상"/>
    <s v="구조검토가 되지 않은 자재를 사용하여 조립도를 임의로 작성한 상태에서 지하주차장 진입구간 램프벽체 콘크리트 타설 작업 중 거푸집이 붕괴"/>
    <s v="▶ 콘크리트 타설 시 동바리를 설치하는 경우 조립도에 따른 설치방법을 준수하여 동바리 설치_x000a_▶ 콘크리트 타설 시 편심발생을 막기위해 집중타설 금지_x000a_▶ 현장상황에 맞게 동바리 설치를 변경할 경우 사전 구조검토 실시_x000a_▶ 거푸집 동바리 시공 시, 수평변위에 저항할 수 있도록 보강재 설치 및 멍에/장선의 중심선 설치 여부 확인_x000a_▶ 안전인증품 동바리 사용"/>
  </r>
  <r>
    <n v="4"/>
    <x v="4"/>
    <x v="10"/>
    <x v="15"/>
    <s v="YES"/>
    <x v="2"/>
    <x v="3"/>
    <s v="12대 기인물"/>
    <n v="11"/>
    <n v="0.03"/>
    <s v="2021년 1월경"/>
    <d v="2021-01-01T00:00:00"/>
    <n v="1"/>
    <s v="혹한기"/>
    <x v="2"/>
    <s v="2021년 1월경 OO신축공사에서 외벽 미장작업을 위해 15층 갱폼에서 이동 중 작업발판이 해체된 개구부에 빠져 3층 낙하물방지망으로 추락하여(H ≒ 29m) 사망"/>
    <s v="갱폼 작업발판에서 미장·견출작업 또는 작업장소를 이동하던 중 덮개가 설치되지 않은 작업발판 내 개구부로 추락"/>
    <s v="▶ 근로자가 추락할 위험이 있는 장소에서 작업 시 충분한 강도를 가진 덮개 설치 후 개구부임을 표시_x000a_▶ 위험을 미칠 우려가 있는 장소에는 관계 근로자가 아닌 사람의 출입 금지 조치 실시_x000a_▶ 개구부에 난간 등 설치가 어려운 경우 근로자에게 안전대를 착용토록 하고 안전대 부착 설비 설치"/>
  </r>
  <r>
    <n v="5"/>
    <x v="5"/>
    <x v="15"/>
    <x v="45"/>
    <s v="YES"/>
    <x v="2"/>
    <x v="3"/>
    <s v="12대 기인물"/>
    <n v="11"/>
    <n v="0.03"/>
    <s v="2017년 5월경"/>
    <d v="2017-05-01T00:00:00"/>
    <n v="5"/>
    <s v="-"/>
    <x v="0"/>
    <s v="2017년 5월경 OO공사에서 재해자가 전기 입선작업을 위해 창호 개구부를 통해 건물 외부로 이동하던 중 지상 5층 외벽에 설치되어 있던 대형 거푸집 패널의 강관 파이프가 이탈·낙하(약 14.4m)하면서 강관파이프에 머리를 맞고 사망"/>
    <s v="외부 계량기함 전기 입선작업을 위해 건물 외부로 이동하던 중 지상 5층 외벽에 설치되어 있던 대형 거푸집 패널의 강관파이프 이탈 및 낙하로 인한 근로자 타격"/>
    <s v="▶ 낙하물 방지망, 방호선반, 출입금지구역 설정 등 낙하물에 대한 위험방지조치 실시_x000a_▶ 근로자 전용 안전통로 설치"/>
  </r>
  <r>
    <n v="8"/>
    <x v="7"/>
    <x v="25"/>
    <x v="53"/>
    <s v="NO"/>
    <x v="2"/>
    <x v="3"/>
    <s v="12대 기인물"/>
    <n v="11"/>
    <n v="0.03"/>
    <s v="2021년 6월경"/>
    <d v="2021-06-01T00:00:00"/>
    <n v="6"/>
    <s v="혹서기"/>
    <x v="1"/>
    <s v="2021년 6월경 도로 개설공사 현장에서 교각 철제 거푸집에 앵커볼트를 체결하던 도중 철제 거푸집이 전도되어 하부에 깔려 1명 사망, 1명 부상"/>
    <s v="거푸집 설치 작업자가 교각 철제 거푸집에 세트 앵커 볼트를 체결하던 도중 철제 거푸집이 전도되어 철제 거푸집 하부에 깔림"/>
    <s v="▶ 거푸집 설치작업을 하는 경우 거푸집의 자중이나 그밖의 외력을 견딜 수 있도록 와이어로프 또는 단관비계를 이용한 버팀대 등 설치하여 전도방지조치 실시_x000a_▶ 중량물 취급시 전도위험을 예방할 수 있는 안전대책(거푸집 2회 분할조립, 2회 콘크리트 타설, 작업순서 및 방법 등)을 포함한 작업계획서를 구체적으로 작성하고 해당 내용을 근로자에게 전달하여 작업 실시"/>
  </r>
  <r>
    <n v="8"/>
    <x v="7"/>
    <x v="26"/>
    <x v="51"/>
    <s v="NO"/>
    <x v="2"/>
    <x v="3"/>
    <s v="12대 기인물"/>
    <n v="11"/>
    <n v="0.03"/>
    <s v="2018년 1월경"/>
    <d v="2018-01-01T00:00:00"/>
    <n v="1"/>
    <s v="혹한기"/>
    <x v="2"/>
    <s v="2018년 1월경 복선전철 건설공사 현장에서 코핑 강재거푸집 탈형을 위해 줄걸이 작업을 하던 중 강재거푸집이 외벽에서 탈락되어 하부 작업발판을 덮치며 13m 아래 바닥으로 추락하여 1명사망, 부재에 맞아 1명 부상"/>
    <s v="코핑 강재거푸집을 매달지 않은 상태에서 연결철물을 해체하여 외벽에서 탈락되어 하부 피어밴드 작업발판을 덮쳐 근로자가 추락"/>
    <s v="▶ 거푸집을 인양장비에 매달기 전에는 지지 또는 연결철물 해체 금지_x000a_▶ 코핑거푸집 등의 중량물을 취급하는 작업에는 작업지휘자를 지정하고 해당 작업 지휘 조치"/>
  </r>
  <r>
    <n v="1"/>
    <x v="8"/>
    <x v="19"/>
    <x v="26"/>
    <s v="YES"/>
    <x v="3"/>
    <x v="4"/>
    <s v="12대 기인물"/>
    <n v="5"/>
    <n v="4.9000000000000002E-2"/>
    <s v="2017년 9월경"/>
    <d v="2017-09-01T00:00:00"/>
    <n v="9"/>
    <s v="-"/>
    <x v="0"/>
    <s v="2017년 9월경 OO공사에서 화물차에 적재된 공업용수관(L=9.1m)을 지상으로 내리기 위해 굴착기를 이용하여 인양·하역 중 달기체인 부재(커넥트링)이 하중을 버티지 못하고 파손되어 관이 낙하하면서 하부에 있던 재해재가 머리에 맞아 사망"/>
    <s v="굴삭기 붐에 달기체인을 연결한 후 공업용수관의 양단에 훅을 걸어 인양 및 하역하던 중 커넥트링이 하중에 버티지 못하고 파손되어 관이 낙하하여 하부에 있던 재해자가 맞음"/>
    <s v="▶ 중량물 인양시 Sling rope 각도에 따른 안전하중 값을 고려해 줄걸이 안전수칙 준수_x000a_▶ 양중용 달기구의 변형 여부 사전점검 실시_x000a_▶ 자재 인양에 적합한 기계장비 사용"/>
  </r>
  <r>
    <n v="1"/>
    <x v="8"/>
    <x v="19"/>
    <x v="26"/>
    <s v="YES"/>
    <x v="3"/>
    <x v="5"/>
    <s v="12대 기인물"/>
    <n v="12"/>
    <n v="2.3E-2"/>
    <s v="2017년 12월"/>
    <d v="2017-12-01T00:00:00"/>
    <n v="12"/>
    <s v="혹한기"/>
    <x v="2"/>
    <s v="2017년 12월경 OO공사에서 흙막이가시설 1단 버팀대 위에 있는 이동식 화장실을 크레인으로 양중하던 중 양중물이 흔들리면서 주변에 있던 재해자가 양중물에 충돌 후 약 20m 아래 굴착면으로 추락하여 사망"/>
    <s v="흙막이가시설 상부에서 이동식크레인을 이용한 양중작업 중 양중물이 흔들리면서 작업반경 내에 있던 재해자(줄걸이 작업)가 양중물에 충돌 후 추락"/>
    <s v="▶ 중량물 취급 작업 시 근로자 출입 통제 및 유도자 배치_x000a_▶ 중량물 취급시 작업계획서를 사전에 작성하고 관리감독자를 배치하여 작업계획서에 맞게 작업"/>
  </r>
  <r>
    <n v="1"/>
    <x v="8"/>
    <x v="19"/>
    <x v="26"/>
    <s v="YES"/>
    <x v="3"/>
    <x v="4"/>
    <s v="12대 기인물"/>
    <n v="5"/>
    <n v="4.9000000000000002E-2"/>
    <s v="2018년 3월경"/>
    <d v="2018-03-01T00:00:00"/>
    <n v="3"/>
    <s v="-"/>
    <x v="1"/>
    <s v="2018년 3월경 OO공사에서 재해자가 굴착기(0.8㎥)를 운전하여 하천의 보 일부를 파쇄하기 위해 보 본체 물받이공에서 이동 하던 중 굴착기 슈(무한궤도) 한쪽이 물받이공 단부에서 미끄러져 전도되면서 운전석이 물속에 잠겨 익사하여 사망"/>
    <s v="하천의 보 일부를 파쇄하기 위해 물받이공에서 이동 중 굴삭기 무한궤도가 단부에서 미끄러지며 전도되어 재해자가 물속에 잠겨 익사"/>
    <s v="▶ 굴삭기 등 건설기계를 사용하여 하천 내 보 파쇄작업 등을 하는 경우, 수심, 지형 및 지반 등의 상태점검 실시하며 그에 따른 작업경로 및 방법 등의 계획수립_x000a_▶ 굴삭기 등 건설기계를 사용하여 하천 내 보 파쇄작업 등을 하는 경우, 흙탕물 발생 등으로 인해 수심아래 지형을 파악할 수 없는 경우에 대비하여 사전에 웨빙띠를 사용하여 단차가 있는 작업 반경을 표시하고 운전자가 후사경 및 후방카메라 등으로 확인이 가능하도록 조치"/>
  </r>
  <r>
    <n v="1"/>
    <x v="8"/>
    <x v="19"/>
    <x v="27"/>
    <s v="YES"/>
    <x v="3"/>
    <x v="4"/>
    <s v="12대 기인물"/>
    <n v="5"/>
    <n v="4.9000000000000002E-2"/>
    <s v="2013년 12월"/>
    <d v="2013-12-01T00:00:00"/>
    <n v="12"/>
    <s v="혹한기"/>
    <x v="2"/>
    <s v="2013년 12월경 OO공사에서 재해자가 굴착 중이던 굴착기의 버킷에 충돌하여 약 2m 깊이의 굴착 저면으로 추락하여 사망"/>
    <s v="작업중 붐을 회전하는 굴착기의 버킷에 부딪힌 후 굴착저면으로 추락"/>
    <s v="▶ 차량계 건설기계에 의한 작업 시 근로자 출입 통제 및 유도자 배치_x000a_▶ 차량계 건설기계 이동 시 작업경로 및 방법 등의 계획수립_x000a_▶ 차량계 건설기계 작업 시 후방카메라의 작동유무 파악, 후사경 각도 조절 등 운전자의 시야 확보 실시"/>
  </r>
  <r>
    <n v="1"/>
    <x v="8"/>
    <x v="19"/>
    <x v="27"/>
    <s v="YES"/>
    <x v="3"/>
    <x v="4"/>
    <s v="12대 기인물"/>
    <n v="5"/>
    <n v="4.9000000000000002E-2"/>
    <s v="2017년 5월경"/>
    <d v="2017-05-01T00:00:00"/>
    <n v="5"/>
    <s v="-"/>
    <x v="0"/>
    <s v="2017년 5월경 OO공사에서 굴착기를 이용하여 관로 매설작업 후 이동을 위해 붐을 회전하는 순간 주변에 있던 재해자가 굴착기 붐에 머리를 맞아 사망"/>
    <s v="작업 중 이동을 위해 회전하는 굴착기의 붐에 머리를 맞음"/>
    <s v="▶ 차량계 건설기계에 의한 작업 시 근로자 출입 통제 및 유도자 배치_x000a_▶ 차량계 건설기계 이동 시 작업경로 및 방법 등의 계획수립_x000a_▶ 차량계 건설기계 작업 시 후방카메라의 작동유무 파악, 후사경 각도 조절 등 운전자의 시야 확보 실시"/>
  </r>
  <r>
    <n v="1"/>
    <x v="8"/>
    <x v="19"/>
    <x v="27"/>
    <s v="YES"/>
    <x v="3"/>
    <x v="4"/>
    <s v="12대 기인물"/>
    <n v="5"/>
    <n v="4.9000000000000002E-2"/>
    <s v="2017년 11월"/>
    <d v="2017-11-01T00:00:00"/>
    <n v="11"/>
    <s v="-"/>
    <x v="6"/>
    <s v="2017년 11월경 OO공사에서 상수도관 접합을 위해 굴착기가 터파기 경사면에서 이동하던 중 전도되면서 하부에서 작업준비를 하던 재해자가 굴착기 블레이드(삽날)에 끼어 사망"/>
    <s v="굴착기가 굴착사면에서 이동 중 전도되면서 하부에서 작업 중이던 재해자가 굴착기 블레이드에 끼임"/>
    <s v="▶ 차량계 건설기계 전도 방지를 위해 유도자 배치 및 지반의 침하방지 등의 조치 실시_x000a_▶ 해당 작업장의 지형∙지반 및 지층 상태 등에 대한 사전조사 실시"/>
  </r>
  <r>
    <n v="1"/>
    <x v="8"/>
    <x v="19"/>
    <x v="27"/>
    <s v="YES"/>
    <x v="3"/>
    <x v="4"/>
    <s v="12대 기인물"/>
    <n v="5"/>
    <n v="4.9000000000000002E-2"/>
    <s v="2019년 3월경"/>
    <d v="2019-03-01T00:00:00"/>
    <n v="3"/>
    <s v="-"/>
    <x v="1"/>
    <s v="2019년 3월경 OO공사에서 재해자가 도로 청소작업 중 굴착작업을 위해 주행하는 굴착기 바퀴에 깔려 사망"/>
    <s v="작업 중 후진하는 굴착기에 부딪힌 후 뒷바퀴에 깔림"/>
    <s v="▶ 차량계 건설기계에 의한 작업 시 근로자 출입 통제 및 유도자 배치_x000a_▶ 차량계 건설기계 이동 시 작업경로 및 방법 등의 계획수립_x000a_▶ 차량계 건설기계 작업 시 후방카메라의 작동유무 파악, 후사경 각도 조절 등 운전자의 시야 확보 실시"/>
  </r>
  <r>
    <n v="1"/>
    <x v="8"/>
    <x v="19"/>
    <x v="27"/>
    <s v="YES"/>
    <x v="3"/>
    <x v="4"/>
    <s v="12대 기인물"/>
    <n v="5"/>
    <n v="4.9000000000000002E-2"/>
    <s v="2020년 3월경"/>
    <d v="2020-03-01T00:00:00"/>
    <n v="3"/>
    <s v="-"/>
    <x v="6"/>
    <s v="2020년 3월경 OO공사에서 재해자가 굴착기를 운전하여 이동하던 중 굴착기가 전도되어 굴착기와 농로(콘크리트 포장도로) 바닥 사이에 끼어 사망"/>
    <s v="굴착기를 운전하여 이동 중 전도되면서 굴착기와 농로 바닥사이에 끼임"/>
    <s v="▶ 차량계 건설기계 전도 방지를 위해 유도자 배치 및 지반의 침하방지 등의 조치 실시_x000a_▶ 해당 작업장의 지형∙지반 및 지층 상태 등에 대한 사전조사 실시"/>
  </r>
  <r>
    <n v="1"/>
    <x v="8"/>
    <x v="19"/>
    <x v="27"/>
    <s v="YES"/>
    <x v="3"/>
    <x v="4"/>
    <s v="12대 기인물"/>
    <n v="5"/>
    <n v="4.9000000000000002E-2"/>
    <s v="2021년 4월경"/>
    <d v="2021-04-01T00:00:00"/>
    <n v="4"/>
    <s v="-"/>
    <x v="1"/>
    <s v="2021년 4월경 OO공사에서 재해자가 전력케이블 지중화 작업 중 후진하는 굴착기(0.6㎥)에 부딪친 후 우측 뒷바퀴에 깔려 사망"/>
    <s v="작업 중 후진하는 굴착기에 부딪힌 후 뒷바퀴에 깔림"/>
    <s v="▶ 차량계 건설기계에 의한 작업 시 근로자 출입 통제 및 유도자 배치_x000a_▶ 차량계 건설기계 이동 시 작업경로 및 방법 등의 계획수립_x000a_▶ 차량계 건설기계 작업 시 후방카메라의 작동유무 파악, 후사경 각도 조절 등 운전자의 시야 확보 실시"/>
  </r>
  <r>
    <n v="1"/>
    <x v="8"/>
    <x v="19"/>
    <x v="27"/>
    <s v="YES"/>
    <x v="3"/>
    <x v="4"/>
    <s v="12대 기인물"/>
    <n v="5"/>
    <n v="4.9000000000000002E-2"/>
    <s v="2021년 5월경"/>
    <d v="2021-05-01T00:00:00"/>
    <n v="5"/>
    <s v="-"/>
    <x v="1"/>
    <s v="2021년 5월경 OO공사에서 하천 준설작업을 위해 재해자가 굴착기를 운전하여 하천으로 이동하던 중 대전차 저지 장애물 덮개가 함몰되면서 굴착기가 전도되어 물에 빠져 익사로 사망"/>
    <s v="굴착기에 탑승하여 하천으로 이동하던 중 대전차 저지 장애물 덮개가 함몰되면서 굴착기가 전도되어 물에 빠져 익사"/>
    <s v="▶ 준설작업구간 주변으로 굴삭기가 이동할 경우 지반 세굴 등에 의해 굴삭기가 넘어질 가능성이 있어 유도자 배치하여 세굴 등이 없는 곳으로 이동 조치_x000a_▶ 세굴 발생위험이 있는 구간에는 접근하지 않도록 깃발을 꽂아 접근금지 표시 등 전도방지조치 실시"/>
  </r>
  <r>
    <n v="1"/>
    <x v="8"/>
    <x v="19"/>
    <x v="54"/>
    <s v="YES"/>
    <x v="3"/>
    <x v="6"/>
    <s v="12대 기인물"/>
    <n v="9"/>
    <n v="3.4000000000000002E-2"/>
    <s v="2016년 4월경"/>
    <d v="2016-04-01T00:00:00"/>
    <n v="4"/>
    <s v="-"/>
    <x v="1"/>
    <s v="2016년 4월경 OO공사에서 재해자가 작업준비을 위한 이동 중 토사반출을 위해 진입하던 덤프트럭에 깔려 사망"/>
    <s v="작업장소를 이동하던 중 진입하던 덤프트럭에 부딪힌 후 깔림"/>
    <s v="▶ 차량계 건설기계 작업시 근로자 출입 통제 및 장비에 부딪칠 위험이 없는 장소에 유도자 배치 _x000a_▶ 덤프트럭 운전자 간 명확한 신호방법 설정 및 신호수의 안전한 배치 위치 등을 준수 하에 유도업무 수행_x000a_▶ 후방카메라 설치 등 장비에 의한 접촉방지조치 실행_x000a_▶ 작업장 내 안전한 근로자 통행로 설치"/>
  </r>
  <r>
    <n v="1"/>
    <x v="8"/>
    <x v="19"/>
    <x v="54"/>
    <s v="YES"/>
    <x v="3"/>
    <x v="4"/>
    <s v="12대 기인물"/>
    <n v="5"/>
    <n v="4.9000000000000002E-2"/>
    <s v="2016년 7월경"/>
    <d v="2016-07-01T00:00:00"/>
    <n v="7"/>
    <s v="혹서기"/>
    <x v="1"/>
    <s v="2016년 7월경 OO공사에서 굴착기를 이용하여 CIP 천공 배출토사를 정리하던 중 굴착기 후방을 지나던 재해자가 굴착기 오른쪽 궤도에 끼어 사망"/>
    <s v="작업장소 이동 중 전〮후진을 반복하며 배출토사를 정리하던 굴착기에 깔림"/>
    <s v="▶ 차량계 건설기계 전담 신호수 또는 유도자를 배치하여 작업반경 내에 근로자의 출입을 통제함 _x000a_▶ 굴삭기 후사경, 후방카메라, 후방감지장치 등 방호장치 설치"/>
  </r>
  <r>
    <n v="1"/>
    <x v="8"/>
    <x v="19"/>
    <x v="54"/>
    <s v="YES"/>
    <x v="3"/>
    <x v="7"/>
    <s v="해당없음"/>
    <s v="해당없음"/>
    <s v="해당없음"/>
    <s v="2017년 2월경"/>
    <d v="2017-02-01T00:00:00"/>
    <n v="2"/>
    <s v="혹한기"/>
    <x v="0"/>
    <s v="2017년 2월경 OO공사에서 재해자가 지반개량장비 해체작업으로 롯드 연결핀을 제거하기 위해 하부 밴드위에서 상승하던 중  달기체인에 고정되어 있던 상부밴드가 떨어지면서 맞아 사망"/>
    <s v="지반개량장비 해체작업으로 롯드 연결 핀을 제거하기 위해 하부밴드 위에서 상승하던 중 달기체인에 고정되어 있던 상부밴드가 낙하하여 맞음"/>
    <s v="▶ 상부밴드 낙하 등으로 근로자에게 위험을 미칠 우려가 있는 장소에 출입금지하고 작업발판 설치 후 작업 실시_x000a_▶ 차량계 건설기계 해체작업 시 안전조치 하기 위해 안전지주 또는 안전블록 등 설치"/>
  </r>
  <r>
    <n v="1"/>
    <x v="8"/>
    <x v="19"/>
    <x v="54"/>
    <s v="YES"/>
    <x v="3"/>
    <x v="5"/>
    <s v="12대 기인물"/>
    <n v="12"/>
    <n v="2.3E-2"/>
    <s v="2017년 3월경"/>
    <d v="2017-03-01T00:00:00"/>
    <n v="3"/>
    <s v="-"/>
    <x v="1"/>
    <s v="2017년 3월경 OO공사에서 재해자가 굴착 바닥면에서 집수정 양수기를 점검 후 올라오기 위해 이동하던 중 상부에서 내려오던 토사 양중용 버킷에 깔려 사망"/>
    <s v="작업장소 이동 중 지상에서 하강하는 크램쉘 버켓에 깔림"/>
    <s v="▶ 차량계 건설기계 사용 시 유도자 배치 후 인원 통제 실시_x000a_▶ 차량계 건설기계를 사용하는 작업 전 작업장 상태에 관한 사전조사 실시"/>
  </r>
  <r>
    <n v="1"/>
    <x v="8"/>
    <x v="19"/>
    <x v="54"/>
    <s v="YES"/>
    <x v="3"/>
    <x v="7"/>
    <s v="해당없음"/>
    <s v="해당없음"/>
    <s v="해당없음"/>
    <s v="2017년 8월경"/>
    <d v="2017-08-01T00:00:00"/>
    <n v="8"/>
    <s v="혹서기"/>
    <x v="1"/>
    <s v="2017년 8월경 OO공사에서 재해자가 지하 6층(GL=-28.0m)에서 숏크리트 압송 배관 정리 작업을 하며 이동하던 중 지상에서 하강하는 크램쉘 버켓(1.68x1.4x1.25m, 1.2ton)에 깔려 사망"/>
    <s v="작업장소 이동 중 지상에서 하강하는 크램쉘 버켓에 깔림"/>
    <s v="▶ 차량계 건설기계 사용 시 유도자 배치 후 인원 통제 실시_x000a_▶ 차량계 건설기계를 사용하는 작업 전 작업장 상태에 관한 사전조사 실시"/>
  </r>
  <r>
    <n v="1"/>
    <x v="8"/>
    <x v="19"/>
    <x v="54"/>
    <s v="YES"/>
    <x v="3"/>
    <x v="6"/>
    <s v="12대 기인물"/>
    <n v="9"/>
    <n v="3.4000000000000002E-2"/>
    <s v="2017년 10월"/>
    <d v="2017-10-01T00:00:00"/>
    <n v="10"/>
    <s v="-"/>
    <x v="1"/>
    <s v="2017년 10월경 OO공사에서 재해자가 현장 내 제방 진입도로(농로)에서  일반차량 진입을 통제하던 중 후진하는 덤프트럭에 부딪혀 사망"/>
    <s v="작업 중 후진하는 덤프트럭에 부딪힌 후 깔림"/>
    <s v="▶ 차량계 건설기계 작업시 근로자 출입 통제 및 장비에 부딪칠 위험이 없는 장소에 유도자 배치 _x000a_▶ 덤프트럭 운전자 간 명확한 신호방법 설정 및 신호수의 안전한 배치 위치 등을 준수 하에 유도업무 수행_x000a_▶ 후방카메라 설치 등 장비에 의한 접촉방지조치 실행_x000a_▶ 작업장 내 안전한 근로자 통행로 설치"/>
  </r>
  <r>
    <n v="1"/>
    <x v="8"/>
    <x v="19"/>
    <x v="54"/>
    <s v="YES"/>
    <x v="3"/>
    <x v="6"/>
    <s v="12대 기인물"/>
    <n v="9"/>
    <n v="3.4000000000000002E-2"/>
    <s v="2017년 11월"/>
    <d v="2017-11-01T00:00:00"/>
    <n v="11"/>
    <s v="-"/>
    <x v="1"/>
    <s v="2017년 11월경 OO공사에서 재해자가 현장 내 가설도로를 이동하던 중 토사반출을 위해 주행하던 덤프트럭(25.5ton)에 부딪혀 사망"/>
    <s v="작업장소를 이동하던 중 진입하던 덤프트럭에 부딪힌 후 깔림"/>
    <s v="▶ 차량계 건설기계 작업시 근로자 출입 통제 및 장비에 부딪칠 위험이 없는 장소에 유도자 배치 _x000a_▶ 덤프트럭 운전자 간 명확한 신호방법 설정 및 신호수의 안전한 배치 위치 등을 준수 하에 유도업무 수행_x000a_▶ 후방카메라 설치 등 장비에 의한 접촉방지조치 실행_x000a_▶ 작업장 내 안전한 근로자 통행로 설치"/>
  </r>
  <r>
    <n v="1"/>
    <x v="8"/>
    <x v="19"/>
    <x v="54"/>
    <s v="YES"/>
    <x v="3"/>
    <x v="4"/>
    <s v="12대 기인물"/>
    <n v="5"/>
    <n v="4.9000000000000002E-2"/>
    <s v="2017년 12월"/>
    <d v="2017-12-01T00:00:00"/>
    <n v="12"/>
    <s v="혹한기"/>
    <x v="2"/>
    <s v="2017년 12월경 OO공사에서 재해자가 복공판 위에서 토사 상차 중이던 굴착기 후미에 부딪쳐 그 충격으로 복공판 하부 8.0M 아래 굴착면으로 추락하여 사망"/>
    <s v="복공판 위에서 토사 상차작업 중 회전하는 굴착기 후미에 부딪힌 후 복공판 하부로 추락"/>
    <s v="▶ 차량계 건설기계 전담 신호수 또는 유도자를 배치하여 작업반경 내에 근로자의 출입을 통제함 _x000a_▶ 굴삭기 후사경, 후방카메라, 후방감지장치 등 방호장치 설치"/>
  </r>
  <r>
    <n v="1"/>
    <x v="8"/>
    <x v="19"/>
    <x v="54"/>
    <s v="YES"/>
    <x v="3"/>
    <x v="6"/>
    <s v="12대 기인물"/>
    <n v="9"/>
    <n v="3.4000000000000002E-2"/>
    <s v="2018년 1월경"/>
    <d v="2018-01-01T00:00:00"/>
    <n v="1"/>
    <s v="혹한기"/>
    <x v="2"/>
    <s v="2018년 1월경 OO공사에서 덤프트럭(41.7ton)을 운전하여 비포장도로(폭≒8m)를 올라가던 중 덤프트럭이 전복되면서 약 35m아래 비포장도로로 추락하여 사망"/>
    <s v="상차작업을 위해 덤프트럭 운전원이 비포장도로를 올라가던 중 미상의 이유로 전복되면서 차량과 함께 추락"/>
    <s v="▶ 차량운행 중 넘어지거나 굴러 떨어질 위험이 있는 운행구간에서 차량 유도자를 배치하여 전복사고 예방_x000a_▶ 덤프트럭 하역작업 시 차량 전도 등 비상사태를 예방하기 위해 안전벨트 등 보호구 상시 착용"/>
  </r>
  <r>
    <n v="1"/>
    <x v="8"/>
    <x v="19"/>
    <x v="54"/>
    <s v="YES"/>
    <x v="3"/>
    <x v="6"/>
    <s v="12대 기인물"/>
    <n v="9"/>
    <n v="3.4000000000000002E-2"/>
    <s v="2018년 8월경"/>
    <d v="2018-08-01T00:00:00"/>
    <n v="8"/>
    <s v="혹서기"/>
    <x v="2"/>
    <s v="2018년 8월경 OO공사에서 덤프트럭(25.5ton)을 운전하여 토사반출 작업 중 현장 출입구를 나와 인근 외부도로에 정차 후 적재함 위에 올라가 덮개를 점검하다가 도로 바닥으로 추락(약 2.55m)하여 사망"/>
    <s v="덤프트럭을 정차 후 적재함에 올라가 덮개를 점검하다가 실족하여 바닥으로 추락"/>
    <s v="▶ 불안정한 자세 등으로 무리하게 수리, 점검작업 금지_x000a_▶ 점검 전 추락 위험 방지 조치 실시 _x000a_▶ 차량계 건설기계 운전자가 운전위치 이탈 시 브레이크 또는 고임목 설치 등 차량 이탈 방지를 위한 조치 실시"/>
  </r>
  <r>
    <n v="1"/>
    <x v="8"/>
    <x v="19"/>
    <x v="54"/>
    <s v="YES"/>
    <x v="3"/>
    <x v="6"/>
    <s v="12대 기인물"/>
    <n v="9"/>
    <n v="3.4000000000000002E-2"/>
    <s v="2018년 8월경"/>
    <d v="2018-08-01T00:00:00"/>
    <n v="8"/>
    <s v="혹서기"/>
    <x v="1"/>
    <s v="2018년 8월경 OO공사에서 재해자가 현장 출입구에서 토사반출 차량을 유도하던 중 도로에서 우회전하여 현장으로 진입하던 덤프트럭에 부딪혀 사망"/>
    <s v="진출 차량을 유도하던 중 우회전하여 진입하는 덤프트럭에 깔림"/>
    <s v="▶ 차량계 건설기계 작업시 근로자 출입 통제 및 장비에 부딪칠 위험이 없는 장소에 유도자 배치 _x000a_▶ 덤프트럭 운전자 간 명확한 신호방법 설정 및 신호수의 안전한 배치 위치 등을 준수 하에 유도업무 수행_x000a_▶ 후방카메라 설치 등 장비에 의한 접촉방지조치 실행_x000a_▶ 작업장 내 안전한 근로자 통행로 설치"/>
  </r>
  <r>
    <n v="1"/>
    <x v="8"/>
    <x v="19"/>
    <x v="54"/>
    <s v="YES"/>
    <x v="3"/>
    <x v="6"/>
    <s v="12대 기인물"/>
    <n v="9"/>
    <n v="3.4000000000000002E-2"/>
    <s v="2018년 10월"/>
    <d v="2018-10-01T00:00:00"/>
    <n v="10"/>
    <s v="-"/>
    <x v="6"/>
    <s v="2018년 10월경 OO공사에서 재해자가 사토지에서 덤프트럭을 정차하고 운전석에서 내려 대기하던 중 트럭이 밀리면서 내려오는 덤프트럭과 정차 중인 덤프트럭 사이에 머리가 끼어 사망"/>
    <s v="덤프트럭 운전원이 정차 후 주차 브레이크를 작동하지 않고 하자한 상태에서 트럭이 밀리는 것을 인지하고 후방에 있던 다른 차량과의 충돌을 막기 위해 트럭 뒷편으로 이동하다가 두 차량 사이에 끼임   "/>
    <s v="▶ 차량계 건설기계 운전원이 운전위치 이탈 시 브레이크 또는 고임목 설치 등 차량 이탈 방지를 위한 조치 실시_x000a_▶ 차량계 건설기계를 경사로에 주차하는 경우 핸드(주차) 브레이크와 풋 브레이크를 함께 사용_x000a_▶ 차량계 건설기계가 경사로로 밀려 내러가는 경우, 무리하게 인력으로 차량을 막아서는 행위 금지"/>
  </r>
  <r>
    <n v="1"/>
    <x v="8"/>
    <x v="19"/>
    <x v="54"/>
    <s v="YES"/>
    <x v="3"/>
    <x v="6"/>
    <s v="12대 기인물"/>
    <n v="9"/>
    <n v="3.4000000000000002E-2"/>
    <s v="2018년 11월"/>
    <d v="2018-11-01T00:00:00"/>
    <n v="11"/>
    <s v="-"/>
    <x v="1"/>
    <s v="2018년 11월경 OO공사에서 재해자가 현장 출입구에서 도로 측으로 덤프트럭을 유도하던 중 재해자 위치를 인지하지 못하고 우회전하는 덤프트럭에 깔려 사망"/>
    <s v="덤프트럭 전면부에서 도로측으로 유도하던 중 유도자 위치를 인지하지 못하고 우회전하는 덤프트럭에 낄림"/>
    <s v="▶ 차량계 건설기계 작업시 근로자 출입 통제 및 장비에 부딪칠 위험이 없는 장소에 유도자 배치 _x000a_▶ 덤프트럭 운전자 간 명확한 신호방법 설정 및 신호수의 안전한 배치 위치 등을 준수 하에 유도업무 수행_x000a_▶ 후방카메라 설치 등 장비에 의한 접촉방지조치 실행_x000a_▶ 작업장 내 안전한 근로자 통행로 설치"/>
  </r>
  <r>
    <n v="1"/>
    <x v="8"/>
    <x v="19"/>
    <x v="54"/>
    <s v="YES"/>
    <x v="3"/>
    <x v="4"/>
    <s v="12대 기인물"/>
    <n v="5"/>
    <n v="4.9000000000000002E-2"/>
    <s v="2019년 5월경"/>
    <d v="2019-05-01T00:00:00"/>
    <n v="5"/>
    <s v="-"/>
    <x v="6"/>
    <s v="2019년 5월경 OO공사에서 재해자가 덤프트럭을 정차한 후 트럭뒷문 주변에 남아있는 잔여 토사를 제거하던 중 굴착기가 덤프트럭 쪽으로 후진하면서 그 사이에 끼어 사망"/>
    <s v="덤프트럭 후면에서 트럭점검 중 후진하는 굴삭기와 덤프트럭 사이에 끼임 "/>
    <s v="▶ 차량계 건설기계 전담 신호수 또는 유도자를 배치하여 작업반경 내에 근로자의 출입을 통제함 _x000a_▶ 굴삭기 후사경, 후방카메라, 후방감지장치 등 방호장치 설치"/>
  </r>
  <r>
    <n v="1"/>
    <x v="8"/>
    <x v="19"/>
    <x v="54"/>
    <s v="YES"/>
    <x v="3"/>
    <x v="6"/>
    <s v="12대 기인물"/>
    <n v="9"/>
    <n v="3.4000000000000002E-2"/>
    <s v="2020년 7월경"/>
    <d v="2020-07-01T00:00:00"/>
    <n v="7"/>
    <s v="혹서기"/>
    <x v="6"/>
    <s v="2020년 7월경 OO공사에서 저수지 내 임시물막이 접속구간 진입로 개설작업 중 재해자가 토사하차를 위해 덤프트럭을 후진하다가 뒷바퀴 부근의 토사가 무너지면서 저수지 내부로 굴러떨어져 차량에 끼어 사망"/>
    <s v="덤프트럭을 후진하던 중 뒷바퀴 부위의 토사가 붕괴되어 저수지로 굴러 떨어져 협착"/>
    <s v="▶ 차량계 건설기계의 전도방지를 위한 유도자 배치, 침하방지 등 조치 실시_x000a_▶ 침하 위험이 있는 구역은 접근금지표시, 방지턱, 스토퍼 설치"/>
  </r>
  <r>
    <n v="1"/>
    <x v="8"/>
    <x v="19"/>
    <x v="54"/>
    <s v="YES"/>
    <x v="3"/>
    <x v="4"/>
    <s v="12대 기인물"/>
    <n v="5"/>
    <n v="4.9000000000000002E-2"/>
    <s v="2020년 12월"/>
    <d v="2020-12-01T00:00:00"/>
    <n v="12"/>
    <s v="혹한기"/>
    <x v="1"/>
    <s v="2020년 12월경 OO공사에서 재해자가 토사운반 중이던 굴착기 주변에서 삽으로 토사(뻘) 잔재물을 정리하던 중 후진하던 굴착기에 깔려 사망"/>
    <s v="작업 중 후진하는 굴착기에 깔림"/>
    <s v="▶ 차량계 건설기계 전담 신호수 또는 유도자를 배치하여 작업반경 내에 근로자의 출입을 통제함 _x000a_▶ 굴삭기 후사경, 후방카메라, 후방감지장치 등 방호장치 설치"/>
  </r>
  <r>
    <n v="1"/>
    <x v="8"/>
    <x v="19"/>
    <x v="54"/>
    <s v="YES"/>
    <x v="3"/>
    <x v="6"/>
    <s v="12대 기인물"/>
    <n v="9"/>
    <n v="3.4000000000000002E-2"/>
    <s v="2021년 2월경"/>
    <d v="2021-02-01T00:00:00"/>
    <n v="2"/>
    <s v="혹한기"/>
    <x v="6"/>
    <s v="2021년 2월경 OO공사에서 재해자가 토사 하차과정을 확인하던 중 후진하던 굴착기와 정차한 덤프트럭 후방 사이에 끼어 사망"/>
    <s v="덤프트럭 후면에서 토사 하차를 확인하던 중 후진하는 굴착기와 덤프트럭 사이에 끼임 "/>
    <s v="▶ 차량계 건설기계 작업시 근로자 출입 통제 및 장비에 부딪칠 위험이 없는 장소에 유도자 배치 _x000a_▶ 덤프트럭 운전자 간 명확한 신호방법 설정 및 신호수의 안전한 배치 위치 등을 준수 하에 유도업무 수행_x000a_▶ 후방카메라 설치 등 장비에 의한 접촉방지조치 실행_x000a_▶ 작업장 내 안전한 근로자 통행로 설치"/>
  </r>
  <r>
    <n v="1"/>
    <x v="8"/>
    <x v="19"/>
    <x v="54"/>
    <s v="YES"/>
    <x v="3"/>
    <x v="6"/>
    <s v="12대 기인물"/>
    <n v="9"/>
    <n v="3.4000000000000002E-2"/>
    <s v="2021년 4월경"/>
    <d v="2021-04-01T00:00:00"/>
    <n v="4"/>
    <s v="-"/>
    <x v="1"/>
    <s v="2021년 4월경 OO공사에서 재해자가 토사 반출차량 유도 및 운반송장 회수 작업 중 후진하는 덤프트럭 우측 후미부에 충돌 후 뒷바퀴에 깔려 사망"/>
    <s v="작업 중 후진하는 덤프트럭에 부딪힌 후 깔림"/>
    <s v="▶ 차량계 건설기계 작업시 근로자 출입 통제 및 장비에 부딪칠 위험이 없는 장소에 유도자 배치 _x000a_▶ 덤프트럭 운전자 간 명확한 신호방법 설정 및 신호수의 안전한 배치 위치 등을 준수 하에 유도업무 수행_x000a_▶ 후방카메라 설치 등 장비에 의한 접촉방지조치 실행_x000a_▶ 작업장 내 안전한 근로자 통행로 설치"/>
  </r>
  <r>
    <n v="1"/>
    <x v="8"/>
    <x v="19"/>
    <x v="54"/>
    <s v="YES"/>
    <x v="3"/>
    <x v="6"/>
    <s v="12대 기인물"/>
    <n v="9"/>
    <n v="3.4000000000000002E-2"/>
    <s v="2021년 11월"/>
    <d v="2021-11-01T00:00:00"/>
    <n v="11"/>
    <s v="-"/>
    <x v="6"/>
    <s v="2021년 11월경 OO공사에서 재해자가 적재함 확인을 위해 덤프트럭을 정차한 후 적재함 하부로 상체를 진입시켜 점검하던 중 적재함이 불시에 하강하면서 그 사이에 끼어 사망"/>
    <s v="작업 중 덤프트럭 적재함 이상여부 확인을 위해 적재함 하부에 상체를 넣어 점검하던 중 적재함이 불시에 하강하면서 그 사이에 끼임"/>
    <s v="▶ 적재함 하부 유압장치 등을 점검할 경우, 적재함에 적재된 토사 등을 제거한 후 점검_x000a_▶ 불안정한 자세 등으로 무리하게 수리, 점검작업 금지_x000a_▶ 차량계 건설기계 운전자가 운전위치 이탈 시 브레이크 또는 고임목 설치 등 차량 이탈 방지를 위한 조치 실시"/>
  </r>
  <r>
    <n v="1"/>
    <x v="8"/>
    <x v="19"/>
    <x v="54"/>
    <s v="YES"/>
    <x v="3"/>
    <x v="6"/>
    <s v="12대 기인물"/>
    <n v="9"/>
    <n v="3.4000000000000002E-2"/>
    <s v="2021년 11월"/>
    <d v="2021-11-01T00:00:00"/>
    <n v="11"/>
    <s v="-"/>
    <x v="2"/>
    <s v="2021년 11월경 OO공사에서 재해자가 야적장에서 토사를 내리기 위해 적재함을 상승한 상태에서 덤프트럭(25톤, 17m3)이 무게중심을 잃고 보조석 쪽으로 넘어지면서 재해자가 운전석에서 추락하여 사망"/>
    <s v="토사 야적을 위해 덤프트럭 적재함을 들어올리는 순간 지면의 경사 및 차량의 판스프링 구조 등에 의해 무게중심이 한쪽으로 쏠리면서 트럭이 전도되어 운전석에서 추락"/>
    <s v="▶ 차량운행 중 넘어지거나 굴러 떨어질 위험이 있는 운행구간에서 차량 유도자를 배치하여 전복사고 예방_x000a_▶ 덤프트럭 하역작업 시 차량 전도 등 비상사태를 예방하기 위해 안전벨트 등 보호구 상시 착용"/>
  </r>
  <r>
    <n v="1"/>
    <x v="8"/>
    <x v="28"/>
    <x v="55"/>
    <s v="YES"/>
    <x v="3"/>
    <x v="4"/>
    <s v="12대 기인물"/>
    <n v="5"/>
    <n v="4.9000000000000002E-2"/>
    <s v="2016년 1월경"/>
    <d v="2016-01-01T00:00:00"/>
    <n v="1"/>
    <s v="혹한기"/>
    <x v="1"/>
    <s v="2016년 1월경 문화집회시설 신축공사에서 재해자가 작업 준비작업을 하던 중 후진하면서 자재 운반중인 굴착기에 치여 사망"/>
    <s v="시야가 미확보된 상태에서 후진하던 차량계 건설기계에 주변 근로자가 깔림"/>
    <s v="▶ 차량계 건설기계 작업계획서를 사전에 작성하고 관리감독자를 배치하여 작업계획서에 맞게 작업_x000a_▶ 굴삭기 이용 작업 시 후방경고시스템 설치를 권고하여 사고를 예방함_x000a_▶ 차량계 건설기계 접촉을 방지하기 위해 근로자 출입금지 및 신호수(유도자)를 배치함"/>
  </r>
  <r>
    <n v="1"/>
    <x v="8"/>
    <x v="28"/>
    <x v="55"/>
    <s v="YES"/>
    <x v="3"/>
    <x v="4"/>
    <s v="12대 기인물"/>
    <n v="5"/>
    <n v="4.9000000000000002E-2"/>
    <s v="2016년 7월경"/>
    <d v="2016-07-01T00:00:00"/>
    <n v="7"/>
    <s v="혹서기"/>
    <x v="3"/>
    <s v="2016년 7월경 배수로 건설현장에서 재해자가 작업을 위해 대기하던 중 자재 이동하던 굴착기의 체인블록의 후크에서 자재가 탈락하여 맞아 사망"/>
    <s v="해지장치가 불량한 체인블록 후크에서 자재가 이탈하여 근로자에게 낙하"/>
    <s v="▶ 중량물 취급 작업 시 근로자 출입 통제 및 유도자 배치_x000a_▶ 중량물 취급시 작업계획서를 사전에 작성하고 관리감독자를 배치하여 작업계획서에 맞게 작업"/>
  </r>
  <r>
    <n v="1"/>
    <x v="8"/>
    <x v="28"/>
    <x v="55"/>
    <s v="YES"/>
    <x v="3"/>
    <x v="5"/>
    <s v="12대 기인물"/>
    <n v="12"/>
    <n v="2.3E-2"/>
    <s v="2020년 1월경"/>
    <d v="2020-01-01T00:00:00"/>
    <n v="1"/>
    <s v="혹한기"/>
    <x v="3"/>
    <s v="2020년 1월경 지하차도 건설공사 현장에서 재해자가 이동하던 중 이동식크레인으로 인양하던 PS띠장이 이탈되면서 맞아 사망"/>
    <s v="해지장치가 불량한 체인블록 후크에서 자재가 이탈하여 근로자에게 낙하"/>
    <s v="▶ 흙막이 지보공 해체 등 중량물 취급 작업 시 근로자 출입 통제 및 유도자 배치_x000a_▶ 중량물 취급시 작업계획서를 사전에 작성하고 관리감독자를 배치하여 작업계획서에 맞게 작업"/>
  </r>
  <r>
    <n v="1"/>
    <x v="8"/>
    <x v="28"/>
    <x v="56"/>
    <s v="YES"/>
    <x v="3"/>
    <x v="4"/>
    <s v="12대 기인물"/>
    <n v="5"/>
    <n v="4.9000000000000002E-2"/>
    <s v="2016년 10월"/>
    <d v="2016-10-01T00:00:00"/>
    <n v="10"/>
    <s v="-"/>
    <x v="3"/>
    <s v="2016년 10월경 배수관 정비공사 현장에서 재해자가 흙막이 가시설 설치 작업 중 굴착기로 인양하던 H형강이 이탈되면서 머리를 가격당해 사망"/>
    <s v="해지장치가 불량한 체인블록 후크에서 자재가 이탈하여 근로자에게 낙하"/>
    <s v="▶ 중량물 인양시 작업순서 및 방법, 사용장비, 인양물 탈락방지 및 근로자 출입금지 관련 작업계획서 작성_x000a_▶ 중량물 취급 작업 시 근로자 출입 통제 및 유도자 배치"/>
  </r>
  <r>
    <n v="1"/>
    <x v="8"/>
    <x v="28"/>
    <x v="56"/>
    <s v="YES"/>
    <x v="3"/>
    <x v="5"/>
    <s v="12대 기인물"/>
    <n v="12"/>
    <n v="2.3E-2"/>
    <s v="2017년 2월경"/>
    <d v="2017-02-01T00:00:00"/>
    <n v="2"/>
    <s v="혹한기"/>
    <x v="8"/>
    <s v="2017년 2월경 주상복합 신축공사 현장에서 재해자가 흙막이 가시설 6단 띠장 지지용 브라켓을 용접하기 위해 굴착 토사 반출위치(크램쉘 버킷 수직 이동구간) 흙막이 벽체 쪽으로 이동중 하강중이던 크램쉘 버킷에 깔려 사망"/>
    <s v="시야가 미확보된 상태에서 회전하는 차량계 건설기계 붐대에 충돌"/>
    <s v="▶ 차량계 건설기계 작업을 하는 경우 작업지휘자 지정 및 안전한 작업 지휘_x000a_▶ 차량계 건설기계를 사용하여 작업하는 경우 장비와 근로자가 부딪힐 위험이 있는 장소에는 근로자 출입 통제 및 유도자 배치"/>
  </r>
  <r>
    <n v="1"/>
    <x v="8"/>
    <x v="28"/>
    <x v="56"/>
    <s v="YES"/>
    <x v="3"/>
    <x v="8"/>
    <s v="해당없음"/>
    <s v="해당없음"/>
    <s v="해당없음"/>
    <s v="2017년 2월경"/>
    <d v="2017-02-01T00:00:00"/>
    <n v="2"/>
    <s v="혹한기"/>
    <x v="0"/>
    <s v="2017년 2월경 오피스텔 신축공사 현장에서 재해자가 차수공 천공 주입 중 천공장비 상부 리더에 부착되어 있던 로프걸이용 도르레가 30m 낙하하여 맞아 사망"/>
    <s v="천공장비 상부 리더에 부착되어 있건 로프걸이용 도르레가 파단되어 낙하하여 운전중이던 근로자가 맞음"/>
    <s v="▶ 차량계 건설기계 사용에 따른 작업계획서 작성 및 작업지휘자 지정 _x000a_▶ 작업 전 재료∙기구의 결함 유무를 점검하고 불량품 제거 후 작업 실시"/>
  </r>
  <r>
    <n v="1"/>
    <x v="8"/>
    <x v="28"/>
    <x v="56"/>
    <s v="YES"/>
    <x v="3"/>
    <x v="8"/>
    <s v="해당없음"/>
    <s v="해당없음"/>
    <s v="해당없음"/>
    <s v="2017년 2월경"/>
    <d v="2017-02-01T00:00:00"/>
    <n v="2"/>
    <s v="혹한기"/>
    <x v="3"/>
    <s v="2017년 2월경 호텔 신축현장에서 재해자가 흙막이 가시설인 쉬트파일의 항타작업을 위해 지반에 세워진 쉬트파일 수직도를 조정한 후 쐐기 설치를 하려는 순간 크롤러 크레인의 와이어로프에 매달려 있던 바이브로 해머를 쉬트파일에 물리는 과정에서 바이브로 해머가 약 10mn 아래로 낙하되어 맞아 사망"/>
    <s v="크레인의 와이어 로프에 매달려있던 바이브로 해머가 운전 조작방법 미숙 등으로 낙하"/>
    <s v="▶ 중량물 인양시 작업순서 및 방법, 사용장비, 인양물 탈락방지 및 근로자 출입금지 관련 작업계획서 작성_x000a_▶ 중량물 취급 작업 시 근로자 출입 통제 및 유도자 배치"/>
  </r>
  <r>
    <n v="1"/>
    <x v="8"/>
    <x v="28"/>
    <x v="56"/>
    <s v="YES"/>
    <x v="3"/>
    <x v="4"/>
    <s v="12대 기인물"/>
    <n v="5"/>
    <n v="4.9000000000000002E-2"/>
    <s v="2019년 3월경"/>
    <d v="2019-03-01T00:00:00"/>
    <n v="3"/>
    <s v="-"/>
    <x v="8"/>
    <s v="2019년 3월경 도시철도 건설현장에서 재해자가 수직구 굴착바닥으로 이동하던 중 토사 상차를 위해 상부에서 하강하던 크램쉘의 버킷에 충돌하여 사망"/>
    <s v="시야가 미확보된 상태에서 회전하는 차량계 건설기계 붐대에 충돌"/>
    <s v="▶ 차량계 건설기계 작업을 하는 경우 작업지휘자 지정 및 안전한 작업 지휘_x000a_▶ 차량계 건설기계를 사용하여 작업하는 경우 장비와 근로자가 부딪힐 위험이 있는 장소에는 근로자 출입 통제 및 유도자 배치"/>
  </r>
  <r>
    <n v="1"/>
    <x v="8"/>
    <x v="28"/>
    <x v="56"/>
    <s v="YES"/>
    <x v="3"/>
    <x v="4"/>
    <s v="12대 기인물"/>
    <n v="5"/>
    <n v="4.9000000000000002E-2"/>
    <s v="2020년 7월경"/>
    <d v="2020-07-01T00:00:00"/>
    <n v="7"/>
    <s v="혹서기"/>
    <x v="0"/>
    <s v="2020년 7월경 하수처리시설 건설공사 현장에서 재해자가 흙막이 가시설 6단 띠장 용접작업 중 지상에서 면고르기 작업하던 굴착기의 버킷이 탈락으로 낙하되어 맞아 사망"/>
    <s v="굴삭기 버켓과 철재 플레이트의 용접작업 중 버켓이 굴착 사면 하부로 굴러내려가 흙막이가시설 6단 띠장 홈메우기 용접작업 중이던 재해자를 강타"/>
    <s v="▶ 차량계 건설기계의 수리나 부속장치의 장착 및 제거작업을 하는 경우 작업지휘자 지정 및 안전한 작업 지휘_x000a_▶ 차량계 건설기계를 사용하여 작업하는 경우 장비와 근로자가 부딪힐 위험이 있는 장소에는 근로자 출입 통제 및 유도자 배치"/>
  </r>
  <r>
    <n v="1"/>
    <x v="8"/>
    <x v="28"/>
    <x v="57"/>
    <s v="YES"/>
    <x v="3"/>
    <x v="5"/>
    <s v="12대 기인물"/>
    <n v="12"/>
    <n v="2.3E-2"/>
    <s v="2017년 5월경"/>
    <d v="2017-05-01T00:00:00"/>
    <n v="5"/>
    <s v="-"/>
    <x v="2"/>
    <s v="2017년 5월경 OO타워 신축공사 현장에서 재해자가 1단 버팀대 위에 서서 3단 띠장 해체 신호를 하는 중 떨어진 중간말뚝에 맞아 몸의 균형을 잃고 기계실 하부(H≒9.0m) 콘크리트 바닥으로 추락하여 사망"/>
    <s v="안전대를 착용하지 않고 버팀보 위를 이동 중 근로자가 균형을 잃고 굴착저면으로 추락"/>
    <s v="▶ 추락위험이 있는 장소에서 작업 시 안전난간이나 추락방호망을 설치_x000a_▶ 추락위험이 있는 장소에서 작업 시 안전대를 지급하고 착용한 상태에서 작업 실시"/>
  </r>
  <r>
    <n v="1"/>
    <x v="8"/>
    <x v="28"/>
    <x v="57"/>
    <s v="YES"/>
    <x v="3"/>
    <x v="4"/>
    <s v="12대 기인물"/>
    <n v="5"/>
    <n v="4.9000000000000002E-2"/>
    <s v="2019년 7월경"/>
    <d v="2019-07-01T00:00:00"/>
    <n v="7"/>
    <s v="혹서기"/>
    <x v="8"/>
    <s v="2019년 7월경 아파트 신축공사현장에서 재해자가 흙막이지보공 파일을 인발하기 위해 굴삭기 무한궤도에 묻어 있는 흙을 제거한 후 이동 중 후진하는 굴삭기의 무한궤도에 깔려 사망"/>
    <s v="시야가 확보되지 않은 상태로 후진중인 굴삭기에 주변 근로자가 충돌"/>
    <s v="▶ 건설기계와 근로자 접촉방지를 위해 신호수 또는 유도자를 배치한 후 이동, 접촉에 위험이 있는 장소는 인원을 통제_x000a_▶ 굴삭기 후방감지센서, 후방카메라, 경보장치 등 설치 및 정상 작동여부 확인_x000a_▶ 장비동선과 근로자 안전통로를 구분하여 운영"/>
  </r>
  <r>
    <n v="1"/>
    <x v="8"/>
    <x v="20"/>
    <x v="58"/>
    <s v="YES"/>
    <x v="3"/>
    <x v="4"/>
    <s v="12대 기인물"/>
    <n v="5"/>
    <n v="4.9000000000000002E-2"/>
    <s v="2015년 4월경"/>
    <d v="2015-04-01T00:00:00"/>
    <n v="4"/>
    <s v="-"/>
    <x v="0"/>
    <s v="2015년 4월경 OO정비공사 현장에서 재해자가 굴삭기로 시트파일 적재를 보조하던 중, 고리걸이 훅에 설치된 단기 와이어로프가 이탈되면서 시트파일(약 300kg)에 머리와 복부 등을 맞아 사망"/>
    <s v="기초 파일 자재를 굴삭기를 이용하여 이동시키던 중 와이어로프가 훅으로부터 이탈되면서 철판에 맞음"/>
    <s v="▶ 차량계 건설기계 작업시 근로자 출입 통제 및 유도자 배치_x000a_▶ 중량물 취급시 작업계획서를 사전에 작성하고 관리감독자를 배치하여 작업계획서에 맞게 작업_x000a_▶ 중량물 인양 시 외줄달기 지양 및 중량물취급 안전작업방법(두줄걸이) 준수"/>
  </r>
  <r>
    <n v="1"/>
    <x v="8"/>
    <x v="20"/>
    <x v="58"/>
    <s v="YES"/>
    <x v="3"/>
    <x v="5"/>
    <s v="12대 기인물"/>
    <n v="12"/>
    <n v="2.3E-2"/>
    <s v="2016년 3월경"/>
    <d v="2016-03-01T00:00:00"/>
    <n v="3"/>
    <s v="-"/>
    <x v="3"/>
    <s v="2016년 3월경 OO건설 아울렛 신축공사 현장에서 재해자 등 3명이 기초보강 마이크로파일 설치작업 중 마이크로파일이 지중에 걸려 이를 빼내기 위하여 무리하게 작업하는 과정에서 마이크로 파일을 들고 있던 로더크레인(카고크레인)의 턴테이블이 파손되어 붐대가 지면으로 떨어지면서 밑에서 작업 중이던 재해자가 맞아 사망"/>
    <s v="기초보강 마이크로파일 설치작업 중 지중에 걸린 파일을 무리하게 인양하여 로더크레인의 턴테이블 파손으로 붐대가 지면으로 낙하"/>
    <s v="▶ 중량물 인양 시 과부하방지장치의 경보가 울리는 경우 인양작업 중단 또는 분할하여 작업 수행 _x000a_▶ 지중에 지장물 등으로 작업이 중단될 경우 무리한 단독작업 금지_x000a_▶ 중량물 인양 시 크레인을 차량엔진 반대방향으로 설치하여 차량의 엔진부가 카운터웨이트 역할을 하도록 설치"/>
  </r>
  <r>
    <n v="1"/>
    <x v="8"/>
    <x v="20"/>
    <x v="58"/>
    <s v="YES"/>
    <x v="3"/>
    <x v="4"/>
    <s v="12대 기인물"/>
    <n v="5"/>
    <n v="4.9000000000000002E-2"/>
    <s v="2016년 4월경"/>
    <d v="2016-04-01T00:00:00"/>
    <n v="4"/>
    <s v="-"/>
    <x v="1"/>
    <s v="2016년 4월경 OO(주)에서 시공 중인 업무시설 신축공사 현장에서 재해자는 굴삭기의 훅에 슬링벨트를 걸어 인양·운반 작업 중이던 천공기의 완충기(약 1ton)가 흔들리지 않도록 직접 손으로 잡고 운반하던 중, 굴삭기의 버킷(약 420kg)이 떨어져(H≒2.2m) 깔려 사망"/>
    <s v="굴삭기의 훅에 슬링벨트를 걸어 인양 및 운반 작업 중 안전핀이 설치되지 않은 굴삭기의 버킷이 떨어져 하부에 있던 근로자가 깔림"/>
    <s v="▶ 차량계 건설기계의 주 용도에 맞게 사용하는지 확인_x000a_▶ 중량물 인양 작업 시 두 군데 이상 결속하여 부재의 흔들림 및 이탈 방지"/>
  </r>
  <r>
    <n v="1"/>
    <x v="8"/>
    <x v="20"/>
    <x v="58"/>
    <s v="YES"/>
    <x v="3"/>
    <x v="4"/>
    <s v="12대 기인물"/>
    <n v="5"/>
    <n v="4.9000000000000002E-2"/>
    <s v="2016년 4월경"/>
    <d v="2016-04-01T00:00:00"/>
    <n v="4"/>
    <s v="-"/>
    <x v="0"/>
    <s v="2016년 4월경 OO건설(주) OO 주상복합 개발사업 중 토목공사 현장에서 협력업체 OO(주) 소속의 재해자가 굴삭기 훅에서 이탈된 천공기 전도방지용 철판(6.25m×2.45m×0.015m, 무게 약 1.8t)에 머리를 맞아 사망"/>
    <s v="기초 파일 자재를 굴삭기를 이용하여 이동시키던 중 와이어로프가 훅으로부터 이탈되면서 철판에 맞음"/>
    <s v="▶ 차량계 건설기계 작업시 근로자 출입 통제 및 유도자 배치_x000a_▶ 중량물 취급시 작업계획서를 사전에 작성하고 관리감독자를 배치하여 작업계획서에 맞게 작업_x000a_▶ 중량물 인양 시 외줄달기 지양 및 중량물취급 안전작업방법(두줄걸이) 준수"/>
  </r>
  <r>
    <n v="1"/>
    <x v="8"/>
    <x v="20"/>
    <x v="58"/>
    <s v="YES"/>
    <x v="3"/>
    <x v="5"/>
    <s v="12대 기인물"/>
    <n v="12"/>
    <n v="2.3E-2"/>
    <s v="2016년 4월경"/>
    <d v="2016-04-01T00:00:00"/>
    <n v="4"/>
    <s v="-"/>
    <x v="2"/>
    <s v="2016년 4월경 OO(주) 항타기 자재 야적장에서 재해자(비계  보조공)가 케이싱 더미 속에 있던 케이싱을 빼내기 위해, 위에 놓인 케이싱(외경 : 540~600㎜, 길이 : 7.4m)을 인양하던 중 회전하던 케이싱 비트 부분에 왼쪽 가슴을 강타 당하여 약 2.2m 아래 케이싱으로 추락하여 사망 "/>
    <s v="자재 야적장에서 케이싱을 인양하여 유도작업을 하던 중 회전하던 케이싱 비트에 맞아 아래로 추락"/>
    <s v="▶ 작업 시작 전 사용 장비의 안전장치(와이어로프 등) 설치 및 작동상태 확인_x000a_▶ 중량물 인양 시 중량물이 작업자의 머리 위로 통과하지 않도록 통제_x000a_▶ 중량물 인양 시 인양을 유도하기 위한 보조로프 사용 "/>
  </r>
  <r>
    <n v="1"/>
    <x v="8"/>
    <x v="20"/>
    <x v="58"/>
    <s v="YES"/>
    <x v="3"/>
    <x v="8"/>
    <s v="해당없음"/>
    <s v="해당없음"/>
    <s v="해당없음"/>
    <s v="2016년 7월경"/>
    <d v="2016-07-01T00:00:00"/>
    <n v="7"/>
    <s v="혹서기"/>
    <x v="6"/>
    <s v="2016년 7월경 OO공장 신축공사 현장에서 지면이 견고하지 못한 상태에서 항타기를 다른 작업지점으로 이동하는 과정에서 항타기의 균형유지 등을 위하여 이동 할 지면에 깔아놓을 무게3ton 철판(깔판)을 항타기에 부착된 인양장치를 이용 인양하는 중에 보조 작업자인 재해자가 후크를 완전히 고정하지 않은 상태에서 인양 중에 철판이 고리에서 탈락하면서 재해자를 덮쳐 철판과 지면 사이에서 협착하여 사망"/>
    <s v="항타기 이동을 위해 항타기에 부착되어 있는 인양장치를 이용하여 철판을 인양하던 중 후크를 완전히 고정하지 않아 철판이 탈락하여 근로자를 덮쳐 철판과 지면사이에 협착"/>
    <s v="▶ 차량계 건설기계 작업시 근로자 출입 통제 및 유도자 배치_x000a_▶ 중량물 취급시 작업계획서를 사전에 작성하고 관리감독자를 배치하여 작업계획서에 맞게 작업_x000a_▶ 중량물 인양 시 외줄달기 지양 및 중량물취급 안전작업방법(두줄걸이) 준수"/>
  </r>
  <r>
    <n v="1"/>
    <x v="8"/>
    <x v="20"/>
    <x v="58"/>
    <s v="YES"/>
    <x v="3"/>
    <x v="8"/>
    <s v="해당없음"/>
    <s v="해당없음"/>
    <s v="해당없음"/>
    <s v="2017년 9월경"/>
    <d v="2017-09-01T00:00:00"/>
    <n v="9"/>
    <s v="-"/>
    <x v="1"/>
    <s v="2017년 9월경 ㈜OO건설 OO 신축공사 현장에서 항타기를 사용하여 자재함을 지면에 내려놓는 작업 중 장비신호수인 재해자가 자재함에 깔려 사망"/>
    <s v="항타기 리더에 와이어로프를 부착하여 자재함을 인양하여 지면에 내려놓는 작업 중 장비신호수가 자재함에 깔림"/>
    <s v="▶ 차량계 건설기계 작업시 근로자 출입 통제 및 유도자 배치_x000a_▶ 중량물 취급시 작업계획서를 사전에 작성하고 관리감독자를 배치하여 작업계획서에 맞게 작업_x000a_▶ 중량물 인양 시 외줄달기 지양 및 중량물취급 안전작업방법(두줄걸이) 준수"/>
  </r>
  <r>
    <n v="1"/>
    <x v="8"/>
    <x v="20"/>
    <x v="58"/>
    <s v="YES"/>
    <x v="3"/>
    <x v="4"/>
    <s v="12대 기인물"/>
    <n v="5"/>
    <n v="4.9000000000000002E-2"/>
    <s v="2017년 10월"/>
    <d v="2017-10-01T00:00:00"/>
    <n v="10"/>
    <s v="-"/>
    <x v="8"/>
    <s v="2017년 10월경 OO건설에서 시공중인 OO설치공사 현장에서 OO건설 소속 재해자가 바지선에 적재된 강관파일(지름≒0.5m, L≒14.3m, 무게≒2톤)을 굴삭기(06W)를 이용하여 하역작업을 하기위해 와이어로프를 연결한 후 바지선 상부에 서있던 중 굴삭기에 의해 끌려오던 강관파일이 측면으로 구르며 서있던 재해자와 1차 충돌 후 재해자와 함께 바다 바닥(H≒3.5m)으로 떨어져 사망"/>
    <s v="바지선에 적재된 강관파일을 굴삭기를 이용하여 하역 중 굴삭기에 의해 끌려오던 강관파일이 측면으로 구르며 부딪힘"/>
    <s v="▶ 차량계 건설기계 작업시 근로자 출입 통제 및 유도자 배치_x000a_▶ 중량물 취급시 작업계획서를 사전에 작성하고 관리감독자를 배치하여 작업계획서에 맞게 작업_x000a_▶ 중량물 인양 시 외줄달기 지양 및 중량물취급 안전작업방법(두줄걸이) 준수"/>
  </r>
  <r>
    <n v="1"/>
    <x v="8"/>
    <x v="20"/>
    <x v="58"/>
    <s v="YES"/>
    <x v="3"/>
    <x v="8"/>
    <s v="해당없음"/>
    <s v="해당없음"/>
    <s v="해당없음"/>
    <s v="2018년 9월경"/>
    <d v="2018-09-01T00:00:00"/>
    <n v="9"/>
    <s v="-"/>
    <x v="1"/>
    <s v="2018년 9월경 OO(주) OO공장 신축공사 현장에서 보조파일 2~3m 옆에서 항타기 신호업무를 하던 재해자는 항타기 기사가 지반에 기근입된 PHC파일 위에 보조파일(보조항)을 올려 항타작업을 한 후 보조파일을 항타기로 인양하여 바닥에 내려놓던 중 보조파일에 체결한 섬유밸트가 파단되어 넘어지면서 깔려 사망"/>
    <s v="항타작업 후 보조파일을 항타기로 인양 시 체결한 섬유벨트가 파단되어 넘어져 깔림"/>
    <s v="▶ 줄걸이 자재는 작업중 수시로 상태를 점검하며 예비를 두어 손상 발생 시 즉시 교체함 _x000a_▶ 중량물 취급 시 작업계획서를 사전에 작성하고 관리감독자를 배치하여 작업계획서에 맞게 작업"/>
  </r>
  <r>
    <n v="1"/>
    <x v="8"/>
    <x v="20"/>
    <x v="58"/>
    <s v="YES"/>
    <x v="3"/>
    <x v="8"/>
    <s v="해당없음"/>
    <s v="해당없음"/>
    <s v="해당없음"/>
    <s v="2019년 6월경"/>
    <d v="2019-06-01T00:00:00"/>
    <n v="6"/>
    <s v="혹서기"/>
    <x v="0"/>
    <s v="2019년 6월경 OO(주)에서 OO호텔 신축공사 현장에서 기 반입된 항타기 리더를 야적장으로 반출하기 위한 작업 중 항타기 리더(Leader)의 승강용 트랩에 카고크레인(5t)의 보조훅을 걸고 운반하던 중 승강용트랩의 용접부위가 파단되면서 리더가 떨어져(H ≒ 3m) 재해자(항타보조공)의 가슴부위를 타격하여 사망"/>
    <s v="항타기 반출을 위해 항타기 리더의 승강용 트랩에 카고크레인의 보조훅을 걸고 운반하던 중 승강용트랩의 용접부위가 파단되면서 리더가 떨어져 맞음"/>
    <s v="▶ 크레인 작업 시 승강용 트랩 등 취약한 지점에 훅을 걸지 않도록 작업 방법 개선_x000a_▶ 크레인 작업 시 근로자의 출입 통제 및 인양중인 화물이 근로자의 머리 위를 통과하지 않게 작업 수행_x000a_▶ 항타기 운반 작업 시 사용메뉴얼 준수"/>
  </r>
  <r>
    <n v="1"/>
    <x v="8"/>
    <x v="20"/>
    <x v="58"/>
    <s v="YES"/>
    <x v="3"/>
    <x v="4"/>
    <s v="12대 기인물"/>
    <n v="5"/>
    <n v="4.9000000000000002E-2"/>
    <s v="2019년 10월"/>
    <d v="2019-10-01T00:00:00"/>
    <n v="10"/>
    <s v="-"/>
    <x v="0"/>
    <s v="2019년 10월경 ㈜OO 재건축아파트 신축공사 현장에서 굴착기를 이용하여 천공기 전도방지용 철판을 운반 및 내려놓던 중, CIP공사를 위하여 이동 중이던 천공기와 굴착기가 충돌하여 훅 해지장치가 없는 인양 훅에 걸려있던 철판이 훅으로부터 이탈되어 재해자(보통인부)가 협착되어 사망"/>
    <s v="기초 파일 자재를 굴삭기를 이용하여 이동시키던 중 와이어로프가 훅으로부터 이탈되면서 철판에 맞음"/>
    <s v="▶ 차량계 건설기계 작업시 근로자 출입 통제 및 유도자 배치_x000a_▶ 중량물 취급시 작업계획서를 사전에 작성하고 관리감독자를 배치하여 작업계획서에 맞게 작업_x000a_▶ 중량물 인양 시 외줄달기 지양 및 중량물취급 안전작업방법(두줄걸이) 준수"/>
  </r>
  <r>
    <n v="1"/>
    <x v="8"/>
    <x v="20"/>
    <x v="58"/>
    <s v="YES"/>
    <x v="3"/>
    <x v="5"/>
    <s v="12대 기인물"/>
    <n v="12"/>
    <n v="2.3E-2"/>
    <s v="2019년 10월"/>
    <d v="2019-10-01T00:00:00"/>
    <n v="10"/>
    <s v="-"/>
    <x v="1"/>
    <s v="2019년 10월경 ㈜OO에서 시공하는 파일공사 현장에서, 재해자(용접공)가 이동식크레인 운반 및 조립작업을 하던 중 붐이 전도되면서 협착되어 사망"/>
    <s v="이동식크레인 조립작업 중 활차뭉치 및 후크블록 중량 등으로 붐이 무게중심을 잃고 전도되며 협착 발생 "/>
    <s v="▶ 이동식크레인 붐대 조립 및 해체작업 시 장비 사용메뉴얼 준수_x000a_▶ 중량물 취급작업 시 전도 및 협착 등의 위험을 방지하기 위한 안전블록 및 지지대 설치 등 안전 조치 실시_x000a_▶ 작업지휘자 배치 및 크레인 붐 조립작업 경험이 있는 숙련공이 작업 진행"/>
  </r>
  <r>
    <n v="1"/>
    <x v="8"/>
    <x v="20"/>
    <x v="58"/>
    <s v="YES"/>
    <x v="3"/>
    <x v="5"/>
    <s v="12대 기인물"/>
    <n v="12"/>
    <n v="2.3E-2"/>
    <s v="2020 8월경 "/>
    <d v="2020-08-01T00:00:00"/>
    <n v="8"/>
    <s v="혹서기"/>
    <x v="0"/>
    <s v="2020 8월경 ㈜OO에서 시공하는 공사 현장에서 PHC파일 운반 및 이동식크레인 이동 중 붐이 넘어져 근로자인 재해자(용접공)가 붐에 맞아 사망"/>
    <s v="이동식크레인을 사용하여 PHC 파일을 운반 중 지반이 침하하면서 이동식크레인 붐이 넘어져 맞음"/>
    <s v="▶ 차량계 건설기계 작업시 근로자 출입 통제 및 유도자 배치_x000a_▶ 중량물 취급시 작업계획서를 사전에 작성하고 관리감독자를 배치하여 작업계획서에 맞게 작업_x000a_▶ 중량물 인양 시 외줄달기 지양 및 중량물취급 안전작업방법(두줄걸이) 준수"/>
  </r>
  <r>
    <n v="1"/>
    <x v="8"/>
    <x v="20"/>
    <x v="58"/>
    <s v="YES"/>
    <x v="3"/>
    <x v="8"/>
    <s v="해당없음"/>
    <s v="해당없음"/>
    <s v="해당없음"/>
    <s v="2020년 10월"/>
    <d v="2020-10-01T00:00:00"/>
    <n v="10"/>
    <s v="-"/>
    <x v="1"/>
    <s v="2020년 10월경 ㈜OO이 시공하는 행복주택 건설공사 현장에서 재해자(화물차 운전원)가 천공기(흙막이공사용 건설장비)의 부속품들을 25톤 화물트럭에서 하역하던 중, 트럭 적재함(높이 약 1.4m)에서 굴러 떨어지는 스크류(길이 약 6.4m, 중량 약 700kg) 자재에 깔려 사망"/>
    <s v="천공기의 부속품들을 화물트럭에서 하역하던 중 트럭 적재함에서 낙하하는 스크류에 깔림"/>
    <s v="▶ 차량계 하역운반기계 작업 시 작업지휘자 배치 및 근로자 외 출입금지 실시_x000a_▶ 하역작업 시 낙하위험장소 출입금지 조치 및 울타리 설치"/>
  </r>
  <r>
    <n v="1"/>
    <x v="8"/>
    <x v="20"/>
    <x v="58"/>
    <s v="YES"/>
    <x v="3"/>
    <x v="8"/>
    <s v="해당없음"/>
    <s v="해당없음"/>
    <s v="해당없음"/>
    <s v="2021년 2월경"/>
    <d v="2021-02-01T00:00:00"/>
    <n v="2"/>
    <s v="혹한기"/>
    <x v="6"/>
    <s v="2021년 2월경 OO㈜ 주택 재개발 정비사업 현장에서 협력업체 OO건설(주) 소속 재해자(작업반장)가 항타기의 와이어 드럼 점검·정비 등 작업 중 항타기 운전기사가 항타기 리더를 들어올려 와이어로프가 드럼에 감기는 순간 드럼과 와이어로프 사이에 끼어 사망"/>
    <s v="항타기의 와이어 드럼 점검 중 항타기 리더를 들어올려 와이어로프가 드럼에 감기는 순간 드럼과 와이어로프 사이에 끼임"/>
    <s v="▶ 항타기 점검·정비 작업 시 사용메뉴얼 준수_x000a_▶ 작업 순서에 따른 안전조치 실시 후 작업_x000a_▶ 항타기 점검·정비 작업 시 작업지휘자 배치 및 경험이 있는 숙련공이 작업 진행"/>
  </r>
  <r>
    <n v="1"/>
    <x v="8"/>
    <x v="20"/>
    <x v="58"/>
    <s v="YES"/>
    <x v="3"/>
    <x v="8"/>
    <s v="해당없음"/>
    <s v="해당없음"/>
    <s v="해당없음"/>
    <s v="2021년 3월경"/>
    <d v="2021-03-01T00:00:00"/>
    <n v="3"/>
    <s v="-"/>
    <x v="1"/>
    <s v="2021년 3월경 체육센터 건립현장에서, 재해자가 흙막이 말뚝삽입에 사용한 항타기를 해체·반출하기 위해 연결부(리더) 하부에서 볼트를 풀던 중, 연결부가 꺾이면서 낙하하는 리더에 깔려 사망"/>
    <s v="말뚝삽입에 사용한 항타기를 해체·반출하기 위해 연결부 하부에서 볼트를 풀던 중 연결부가 꺾이면서 낙하하는 리더에 깔림"/>
    <s v="▶ 파일 항타 전 부속품에 손상, 마모, 변형, 부식이 없는 것을 사용하며, 이상유무를 확인하는 등 정기점검 실시_x000a_▶ 차량계 건설기계(항타기 등)의 수리 또는 장착 및 제거 작업 시 작업지휘자 배치_x000a_▶ 항타기 조립·해체 작업 시 사용메뉴얼 준수"/>
  </r>
  <r>
    <n v="1"/>
    <x v="8"/>
    <x v="20"/>
    <x v="58"/>
    <s v="YES"/>
    <x v="3"/>
    <x v="4"/>
    <s v="12대 기인물"/>
    <n v="5"/>
    <n v="4.9000000000000002E-2"/>
    <s v="2021년 10월"/>
    <d v="2021-10-01T00:00:00"/>
    <n v="10"/>
    <s v="-"/>
    <x v="2"/>
    <s v="2021년 10월경 근린생활시설 신축공사 현장에서 굴착기 기사가 CIP 케이싱 내 콘크리트 타설 목적으로 굴착 용도의 버킷방향과 반대방향으로 안전핀 없이 버킷을 체결한 상태에서 케이싱에 깔대기관을 연결하던 중 버킷이 떨어져 그 밑에서 작업하던 재해자의 머리를 타격하여 사망"/>
    <s v="CIP 케이싱 내 콘크리트 타설 목적으로 굴착 용도의 버킷 방향과는 반대방향으로 안전핀 없이 버킷을 체결한 상태에서 케이싱에 깔대기관을 연결하던 중 버킷이 떨어짐"/>
    <s v="▶ 차량계 건설기계 작업시 근로자 출입 통제 및 유도자 배치_x000a_▶ 굴착기 버킷 탈락방지용 안전핀 체결 및 고정 여부 확인_x000a_▶ 낙하위험이 있는 작업반경 내에 직접 들어가서 작업 금지"/>
  </r>
  <r>
    <n v="1"/>
    <x v="8"/>
    <x v="20"/>
    <x v="28"/>
    <s v="YES"/>
    <x v="3"/>
    <x v="8"/>
    <s v="해당없음"/>
    <s v="해당없음"/>
    <s v="해당없음"/>
    <s v="2016년 2월경"/>
    <d v="2016-02-01T00:00:00"/>
    <n v="2"/>
    <s v="혹한기"/>
    <x v="0"/>
    <s v="2016년 2월경 OO공사 현장에서 협력업체 소속 재해자(비계공)가 부지 내 파일 천공작업을 위하여 천공기(2호기)의 오거 헤더 교체작업을 하던 중, 케이싱 구동모터 부분에 끼어 있던 전석이 낙하하여 재해자를 강타하여 사망"/>
    <s v="천공기의 오거 헤더 교체작업을 하던 중 케이싱 구동모터 부분에 끼어 있던 전석이 낙하하여 근로자 강타"/>
    <s v="▶ 낙하물에 따른 방지망 또는 방호선반 설치 필요_x000a_▶ 높은 위치에서 전석∙잔토 제거 작업 시 하부에 근로자가 있는지 확인 후 작업 실시_x000a_▶ 사전에 낙하물에 의한 위험요인 제거 및 방호선반 설치_x000a_▶ 사전 하부오거 내∙외부에 있는 토사 제거, 또는 케이싱 분리하여 지상에서 보수작업 실시 "/>
  </r>
  <r>
    <n v="1"/>
    <x v="8"/>
    <x v="20"/>
    <x v="28"/>
    <s v="YES"/>
    <x v="3"/>
    <x v="5"/>
    <s v="12대 기인물"/>
    <n v="12"/>
    <n v="2.3E-2"/>
    <s v="2017년 2월경"/>
    <d v="2017-02-01T00:00:00"/>
    <n v="2"/>
    <s v="혹한기"/>
    <x v="6"/>
    <s v="2017년 2월경 재해자(공기압축기 운전자)가 오피스텔 신축공사 현장진입구 옆 도로에 위치한 CIP 천공작업용 공기압축기가 적재되어 있는 트럭뒤에서 현장 진입로 확보하기 위하여 후진하던 카고크레인 사이에 끼어 사망"/>
    <s v="근로자가 CIP 천공작업용 공기압축기를 적재하여 주차해 놓은 트럭과 현장진입로를 확보하려고 후진 중이던 카고크레인 사이에 끼임"/>
    <s v="▶ 작업 내 차량계 건설기계 이동시 신호수 또는 유도자를 배치하여 안전하게 이동시킴_x000a_▶ 차량계 건설기계 후진 시 후방감지장치 설치"/>
  </r>
  <r>
    <n v="1"/>
    <x v="8"/>
    <x v="20"/>
    <x v="28"/>
    <s v="YES"/>
    <x v="3"/>
    <x v="4"/>
    <s v="12대 기인물"/>
    <n v="5"/>
    <n v="4.9000000000000002E-2"/>
    <s v="2017년 9월경"/>
    <d v="2017-09-01T00:00:00"/>
    <n v="9"/>
    <s v="-"/>
    <x v="1"/>
    <s v="2017년 9월경 오피스텔 신축현장에서 협력업체 소속 재해자(비계공)이 자재야적장에서 천공기 보조작업을 하던 중, 인근에서 자재운반중이던 굴삭기에 재해자가 충돌하면서 재해자 가슴 부위가 굴삭기 바퀴에 깔려 사망"/>
    <s v="자재야적장에서 천공기 보조작업을 하던 중 인근에서 자재운반중이던 굴삭기에 피재자가 충돌하면서 굴삭기 바퀴에 깔림"/>
    <s v="▶ 차량계 건설기계와 근로자가 부딪칠 위험이 있는 장소에 근로자 출입 통제 및 유도자 배치_x000a_▶ 굴삭기를 사용하는 경우 장비의 사용목적에 맞는 용도로 사용"/>
  </r>
  <r>
    <n v="1"/>
    <x v="8"/>
    <x v="20"/>
    <x v="28"/>
    <s v="YES"/>
    <x v="3"/>
    <x v="8"/>
    <s v="해당없음"/>
    <s v="해당없음"/>
    <s v="해당없음"/>
    <s v="2019년 2월경"/>
    <d v="2019-02-01T00:00:00"/>
    <n v="2"/>
    <s v="혹한기"/>
    <x v="0"/>
    <s v="2019년 2월경 ㈜OO 교육연구 및 근린생활시설 신축공사 현장에서 협력업체 소속 OOO(천공기 소유주 겸 운전원)가 천공기를 이용하여 지반 천공 및 H-Beam 근입 작업을 하던 중, 천공기 리더 상부에 부착된 부속철물(W≒20kg)이 탈락되어 지면으로 자유낙하 되면서 작업을 지휘하던 재해자(협력업체 관리이사)의 두부를 강타하여 사망"/>
    <s v="천공기를 이용하여 지반 천공 및 H-Beam 근입 작업을 하던 중 천공기 리더 상부에 부착된 부속철물이 탈락되며 지면으로 낙하하여 근로자의 두부 강타"/>
    <s v="▶ 중량물의 탈락 및 낙하 방지 예방을 위해 근로자 접근 통제 및 작업지휘자 배치_x000a_▶ 건설기계가 넘어지거나 붕괴 방지를 위해 조립 후 용접상태 점검 등 안정도를 확보_x000a_▶ 작업 전 사용 기계의 이상유무를 점검하고 유해, 위험 방지조치 실시"/>
  </r>
  <r>
    <n v="1"/>
    <x v="8"/>
    <x v="20"/>
    <x v="28"/>
    <s v="YES"/>
    <x v="3"/>
    <x v="8"/>
    <s v="해당없음"/>
    <s v="해당없음"/>
    <s v="해당없음"/>
    <s v="2019년 8월 "/>
    <d v="2019-08-01T00:00:00"/>
    <n v="8"/>
    <s v="혹서기"/>
    <x v="0"/>
    <s v="2019년 8월 OO(주)에서 시공 중인 철도 노반신설공사 현장에서 천공기의 스크류를 해체하여 권상장치(와이어로프)에 매달아 지면에 내려놓던 중 매달려 있던 스크류가 수평으로 회전하며 주변에 서 있던 재해자의 복부 강타하여 사망"/>
    <s v="천공기의 스크류를 해체하여 권상장치(와이어로프)에 매달아 지면에 내려놓던 중 바닥에 닿은 부분을 중심으로 체인에 매달려있던 스크류의 상부가 회전하며 주변에 서 있던 재해자의 복부 강타"/>
    <s v="▶ 중량물의 탈락 및 낙하 방지 예방을 위해 근로자 접근 통제 및 작업지휘자 배치_x000a_▶  작업 전 기계의 이상유무를 점검하고 유해, 위험 방지조치 실시"/>
  </r>
  <r>
    <n v="1"/>
    <x v="8"/>
    <x v="20"/>
    <x v="28"/>
    <s v="YES"/>
    <x v="3"/>
    <x v="8"/>
    <s v="해당없음"/>
    <s v="해당없음"/>
    <s v="해당없음"/>
    <s v="2019년 10월"/>
    <d v="2019-10-01T00:00:00"/>
    <n v="10"/>
    <s v="-"/>
    <x v="0"/>
    <s v="2019년 10월경 OO(주) 발전소 건설공사현장에서 파일공사 협력업체 소속 재해자(용접공)이 천공기 케이싱 하단부 보수 용접작업 중 재해자 안전모 위로 큰 자갈이 떨어져 머리에 심한 충격을 받고 사망"/>
    <s v="천공기의 오거 헤더 교체작업을 하던 중 케이싱 구동모터 부분에 끼어 있던 전석이 낙하하여 근로자 강타"/>
    <s v="▶ 낙하물에 따른 방지망 또는 방호선반 설치 필요_x000a_▶ 높은 위치에서 전석∙잔토 제거 작업 시 하부에 근로자가 있는지 확인 후 작업 실시_x000a_▶ 사전에 낙하물에 의한 위험요인 제거 및 방호선반 설치_x000a_▶ 사전 하부오거 내∙외부에 있는 토사 제거, 또는 케이싱 분리하여 지상에서 보수작업 실시 "/>
  </r>
  <r>
    <n v="1"/>
    <x v="8"/>
    <x v="20"/>
    <x v="28"/>
    <s v="YES"/>
    <x v="3"/>
    <x v="8"/>
    <s v="해당없음"/>
    <s v="해당없음"/>
    <s v="해당없음"/>
    <s v="2020년 6월경"/>
    <d v="2020-06-01T00:00:00"/>
    <n v="6"/>
    <s v="혹서기"/>
    <x v="0"/>
    <s v="2020년 6월경 ㈜OO 복합시설 건설현장에서 하청업체 ㈜OO 소속 재해자가 CIP 파일  작업 중 탈락한 항타기 케이싱 모터 케이블에 맞아 사망"/>
    <s v="천공기를 이용하여 지반 천공 및 H-Beam 근입 작업을 하던 중 천공기 리더 상부에 부착된 부속철물이 탈락되며 지면으로 낙하하여 근로자의 두부 강타"/>
    <s v="▶ 중량물의 탈락 및 낙하 방지 예방을 위해 근로자 접근 통제 및 작업지휘자 배치_x000a_▶ 건설기계가 넘어지거나 붕괴 방지를 위해 조립 후 용접상태 점검 등 안정도를 확보_x000a_▶ 작업 전 사용 기계의 이상유무를 점검하고 유해, 위험 방지조치 실시"/>
  </r>
  <r>
    <n v="1"/>
    <x v="8"/>
    <x v="20"/>
    <x v="59"/>
    <s v="YES"/>
    <x v="3"/>
    <x v="8"/>
    <s v="해당없음"/>
    <s v="해당없음"/>
    <s v="해당없음"/>
    <s v="2016년 2월경"/>
    <d v="2016-02-01T00:00:00"/>
    <n v="2"/>
    <s v="혹한기"/>
    <x v="6"/>
    <s v="2016년 2월경 ㈜OO이 시공하는 아파트 신축공사 현장에서 재해자(파일공)가 항타기의 최상단 스크류[안테나 스크류, 1단 스크류]를 해체하기 위해 케이싱 모터 상부에서 스크류 연결핀을 해체 후, 들려있던 스크류 모터와 케이싱 모터를 동시에 지면으로 내리던 중 케이싱 모터 상부에 있던 재해자가 스크류 모터와 케이싱 모터 사이에 끼여 사망"/>
    <s v="항타기의 스크류를 해체하기 위해 케이싱 모터 상부에서 스크류 연결핀을 해체 후 들려있던 스크류 모터와 케이싱 모터를 동시에 지면으로 내리던 중 케이싱 모터 상부에 있던 재해자가 스크류 모터와 케이싱 모터 사이에 끼임"/>
    <s v="▶ 장비 해체 작업계획서 작성후 관련 내용 작업자 공유후 작업 실시_x000a_▶ 끼임 위험지역에의 근로자 이동여부 확인을 위한 스크류 모터 부위 하방에 감시카메라 부착, 운영 등 안전대책 실시_x000a_▶ 안전지주, 안전블럭 설치를 통한 케이싱 모터의 불시 하강에 따른 위험 방지"/>
  </r>
  <r>
    <n v="1"/>
    <x v="8"/>
    <x v="20"/>
    <x v="59"/>
    <s v="YES"/>
    <x v="3"/>
    <x v="8"/>
    <s v="해당없음"/>
    <s v="해당없음"/>
    <s v="해당없음"/>
    <s v="2016년 3월경"/>
    <d v="2016-03-01T00:00:00"/>
    <n v="3"/>
    <s v="-"/>
    <x v="6"/>
    <s v="2016년 3월경 ㈜OO에서 시공하는 아파트 신축공사 현장에서 재해자가 항타기 리더(leader) 지상 조립 작업 중 리더 받침대가 넘어지면서 재해자가 리더 받침대와 리더부재에 끼여 사망_x000d_"/>
    <s v="항타기 리더 지상 조립 작업 중 리더 받침대가 넘어지면서 피재자가 리더 받침대와 리더부재에 끼임"/>
    <s v="▶ 매립지반상에 장선재 설치 상태 확인 후 리더 받침대 설치_x000a_▶ 항타기 리더 지상 조립시 전도 등에 대비하여 깔판∙깔목 등을 사용하여 지반의 침하를 방지한 후 리더 받침대 설치_x000a_▶ 끼임 위험지역에의 근로자 이동여부 확인을 위한 스크류 모터 부위 하방에 감시카메라 부착, 운영 등 안전대책 실시_x000a_▶ 안전지주, 안전블럭 설치를 통한 케이싱 모터의 불시 하강에 따른 위험 방지"/>
  </r>
  <r>
    <n v="1"/>
    <x v="8"/>
    <x v="20"/>
    <x v="59"/>
    <s v="YES"/>
    <x v="3"/>
    <x v="8"/>
    <s v="해당없음"/>
    <s v="해당없음"/>
    <s v="해당없음"/>
    <s v="2016년 6월경"/>
    <d v="2016-06-01T00:00:00"/>
    <n v="6"/>
    <s v="혹서기"/>
    <x v="0"/>
    <s v="2016년 6월경 OO㈜ 교량설치공사 현장에서 강관파일 항타 작업 시 보조해머를 강관파일 상부에 인양 후 결속하던 중, 보조해머가 넘어져 작업보조를 하고 있던 협력업체 소속 재해자(항타보조원)가 보조해머에 맞아 사망"/>
    <s v="강관파일 항타 작업 시 보조해머가 강관파일 상부에 인양 후 결속하던 중 보조해머가 넘어져 근로자가 맞음"/>
    <s v="▶ 항타기 후크에 보조해머의  와이어 로프 줄걸이가 고정되어 있기 때문에 전도방지를 위해 후크해지장치 설치 확인 후 작업 수행_x000a_▶ 항타 시 작업과 직접 관련이 없는 근로자가 작업반경 내 출입 금지_x000a_▶ 작업반경 내 안전모 지급 및 착용상태 확인"/>
  </r>
  <r>
    <n v="1"/>
    <x v="8"/>
    <x v="20"/>
    <x v="59"/>
    <s v="YES"/>
    <x v="3"/>
    <x v="8"/>
    <s v="해당없음"/>
    <s v="해당없음"/>
    <s v="해당없음"/>
    <s v="2016년 11월"/>
    <d v="2016-11-01T00:00:00"/>
    <n v="11"/>
    <s v="-"/>
    <x v="4"/>
    <s v="2016년 11월경 ㈜OO 전철 노반신설 공사 현장에서 항타기로 천공작업이 진행되면서 운전석 유리창에 흙이 묻자 재해자가 유리창 청소를 하던중 공내 폭발로 인한 갑작스런 오거의 상승으로 느슨해진 와이어로프에 재해자의 신체일부가 감겼고 이어 오거가 다시 하강하자 와이어로우프가 팽팽하게 당겨지면서 재해자의 몸의 일부가 절단되어 사망"/>
    <s v="항타기 운전석 유리창 청소를 하던 중 공내 폭발로 인한 갑작스런 오거의 상승으로 느슨해진 와이어로우프에 신체일부가 감겼고 이어 오거가 다시 하강하면서 몸의 일부를 절단"/>
    <s v="▶ 사용 장비의 작업 전 정비·정검 실시_x000a_▶ 건설기계 이상 발생시 해당기계의 운전을 정지시킨 후 정비·정검 수행_x000a_▶ 항타작업 중 와이어로프가 늘어지는 등 이상 상황 발생시에는 위협장소에 근로자 출입금지"/>
  </r>
  <r>
    <n v="1"/>
    <x v="8"/>
    <x v="20"/>
    <x v="59"/>
    <s v="YES"/>
    <x v="3"/>
    <x v="8"/>
    <s v="해당없음"/>
    <s v="해당없음"/>
    <s v="해당없음"/>
    <s v="2017년 1월경"/>
    <d v="2017-01-01T00:00:00"/>
    <n v="1"/>
    <s v="혹한기"/>
    <x v="0"/>
    <s v="2017년 1월경 (주)OO에서 시공하는 근린생활시설 및 다가구주택 신축공사 현장에서, 재해자가 항타기의 상부오거(Auger)와 스크류 사이에 완충기(항타기의 오거 부속장치)를 장착하기 위해 완충기를 벨트-슬링(Belt-sling)으로 묶어 올려 매단(H≒5.0m) 상태에서, 재해자가 완충기 하부의 케이싱 모터(하부오거)에 올라 작업하던 중, 매달린 완충기가 떨어지며 아래에 있던 재해자를 가격하여 사망"/>
    <s v="근로자가 항타기의 스크류모터와 스크류 사이에 완충기를 장착하던 중 완충기의 벨트-슬링이 풀리면서 완충기가 떨어져 하부 근로자를 가격함"/>
    <s v="▶ 벨트-슬링이 후크레서 이탈되지 않도록 양 끝단이 고리 등 구비된 것 사용하여 1줄 걸이 또는 2줄 걸이 방법 사용_x000a_▶ 물체에 맞을 위험이 있는 작업 시 근로자 출입금지 조치 실시"/>
  </r>
  <r>
    <n v="1"/>
    <x v="8"/>
    <x v="20"/>
    <x v="59"/>
    <s v="YES"/>
    <x v="3"/>
    <x v="8"/>
    <s v="해당없음"/>
    <s v="해당없음"/>
    <s v="해당없음"/>
    <s v="2017년 3월경"/>
    <d v="2017-03-01T00:00:00"/>
    <n v="3"/>
    <s v="-"/>
    <x v="2"/>
    <s v="2017년 3월경 하천환경 조성공사 현장에서 협력업체 ㈜OO건설 소속 재해자(수리공)가 파일 항타기 도르래에 엉킨 와이어로프를 절단하기 위해 눕혀놓은 항타기 리더 상부에 올라가 절단 작업 중, 리더기 접합부의 볼트가 파단되면서 리더기 상부에서 지상 바닥으로 떨어져(H≒6.5m) 사망"/>
    <s v="근로자가 눕혀놓은 항타기 리더 상부에 올라가 절단작업 중 리더기 접합부의 볼트가 파단되면서 리더기 상부에서 지상 바닥으로 추락"/>
    <s v="▶ 작업 전 장비에 대한 점검 실시_x000a_▶ 추락 위험 장소 작업시 안전한 구조의 작업발판 설치_x000a_▶ 추락 방지용 안전난간 및 안전대 부착설비 설치"/>
  </r>
  <r>
    <n v="1"/>
    <x v="8"/>
    <x v="20"/>
    <x v="59"/>
    <s v="YES"/>
    <x v="3"/>
    <x v="8"/>
    <s v="해당없음"/>
    <s v="해당없음"/>
    <s v="해당없음"/>
    <s v="2017년 7월경"/>
    <d v="2017-07-01T00:00:00"/>
    <n v="7"/>
    <s v="혹서기"/>
    <x v="0"/>
    <s v="2017년 7월경 OO(주) 연구시설 신축현장에서 파일항타 보조공인 재해자가 케이싱 인발 과정에서, 오거스크류 권상용 와이어가 장력을 잃고 권상기 드럼 주변 바닥으로 늘어져 있는(처진)것을 정리 하려고 접근하는 순간 바닥에 늘어져 있던 와이어가 갑자기 당겨지며 재해자 목을 가격(충돌)하여 사망"/>
    <s v="파일 케이싱 인발 과정에서 오거스크류 권상용 와이어가 장력을 잃고 권상기 드럼 주변 바닥으로 늘어져 있는 것을 정리 하려고 접근하는 순간 바닥에 늘어져 있던 와이어가 갑자기 당겨지며 재해자 목을 가격"/>
    <s v="▶ 사용 장비의 작업 전 정비·정검 실시_x000a_▶ 건설기계 이상 발생시 해당기계의 운전을 정지시킨 후 정비·정검 수행_x000a_▶ 항타작업 중 와이어로프가 늘어지는 등 이상 상황 발생시에는 위협장소에 근로자 출입금지"/>
  </r>
  <r>
    <n v="1"/>
    <x v="8"/>
    <x v="20"/>
    <x v="59"/>
    <s v="YES"/>
    <x v="3"/>
    <x v="8"/>
    <s v="해당없음"/>
    <s v="해당없음"/>
    <s v="해당없음"/>
    <s v="2017년 9월경"/>
    <d v="2017-09-01T00:00:00"/>
    <n v="9"/>
    <s v="-"/>
    <x v="1"/>
    <s v="2017년 9월경 OO(주) OO 신축공사 현장에서 재해자(파일공)가 PHC파일(L:22m) 근입 후 파일 두부에 덮혀 있는 토사를 제거하던 중 항타기 리더 상부에서 드롭해머 인양용 와이어로프가 파단되어 드롭해머가 떨어져(낙하높이≒2.5m) 드롭해머하부에 있던 재해자가 드롭해머(중량≒6.2톤)에 깔려 사망"/>
    <s v="PHC파일 근입 후 파일 두부에 덮혀 있는 토사를 제거하던 중 항타기 리더 상부에서 드롭해머 인양용 와이어로프가 파단되어 드롭해머가 떨어져 깔림"/>
    <s v="▶ 사용 장비의 정비·정검 수시 실시_x000a_▶ 천공기 양중작업 시 와이어로프의 상태 점검_x000a_▶ 중량물의 탈락 및 낙하 방지 예방을 위해 근로자 접근 통제"/>
  </r>
  <r>
    <n v="1"/>
    <x v="8"/>
    <x v="20"/>
    <x v="59"/>
    <s v="YES"/>
    <x v="3"/>
    <x v="8"/>
    <s v="해당없음"/>
    <s v="해당없음"/>
    <s v="해당없음"/>
    <s v="2018년 1월경"/>
    <d v="2018-01-01T00:00:00"/>
    <n v="1"/>
    <s v="혹한기"/>
    <x v="0"/>
    <s v="2018년 1월경 공동주택 신축공사 현장에서 재해자(항타기 운전원)가 PHC(콘크리트)파일을 설치하기 위하여 지반 천공작업을 하려고 하던 중 항타기가 넘어지려고 하자 운전석에서 뛰어내려 대피하였으나 넘어지는 항타기 본체 등에 맞아 사망(추정)"/>
    <s v="PHC 파일 천공 작업의 정확한 위치를 잡기 위해 철판 위에서 항타기를 전후 이동 및 좌우 회전하던 중 항타기가 넘어지려고 하자 운전석에서 뛰어내려 대피했지만 넘어지는 항타기 본체에 맞음"/>
    <s v="▶ 항타기 등 차량계 건설기계를 사용하는 작업 전 작업장소의 지형 및 지반상태에 대한 사전조사 실시_x000a_▶ 항타기 등 차량계 건설기계를 사용하는 작업 시 지반의 부동침하 방지조치 실시"/>
  </r>
  <r>
    <n v="1"/>
    <x v="8"/>
    <x v="20"/>
    <x v="59"/>
    <s v="YES"/>
    <x v="3"/>
    <x v="8"/>
    <s v="해당없음"/>
    <s v="해당없음"/>
    <s v="해당없음"/>
    <s v="2018년 5월경"/>
    <d v="2018-05-01T00:00:00"/>
    <n v="5"/>
    <s v="-"/>
    <x v="6"/>
    <s v="2018년 5월경 OO(주)에서 시공중인 OO현장에서 협력업체 OO(주) 소속 근로자인 재해자(용접공)이 파일항타작업 중 토사의 비산을 방지하기 위한 가림막(약 1.5톤)을 해체하기 위하여 용단작업을 하던 중 가림막이 붕괴되며 가림막과 받침용 빔사이에 협착되어 사망"/>
    <s v="파일 항타시 토사 비산 방지용 가림막을 해체하기 위하여 용단작업을 하던 중 가림막이 붕괴되며 가림막과 받침용 빔사이에 협착"/>
    <s v="▶ 장비 조립·해체 등 의 작업시 낙하, 추락, 끼임 등의 재해 예방조치 후 작업_x000a_▶ 항타 시 작업과 직접 관련이 없는 근로자가 작업반경 내 출입 금지_x000a_▶ 작업반경 내 안전모 지급 및 착용상태 확인"/>
  </r>
  <r>
    <n v="1"/>
    <x v="8"/>
    <x v="20"/>
    <x v="59"/>
    <s v="YES"/>
    <x v="3"/>
    <x v="8"/>
    <s v="해당없음"/>
    <s v="해당없음"/>
    <s v="해당없음"/>
    <s v="2018년 8월경"/>
    <d v="2018-08-01T00:00:00"/>
    <n v="8"/>
    <s v="혹서기"/>
    <x v="2"/>
    <s v="2018년 8월경 근린생활시설 신축공사에서 PHC 파일공인 재해자(작업반장)가 항타기 후면 발전기 상부에서 장비 점검 중 실족, 항타기 무한궤도로 추락(H≒3.6m) 사망"/>
    <s v="근로자가 항타기 하부모터에 올라가 가이드레일에 그리스(윤활유)를 도포하는 작업을 마무리하고 내려오던 중 바닥 철판으로 떨어짐"/>
    <s v="▶ 추락 위험 장소 작업시 안전한 구조의 작업발판 설치_x000a_▶ 추락 방지용 안전난간 및 안전대 부착설비 설치_x000a_▶ 장비 점검시 기계의 운전을 중지하여 전원을 차단한 후 검사 실시"/>
  </r>
  <r>
    <n v="1"/>
    <x v="8"/>
    <x v="20"/>
    <x v="59"/>
    <s v="YES"/>
    <x v="3"/>
    <x v="8"/>
    <s v="해당없음"/>
    <s v="해당없음"/>
    <s v="해당없음"/>
    <s v="2018년 9월경"/>
    <d v="2018-09-01T00:00:00"/>
    <n v="9"/>
    <s v="-"/>
    <x v="1"/>
    <s v="2018년 9월경 ㈜OO 공동주택 신축공사현장에서 파일공사 협력업체 소속 재해자(항타공)이 항타기 주변에서 대기하던 중 해머를 인양하고 있던 와이어로프(직경 22mm)가 리더의 최상단 위치에서 순간 파단되어 아래로 비래된 와이어로프 파단부가 재해자의 머리를 강타하여 사망"/>
    <s v="항타작업 후 보조파일을 항타기로 인양 시 체결한 섬유벨트가 파단되어 넘어져 깔림"/>
    <s v="▶ 줄걸이 자재는 작업중 수시로 상태를 점검하며 예비를 두어 손상 발생 시 즉시 교체함 _x000a_▶ 중량물 취급 시 작업계획서를 사전에 작성하고 관리감독자를 배치하여 작업계획서에 맞게 작업"/>
  </r>
  <r>
    <n v="1"/>
    <x v="8"/>
    <x v="20"/>
    <x v="59"/>
    <s v="YES"/>
    <x v="3"/>
    <x v="8"/>
    <s v="해당없음"/>
    <s v="해당없음"/>
    <s v="해당없음"/>
    <s v="2018년 11월"/>
    <d v="2018-11-01T00:00:00"/>
    <n v="11"/>
    <s v="-"/>
    <x v="2"/>
    <s v="2018년 11월경 ㈜OO OO신축공사 현장에서 협력업체 소속 재해자(보통인부)가 항타기 하부모터에 올라가 가이드레일에 그리스(윤활유)를 도포하는 작업을 마무리하고 내려오려던 중, 높이 약 4.5m 아래 바닥 철판으로 떨어져 사망"/>
    <s v="근로자가 항타기 하부모터에 올라가 가이드레일에 그리스(윤활유)를 도포하는 작업을 마무리하고 내려오던 중 바닥 철판으로 떨어짐"/>
    <s v="▶ 추락 위험 장소 작업시 안전한 구조의 작업발판 설치_x000a_▶ 추락 방지용 안전난간 및 안전대 부착설비 설치_x000a_▶ 장비 점검시 기계의 운전을 중지하여 전원을 차단한 후 검사 실시"/>
  </r>
  <r>
    <n v="1"/>
    <x v="8"/>
    <x v="20"/>
    <x v="59"/>
    <s v="YES"/>
    <x v="3"/>
    <x v="5"/>
    <s v="12대 기인물"/>
    <n v="12"/>
    <n v="2.3E-2"/>
    <s v="2019년 3월경"/>
    <d v="2019-03-01T00:00:00"/>
    <n v="3"/>
    <s v="-"/>
    <x v="0"/>
    <s v="2019년 3월경 ㈜OO 고속도로 현장에서 협력업체 OO(주) 소속 재해자가 교각(P1) 시공을 위해 쉬트파일 설치작업 중 항타기 보조크레인의 훅이 빠지면서 바이브로 해머가 낙하(H≒12m)하여 하부에 있던 재해자의 두부를 강타, 사망"/>
    <s v="교각 시공을 위해 쉬트파일 설치작업 중 항타기 보조크레인의 훅을 고정하는 너트의 용접부위 탈락으로 낙하하는 바이브 해머에 맞음"/>
    <s v="▶ 차량계 건설기계 작업시 근로자 출입 통제 및 유도자 배치_x000a_▶ 중량물 취급시 작업계획서를 사전에 작성하고 관리감독자를 배치하여 작업계획서에 맞게 작업_x000a_▶ 중량물 인양 시 외줄달기 지양 및 중량물취급 안전작업방법(두줄걸이) 준수"/>
  </r>
  <r>
    <n v="1"/>
    <x v="8"/>
    <x v="20"/>
    <x v="59"/>
    <s v="YES"/>
    <x v="3"/>
    <x v="8"/>
    <s v="해당없음"/>
    <s v="해당없음"/>
    <s v="해당없음"/>
    <s v="2019년 3월경"/>
    <d v="2019-03-01T00:00:00"/>
    <n v="3"/>
    <s v="-"/>
    <x v="6"/>
    <s v="2019년 3월경 OO건설 OO신축공사 현장에서 재해자(작업반장)가 항타기 상부에 위치한  상부 굴진기 컨트롤박스의 전원케이블을 해체하던 중, 항타기 운전원이 항타기 붐대를 작동시켜 와이어로프가 드럼에 감기는 순간 드럼과 와이어로프 사이에 오른쪽 다리가 끼면서 절단되어 사망"/>
    <s v="항타기의 와이어 드럼 점검 중 항타기 리더를 들어올려 와이어로프가 드럼에 감기는 순간 드럼과 와이어로프 사이에 끼임"/>
    <s v="▶ 항타기 점검·정비 작업 시 사용메뉴얼 준수_x000a_▶ 작업 순서에 따른 안전조치 실시 후 작업_x000a_▶ 항타기 점검·정비 작업 시 작업지휘자 배치 및 경험이 있는 숙련공이 작업 진행"/>
  </r>
  <r>
    <n v="1"/>
    <x v="8"/>
    <x v="20"/>
    <x v="59"/>
    <s v="YES"/>
    <x v="3"/>
    <x v="5"/>
    <s v="12대 기인물"/>
    <n v="12"/>
    <n v="2.3E-2"/>
    <s v="2019년 5월경"/>
    <d v="2019-05-01T00:00:00"/>
    <n v="5"/>
    <s v="-"/>
    <x v="3"/>
    <s v="2019년 5월경 ㈜OO 공사현장 재해자(RCD공)은 이동식크레인을 이용하여 오실레이터 구동용 유압호스를 해당 장비 상부에 똬리형태로 감아 정돈하던 중 크레인 붐대에 매달린 권과방지장치의 추 매달기용 와이어로프의 파단으로 추가 지상으로 떨어지면서(약40m) 재해자의 두부를 강타하여 사망(추정)"/>
    <s v="이동식크레인을 이용하여 오실레이터 유압호스를 정돈하던 중이동식크레인 붐대에 매달린 권과방지장치의 추 매달기용 와이어로프의 파단으로 추가 지상으로 낙하"/>
    <s v="▶ 사용 장비의 정비·정검 수시 실시_x000a_▶ 이동식 크레인 양중작업 시 와이어로프의 상태 점검_x000a_▶ 중량물의 탈락 및 낙하 방지 예방을 위해 근로자 접근 통제"/>
  </r>
  <r>
    <n v="1"/>
    <x v="8"/>
    <x v="20"/>
    <x v="59"/>
    <s v="YES"/>
    <x v="3"/>
    <x v="8"/>
    <s v="해당없음"/>
    <s v="해당없음"/>
    <s v="해당없음"/>
    <s v="2020년 10월"/>
    <d v="2020-10-01T00:00:00"/>
    <n v="10"/>
    <s v="-"/>
    <x v="0"/>
    <s v="2020년 10월경 OO(주)이 물류센터 신축공사에서 파일공사 협력업체 OO건설(주) 소속의 재해자(파일공)가 PHC 파일 항타 후 파일 지지력 확인을 위해 리바운드량(Rebound) 측정을 하고 드롭해머(Drop hammer)를 들어 올리던 중 샤클핀(Pin)이 이탈되면서 샤클과 체결되어 있던 베어링슈벨(Bearing swivel)이 약 8m 높이에서 낙하되면서 재해자의 두부를 강타하여 사망"/>
    <s v="PHC 파일 항타 후 파일 지지력 확인을 위해 리바운드량 측정을 하고 드롭해머를 들어 올리던 중 샤클핀이 이탈되면서 샤클과 체결된 베어링슈벨이 낙하하면서 근로자를 강타"/>
    <s v="▶ 파일 항타 시 부속품에 손상, 마모, 변형, 부식이 없는 것을 사용함 _x000a_▶ 항타 또는 리바운드량 측정 시 샤클 및 와이어로프 등 비틀림 발생되지 않도록 올바른 방법을 사용"/>
  </r>
  <r>
    <n v="1"/>
    <x v="8"/>
    <x v="20"/>
    <x v="59"/>
    <s v="YES"/>
    <x v="3"/>
    <x v="8"/>
    <s v="해당없음"/>
    <s v="해당없음"/>
    <s v="해당없음"/>
    <s v="2021년 2경 "/>
    <d v="2021-02-01T00:00:00"/>
    <n v="2"/>
    <s v="혹한기"/>
    <x v="0"/>
    <s v="2021년 2경 OO(주)에서 시공하는 OO신축공사 현장에서, 협력업체인 OO산업(주)에서 장비 임대차 계약을 맺은 OO건설기계 소속 근로자 OOO이 흙막이 가시설공사(C.I.P공사) 작업 중 항타기에 의해 인발된 케이싱이 재해자의 가슴을 강타하여 사망"/>
    <s v="항타기를 사용해 CIP 설치용 케이싱 근입작업 중 인발된 케이싱에 채워져 있던 토사와 물이 토출되며 케이싱이 유동하여 재해자의 가슴에 맞음"/>
    <s v="▶ 중량물의 탈락 및 낙하 방지 예방을 위해 근로자 접근 통제_x000a_▶ 차량계 건설기계 작업계획서를 사전에 작성하고 관리감독자를 배치하여 작업계획서에 맞게 작업"/>
  </r>
  <r>
    <n v="1"/>
    <x v="8"/>
    <x v="29"/>
    <x v="60"/>
    <s v="YES"/>
    <x v="3"/>
    <x v="6"/>
    <s v="12대 기인물"/>
    <n v="9"/>
    <n v="3.4000000000000002E-2"/>
    <s v="2016년 9월경"/>
    <d v="2016-09-01T00:00:00"/>
    <n v="9"/>
    <s v="-"/>
    <x v="1"/>
    <s v="2016년 9월경 ○○ 소하천 정비공사 현장에서 재해자 2명이 2톤 덤프트럭에 탑승하여 토사 임시야적장에서 되메우기용 토사를 적재한 후 고죽 소하천 상류지점 옹벽 상단 단부측으로 이동하여 하천 바닥 되메우기를 위해 적재함을 들어 올리던 중 덤프트럭이 높이 3.12m 아래 하천 바닥으로 떨어져 재해자 2명 부상"/>
    <s v="덤프트럭이 토사 하역장소로 진입히다가 하역장소 단부 토사가 침하하여 트럭이 전도되며 운전자 또는 주변 작업자가 깔림"/>
    <s v="▶ 차량계 건설기계의 전도방지를 위한 유도자 배치, 침하방지 등 조치 실시_x000a_▶ 덤프트럭 하역작업 시 차량 전도 등 비상사태를 예방하기 위해 안전벨트 등 보호구 상시 착용_x000a_▶ 토사 하역작업의 경우 유도자를 배치하고 지시에 따라 작업 실시"/>
  </r>
  <r>
    <n v="1"/>
    <x v="8"/>
    <x v="29"/>
    <x v="60"/>
    <s v="YES"/>
    <x v="3"/>
    <x v="4"/>
    <s v="12대 기인물"/>
    <n v="5"/>
    <n v="4.9000000000000002E-2"/>
    <s v="2017년 10월"/>
    <d v="2017-10-01T00:00:00"/>
    <n v="10"/>
    <s v="-"/>
    <x v="8"/>
    <s v="2017년 10월경 00지역 재해 재난공사 현장에서 보강토 옹벽 뒷채움 골재 포설 작업 중 회전하는 굴삭기 뒷부분과 굴착사면 사이에 재해자가 끼여 사망 "/>
    <s v="시야가 미확보된 상태에서 회전하는 굴착기 붐대에 충돌"/>
    <s v="▶ 차량계 건설기계를 사용하여 작업하는 경우 유도자를 배치 및 작업반경 내 인원 통제 _x000a_▶ 운전자가 감지할 수 있는 센서 부착 및 차량 후진시 경보음 설비 설치"/>
  </r>
  <r>
    <n v="1"/>
    <x v="8"/>
    <x v="29"/>
    <x v="60"/>
    <s v="YES"/>
    <x v="3"/>
    <x v="6"/>
    <s v="12대 기인물"/>
    <n v="9"/>
    <n v="3.4000000000000002E-2"/>
    <s v="2017년 12월"/>
    <d v="2017-12-01T00:00:00"/>
    <n v="12"/>
    <s v="혹한기"/>
    <x v="1"/>
    <s v="2017년 12월경 토사 매립장에서 재해자가 25톤 덤프트럭의 화물칸에 실려있는 토사를 땅바닥으로 내리는 작업과정에서 동 차량을 수신호 하던 중 동 차량과 부딪힌 후 동 차량에서 내려지는 토사에 휩쓸려 사망"/>
    <s v="시야가 미확보된 상태에서 후진하던 차량계 건설기계에 주변 근로자가 깔림"/>
    <s v="▶ 차량계 건설기계를 사용하여 작업하는 경우 유도자를 배치 및 작업반경 내 인원 통제 _x000a_▶ 운전자가 감지할 수 있는 센서 부착 및 차량 후진시 경보음 설비 설치"/>
  </r>
  <r>
    <n v="1"/>
    <x v="8"/>
    <x v="29"/>
    <x v="60"/>
    <s v="YES"/>
    <x v="3"/>
    <x v="6"/>
    <s v="12대 기인물"/>
    <n v="9"/>
    <n v="3.4000000000000002E-2"/>
    <s v="2021년 3월경"/>
    <d v="2021-03-01T00:00:00"/>
    <n v="3"/>
    <s v="-"/>
    <x v="1"/>
    <s v="2021년 3월경 택지개발사업 조성공사 현장에서 재해자가 25톤 덤프트럭으로 토사운반 작업 중 하역장소로 진입하다 후륜좌측 바퀴가 빠졌고, 그 상태에서 적재함을 들어 토사하역 중 차량이 좌측으로 전도되어 차량과 지면사이에 깔림"/>
    <s v="덤프트럭이 토사 하역장소로 진입히다가 하역장소 단부 토사가 침하하여 트럭이 전도되며 운전자 또는 주변 작업자가 깔림"/>
    <s v="▶ 차량계 건설기계의 전도방지를 위한 유도자 배치, 침하방지 등 조치 실시_x000a_▶ 덤프트럭 하역작업 시 차량 전도 등 비상사태를 예방하기 위해 안전벨트 등 보호구 상시 착용_x000a_▶ 토사 하역작업의 경우 유도자를 배치하고 지시에 따라 작업 실시"/>
  </r>
  <r>
    <n v="1"/>
    <x v="8"/>
    <x v="29"/>
    <x v="61"/>
    <s v="YES"/>
    <x v="3"/>
    <x v="4"/>
    <s v="12대 기인물"/>
    <n v="5"/>
    <n v="4.9000000000000002E-2"/>
    <s v="2016년 12월"/>
    <d v="2016-12-01T00:00:00"/>
    <n v="12"/>
    <s v="혹한기"/>
    <x v="1"/>
    <s v="2016년 12월경 ㈜OO에서 시공하는 도시가스 배관공사 현장에서 재해자가 도시가스 배관(D400mm) 부설 후 되메우기용 토사 다짐작업을 위한 굴삭기(버킷용량:0.6㎥) 주변에서 청소작업 중 후진하던 굴삭기 오른쪽 뒷바퀴에 깔려 사망"/>
    <s v="시야가 미확보된 상태에서 후진하던 차량계 건설기계에 주변 근로자가 깔림"/>
    <s v="▶ 차량계 건설기계를 사용하여 작업하는 경우 유도자를 배치 및 작업반경 내 인원 통제 _x000a_▶ 운전자가 감지할 수 있는 센서 부착 및 차량 후진시 경보음 설비 설치"/>
  </r>
  <r>
    <n v="1"/>
    <x v="8"/>
    <x v="29"/>
    <x v="61"/>
    <s v="YES"/>
    <x v="3"/>
    <x v="6"/>
    <s v="12대 기인물"/>
    <n v="9"/>
    <n v="3.4000000000000002E-2"/>
    <s v="2021년 8월경"/>
    <d v="2021-08-01T00:00:00"/>
    <n v="8"/>
    <s v="혹서기"/>
    <x v="1"/>
    <s v="2021년 8월경 여관 부지조성공사 현장에서 재해자가 소형 진동롤러(1톤, 수동형)로 2단 보강토 옹벽 시공을 위해 배면 토사 다짐작업 중 옹벽 선단부에서 롤러 방향 전환을 시도하다, 롤러가 2단 옹벽 선단부에서 이탈(높이 32cm)하여 옹벽 1~2단 사이 소단(폭 1.75m)으로 기울어지면서 롤러 운전대를 잡고 있던 재해자가 1단 옹벽 외측으로 밀려 약 4.8m 아래 콘크리트 바닥으로 떨어져 사망"/>
    <s v="덤프트럭이 토사 하역장소로 진입히다가 하역장소 단부 토사가 침하하여 트럭이 전도되며 운전자 또는 주변 작업자가 깔림"/>
    <s v="▶ 차량계 건설기계의 전도방지를 위한 유도자 배치, 침하방지 등 조치 실시_x000a_▶ 덤프트럭 하역작업 시 차량 전도 등 비상사태를 예방하기 위해 안전벨트 등 보호구 상시 착용_x000a_▶ 토사 하역작업의 경우 유도자를 배치하고 지시에 따라 작업 실시"/>
  </r>
  <r>
    <n v="1"/>
    <x v="8"/>
    <x v="30"/>
    <x v="62"/>
    <s v="YES"/>
    <x v="3"/>
    <x v="7"/>
    <s v="해당없음"/>
    <s v="해당없음"/>
    <s v="해당없음"/>
    <s v="2020년 5월경"/>
    <d v="2020-05-01T00:00:00"/>
    <n v="5"/>
    <s v="-"/>
    <x v="3"/>
    <s v="2020년 5월경 도로 보수보강공사 현장에서 재해자가 동료근로자(리모콘 조작)와 함께 화물차 리프트를 이용하여 몰탈 믹서기(120kg) 하역작업 중 동료근로자의 리모콘 오조작으로 리프트 운반구 기울어짐과 함께 몰탈 믹서기가 재해자 쪽으로 전도되면서 두부를 강타당해 사망"/>
    <s v="미장보수공사 작업기계 반입 중 동료의 리모콘 오작동으로 인한 리프트 기울어짐으로 적재물(몰탈 믹서기)이 작업자 위로 낙하"/>
    <s v="▶ 화물은 싣거나 내리는 작업 시 작업지휘자 배치 및 절차에 따른 작업 수행_x000a_▶ 떨어지는 물체에 대비하여 안전모 지급 및 착용"/>
  </r>
  <r>
    <n v="1"/>
    <x v="8"/>
    <x v="30"/>
    <x v="63"/>
    <s v="YES"/>
    <x v="3"/>
    <x v="7"/>
    <s v="해당없음"/>
    <s v="해당없음"/>
    <s v="해당없음"/>
    <s v="2021년 10월"/>
    <d v="2021-10-01T00:00:00"/>
    <n v="10"/>
    <s v="-"/>
    <x v="2"/>
    <s v="2021년 10월경 OOO항에서 재해자가 장비를 조립 하던 중 자재가 낙하하여 머리를 맞아 몸의 중심을 잃고 바지선 바닥(H≒10m)으로 추락하여 사망"/>
    <s v="장비를 조립 하던 중, 로드 밴드가 낙하하여 작업자 머리를 타격한 후 몸의 중심을 잃고 바지선 바닥으로 추락"/>
    <s v="▶ DCM장비의 로드 등 부속장비가 낙하 위험이 있는 장소에 직접 신체를 집어넣는 등의 불안정한 행동 지양_x000a_▶ 불가피하게 낙하 위험이 있는 곳에 신체를 집어넣을 경우 안전모 등 개인보호구 지급 및 착용"/>
  </r>
  <r>
    <n v="10"/>
    <x v="10"/>
    <x v="31"/>
    <x v="64"/>
    <s v="NO"/>
    <x v="3"/>
    <x v="6"/>
    <s v="12대 기인물"/>
    <n v="9"/>
    <n v="3.4000000000000002E-2"/>
    <s v="2019년 8월경"/>
    <d v="2019-08-01T00:00:00"/>
    <n v="8"/>
    <s v="혹서기"/>
    <x v="6"/>
    <s v="2019년 8월경 OO준설공사에서 재해자가 작업을 마치고 덤프트럭을 주차 후 차량전면의 라디에이터를 육안점검 하던 중 재해자 차량 앞쪽에 정차 중인 덤프트럭이 뒤로 밀리면서 두 덤프트럭 사이에 끼여 사망"/>
    <s v="작업을 마치고 경사구간 덤프트럭 주차 후 차량 전면구간 육안점검 중 앞쪽에 주차된 차량이 뒤로 밀리면서 트럭 사이에 끼임"/>
    <s v="▶ 차량계 건설기계 안전 운행 매뉴얼 작성 및 준수_x000a_▶ 차량계 건설기계를 사용하는 작업 전 작업장소의 지형 및 지반상태에 대한 사전조사 실시"/>
  </r>
  <r>
    <n v="10"/>
    <x v="10"/>
    <x v="32"/>
    <x v="65"/>
    <s v="NO"/>
    <x v="3"/>
    <x v="4"/>
    <s v="12대 기인물"/>
    <n v="5"/>
    <n v="4.9000000000000002E-2"/>
    <s v="2020년 4월경"/>
    <d v="2020-04-01T00:00:00"/>
    <n v="4"/>
    <s v="-"/>
    <x v="1"/>
    <s v="2020년 4월경 OO건설(주)이 시공하는 OO진입도로 및 OO축조공사현장에서 재해자가 해상 사석투하 작업완료 후 사석운반바지선에서 세팅바지선으로 굴삭기를 운전하여 이동 중 굴삭기와 함께 바다속으로 빠져(깊이 : 약 12m) 사망"/>
    <s v="구명조끼 미착용한 상태로 사석운반바지선에서 세팅바지선으로 굴착기를 운전하여 이동하던 중 굴착기와 함께 바다로 빠짐"/>
    <s v="▶ 작업 전 해상작업자 구명조끼 지급 준수_x000a_▶ 차량계 건설기계 작업계획서 작성"/>
  </r>
  <r>
    <n v="10"/>
    <x v="10"/>
    <x v="32"/>
    <x v="65"/>
    <s v="NO"/>
    <x v="3"/>
    <x v="5"/>
    <s v="12대 기인물"/>
    <n v="12"/>
    <n v="2.3E-2"/>
    <s v="2020년 9월경"/>
    <d v="2020-09-01T00:00:00"/>
    <n v="9"/>
    <s v="-"/>
    <x v="0"/>
    <s v="2020년 9월경 OO면 북서방 약 1.5마일 떨어진 해상에 있는 침몰선박 잔존유 확인 현장에서 부선(바지선, Barge)에 설치된 크레인을 이용한 등부표 해체작업을 하던 중 크레인에 매달려 있던 엉킨 체인이 풀리면서 침추(Sinker)가 낙하하여 아래에 있던 재해자가 맞아 사망"/>
    <s v="바지선에 설치된 크레인을 이용하여 등부표 해체작업을 하던 중 크레인에 매달려있던 엉킨체인이 풀리면서 침추(sinker)가 낙하하여 아래에 있던 재해자 맞음"/>
    <s v="▶ 인양 작업반경 내 근로자 출입금지 조치"/>
  </r>
  <r>
    <n v="10"/>
    <x v="10"/>
    <x v="32"/>
    <x v="65"/>
    <s v="NO"/>
    <x v="3"/>
    <x v="7"/>
    <s v="해당없음"/>
    <s v="해당없음"/>
    <s v="해당없음"/>
    <s v="2020년 12월"/>
    <d v="2020-12-01T00:00:00"/>
    <n v="12"/>
    <s v="혹한기"/>
    <x v="2"/>
    <s v="2020년 12월경 OO항만 부지조성공사에서 관리업무를 수행하는 재해자가 예인선과 크레인선 선미 사이 인근 해상에 빠져 익사"/>
    <s v="해상블록 거치 작업 중 안전난간이 미설치된 크레인선에서 예인선을 확인하다 추락하여 해상에서 익사"/>
    <s v="▶ 해상작업선 안전난간 설치_x000a_▶ 구명장구 이상 유무 확인"/>
  </r>
  <r>
    <n v="11"/>
    <x v="0"/>
    <x v="0"/>
    <x v="0"/>
    <s v="YES"/>
    <x v="3"/>
    <x v="4"/>
    <s v="12대 기인물"/>
    <n v="5"/>
    <n v="4.9000000000000002E-2"/>
    <s v="2016년 6월경"/>
    <d v="2016-06-01T00:00:00"/>
    <n v="6"/>
    <s v="혹서기"/>
    <x v="8"/>
    <s v="2016년 6월경 아파트 현장에서 재해자가 산벽 석축쌓기 작업 중 조경석을 인양하기 위해 회전하는 굴착기의 붐대와 충돌하여 사망"/>
    <s v="운전자 시야가 미확보된 상태에서 회전하는 굴삭기 붐대와 주변 근로자가 충돌"/>
    <s v="▶ 굴삭기 등 건설기계를 사용하여 작업 시, 작업구획 표시(웨빙띠), 신호수 배치, 접근금지 조치 등과 같은 안전조치 실시 후 작업 수행_x000a_▶ 굴삭기 등 건설기계를 사용하여 작업 시, 후방카메라의 작동유무 파악, 후사경 각도 조절 등 운전자의 시야 확보 실시_x000a_▶ 차량계 건설기계 작업전 안전 점검 실시 및 후방카메라 등 방호장치 확인"/>
  </r>
  <r>
    <n v="11"/>
    <x v="0"/>
    <x v="0"/>
    <x v="0"/>
    <s v="YES"/>
    <x v="3"/>
    <x v="9"/>
    <s v="해당없음"/>
    <s v="해당없음"/>
    <s v="해당없음"/>
    <s v="2017년 11월"/>
    <d v="2017-11-01T00:00:00"/>
    <n v="11"/>
    <s v="-"/>
    <x v="0"/>
    <s v="2017년 11월경 도로 개설공사에서 재해자가 옹벽 벽체 콘크리트 타설 중 콘크리트 펌프카 붐대가 파단되면서 등부분을 타격당해 사망"/>
    <s v="옹벽 콘크리트 타설 중 콘크리트 펌프카 붐대가 파단됨에 따라 근로자 가격"/>
    <s v="▶ 차량계 건설기계(펌프카)를 사용하여 작업하는 경우에는 사용하는 차량계 건설기계(펌프카)의 종류 및 성능, 운행경로 및 적정한 작업방법에 대한 작업계획을 수립_x000a_▶ 차량계 건설기계를 사용하여 작업 시 붐∙암의 파괴를 방지하기 위해 최대사용하중 준수_x000a_▶ 펌프카의 법적 안전검사 주기적 실시"/>
  </r>
  <r>
    <n v="11"/>
    <x v="0"/>
    <x v="0"/>
    <x v="0"/>
    <s v="YES"/>
    <x v="3"/>
    <x v="5"/>
    <s v="12대 기인물"/>
    <n v="12"/>
    <n v="2.3E-2"/>
    <s v="2018년 12월"/>
    <d v="2018-12-01T00:00:00"/>
    <n v="12"/>
    <s v="혹한기"/>
    <x v="2"/>
    <s v="2018년 12월경 도로확포장공사에서 재해자가 작업대차에 탑승한채로 이동식 크레인을 사용하여 작업장소 주변으로 이동하던 중 와이어로프 이탈로 8.5m 아래 바닥으로 추락하여 사망"/>
    <s v="이동식 크레인 후크에 연결된 와이어로프 파단으로 인양중인 작업대차와 함께 추락"/>
    <s v="▶ 중량물을 인양 전 작업계획서를 작성하고 인양하중, 양중기 제원 등을 확인하여 작업계획에 맞게 작업실시_x000a_▶ 작업 전 와이어로프의 손상여부를 확인하고, 작업 중 와이어로프 손상 시 즉시교체 후 작업 실시"/>
  </r>
  <r>
    <n v="11"/>
    <x v="0"/>
    <x v="0"/>
    <x v="0"/>
    <s v="YES"/>
    <x v="3"/>
    <x v="4"/>
    <s v="12대 기인물"/>
    <n v="5"/>
    <n v="4.9000000000000002E-2"/>
    <s v="2019년 2월경"/>
    <d v="2019-02-01T00:00:00"/>
    <n v="2"/>
    <s v="혹한기"/>
    <x v="0"/>
    <s v="2019년 2월경 공영주차장 조성공사에서 재해자가 주차장 배면부 전석쌓기 작업 중 회전하면서 굴착기 돌집게에서 이탈된 전석에 맞아 사망"/>
    <s v="굴삭기 붐 끝단에 장착 된 돌집게로 전석을 집어 붐대를 회전하던 중 돌집게에서 낙하하는 전석에 맞음"/>
    <s v="▶ 중량물 제원 및 작업장소를 고려하여 적합한 건설장비 선정 및 사용_x000a_▶ 차량계 하역운반기계 사용할 경우 작업계획서를 작성하고 작업계획에 맞게 작업실시_x000a_▶ 자재인양 등 중량물 취급작업 시 낙하위험 지역에 대해 근로자 출입 통제"/>
  </r>
  <r>
    <n v="11"/>
    <x v="0"/>
    <x v="0"/>
    <x v="0"/>
    <s v="YES"/>
    <x v="3"/>
    <x v="10"/>
    <s v="해당없음"/>
    <s v="해당없음"/>
    <s v="해당없음"/>
    <s v="2019년 7월경"/>
    <d v="2019-07-01T00:00:00"/>
    <n v="7"/>
    <s v="혹서기"/>
    <x v="2"/>
    <s v="2019년 7월경 근린생활시설 신축공사에서 재해자가 방호벽 설치를 위해 수동형 진동롤러를 사용하여 다짐을 진행하던 중 진동롤러와 함께 13m 아래 하천 바닥으로 떨어져 사망"/>
    <s v="근로자가 수동형 진동롤러를 사용하여 기초 터파기가 완료된 바닥면 다짐을 진행하던 중 수동형 진동롤러와 함께 보강토옹벽 배면 상단에서 아래 하천으로 떨어짐"/>
    <s v="▶ 옹벽상부에서 진동롤러로 다짐을 실시하는 경우 무리하게 단부에 접근을 금지_x000a_▶ 단부에서 다짐을 실시할 경우 안전대를 착용하여 추락방지조치 실시_x000a_▶ 기계 운전 시작 시 근로자 배치 및 교육, 작업방법, 방호장치 등 위험방지를 위한 조치 실시"/>
  </r>
  <r>
    <n v="11"/>
    <x v="0"/>
    <x v="0"/>
    <x v="0"/>
    <s v="YES"/>
    <x v="3"/>
    <x v="4"/>
    <s v="12대 기인물"/>
    <n v="5"/>
    <n v="4.9000000000000002E-2"/>
    <s v="2019년 7월경"/>
    <d v="2019-07-01T00:00:00"/>
    <n v="7"/>
    <s v="혹서기"/>
    <x v="8"/>
    <s v="2019년 7월경 재해자가 OO 도로 개설공사 현장에서 수로박스 상부도로의 장마철 수방용 마대 쌓기 작업을 위해 대기 중 상부 턴테이블을 돌려 운전자가 뒤를 보며 전진하던 굴삭기 앞바퀴에 깔려 사망"/>
    <s v="시야가 확보되지 않은 상태로 후진중인 굴삭기에 주변 근로자가 충돌"/>
    <s v="▶ 작업 전 굴삭기의 후방 경보기 점검을 통한 작동유무 확인_x000a_▶ 유도자 배치, 굴삭기 작업구역 설정 및 근로자 출입금지를 통한 접촉방지조치 실시"/>
  </r>
  <r>
    <n v="11"/>
    <x v="0"/>
    <x v="0"/>
    <x v="0"/>
    <s v="YES"/>
    <x v="3"/>
    <x v="4"/>
    <s v="12대 기인물"/>
    <n v="5"/>
    <n v="4.9000000000000002E-2"/>
    <s v="2019년 8월경"/>
    <d v="2019-08-01T00:00:00"/>
    <n v="8"/>
    <s v="혹서기"/>
    <x v="3"/>
    <s v="2019년 8월경 택지조성공사에서 재해자가 유로폼을 적재하기 위해 고임목 설치작업을 하던 중 굴착기 훅에 걸린 슬링벨트가 풀리면서 낙하한 유로폼 묶음(703kg)에 깔려 사망"/>
    <s v="굴삭기 훅에 걸린 슬링벨트가 풀리며 유로폼 묶음이 근로자 위로 낙하함"/>
    <s v="▶ 중량물 제원 및 작업장소를 고려하여 적합한 건설장비 선정 및 사용_x000a_▶ 차량계 하역운반기계 사용할 경우 작업계획서를 작성하고 작업계획에 맞게 작업실시_x000a_▶ 자재인양 등 중량물 취급작업 시 낙하위험 지역에 대해 근로자 출입 통제"/>
  </r>
  <r>
    <n v="11"/>
    <x v="0"/>
    <x v="0"/>
    <x v="0"/>
    <s v="YES"/>
    <x v="3"/>
    <x v="4"/>
    <s v="12대 기인물"/>
    <n v="5"/>
    <n v="4.9000000000000002E-2"/>
    <s v="2020년 10월"/>
    <d v="2020-10-01T00:00:00"/>
    <n v="10"/>
    <s v="-"/>
    <x v="0"/>
    <s v="2020년 10월경 보강토 옹벽 블록공사 현장에서 재해재가 옹벽 기초부위 블록 정렬작업 중 굴착기 집게에 빠진 블록에 맞아 사망"/>
    <s v="굴삭기 붐 끝단에 장착 된 돌집게로 전석을 집어 붐대를 회전하던 중 돌집게에서 낙하하는 전석에 맞음"/>
    <s v="▶ 중량물 제원 및 작업장소를 고려하여 적합한 건설장비 선정 및 사용_x000a_▶ 차량계 하역운반기계 사용할 경우 작업계획서를 작성하고 작업계획에 맞게 작업실시_x000a_▶ 자재인양 등 중량물 취급작업 시 낙하위험 지역에 대해 근로자 출입 통제"/>
  </r>
  <r>
    <n v="11"/>
    <x v="0"/>
    <x v="0"/>
    <x v="0"/>
    <s v="YES"/>
    <x v="3"/>
    <x v="6"/>
    <s v="12대 기인물"/>
    <n v="9"/>
    <n v="3.4000000000000002E-2"/>
    <s v="2021년 3월경"/>
    <d v="2021-03-01T00:00:00"/>
    <n v="3"/>
    <s v="-"/>
    <x v="2"/>
    <s v="2021년 3월경 옹벽설치공사에서 재해자가 식생축조블럭 자재 하역작업 중 화물자동차 적재함 후미에서 몸의 중심을 잃고 1.5m 아래로 추락하여 사망"/>
    <s v="식생축조블럭 자재 하역작업 중 블럭을 실은 화물자동차 적재함 후미에서 몸의 중심을 잃고 추락"/>
    <s v="▶ 추락할 위험이 있는 장소에서 작업할 경우 이에 맞는 안전 보호구(안전모)착용_x000a_▶ 불안정한 상태에서 하역작업(로프 해체, 덮개 제거 등) 금지"/>
  </r>
  <r>
    <n v="11"/>
    <x v="0"/>
    <x v="0"/>
    <x v="0"/>
    <s v="YES"/>
    <x v="3"/>
    <x v="4"/>
    <s v="12대 기인물"/>
    <n v="5"/>
    <n v="4.9000000000000002E-2"/>
    <s v="2021년 5월경"/>
    <d v="2021-05-01T00:00:00"/>
    <n v="5"/>
    <s v="-"/>
    <x v="8"/>
    <s v="2021년 5월경 공원 사면안정화공사에서 재해자가 굴착기 옆을 지나가다가 회전하는 굴착기에 부딪혀 사망"/>
    <s v="운전자 시야가 미확보된 상태에서 회전하는 굴삭기 붐대와 주변 근로자가 충돌"/>
    <s v="▶ 굴삭기 등 건설기계를 사용하여 작업 시, 작업구획 표시(웨빙띠), 신호수 배치, 접근금지 조치 등과 같은 안전조치 실시 후 작업 수행_x000a_▶ 굴삭기 등 건설기계를 사용하여 작업 시, 후방카메라의 작동유무 파악, 후사경 각도 조절 등 운전자의 시야 확보 실시_x000a_▶ 차량계 건설기계 작업전 안전 점검 실시 및 후방카메라 등 방호장치 확인"/>
  </r>
  <r>
    <n v="11"/>
    <x v="0"/>
    <x v="0"/>
    <x v="66"/>
    <s v="YES"/>
    <x v="3"/>
    <x v="4"/>
    <s v="12대 기인물"/>
    <n v="5"/>
    <n v="4.9000000000000002E-2"/>
    <s v="2016년 12월"/>
    <d v="2016-12-01T00:00:00"/>
    <n v="12"/>
    <s v="혹한기"/>
    <x v="1"/>
    <s v="2016년 12월경 초등학교 신축공사 현장에서 재해자(장비운전원)가 경계석 설치작업 중 굴착기 버킷에 골재를 담아 이동 후 회전하다 무게중심을 잃고 전도되면서 장비에 깔려 사망"/>
    <s v=" 굴삭기가 이동 중 붐을 펼치고 회전하는 순간 무게중심을 잃고 전도되어 근로자가 장비에 깔림"/>
    <s v="▶ 중량물을 인양한 상태에서 무리한 속도로 회전하는 등의 장비조작 금지_x000a_▶ 전도를 예방하기 위해 굴삭기 이동경로 및 작업 장소 등의 지반을 평탄화 작업 실시_x000a_▶ 중량물 인양 시 굴삭기의 정격하중을 준수하여 무리한 중량물 인양 금지"/>
  </r>
  <r>
    <n v="11"/>
    <x v="0"/>
    <x v="0"/>
    <x v="66"/>
    <s v="YES"/>
    <x v="3"/>
    <x v="6"/>
    <s v="12대 기인물"/>
    <n v="9"/>
    <n v="3.4000000000000002E-2"/>
    <s v="2018년 1월경"/>
    <d v="2018-01-01T00:00:00"/>
    <n v="1"/>
    <s v="혹한기"/>
    <x v="1"/>
    <s v="2018년 1월경 대지조성공사에서 골재를 지면에 쏟아 내리던 중 균형을 잃고 넘어지는 덤프트럭에 1명 부상, 골재에 매몰되어 1명 사망"/>
    <s v="덤프트럭이 적재함을 들어올리고 이동중 균형을 잃고 전도됨"/>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11"/>
    <x v="0"/>
    <x v="0"/>
    <x v="66"/>
    <s v="YES"/>
    <x v="3"/>
    <x v="7"/>
    <s v="해당없음"/>
    <s v="해당없음"/>
    <s v="해당없음"/>
    <s v="2018년 9월경"/>
    <d v="2018-09-01T00:00:00"/>
    <n v="9"/>
    <s v="-"/>
    <x v="1"/>
    <s v="2018년 9월경 산업단지 진입도로 공사에서 재해자가 불도저(20.6Ton)의 작업지휘 업무를 수행하던 중 후진하던 불도저 궤도에 충돌, 협착되어 사망"/>
    <s v="아스팔트 파편 정리작업 중 후진하는 굴삭기 바퀴에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11"/>
    <x v="0"/>
    <x v="0"/>
    <x v="66"/>
    <s v="YES"/>
    <x v="3"/>
    <x v="4"/>
    <s v="12대 기인물"/>
    <n v="5"/>
    <n v="4.9000000000000002E-2"/>
    <s v="2021년 3월경"/>
    <d v="2021-03-01T00:00:00"/>
    <n v="3"/>
    <s v="-"/>
    <x v="1"/>
    <s v="2021년 3월경 배수관로 설치공사에서 재해자가 빗자루를 이용하여 아스팔트 파편 정리작업을 하던 중 버킷을 교체하고 후진하던 굴착기 바퀴에 깔려 사망"/>
    <s v="아스팔트 파편 정리작업 중 후진하는 굴삭기 바퀴에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11"/>
    <x v="0"/>
    <x v="0"/>
    <x v="66"/>
    <s v="YES"/>
    <x v="3"/>
    <x v="4"/>
    <s v="12대 기인물"/>
    <n v="5"/>
    <n v="4.9000000000000002E-2"/>
    <s v="2021년 9월경"/>
    <d v="2021-09-01T00:00:00"/>
    <n v="9"/>
    <s v="-"/>
    <x v="6"/>
    <s v="2021년 9월경 철도 레일중량화 공사현장에서 재해자가 굴착기 후방에서 PC침목 교환 작업 준비 중 선회하는 굴착기 카운트웨이트와 도저블레이드 사이에 두부가 협착되어 사망"/>
    <s v="시야확보가 되지 않은 상태로 선회하는 굴착기 카운터웨이트와 도저블레이드 사이에 근로자가 협착"/>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11"/>
    <x v="0"/>
    <x v="33"/>
    <x v="67"/>
    <s v="YES"/>
    <x v="3"/>
    <x v="6"/>
    <s v="12대 기인물"/>
    <n v="9"/>
    <n v="3.4000000000000002E-2"/>
    <s v="2019년 8월경"/>
    <d v="2019-08-01T00:00:00"/>
    <n v="8"/>
    <s v="혹서기"/>
    <x v="8"/>
    <s v="2019년 8월경 철도 건설공사에서 재해자가 폐기물 처리차량(24t)에 상차작업 중 압롤트럭이 비탈면으로 밀리면서 운전원이 차량 밖으로 뛰어내린 후 트럭 운전석 뒷바퀴에 깔려 사망"/>
    <s v="경사로에 주차 중인 차량의 제동장치 이상으로 굴러 내려오는 차량에 충돌"/>
    <s v="▶ 차량계 하역운반기계에서 운전자가 운전석을 이탈하는 경우 주차 브레이크의 확실한 체결 및 차량 고임목 설치_x000a_▶ 차량계 건설기계 사용 작업시 사전에 차량의 제동장치 기능 이상 유무 점검_x000a_▶ 경사로의 주차하는 경우 핸드(주차) 브레이크와 풋 브레이크를 함께 사용"/>
  </r>
  <r>
    <n v="11"/>
    <x v="0"/>
    <x v="33"/>
    <x v="68"/>
    <s v="YES"/>
    <x v="3"/>
    <x v="10"/>
    <s v="해당없음"/>
    <s v="해당없음"/>
    <s v="해당없음"/>
    <s v="2017년 7월경"/>
    <d v="2017-07-01T00:00:00"/>
    <n v="7"/>
    <s v="혹서기"/>
    <x v="2"/>
    <s v="2017년 7월경 시험실 건설공사 현장에서 재해자가 가설도로 지반다짐 작업을 하던 중 경사면을 따라 하향으로 이동하는 진동 롤러에서 지면으로 떨어져 사망"/>
    <s v="브레이크 등이 파열되어 정상작동이 불가능한 진동 롤러에서 운전원이 추락"/>
    <s v="▶ 건설기계 운전자는 작업중에는 안전벨트를 착용하고 장비운행 중 불필요한 자리이탈 금지_x000a_▶ 위험기계(진동 롤러) 대여시 점검 및 작업시작 전 점검 실시(브레이크, 클러치 등 기능, 유압유 누출, 레버 스위치)_x000a_▶ 위험기계(진동 롤러) 대여 받는 자는 운전 자격이 있는 인원만 운행 가능"/>
  </r>
  <r>
    <n v="11"/>
    <x v="0"/>
    <x v="34"/>
    <x v="69"/>
    <s v="YES"/>
    <x v="3"/>
    <x v="4"/>
    <s v="12대 기인물"/>
    <n v="5"/>
    <n v="4.9000000000000002E-2"/>
    <s v="2019년 OO건"/>
    <s v="X"/>
    <e v="#VALUE!"/>
    <e v="#VALUE!"/>
    <x v="0"/>
    <s v="2019년 OO건설 OO공사현장에서 OO고속도로 IC램프 차로확장 작업을 하기위해 백호우 붐대에 브레이커를 장착 기존 램프도로 가장자리 U형 측구 구조물 파쇄 작업도중 파쇄된 콘크리트 파편이 비산 되면서 재해자의 왼쪽 안면 턱 부위를 강타하여 사망"/>
    <s v="브레이커를 이용하여 도로측구 구조물 파쇄 작업을 하던 중 파쇄된 콘크리트 파편이 비산되면서 재해자 얼굴 강타"/>
    <s v="▶ 비래위험구간 작업반경 내 작업자의 출입을 금지하며 유도자 및 신호수 배치_x000a_▶ 구조물 파쇄 작업 시 인근에 작업자 존재 유무를 수시로 파악, 관리"/>
  </r>
  <r>
    <n v="11"/>
    <x v="0"/>
    <x v="34"/>
    <x v="70"/>
    <s v="YES"/>
    <x v="3"/>
    <x v="4"/>
    <s v="12대 기인물"/>
    <n v="5"/>
    <n v="4.9000000000000002E-2"/>
    <s v="2017년 6월경"/>
    <d v="2017-06-01T00:00:00"/>
    <n v="6"/>
    <s v="혹서기"/>
    <x v="6"/>
    <s v="2017년 6월경 지중화 전기공사 현장에서 재해자가 굴착기의 버킷에 전신주를 걸어 이동하던 중 경사로 구간에서 전도되는 굴착기에 협착되어 사망"/>
    <s v="굴삭기 버켓에 줄걸이 후 운반중 굴삭기 전도에 의해 운전자가 운전석 이탈되어 굴삭기에 협착"/>
    <s v="▶ 굴삭기 사용 중량물 양중시 정격하중 준수 _x000a_▶ 작업 시 장비 운전수 안전띠 착용 조치_x000a_▶ 중량물 인양 시 굴삭기의 정격하중을 준수하여 무리한 중량물 인양 금지_x000a_▶ 차량계 건설기계 사용시 작업 장소 내에 근로자의 출입 통제_x000a_▶ 유도자를 배치하여 차량계 건설기계 유도"/>
  </r>
  <r>
    <n v="11"/>
    <x v="0"/>
    <x v="34"/>
    <x v="70"/>
    <s v="YES"/>
    <x v="3"/>
    <x v="4"/>
    <s v="12대 기인물"/>
    <n v="5"/>
    <n v="4.9000000000000002E-2"/>
    <s v="2018년 10월"/>
    <d v="2018-10-01T00:00:00"/>
    <n v="10"/>
    <s v="-"/>
    <x v="8"/>
    <s v="2018년 10월경 통신설비 이설공사 현장에서 재해자가 부재를 정리하던 중 후진하던 굴착기에 충돌하여 사망"/>
    <s v="근로자가 빗자루로 아스콘 부재를 정리하던 중 후진하던 굴삭기에 충돌"/>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11"/>
    <x v="0"/>
    <x v="1"/>
    <x v="1"/>
    <s v="YES"/>
    <x v="3"/>
    <x v="6"/>
    <s v="12대 기인물"/>
    <n v="9"/>
    <n v="3.4000000000000002E-2"/>
    <s v="2020년 1월경"/>
    <d v="2020-01-01T00:00:00"/>
    <n v="1"/>
    <s v="혹한기"/>
    <x v="6"/>
    <s v="2020년 1월경 OO시 OO구 소재 하수관로 정비 현장에서 ㈜OOOO 소속 재해자(OOO)는 파쇄된 콘크리트 등을 덤프트럭에 싣기 위해 차량 시동 후 하차하여 고임목을 제거하였고, 차량이 경사진 도로 전방으로 미끄러지자 차량을 정지 시키려하다 벽과 덤프트럭 사이에 끼여 사망한 재해임._x000d_"/>
    <s v="차량운행을 위해 고임목 제거 후 갑자기 차량이 경사면으로 미끄러져 운전자가 벽과 덤프트럭 사이에 끼임"/>
    <s v="▶ 차량계 하역운반기계에서 운전자가 운전석을 이탈하는 경우 주차 브레이크의 확실한 체결 및 차량 고임목 설치_x000a_▶ 차량계 건설기계 사용 작업시 사전에 차량의 제동장치 기능 이상 유무 점검_x000a_▶ 경사로의 주차하는 경우 핸드(주차) 브레이크와 풋 브레이크를 함께 사용_x000a_▶ 차량계 하역운반기계가 경사로로 밀려 내러가는 경우, 무리하게 인력으로 차량 앞을 막아서는 행위 금지"/>
  </r>
  <r>
    <n v="11"/>
    <x v="0"/>
    <x v="1"/>
    <x v="1"/>
    <s v="YES"/>
    <x v="3"/>
    <x v="4"/>
    <s v="12대 기인물"/>
    <n v="5"/>
    <n v="4.9000000000000002E-2"/>
    <s v="2020년 3월경"/>
    <d v="2020-03-01T00:00:00"/>
    <n v="3"/>
    <s v="-"/>
    <x v="8"/>
    <s v="2020년 3월경 OOO도 OO시 OO면 소재 OOOO(주) OOOO 도로확포장공사 현장에서 굴삭기(0.6㎥)가 도로 측면 터파기 작업장소로 이동하기 위하여 약 6m 폭의 도로를 주행하던 중 맞은편에서 다가오는 재해자와 충돌하여 사망한 재해임."/>
    <s v="굴삭기가 도로 측면 터파기 작업장소로 이동 중 근로자 통로가 별도로 구획되어 있지 않아 주행 중 맞은편 근로자와 충돌"/>
    <s v="▶ 작업장 내 건설장비와 근로자의 이동동선이 겹치지 않도록 별도로 구획하며, 부득이한 경우 신호수를 배치하여 장비 및 근로자 이동_x000a_▶ 건설장비 사용 전 작업계획서를 작성하여 작업방법, 이동통로 등 계획"/>
  </r>
  <r>
    <n v="11"/>
    <x v="0"/>
    <x v="1"/>
    <x v="1"/>
    <s v="YES"/>
    <x v="3"/>
    <x v="4"/>
    <s v="12대 기인물"/>
    <n v="5"/>
    <n v="4.9000000000000002E-2"/>
    <s v="2020년 9월경"/>
    <d v="2020-09-01T00:00:00"/>
    <n v="9"/>
    <s v="-"/>
    <x v="1"/>
    <s v="2020년 9월경 OOO시 OO구 OO동 소재 OOOO(주)가 시공 중인 「OOOO 일원 노후관 교체공사」현장에서 재해자가 굴삭기를 운전하여 화물자동차에서 내리던 중 넘어지는 굴삭기에 깔려 병원으로 이송치료 중 사망한 재해임."/>
    <s v="굴삭기를 현장으로 반입하기 위해 화물차에서 굴삭기를 내리는 중 전도되는 굴삭기에 깔림"/>
    <s v="▶ 화물자동차에서 발판 등을 사용하여 굴삭기를 내리는 경우 충분한 길이, 폭, 강도를 가진것을 사용_x000a_▶ 굴삭기 스스로 화물차에서 하역하는 경우 지반이 평탄한 곳에서 작업하며, 작업계획서에 따른 작업실시"/>
  </r>
  <r>
    <n v="11"/>
    <x v="0"/>
    <x v="1"/>
    <x v="1"/>
    <s v="YES"/>
    <x v="3"/>
    <x v="6"/>
    <s v="12대 기인물"/>
    <n v="9"/>
    <n v="3.4000000000000002E-2"/>
    <s v="11월경, OOO"/>
    <s v="X"/>
    <e v="#VALUE!"/>
    <e v="#VALUE!"/>
    <x v="6"/>
    <s v="11월경, OOO시 소재 OO지구 지방상수도 매설공사 현장에서 재해자 OOO이 경사도로면 토사 상차작업을 위해 트럭에 탑승한 상태로 정차하여 대기하던 중 덤프트럭이 갑자기 내리막길로 움직여 약 40m 아래 반대편 차선의 옹벽에 충돌하면서 재해자가 트럭에서 이탈되어 쓰러진 채로 발견됨._x000d_"/>
    <s v="차량운행을 위해 고임목 제거 후 갑자기 차량이 경사면으로 미끄러져 운전자가 벽과 덤프트럭 사이에 끼임"/>
    <s v="▶ 차량계 하역운반기계에서 운전자가 운전석을 이탈하는 경우 주차 브레이크의 확실한 체결 및 차량 고임목 설치_x000a_▶ 차량계 건설기계 사용 작업시 사전에 차량의 제동장치 기능 이상 유무 점검_x000a_▶ 경사로의 주차하는 경우 핸드(주차) 브레이크와 풋 브레이크를 함께 사용_x000a_▶ 차량계 하역운반기계가 경사로로 밀려 내러가는 경우, 무리하게 인력으로 차량 앞을 막아서는 행위 금지"/>
  </r>
  <r>
    <n v="11"/>
    <x v="0"/>
    <x v="1"/>
    <x v="2"/>
    <s v="YES"/>
    <x v="3"/>
    <x v="4"/>
    <s v="12대 기인물"/>
    <n v="5"/>
    <n v="4.9000000000000002E-2"/>
    <s v="2016년 2월경"/>
    <d v="2016-02-01T00:00:00"/>
    <n v="2"/>
    <s v="혹한기"/>
    <x v="8"/>
    <s v="2016년 2월경 OO시 OO구 OO읍 소재, ㈜OOOO이 시공 중인 아파트 신축공사 현장에서 배관공인 재해자가 관로 부설 작업 중 굴삭기에 부딪쳐 사망한 재해임"/>
    <s v="장비유도자 없이 관로 부설 작업 중 굴삭기와 근로자가 충돌"/>
    <s v="▶ 유도자 배치하여 근로자 접촉방지 조치 실시_x000a_▶ 굴삭기 되메우기 등 장비작업에 의한 부딪힘과 같은 재해 발생위험이 높을 경우 타작업의 동시 수행금지_x000a_▶ 카메라 부착 또는 후방에 근로자의 접근을 알리는 후방센서, 경보장치 등 부착_x000a_▶ 차량계 건설기계 작업전 안전 점검 실시 및 후방카메라 등 방호장치 확인"/>
  </r>
  <r>
    <n v="11"/>
    <x v="0"/>
    <x v="1"/>
    <x v="2"/>
    <s v="YES"/>
    <x v="3"/>
    <x v="4"/>
    <s v="12대 기인물"/>
    <n v="5"/>
    <n v="4.9000000000000002E-2"/>
    <s v="2016년 5월경"/>
    <d v="2016-05-01T00:00:00"/>
    <n v="5"/>
    <s v="-"/>
    <x v="8"/>
    <s v="2016년 5월경 OO시 OO구 OO동 소재 OOOO(주) 『OOOO 오수관로 정비공사』현장에서 오수관로 매설작업을 위한 터파기(GL=-2.4m) 작업 후 굴삭기를 이용하여 오수관로 운반 및 연결 작업을 하다가 굴삭기 바퀴(무한궤도) 호안기초에 일부 걸쳐져 있다 내려앉으며 굴삭기 붐이 재해자 방향으로 순식간에 기울어지며 버켓이 체결되어 있지 않은 굴삭기 붐 단부가 재해자의 두부를 타격하여  사망한 재해임."/>
    <s v="장비유도자 없이 관로 부설 작업 중 굴삭기와 근로자가 충돌"/>
    <s v="▶ 유도자 배치하여 근로자 접촉방지 조치 실시_x000a_▶ 굴삭기 되메우기 등 장비작업에 의한 부딪힘과 같은 재해 발생위험이 높을 경우 타작업의 동시 수행금지_x000a_▶ 카메라 부착 또는 후방에 근로자의 접근을 알리는 후방센서, 경보장치 등 부착_x000a_▶ 차량계 건설기계 작업전 안전 점검 실시 및 후방카메라 등 방호장치 확인"/>
  </r>
  <r>
    <n v="11"/>
    <x v="0"/>
    <x v="1"/>
    <x v="2"/>
    <s v="YES"/>
    <x v="3"/>
    <x v="4"/>
    <s v="12대 기인물"/>
    <n v="5"/>
    <n v="4.9000000000000002E-2"/>
    <s v="2016년 7월경"/>
    <d v="2016-07-01T00:00:00"/>
    <n v="7"/>
    <s v="혹서기"/>
    <x v="6"/>
    <s v="2016년 7월경, OOO도 OO군 OO읍 소재, 『OOOO(주) OOO 하수관로 정비사업 시설공사』현장에서 맨홀과 오수관로 연결부에서 인력굴착한 잔여토사를 반출하려던 굴삭기 버켓에 관로배관 연결 준비작업 중이던 재해자가 굴삭기 버켓과 흙막이지보재 사이에 협착하여 사망한 재해임"/>
    <s v="관로작업 중 굴삭기 버켓과 흙막이 지보재 사이에 협착"/>
    <s v="▶ 굴착면적에 따를 버킷 교체시 유압이 해제될 경우에도 연결장치(Quick coupler)에서 버킷 이탈방지를 위해 안전핀 체결하여 이중 잠금장치 실시_x000a_▶ 차량계 건설기계를 사용하여 굴착 등 작업을 하는 경우 유도자를 배치하여 안전하게 작업 수행"/>
  </r>
  <r>
    <n v="11"/>
    <x v="0"/>
    <x v="1"/>
    <x v="2"/>
    <s v="YES"/>
    <x v="3"/>
    <x v="6"/>
    <s v="12대 기인물"/>
    <n v="9"/>
    <n v="3.4000000000000002E-2"/>
    <s v="2016년 12월"/>
    <d v="2016-12-01T00:00:00"/>
    <n v="12"/>
    <s v="혹한기"/>
    <x v="1"/>
    <s v="2016년 12월경 OOO도 OO군 OO읍 소재 OOOO상수관로 설치공사현장에서 재해자가 폐기물 운반용 트럭(2.5ton)을 운전하여 적재장소(경사지) 상부에 도착하였을 때, 차량 작동 상태 이상을 감지하여 차량 하부를 점검하던 중 유니버셜 조인트가 탈락되면서 차량이 아래로 굴러 바퀴에 깔린 것으로 추정되는 재해임_x000d__x000d_"/>
    <s v="차량 하부를 점검 시 유니버셜 조인트가 탈락되면서 차량이 아래로 굴러 근로자가 깔림"/>
    <s v="▶ 차량계 하역운반기계에서 운전자가 운전석을 이탈하는 경우 주차 브레이크의 확실한 체결 및 차량 고임목 설치_x000a_▶ 차량계 건설기계 사용 작업시 사전에 차량의 제동장치 기능 이상 유무 점검_x000a_▶ 경사로의 주차하는 경우 핸드(주차) 브레이크와 풋 브레이크를 함께 사용_x000a_▶ 차량계 하역운반기계가 경사로로 밀려 내러가는 경우, 무리하게 인력으로 차량 앞을 막아서는 행위 금지"/>
  </r>
  <r>
    <n v="11"/>
    <x v="0"/>
    <x v="1"/>
    <x v="2"/>
    <s v="YES"/>
    <x v="3"/>
    <x v="4"/>
    <s v="12대 기인물"/>
    <n v="5"/>
    <n v="4.9000000000000002E-2"/>
    <s v="2017년 5월경"/>
    <d v="2017-05-01T00:00:00"/>
    <n v="5"/>
    <s v="-"/>
    <x v="3"/>
    <s v="2017년 5월경 OOO도 OO시 OO면 소재 OOOO(주)이 시공하는 (주)OO 화물용 엘리베이터 증축 및 부대공사 현장에서 통신맨홀을 굴착저면(깊이 약 1m)에 재설치 한 후 재해자는 재설치한 맨홀을 다시 위치 조정하여 재설치하기 위해 맨홀을 설치한 바닥면으로 내려가 슬링벨트로 맨홀 줄걸이작업 준비중이었고 굴삭기 운전자는 재해자가 작업중인 맨홀 바로 위에 버킷을 정지시킨 상태에서 재해자가 굴착저면으로 내려간걸 보지 못하고 버킷을 움직이는 순간 퀵커플러에 부착된 버킷(용량 0.2㎥,중량 약 200kg)이 탈락되어 약 1m 아래 굴착부로 떨어지면서  재해자를 강타하여 사망한 재해임"/>
    <s v="관로작업 중 굴삭기에서 갑자기 버킷이 탈락하여 근로자에게 낙하"/>
    <s v="▶ 굴착면적에 따를 버킷 교체시 유압이 해제될 경우에도 연결장치(Quick coupler)에서 버킷 이탈방지를 위해 안전핀 체결하여 이중 잠금장치 실시_x000a_▶ 차량계 건설기계를 사용하여 굴착 등 작업을 하는 경우 유도자를 배치하여 안전하게 작업 수행"/>
  </r>
  <r>
    <n v="11"/>
    <x v="0"/>
    <x v="1"/>
    <x v="2"/>
    <s v="YES"/>
    <x v="3"/>
    <x v="4"/>
    <s v="12대 기인물"/>
    <n v="5"/>
    <n v="4.9000000000000002E-2"/>
    <s v="2017년 7월경"/>
    <d v="2017-07-01T00:00:00"/>
    <n v="7"/>
    <s v="혹서기"/>
    <x v="8"/>
    <s v="2017년 7월경 OO시 OO군 소재 OOOO 배수로정비공사 현장에서 재해자가 배수로 수로관 안에 쌓인 모래를 정리하는 작업 중 인근에서 작업중이던 굴삭기에 충돌 후 바퀴에 깔려 사망한 재해임."/>
    <s v="장비유도자 없이 관로 부설 작업 중 굴삭기와 근로자가 충돌"/>
    <s v="▶ 유도자 배치하여 근로자 접촉방지 조치 실시_x000a_▶ 굴삭기 되메우기 등 장비작업에 의한 부딪힘과 같은 재해 발생위험이 높을 경우 타작업의 동시 수행금지_x000a_▶ 카메라 부착 또는 후방에 근로자의 접근을 알리는 후방센서, 경보장치 등 부착_x000a_▶ 차량계 건설기계 작업전 안전 점검 실시 및 후방카메라 등 방호장치 확인"/>
  </r>
  <r>
    <n v="11"/>
    <x v="0"/>
    <x v="1"/>
    <x v="2"/>
    <s v="YES"/>
    <x v="3"/>
    <x v="4"/>
    <s v="12대 기인물"/>
    <n v="5"/>
    <n v="4.9000000000000002E-2"/>
    <s v="2018년 1월경"/>
    <d v="2018-01-01T00:00:00"/>
    <n v="1"/>
    <s v="혹한기"/>
    <x v="8"/>
    <s v="2018년 1월경 OO도 OO시 OO구 소재 ㈜OOOO, OOOO하수관로 정비공사 현장에서 재해자가 하수관로 맨홀을 운반하기 위해 차량(덤프트럭)으로 이동중 뒤 따라오던 굴삭기에 깔려 현장에서 사망한 재해임 "/>
    <s v="장비유도자 없이 관로 부설 작업 중 굴삭기와 근로자가 충돌"/>
    <s v="▶ 유도자 배치하여 근로자 접촉방지 조치 실시_x000a_▶ 굴삭기 되메우기 등 장비작업에 의한 부딪힘과 같은 재해 발생위험이 높을 경우 타작업의 동시 수행금지_x000a_▶ 카메라 부착 또는 후방에 근로자의 접근을 알리는 후방센서, 경보장치 등 부착_x000a_▶ 차량계 건설기계 작업전 안전 점검 실시 및 후방카메라 등 방호장치 확인"/>
  </r>
  <r>
    <n v="11"/>
    <x v="0"/>
    <x v="1"/>
    <x v="2"/>
    <s v="YES"/>
    <x v="3"/>
    <x v="4"/>
    <s v="12대 기인물"/>
    <n v="5"/>
    <n v="4.9000000000000002E-2"/>
    <s v="2018년 6월경"/>
    <d v="2018-06-01T00:00:00"/>
    <n v="6"/>
    <s v="혹서기"/>
    <x v="8"/>
    <s v="2018년 6월경, OOO시 OO면 소재 OOOO 하수처리시설 설치공사 현장에서, 재해자 OOO가, 오수관로매설 후 토사를 되 메우는 과정에서, 다짐작업을 진행하던 굴삭기 뒤에서 주변토사를 정리하던 중, 후진하는 굴삭기 오른쪽 바퀴에 깔려 사망한 재해임."/>
    <s v="장비유도자 없이 관로 부설 작업 중 굴삭기와 근로자가 충돌"/>
    <s v="▶ 유도자 배치하여 근로자 접촉방지 조치 실시_x000a_▶ 굴삭기 되메우기 등 장비작업에 의한 부딪힘과 같은 재해 발생위험이 높을 경우 타작업의 동시 수행금지_x000a_▶ 카메라 부착 또는 후방에 근로자의 접근을 알리는 후방센서, 경보장치 등 부착_x000a_▶ 차량계 건설기계 작업전 안전 점검 실시 및 후방카메라 등 방호장치 확인"/>
  </r>
  <r>
    <n v="11"/>
    <x v="0"/>
    <x v="1"/>
    <x v="2"/>
    <s v="YES"/>
    <x v="3"/>
    <x v="6"/>
    <s v="12대 기인물"/>
    <n v="9"/>
    <n v="3.4000000000000002E-2"/>
    <s v="2018년 9월경"/>
    <d v="2018-09-01T00:00:00"/>
    <n v="9"/>
    <s v="-"/>
    <x v="1"/>
    <s v="2018년 9월경, OOO도 OO군 OO면 소재 (자)OOOO OOOO 농촌 생활용수 개발공사현장에서 유도자 OOO이 상수도 관로매설작업 진행 도로(왕복2차선)에서 이동차량 및 차량계건설기계 유도업무 중 후진하는 덤프트럭 (14.5톤)에 접촉되며 뒷바퀴에 깔려 사망한 재해임"/>
    <s v="관로매설작업 중 유도업무를 하는 작업자가 후진하는 덤프트럭에 접촉되며 뒷바퀴에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카메라 부착 또는 후방에 근로자의 접근을 알리는 후방센서, 경보장치 등 부착_x000a_▶ 차량계 건설기계 작업전 안전 점검 실시 및 후방카메라 등 방호장치 확인"/>
  </r>
  <r>
    <n v="11"/>
    <x v="0"/>
    <x v="1"/>
    <x v="2"/>
    <s v="YES"/>
    <x v="3"/>
    <x v="4"/>
    <s v="12대 기인물"/>
    <n v="5"/>
    <n v="4.9000000000000002E-2"/>
    <s v="2018년 9월경"/>
    <d v="2018-09-01T00:00:00"/>
    <n v="9"/>
    <s v="-"/>
    <x v="8"/>
    <s v="2018년 9월경, OOO시 OO구 OO동 소재 ㈜OOO에서 시공하는 OOOO 배전간선 설치공사 현장에서 재해자가 합성수지 파형관로 이음관 운반 중 인접하여 작업 중이던 굴삭기(0.6m3)의 후방 타이어에 부딪히며 깔려 사망한 재해임."/>
    <s v="장비유도자 없이 관로 부설 작업 중 굴삭기와 근로자가 충돌"/>
    <s v="▶ 유도자 배치하여 근로자 접촉방지 조치 실시_x000a_▶ 굴삭기 되메우기 등 장비작업에 의한 부딪힘과 같은 재해 발생위험이 높을 경우 타작업의 동시 수행금지_x000a_▶ 카메라 부착 또는 후방에 근로자의 접근을 알리는 후방센서, 경보장치 등 부착_x000a_▶ 차량계 건설기계 작업전 안전 점검 실시 및 후방카메라 등 방호장치 확인"/>
  </r>
  <r>
    <n v="11"/>
    <x v="0"/>
    <x v="1"/>
    <x v="2"/>
    <s v="YES"/>
    <x v="3"/>
    <x v="6"/>
    <s v="12대 기인물"/>
    <n v="9"/>
    <n v="3.4000000000000002E-2"/>
    <s v="2019년 4월경"/>
    <d v="2019-04-01T00:00:00"/>
    <n v="4"/>
    <s v="-"/>
    <x v="1"/>
    <s v="2019년 4월경, OOO도 OO시 소재 OOOO파쇄공사 현장에서, 재해자가 폐기물 상차용 덤프트럭을 후방에서 신호하던 중, 정차된 집게차 측면부와 덤프트럭 후미 사이에 협착"/>
    <s v="관로매설작업 중 유도업무를 하는 작업자가 후진하는 덤프트럭에 접촉되며 뒷바퀴에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카메라 부착 또는 후방에 근로자의 접근을 알리는 후방센서, 경보장치 등 부착_x000a_▶ 차량계 건설기계 작업전 안전 점검 실시 및 후방카메라 등 방호장치 확인"/>
  </r>
  <r>
    <n v="11"/>
    <x v="0"/>
    <x v="1"/>
    <x v="2"/>
    <s v="YES"/>
    <x v="3"/>
    <x v="6"/>
    <s v="12대 기인물"/>
    <n v="9"/>
    <n v="3.4000000000000002E-2"/>
    <s v="2019년 4월경"/>
    <d v="2019-04-01T00:00:00"/>
    <n v="4"/>
    <s v="-"/>
    <x v="1"/>
    <s v="2019년 4월경 OOO도 OO시 OO면 소재 OOOOOO(주)가 시공하는「OOOO생활용수 개발 확충사업」 현장에서 지방도 포장면 아스콘을 컷팅 및 굴착 후 상수도관을 매설하고, 토사 되메우기와 골재를 덤프트럭으로 다짐하는 과정에서 직영 보통인부인 재해자가 주변에서 빗자루로 청소·정리작업을 하던 중, 후진하던 덤프트럭에 깔려 사망한 재해임."/>
    <s v="관로매설작업 중 유도업무를 하는 작업자가 후진하는 덤프트럭에 접촉되며 뒷바퀴에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카메라 부착 또는 후방에 근로자의 접근을 알리는 후방센서, 경보장치 등 부착_x000a_▶ 차량계 건설기계 작업전 안전 점검 실시 및 후방카메라 등 방호장치 확인"/>
  </r>
  <r>
    <n v="11"/>
    <x v="0"/>
    <x v="1"/>
    <x v="2"/>
    <s v="YES"/>
    <x v="3"/>
    <x v="4"/>
    <s v="12대 기인물"/>
    <n v="5"/>
    <n v="4.9000000000000002E-2"/>
    <s v="2019년 5월경"/>
    <d v="2019-05-01T00:00:00"/>
    <n v="5"/>
    <s v="-"/>
    <x v="3"/>
    <s v="2019년 5월경 OOO도 OO시 OO면 소재 OOOO(주)이 시공하는 OOOO 샌드위치판넬 제거 및 기타실 증축공사 현장에서 배관공인 재해자가 사각 집수정 맨홀 매설 및 파형강관 연결작업을 위해 약 2m 굴착하부에서 대기 중 굴착을 위해 버킷을 교체하고 선회한 굴삭기에서 버킷이 탈락해 아래로 굴러 떨어져 재해자의 등을 가격하였고, 맨홀과 탈락한 버킷 사이에 낀 재해자를 구조해 병원이송 후 치료 중 사망한 재해임."/>
    <s v="관로작업 중 굴삭기에서 갑자기 버킷이 탈락하여 근로자에게 낙하"/>
    <s v="▶ 굴착면적에 따를 버킷 교체시 유압이 해제될 경우에도 연결장치(Quick coupler)에서 버킷 이탈방지를 위해 안전핀 체결하여 이중 잠금장치 실시_x000a_▶ 차량계 건설기계를 사용하여 굴착 등 작업을 하는 경우 유도자를 배치하여 안전하게 작업 수행"/>
  </r>
  <r>
    <n v="11"/>
    <x v="0"/>
    <x v="1"/>
    <x v="2"/>
    <s v="YES"/>
    <x v="3"/>
    <x v="4"/>
    <s v="12대 기인물"/>
    <n v="5"/>
    <n v="4.9000000000000002E-2"/>
    <s v="2019년 12월"/>
    <d v="2019-12-01T00:00:00"/>
    <n v="12"/>
    <s v="혹한기"/>
    <x v="1"/>
    <s v="2019년 12월경 OO시 소재 OOOO 배수로 정비공사 현장에서 PC(Precast Concrete)사각맨홀(약1.83ton, 가로1m×세로1m×높이1.7m)을 설치하기 위해 굴삭기를 사용하여 맨홀을 인양·운반하고, 매설 지점에서 내리는 순간굴삭기가 전도되어 우측면에 있던 재해자 OOO이 굴삭기에 깔려 사망한 재해임"/>
    <s v="굴삭기를 사용하여 맨홀 인양 및 운반 중 균형을 잃고 전도되어 근로자 깔림"/>
    <s v="▶ 중량물 인양 시 굴삭기의 정격하중을 준수하여 무리한 중량물 인양 금지_x000a_▶ 차량계 건설기계 사용시 작업 장소 내에 근로자의 출입 통제_x000a_▶ 유도자를 배치하여 차량계 건설기계 유도"/>
  </r>
  <r>
    <n v="11"/>
    <x v="0"/>
    <x v="1"/>
    <x v="2"/>
    <s v="YES"/>
    <x v="3"/>
    <x v="4"/>
    <s v="12대 기인물"/>
    <n v="5"/>
    <n v="4.9000000000000002E-2"/>
    <s v="2020년 1월경"/>
    <d v="2020-01-01T00:00:00"/>
    <n v="1"/>
    <s v="혹한기"/>
    <x v="1"/>
    <s v="2020년 1월경 OO시 OO구 OO동 소재 관로정비공사 현장에서 재해자1 OOO이 굴착기를 운전하여 계단(경사 약30°)을 내려오던 중 장비가 중심을 잃어 넘어지며 재해자1이 깔리고, 재해자2 OOO가 재해자1을 구하려 장비에 다가가던 중 장비가 2차로 넘어지며 재해자2도 장비에 깔리며 부상당한 재해임."/>
    <s v="굴착기가 계단(경사로) 이동중 전도되어 굴삭기운전원(또는 근로자) 깔림"/>
    <s v="▶ 중량물 인양 시 굴삭기의 정격하중을 준수하여 무리한 중량물 인양 금지_x000a_▶ 차량계 건설기계 사용시 작업 장소 내에 근로자의 출입 통제_x000a_▶ 유도자를 배치하여 차량계 건설기계 유도"/>
  </r>
  <r>
    <n v="11"/>
    <x v="0"/>
    <x v="1"/>
    <x v="2"/>
    <s v="YES"/>
    <x v="3"/>
    <x v="4"/>
    <s v="12대 기인물"/>
    <n v="5"/>
    <n v="4.9000000000000002E-2"/>
    <s v="2020년 3월경"/>
    <d v="2020-03-01T00:00:00"/>
    <n v="3"/>
    <s v="-"/>
    <x v="3"/>
    <s v="2020년 3월경 OOOO도 OO시 소재 OOO OOOO 도로개설공사 현장에서 재해자가 굴착면 하부에서 삽 등으로 관로 연결 작업을 하던 중, 굴착면 상부에 위치한 굴착기의 버킷이 탈락 및 낙하하여 하부에 있던 재해자가 맞아 사망한 재해임."/>
    <s v="관로작업 중 굴삭기에서 갑자기 버킷이 탈락하여 근로자에게 낙하"/>
    <s v="▶ 굴착면적에 따를 버킷 교체시 유압이 해제될 경우에도 연결장치(Quick coupler)에서 버킷 이탈방지를 위해 안전핀 체결하여 이중 잠금장치 실시_x000a_▶ 차량계 건설기계를 사용하여 굴착 등 작업을 하는 경우 유도자를 배치하여 안전하게 작업 수행"/>
  </r>
  <r>
    <n v="11"/>
    <x v="0"/>
    <x v="1"/>
    <x v="2"/>
    <s v="YES"/>
    <x v="3"/>
    <x v="4"/>
    <s v="12대 기인물"/>
    <n v="5"/>
    <n v="4.9000000000000002E-2"/>
    <s v="2020년 4월경"/>
    <d v="2020-04-01T00:00:00"/>
    <n v="4"/>
    <s v="-"/>
    <x v="8"/>
    <s v="2020년 4월경 OOO도 OO군 OO면 소재 (주)OO OOOO개발사업 토목 및 전기공사 중 지중선로 설치공사 현장에서 지중선로 설치구간 되메우기 후 후진하는 굴착기(OOOO 소속) 후방으로 OOOO(주) 소속 재해자가 이동하던 중 굴착기 바퀴에 깔려 사망한 재해임_x000d_"/>
    <s v="장비유도자 없이 관로 부설 작업 중 굴삭기와 근로자가 충돌"/>
    <s v="▶ 유도자 배치하여 근로자 접촉방지 조치 실시_x000a_▶ 굴삭기 되메우기 등 장비작업에 의한 부딪힘과 같은 재해 발생위험이 높을 경우 타작업의 동시 수행금지_x000a_▶ 카메라 부착 또는 후방에 근로자의 접근을 알리는 후방센서, 경보장치 등 부착_x000a_▶ 차량계 건설기계 작업전 안전 점검 실시 및 후방카메라 등 방호장치 확인"/>
  </r>
  <r>
    <n v="11"/>
    <x v="0"/>
    <x v="1"/>
    <x v="2"/>
    <s v="YES"/>
    <x v="3"/>
    <x v="4"/>
    <s v="12대 기인물"/>
    <n v="5"/>
    <n v="4.9000000000000002E-2"/>
    <s v="2020년 7월경"/>
    <d v="2020-07-01T00:00:00"/>
    <n v="7"/>
    <s v="혹서기"/>
    <x v="8"/>
    <s v="2020년 7월경 OOO도 OO시 OO동 소재 ㈜OO OOOO복원사업 토목공사 현장에서 굴착기를 이용하여 차집관로(레진관, D1200, 약 1.8톤)의 높낮이 조절을 위해 들어 올리던 중 강널말뚝과 차집관로 사이에 있던 재해자가 차집관로에 가슴부위를 맞아 당일 병원으로 이송 치료 중 사망함. "/>
    <s v="장비유도자 없이 관로 부설 작업 중 굴삭기와 근로자가 충돌"/>
    <s v="▶ 유도자 배치하여 근로자 접촉방지 조치 실시_x000a_▶ 굴삭기 되메우기 등 장비작업에 의한 부딪힘과 같은 재해 발생위험이 높을 경우 타작업의 동시 수행금지_x000a_▶ 카메라 부착 또는 후방에 근로자의 접근을 알리는 후방센서, 경보장치 등 부착_x000a_▶ 차량계 건설기계 작업전 안전 점검 실시 및 후방카메라 등 방호장치 확인"/>
  </r>
  <r>
    <n v="11"/>
    <x v="0"/>
    <x v="1"/>
    <x v="2"/>
    <s v="YES"/>
    <x v="3"/>
    <x v="6"/>
    <s v="12대 기인물"/>
    <n v="9"/>
    <n v="3.4000000000000002E-2"/>
    <s v="2020년 10월"/>
    <d v="2020-10-01T00:00:00"/>
    <n v="10"/>
    <s v="-"/>
    <x v="2"/>
    <s v="2020년 10월경 OO도 OO군 소재 ㈜OOOO OOOO오수(압송)관로 신설공사 현장에서 오수관로 설치 작업을 하기 위해 재해자가 트럭 적재함에 있는 오수관로(약60kg)를 하역작업 중 몸의 중심을 잃고 추락(H≒80cm)하여   병원으로 이송 치료 중에 사망함"/>
    <s v="관로 하역작업 중 트럭 적재함에서 균형을 잃고 추락"/>
    <s v="▶ 추락할 위험이 있는 장소에서 작업할 경우 이에 맞는 안전 보호구(안전모)착용_x000a_▶ 하역작업 등으로 트럭 적재함을 오를 경우 승강 사다리를 이용_x000a_▶ 불안정한 상태에서 하역작업(로프 해체, 덮개 제거 등) 금지"/>
  </r>
  <r>
    <n v="11"/>
    <x v="0"/>
    <x v="1"/>
    <x v="2"/>
    <s v="YES"/>
    <x v="3"/>
    <x v="11"/>
    <s v="해당없음"/>
    <s v="해당없음"/>
    <s v="해당없음"/>
    <s v="2020년 12월"/>
    <d v="2020-12-01T00:00:00"/>
    <n v="12"/>
    <s v="혹한기"/>
    <x v="8"/>
    <s v="2020년 12월분 경, OOO도 OO시 OO구 소재 「㈜OOOO / OOOO 배수시설 설치공사」 현장에서, OO-OO상 103.475km 지점의 배수로 설치(굴착 및 벤치플룸관 매설)를 위해 선로 상에 올라간 굴착기가, 해당 작업지점을 통과하던 화물열차와 충돌하면서 굴착기 운전원 OOO와 작업을 지휘하던 ㈜OOOO 대표이사 OOO가 사망한 재해임"/>
    <s v="배수로 설치(굴착 및 벤치플룸관 매설)를 위해 선로 상에 올라간 굴착기가, 해당 작업지점을 통과하던 화물열차와 충돌"/>
    <s v="▶ 철도운행 안전협의 완료 전에 출입 통제구역 내로 임의 출입금지조치 실시_x000a_▶ 작업인원 안전보호구(안전조끼, 안전모, 안전화) 및 휴대용품(열차감시용 무전기, 호루라기, 경보기, 손전등) 지급 및 착용상태 확인_x000a_▶ 철도 내 작업 시, 근로자 안전을 위한 신호수 역할의 열차감시원 배치"/>
  </r>
  <r>
    <n v="11"/>
    <x v="0"/>
    <x v="1"/>
    <x v="2"/>
    <s v="YES"/>
    <x v="3"/>
    <x v="6"/>
    <s v="12대 기인물"/>
    <n v="9"/>
    <n v="3.4000000000000002E-2"/>
    <s v="2020년 12월"/>
    <d v="2020-12-01T00:00:00"/>
    <n v="12"/>
    <s v="혹한기"/>
    <x v="1"/>
    <s v="2020년 12월경 OOOO 노후된 상수도 배관 교체공사 현장에서 배관교체와 되메우기가 완료된 구간에 비산먼지 방지를 위한 부직포 씌우기 작업을 하던 재해자가 잔여 토사를 싣고 전진하는 덤프트럭에 깔려 치료 중 사망한 재해임"/>
    <s v="비산먼지 방지를 위한 부직포 씌우기 작업 중 전진하던 덤프트럭에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11"/>
    <x v="0"/>
    <x v="1"/>
    <x v="2"/>
    <s v="YES"/>
    <x v="3"/>
    <x v="4"/>
    <s v="12대 기인물"/>
    <n v="5"/>
    <n v="4.9000000000000002E-2"/>
    <s v="2021년 2월경"/>
    <d v="2021-02-01T00:00:00"/>
    <n v="2"/>
    <s v="혹한기"/>
    <x v="8"/>
    <s v="2021년 2월경 OO시 OO면 소재 「OOOO 토목공사」현장에서 도수관 매설작업 후 되메우기 작업 중 청소를 하던 재해자가 후진하던 굴착기에 부딪혀 사망함"/>
    <s v="장비유도자 없이 관로 부설 작업 중 굴삭기와 근로자가 충돌"/>
    <s v="▶ 유도자 배치하여 근로자 접촉방지 조치 실시_x000a_▶ 굴삭기 되메우기 등 장비작업에 의한 부딪힘과 같은 재해 발생위험이 높을 경우 타작업의 동시 수행금지_x000a_▶ 카메라 부착 또는 후방에 근로자의 접근을 알리는 후방센서, 경보장치 등 부착_x000a_▶ 차량계 건설기계 작업전 안전 점검 실시 및 후방카메라 등 방호장치 확인"/>
  </r>
  <r>
    <n v="11"/>
    <x v="0"/>
    <x v="1"/>
    <x v="2"/>
    <s v="YES"/>
    <x v="3"/>
    <x v="4"/>
    <s v="12대 기인물"/>
    <n v="5"/>
    <n v="4.9000000000000002E-2"/>
    <s v="2021년 8월경"/>
    <d v="2021-08-01T00:00:00"/>
    <n v="8"/>
    <s v="혹서기"/>
    <x v="8"/>
    <s v="2021년 8월경 OOO도 OO시 소재 OOOO 신축공사 현장에서 ㈜OOOO에서 시공하는 우수관로 설치작업 중 맨홀과 흄관 연결부 외경이 상이하여 콘크리트 파쇄작업 준비를 위해 우수관로 설치작업을 잠시 대기 사이, 굴착기 운전기사가 다음 우수관 설치를 위해 굴착기를 이용하여 미리 지반을 정리하던 중 인접해 있는 근로자를 확인하지 못하고 굴착기 버킷과 충돌하여 사망한 재해임"/>
    <s v="장비유도자 없이 관로 부설 작업 중 굴삭기와 근로자가 충돌"/>
    <s v="▶ 유도자 배치하여 근로자 접촉방지 조치 실시_x000a_▶ 굴삭기 되메우기 등 장비작업에 의한 부딪힘과 같은 재해 발생위험이 높을 경우 타작업의 동시 수행금지_x000a_▶ 카메라 부착 또는 후방에 근로자의 접근을 알리는 후방센서, 경보장치 등 부착_x000a_▶ 차량계 건설기계 작업전 안전 점검 실시 및 후방카메라 등 방호장치 확인"/>
  </r>
  <r>
    <n v="11"/>
    <x v="0"/>
    <x v="1"/>
    <x v="2"/>
    <s v="YES"/>
    <x v="3"/>
    <x v="4"/>
    <s v="12대 기인물"/>
    <n v="5"/>
    <n v="4.9000000000000002E-2"/>
    <s v="2021년 11월"/>
    <d v="2021-11-01T00:00:00"/>
    <n v="11"/>
    <s v="-"/>
    <x v="8"/>
    <s v="2021년 11월경, OOO도 OO시 OO읍 소재 「㈜OOOO/OO상수도 시설공사」 현장에서, OO O-O호 구간의 상수도관 매설작업 상황을 사진촬영 중이던 근로자 OOO이 상수도관 매설 후 되메우기 작업을 진행하며 후진 중이던 굴착기(0.6㎡)의 우측 뒷바퀴와 충돌하여 병원으로 이송되었으나 재해발생 당일 사망한 재해임."/>
    <s v="장비유도자 없이 관로 부설 작업 중 굴삭기와 근로자가 충돌"/>
    <s v="▶ 유도자 배치하여 근로자 접촉방지 조치 실시_x000a_▶ 굴삭기 되메우기 등 장비작업에 의한 부딪힘과 같은 재해 발생위험이 높을 경우 타작업의 동시 수행금지_x000a_▶ 카메라 부착 또는 후방에 근로자의 접근을 알리는 후방센서, 경보장치 등 부착_x000a_▶ 차량계 건설기계 작업전 안전 점검 실시 및 후방카메라 등 방호장치 확인"/>
  </r>
  <r>
    <n v="12"/>
    <x v="1"/>
    <x v="2"/>
    <x v="3"/>
    <s v="YES"/>
    <x v="3"/>
    <x v="4"/>
    <s v="12대 기인물"/>
    <n v="5"/>
    <n v="4.9000000000000002E-2"/>
    <s v="2016년 3월경"/>
    <d v="2016-03-01T00:00:00"/>
    <n v="3"/>
    <s v="-"/>
    <x v="6"/>
    <s v="2016년 3월경 OO 신축공사 현장에서 굴삭기(백호)를 이용해 기존건물 철거작업 중 굴삭기 옆에서 살수작업을 하던 재해자가 회전하는 굴삭기와 담장 사이에 끼여 사망"/>
    <s v="철거 작업하던 중 회전하는 굴착기와 담장, 덤프트럭 사이 협착"/>
    <s v="▶ 유도자 배치, 근로자 접근 통제를 통한 굴삭기 접촉방지조치 준수_x000a_▶ 장비 몸체의 회전반경에 따른 인접 구조물 및 차량과의 적정 거리를 유지하도록 장비를 위치한 후 작업 진행"/>
  </r>
  <r>
    <n v="12"/>
    <x v="1"/>
    <x v="2"/>
    <x v="3"/>
    <s v="YES"/>
    <x v="3"/>
    <x v="4"/>
    <s v="12대 기인물"/>
    <n v="5"/>
    <n v="4.9000000000000002E-2"/>
    <s v="2016년 5월경"/>
    <d v="2016-05-01T00:00:00"/>
    <n v="5"/>
    <s v="-"/>
    <x v="1"/>
    <s v="2016년 5월경 OO 리모델링 공사현장에서 OO 소속 재해자가 지상2층 내 기존 내부 마감재 철거작업을 하기 위하여 소형굴삭기에 탑승하여 지상3층에서 계단실을 내려가던 중 굴삭기가 경사방향으로 전도되어 재해자가 깔려 사망"/>
    <s v="내부 마감재 철거작업을 위해 소형굴착기에 탑승하여 계단을 내려가던 중 굴착기 전도되어 깔림"/>
    <s v="▶ 차량계 건설기계 작업계획서 작성"/>
  </r>
  <r>
    <n v="12"/>
    <x v="1"/>
    <x v="2"/>
    <x v="3"/>
    <s v="YES"/>
    <x v="3"/>
    <x v="4"/>
    <s v="12대 기인물"/>
    <n v="5"/>
    <n v="4.9000000000000002E-2"/>
    <s v="2016년 9월경"/>
    <d v="2016-09-01T00:00:00"/>
    <n v="9"/>
    <s v="-"/>
    <x v="2"/>
    <s v="2016년 9월경 OO철거공사 현장에서 OO 소속 재해자가 건물 옥상 슬래브에서 살수작업을 마치고 굴삭기(버켓용량:0.6㎥) 버켓을 타고 지상 바닥으로 내려오던 중 몸의 균형을 잃고 높이 3.5m 아래 콘크리트 바닥으로 추락하여 사망"/>
    <s v="철거현장에서 굴착기 버킷에 탑승하여 내려오던 중 균형을 잃고 아래로 추락"/>
    <s v="▶ 차량계 건설기계의 주용도 외 사용제한_x000a_▶ 퀵커플러에 있는 장착물 이탈방지 핀 체결유무 확인"/>
  </r>
  <r>
    <n v="12"/>
    <x v="1"/>
    <x v="2"/>
    <x v="3"/>
    <s v="YES"/>
    <x v="3"/>
    <x v="4"/>
    <s v="12대 기인물"/>
    <n v="5"/>
    <n v="4.9000000000000002E-2"/>
    <s v="2016년 10월"/>
    <d v="2016-10-01T00:00:00"/>
    <n v="10"/>
    <s v="-"/>
    <x v="8"/>
    <s v="2016년 10월경 OO에서 시공하는 OO철거 공사 현장에서 굴삭기를 이용해 기존건물 철거작업 중 굴삭기 옆에서 살수작업을 하는 재해자가 회전하는 굴삭기 몸체 후미와 담장에 부딪혀 사망"/>
    <s v="철거현장 내 굴착기 옆에서 살수작업을 하던 중 회전하는 굴착기 몸체와 충돌 후 담장에 2차 충돌"/>
    <s v="▶ 작업구획 표시, 신호수 배치, 접근금지 조치 등과 같은 안전조치 실시 후 작업 수행_x000a_▶ 장비 몸체의 회전반경에 따른 인접 구조물과의 적정 거리를 유지하도록 장비를 위치한 후 작업 진행"/>
  </r>
  <r>
    <n v="12"/>
    <x v="1"/>
    <x v="2"/>
    <x v="3"/>
    <s v="YES"/>
    <x v="3"/>
    <x v="4"/>
    <s v="12대 기인물"/>
    <n v="5"/>
    <n v="4.9000000000000002E-2"/>
    <s v="2017년 6월경"/>
    <d v="2017-06-01T00:00:00"/>
    <n v="6"/>
    <s v="혹서기"/>
    <x v="2"/>
    <s v="2017년 6월경 ㈜OO이 시공하는 건축물 철거공사 현장에서 높이 약 3m 위치에 있던 철골빔(H형강) 철거를 위해 재해자 2명이 굴삭기 암에 장착된 크러셔 상부에서 작업 중 크러셔와 같이 약 3m 아래 바닥으로 추락하여 3개월 이상의 요양이 필요한 부상"/>
    <s v="철거현장에서 굴착기 버킷에 탑승하여 내려오던 중 균형을 잃고 아래로 추락"/>
    <s v="▶ 차량계 건설기계의 주용도 외 사용제한_x000a_▶ 퀵커플러에 있는 장착물 이탈방지 핀 체결유무 확인"/>
  </r>
  <r>
    <n v="12"/>
    <x v="1"/>
    <x v="2"/>
    <x v="3"/>
    <s v="YES"/>
    <x v="3"/>
    <x v="5"/>
    <s v="12대 기인물"/>
    <n v="12"/>
    <n v="2.3E-2"/>
    <s v="2017년 11월"/>
    <d v="2017-11-01T00:00:00"/>
    <n v="11"/>
    <s v="-"/>
    <x v="3"/>
    <s v="2017년 11월경 모델하우스 해체공사 현장에서 이동식 크레인으로 선회·운반 중 미끄러진 철골부재(9.7m, 700kg)가 하부에서 절단작업을 하던 재해자의 상반신(등에서부터 머리)을 강타하여 사망"/>
    <s v="이동식크레인을 이용해 강관파이프 다발을 하역작업 중, 크레인의 보조원치 와이어로프가 파단되어 강관파이프가 근로자에게 낙하"/>
    <s v="▶ 작업 시작 전 안전장치(와이어로프 등) 설치 및 작동상태 확인 철저 _x000a_▶ 권과방지장치가 정상 작동될 수 있도록 작업 전 설치 및 조정_x000a_▶ 주기적인 이동식 크레인 안전검사 철저_x000a_▶ 하역작업을 하는 경우 근로자의 출입을 통제하여 인양중인 화물이 작업자의 머리 위로 통과하지 않도록 조치"/>
  </r>
  <r>
    <n v="12"/>
    <x v="1"/>
    <x v="2"/>
    <x v="3"/>
    <s v="YES"/>
    <x v="3"/>
    <x v="5"/>
    <s v="12대 기인물"/>
    <n v="12"/>
    <n v="2.3E-2"/>
    <s v="2018년 6월경"/>
    <d v="2018-06-01T00:00:00"/>
    <n v="6"/>
    <s v="혹서기"/>
    <x v="2"/>
    <s v="2018년 6월경 OO외벽 현수막 철거 작업장에서 OO 소속 재해자가OO외벽에 설치된 현수막 철거 작업을 위해 고소작업대의 작업대에 탑승하여 철거준비 작업 중 고소작업대 붐 인출용 체인 고정볼트가 파단되며, 붐이 갑자기 인입되어(H≒5m) 작업대에 탑승했던 재해자가작업대에 신체를 부딪혀 사망"/>
    <s v="배관작업 중 고소작업대 붐 인출용 체인 고정용 볼트 파단에 의한 붐이 갑자기 인입되어 작업대 탑승 근로자 추락"/>
    <s v="▶ 작업 전 반복 하중에 의해 균열 등이 육안검사로 확인 즉시 작업 중단_x000a_▶ 안전대ㆍ안전모 지급, 착용 철저"/>
  </r>
  <r>
    <n v="12"/>
    <x v="1"/>
    <x v="2"/>
    <x v="3"/>
    <s v="YES"/>
    <x v="3"/>
    <x v="4"/>
    <s v="12대 기인물"/>
    <n v="5"/>
    <n v="4.9000000000000002E-2"/>
    <s v="2018년 8월경"/>
    <d v="2018-08-01T00:00:00"/>
    <n v="8"/>
    <s v="혹서기"/>
    <x v="6"/>
    <s v="2018년 8월경 OO신축공사 현장에서 보통인부인 재해자가 기존구조물(2층 주택)의 철거폐기물을 덤프트럭에 상차하기 위해 집토중인 굴삭기 옆에서 폐기잔재물정리 작업을 하던 중 회전하는 굴삭기와 덤프트럭 사이에 끼여 사망"/>
    <s v="철거 작업하던 중 회전하는 굴착기와 담장, 덤프트럭 사이 협착"/>
    <s v="▶ 유도자 배치, 근로자 접근 통제를 통한 굴삭기 접촉방지조치 준수_x000a_▶ 장비 몸체의 회전반경에 따른 인접 구조물 및 차량과의 적정 거리를 유지하도록 장비를 위치한 후 작업 진행"/>
  </r>
  <r>
    <n v="12"/>
    <x v="1"/>
    <x v="2"/>
    <x v="3"/>
    <s v="YES"/>
    <x v="3"/>
    <x v="12"/>
    <s v="해당없음"/>
    <s v="해당없음"/>
    <s v="해당없음"/>
    <s v="2018년 10월"/>
    <d v="2018-10-01T00:00:00"/>
    <n v="10"/>
    <s v="-"/>
    <x v="2"/>
    <s v="2018년 10월경 OO(주)에서 천장크레인 해체공사를 수행하던 OO 소속 재해자가 20m 높이에 설치된 통로에서 천장크레인 구조물(새들)을 내리기 위해 줄걸이 작업을 하던 중 새들과 함께 바닥으로 추락하여 사망"/>
    <s v="천장크레인 해체를 위해 줄걸이 작업을 하던 중 천장크레인 구조물(새들)과 함께 바닥으로 추락"/>
    <s v="▶ 중량을 견딜 수 있는 적정한 정격하중을 갖는 줄걸이 용구를 사용_x000a_▶ 훅 해지장치의 유무, 변형, 탈락을 점검"/>
  </r>
  <r>
    <n v="12"/>
    <x v="1"/>
    <x v="2"/>
    <x v="3"/>
    <s v="YES"/>
    <x v="3"/>
    <x v="4"/>
    <s v="12대 기인물"/>
    <n v="5"/>
    <n v="4.9000000000000002E-2"/>
    <s v="2020년 10월"/>
    <d v="2020-10-01T00:00:00"/>
    <n v="10"/>
    <s v="-"/>
    <x v="0"/>
    <s v="2020년 10월경 OO건설(주)에서 시공 중인 OO조성공사 현장에서 굴착기의 버킷을 반대방향으로 체결한 후 근로자가 탑승하여 철제 펜스 상부 안전망 해체 작업 중 굴착기의 버킷이 갑자기 낙하되면서 작업공간 하부에 대기 중이던 재해자를 덮쳐 사망"/>
    <s v="펜스 상부 안전망 해체 작업 중 굴착기 버킷이 탈락되어 하부에 있던 근로자 맞음"/>
    <s v="▶ 퀵커플러에 있는 장착물 이탈방지 핀 체결유무 확인_x000a_▶ 유도자 배치, 근로자 접근 통제를 통한 굴착기 접촉방지조치 준수"/>
  </r>
  <r>
    <n v="12"/>
    <x v="1"/>
    <x v="2"/>
    <x v="3"/>
    <s v="YES"/>
    <x v="3"/>
    <x v="4"/>
    <s v="12대 기인물"/>
    <n v="5"/>
    <n v="4.9000000000000002E-2"/>
    <s v="2020년 11월"/>
    <d v="2020-11-01T00:00:00"/>
    <n v="11"/>
    <s v="-"/>
    <x v="2"/>
    <s v="2020년 11월경 OO철거공사 현장에서 재해자가 건물 옥상 벽체 구조물을 철거하기 위해 굴착기에 부착된 압쇄기를 타고 상부로 이동 중 압쇄기가 철거 잔재물인 철근에 부딪히며 회전함과 동시에 압쇄기 위에 있던 재해자가 약 5.5m 아래로 추락하여 사망"/>
    <s v="철거현장에서 굴착기 버킷에 탑승하여 내려오던 중 균형을 잃고 아래로 추락"/>
    <s v="▶ 차량계 건설기계의 주용도 외 사용제한_x000a_▶ 퀵커플러에 있는 장착물 이탈방지 핀 체결유무 확인"/>
  </r>
  <r>
    <n v="12"/>
    <x v="1"/>
    <x v="2"/>
    <x v="3"/>
    <s v="YES"/>
    <x v="3"/>
    <x v="4"/>
    <s v="12대 기인물"/>
    <n v="5"/>
    <n v="4.9000000000000002E-2"/>
    <s v="2021년 8월경"/>
    <d v="2021-08-01T00:00:00"/>
    <n v="8"/>
    <s v="혹서기"/>
    <x v="1"/>
    <s v="2021년 8월경  OO철거공사 현장에서 재해자가 철거폐기물 상부에서 살수 작업을 하던 중 현장 내부에서 작업을 마치고 후진하던 굴착기의 궤도에 깔려 사망"/>
    <s v="철거폐기물 상부에서 살수 작업을 하던 중 후진하던 굴착기의 궤도에 깔림"/>
    <s v="▶ 건설기계와 근로자 접촉방지를 위해 신호수 또는 유도자를 배치_x000a_▶ 굴착기 후방감지센서, 후방카메라, 경보장치 등 설치 및 정상 작동여부 확인_x000a_▶ 장비동선과 근로자 안전통로를 구분하여 운영"/>
  </r>
  <r>
    <n v="12"/>
    <x v="1"/>
    <x v="2"/>
    <x v="3"/>
    <s v="YES"/>
    <x v="3"/>
    <x v="5"/>
    <s v="12대 기인물"/>
    <n v="12"/>
    <n v="2.3E-2"/>
    <s v="OO증설공사 현장"/>
    <s v="X"/>
    <e v="#VALUE!"/>
    <e v="#VALUE!"/>
    <x v="1"/>
    <s v="OO증설공사 현장에서 재해자가 폐수처리장 침전조 해체를 위해 철재 벽체를 수직, 수평으로 절단작업을 완료한 상태에서 벽체판 1개소를 크레인으로 인양하는 순간 인접 철재 벽체판(무게 약 764kg)이 내측으로 넘어지면서 침전조 내부에 있던 재해자가 깔려 사망"/>
    <s v="폐수처리장 침전조 해체를 위해 벽체 수직, 수평으로 해체 후 벽체판을 크레인으로 인양하는 순간 인접한 벽체 철제판이 넘어지면서 침전조 내부에 있던 근로자가 깔림"/>
    <s v="▶ 자재 인양 시, 인양물의 재료, 형상에 맞는 적절한 줄걸이 방법 사용_x000a_▶ 크레인으로 자재 인양 시, 작업반경 내 근로자의 출입을 통제_x000a_▶ 작업자와 운전수 간의 적절한 신호체계 수립"/>
  </r>
  <r>
    <n v="12"/>
    <x v="1"/>
    <x v="3"/>
    <x v="4"/>
    <s v="YES"/>
    <x v="3"/>
    <x v="5"/>
    <s v="12대 기인물"/>
    <n v="12"/>
    <n v="2.3E-2"/>
    <s v="2016년 1월경"/>
    <d v="2016-01-01T00:00:00"/>
    <n v="1"/>
    <s v="혹한기"/>
    <x v="3"/>
    <s v="2016년 1월경 자재야적장 정리공사 현장에서 재해자가 차량 탑재형 이동식크레인을 이용하여 EGI 휀스자재 다발을 하역하던 중, 와이어로프가 파단되어 자재다발이 떨어지면서 재해자를 강타하여 사망"/>
    <s v="이동식크레인을 이용해 강관파이프 다발을 하역작업 중, 크레인의 보조원치 와이어로프가 파단되어 강관파이프가 근로자에게 낙하"/>
    <s v="▶ 작업 시작 전 안전장치(와이어로프 등) 설치 및 작동상태 확인 철저 _x000a_▶ 권과방지장치가 정상 작동될 수 있도록 작업 전 설치 및 조정_x000a_▶ 주기적인 이동식 크레인 안전검사 철저_x000a_▶ 하역작업을 하는 경우 근로자의 출입을 통제하여 인양중인 화물이 작업자의 머리 위로 통과하지 않도록 조치"/>
  </r>
  <r>
    <n v="12"/>
    <x v="1"/>
    <x v="3"/>
    <x v="4"/>
    <s v="YES"/>
    <x v="3"/>
    <x v="13"/>
    <s v="해당없음"/>
    <s v="해당없음"/>
    <s v="해당없음"/>
    <s v="2016년 8월경"/>
    <d v="2016-08-01T00:00:00"/>
    <n v="8"/>
    <s v="혹서기"/>
    <x v="6"/>
    <s v="2016년 8월경 OO센터 건설공사 공장동 2층에서 재해자가 지게차 운전(후진) 중 지게차의 마스트가 시스템 비계 수평재에 걸려 마스트 지주와 헤드가드를 밟고 수평재를 해체하는 과정에서 몸의 중심을 잃고 실족하여 지게차 운전석의 마스트 작동 레버(틸트 레버)를 오작동시켜 마스트와 지게차 본체 앞 사이에 협착되어 사망"/>
    <s v="지게차 운전(후진)중 지게차 운전석의 틸트 레버를 오작동시켜 근로자가 운전석과 마스트사이에 협착"/>
    <s v="▶ 지게차 등 차량계 하역운반기계의 운전자가 운전위치를 이탈할 경우 불시주행 및 오작동 등을 방지를 위해 지게차 정지 및 시동키 분리_x000a_▶ 차량계 하역운반기계에 대해 화물의 운반, 적재, 하역 작업 등 주 용도로만 사용_x000a_▶ 시스템비계 해체 등 고소작업 시 이동식비계, 고소작업대 등을 사용하여 작업발판 위에서 작업"/>
  </r>
  <r>
    <n v="12"/>
    <x v="1"/>
    <x v="3"/>
    <x v="4"/>
    <s v="YES"/>
    <x v="3"/>
    <x v="5"/>
    <s v="12대 기인물"/>
    <n v="12"/>
    <n v="2.3E-2"/>
    <s v="2017년 12월"/>
    <d v="2017-12-01T00:00:00"/>
    <n v="12"/>
    <s v="혹한기"/>
    <x v="6"/>
    <s v="2017년 12월경 재해자가 비계 해체 후 적재되어있던 비계용 강관파이프(4m, 75EA, 약750kg)를 카고크레인(정격3.5t)을 이용하여 인양하던 중 차량우측(자재인양 방향)의 아웃트리거 하부의  지반이 침하되며 전도되는 차량과 인접하여 적재된 자재(타일)사이에 끼어 사망"/>
    <s v="카고크레인에 설치된 아웃트리거를 지면에 거치한 후 강관비계용 파이프다발을 인양하던 중, 아웃트리거 하부 지반이 침하되면서 전도되는 크레인과 자재 사이에 근로자가 협착됨"/>
    <s v="▶ 이동식크레인을 이용한 작업 시, 작업전 작업장소의 지반상태 사전점검 실시_x000a_▶ 지반 침하 위험이 있는 작업 시, 깔판, 깔목 설치를 통한 침하방지조치 실시"/>
  </r>
  <r>
    <n v="12"/>
    <x v="1"/>
    <x v="3"/>
    <x v="4"/>
    <s v="YES"/>
    <x v="3"/>
    <x v="5"/>
    <s v="12대 기인물"/>
    <n v="12"/>
    <n v="2.3E-2"/>
    <s v="2018년 11월"/>
    <d v="2018-11-01T00:00:00"/>
    <n v="11"/>
    <s v="-"/>
    <x v="3"/>
    <s v="2018년 11월경 OO건설이 시공하는 근린생활시설 및 주택신축공사 현장에서 차량탑재형 이동식크레인을 이용해 강관파이프 다발(무게 347kg)을 하역작업 중 크레인의 보조윈치 와이어로프(ø10)가 파단되면서 하역 작업구간 아래를 지나던 재해자가 떨어지는 강관파이프 다발에 맞아 사망"/>
    <s v="이동식크레인을 이용해 강관파이프 다발을 하역작업 중, 크레인의 보조원치 와이어로프가 파단되어 강관파이프가 근로자에게 낙하"/>
    <s v="▶ 작업 시작 전 안전장치(와이어로프 등) 설치 및 작동상태 확인 철저 _x000a_▶ 권과방지장치가 정상 작동될 수 있도록 작업 전 설치 및 조정_x000a_▶ 주기적인 이동식 크레인 안전검사 철저_x000a_▶ 하역작업을 하는 경우 근로자의 출입을 통제하여 인양중인 화물이 작업자의 머리 위로 통과하지 않도록 조치"/>
  </r>
  <r>
    <n v="12"/>
    <x v="1"/>
    <x v="3"/>
    <x v="4"/>
    <s v="YES"/>
    <x v="3"/>
    <x v="5"/>
    <s v="12대 기인물"/>
    <n v="12"/>
    <n v="2.3E-2"/>
    <s v="2020년 11월"/>
    <d v="2020-11-01T00:00:00"/>
    <n v="11"/>
    <s v="-"/>
    <x v="3"/>
    <s v="2020년 11월경 OO건설 도시형생활주택 신축공사에서 재해자가 지상1층에서 시스템비계 자재의 양중작업 과정 떨어진(H≒20m) 자재에 맞아 사망"/>
    <s v="이동식크레인을 이용해 강관파이프 다발을 하역작업 중, 크레인의 보조원치 와이어로프가 파단되어 강관파이프가 근로자에게 낙하"/>
    <s v="▶ 작업 시작 전 안전장치(와이어로프 등) 설치 및 작동상태 확인 철저 _x000a_▶ 권과방지장치가 정상 작동될 수 있도록 작업 전 설치 및 조정_x000a_▶ 주기적인 이동식 크레인 안전검사 철저_x000a_▶ 하역작업을 하는 경우 근로자의 출입을 통제하여 인양중인 화물이 작업자의 머리 위로 통과하지 않도록 조치"/>
  </r>
  <r>
    <n v="12"/>
    <x v="1"/>
    <x v="3"/>
    <x v="71"/>
    <s v="YES"/>
    <x v="3"/>
    <x v="10"/>
    <s v="해당없음"/>
    <s v="해당없음"/>
    <s v="해당없음"/>
    <s v="2016년 8월경"/>
    <d v="2016-08-01T00:00:00"/>
    <n v="8"/>
    <s v="혹서기"/>
    <x v="1"/>
    <s v="2016년 8월경 은행 신축공사 현장에서 협력업체 소속 재해자가 이동식틀비계 부재(수직틀)를 운반 하던 중 후진하던 타이어롤러와 충돌, 협착하여 사망한 재해임."/>
    <s v="시야가 미확보된 상태에서 후진하던 차량계 건설기계에 주변 근로자가 깔림"/>
    <s v="▶ 차량계 하역운반기계에서 운전자가 운전석을 이탈하는 경우 주차 브레이크의 확실한 체결 및 차량 고임목 설치_x000a_▶ 차량계 건설기계 사용 작업시 사전에 차량의 제동장치 기능 이상 유무 점검_x000a_▶ 경사로의 주차하는 경우 핸드(주차) 브레이크와 풋 브레이크를 함께 사용_x000a_▶ 차량계 하역운반기계가 경사로로 밀려 내러가는 경우, 무리하게 인력으로 차량 앞을 막아서는 행위 금지"/>
  </r>
  <r>
    <n v="12"/>
    <x v="1"/>
    <x v="35"/>
    <x v="72"/>
    <s v="YES"/>
    <x v="3"/>
    <x v="4"/>
    <s v="12대 기인물"/>
    <n v="5"/>
    <n v="4.9000000000000002E-2"/>
    <s v="고속도로 건설공사"/>
    <s v="X"/>
    <e v="#VALUE!"/>
    <e v="#VALUE!"/>
    <x v="1"/>
    <s v="고속도로 건설공사 현장에서 터널공사 협력업체 소속 재해자가 터널입구에 설치되어 있던 수전반을 터널내부 대인용 피난갱으로 옮겨 설치하기위해 전기판넬(VCB판넬, 1.8m×0.9m×2.7m,W=500kg)과 변압기를 차량탑재형 크레인으로 실어서 터널 내부 대인용 피난갱으로 옮겨(이동거리 L=500m) 하역한 후, 다시 최종 설치 위치로 전기판넬을 옮기기 위해 굴삭기에 지게포크를 달아 판넬을 드는 순간 판넬이 균형을 잃고 넘어지면서, 옆에 있던 재해자가 깔려 사망"/>
    <s v="전기판넬을 옮기기 위해 굴착기에 지게포크를 달아 판넬을 들다 균형을 잃고 넘어지면서 옆에 있던 재해자가 깔림"/>
    <s v="▶ 자재운반에 적합한 작업 방법 및 장비 사용_x000a_▶ 자재운반 시 고정방법 검토 및 고정상태 확인 후 수행"/>
  </r>
  <r>
    <n v="12"/>
    <x v="1"/>
    <x v="36"/>
    <x v="73"/>
    <s v="YES"/>
    <x v="3"/>
    <x v="7"/>
    <s v="해당없음"/>
    <s v="해당없음"/>
    <s v="해당없음"/>
    <s v="2020년 8월경"/>
    <d v="2020-08-01T00:00:00"/>
    <n v="8"/>
    <s v="혹서기"/>
    <x v="6"/>
    <s v="2020년 8월경 부지조성공사 현장에서 재해자가 크라샤 콘베이어 상부 모터에 천막을 덮기 위해 로더 버킷을 타고 올라가던 중 콘베이어 작업발판 단부와 로더 버킷사이에 협착되어 사망"/>
    <s v="근로자가 크라샤 콘베이어 상부에 위치한 구동 모터를 폐고무벨트로 덮기 위해 로더 버킷을 타고 올라가던 중 실족하여 콘베이어 작업발판 단부와 로더 버킷 사이에 근로자 협착"/>
    <s v="▶ 크라샤 컨베이어 구동 모터 등 수시로 정비 작업이 이루어지는 구간에 근로자가 상부 작업발판으로 이동 가능한 통로 설치_x000a_▶ 차량계건설기계(로더)의 (버킷 탑승 등)목적외 사용 금지"/>
  </r>
  <r>
    <n v="12"/>
    <x v="1"/>
    <x v="4"/>
    <x v="32"/>
    <s v="YES"/>
    <x v="3"/>
    <x v="12"/>
    <s v="해당없음"/>
    <s v="해당없음"/>
    <s v="해당없음"/>
    <s v="2016년 2월경"/>
    <d v="2016-02-01T00:00:00"/>
    <n v="2"/>
    <s v="혹한기"/>
    <x v="3"/>
    <s v="2016년 2월경 교회 신축공사 현장에서 재해자 2명이 지하2층 슬라브 보 거푸집 제작작업 중, 사고지점으로부터 약 9m 높이에서 타워크레인으로 인양중이던 자재(거푸집제작용, 1.9톤)의 갑작스러운 떨어짐에 의하여 재해자들이 맞음으로써 1명 사망, 1명 부상"/>
    <s v="타워크레인으로 거푸집 제작용 목재 등을 인양하던 중 미고정된 인양물의 인양물 낙하"/>
    <s v="▶ 타워크레인 등 유해·위험한 기계·기구를 설치 시 안전인증을 받은 후 사용_x000a_▶ 크레인 작업 시 낙하물에 의한 위험방지를 위해 사전에 근로자 출입 통제_x000a_▶ 크레인 등을 사용하여 작업 시 작업 전 감속기 등 기계적 상태 점검 실시 후 작업"/>
  </r>
  <r>
    <n v="12"/>
    <x v="1"/>
    <x v="4"/>
    <x v="32"/>
    <s v="YES"/>
    <x v="3"/>
    <x v="12"/>
    <s v="해당없음"/>
    <s v="해당없음"/>
    <s v="해당없음"/>
    <s v="2016년 4월경"/>
    <d v="2016-04-01T00:00:00"/>
    <n v="4"/>
    <s v="-"/>
    <x v="2"/>
    <s v="2016년 4월경 OO건설 지식산업센타 신축공사 현장에서 재해자가 타워크레인 인양 고리 연결 준비 작업을 위해 메인 지브 끝단으로 이동 중 메인지브 좌측 앞부분 작업대가 지브에서 탈락되어 높이 약 50m지점에서 작업대와 함께 추락하여 사망"/>
    <s v="타워크레인 설치를 위해 지브 작업대에서 작업 중 작업대의 이탈로 인한 추락"/>
    <s v="▶ 타워크레인 설치를 위해 지브 끝에서 작업하는 경우, 지브 작업대의 고정볼트 체결 유무 파악_x000a_▶ 추락 위험이 높은 타워크레인 설치 작업의 경우 2중 안전고리 체결을 권장"/>
  </r>
  <r>
    <n v="12"/>
    <x v="1"/>
    <x v="4"/>
    <x v="32"/>
    <s v="YES"/>
    <x v="3"/>
    <x v="12"/>
    <s v="해당없음"/>
    <s v="해당없음"/>
    <s v="해당없음"/>
    <s v="2016년 4월경"/>
    <d v="2016-04-01T00:00:00"/>
    <n v="4"/>
    <s v="-"/>
    <x v="2"/>
    <s v="2016년 4월경 공동주택 공사현장에서 재해자가 타워크레인 마스트 인상 준비 작업을 위해 케이지 2단 작업발판에서 자재 인양 중 미고정된 작업발판이 전면으로 기울면서 몸의 중심을 잃고 약 10m 하부로 추락하여 사망"/>
    <s v="타워크레인 텔레스코핑 작업을 위해 케이지 발판 위로 이동중 몸의 중심을 잃고 추락"/>
    <s v="▶ 안전대 결합 등 추락 및 재해 방지에 관한 사항을 포함하는 안전교육 실시_x000a_▶ 추락 위험이 높은 타워크레인 설치 작업의 경우 2중 안전고리 체결을 권장_x000a_▶ 텔레스코핑 케이지 작업발판의 연결 및 고정상태 점검 철저"/>
  </r>
  <r>
    <n v="12"/>
    <x v="1"/>
    <x v="4"/>
    <x v="32"/>
    <s v="YES"/>
    <x v="3"/>
    <x v="12"/>
    <s v="해당없음"/>
    <s v="해당없음"/>
    <s v="해당없음"/>
    <s v="2016년 4월경"/>
    <d v="2016-04-01T00:00:00"/>
    <n v="4"/>
    <s v="-"/>
    <x v="2"/>
    <s v="2016년 4월경 OO건설 주상복합아파트 신축공사 현장에서 재해자 등 3명이 타워크레인의 텔레스코픽 케이지 하강작업(타워크레인 해체 선행작업) 중 클라이밍 슈(Climbing Shoe)가 마스트 훅에서 이탈(추정)되며 케이지가 낙하, 케이지 작업발판에서 작업 중이던 재해자가 기계식주차장 바닥으로 떨어져(H=75m) 사망"/>
    <s v="타워크레인 해체 작업 시 클라이밍 슈 이탈로 텔레스코픽 케이지의 하강으로 인한 추락"/>
    <s v="▶ 타워크레인 해체를 위한 텔레스코픽 하강작업 시, 클라이밍 슈와 마스트 훅의 장착상태 점검 철저_x000a_▶ 타워크레인 설치, 해체 작업 시, 유자격자에 의한 작업 여부 파악"/>
  </r>
  <r>
    <n v="12"/>
    <x v="1"/>
    <x v="4"/>
    <x v="32"/>
    <s v="YES"/>
    <x v="3"/>
    <x v="12"/>
    <s v="해당없음"/>
    <s v="해당없음"/>
    <s v="해당없음"/>
    <s v="2016년 9월경"/>
    <d v="2016-09-01T00:00:00"/>
    <n v="9"/>
    <s v="-"/>
    <x v="2"/>
    <s v="2016년 9월경 아파트 건설현장에서 재해자가 타워크레인의 텔레스코핑 케이지 발판 설치하기 위해 이동 중 몸의 중심을 잃고, 약12M 아래 콘크리트 바닥으로 떨어져 사망"/>
    <s v="타워크레인 텔레스코핑 작업을 위해 케이지 발판 위로 이동중 몸의 중심을 잃고 추락"/>
    <s v="▶ 안전대 결합 등 추락 및 재해 방지에 관한 사항을 포함하는 안전교육 실시_x000a_▶ 추락 위험이 높은 타워크레인 설치 작업의 경우 2중 안전고리 체결을 권장_x000a_▶ 텔레스코핑 케이지 작업발판의 연결 및 고정상태 점검 철저"/>
  </r>
  <r>
    <n v="12"/>
    <x v="1"/>
    <x v="4"/>
    <x v="32"/>
    <s v="YES"/>
    <x v="3"/>
    <x v="12"/>
    <s v="해당없음"/>
    <s v="해당없음"/>
    <s v="해당없음"/>
    <s v="2016년 9월경"/>
    <d v="2016-09-01T00:00:00"/>
    <n v="9"/>
    <s v="-"/>
    <x v="6"/>
    <s v="2016년 9월경 OO건설이 시공하는 공동주택 현장에서 타워크레인 해체작업 중 이동식 크레인으로 카운터지브를 들고 카운터지브와 타워헤드 연결부위를 해체하는 순간 카운터지브가 타워헤드에서 갑자기 이탈하여 기울어지면서 작업 중이던 재해자가 협착되어 사망"/>
    <s v="타워크레인의 카운터 지브 해체 중 지브 앞부분이 들리면서 지브 전면과 사다리 방호울 사이에 협착"/>
    <s v="▶ 타워크레인 해체 시, 카운터 지브와 타워헤드를 연결하는 소켓핀을 적절하게 빼내어 고정판이 움직이지 않도록 조치거나 소켓핀을 제거하기 전 체인블럭 등으로 카운터 지브와 타워헤드를 묶어 이탈되지 않도록 조치_x000a_▶ 타워크레인 해체 시, 카운터 지브의 균형유지를 위해 적절한 줄걸이 위치 검토 실시"/>
  </r>
  <r>
    <n v="12"/>
    <x v="1"/>
    <x v="4"/>
    <x v="32"/>
    <s v="YES"/>
    <x v="3"/>
    <x v="12"/>
    <s v="해당없음"/>
    <s v="해당없음"/>
    <s v="해당없음"/>
    <s v="2016년 10월"/>
    <d v="2016-10-01T00:00:00"/>
    <n v="10"/>
    <s v="-"/>
    <x v="1"/>
    <s v="2016년 10월경 ㈜OO에서 시공 중인 OO대 기숙사 신축공사 현장에서 재해자가 현장 옆에 설치한 현장사무실(컨테이너)에 있던 중 태풍으로 인해 타워크레인이 전도, 전도된 타워크레인 마스트에 깔려 사망"/>
    <s v="현장 사무실 대기 중 타워크레인 전도로 인한 깔림"/>
    <s v="▶ 태풍과 같은 악조건의 기상상황 발생 시, 타워크레인의 선회브레이크 개방_x000a_▶ 태풍과 같은 악조건의 기상상황이 예측되는 경우, 마스트 해체, 와이어로프, 전용지지프레임 설치 등 체결볼트에 발생하는 응력을 분산하도록 조치"/>
  </r>
  <r>
    <n v="12"/>
    <x v="1"/>
    <x v="4"/>
    <x v="32"/>
    <s v="YES"/>
    <x v="3"/>
    <x v="12"/>
    <s v="해당없음"/>
    <s v="해당없음"/>
    <s v="해당없음"/>
    <s v="2016년 11월"/>
    <d v="2016-11-01T00:00:00"/>
    <n v="11"/>
    <s v="-"/>
    <x v="2"/>
    <s v="2016년 11월경 아파트 건설공사 현장에서 타워크레인 해체 작업 중 재해자는 12층 세대 내 실외기실에서 타워크레인 브레이싱 해체를 위하여 15층에 고정되어 내려진 섬유로프에 윈치를 거는 작업을 하던 중 떨어져 사망"/>
    <s v="타워크레인 브레이싱 해체 작업을 위해 건물 내부에서 안전난간대를 넘어서 섬유로프에 윈치를 거는 작업 중 추락 "/>
    <s v="▶ 타워크레인의 브레이싱 해체작업 시, 브레이싱 해체 구간을 기준으로 하부층에 추락방지망을 설치하여 작업자의 추락, 낙하물의 낙하를 방지_x000a_▶ 건물 내 실외기실 단부 등 추락할 위험이 있는 곳에서 작업할 시, 안전대를 체결한 상태로 작업하도록 조치"/>
  </r>
  <r>
    <n v="12"/>
    <x v="1"/>
    <x v="4"/>
    <x v="32"/>
    <s v="YES"/>
    <x v="3"/>
    <x v="12"/>
    <s v="해당없음"/>
    <s v="해당없음"/>
    <s v="해당없음"/>
    <s v="2016년 11월"/>
    <d v="2016-11-01T00:00:00"/>
    <n v="11"/>
    <s v="-"/>
    <x v="2"/>
    <s v="2016년 11월경 주상복합 신축현장에서 재해자가 타워크레인 마스트 연장작업을 하기 위하여 인양된 마스트에서 가드레일 고정작업 중, 마스트 내부 사다리가 탈락하면서 사다리와 함께 재해자 2명이 지상으로 추락(H≒15m)하여 사망"/>
    <s v="타워크레인 텔레스코핑 작업 중  마스트 내부에 설치된 사다리의 탈락으로 인해 지상 바닥으로 추락"/>
    <s v="▶ 마스트와 내부 사다리(안전대 부착설비)의 연결부 연결철물 상태 점검 및 설치도면 검토_x000a_▶ 마스트 내부 사다리를 안전대 부착 설비로 사용하는 행위 금지조치하며 별도의 안전대 부착설비 설치"/>
  </r>
  <r>
    <n v="12"/>
    <x v="1"/>
    <x v="4"/>
    <x v="32"/>
    <s v="YES"/>
    <x v="3"/>
    <x v="5"/>
    <s v="12대 기인물"/>
    <n v="12"/>
    <n v="2.3E-2"/>
    <s v="2016년 11월"/>
    <d v="2016-11-01T00:00:00"/>
    <n v="11"/>
    <s v="-"/>
    <x v="6"/>
    <s v="2016년 11월경 OO선착장 물량장에서 재해자가 Crane(자중 2.7ton) 해체를 위해 굴착기에 슬링벨트를 걸고 크레인을 지탱한 상태에서 장착베이스 마지막 볼트를 제거하는 순간, 무게 중심이 한쪽 방향으로 쏠리면서 크레인 Boom 방향은 내려가고 Post 방향은 올라오면서 크레인 가동용 발전기 외함과 Post 하단부에 재해자 흉부가 협착되어 사망"/>
    <s v="타워크레인의 카운터 지브 해체 중 지브 앞부분이 들리면서 지브 전면과 사다리 방호울 사이에 협착"/>
    <s v="▶ 타워크레인 해체 시, 카운터 지브와 타워헤드를 연결하는 소켓핀을 적절하게 빼내어 고정판이 움직이지 않도록 조치거나 소켓핀을 제거하기 전 체인블럭 등으로 카운터 지브와 타워헤드를 묶어 이탈되지 않도록 조치_x000a_▶ 타워크레인 해체 시, 카운터 지브의 균형유지를 위해 적절한 줄걸이 위치 검토 실시"/>
  </r>
  <r>
    <n v="12"/>
    <x v="1"/>
    <x v="4"/>
    <x v="32"/>
    <s v="YES"/>
    <x v="3"/>
    <x v="12"/>
    <s v="해당없음"/>
    <s v="해당없음"/>
    <s v="해당없음"/>
    <s v="2016년 12월"/>
    <d v="2016-12-01T00:00:00"/>
    <n v="12"/>
    <s v="혹한기"/>
    <x v="2"/>
    <s v="2016년 12월경 OO건설 OO번지 신축공사 현장에서 타워크레인(무인, 2.9Ton) 해체하는 과정 중 메인 지브를 해체한 후 카운터 지브를 해체하기 위해 카운터 지브의 4개소 인양고리(러그)에 이동식크레인(200ton)을 사용한 인양줄을 설치하고 타이바와 연결핀을 모두 해체한 상태에서 재해자가 유도로프를 설치하기 위해 카운터지브의 단부 방향으로 이동 중 카운터 지브가 수직으로 기울어지며 바닥으로 떨어져(H≒30m) 사망"/>
    <s v="타워크레인의 카운터 지브 해체 중 카운터 지브가 수직으로 기울어 단부방향으로 이동 중이던 작업자가 바닥으로 추락"/>
    <s v="▶ 카운터 지브 해체 시, 카운터 지브의 무게중심을 고려하여 인양고리에 줄걸이 설치하며 무게중심이 맞지 않은 상태에서 연결핀 해체 금지_x000a_▶ 카운터 지브 해체 시, 작업자의 임의대로 작업하는 행위를 금지하고 T/C의 제원에 따른 설치, 해체 방법 등과 같은 매뉴얼을 준수하여 작업실시"/>
  </r>
  <r>
    <n v="12"/>
    <x v="1"/>
    <x v="4"/>
    <x v="32"/>
    <s v="YES"/>
    <x v="3"/>
    <x v="12"/>
    <s v="해당없음"/>
    <s v="해당없음"/>
    <s v="해당없음"/>
    <s v="2017년 5월경"/>
    <d v="2017-05-01T00:00:00"/>
    <n v="5"/>
    <s v="-"/>
    <x v="2"/>
    <s v="2017년 5월경 공동주택 신축공사 현장의 타워크레인에서 재해자 5명이 타워크레인 텔레스코핑 작업 중, 타워크레인 마스트가 전도되면서 재해자가 떨어져(H≒50m) 3명 사망, 2명 부상"/>
    <s v="타워크레인 텔레스코핑 작업 중 마스트 전도로 인한 추락"/>
    <s v="▶ 보조 포올 등 타워크레인의 주요 부품 제작 및 교체 시, 원제조사와 동등 이상의 치수, 형상, 성능 확보 여부를 검토_x000a_▶ 추락 위험이 높은 타워크레인 설치 작업의 경우 2중 안전고리 체결을 권장"/>
  </r>
  <r>
    <n v="12"/>
    <x v="1"/>
    <x v="4"/>
    <x v="32"/>
    <s v="YES"/>
    <x v="3"/>
    <x v="12"/>
    <s v="해당없음"/>
    <s v="해당없음"/>
    <s v="해당없음"/>
    <s v="2017년 10월"/>
    <d v="2017-10-01T00:00:00"/>
    <n v="10"/>
    <s v="-"/>
    <x v="7"/>
    <s v="2017년 10월경 ㈜OO에서 시공하는 아파트 건설공사 현장에서 타워크레인 해체작업 중 타워크레인 상부구조물이 붕괴되면서 재해자가 떨어져(H≒64m) 3명 사망, 2명 부상"/>
    <s v="타워크레인의 텔레스코픽 케이지 해체 작업 중 상부 구조물의 균형 상실 및 메인 슈 이탈로 인한 타워크레인 붕괴"/>
    <s v="▶ 텔레스코픽 케이지 하강작업 시 메인 슈를 클라이밍 플레이트 안쪽까지 완전밀착하여 메인 슈의 이탈을 방지_x000a_▶ 텔레스코픽 케이지 하강작업 시 메인 슈 이탈방지 브라켓의 변형 및 파손 여부 확인_x000a_▶ 텔레스코픽 케이지 하강작업 시 케이지와 턴테이블 연결부위의 노후화, 용접불량 등을 점검"/>
  </r>
  <r>
    <n v="12"/>
    <x v="1"/>
    <x v="4"/>
    <x v="32"/>
    <s v="YES"/>
    <x v="3"/>
    <x v="12"/>
    <s v="해당없음"/>
    <s v="해당없음"/>
    <s v="해당없음"/>
    <s v="2017년 12월"/>
    <d v="2017-12-01T00:00:00"/>
    <n v="12"/>
    <s v="혹한기"/>
    <x v="2"/>
    <s v="2017년 12월경 OO건설 농수산물 유통센터 신축공사 현장에서 타워크레인(40톤) 재해자 7명이 마스트 14단 텔레스코핑(상승) 작업 중 타워크레인 지브가 중심을 잃고 11단 마스트 상부 구조물이 넘어지면서 3명 사망, 4명 부상"/>
    <s v="타워크레인 텔레스코핑 작업 중 지브가 중심을 잃어 마스트 상부 구조물의 전도 인한 추락"/>
    <s v="▶ 타워크레인의 제원에 따른 설치, 조립 방법 등의 매뉴얼 준수 및 관련 교육 실시_x000a_▶ 타워크레인 텔레스코핑 작업 시, 슬라이더 크로스 잠금장치 체결 철저"/>
  </r>
  <r>
    <n v="12"/>
    <x v="1"/>
    <x v="4"/>
    <x v="32"/>
    <s v="YES"/>
    <x v="3"/>
    <x v="12"/>
    <s v="해당없음"/>
    <s v="해당없음"/>
    <s v="해당없음"/>
    <s v="2017년 12월"/>
    <d v="2017-12-01T00:00:00"/>
    <n v="12"/>
    <s v="혹한기"/>
    <x v="2"/>
    <s v="2017년 12월경 OO건설 공동주택 신축공사 현장에서 재해자 5명이 타워크레인(14톤, L형) 텔레스코픽 케이지 상승작업 중 써포트 슈가 이탈하면서 상승되었던 텔레스코픽 케이지가 3m 아래로 내려앉았고, 그 충격으로 텔레스코픽 케이지에 부착된 작업발판 및 안전난간이 파손되어 작업발판에 있던 1명이 약 70m 아래로 떨어져 사망, 4명 부상"/>
    <s v="타워크레인 해체 작업 시 클라이밍 슈 이탈로 텔레스코픽 케이지의 하강으로 인한 추락"/>
    <s v="▶ 타워크레인 해체를 위한 텔레스코픽 하강작업 시, 클라이밍 슈와 마스트 훅의 장착상태 점검 철저_x000a_▶ 타워크레인 설치, 해체 작업 시, 유자격자에 의한 작업 여부 파악"/>
  </r>
  <r>
    <n v="12"/>
    <x v="1"/>
    <x v="4"/>
    <x v="32"/>
    <s v="YES"/>
    <x v="3"/>
    <x v="12"/>
    <s v="해당없음"/>
    <s v="해당없음"/>
    <s v="해당없음"/>
    <s v="2018년 9월경"/>
    <d v="2018-09-01T00:00:00"/>
    <n v="9"/>
    <s v="-"/>
    <x v="2"/>
    <s v="2018년 9월경 OO공장 갠트리크레인 전기 개·보수공사 현장에서 갠트리크레인(20톤)의 노후화된 전기설비를 교체하기 위해 재해자가 옥외작업장에 설치된 갠트리 크레인 위에 올라가 동료와 함께 거더(폭50cm) 위에 앉아 횡행트롤리선 레일을 배열하던 중 몸의 중심을 잃고 뒤로 넘어지면서 약 11m 하부 지상 바닥으로 떨어져 사망"/>
    <s v="타워크레인 텔레스코핑 작업을 위해 케이지 발판 위로 이동중 몸의 중심을 잃고 추락"/>
    <s v="▶ 안전대 결합 등 추락 및 재해 방지에 관한 사항을 포함하는 안전교육 실시_x000a_▶ 추락 위험이 높은 타워크레인 설치 작업의 경우 2중 안전고리 체결을 권장_x000a_▶ 텔레스코핑 케이지 작업발판의 연결 및 고정상태 점검 철저"/>
  </r>
  <r>
    <n v="12"/>
    <x v="1"/>
    <x v="4"/>
    <x v="32"/>
    <s v="YES"/>
    <x v="3"/>
    <x v="12"/>
    <s v="해당없음"/>
    <s v="해당없음"/>
    <s v="해당없음"/>
    <s v="2019년 1월경"/>
    <d v="2019-01-01T00:00:00"/>
    <n v="1"/>
    <s v="혹한기"/>
    <x v="0"/>
    <s v="2019년 1월경 OO건설에서 시공하는 사옥 신축공사 현장에서 재해자가 타워크레인 상승(Telescoping)을 위한 마스트내 수직사다리 위치에서 타워 운전작업 중 케이지 유압실린더 수축 과정에서 슈 서포트(받침 지지대)가 마스트에서 재해자 방향으로 이탈하면서 재해자를 강타하여 사망"/>
    <s v="마스트 내 사다리 위치에서 타워크레인 텔레스코핑 위해 리모컨을 조작하던 중 슈 서포트가 이탈하며 재해자를 강타"/>
    <s v="▶ 타워크레인 텔레스코핑 작업 시, 균형유지의 방법으로 육안조정법 보다는 제조사의 방법을 우선적으로 적용_x000a_▶ 타워크레인 텔레스코핑 작업 시, 슈 서포트의 이탈을 방지하기 위해 유압 실린더와 마스트가 안착하는 형태와 유사한 구조를 띈 슈 서포트 발톱으로 보강_x000a_▶ 타워크레인에 풍속계를 설치하여 외부 풍속에 대해 수시로 확인_x000a_▶ 타워크레인의 설치, 사용, 해체 시 작업자의 자격증 등 자격요건 파악"/>
  </r>
  <r>
    <n v="12"/>
    <x v="1"/>
    <x v="4"/>
    <x v="32"/>
    <s v="YES"/>
    <x v="3"/>
    <x v="12"/>
    <s v="해당없음"/>
    <s v="해당없음"/>
    <s v="해당없음"/>
    <s v="2020년 1월경"/>
    <d v="2020-01-01T00:00:00"/>
    <n v="1"/>
    <s v="혹한기"/>
    <x v="2"/>
    <s v="2020년 1월경 OO건설에서 시공 중인 사옥 및 연구소 신축공사 현장에서 타워크레인 해체 작업을 위하여 이동식크레인(330톤)으로 메인지브를 들어올리던 중, 카운터웨이트(약 8.5톤)의 무게로 인해 턴테이블 상부 구조물이 붕괴되면서 상부에서 작업 중이던 재해자 3명이 지상 1층으로(약 40m) 떨어져, 2명은 사망, 안전대에 의해 구조물에 매달려진 1명은 부상"/>
    <s v="타워크레인 해체작업 중 턴테이블 상부 구조물 붕괴로 인한 추락"/>
    <s v="▶타워크레인 해체작업 시, 카운터웨이트 선 해체 후, 메인지브 해체 작업 실시_x000a_▶타워크레인 해체작업 시, 부재 간 연결부의 견고한 볼트 체결상태 점검"/>
  </r>
  <r>
    <n v="12"/>
    <x v="1"/>
    <x v="4"/>
    <x v="32"/>
    <s v="YES"/>
    <x v="3"/>
    <x v="12"/>
    <s v="해당없음"/>
    <s v="해당없음"/>
    <s v="해당없음"/>
    <s v="2020년 6월경"/>
    <d v="2020-06-01T00:00:00"/>
    <n v="6"/>
    <s v="혹서기"/>
    <x v="1"/>
    <s v="2020년 6월경 국민임대주택 건설공사 현장에서 재해자가 타워크레인 텔레스코핑 케이지 작업발판을 설치하던 중 작업발판이 뒤집어지면서 약 22m 아래로 추락하여 사망"/>
    <s v="러핑형 타워크레인의 타워헤드 앞쪽 프레임을 이동식 크레인으로 인상하여 타워헤드 뒤쪽 프레임에 연결하는 작업 도중 타워헤드 앞쪽 프레임과 이동식 크레인을 연결한 섬유로프가 파단 되며 낙하한 타워헤드 앞쪽 프레임에 깔림"/>
    <s v="▶ 자재 인양 시, 인양물의 재료, 형상에 맞는 적절한 줄걸이 방법 사용_x000a_▶ 추락의 위험이 있는 작업 시, 추락방지망, 작업발판 등의 추락방지조치 실시_x000a_▶ 작업자와 운전수 간의 적절한 신호체계 수립"/>
  </r>
  <r>
    <n v="12"/>
    <x v="1"/>
    <x v="4"/>
    <x v="32"/>
    <s v="YES"/>
    <x v="3"/>
    <x v="12"/>
    <s v="해당없음"/>
    <s v="해당없음"/>
    <s v="해당없음"/>
    <s v="2021년 3월경"/>
    <d v="2021-03-01T00:00:00"/>
    <n v="3"/>
    <s v="-"/>
    <x v="2"/>
    <s v="2021년 3월경 지식산업센터 신축 현장 내에서 신규 설치하는 타워크레인의 7번째 마스트 인상작업 중 타워크레인 상부구조물(운전석, 메인지브, 카운터지브 등)이 붕괴되며 재해자 1명이 운전석에서 추락(H≒43m)하여 사망, 설치 중인 재해자 1명 부상"/>
    <s v="타워크레인 7번째 마스트 인상작업 중 타워크레인 상부구조물(운전석, 메인지브, 카운터지브 등)이 붕괴되며 운전석에 타고 있던 운전원이 함께 추락"/>
    <s v="▶ 타워크레인 텔레스코핑 작업 시, 서포트 슈와 러그의 고정상태 및 안전핀 체결 여부 파악_x000a_▶ 작업자에게 현장 내 사용중인 타워크레인의 제원에 따른 설치, 조립 방법 등의 교육 및 숙지 여부 파악_x000a_▶ 작업자의 안전대 착용 및 안전대 결합 유무 파악 등 추락에 의한 위험방지조치 실치"/>
  </r>
  <r>
    <n v="12"/>
    <x v="1"/>
    <x v="4"/>
    <x v="32"/>
    <s v="YES"/>
    <x v="3"/>
    <x v="12"/>
    <s v="해당없음"/>
    <s v="해당없음"/>
    <s v="해당없음"/>
    <s v="2021년 6월경"/>
    <d v="2021-06-01T00:00:00"/>
    <n v="6"/>
    <s v="혹서기"/>
    <x v="1"/>
    <s v="2021년 6월경 OO건설에서 시공하는 아파트 건설현장에서 러핑형 타워크레인의 타워헤드 앞쪽 프레임(무게 약 2.8ton)을 지상에서 이동식 크레인(51ton)으로 인상하여 타워헤드 뒤쪽 프레임에 연결하는 작업 도중 타워헤드 앞쪽 프레임과 이동식 크레인을 연결한 섬유로프가 파단되며 낙하한 타워헤드 앞쪽 프레임에 재해자가 깔려 사망"/>
    <s v="러핑형 타워크레인의 타워헤드 앞쪽 프레임을 이동식 크레인으로 인상하여 타워헤드 뒤쪽 프레임에 연결하는 작업 도중 타워헤드 앞쪽 프레임과 이동식 크레인을 연결한 섬유로프가 파단 되며 낙하한 타워헤드 앞쪽 프레임에 깔림"/>
    <s v="▶ 자재 인양 시, 인양물의 재료, 형상에 맞는 적절한 줄걸이 방법 사용_x000a_▶ 추락의 위험이 있는 작업 시, 추락방지망, 작업발판 등의 추락방지조치 실시_x000a_▶ 작업자와 운전수 간의 적절한 신호체계 수립"/>
  </r>
  <r>
    <n v="12"/>
    <x v="1"/>
    <x v="4"/>
    <x v="32"/>
    <s v="YES"/>
    <x v="3"/>
    <x v="12"/>
    <s v="해당없음"/>
    <s v="해당없음"/>
    <s v="해당없음"/>
    <s v="2021년 6월경"/>
    <d v="2021-06-01T00:00:00"/>
    <n v="6"/>
    <s v="혹서기"/>
    <x v="2"/>
    <s v="2021년 6월경 OO건설에서 시공 중인 오피스텔 신축공사 현장에서 재해자가 타워크레인(러핑형) 월 브레이싱(Wall Bracing) 해체 작업 중 지상1층(H≒20m) 바닥으로 떨어져 사망"/>
    <s v="타워크레인 해체업체인 재해자가 타워크레인(러핑형) 월 브레이싱(Wall Bracing) 해체 작업 중 지상1층 바닥으로 떨어짐"/>
    <s v="▶ 타워크레인의 브레이싱 해체작업 시, 브레이싱 해체 구간을 기준으로 하부층에 추락방지망을 설치하여 작업자의 추락, 낙하물의 낙하를 방지_x000a_▶ 건물 단부 등 추락할 위험이 있는 곳에서 작업할 시, 안전대를 체결한 상태로 작업하도록 조치"/>
  </r>
  <r>
    <n v="12"/>
    <x v="1"/>
    <x v="4"/>
    <x v="32"/>
    <s v="YES"/>
    <x v="3"/>
    <x v="12"/>
    <s v="해당없음"/>
    <s v="해당없음"/>
    <s v="해당없음"/>
    <s v="2021년 8월경"/>
    <d v="2021-08-01T00:00:00"/>
    <n v="8"/>
    <s v="혹서기"/>
    <x v="2"/>
    <s v="2021년 8월경 주택재개발 정비사업현장에서 재해자가 타워크레인 캣헤드 설치 후 이동식 크레인 줄걸이를 해체하고 사다리로 내려오던 중 사다리 끝단에서 실족하여 약 21m 아래 지상 콘크리트 바닥으로 추락하여 사망"/>
    <s v="타워크레인 캣헤드 설치 후 이동식 크레인 줄걸이를 해체하고 승강 사다리로 내려오던 중 사다리 끝단에서 실족하여 추락"/>
    <s v="▶ 추락 위험이 높은 타워크레인 설치 작업의 경우 2중 안전고리 체결을 권장_x000a_▶ 타워크레인 설치, 해체 작업 시, 유자격자에 의한 작업 여부 파악"/>
  </r>
  <r>
    <n v="12"/>
    <x v="1"/>
    <x v="4"/>
    <x v="74"/>
    <s v="YES"/>
    <x v="3"/>
    <x v="5"/>
    <s v="12대 기인물"/>
    <n v="12"/>
    <n v="2.3E-2"/>
    <s v="2016년 1월경"/>
    <d v="2016-01-01T00:00:00"/>
    <n v="1"/>
    <s v="혹한기"/>
    <x v="3"/>
    <s v="2016년 1월경 OO공장 내 집진설비 설치공사 현장에서 재해자가 이동식 크레인의 보조붐을 확장하던 중 메인붐 끝단과 보조붐의 연결핀을 체결하지 않은 상태에서 측면의 연결핀을 풀다가 보조붐과 함께 3m 아래 콘크리트 바닥으로 떨어져 사망"/>
    <s v=" 보조붐 확장 중 연결핀 미체결 상태에서의 측면 연결핀 해제로 인한 보조붐 낙하"/>
    <s v="▶ 보조붐 확장 시 메인붐 끝단과 보조붐 연결핀 체결철저_x000a_▶ 작업 전 특별안전보건교육 실시 및 관리감독자 배치 후 작업 실시 준수"/>
  </r>
  <r>
    <n v="12"/>
    <x v="1"/>
    <x v="4"/>
    <x v="74"/>
    <s v="YES"/>
    <x v="3"/>
    <x v="5"/>
    <s v="12대 기인물"/>
    <n v="12"/>
    <n v="2.3E-2"/>
    <s v="2017년 9월경"/>
    <d v="2017-09-01T00:00:00"/>
    <n v="9"/>
    <s v="-"/>
    <x v="8"/>
    <s v="2017년 9월경 OO건설 열병합발전소 건설공사 현장에서 탈황설비 자재 하역작업 중 이동식크레인의 턴테이블 볼트가 파단되어 전도되는 붐대에 깔려 재해자1 사망, 재해자2(운전원) 부상"/>
    <s v="이동식크레인을 통한 전주 인양 후 상차 도중 붐 파손에 의한 붐 낙하 및 근로자 충돌"/>
    <s v="▶ 중량물 인양 시 낙하 위험장소의 근로자 출입금지구역 설치_x000a_▶ 작업 전 반복 하중에 의해 균열 등이 육안검사로 확인 즉시 작업 중단_x000a_▶ 주기적인 이동식 크레인 안전검사 철저"/>
  </r>
  <r>
    <n v="12"/>
    <x v="1"/>
    <x v="4"/>
    <x v="74"/>
    <s v="YES"/>
    <x v="3"/>
    <x v="5"/>
    <s v="12대 기인물"/>
    <n v="12"/>
    <n v="2.3E-2"/>
    <s v="2019년 4월경"/>
    <d v="2019-04-01T00:00:00"/>
    <n v="4"/>
    <s v="-"/>
    <x v="2"/>
    <s v="2019년 4월경 OO사업장에서 이동식 크레인(700톤 하이드로 러핑 지브 크레인) 출고 전 검사를 위해 조립작업 중 크레인 부재[러핑 플라이 지브(Luffing fly jib)]를 들어 올리는 작업 전에 해체해야 할 고정핀을 분리하지 않고 지브 상승 조작을 진행하다 핀이 체결되어 있는 러그가 하중을 견디지 못하고 파단되는 순간 지브가 낙하하면서 크레인 부재 위에서 조립작업을 수행하던 재해자가 지브 낙하 충격 및 진동에 의해 약 2.25m 아래 지상 바닥으로 떨어져 사망"/>
    <s v="이동식 크레인 출고 전 검사를 위한 조립작업 중 러그 파단으로 인한 지브 낙하와 그로 인한 근로자 추락"/>
    <s v="▶ 추락할 위험이 있는 작업 시, 추락방호망, 안전난간대, 안전대 부착설비 설치 등의 안전방호조치 실시_x000a_▶ 이동식 크레인 조립작업시 조립매뉴얼에 맞게 작업"/>
  </r>
  <r>
    <n v="12"/>
    <x v="1"/>
    <x v="4"/>
    <x v="74"/>
    <s v="YES"/>
    <x v="3"/>
    <x v="5"/>
    <s v="12대 기인물"/>
    <n v="12"/>
    <n v="2.3E-2"/>
    <s v="2019년 9월경"/>
    <d v="2019-09-01T00:00:00"/>
    <n v="9"/>
    <s v="-"/>
    <x v="1"/>
    <s v="2019년 9월경 OO에서 시공하는 OO건립공사 현장에서 이동식타워크레인으로 자재 양중작업을 하던 중 크레인을 지지하고 있던 아웃트리거 하부지반 침하로 장비가 전도되어 지면과 충돌되는 과정에서 운전기사가 튕겨져 나오고 조종실 내 운전석 뒤편에서 견습하고 있던 재해자는 협착하여 사망"/>
    <s v="이동식타워크레인으로 자재양중작업을 하던 중, 크레인을 지지하고 있던 아웃트리거 하부지반 침하로 장비 전도 "/>
    <s v="▶ 이동식크레인을 설치하는 경우 장비 주의사항에 따라 작업장소의 지반상태를 작업 시작 전 점검ㆍ확인하고 작업토록 함_x000a_▶ 지반상태가 불량한 경우 받침목, 철판 등을 설치하여 충분한 지지력 확보 후 작업실시"/>
  </r>
  <r>
    <n v="12"/>
    <x v="1"/>
    <x v="4"/>
    <x v="74"/>
    <s v="YES"/>
    <x v="3"/>
    <x v="5"/>
    <s v="12대 기인물"/>
    <n v="12"/>
    <n v="2.3E-2"/>
    <s v="2019년 10월"/>
    <d v="2019-10-01T00:00:00"/>
    <n v="10"/>
    <s v="-"/>
    <x v="0"/>
    <s v="2019년 10월경 OO건설 사업장내에서 재해자가 크롤러 크레인(80ton) 임대를 위해 운전실 후방에 설치되어 있는 카운터 웨이트(중량=4.87ton)를 분리하는 과정에서 카운터 웨이트가 미끄러져 떨어지면서(높이≒2m) 재해자를 가격하여 사망"/>
    <s v="크롤러크레인 운전실 후방에 설치되어 있는 카운터 웨이트를 분리(해체)하던 중 미끄러져 낙하하는 카운터 웨이트에 맞음"/>
    <s v="▶ 중량물을 인양하는 등의 작업 시 중량물 취급작업계획서를 작성하고 작업계획에 따라 작업진행_x000a_▶ 중량물을 해체하는 경우 낙하 위험장소의 근로자 출입금지구역 설치"/>
  </r>
  <r>
    <n v="12"/>
    <x v="1"/>
    <x v="4"/>
    <x v="74"/>
    <s v="YES"/>
    <x v="3"/>
    <x v="5"/>
    <s v="12대 기인물"/>
    <n v="12"/>
    <n v="2.3E-2"/>
    <s v="2019년 12월"/>
    <d v="2019-12-01T00:00:00"/>
    <n v="12"/>
    <s v="혹한기"/>
    <x v="0"/>
    <s v="2019년 12월경 OO건설의 재생센터 처리시설 설치공사 현장에서 재해자가 55톤 기중기(크롤러크레인) 반출을 위하여 보조붐대에 설치된 권과방지장치의 전선을 해체하는 작업 중, 인근에서 작업 중인 동료작업자가 주붐대에 고정된 와이어로프를 해체하자 보조붐 지지대가 재해자쪽으로 넘어가면서 머리 등을 강타하여 사망"/>
    <s v="보조붐대에 설치된 권과방지장치의 전선을 해체하던 중 주붐대에 고정된 로프를 해체 후 보조붐 지지대가 전도되며 피재자의 머리를 강타"/>
    <s v="▶ 차량계 건설기계의 해체작업 시, 장비의 제원, 해체 매뉴얼 등 사전조사를 실시한 후, 해체의 방법 및 순서 등의 해체계획을 수립_x000a_▶ 크레인 해체 등 위험작업 시, 작업반경 내 작업자의 접근금지 조치, 작업자와 운전자, 신호수 간의 신호체계 수립"/>
  </r>
  <r>
    <n v="12"/>
    <x v="1"/>
    <x v="4"/>
    <x v="74"/>
    <s v="YES"/>
    <x v="3"/>
    <x v="5"/>
    <s v="12대 기인물"/>
    <n v="12"/>
    <n v="2.3E-2"/>
    <s v="2020년 7월경"/>
    <d v="2020-07-01T00:00:00"/>
    <n v="7"/>
    <s v="혹서기"/>
    <x v="6"/>
    <s v="2020년 7월경 방파제 보수보강을 위한 T.T.P 제작 현장에서 재해자가 와이어로프 줄걸이 작업을 하고 대피 중 크레인으로 인양되는 T.T.P와 지상에 놓여진 T.T.P 사이에 협착되어 사망"/>
    <s v="근로자가 와이어로프 줄걸이 작업을 완료하고 다른 공간으로 움직이는 중 크레인 운전수가 근로자를 보지못하고 인양 중인 T.T.P(테트라포드)와 기 놓여진 T.T.P(테트라포드) 사이에 근로자 협착"/>
    <s v="▶ 근로자가 장비에 근접하여 작업을 수행하는 경우 유도자를 배치하여 안전한 상태에서 작업 진행_x000a_▶ 장비에 접촉 가능 장소 및 사각지대 발생가능성이 높은 건설기계 사용 시 근로자 출입금지 및 유도자 배치_x000a_▶ 중량물을 인양하는 등의 작업 시 중량물 취급작업계획서를 작성하고 작업계획에 따라 작업진행"/>
  </r>
  <r>
    <n v="12"/>
    <x v="1"/>
    <x v="4"/>
    <x v="74"/>
    <s v="YES"/>
    <x v="3"/>
    <x v="5"/>
    <s v="12대 기인물"/>
    <n v="12"/>
    <n v="2.3E-2"/>
    <s v="2020년 7월경"/>
    <d v="2020-07-01T00:00:00"/>
    <n v="7"/>
    <s v="혹서기"/>
    <x v="6"/>
    <s v="2020년 7월경 스포츠복합시설 신축공사 현장에서 재해자가 카고 크레인 아웃트리거를 밟고 적재함에 오르려하다, 아웃트리거가 인입되면서 재해자의 좌측다리가 아웃트리거와 적재함 사이에 끼여 사망"/>
    <s v="근로자가 카고 크레인 아웃트리거를 밟고 적재함에 오르려하다 아웃트리거가 인입되면서 근로자의 좌측다리가 아웃트리거와 적재함 사이에 끼임"/>
    <s v="▶ 하역작업 등으로 적재함을 오를 경우 승강 사다리를 이용_x000a_▶ 운전 중인 장비, 작동부 근처 접근 금지"/>
  </r>
  <r>
    <n v="12"/>
    <x v="1"/>
    <x v="37"/>
    <x v="75"/>
    <s v="YES"/>
    <x v="3"/>
    <x v="13"/>
    <s v="해당없음"/>
    <s v="해당없음"/>
    <s v="해당없음"/>
    <s v="2016년 6월경"/>
    <d v="2016-06-01T00:00:00"/>
    <n v="6"/>
    <s v="혹서기"/>
    <x v="6"/>
    <s v="2016년 6월경 OO현장에서 재해자가 지하 3층에서 조적용 레미탈 자재를 정리하기 위해 지게차(2.98ton)를 직접 운전하여 목재 파레트를 이용하여 작업을 하던 중 지게차와 잭써포트*(H=3.0m, Ф=140mm) 사이에 얼굴이 협착되어 사망"/>
    <s v="지게차를 이용하여 자재운반 중 시야확보가 되지 않아 자재와 지게차 사이에 끼임 "/>
    <s v="▶ 유도자를 배치하여 차량계 건설기계 유도_x000a_▶ 후방카메라 설치 등 장비에 의한 접촉방지조치 실행_x000a_▶ 지게차 포크 화물 적재 시 전방 시야 확보"/>
  </r>
  <r>
    <n v="12"/>
    <x v="1"/>
    <x v="37"/>
    <x v="75"/>
    <s v="YES"/>
    <x v="3"/>
    <x v="13"/>
    <s v="해당없음"/>
    <s v="해당없음"/>
    <s v="해당없음"/>
    <s v="2016년 7월경"/>
    <d v="2016-07-01T00:00:00"/>
    <n v="7"/>
    <s v="혹서기"/>
    <x v="8"/>
    <s v="2016년 7월경 OO건설㈜ OO신축공사 현장에서 재해자가 사고지점 인근에서 지게차 견인작업을 지켜보다가 전도되는 지게차에 부딪혀 사망"/>
    <s v="콘크리트 펌프카를 이용하여 지게차 견인작업을 하던 중 견인작업을 지켜보던 재해자가 전도되는 지게차에 충돌"/>
    <s v="▶ 주용도 외에 사용제한(전용 견인차를 불러 지게차를 견인하도록 조치)_x000a_▶ 위험작업 시, 주변의 관리자를 포함한 근로자 모두 작업 반경 내 접근 금지"/>
  </r>
  <r>
    <n v="12"/>
    <x v="1"/>
    <x v="37"/>
    <x v="75"/>
    <s v="YES"/>
    <x v="3"/>
    <x v="13"/>
    <s v="해당없음"/>
    <s v="해당없음"/>
    <s v="해당없음"/>
    <s v="2016년 8월경"/>
    <d v="2016-08-01T00:00:00"/>
    <n v="8"/>
    <s v="혹서기"/>
    <x v="8"/>
    <s v="2016년 8월경 OO신축공사 현장에서 재해자가 오후 T.B.M(Tool Box Meeting)을 위하여119동 남측 가설도로(폭:8m)를 횡단하여 이동하던 중 운행 중이던 지게차(8ton) 오른쪽 바퀴에 깔려 사망"/>
    <s v="현장 내 운행중이던 건설기계(굴착기, 지게차)가 이동하던 재해자를 발견하지 못하고 충돌"/>
    <s v="▶ 유도자를 배치하여 차량계 건설기계 유도_x000a_▶ 후방카메라 설치 등 장비에 의한 접촉방지조치 실행_x000a_▶ 차량계 건설기계 운행경로와 별도로 근로자가 이동할 수 있는 안전 통로 설치"/>
  </r>
  <r>
    <n v="12"/>
    <x v="1"/>
    <x v="37"/>
    <x v="75"/>
    <s v="YES"/>
    <x v="3"/>
    <x v="6"/>
    <s v="12대 기인물"/>
    <n v="9"/>
    <n v="3.4000000000000002E-2"/>
    <s v="2016년 10월"/>
    <d v="2016-10-01T00:00:00"/>
    <n v="10"/>
    <s v="-"/>
    <x v="0"/>
    <s v="2016년 10월경 OO사무실 뒤 야적장에서 재해자는 동료작업자가 덤프트럭 정비를 위해 공기압축기를 작동시켜 덤프트럭 뒷바퀴를 교체하는 작업을 도와주던 중 과압상태로 충압된 공기저장용기의 배면부분이 파열되면서 압축공기가 옆 적재함을 타격, 적재함에 실려 있던 공구함이 날아가 재해자를 타격하여 사망"/>
    <s v="덤프트럭 정비를 위해 공기압축기를 이용하여 트럭 뒷바퀴 교체작업 중 공기압축기가 파열되면서 주변에 있던 적재함을 타격하고 적재함에 있던 공구함이 날아가 재해자가 맞음"/>
    <s v="▶ 공기압축기 압력방출장치(안전밸브) 설치_x000a_▶ 위험작업 반경내 접근금지"/>
  </r>
  <r>
    <n v="12"/>
    <x v="1"/>
    <x v="37"/>
    <x v="75"/>
    <s v="YES"/>
    <x v="3"/>
    <x v="13"/>
    <s v="해당없음"/>
    <s v="해당없음"/>
    <s v="해당없음"/>
    <s v="2017년 5월경"/>
    <d v="2017-05-01T00:00:00"/>
    <n v="5"/>
    <s v="-"/>
    <x v="8"/>
    <s v="2017년 5월경 OO호텔 신축공사 현장에서 지게차를 운전하여 지하 3층에서 지상으로 폐기물 운반 중  지하 2층 경사로(Ramp) 구간에서 덕트 보온 작업중이던 재해자를 발견하지 못했고, 재해자는 지게차 포크에 부딪혀 사망"/>
    <s v="지하에서 지상으로 폐기물 운반 중 지하층에서 덕트 보온작업 중이던 재해자를 발견하지 못하고 운전하다 지게차 포크로 재해자 충돌"/>
    <s v="▶ 유도자를 배치하여 차량계 건설기계 유도_x000a_▶ 지게차 포크 화물 적재 시 전방 시야 확보"/>
  </r>
  <r>
    <n v="12"/>
    <x v="1"/>
    <x v="37"/>
    <x v="75"/>
    <s v="YES"/>
    <x v="3"/>
    <x v="6"/>
    <s v="12대 기인물"/>
    <n v="9"/>
    <n v="3.4000000000000002E-2"/>
    <s v="2017년 10월"/>
    <d v="2017-10-01T00:00:00"/>
    <n v="10"/>
    <s v="-"/>
    <x v="8"/>
    <s v="2017년 10월경 지방하천 정비사업 현장 내 제방 진입도로(농로)에서 협력업체 소속 재해자가 덤프트럭의 이동경로 상에 일반차량 진입을 통제하던 중 후진하는 덤프트럭에 치어 사망"/>
    <s v="근로자가 덤프트럭의 이동경로 상에 일반차량 진입을 통제하던 중 후진하는 덤프트럭에 치임"/>
    <s v="▶ 차량계 건설기계 사용시 근로자 통제 또는 유도자 배치_x000a_▶ 후방카메라 설치 등 장비에 의한 접촉방지조치 실행"/>
  </r>
  <r>
    <n v="12"/>
    <x v="1"/>
    <x v="37"/>
    <x v="75"/>
    <s v="YES"/>
    <x v="3"/>
    <x v="6"/>
    <s v="12대 기인물"/>
    <n v="9"/>
    <n v="3.4000000000000002E-2"/>
    <s v="2017년 10월"/>
    <d v="2017-10-01T00:00:00"/>
    <n v="10"/>
    <s v="-"/>
    <x v="2"/>
    <s v="2017년 10월경 OO조성공사 및 진입도로 개설공사 현장에서 잔디 식재공사 OO 소속의 재해자가 작업구역으로 이동하기 위해 소형 덤프트럭(1톤)을 타고 관리도로(아스콘포장, 폭 2.8m, 하향경사 약 22%)를 통해 이동하던 중 차량이 도로를 이탈하여 약 15m 아래의 경사지로 추락하여 사망"/>
    <s v="덤프트럭의 승차석과 외부 적재함에 다수의 근로자가 나눠타고 현장 내 이동하던 중 차량이 급 경사도로에서 이탈하여 경사지로 떨어짐"/>
    <s v="▶ 차량계 건설기계 승차석 외의 탑승금지"/>
  </r>
  <r>
    <n v="12"/>
    <x v="1"/>
    <x v="37"/>
    <x v="75"/>
    <s v="YES"/>
    <x v="3"/>
    <x v="4"/>
    <s v="12대 기인물"/>
    <n v="5"/>
    <n v="4.9000000000000002E-2"/>
    <s v="2017년 10월"/>
    <d v="2017-10-01T00:00:00"/>
    <n v="10"/>
    <s v="-"/>
    <x v="1"/>
    <s v="2017년 10월경 OO조성공사 현장에서 재해자가 굴삭기를 운전하여 준설선 앙카(닻) 이설 작업 후 육지로 복귀하던 중 굴삭기가 기 준설된 구간으로 전복되며 물속에 잠기면서(h≒4m), 익사"/>
    <s v="매립현장 내에서 준설구역인 해상에서 육지로 이동 중이던 굴착기가 전도되며 물속에 잠겨 익사"/>
    <s v="▶ 차량계 하역운반기계 사용시 작업계획서 작성_x000a_▶ 유도자 배치하여 세굴 등이 없는 곳으로 이동 조치_x000a_▶ 전도위험요인 발생구간은 접근금지 표시 등 전도방지조치 실시"/>
  </r>
  <r>
    <n v="12"/>
    <x v="1"/>
    <x v="37"/>
    <x v="75"/>
    <s v="YES"/>
    <x v="3"/>
    <x v="5"/>
    <s v="12대 기인물"/>
    <n v="12"/>
    <n v="2.3E-2"/>
    <s v="2017년 10월"/>
    <d v="2017-10-01T00:00:00"/>
    <n v="10"/>
    <s v="-"/>
    <x v="6"/>
    <s v="2017년 10월경 OO장비 차고지에서 크롤러크레인(320톤) 해제 작업 중에 해체 대상인 크롤러크레인의 러핑마스트에서 신호를 하던 재해자가 해체작업용 크롤러크레인(80톤)으로 인양 중이던 러핑마스트가 갑자기 낙하하여 사망"/>
    <s v="크롤러 크레인(320t) 해체 작업 중 해체작업용 크레인(80t)으로 인양 중이던 러핑마스크가 크레인 오조작으로 낙하하여 러핑마스크 사이에 끼임"/>
    <s v="▶ 차량계 하역운반기계 사용시 작업계획서 작성_x000a_▶ 건설기계장비 운전자 자격여부 확인 "/>
  </r>
  <r>
    <n v="12"/>
    <x v="1"/>
    <x v="37"/>
    <x v="75"/>
    <s v="YES"/>
    <x v="3"/>
    <x v="4"/>
    <s v="12대 기인물"/>
    <n v="5"/>
    <n v="4.9000000000000002E-2"/>
    <s v="2017년 12월"/>
    <d v="2017-12-01T00:00:00"/>
    <n v="12"/>
    <s v="혹한기"/>
    <x v="8"/>
    <s v="2017년 12월경 OO공동주택 건설현장에서 재해자가 지하 주차장 상부 제설작업 중 후진하는 굴삭기 바퀴에 깔려 사망"/>
    <s v="현장 내 운행중이던 건설기계(굴착기, 지게차)가 이동하던 재해자를 발견하지 못하고 충돌"/>
    <s v="▶ 유도자를 배치하여 차량계 건설기계 유도_x000a_▶ 후방카메라 설치 등 장비에 의한 접촉방지조치 실행_x000a_▶ 차량계 건설기계 운행경로와 별도로 근로자가 이동할 수 있는 안전 통로 설치"/>
  </r>
  <r>
    <n v="12"/>
    <x v="1"/>
    <x v="37"/>
    <x v="75"/>
    <s v="YES"/>
    <x v="3"/>
    <x v="5"/>
    <s v="12대 기인물"/>
    <n v="12"/>
    <n v="2.3E-2"/>
    <s v="2018년 6월경"/>
    <d v="2018-06-01T00:00:00"/>
    <n v="6"/>
    <s v="혹서기"/>
    <x v="6"/>
    <s v="2018년 6월경 OO크레인 차고지 내에서 재해자가 이동식크레인(176 ton)을 운전하여 트레일러 적재함에 적재되어 있는 카운터웨이트(24 ton)를 인양하던 중 이동식 크레인이 전도면서 운전실이 트레일러 적재함 상부에 끼어 운전실 내부에 있던 재해자가 협착되어 사망"/>
    <s v="이동식 크레인을 이용하여 트레일러 적재함에 있는 카운터웨이트를 인양하던 중 이동식 크레인이 전도되면서 운전실이 트레일러 적재함 상부에 끼여 운전실 내부에 있던 근로자 협착"/>
    <s v="▶ 차량계 하역운반기계 사용시 작업계획서 작성_x000a_▶ 이동식 크레인 인양 작업시 허용인양하중 검토 "/>
  </r>
  <r>
    <n v="12"/>
    <x v="1"/>
    <x v="37"/>
    <x v="75"/>
    <s v="YES"/>
    <x v="3"/>
    <x v="6"/>
    <s v="12대 기인물"/>
    <n v="9"/>
    <n v="3.4000000000000002E-2"/>
    <s v="2018년 9월경"/>
    <d v="2018-09-01T00:00:00"/>
    <n v="9"/>
    <s v="-"/>
    <x v="6"/>
    <s v="2018년 9월경 OO건설(주)가 시공하는 OO정비사업 공사현장에서 재해자가 영운기의 적재함을 상승한 상태에서 적재함 하부를 점검하던 중 안전지주(받침대)가 미설치된 적재함이 불시하강 하면서 차체와 적재함 사이에 재해자가 끼여 사망_x000d_"/>
    <s v="영운기(경운기 트럭)의 적재함을 상승한 상태에서 적재함 하부 점검 중 안전지주가 미설치된 적재함이 불시하강 하면서 차체와 적재함 사이에 근로자 끼임"/>
    <s v="▶ 차량계 하역운반기계 점검 및 수리 작업 시 안전조치 실시_x000a_▶ 근로자가 산악지형과 같은 비일상적인 장소에서 작업 시 작업 전 안전점검 실시"/>
  </r>
  <r>
    <n v="12"/>
    <x v="1"/>
    <x v="37"/>
    <x v="75"/>
    <s v="YES"/>
    <x v="3"/>
    <x v="4"/>
    <s v="12대 기인물"/>
    <n v="5"/>
    <n v="4.9000000000000002E-2"/>
    <s v="2019년 7월경"/>
    <d v="2019-07-01T00:00:00"/>
    <n v="7"/>
    <s v="혹서기"/>
    <x v="6"/>
    <s v="2019년 7월경 OO건설(주) OO신축공사 현장에서 조경용 옹벽(콘크리트) 내부 바닥에 있는 폐기물을 굴삭기를 사용하여 외부로 반출작업 중 재해자가 굴삭기와 인접 위치한 옹벽에 의식을 잃고 쓰러져 사망"/>
    <s v="굴착기를 이용하여 폐기물을 외부로 반출작업 중 굴착기와 옹벽사이 협착"/>
    <s v="▶ 차량계 건설기계 사용시 작업 장소 내에 근로자의 출입 통제_x000a_▶ 유도자를 배치하여 차량계 건설기계 유도_x000a_▶ 후방카메라 설치 등 장비에 의한 접촉방지조치 실행"/>
  </r>
  <r>
    <n v="12"/>
    <x v="1"/>
    <x v="37"/>
    <x v="75"/>
    <s v="YES"/>
    <x v="3"/>
    <x v="13"/>
    <s v="해당없음"/>
    <s v="해당없음"/>
    <s v="해당없음"/>
    <s v="2019년 9월경"/>
    <d v="2019-09-01T00:00:00"/>
    <n v="9"/>
    <s v="-"/>
    <x v="2"/>
    <s v="2019년 9월경 OO신축공사 현장에서 재해자가 지게차 포크에 팔레트를 끼우고 그 위에 올라가 마스트를 올린 상태(높이 약4m)에서 유리온실 천장 스크린(Screen) 고정용 와이어에 플라스틱 보호캡을 씌우는 작업을 하던 중 중심을 잃고 약 4m 높이에서 추락하여 사망"/>
    <s v="지게차 포크 위에서 천장 스크린 고정용 와이어 작업을 하던 중 중심을 잃고 바닥으로 추락"/>
    <s v="▶ 지게차 승차석이 아닌 위치에 근로자 탑승 금지"/>
  </r>
  <r>
    <n v="12"/>
    <x v="1"/>
    <x v="37"/>
    <x v="75"/>
    <s v="YES"/>
    <x v="3"/>
    <x v="5"/>
    <s v="12대 기인물"/>
    <n v="12"/>
    <n v="2.3E-2"/>
    <s v="2019년 10월"/>
    <d v="2019-10-01T00:00:00"/>
    <n v="10"/>
    <s v="-"/>
    <x v="0"/>
    <s v="2019년 10월경 OO신축공사 현장에서 470톤 이동식 크레인의 설치 작업 중 지상 2.5미터 높이에 있던 지브의 끝단이 지면으로 떨어져 지브위에서 지브 연장 작업 중이던 작업자 2명이 맞아  3개월 이상의 요양이 필요한 부상"/>
    <s v="이동식 크레인 설치 작업 중 지브의 끝단이 지면으로 떨어지면서 지브위에서 지브 연장작업 중이던 근로자 맞음"/>
    <s v="▶ 이동식 크레인 일일점검을 통한 장비의 파단여부 등 확인철저_x000a_▶ 해당 작업 근로자 외 근로자 출입 통제"/>
  </r>
  <r>
    <n v="12"/>
    <x v="1"/>
    <x v="37"/>
    <x v="75"/>
    <s v="YES"/>
    <x v="3"/>
    <x v="11"/>
    <s v="해당없음"/>
    <s v="해당없음"/>
    <s v="해당없음"/>
    <s v="2020년 1월경"/>
    <d v="2020-01-01T00:00:00"/>
    <n v="1"/>
    <s v="혹한기"/>
    <x v="1"/>
    <s v="2020년 1월경 OO환경개선공사 소속 재해자가 1톤 트럭을 주차한 후 차량에서 내리는 순간 차량이 경사진 도로 전방으로 전진하자 차량을 멈추기 위해 운전대를 잡는 등의 행동을 하다 넘어지면서 전진하는 차량에 몸이 깔려 사망"/>
    <s v="주차한 차량(1톤 트럭)이 경사진 도로 전방으로 전진하자 멈추기 위해 운전대를 잡다 넘어져 차량에 몸이 깔림"/>
    <s v="▶ 운전위치 이탈 시 브레이크 또는 고임목 설치_x000a_▶ 경사진 노면에서 정지 시 확실하게 고정 후 이탈"/>
  </r>
  <r>
    <n v="12"/>
    <x v="1"/>
    <x v="37"/>
    <x v="75"/>
    <s v="YES"/>
    <x v="3"/>
    <x v="5"/>
    <s v="12대 기인물"/>
    <n v="12"/>
    <n v="2.3E-2"/>
    <s v="2020년 6월경"/>
    <d v="2020-06-01T00:00:00"/>
    <n v="6"/>
    <s v="혹서기"/>
    <x v="1"/>
    <s v="2020년 6월경 OO건설공사 현장에서 재해자가 크롤러크레인(150ton) 붐 길이 조정을 위하여 지면과 수평으로 내려놓은 붐의 하부로 들어가 고정핀을 제거하는 작업을 하던 중 붐이 하강하면서 재해자가 깔려 사망"/>
    <s v="크롤러 크레인 붐 길이 조정을 위해 수평으로 내려놓은 붐의 하부로 들어가 고정볼트를 제거하던 작업 중 붐이 하강하면서 근로자 깔림"/>
    <s v="▶ 크롤라 크레인의 해체작업 시 안전지지대 또는 안전블럭 설치_x000a_▶ 크롤라 크레인의 작업 시 신호방법을 정하여 운전자와 근로자에게 신호"/>
  </r>
  <r>
    <n v="12"/>
    <x v="1"/>
    <x v="37"/>
    <x v="75"/>
    <s v="YES"/>
    <x v="3"/>
    <x v="13"/>
    <s v="해당없음"/>
    <s v="해당없음"/>
    <s v="해당없음"/>
    <s v="2020년 7월경"/>
    <d v="2020-07-01T00:00:00"/>
    <n v="7"/>
    <s v="혹서기"/>
    <x v="1"/>
    <s v="2020년 7월경 OO신축공사 현장에서 재해자가 경사로에서 지게차를 운전하여 폐기물을 버리기 위해 양중함을 들어 후진, 회전하던 중 지게차가 전도되면서 재해자가 깔려 사망"/>
    <s v="폐기물을 반출하기 위해 양중함을 들어 후진 및 회전하던 중 지게차가 전도되어 재해자가 깔림"/>
    <s v="▶ 중량물 적재 시 하중이 한쪽에 쏠리지 않게 무게중심의 위치를 고려하여 적재함_x000a_▶ 차량계 하역운반기계 사용 시 운전자는 좌석안전띠 및 개인보호구 착용"/>
  </r>
  <r>
    <n v="12"/>
    <x v="1"/>
    <x v="37"/>
    <x v="75"/>
    <s v="YES"/>
    <x v="3"/>
    <x v="6"/>
    <s v="12대 기인물"/>
    <n v="9"/>
    <n v="3.4000000000000002E-2"/>
    <s v="2020년 9월경"/>
    <d v="2020-09-01T00:00:00"/>
    <n v="9"/>
    <s v="-"/>
    <x v="1"/>
    <s v="2020년 9월경 OO이설공사 실시설계 중 지질조사를 위해 재해자가 운반차(경운기 엔진과 콤바인 변속기를 결합한 개조형태)로 자재를 운반하던 중, 경사지(11°)에서 조작실수 등으로 운반차가 후진하게 되었고, 운반차에 깔려 사망"/>
    <s v="경사도로에서 자재 운반하던 운반차(개조차량)가 운전미숙으로 후진을 하게 되어 주변에 있던 재해자가 운반차에 깔림"/>
    <s v="▶ 차량계 건설기계 안전 운행 매뉴얼 작성 및 준수"/>
  </r>
  <r>
    <n v="12"/>
    <x v="1"/>
    <x v="37"/>
    <x v="75"/>
    <s v="YES"/>
    <x v="3"/>
    <x v="5"/>
    <s v="12대 기인물"/>
    <n v="12"/>
    <n v="2.3E-2"/>
    <s v="2020년 10월"/>
    <d v="2020-10-01T00:00:00"/>
    <n v="10"/>
    <s v="-"/>
    <x v="1"/>
    <s v="2020년 10월경 OO건설공사 현장에서 재해자가 크롤러 크레인(200ton) 붐 연장을 위해 연결부 하부로 들어가서 상하부 총 4개의 연결핀 중 하부 연결핀 1개를 먼저 제거하고 남은 하부 연결핀 1개를 제거하는 순간 연결부가 아래쪽으로 꺾이면서 하강하여 하부에 있던 재해자가 깔려 사망"/>
    <s v="크롤러 크레인 붐 연장을 위해 탑 붐 연결핀 제거작업하던 중 하부 연결핀 1개를 제거하는 순간 연결부가 아래쪽으로 꺾이면서 하강하여 하부에 있던 근로자 깔림"/>
    <s v="▶ 크롤라 크레인의 해체작업 시 안전지지대 또는 안전블럭 설치_x000a_▶ 크롤라 크레인의 작업 시 신호방법을 정하여 운전자와 근로자에게 신호"/>
  </r>
  <r>
    <n v="12"/>
    <x v="1"/>
    <x v="37"/>
    <x v="75"/>
    <s v="YES"/>
    <x v="3"/>
    <x v="11"/>
    <s v="해당없음"/>
    <s v="해당없음"/>
    <s v="해당없음"/>
    <s v="2020년 11월"/>
    <d v="2020-11-01T00:00:00"/>
    <n v="11"/>
    <s v="-"/>
    <x v="8"/>
    <s v="2020년 11월경 OO도로건설 현장에서 재해자가 도로 방음벽 시공을 위해 차단된 도로(2개차로, 2~3차로)상에서 주행 중인 일반차량의 원활한 통행을 위해 교통신호를 하던 중 4차로에서 2,3차로로 진입하는 출처불명의 덤프트럭에 치어 사망"/>
    <s v="도로 방음벽 시공 중 원활한 통행을 위해 교통신호를 하던 중 덤프트럭에 충돌"/>
    <s v="▶ 차량계 하역운반기계 사용시 작업계획서 작성_x000a_▶ 교통 신호수 주변에 견고하고 충분한 크기의 방책이나 방호블럭을 설치"/>
  </r>
  <r>
    <n v="12"/>
    <x v="1"/>
    <x v="37"/>
    <x v="75"/>
    <s v="YES"/>
    <x v="3"/>
    <x v="6"/>
    <s v="12대 기인물"/>
    <n v="9"/>
    <n v="3.4000000000000002E-2"/>
    <s v="급경사(경사도 1"/>
    <s v="X"/>
    <e v="#VALUE!"/>
    <e v="#VALUE!"/>
    <x v="8"/>
    <s v="급경사(경사도 12.5%)인 경사터널에서 사고 덤프트럭 운전자인 재해자가 앞서가던 동료운전자의 덤프트럭을 비상등을 켠상태로 빠른 속도로 추월하여 내려갔고 차량의 브레이크 기계적 결함으로 정지하려는 흔적(스피드 마크) 없이 경사터널을 올라오던 덤프트럭과  충돌하여 사망"/>
    <s v="차량의 기계적 결함(브레이트 오작동)으로 정지하지 못하고 앞서오던 차량과 충돌"/>
    <s v="▶ 차량계 건설기계 정기검사 등 체계적인 점검 및 정비 실시 "/>
  </r>
  <r>
    <n v="12"/>
    <x v="1"/>
    <x v="5"/>
    <x v="6"/>
    <s v="YES"/>
    <x v="3"/>
    <x v="6"/>
    <s v="12대 기인물"/>
    <n v="9"/>
    <n v="3.4000000000000002E-2"/>
    <s v="2016년 3월경"/>
    <d v="2016-03-01T00:00:00"/>
    <n v="3"/>
    <s v="-"/>
    <x v="2"/>
    <s v="2016년 3월경 OO제강내 부원료(슬래그 진정제) 덤핑 작업장에서 부원료 덤핑작업을 위해 차량 적재함 상부에 올라가 포장덮개를 벗기던 중 몸의 중심을 잃고 지면으로 떨어져(H≒3.2m) 사망"/>
    <s v="차량 적재함 상부에 올라가 포장덮개를 벗기던 중 몸의 중심을 잃고 바닥으로 추락"/>
    <s v="▶ 포장덮개 등 중량물을 다루는 작업의 경우 2인 1조로 작업_x000a_▶ 근로자 개인보호구, 안전대 체결여부 점검 및 관리감독"/>
  </r>
  <r>
    <n v="12"/>
    <x v="1"/>
    <x v="5"/>
    <x v="6"/>
    <s v="YES"/>
    <x v="3"/>
    <x v="7"/>
    <s v="해당없음"/>
    <s v="해당없음"/>
    <s v="해당없음"/>
    <s v="2016년 5월경"/>
    <d v="2016-05-01T00:00:00"/>
    <n v="5"/>
    <s v="-"/>
    <x v="8"/>
    <s v="2016년 5월경 주거환경개선사업 지장물 철거공사(2공구) 현장에서 재해자가 17구역 지장가옥 철거를 위해 가설방진망(길이 68m×높이 10m) 설치 작업 중 인접하여 주차되어 있던 살수차(12ton)의 브레이크가 풀리면서 충돌하여 사망"/>
    <s v="주차 중인 차량의 브레이크 불량으로 차량이 이동하며 충돌"/>
    <s v="▶ 살수차 등 건설차량을 경사면에 정차 및 주차한 후 운전석에서 이탈할 경우, 핸드〮공기 브레이크 조치 및 고인목 설치 등 차량의 갑작스러운 주행을 방지하도록 조치_x000a_▶ 살수차 등 건설차량이 현장 내 출입할 시, 차량의 노후화, 브레이크의 작동 유무 등을 점검 후 출입 조치"/>
  </r>
  <r>
    <n v="12"/>
    <x v="1"/>
    <x v="5"/>
    <x v="6"/>
    <s v="YES"/>
    <x v="3"/>
    <x v="6"/>
    <s v="12대 기인물"/>
    <n v="9"/>
    <n v="3.4000000000000002E-2"/>
    <s v="2016년 8월경"/>
    <d v="2016-08-01T00:00:00"/>
    <n v="8"/>
    <s v="혹서기"/>
    <x v="2"/>
    <s v="2016년 8월경 OO조합 소속 근로자 3명이 제초작업을 마치고, 임시도로를 통해 타 현장으로 차량이동 중 근로자가 탑승한 1톤트럭이 도로변 100m 경사지 아래로 굴러 떨어져(운전 부주의 추정) 운전자 1명은 부상, 동승자 2명은 사망"/>
    <s v="임시도로를 통해 타 현장으로 이동중이던 트럭이 운전자의 부주의로 인해 경사지 아래로 굴러 떨어짐"/>
    <s v="▶ 차량계 건설기계 안전 운행 매뉴얼 작성 및 준수"/>
  </r>
  <r>
    <n v="12"/>
    <x v="1"/>
    <x v="5"/>
    <x v="6"/>
    <s v="YES"/>
    <x v="3"/>
    <x v="6"/>
    <s v="12대 기인물"/>
    <n v="9"/>
    <n v="3.4000000000000002E-2"/>
    <s v="2016년 12월"/>
    <d v="2016-12-01T00:00:00"/>
    <n v="12"/>
    <s v="혹한기"/>
    <x v="8"/>
    <s v="2016년 12월경 OO건설(주)에서 시공하는 OO도시형생활주택 신축공사 현장 내 O동 전면부지에서 현장 준공청소 등 주변정리를 위해 이동중인 재해자를 OO토건(주) 소속 덤프트럭이 후진하면서 재해자를 발견하지 못해 충돌하여 사망"/>
    <s v="포장, 유지보수 등 도로작업 중 일반 차량통제하던 중 주행 중이던 차량과 충돌"/>
    <s v="▶ 도로 유지보수 작업구간의 교통통제 조치_x000a_▶ 작업장 주변 안전휀스 및 무단횡단 금지표시 등 설치_x000a_▶ 차선 차단 시 작업공간과 충분한 안전거리 확보"/>
  </r>
  <r>
    <n v="12"/>
    <x v="1"/>
    <x v="5"/>
    <x v="6"/>
    <s v="YES"/>
    <x v="3"/>
    <x v="6"/>
    <s v="12대 기인물"/>
    <n v="9"/>
    <n v="3.4000000000000002E-2"/>
    <s v="2017년 6월경"/>
    <d v="2017-06-01T00:00:00"/>
    <n v="6"/>
    <s v="혹서기"/>
    <x v="8"/>
    <s v="2017년 6월경 ㈜OO이 시공하는 OO교외 1개교 보수공사 현장에서 재해자가 OO교 신축이음장치 교체작업 완료 후 교량상부에서 약 85m에 걸쳐 설치된 차선차단용 라바콘(5m간격)을 수거하는 작업을 하던 중, 후진하는 1톤 트럭(차량통제 및 장비운반용 차량)에 깔려 사망"/>
    <s v="포장, 유지보수 등 도로작업 중 일반 차량통제하던 중 주행 중이던 차량과 충돌"/>
    <s v="▶ 도로 유지보수 작업구간의 교통통제 조치_x000a_▶ 작업장 주변 안전휀스 및 무단횡단 금지표시 등 설치_x000a_▶ 차선 차단 시 작업공간과 충분한 안전거리 확보"/>
  </r>
  <r>
    <n v="12"/>
    <x v="1"/>
    <x v="5"/>
    <x v="6"/>
    <s v="YES"/>
    <x v="3"/>
    <x v="11"/>
    <s v="해당없음"/>
    <s v="해당없음"/>
    <s v="해당없음"/>
    <s v="2017년 6월경"/>
    <d v="2017-06-01T00:00:00"/>
    <n v="6"/>
    <s v="혹서기"/>
    <x v="8"/>
    <s v="2017년 6월경 OO포장도 보수공사 현장에서 재해자가 도로 포장이 완료된 구간에 설치된 임시차선이 탈락되어 교체를 하던 중 통과중이던 일반차량(승용차)에 부딪혀 사망"/>
    <s v="포장, 유지보수 등 도로작업 중 일반 차량통제하던 중 주행 중이던 차량과 충돌"/>
    <s v="▶ 도로 유지보수 작업구간의 교통통제 조치_x000a_▶ 작업장 주변 안전휀스 및 무단횡단 금지표시 등 설치_x000a_▶ 차선 차단 시 작업공간과 충분한 안전거리 확보"/>
  </r>
  <r>
    <n v="12"/>
    <x v="1"/>
    <x v="5"/>
    <x v="6"/>
    <s v="YES"/>
    <x v="3"/>
    <x v="4"/>
    <s v="12대 기인물"/>
    <n v="5"/>
    <n v="4.9000000000000002E-2"/>
    <s v="2017년 7월경"/>
    <d v="2017-07-01T00:00:00"/>
    <n v="7"/>
    <s v="혹서기"/>
    <x v="8"/>
    <s v="2017년 7월경 OO부두 OO현장에서 재해자가 빈 마대(90*90*110) 약 10개를 백호우(06W) 붐대 고리에 걸고 야적장으로 이동 중 백호우 운전기사가 마대가 전방 시야를 가려 항만 도로를 걸어 가던 재해자를 보지 못하고 치어 사망"/>
    <s v="빈마대 다수를 굴착기 붐대 고리에 걸고 이동하던 중 마대가 전방 시야를 가려 걸어가던 재해자를 보지 못하고 충돌"/>
    <s v="▶ 차량계 건설기계 작업계획서 작성_x000a_▶ 굴착기 붐대를 이용하여 화물 적재 시 전방 시야 확보"/>
  </r>
  <r>
    <n v="12"/>
    <x v="1"/>
    <x v="5"/>
    <x v="6"/>
    <s v="YES"/>
    <x v="3"/>
    <x v="11"/>
    <s v="해당없음"/>
    <s v="해당없음"/>
    <s v="해당없음"/>
    <s v="2017년 10월"/>
    <d v="2017-10-01T00:00:00"/>
    <n v="10"/>
    <s v="-"/>
    <x v="8"/>
    <s v="2017년 10월경 OO공사 현장내 재해자가 선로주변 제초작업의 열차운행 감시업무를 하던 중 상선방향으로 화물열차가 접근하자 선로를 이동하던 동료 작업자에게 대피를 지시하던 중 하선방향으로 운행 중이던 열차에 치여 사망"/>
    <s v="열차운행 감시업무를 수행하다 선로를 건너던 중 운행 중이던 열차에 부딪힘"/>
    <s v="▶ 작업구간 열차 운행 정보 공유 및 열차 접근시 사전 통보하는 시스템 구축_x000a_▶ 열차운행 안전관리자 열차 접근경보 앱 설치 후 지참"/>
  </r>
  <r>
    <n v="12"/>
    <x v="1"/>
    <x v="5"/>
    <x v="6"/>
    <s v="YES"/>
    <x v="3"/>
    <x v="11"/>
    <s v="해당없음"/>
    <s v="해당없음"/>
    <s v="해당없음"/>
    <s v="2017년 10월"/>
    <d v="2017-10-01T00:00:00"/>
    <n v="10"/>
    <s v="-"/>
    <x v="8"/>
    <s v="2017년 10월경 OO개량공사 현장에서 재해자가 OO교 교각(P2 NO.1지점)에서 교좌받침과 접하는 위치에 설치된 강판(Sole Plate)의 볼트 해체 작업 중 강판(Sole Plate)을 지지할 수 있는 자재(목재)가 필요하여 고속도로(교각P1→교각P2)를 횡단하다가 고속도로 나들목 진입 차량과 충돌하여 사망"/>
    <s v="포장, 유지보수 등 도로작업 중 일반 차량통제하던 중 주행 중이던 차량과 충돌"/>
    <s v="▶ 도로 유지보수 작업구간의 교통통제 조치_x000a_▶ 작업장 주변 안전휀스 및 무단횡단 금지표시 등 설치_x000a_▶ 차선 차단 시 작업공간과 충분한 안전거리 확보"/>
  </r>
  <r>
    <n v="12"/>
    <x v="1"/>
    <x v="5"/>
    <x v="6"/>
    <s v="YES"/>
    <x v="3"/>
    <x v="13"/>
    <s v="해당없음"/>
    <s v="해당없음"/>
    <s v="해당없음"/>
    <s v="2018년 5월경"/>
    <d v="2018-05-01T00:00:00"/>
    <n v="5"/>
    <s v="-"/>
    <x v="8"/>
    <s v="2018년 5월경 OO건설(주)에서 시공하는 근린생활시설 및 지식산업센터 신축공사 현장에서 재해자가 지하 1층 및 주차장 램프에서 폐자재 정리 작업(거푸집 연결 핀 등)과 청소 작업 등을 하던 중 주차장 램프 경사로에서 자재를 후진으로 옮기려던 지게차가 미끄러져 굴러 내려와 재해자와 충돌하여 사망"/>
    <s v="폐자재 정리 중 경사로에서 자재를 후진으로 옮기려던 지게차가 미끄러져 굴러내려와 재해자와 충돌"/>
    <s v="▶ 차량계 하역운반기계 사용시 작업계획서 작성_x000a_▶ 건설기계장비 운전자 자격여부 확인 "/>
  </r>
  <r>
    <n v="12"/>
    <x v="1"/>
    <x v="5"/>
    <x v="6"/>
    <s v="YES"/>
    <x v="3"/>
    <x v="11"/>
    <s v="해당없음"/>
    <s v="해당없음"/>
    <s v="해당없음"/>
    <s v="2018년 12월"/>
    <d v="2018-12-01T00:00:00"/>
    <n v="12"/>
    <s v="혹한기"/>
    <x v="8"/>
    <s v="2018년 12월경 재해자가 버스정류소 표지판 보강작업을 마치고 인근에 주차된 차량으로 이동 중 OO방면으로 주행 중인 일반차량(승용차)과 충돌하여 사망"/>
    <s v="포장, 유지보수 등 도로작업 중 일반 차량통제하던 중 주행 중이던 차량과 충돌"/>
    <s v="▶ 도로 유지보수 작업구간의 교통통제 조치_x000a_▶ 작업장 주변 안전휀스 및 무단횡단 금지표시 등 설치_x000a_▶ 차선 차단 시 작업공간과 충분한 안전거리 확보"/>
  </r>
  <r>
    <n v="12"/>
    <x v="1"/>
    <x v="5"/>
    <x v="6"/>
    <s v="YES"/>
    <x v="3"/>
    <x v="4"/>
    <s v="12대 기인물"/>
    <n v="5"/>
    <n v="4.9000000000000002E-2"/>
    <s v="2019년 12월"/>
    <d v="2019-12-01T00:00:00"/>
    <n v="12"/>
    <s v="혹한기"/>
    <x v="4"/>
    <s v="2019년 12월경 OO방음시설 설치공사 현장에서 H-형강을 근입하여 지질의 상태를 파악하기 위하여 재해자가 H-형강을 잡고 있던 중 굴삭기 붐에 고정 되어있던 브레이커(약 800kg)가 낙하하자, 재해자가 피하려다 몸의 중심을 잃고 바닥에 있던 기존 구조물 잔여 철근에 왼쪽 허리와 옆구리 사이를 찔려 사망"/>
    <s v="방음시설 설치현장에서 굴착기 붐에 고정되어있던 브레이커가 낙하하자 피하려다 중심을 잃고 기존 구조물 잔여 철근에 허리와 옆구리 찔림"/>
    <s v="▶ 굴삭기 연결장치와 브레이커 고정용 후착핀 체결_x000a_▶ 낙하의 위험이 있을 시 근로자의 출입 통제"/>
  </r>
  <r>
    <n v="12"/>
    <x v="1"/>
    <x v="5"/>
    <x v="6"/>
    <s v="YES"/>
    <x v="3"/>
    <x v="6"/>
    <s v="12대 기인물"/>
    <n v="9"/>
    <n v="3.4000000000000002E-2"/>
    <s v="2020년 2월경"/>
    <d v="2020-02-01T00:00:00"/>
    <n v="2"/>
    <s v="혹한기"/>
    <x v="8"/>
    <s v="2020년 2월경 OO건설㈜ OO지식산업센터 건설현장에서 하청업체 소속 안전감시 요원이 안전순찰 중 토사반출을 위하여 후진하던 덤프트럭 바퀴에 깔려 사망"/>
    <s v="포장, 유지보수 등 도로작업 중 일반 차량통제하던 중 주행 중이던 차량과 충돌"/>
    <s v="▶ 도로 유지보수 작업구간의 교통통제 조치_x000a_▶ 작업장 주변 안전휀스 및 무단횡단 금지표시 등 설치_x000a_▶ 차선 차단 시 작업공간과 충분한 안전거리 확보"/>
  </r>
  <r>
    <n v="12"/>
    <x v="1"/>
    <x v="5"/>
    <x v="6"/>
    <s v="YES"/>
    <x v="3"/>
    <x v="4"/>
    <s v="12대 기인물"/>
    <n v="5"/>
    <n v="4.9000000000000002E-2"/>
    <s v="2020년 4월경"/>
    <d v="2020-04-01T00:00:00"/>
    <n v="4"/>
    <s v="-"/>
    <x v="1"/>
    <s v="2020년 4월경 OO개량공사 현장에서 재해자가 도로 파쇄물 상차 및 굴착작업 주변의 도로 청소 작업 중 후진하는 굴착기 바퀴에 깔려 사망"/>
    <s v="굴착작업 주변 청소하던 중 후진하는 굴착기 바퀴에 깔림"/>
    <s v="▶ 차량계 건설기계 작업계획서 작성_x000a_▶ 굴삭기와의 부딪힐 위험이 있는 장소에 근로자 출입통제 및 유도자 배치"/>
  </r>
  <r>
    <n v="12"/>
    <x v="1"/>
    <x v="5"/>
    <x v="6"/>
    <s v="YES"/>
    <x v="3"/>
    <x v="6"/>
    <s v="12대 기인물"/>
    <n v="9"/>
    <n v="3.4000000000000002E-2"/>
    <s v="2020년 6월경"/>
    <d v="2020-06-01T00:00:00"/>
    <n v="6"/>
    <s v="혹서기"/>
    <x v="8"/>
    <s v="2020년 6월경 OO건설(주) 국도OO호선 방음벽공사 현장에서 차선도색 협력업체 소속의 재해자가 차선도색 작업을 마치고 작업물량을 확인하기 위해 차선을 따라 거리측정기를 굴리며 걸어가던 중, 재해자 뒤쪽에서 후진 중이던 싸인카(작업보호차량)에 깔려 사망"/>
    <s v="포장, 유지보수 등 도로작업 중 일반 차량통제하던 중 주행 중이던 차량과 충돌"/>
    <s v="▶ 도로 유지보수 작업구간의 교통통제 조치_x000a_▶ 작업장 주변 안전휀스 및 무단횡단 금지표시 등 설치_x000a_▶ 차선 차단 시 작업공간과 충분한 안전거리 확보"/>
  </r>
  <r>
    <n v="12"/>
    <x v="1"/>
    <x v="5"/>
    <x v="6"/>
    <s v="YES"/>
    <x v="3"/>
    <x v="11"/>
    <s v="해당없음"/>
    <s v="해당없음"/>
    <s v="해당없음"/>
    <s v="2020년 6월경"/>
    <d v="2020-06-01T00:00:00"/>
    <n v="6"/>
    <s v="혹서기"/>
    <x v="8"/>
    <s v="2020년 6월경 재해자가 고속도로 1차로에서 고속도로 유지보수공사 현장조사를 위하여 TMA차량(충격완화장치 부착 차량)을 정차한 후 교통차단 및 유도를 하던 중 1차로로 고속주행 중이던 SUV차량이 TMA차량을 추돌하였고 추돌된 TMA차량이 재해자를 덮쳐 사망"/>
    <s v="포장, 유지보수 등 도로작업 중 일반 차량통제하던 중 주행 중이던 차량과 충돌"/>
    <s v="▶ 도로 유지보수 작업구간의 교통통제 조치_x000a_▶ 작업장 주변 안전휀스 및 무단횡단 금지표시 등 설치_x000a_▶ 차선 차단 시 작업공간과 충분한 안전거리 확보"/>
  </r>
  <r>
    <n v="12"/>
    <x v="1"/>
    <x v="5"/>
    <x v="6"/>
    <s v="YES"/>
    <x v="3"/>
    <x v="6"/>
    <s v="12대 기인물"/>
    <n v="9"/>
    <n v="3.4000000000000002E-2"/>
    <s v="2020년 8월경"/>
    <d v="2020-08-01T00:00:00"/>
    <n v="8"/>
    <s v="혹서기"/>
    <x v="2"/>
    <s v="2020년 8월경 「20년 OO포장면 줄눈교체」공사현장에서 (유)OO건설 소속 재해자가 고압세척차(1TON 트럭) 적재함에 타고 시속20km로 달리던 중 재해자가 쓰고있던 모자가 바람에 날려 떨어지고 재해자가 고압세척차(1TON 트럭)에 떨어져 콘크리트 바닥에 머리 후두부가 충돌하여 사망"/>
    <s v="고압세척차 적재함에 탑승하여 이동하던 중 모자를 잡으려다가 트럭에서 떨어짐"/>
    <s v="▶ 화물자동차의 적재함에 근로자 탑승 제한_x000a_▶ 근로자 개인보호구, 안전대 체결여부 점검 및 관리감독"/>
  </r>
  <r>
    <n v="12"/>
    <x v="1"/>
    <x v="5"/>
    <x v="6"/>
    <s v="YES"/>
    <x v="3"/>
    <x v="11"/>
    <s v="해당없음"/>
    <s v="해당없음"/>
    <s v="해당없음"/>
    <s v="2020년 8월경"/>
    <d v="2020-08-01T00:00:00"/>
    <n v="8"/>
    <s v="혹서기"/>
    <x v="8"/>
    <s v="2020년 8월경 선로변 풀베기 상례작업 시 열차운행 감시 업무를 수행하던 재해자가 선로를 건너던 중 장폐단 운행으로 진행 중이던 기관차에 부딪혀 사망"/>
    <s v="열차운행 감시업무를 수행하다 선로를 건너던 중 운행 중이던 열차에 부딪힘"/>
    <s v="▶ 작업구간 열차 운행 정보 공유 및 열차 접근시 사전 통보하는 시스템 구축_x000a_▶ 열차운행 안전관리자 열차 접근경보 앱 설치 후 지참"/>
  </r>
  <r>
    <n v="12"/>
    <x v="1"/>
    <x v="5"/>
    <x v="6"/>
    <s v="YES"/>
    <x v="3"/>
    <x v="13"/>
    <s v="해당없음"/>
    <s v="해당없음"/>
    <s v="해당없음"/>
    <s v="2020년 10월"/>
    <d v="2020-10-01T00:00:00"/>
    <n v="10"/>
    <s v="-"/>
    <x v="6"/>
    <s v="2020년 10월경 OO건설(주)에서 시공하는 OO시설』현장에서 재해자가 소각로에서 배출된 비산재(톤백2개,약 0.4톤)를 지게차를 사용하여 현장 외부로 반출하는 작업을 하는 중 비산재가 담겨진 톤백을 폐기물반출차량(압롤박스)에 적재하는 과정에서 지게차가 전도되면서 지게차 측면에 협착되어 사망"/>
    <s v="지게차를 사용하여 자재를 반출하기 위해 폐기물 반출차량에 적재하는 과정에서 지게차가 전도되면서 운전원 끼임"/>
    <s v="▶ 차량계 하역운반기계 사용시 작업계획서 작성_x000a_▶ 건설기계장비 운전자 자격여부 확인 "/>
  </r>
  <r>
    <n v="12"/>
    <x v="1"/>
    <x v="5"/>
    <x v="6"/>
    <s v="YES"/>
    <x v="3"/>
    <x v="6"/>
    <s v="12대 기인물"/>
    <n v="9"/>
    <n v="3.4000000000000002E-2"/>
    <s v="2021년 4월경"/>
    <d v="2021-04-01T00:00:00"/>
    <n v="4"/>
    <s v="-"/>
    <x v="8"/>
    <s v="2021년 4월경 OO물량장 내 ㈜OO물류 작업장에서 재해자가 컨테이너에 화물(코일) 적입작업을 수행하며 작업장 내에서 이동하던 중 진출하는 차량(25톤,트레일러)에 부딪혀 사망"/>
    <s v="포장, 유지보수 등 도로작업 중 일반 차량통제하던 중 주행 중이던 차량과 충돌"/>
    <s v="▶ 도로 유지보수 작업구간의 교통통제 조치_x000a_▶ 작업장 주변 안전휀스 및 무단횡단 금지표시 등 설치_x000a_▶ 차선 차단 시 작업공간과 충분한 안전거리 확보"/>
  </r>
  <r>
    <n v="12"/>
    <x v="1"/>
    <x v="5"/>
    <x v="6"/>
    <s v="YES"/>
    <x v="3"/>
    <x v="7"/>
    <s v="해당없음"/>
    <s v="해당없음"/>
    <s v="해당없음"/>
    <s v="2021년 5월경"/>
    <d v="2021-05-01T00:00:00"/>
    <n v="5"/>
    <s v="-"/>
    <x v="2"/>
    <s v="2021년 5월경 복합문화센터 신축공사 현장에서 재해자가 흙막이지보공 스트러트 4단 상부에서 지하 양수기 배출호스 고정 작업을 하던 중 배출시 호스의 요동 등으로 인해 몸의 중심을 잃어 높이 약 6.0m 아래 지하3층 콘크리트 바닥으로 추락하여 사망"/>
    <s v="안전대를 미착용한 상태에서 버팀대 보 상부에서 작업 중 몸의 중심을 잃고 추락"/>
    <s v="▶ 추락 위험이 있는 장소에서 안전방망 또는 안전대 착용 등 추락방지조치 실시_x000a_▶ 안전모 및 안전대 등 개인보호구 지급 및 착용관리 감독_x000a_▶ 추락위험 장소에 대해 근로자가 임의 출입을 방지하도록 방책 등 설치"/>
  </r>
  <r>
    <n v="12"/>
    <x v="1"/>
    <x v="5"/>
    <x v="6"/>
    <s v="YES"/>
    <x v="3"/>
    <x v="6"/>
    <s v="12대 기인물"/>
    <n v="9"/>
    <n v="3.4000000000000002E-2"/>
    <s v="2021년 9월경"/>
    <d v="2021-09-01T00:00:00"/>
    <n v="9"/>
    <s v="-"/>
    <x v="1"/>
    <s v="2021년 9월경 OOO아파트 공사 현장에서 부대토목 협력업체 OO건설(주) 소속 재해자가 단지 내 원형수로관 집수정 청소작업 중 관목 하차를 완료하고 전방으로 이동하던 트럭에 깔려 사망"/>
    <s v="경사도로에서 자재 운반하던 운반차(개조차량)가 운전미숙으로 후진을 하게 되어 주변에 있던 재해자가 운반차에 깔림"/>
    <s v="▶ 차량계 건설기계 안전 운행 매뉴얼 작성 및 준수"/>
  </r>
  <r>
    <n v="12"/>
    <x v="1"/>
    <x v="5"/>
    <x v="6"/>
    <s v="YES"/>
    <x v="3"/>
    <x v="7"/>
    <s v="해당없음"/>
    <s v="해당없음"/>
    <s v="해당없음"/>
    <s v="○○레미콘 공장에"/>
    <s v="X"/>
    <e v="#VALUE!"/>
    <e v="#VALUE!"/>
    <x v="1"/>
    <s v="○○레미콘 공장에서 재해자가 로더 장비를 경사로 상부에 정차시킨 뒤 장비 후미의 라디에이터(Radiator)에 냉각수를 주입하던 중 로더 장비가 경사로를 따라 굴러 내려가면서(L≒23m) 재해자가 우측 뒷바퀴에 깔려 사망"/>
    <s v="경사로에 정차시킨 로더장비가 굴러 내려가면서 냉각수를 주입하던 재해자가 깔림"/>
    <s v="▶ 차량계 하역운반기계에서 운전자가 운전석을 이탈하는 경우 주차 브레이크의 확실한 체결 및 차량 고임목 설치"/>
  </r>
  <r>
    <n v="2"/>
    <x v="2"/>
    <x v="6"/>
    <x v="7"/>
    <s v="YES"/>
    <x v="3"/>
    <x v="13"/>
    <s v="해당없음"/>
    <s v="해당없음"/>
    <s v="해당없음"/>
    <s v="2016년 3월경"/>
    <d v="2016-03-01T00:00:00"/>
    <n v="3"/>
    <s v="-"/>
    <x v="1"/>
    <s v="2016년 3월경 OO신축공사 현장에서 보 형틀 조립을 위해 지게차를 이용하여 테이블 폼(3.3m × 1.8m, H ≒ 3.0m, 약 400kgf)을 운반하여 바닥에 하역하는 과정에서 지게차 포크에 실려서 하역 중인 테이블 폼이 기울어져 쓰러지면서 바닥에 먼저 설치된 또 다른 테이블 폼을 가격하였고, 가격을 당한 테이블 폼이 형틀 작업을 하던 재해자를 덮쳐 재해자가 테이블 폼에 깔려 사망"/>
    <s v="근로자 위험지역 출입 미통제한 상태에서 보 형틀 조립을 위해 지게차 포크에 실려 하역 중인 테이블 폼이 기울어져 쓰러지면서 바닥에 먼저 설치된 테이블 폼을 가격되어 쓰러지면서 근로자 깔림"/>
    <s v="▶ 테이블 폼 등의 중량물 인양 시 인양 및 하역장비에 벨트 등을 이용하여 고정 후 작업_x000a_▶ 중량물 인양 시 차량계 하약운반기계의 최대 적재능력과 포크 최대 간격을 파악하여 적합한 장비로 작업_x000a_▶ 지게차와 같은 건설장비를 이용하여 작업 시 부딪힘 위험장소에 대해 근로자의 출입 통제"/>
  </r>
  <r>
    <n v="2"/>
    <x v="2"/>
    <x v="6"/>
    <x v="7"/>
    <s v="YES"/>
    <x v="3"/>
    <x v="12"/>
    <s v="해당없음"/>
    <s v="해당없음"/>
    <s v="해당없음"/>
    <s v="2017년 1월경"/>
    <d v="2017-01-01T00:00:00"/>
    <n v="1"/>
    <s v="혹한기"/>
    <x v="0"/>
    <s v="2017년 1월경 OO건설 근린생활시설 신축공사 현장에서 타워지브크레인(최대정격하중 2.9톤)을 사용하여 지상 4층 엘리베이터 피트 작업발판에 적재된 유로폼 다발(1,418kg)을 옥상층 바닥으로 운반하던 중 지브가 순간적으로 절단되며 옥상층 파라펫 거푸집 위로 떨어져, 주변에서 파라펫 거푸집 설치작업하던 재해자가 파손된  거푸집에 가슴 등 신체에 큰 충격을 받고 사망"/>
    <s v="유로폼 다발을 옥상층 바닥으로 운반 중 지브 절단으로 옥상층 파라펫 거푸집 위로 떨어저 파라펫 거푸집 설치작업 중인 근로자 가격"/>
    <s v="▶ 크레인 지브에 설치된 고정핀, 분할핀은 탈락방지를 위해 안전인증 서류에 따라 제조된 규격 제품 또는 동등 이상의 성능을 가진 자재 및 부품을 사용 준수_x000a_▶ 구조부분은 현저한 변형 등이 발생하지 않도록 강성을 유지할 것_x000a_▶ 타워지브크레인을 타인에게 대여하는 자는 해당 기계 등을 미리 점검하고 이상을 발견할 즉시 보수 실시"/>
  </r>
  <r>
    <n v="2"/>
    <x v="2"/>
    <x v="6"/>
    <x v="7"/>
    <s v="YES"/>
    <x v="3"/>
    <x v="12"/>
    <s v="해당없음"/>
    <s v="해당없음"/>
    <s v="해당없음"/>
    <s v="2017년 5월경"/>
    <d v="2017-05-01T00:00:00"/>
    <n v="5"/>
    <s v="-"/>
    <x v="2"/>
    <s v="2017년 5월경 OO학교 신축공사 현장에서 재해자 2인이 교사동 3층 보 거푸집 설치를 위해 타워크레인으로 양중한 보 거푸집 위에서 양중 로프를 해체하던 중 타워크레인의 조작 실수로 인해 양중로프에 매달린 보 거푸집이 기울어 흔들리면서 몸의 중심을 잃고 약 3미터 아래 바닥으로 떨어져 부상(3개월이상 요양)"/>
    <s v=" 타워크레인으로 양중한 보 거푸집 위에서 양중로프를 해체하던 중 타워크레인 조작실수로 중심을 잃고 근로자 추락"/>
    <s v="▶ 양중기를 사용하는 작업 시 작업진행에 맞는 일정한 신호방법 선정 및 상호간 확인_x000a_▶ 추락위험이 있는 높이 2m 이상에서의 작업 시 안전대 부착설비 설치 및 안전대 착용"/>
  </r>
  <r>
    <n v="2"/>
    <x v="2"/>
    <x v="6"/>
    <x v="7"/>
    <s v="YES"/>
    <x v="3"/>
    <x v="7"/>
    <s v="해당없음"/>
    <s v="해당없음"/>
    <s v="해당없음"/>
    <s v="2017년 10월"/>
    <d v="2017-10-01T00:00:00"/>
    <n v="10"/>
    <s v="-"/>
    <x v="1"/>
    <s v="2017년 10월경 OO건설㈜ OOO신축현장에서 ㈜OO건설 소속 재해자가 OO동 지상층에서 먹매김 작업 후 건설용리프트를 타고 내려와 리프트탑승구에서 OO동 앞 창고로 이동 중 주행 중인 불도저(bulldozer)에 깔려 사망"/>
    <s v="차량계 건설기계 작업 구간내 근로자 출입방지 조치 미흡한 상태에서 창고로 이동 중 주행중인 불도저에 깔림"/>
    <s v="▶ 차량계 건설기계를 사용하여 작업 시 부딪칠 위험이 있는 장소에 근로자 출입 금지_x000a_▶ 차랑계 건설기계 운행경로의 장애물 제거 및 운전자 시야 확보_x000a_▶ 건설기계 운행경로 출입 시 차량통행 확인 및 유도자 배치"/>
  </r>
  <r>
    <n v="2"/>
    <x v="2"/>
    <x v="6"/>
    <x v="7"/>
    <s v="YES"/>
    <x v="3"/>
    <x v="5"/>
    <s v="12대 기인물"/>
    <n v="12"/>
    <n v="2.3E-2"/>
    <s v="2018년 10월"/>
    <d v="2018-10-01T00:00:00"/>
    <n v="10"/>
    <s v="-"/>
    <x v="0"/>
    <s v="2018년 10월경 OO신축공사 현장에서, 자재 양중 작업하던 이동식크레인 붐 끝단에 부착되어 있던 권과방지장치가 불분명한 원인으로 탈락·비래하여 지상 1층에서 보 거푸집 조립 작업을 하던 재해자의 머리와 흉부를 강타하여 사망"/>
    <s v="사용장비의 사전점검을 미실시한 상태에서 자재 양중 작업하던 이동식크레인 boom 끝단에 부착되어 있던 권과방지장치가 노후 등 원인으로 탈락·비래하여 근로자 머리를 강타"/>
    <s v="▶ 건설기계 작업시 작업 전 주요구조부 체결볼트의 충분한 강도유지 및 이상유무 확인 철저_x000a_▶ 자재 양중 구간 양중 경로 하부에 근로자 출입 금지"/>
  </r>
  <r>
    <n v="2"/>
    <x v="2"/>
    <x v="6"/>
    <x v="7"/>
    <s v="YES"/>
    <x v="3"/>
    <x v="7"/>
    <s v="해당없음"/>
    <s v="해당없음"/>
    <s v="해당없음"/>
    <s v="2018년 12월"/>
    <d v="2018-12-01T00:00:00"/>
    <n v="12"/>
    <s v="혹한기"/>
    <x v="8"/>
    <s v="2018년 12월경 (주)OO건설이 시공중인 OO공동주택신축현장에서 협력업체(OO건설) 소속 재해자 2명이 O동 O층 외벽 거푸집 설치를 위해, 아래층에서 사용했던 외벽거푸집(유로폼 조립, 규격 10.5m * 2.8m , 중량 1톤)을 전동 체인블럭(인양용량 1톤) 2대를 이용하여 인양작업을 위해 외벽거푸집을 탈형하던 직후 외벽거푸집 좌측 인양용 걸이부위가 탈락하며 외벽거푸집이 좌측으로 기울어지는 충격으로, 우측 전동 체인블럭(높이 4m, 중량 25kg) 좌측방향으로 쓰러지며 재해자들과 충돌해 1명 사망, 1명 부상"/>
    <s v="중량물 취급 계획서 작성 미실시한 상태에서 외벽거푸집 탈형 직후 외벽거푸집 좌측 인양용 걸이부위의 탈락으로 외벽거푸집이 좌측으로 기울어지는 충격으로 우측 전동 체인블럭 좌측방향으로 쓰러지며 근로자 충돌"/>
    <s v="▶ 외벽거푸집과 같은 중량물은 거푸집을 일체화하고 이동식크레인을 이용하여 양중 실시_x000a_▶ 전체 거푸집 중량에 대한 유로폼 앵글의 허용 인장강도 고려하여 작업 실시 _x000a_▶ 1톤 중량의 거푸집을 인양하기 위해 걸이부위를 보강하여 충분한 인장강도 확보 후 작업 실시 "/>
  </r>
  <r>
    <n v="2"/>
    <x v="2"/>
    <x v="6"/>
    <x v="7"/>
    <s v="YES"/>
    <x v="3"/>
    <x v="12"/>
    <s v="해당없음"/>
    <s v="해당없음"/>
    <s v="해당없음"/>
    <s v="2020년 1월경"/>
    <d v="2020-01-01T00:00:00"/>
    <n v="1"/>
    <s v="혹한기"/>
    <x v="0"/>
    <s v="2020년 1월경 OO건설(주) OO산업센터 신축공사 현장에서 동바리 자재 묶음을 인양 중이던 타워크레인 메인지브의 연결핀이 빠지면서, 꺾인 지브가 콘크리트 펌프카 붐대 위에 떨어져, 하부(지상 1층 주차램프 바닥)에서 콘크리트 타설 작업 중이던 재해자(콘크리트 타설공)를 강타하여 사망"/>
    <s v="중량물 인양구간 상하 동시 작업하는 상태에서 동바리 자재 묶음 인양 중 타워크레인 메인지브의 연결핀의 탈락으로 꺾인 지브가 콘크리트 펌프카 붐대 위에 낙하하였고, 하부에서 콘크리트 타설 작업 중인 근로자 타격"/>
    <s v="▶ 타워크레인 등 장비 사용 시 메인지브 등 주요구조부에 대해 사용 전 점검 및 관리_x000a_▶ 타워크레인을 이용하여 작업 시 양중 경로 하부에 근로자 출입 금지"/>
  </r>
  <r>
    <n v="2"/>
    <x v="2"/>
    <x v="6"/>
    <x v="7"/>
    <s v="YES"/>
    <x v="3"/>
    <x v="6"/>
    <s v="12대 기인물"/>
    <n v="9"/>
    <n v="3.4000000000000002E-2"/>
    <s v="2020년 4월경"/>
    <d v="2020-04-01T00:00:00"/>
    <n v="4"/>
    <s v="-"/>
    <x v="1"/>
    <s v="2020년 4월경 OO배수로 설치 공사현장 에서 OO개발(주) 소속 재해자가 1ton화물 트럭에 거푸집을 상차 하던 중 경사진 도로에서 1ton 화물 트럭이 앞으로 밀려 내려가면서 재해자가 1ton화물 트럭 앞에서 막다가 깔려 사망"/>
    <s v="기계 운전자 운전석 이탈시 조치를 미실시한 상태에서 화물 트럭(1ton)에 거푸집 상차 중 경사진 도로에서 화물 트럭(1ton)이 앞으로 밀려 내려가면서 근로자 깔림"/>
    <s v="▶ 차량계 하역운반기계에서 운전자가 운전석을 이탈하는 경우 주차 브레이크의 확실한 체결 및 차량 고임목 설치_x000a_▶ 차량계 하역운반기계가 경사로로 밀려 내러가는 경우, 무리하게 인력으로 차량 앞을 막아서는 행위 금지"/>
  </r>
  <r>
    <n v="2"/>
    <x v="2"/>
    <x v="6"/>
    <x v="33"/>
    <s v="YES"/>
    <x v="3"/>
    <x v="5"/>
    <s v="12대 기인물"/>
    <n v="12"/>
    <n v="2.3E-2"/>
    <s v="2019년 9월경"/>
    <d v="2019-09-01T00:00:00"/>
    <n v="9"/>
    <s v="-"/>
    <x v="2"/>
    <s v="2019년 9월경 00건설(주)가 시공 중인 00증축공사 현장에서 협력업체  소속 재해자 2명이 이동식 크레인으로 인양된 지상 2층 바닥 보 거푸집 설치를 위해 거푸집 위에서 고정 작업을 마치고 슬링벨트와 샤클을 분리한 후 이동식 크레인을 상승하던 중 후크에 매달린 슬링벨트가 인양했던 보 거푸집 한쪽에 붙어있는 각재 고정용 헹거고리에 걸려 거푸집이 뒤집히면서 2층 바닥 보 거푸집과 함께 지상1층 바닥(H≒3.0m)으로 떨어져 1명 사망, 1명 부상"/>
    <s v="작업순서 미 준수(중량물 취급계획서 미작성)한 상태에서 바닥 보 거푸집 인양 뒤 슬링벨트와 샤클 분리 후 이동식크레인 상승 중 슬링벨트가 인양했던 보 거푸집 한쪽에 붙어있는 각재 고정용 행거고리에 걸려 거푸집이 뒤집힘에 따라 거푸집과 함께 근로자 추락 "/>
    <s v="▶ 차량계 건설기계 작업시 근로자 출입 통제 및 유도자 배치_x000a_▶ 중량물 취급시 작업계획서를 사전에 작성하고 관리감독자를 배치하여 작업계획서에 맞게 작업_x000a_▶ 중량물 인양 시 외줄달기 지양 및 중량물취급 안전작업방법(두줄걸이) 준수"/>
  </r>
  <r>
    <n v="2"/>
    <x v="2"/>
    <x v="27"/>
    <x v="76"/>
    <s v="YES"/>
    <x v="3"/>
    <x v="12"/>
    <s v="해당없음"/>
    <s v="해당없음"/>
    <s v="해당없음"/>
    <s v="2016년 5월경"/>
    <d v="2016-05-01T00:00:00"/>
    <n v="5"/>
    <s v="-"/>
    <x v="0"/>
    <s v="2016년 5월경 (주)OOOO 근린생활시설 신축공사 현장에서 크레인(무인,2.9Ton)으로 1톤 마대에 담긴 자재(갱폼 고정볼트, 중량 약 350kg)를 이동시키는 과정에서, 샤클에 연결된 마대의 인양걸이가 풀리며 마대가 약 2m 높이에서 떨어져 재해자와 충돌하여 사망"/>
    <s v="중량물 취급 방법 불량한 상태에서 크레인을 사용하여 1톤 마대에 담긴 자재 인양 중 샤클에 연결된 마대의 인양걸이가 풀려 추락 후 근로자 타격"/>
    <s v="▶ 철재로 된 볼트 자재 등 중량물 운반 시 철재 제작 인양함 사용 및 과적 금지_x000a_▶ 크레인을 이용하여 자재 인양 등 중량물 취급작업 시 사전에 근로자 출입 통제"/>
  </r>
  <r>
    <n v="2"/>
    <x v="2"/>
    <x v="27"/>
    <x v="52"/>
    <s v="YES"/>
    <x v="3"/>
    <x v="12"/>
    <s v="해당없음"/>
    <s v="해당없음"/>
    <s v="해당없음"/>
    <s v="2016년 10월"/>
    <d v="2016-10-01T00:00:00"/>
    <n v="10"/>
    <s v="-"/>
    <x v="2"/>
    <s v="2016년 10월경 OO리조트 신축공사 현장에서 타워크레인 임대 업체인 소속 재해자가 타워크레인 설치 상태를 확인하기 위하여 타워크레인 지브의 트롤리 작업대(가동장치 유지 케이지) 난간에 벨트식 안전대를 걸고 작업 중, 몸의 중심을 잃고 작업대에서 추락"/>
    <s v="갱폼의 안전조치 미실시한 상태에서 갱폼 인양 중 인근 갱폼에 대기중인 작업자가 갱폼 간의 충돌 및 충격으로 인해 추락"/>
    <s v="▶ 갱폼 인양작업 시 위험범위 내 근로자의 출입금지조치 실시_x000a_▶ 근로자의 추락 방지를 위해 갱폼의 모서리, 단부개구부 등에 안전난간대 설치_x000a_▶ 근로자에게 안전대 결합 지시 및 이행 여부 확인"/>
  </r>
  <r>
    <n v="2"/>
    <x v="2"/>
    <x v="27"/>
    <x v="52"/>
    <s v="YES"/>
    <x v="3"/>
    <x v="12"/>
    <s v="해당없음"/>
    <s v="해당없음"/>
    <s v="해당없음"/>
    <s v="2017년 10월"/>
    <d v="2017-10-01T00:00:00"/>
    <n v="10"/>
    <s v="-"/>
    <x v="2"/>
    <s v="2017년 10월경 OO건설(주) OO신축공사 현장에서 협력업체 소속 재해자 가 OO동 옥탑2층 엘리베이트 기계실의 외벽 갱폼 상승작업을 위해 타워크레인의 양중로프를 매달지 않은 갱폼케이지 1단 작업발판에서 갱폼과 콘크리트 벽체의 고정철물(앙카볼트)을 순차적으로 모두 해체 중 갱폼이 외벽에서 탈락되면서 갱폼과 함께 약 43m 아래 지상 콘크리트 바닥으로 추락하여 사망"/>
    <s v="추락 방지조치 미실시한 상태에서 옥탑층 엘리베이트 기계실 외벽 갱폼 상승작업을 위해 갱폼케이지 작업발판에서 갱폼과 콘크리트 벽체의 고정철물을 순차적으로 해체 중 갱폼의 외벽 탈락으로 근로자 추락"/>
    <s v="▶ 갱폼 상승작업을 하는 경우 갱폼을 인양장비에 매단 후 갱폼과 콘크리트 벽체 및 슬래브의 고정철물을 해체하는 작업 진행_x000a_▶ 인양장비에 매달기 전에는 지지 또는 고정철물을 미리 해체하지 않도록 준수 _x000a_▶ 갱폼 등의 중량물을 취급하는 작업에는 작업지휘자를 지정하고, 해당 작업을 지휘하도록 함"/>
  </r>
  <r>
    <n v="2"/>
    <x v="2"/>
    <x v="7"/>
    <x v="77"/>
    <s v="YES"/>
    <x v="3"/>
    <x v="4"/>
    <s v="12대 기인물"/>
    <n v="5"/>
    <n v="4.9000000000000002E-2"/>
    <s v="2017년 8월경"/>
    <d v="2017-08-01T00:00:00"/>
    <n v="8"/>
    <s v="혹서기"/>
    <x v="0"/>
    <s v="2017년 8월경 OO진입로 개선공사 현장 내 철근야적장에서 굴삭기로 철근을 인양, 좌측으로 90° 회전(선회)하여 철근을 트럭에 상차하려는 순간 굴삭기가 중심을 잃고 넘어지면서, 철근을 트럭에 적재하는 것을 돕기 위해 트럭 옆에서 대기중이던 협력업체 소속 재해자의 두부(머리)를 철근다발이 강타하여 사망"/>
    <s v="중량물 인양시 지반 조건 및 작업반경을 고려하지 않고 굴삭기로 철근을 상하차 중 굴삭기가 균형을 잃고 넘어지며 근로자를 강타"/>
    <s v="▶ 건설기계 제원, 성능, 작업반경, 인양물 무게 등을 고려_x000a_▶ 굴삭기를 이용하여 중량물 인양 시 버켓 해체 등 정격 인양 하중표를 준수하여 작업 실시_x000a_▶ 굴착법면 상부에서 차량계 건설기계 작업 시 법면 하부에 대해 근로자 출입 통제, 신호수 배치 및 유도로프 사용 "/>
  </r>
  <r>
    <n v="2"/>
    <x v="2"/>
    <x v="7"/>
    <x v="77"/>
    <s v="YES"/>
    <x v="3"/>
    <x v="13"/>
    <s v="해당없음"/>
    <s v="해당없음"/>
    <s v="해당없음"/>
    <s v="2018년 4월경"/>
    <d v="2018-04-01T00:00:00"/>
    <n v="4"/>
    <s v="-"/>
    <x v="3"/>
    <s v="2018년 4월경 OO건설(주)가 시공하는 OO아파트 신축공사현장에서 협력업체 소속의 재해자가 지게차에 철근(D10mm, 3.76ton)을 싣고 경사진 가설도로에서 좌회전하다가 지게차가 중심을 잃고 넘어지려하자, 지게차에서 내려 대피하던 중 지게차가 넘어지면서 떨어지는 철근에 깔려 사망"/>
    <s v="지게차에 철근을 싣고 경사진 가설도로에서 주행 중, 지게자가 중심을 잃고 넘어지면서 철근이 근로자에게 낙하 "/>
    <s v="▶ 지게차를 운반할 경우 건설기계관리법에 따라 건설기계조종사 면허를 받은 자로 하여금 조종하도록 관리 감독_x000a_▶ 지게차를 사용하는 작업을 할 때 지게차가 넘어져 근로자에게 위험을 미칠 우려가 있을 경우 장비 유도자를 배치"/>
  </r>
  <r>
    <n v="2"/>
    <x v="2"/>
    <x v="7"/>
    <x v="77"/>
    <s v="YES"/>
    <x v="3"/>
    <x v="4"/>
    <s v="12대 기인물"/>
    <n v="5"/>
    <n v="4.9000000000000002E-2"/>
    <s v="2018년 8월경"/>
    <d v="2018-08-01T00:00:00"/>
    <n v="8"/>
    <s v="혹서기"/>
    <x v="0"/>
    <s v="2018년 8월경 OO개발(주)가 시공하는 OO재해위험지구 정비사업 현장에서 굴삭기를 이용하여 굴착법면(H=4.5m) 하부로 철근을 내리던 중 굴삭기가 균형을 잃고 앞으로 기울어지며 아래로 미끄러졌고 법면하부에 있던 협력업체 소속 재해자가 굴삭기 버켓에 맞아 사망"/>
    <s v="중량물 인양시 지반 조건 및 작업반경을 고려하지 않고 굴삭기로 철근을 상하차 중 굴삭기가 균형을 잃고 넘어지며 근로자를 강타"/>
    <s v="▶ 건설기계 제원, 성능, 작업반경, 인양물 무게 등을 고려_x000a_▶ 굴삭기를 이용하여 중량물 인양 시 버켓 해체 등 정격 인양 하중표를 준수하여 작업 실시_x000a_▶ 굴착법면 상부에서 차량계 건설기계 작업 시 법면 하부에 대해 근로자 출입 통제, 신호수 배치 및 유도로프 사용 "/>
  </r>
  <r>
    <n v="2"/>
    <x v="2"/>
    <x v="7"/>
    <x v="77"/>
    <s v="YES"/>
    <x v="3"/>
    <x v="4"/>
    <s v="12대 기인물"/>
    <n v="5"/>
    <n v="4.9000000000000002E-2"/>
    <s v="2019년 5월경"/>
    <d v="2019-05-01T00:00:00"/>
    <n v="5"/>
    <s v="-"/>
    <x v="2"/>
    <s v="2019년 5월경 단독주택신축공사 현장에서 협력업체 소속 재해자가 혼자의 힘으로 기초공사용 철근하역작업이 어렵게 되자 공사현장에서 작업 중이던 굴삭기 기사에게 부탁하여 굴삭기 버킷으로 화물트럭에 실려 있던 철근을 하역하기 위하여 트럭위의 철근을 끌어당기는 순간 떨어지는 철근에 균형유지를 위하여 철근을 붙잡고 있던 재해자가 함께 걸려 배수로 아래로 떨어지면서(높이 : 약1.15m) 철근(1,114kg)에 깔려 사망"/>
    <s v="굴삭기로 트럭에 실려있는 철근을 하역하던 중 철근을 잡고 있던 근로자가 철근에 걸려 추락"/>
    <s v="▶철근 등 분할 가능한 중량물일경우 하역작업시 소단위로 분할하여 작업_x000a_▶작업반경을 확보하여 작업자의 안전성 확인 후 작업 실시 및 작업반경내 근로자 접근 통제, 유도자 배치"/>
  </r>
  <r>
    <n v="2"/>
    <x v="2"/>
    <x v="7"/>
    <x v="77"/>
    <s v="YES"/>
    <x v="3"/>
    <x v="13"/>
    <s v="해당없음"/>
    <s v="해당없음"/>
    <s v="해당없음"/>
    <s v="2019년 7월경"/>
    <d v="2019-07-01T00:00:00"/>
    <n v="7"/>
    <s v="혹서기"/>
    <x v="0"/>
    <s v="2019년 7월경 (주)OO건설이 시공하는 OO주택재건축정비사업 현장에서 재해자가 25톤 화물차에서 지게차로 철근을 하역하는 곳을 지나는 도중 화물차에서 철근이 낙하하여 재해자의 두부와 하체를 강타하여 사망"/>
    <s v="화물차에서 지게차로 철근을 하역하는 도중, 화물차에서 철근이 낙하하여 지나가는 근로자의 두부와 하체를 강타 "/>
    <s v="▶ 중량물 인양을 위한 차량계 건설기계 사용 시 작업 전 작업자와 신호수간의 신호 조정 및 준수_x000a_▶ 지게차를 사용하여 화물의 하역작업 시 관계 근로자 이외의 근로자 출입 통제"/>
  </r>
  <r>
    <n v="2"/>
    <x v="2"/>
    <x v="7"/>
    <x v="10"/>
    <s v="YES"/>
    <x v="3"/>
    <x v="5"/>
    <s v="12대 기인물"/>
    <n v="12"/>
    <n v="2.3E-2"/>
    <s v="2017년 7월경"/>
    <d v="2017-07-01T00:00:00"/>
    <n v="7"/>
    <s v="혹서기"/>
    <x v="0"/>
    <s v="2017년 7월경 OO종합건설(주)이 시공중인 OOO프라자 신축공사 현장에서 재해자가 외부 자재야적장에서 이동식크레인(55톤)으로 철근 2다발(약 2톤, L=10m)을 운반 중, 크레인 보조훅의 와이어로프 단말가공 부분의 안쪽에서 와이어로프가 파단되며 운반중인 철근다발이 재해자의 복부로 낙하하여 사망"/>
    <s v="보조훅의 와이어로프 변형유무를 점검하지 않고 이동식크레인으로 철근 인양중, 와이어로프가 파단되며 근로자가 철근 다발에 맞음"/>
    <s v="▶ 작업 시작 전 안전장치(와이어로프 등) 설치 및 작동상태 확인_x000a_▶ 크레인을 사용하여 작업 시 중량물이 작업자의 머리 위로 통과하지 않도록 하부구간 작업자 통제_x000a_▶ 크레인을 사용하여 적재 시 인양을 유도하기 위한 보조로프 사용 "/>
  </r>
  <r>
    <n v="2"/>
    <x v="2"/>
    <x v="7"/>
    <x v="10"/>
    <s v="YES"/>
    <x v="3"/>
    <x v="5"/>
    <s v="12대 기인물"/>
    <n v="12"/>
    <n v="2.3E-2"/>
    <s v="2017년 9월경"/>
    <d v="2017-09-01T00:00:00"/>
    <n v="9"/>
    <s v="-"/>
    <x v="0"/>
    <s v="2017년 9월경 OO건설(주) OO공원 조성공사 현장에서 차량탑재형 이동식크레인을 이용, 화장장 2층 슬라브에 철근을 인양하는 작업 중 보조윈치 와이어로프(Ø14mm)가 파단되면서 인양된 철근 다발 하부에 있던 재해자가 철근 다발에 맞아 사망"/>
    <s v="보조훅의 와이어로프 변형유무를 점검하지 않고 이동식크레인으로 철근 인양중, 와이어로프가 파단되며 근로자가 철근 다발에 맞음"/>
    <s v="▶ 작업 시작 전 안전장치(와이어로프 등) 설치 및 작동상태 확인_x000a_▶ 크레인을 사용하여 작업 시 중량물이 작업자의 머리 위로 통과하지 않도록 하부구간 작업자 통제_x000a_▶ 크레인을 사용하여 적재 시 인양을 유도하기 위한 보조로프 사용 "/>
  </r>
  <r>
    <n v="2"/>
    <x v="2"/>
    <x v="7"/>
    <x v="10"/>
    <s v="YES"/>
    <x v="3"/>
    <x v="12"/>
    <s v="해당없음"/>
    <s v="해당없음"/>
    <s v="해당없음"/>
    <s v="2020년 2월경"/>
    <d v="2020-02-01T00:00:00"/>
    <n v="2"/>
    <s v="혹한기"/>
    <x v="3"/>
    <s v="2020년 2월경 (주)OO신축공사 현장에서 타워크레인(L형, 무인) 사용하여 철근다발(약 1.7톤)을 인양하던 중 러핑로프 및 보조로프가 파단되면서 메인지브 하강과 함께 철근다발이 하부에 있던 철근콘크리트 협력업체 재해자 위로 낙하하여 사망"/>
    <s v="근로자 출입통제를 하지 않고 타워크레이을 사용하여 철근다발을 인양하던 중 러핑로프 및 보조로프가 파단되면서 철근 다발이 근로자에게 낙하 "/>
    <s v="▶ 크레인 메인지브 등이 정상적으로 작동되고 장치 기능에 문제가 발생되지 않도록 보조로프에 대한 결속, 처짐 방지 등 고정방법 개선_x000a_▶ 로프에 간섭 발생할 수 있는 터미널 블록 받침대 등 설치 제한_x000a_▶ 크레인을 사용하여 작업을 하는 경우 근로자의 출입을 통제하여 인양중인 화물이 작업자의 머리 위로 통과하지 않도록 조치"/>
  </r>
  <r>
    <n v="2"/>
    <x v="2"/>
    <x v="7"/>
    <x v="10"/>
    <s v="YES"/>
    <x v="3"/>
    <x v="5"/>
    <s v="12대 기인물"/>
    <n v="12"/>
    <n v="2.3E-2"/>
    <s v="2020년 4월경"/>
    <d v="2020-04-01T00:00:00"/>
    <n v="4"/>
    <s v="-"/>
    <x v="0"/>
    <s v="2020년 4월경 (주)OO종합건설이 시공하는 OO요양시설 신축공사 현장에서 재해자가 3동 지상 1층 바닥 테라스에 적재되어 있던 철근 1다발(Φ10mm+Φ13mm, 약 1.4톤)을 이동식크레인(20톤)으로 2동 지상 2층 바닥으로 옮기기 위한 보조작업(줄걸이 등)을 하던 중, 이동식크레인이 하중을 견디지 못하고 전도되면서 철근다발이 낙하하여 튕겨 재해자의 안면부(눈주위)를 강타해 사망"/>
    <s v="이동식크레인으로 철근 다발을 옮기기 위해 철근 줄걸이 작업중, 정격하중을 초과한 이동식크레인이 하중을 견디지 못하고 전도되면서 철근 다발이 근로자를 강타 "/>
    <s v="▶ 지브의 경사각에 의한 작업반경과 철근무게에 따른 정격하중을 초과하는 하중을 걸어서 작업 금지_x000a_▶ 순간적으로 작업반경이 증가하고 충격하중이 부가되지 않도록 훅과 인양물의 중심이 일치하도록 수직방향으로 인양 준수_x000a_▶ 양중기를 사용하는 중량물 운반 작업 시 일정한 신호방법 지정 및 신호 실시"/>
  </r>
  <r>
    <n v="2"/>
    <x v="2"/>
    <x v="7"/>
    <x v="10"/>
    <s v="YES"/>
    <x v="3"/>
    <x v="5"/>
    <s v="12대 기인물"/>
    <n v="12"/>
    <n v="2.3E-2"/>
    <s v="2020년 5월경"/>
    <d v="2020-05-01T00:00:00"/>
    <n v="5"/>
    <s v="-"/>
    <x v="0"/>
    <s v="2020년 5월경 OO건설(주)가 시공하는 OO외곽도로 건설공사 현장에서  협력업체 소속 근로자가 지상(콘크리트 바닥)에 겹쳐 있는 지하차도 벽체 조립용 철근다발(?32mm,L=7.85m,40본,1.96ton)을 양중하기 위해 철근다발 한쪽(끝단에서 내측으로 약 1.5m지점)에 슬링벨트(L=1.9m,B=75mm)를 U자 형태로 걸은 후, 이동식크레인(25ton)으로 들어올려(H≒2.5m) 이동 또는 조정하던 중, 갑자기 슬링벨트가 이탈하면서 철근다발이 낙하, 하부에 있던 재해자의 머리를 강타하여 사망"/>
    <s v="인양물을 견고하게 고정하지 않고 철근다발 한쪽에 슬링벨트를 U자 형태로 걸은 후 이동식크레인으로 들어올려 이동 중, 슬링벨트가 이탈하면서 철근 다발이 낙하하여 하부에 있던 근로자를 강타 "/>
    <s v="▶ 인양물 양중 시 슬링벨트를 감고 샤클 등으로 견고하게 고정한 후 양중 준수_x000a_▶ 인양물 작업 시 인양물이 작업자 머리 위에 위치하거나 통과하지 않도록 작업지휘자 및 전담 신호수 배치"/>
  </r>
  <r>
    <n v="2"/>
    <x v="2"/>
    <x v="7"/>
    <x v="10"/>
    <s v="YES"/>
    <x v="3"/>
    <x v="4"/>
    <s v="12대 기인물"/>
    <n v="5"/>
    <n v="4.9000000000000002E-2"/>
    <s v="2020년 7월경"/>
    <d v="2020-07-01T00:00:00"/>
    <n v="7"/>
    <s v="혹서기"/>
    <x v="0"/>
    <s v="2020년 7월경 OO주식회사에서 시공하는 OO신축공사 현장에서 지상1층 작업장 바닥에 적재되어있는 철근다발(D13×8m,120개,955.2kg)을 섬유로프(벨트슬링)로 결속하여 굴삭기 퀵커플러에 부착된 훅에 걸어 지상2층 데크플레이트 상부로 인양하던 중 훅에 걸린 섬유로프(벨트슬링) 한쪽이 탈락하여 철근다발이 쏟아지면서 하부에 있던 재해자가 맞아 사망"/>
    <s v="굴삭기 퀵커플러에 부착된 훅에 철근다발을 걸어 인양하던 중, 훅에 걸린 로프 한쪽이 탈락하며 철근다발이 쏟아져 근로자를 강타 "/>
    <s v="▶ 철근 인양작업 시에는 이동식크레인 등 양중기 용도에 적합한 장비 사용_x000a_▶ 인양 작업 전, 퀵커플러 등 이상유무 확인 후 이상이 발견 될 시 즉시 조치 실시"/>
  </r>
  <r>
    <n v="2"/>
    <x v="2"/>
    <x v="7"/>
    <x v="10"/>
    <s v="YES"/>
    <x v="3"/>
    <x v="5"/>
    <s v="12대 기인물"/>
    <n v="12"/>
    <n v="2.3E-2"/>
    <s v="2021년 8월경"/>
    <d v="2021-08-01T00:00:00"/>
    <n v="8"/>
    <s v="혹서기"/>
    <x v="0"/>
    <s v="2021년 8월경 OO산업(주)에서 시공 중인 OO별관 신축공사 현장 자재반입구(지하3층)에서 재해자가 자재반입구를 통해 운반중인 14m 상부 낙하물(벽체철근망, 크기:6m x 7m, 중량:1.3~1.4ton)에 맞아 사망"/>
    <s v="이동식크레인을 사용해 벽체 철근망을 자재반입구를 통해 운반하던 중 이탈한 벽체 철근망이 낙하하여 맞음"/>
    <s v="▶ 이동식크레인을 이용하여 자재 인양 시 훅 이탈방지 장치 부착 여부, 인양물과의 결합 상태 등의 점검 및 조치_x000a_▶ 이동식크레인 작업반경 내 출입통제, 중량물이 작업자의 머리 위로 통과하지 않도록 조치"/>
  </r>
  <r>
    <n v="2"/>
    <x v="2"/>
    <x v="8"/>
    <x v="35"/>
    <s v="YES"/>
    <x v="3"/>
    <x v="14"/>
    <s v="해당없음"/>
    <s v="해당없음"/>
    <s v="해당없음"/>
    <s v="2016년 1월경"/>
    <d v="2016-01-01T00:00:00"/>
    <n v="1"/>
    <s v="혹한기"/>
    <x v="6"/>
    <s v="2016년 1월경 OO(주) 아파트 신축공사 현장에서 골조공사 협력업체인 OO건설(주) 소속 재해자(일용직)가 후진하는 레미콘 차량 후미와 충돌하여 차량 뒷바퀴에 협착되어 사망"/>
    <s v="근로자 출입 통제가 이뤄지지 않은채 후진하는 레미콘 차량 후미와 근로자가 충돌하여 협착"/>
    <s v="▶ 레미콘 차량 운행 경로 확보를 위해 위험구역 내 근로자 출입금지 및 안전통로 확보_x000a_▶ 장비간 충돌 및 협착 방지 접근 한계거리 유지를 위한 스토퍼 등 설치_x000a_▶ 유도자 배치를 통한 근로자 출입통제 및 차량계 건설기계 유도"/>
  </r>
  <r>
    <n v="2"/>
    <x v="2"/>
    <x v="8"/>
    <x v="35"/>
    <s v="YES"/>
    <x v="3"/>
    <x v="9"/>
    <s v="해당없음"/>
    <s v="해당없음"/>
    <s v="해당없음"/>
    <s v=" 2017년 6월"/>
    <d v="2017-06-01T00:00:00"/>
    <n v="6"/>
    <s v="혹서기"/>
    <x v="2"/>
    <s v=" 2017년 6월경 OO(주) OO 공장 신축공사 현장에서 재해자(펌프카 운전원)가 콘크리트 펌프카 위에 올라가 콘크리트 타설 준비작업 중 콘크리트 펌프카 플렉시블 호스(Flexible hose)의 토출구(철재)에 머리를 맞아 지상으로 떨어져(H≒1.3m) 사망"/>
    <s v="콘크리트 펌프카 위에 올라가 콘크리트 타설 준비작업 중 콘크리트 펌프카 플렉시블 호스의 압력이 방출되면서 요동치는 호스의 토출구(철재)에 머리를 맞아 지상으로 떨어짐"/>
    <s v="▶ 차량계 건설기계 사용 시 차량계 건설기계에 의한 작업방법, 점검 및 작업요령 등에 대한 작업계획서 작성"/>
  </r>
  <r>
    <n v="2"/>
    <x v="2"/>
    <x v="8"/>
    <x v="35"/>
    <s v="YES"/>
    <x v="3"/>
    <x v="14"/>
    <s v="해당없음"/>
    <s v="해당없음"/>
    <s v="해당없음"/>
    <s v="2017년 7월경"/>
    <d v="2017-07-01T00:00:00"/>
    <n v="7"/>
    <s v="혹서기"/>
    <x v="6"/>
    <s v="2017년 7월경 ㈜OO C.C 조성공사 현장에서 ㈜OO 소속 지입차주 재해자(운전수)가 현장 5번홀 주변 배수로 관보호공 콘크리트 타설을 위해 콘크리트믹서트럭을 운전하여 이동 중 경사로에서 전복되어 운전석 내부에서 협착되어 사망"/>
    <s v="배수로 관보호공 콘크리트 타설을 위해 콘크리트 믹서 트럭을 운전하던 중 비가 내려 지표면이 미끄러운 상태의 경사로에서 전복되어 운전석 내부에서 협착됨"/>
    <s v="▶ 차량계건설기계 상시 점검 및 정비 실시_x000a_▶ 강우 및 악천후 등으로 차량계건설기계 운행이 불안전한 경우 즉시 중지"/>
  </r>
  <r>
    <n v="2"/>
    <x v="2"/>
    <x v="8"/>
    <x v="35"/>
    <s v="YES"/>
    <x v="3"/>
    <x v="9"/>
    <s v="해당없음"/>
    <s v="해당없음"/>
    <s v="해당없음"/>
    <s v="2017년 10월"/>
    <d v="2017-10-01T00:00:00"/>
    <n v="10"/>
    <s v="-"/>
    <x v="6"/>
    <s v="2017년 10월경 OOOO로(아스팔트포장 도로, 폭: 8m, 경사: 약 4°) 도로[인근, ㈜OO 관저동 근린생활시설 신축공사] 상에서 재해자(콘크리트펌프카 운전기사)가 콘크리트 펌프카를 시동이 켜진 채 주차한 후 차량에서 내려 차량 아래 조수석쪽 후면에 부착된 아웃트리거를 지면에 고정하기 위해 아웃트리거를 작동하려고 하자 차량이 경사 도로를 따라 굴러 내려(약:10m)가 조수석쪽으로 탑승하여 주차브레이크를 작동하려고 하던 중 맞은편 반대쪽에 주차된 트럭과 충돌하여 조수석문과 차체 사이에 협착되어 사망"/>
    <s v="콘크리트 펌프카를 시동이 켜진 채 주차한 후 차량에서 내려 아웃트리거를 작동하려고 하자 차량이 경사 도로를 따라 굴러 내려(약:10m)가 조수석쪽으로 탑승하여 주차브레이크를 작동하려고 하던 중 맞은편 반대쪽에 주차된 트럭과 충돌하여 조수석문과 차체 사이에 끼임"/>
    <s v="▶ 작업 시작 전 차량의 브레이크 및 클러치 등을 미리 점검 실시_x000a_▶ 이상 발견시 즉시 보수하거나 그밖에 필요한 조치를 하여야 함"/>
  </r>
  <r>
    <n v="2"/>
    <x v="2"/>
    <x v="8"/>
    <x v="35"/>
    <s v="YES"/>
    <x v="3"/>
    <x v="9"/>
    <s v="해당없음"/>
    <s v="해당없음"/>
    <s v="해당없음"/>
    <s v="2017년 12월"/>
    <d v="2017-12-01T00:00:00"/>
    <n v="12"/>
    <s v="혹한기"/>
    <x v="6"/>
    <s v="2017년 12월경 OO건설중기 소속 재해자(펌프카 운전원)가 OO 현장에서 펌프카로 콘크리트를 타설 하기 위해 펌프카 사전 점검중 콤프레와 샤프트에 이상이 생겨 피티오(P.T.O)를 수리하던 중 제동장치의 공압호스가 빠져 차량 제동장치가 풀리면서 움직이는 펌프카에 협착되어 사망(추정)"/>
    <s v="펌프카 콘크리트 타설 위해 펌프카 사전 점검중 콤프레와 샤프트에 이상이 생겨 피티오를 수리하던 중 제동장치의 공압호스가 빠져 차량 제동장치가 풀리면서 움직이는 펌프카에 협착"/>
    <s v="▶ 펌프카 등 차량계 건설기계의 수리나 부속장치의 장착 및 제거작업을 하는 경우 그 작업을 지휘하는 사람을 지정하여 해당 작업을 지위하고 작업순서를 결정하는 작업지휘자 배치"/>
  </r>
  <r>
    <n v="2"/>
    <x v="2"/>
    <x v="8"/>
    <x v="35"/>
    <s v="YES"/>
    <x v="3"/>
    <x v="9"/>
    <s v="해당없음"/>
    <s v="해당없음"/>
    <s v="해당없음"/>
    <s v="2018년 9월경"/>
    <d v="2018-09-01T00:00:00"/>
    <n v="9"/>
    <s v="-"/>
    <x v="8"/>
    <s v="2018년 9월경 OO국도건설공사 OO교 현장에서 재해자(공사과장)가 OO교 상부슬라브 콘크리트 타설 전 철근배근 작업지시 중 콘크리트 타설을 위해 후방에서 대기중이던 펌프카가 교량 방향으로 이동하여 재해자가 펌프카에 부딪혀 사망"/>
    <s v="상부슬라브 콘크리트 타설 전 철근배근 작업지시 중 콘크리트 타설을 위해 후방에서 대기중이던 펌프카가 교량 방향으로 갑작스레 이동하여 재해자와 충돌"/>
    <s v="▶ 차량계 건설기계의 갑작스러운 주행 및 이탈 방지_x000a_▶ 운전 중인 차량계 건설기계에 접촉되어 근로자 가격 위험 장소에는 근로자 출입 금지 및 유도자 배치"/>
  </r>
  <r>
    <n v="2"/>
    <x v="2"/>
    <x v="8"/>
    <x v="35"/>
    <s v="YES"/>
    <x v="3"/>
    <x v="14"/>
    <s v="해당없음"/>
    <s v="해당없음"/>
    <s v="해당없음"/>
    <s v="2018년 10월"/>
    <d v="2018-10-01T00:00:00"/>
    <n v="10"/>
    <s v="-"/>
    <x v="1"/>
    <s v="2018년 10월경 OO 현장에서 측구 구조물에 콘크리트타설을 위해 레미콘 트럭이 작업장소에 도착하여 풋브레이크, 사이드 브레이크를 한 상태에서 운전자가 운전석에서 내리던중 레미콘 트럭이 약 3m 뒤로 밀리면서 지나가던 재해자가 운전석 뒤바퀴에 깔려 사망"/>
    <s v="콘크리트 타설을 위해 대기 중인 콘크리트 믹서트럭이 제동장치 이상으로 미끄러지며 근로자 깔림"/>
    <s v="▶ 차량계 건설기계를 사용하여 작업 시 작업 전 관리감독자가 브레이크 및 클러치 등의 기능 점검_x000a_▶ 경사로에서 차량계 건설기계에 탑승하여 대기 시 사이드브레이크 체결 및 고임목 설치 등 미끄러짐 방지"/>
  </r>
  <r>
    <n v="2"/>
    <x v="2"/>
    <x v="8"/>
    <x v="35"/>
    <s v="YES"/>
    <x v="3"/>
    <x v="9"/>
    <s v="해당없음"/>
    <s v="해당없음"/>
    <s v="해당없음"/>
    <s v="2018년 11월"/>
    <d v="2018-11-01T00:00:00"/>
    <n v="11"/>
    <s v="-"/>
    <x v="6"/>
    <s v="2018년 11월경 OO 신축공사 중 야외주차장 콘크리트공사 현장에서 재해자(콘크리트 믹서트럭 운전원)가 야외주차장 콘크리트 타설을 위해 펌프카 호퍼 쪽으로 후진하는 콘크리트 믹서트럭 차량의 슈트를 조작하던 중 펌프카 호퍼 사이에 끼어 사망"/>
    <s v="콘크리트 타설을 위해 펌프카 호퍼 쪽으로 후진하는 콘크리트 차량의 슈트를 조작하던 중 펌프카 호퍼 사이에 끼임"/>
    <s v="▶ 차량계 건설기계 사용 시 위험구역 내 유도원의 배치로 근로자 출입 금지 및 차량계 건설기계 유도_x000a_▶ 장비간 충돌 및 협착 방지 등 접근한계거리 유지를 위한 안전한 구조의 스토퍼 등 설치_x000a_▶ 차량계 건설기계 운행 경로와 별도로 작업자들이 이동할 수 있는 안전통로 확보"/>
  </r>
  <r>
    <n v="2"/>
    <x v="2"/>
    <x v="8"/>
    <x v="35"/>
    <s v="YES"/>
    <x v="3"/>
    <x v="14"/>
    <s v="해당없음"/>
    <s v="해당없음"/>
    <s v="해당없음"/>
    <s v=" 2019년 1월"/>
    <d v="2019-01-01T00:00:00"/>
    <n v="1"/>
    <s v="혹한기"/>
    <x v="1"/>
    <s v=" 2019년 1월경 OO(주) 공동주택사업 현장에서 콘크리트 믹서 트럭이 이동 중 경사로를 오르지 못하고 아래로 밀리면서 경사로 우측으로 차량이 전복되어, 주변에서 거푸집 설치 중이던 협력업체 OO건업(주) 소속 재해자(형틀공) 2명 중 1명이 차량에 직접 깔려 사망, 1명이 부상"/>
    <s v="레미콘 트럭이 이동 중 경사로를 오르지 못하고 뒤로 밀리며 주변에서 작업중이던 근로자 깔림"/>
    <s v="▶ 레미콘 트럭 등 비탈길에서 차량계 건설기계 정차 시 밀림 방지를 위해 풋, 사이드브레이크 체결 및 고임목 설치_x000a_▶ 차량계 건설기계를 이용한 작업 시 접촉 및 부딪힐 위험이 있는 장소에 근로자 출입 금지 및 유도자 배치_x000a_▶ 도로와 작업장이 접해있을시 방책 등 근로자 보호조치 실시"/>
  </r>
  <r>
    <n v="2"/>
    <x v="2"/>
    <x v="8"/>
    <x v="35"/>
    <s v="YES"/>
    <x v="3"/>
    <x v="7"/>
    <s v="해당없음"/>
    <s v="해당없음"/>
    <s v="해당없음"/>
    <s v="2020년 1월경"/>
    <d v="2020-01-01T00:00:00"/>
    <n v="1"/>
    <s v="혹한기"/>
    <x v="2"/>
    <s v="2020년 1월경 오피스텔 신축 현장에서 재해자가 옥상층 콘크리트 타설 완료 후 18층 승강기 입구인 슬래브 단부에서 승강기 피트 내 설치된 콘크리트 압송관을 해체하던 중 압송관에 연결된 로프가 풀리면서 압송관과 함께 지하 1층 피트(H : 약 55m)로 떨어져 사망"/>
    <s v="승강기 피트 내 설치된 콘크리트 압송관 해체 중 압송관에 연결된 로프가 풀리면서 압송관과 함께 떨어짐"/>
    <s v="▶ 개구부 등 추락위험 구간에 덮개, 안전난간 등 추락방지조치 준수_x000a_▶ 작업 전 안전대 지급 및 체결상태 관리"/>
  </r>
  <r>
    <n v="2"/>
    <x v="2"/>
    <x v="8"/>
    <x v="35"/>
    <s v="YES"/>
    <x v="3"/>
    <x v="14"/>
    <s v="해당없음"/>
    <s v="해당없음"/>
    <s v="해당없음"/>
    <s v="2020년 11월"/>
    <d v="2020-11-01T00:00:00"/>
    <n v="11"/>
    <s v="-"/>
    <x v="1"/>
    <s v="2020년 11월경 OO(주) 공장 신축공사 현장에서 육가공 공장동 지상1층 냉동창고 바닥 방수콘크리트 타설을 위하여 대기 중인 OO기업(주) 소속 콘크리트 믹서트럭이 제동장치 이상(추정)으로 현장 진입경사로에서 미끄러지면서 OO(주) 기존공장 출입구에 있던 경비실로 돌진하여 내부에서 근무 중인 OO건설(주) 소속 재해자(경비원)를 덮쳐 사망"/>
    <s v="콘크리트 타설을 위해 대기 중인 콘크리트 믹서트럭이 제동장치 이상으로 미끄러지며 근로자 깔림"/>
    <s v="▶ 차량계 건설기계를 사용하여 작업 시 작업 전 관리감독자가 브레이크 및 클러치 등의 기능 점검_x000a_▶ 경사로에서 차량계 건설기계에 탑승하여 대기 시 사이드브레이크 체결 및 고임목 설치 등 미끄러짐 방지"/>
  </r>
  <r>
    <n v="2"/>
    <x v="2"/>
    <x v="8"/>
    <x v="35"/>
    <s v="YES"/>
    <x v="3"/>
    <x v="6"/>
    <s v="12대 기인물"/>
    <n v="9"/>
    <n v="3.4000000000000002E-2"/>
    <s v="2020년 11월"/>
    <d v="2020-11-01T00:00:00"/>
    <n v="11"/>
    <s v="-"/>
    <x v="2"/>
    <s v="2020년 11월경 ㈜OO 공동주택 신축공사 현장에서, 재해자가 동료작업자와 함께 콘크리트 분배기를 지게차로 5톤 화물트럭에 상차 후 반출하는 과정에서 화물트럭 적재함 우측 문짝에서 무게중심을 잃고 지상 바닥(높이 약 154cm)으로 추락하여 사망"/>
    <s v="하부에 달린 압송관을 해체하지 않은 채 콘크리트 분배기를 지게차로 화물트럭에 상차 후 반출하는 과정에서 무게중심이 맞지 않아 분배기가 흔들리면서 적재함에 있던 근로자가 중심을 잃고 트럭 적재함 우측 문짝에서 바닥으로 추락 "/>
    <s v="▶ 콘크리트 분배기를 화물트럭에 상차하여 반출하는 경우 화물트럭 적재함 문짝이 닫힌 우측으로 접근 금지 및 적재함에서 지상 바닥으로 이동 시 적재함 문짝 개방 후 이동_x000a_▶ 화물트럭에 100kg 이상의 중량물을 싣는 작업 시 콘크리트 분배기 하부의 압송관 해체 후 싣기"/>
  </r>
  <r>
    <n v="2"/>
    <x v="2"/>
    <x v="8"/>
    <x v="35"/>
    <s v="YES"/>
    <x v="3"/>
    <x v="7"/>
    <s v="해당없음"/>
    <s v="해당없음"/>
    <s v="해당없음"/>
    <s v="2020년 OO("/>
    <s v="X"/>
    <e v="#VALUE!"/>
    <e v="#VALUE!"/>
    <x v="3"/>
    <s v="2020년 OO(주) 주상복합 신축공사 현장에서 101동에 설치된 콘크리트 타설용 C.P.B 장비 인상작업 중 9층에 설치된 C.P.B 마스트 지지부재(하부 지지용 핀)가 이탈되면서 장비 본체(전체길이 20m, 자중 약 17.3톤)가 약 4.6m 하부로 낙하하여 지상 11층에서 소방전기 박스 설치작업을 위해 이동중이던 재해자 1명이 낙하한 C.P.B 부재에 협착되어 사망, 11층과 9층에서 각각 C.P.B 인상작업 및 자재정리 작업중이던 재해자 3명이 부상_x000d_"/>
    <s v="콘크리트 타설용 C.P.B 장비 인상작업 중, C.P.B 마스트 지지부재(하부 지지용 핀)가 이탈되면서 장비 본체가 근로자에게 낙하 "/>
    <s v="▶ C.P.B 낙하를 예방하기 위한 작업계획서 작성 및 준수_x000a_▶ 마스트 인상작업 후 플로어 프레임을 해체 시에는 개구부 크기에 맞춰 제작된 덮개를 반드시 설치_x000a_▶ 플로어 프레임을 해체하기 어려울 경우 안전난간, 덮개 또는 하부에 추락방호망 설치 "/>
  </r>
  <r>
    <n v="2"/>
    <x v="2"/>
    <x v="8"/>
    <x v="11"/>
    <s v="YES"/>
    <x v="3"/>
    <x v="9"/>
    <s v="해당없음"/>
    <s v="해당없음"/>
    <s v="해당없음"/>
    <s v="2016년 3월경"/>
    <d v="2016-03-01T00:00:00"/>
    <n v="3"/>
    <s v="-"/>
    <x v="0"/>
    <s v="2016년 3월경 OO(주)가 시공하는 아파트 주차장 Slab 콘크리트 타설작업 현장에서 OO종건(주) 소속인 재해자(비계공)가 펌프카 붐 끝단부에 붙어 있는 End Hose를 잡고 Con`c 타설 중, 펌프카의 왼쪽 아웃트리거 하부 지반이 침하되며 아웃트리거가 고임목을 이탈하면서 펌프카 붐대가 아래로 처지면서 재해자를 덮쳐 사망"/>
    <s v="콘크리트 타설 작업 중 펌프카 아웃트리거 하부 지반이 침하되어 펌프카가 기울어지며 펌프카 붐대가 근로자 가격"/>
    <s v="▶ 콘크리트 펌프카를 이용한 타설 작업 시 지반·지층 상태 사전조사 및 다짐 등의 방법으로 지지력 확보_x000a_▶ 콘크리트 펌프카를 이용한 타설 작업 시 아웃트리거 손상 등에 의한 전도방지를 위해 아웃트리거 접지부 받침대 설치 등 실시_x000a_▶ 차량계 건설기계 사용 시 유도자를 배치하여 작업반경 내 근로자 접근 통제 실시"/>
  </r>
  <r>
    <n v="2"/>
    <x v="2"/>
    <x v="8"/>
    <x v="11"/>
    <s v="YES"/>
    <x v="3"/>
    <x v="14"/>
    <s v="해당없음"/>
    <s v="해당없음"/>
    <s v="해당없음"/>
    <s v="2016년 8월경"/>
    <d v="2016-08-01T00:00:00"/>
    <n v="8"/>
    <s v="혹서기"/>
    <x v="6"/>
    <s v="2016년 8월경 OO(주) OO터널접속도로 건설공사 현장의 구조물공사 협력업체인 OO건설(주)의 콘크리트 펌프카 임대업체인 ㈜OO펌프카 소속 재해자(펌프카운전원)가 지하차도 기초(7블럭 구간) 콘크리트 타설 작업을 위해 지하차도 복공판 상부에서 콘크리트 펌프카 호퍼 정비작업 중 펌프카 후미쪽으로 후진하던 콘크리트 믹서 트럭 사이에 충돌후 협착되어 사망"/>
    <s v="근로자 출입 통제가 이뤄지지 않은채 콘크리트 펌프카 호퍼 정비작업 중 펌프카 후미쪽으로 후진하던 콘크리트 믹서 트럭 사이에 충돌후 협착"/>
    <s v="▶ 레미콘 차량 운행 경로 확보를 위해 위험구역 내 근로자 출입금지 및 안전통로 확보_x000a_▶ 장비간 충돌 및 협착 방지 접근 한계거리 유지를 위한 스토퍼 등 설치_x000a_▶ 유도자 배치를 통한 근로자 출입통제 및 차량계 건설기계 유도"/>
  </r>
  <r>
    <n v="2"/>
    <x v="2"/>
    <x v="8"/>
    <x v="11"/>
    <s v="YES"/>
    <x v="3"/>
    <x v="9"/>
    <s v="해당없음"/>
    <s v="해당없음"/>
    <s v="해당없음"/>
    <s v="2017년 1월경"/>
    <d v="2017-01-01T00:00:00"/>
    <n v="1"/>
    <s v="혹한기"/>
    <x v="6"/>
    <s v="2017년 1월경 ㈜OO 아파트 현장에서 재해자가 지하주차장 슬래브에서 콘크리트를 타설하고 있는 펌프카 하부로 들어가 고압살수기로 물청소를 하고 고압호스를 가지고 나오던 중, 엔진과 연결되어 고속 회전하는 죠인트에 옷이 감기면서 사망"/>
    <s v="지하주차장 슬래브에서 콘크리트를 타설하고 있는 펌프카 하부로 들어가 고압살수기로 물청소를 하고 고압호스를 가지고 나오던 중 엔진과 연결되어 고속 회전하는 죠인트에 옷이 감기면서 사망"/>
    <s v="▶ 엔진과 연결된 죠인트가 고속으로 회전하고 있는 펌프카 하부에 작업자 출입 금지를 위해 유도자, 관리감독자 배치 또는 펜스, 표지반 설치_x000a_▶ 차량계 건설기계 사용 시 작업 전 종류, 운행경로, 작업방법 등에 대한 내용 및 작업순서, 방법 등을 작업자에게 주지"/>
  </r>
  <r>
    <n v="2"/>
    <x v="2"/>
    <x v="8"/>
    <x v="11"/>
    <s v="YES"/>
    <x v="3"/>
    <x v="9"/>
    <s v="해당없음"/>
    <s v="해당없음"/>
    <s v="해당없음"/>
    <s v="2017년 1월경"/>
    <d v="2017-01-01T00:00:00"/>
    <n v="1"/>
    <s v="혹한기"/>
    <x v="0"/>
    <s v="2017년 1월경 다세대주택 신축현장에서 L형 옹벽 기초콘크리트 타설 중 펌프카 전면 우측 아웃트리거 하부지반이 붕괴되면서 재해자가 넘어지는 펌프카 붐대에 머리를 맞아 사망"/>
    <s v="콘크리트 타설 작업 중 펌프카 아웃트리거 하부 지반이 침하되어 펌프카가 기울어지며 펌프카 붐대가 근로자 가격"/>
    <s v="▶ 콘크리트 펌프카를 이용한 타설 작업 시 지반·지층 상태 사전조사 및 다짐 등의 방법으로 지지력 확보_x000a_▶ 콘크리트 펌프카를 이용한 타설 작업 시 아웃트리거 손상 등에 의한 전도방지를 위해 아웃트리거 접지부 받침대 설치 등 실시_x000a_▶ 차량계 건설기계 사용 시 유도자를 배치하여 작업반경 내 근로자 접근 통제 실시"/>
  </r>
  <r>
    <n v="2"/>
    <x v="2"/>
    <x v="8"/>
    <x v="11"/>
    <s v="YES"/>
    <x v="3"/>
    <x v="9"/>
    <s v="해당없음"/>
    <s v="해당없음"/>
    <s v="해당없음"/>
    <s v="2017년 4월경"/>
    <d v="2017-04-01T00:00:00"/>
    <n v="4"/>
    <s v="-"/>
    <x v="0"/>
    <s v="2017년 4월경 OO건설이 시공하는 근린생활시설 부지조성 현장에서 재해자(목공)가 콘크리트 펌프카 붐 끝에 달린 호스를 잡고 옹벽(H=2.0m) 기초 콘크리트 타설작업 중 콘크리트 펌프카 전면부 우측의 아웃트리거 하부 지반이 침하되고 고임목이 파손되면서 콘크리트 펌프카가 기울어져 콘크리트 펌프카의 붐에 맞은 후 깔리면서 사망"/>
    <s v="콘크리트 타설 작업 중 펌프카 아웃트리거 하부 지반이 침하되어 펌프카가 기울어지며 펌프카 붐대가 근로자 가격"/>
    <s v="▶ 콘크리트 펌프카를 이용한 타설 작업 시 지반·지층 상태 사전조사 및 다짐 등의 방법으로 지지력 확보_x000a_▶ 콘크리트 펌프카를 이용한 타설 작업 시 아웃트리거 손상 등에 의한 전도방지를 위해 아웃트리거 접지부 받침대 설치 등 실시_x000a_▶ 차량계 건설기계 사용 시 유도자를 배치하여 작업반경 내 근로자 접근 통제 실시"/>
  </r>
  <r>
    <n v="2"/>
    <x v="2"/>
    <x v="8"/>
    <x v="11"/>
    <s v="YES"/>
    <x v="3"/>
    <x v="9"/>
    <s v="해당없음"/>
    <s v="해당없음"/>
    <s v="해당없음"/>
    <s v="2017년 12월"/>
    <d v="2017-12-01T00:00:00"/>
    <n v="12"/>
    <s v="혹한기"/>
    <x v="0"/>
    <s v="2017년 12월경 OO(주) OO로 정비사업 현장에서 OO(주) 소속 재해자(형틀목공)가 콘크리트 펌프카를 이용하여 버림콘크리트 타설 작업 중 지반이 침하되어 펌프카가 기울어지면서 하강하는 붐에 재해자 맞아 사망"/>
    <s v="콘크리트 타설 작업 중 펌프카 아웃트리거 하부 지반이 침하되어 펌프카가 기울어지며 펌프카 붐대가 근로자 가격"/>
    <s v="▶ 콘크리트 펌프카를 이용한 타설 작업 시 지반·지층 상태 사전조사 및 다짐 등의 방법으로 지지력 확보_x000a_▶ 콘크리트 펌프카를 이용한 타설 작업 시 아웃트리거 손상 등에 의한 전도방지를 위해 아웃트리거 접지부 받침대 설치 등 실시_x000a_▶ 차량계 건설기계 사용 시 유도자를 배치하여 작업반경 내 근로자 접근 통제 실시"/>
  </r>
  <r>
    <n v="2"/>
    <x v="2"/>
    <x v="8"/>
    <x v="11"/>
    <s v="YES"/>
    <x v="3"/>
    <x v="9"/>
    <s v="해당없음"/>
    <s v="해당없음"/>
    <s v="해당없음"/>
    <s v="2018년 3월경"/>
    <d v="2018-03-01T00:00:00"/>
    <n v="3"/>
    <s v="-"/>
    <x v="0"/>
    <s v="2018년 3월경 OO농장 개축공사 현장에서 재해자가 펌프카 붐대에 설치되어 있는 End Hose를 잡고 돈사 Slurry pit 옹벽 콘크리트 타설 작업 중, 펌프카 운전석 측 아웃트리거 하부 콘크리트 지면이 무너져 펌프카 붐대가 아랫방향으로 요동치면서 End Hose가 재해자의 안면부를 강타하여 사망"/>
    <s v="콘크리트 타설 작업 중 펌프카 아웃트리거 하부 지반이 침하되어 펌프카가 기울어지며 펌프카 붐대가 근로자 가격"/>
    <s v="▶ 콘크리트 펌프카를 이용한 타설 작업 시 지반·지층 상태 사전조사 및 다짐 등의 방법으로 지지력 확보_x000a_▶ 콘크리트 펌프카를 이용한 타설 작업 시 아웃트리거 손상 등에 의한 전도방지를 위해 아웃트리거 접지부 받침대 설치 등 실시_x000a_▶ 차량계 건설기계 사용 시 유도자를 배치하여 작업반경 내 근로자 접근 통제 실시"/>
  </r>
  <r>
    <n v="2"/>
    <x v="2"/>
    <x v="8"/>
    <x v="11"/>
    <s v="YES"/>
    <x v="3"/>
    <x v="9"/>
    <s v="해당없음"/>
    <s v="해당없음"/>
    <s v="해당없음"/>
    <s v="2018년 3월경"/>
    <d v="2018-03-01T00:00:00"/>
    <n v="3"/>
    <s v="-"/>
    <x v="0"/>
    <s v="2018년 3월경 (주)OO에서 시공중인 OO 신축공사 현장에서 협력업체 ㈜OO건설 소속 근로자인 재해자1(타설공)과 재해자2(타설공)이 콘크리트 펌프카 붐 끝에 달린 호스를 잡고 116동 지하1층 슬라브 콘크리트 타설작업 중 콘크리트 펌프카 전면부 좌측의 아웃트리거 하부 지반이 침하되고 받침목이 파단되면서 콘크리트 펌프카가 기울어져 펌프카의 붐에 맞아 피해자1은 사망, 피해자2는 부상"/>
    <s v="콘크리트 타설 작업 중 펌프카 아웃트리거 하부 지반이 침하되어 펌프카가 기울어지며 펌프카 붐대가 근로자 가격"/>
    <s v="▶ 콘크리트 펌프카를 이용한 타설 작업 시 지반·지층 상태 사전조사 및 다짐 등의 방법으로 지지력 확보_x000a_▶ 콘크리트 펌프카를 이용한 타설 작업 시 아웃트리거 손상 등에 의한 전도방지를 위해 아웃트리거 접지부 받침대 설치 등 실시_x000a_▶ 차량계 건설기계 사용 시 유도자를 배치하여 작업반경 내 근로자 접근 통제 실시"/>
  </r>
  <r>
    <n v="2"/>
    <x v="2"/>
    <x v="8"/>
    <x v="11"/>
    <s v="YES"/>
    <x v="3"/>
    <x v="9"/>
    <s v="해당없음"/>
    <s v="해당없음"/>
    <s v="해당없음"/>
    <s v="2018년 11월"/>
    <d v="2018-11-01T00:00:00"/>
    <n v="11"/>
    <s v="-"/>
    <x v="1"/>
    <s v="2018년 11월경 ㈜OO 주택재개발 정비사업 현장에서 골조공사 협력업체 OO건설(주) 소속 재해자가 119동 기초콘크리트 타설 작업을 위해 대기 중이던 레미콘 차량들의 차량 유도 중 116동과 타워크레인 2호기 사이에서 후진하는 레미콘 차량에 깔려 사망"/>
    <s v="콘크리트 타설 작업을 위해 대기중이던 레미콘 차량 유도 중 근로자가 후진하는 레미콘 차량에 깔림"/>
    <s v="▶ 차량계 건설기계 사용 시 위험구역 내 유도원의 배치로 근로자 출입 금지 및 차량계 건설기계 유도_x000a_▶ 장비간 충돌 및 협착 방지 등 접근한계거리 유지를 위한 안전한 구조의 스토퍼 등 설치_x000a_▶ 차량계 건설기계 운행 경로와 별도로 작업자들이 이동할 수 있는 안전통로 확보"/>
  </r>
  <r>
    <n v="2"/>
    <x v="2"/>
    <x v="8"/>
    <x v="11"/>
    <s v="YES"/>
    <x v="3"/>
    <x v="9"/>
    <s v="해당없음"/>
    <s v="해당없음"/>
    <s v="해당없음"/>
    <s v="2018년 12월"/>
    <d v="2018-12-01T00:00:00"/>
    <n v="12"/>
    <s v="혹한기"/>
    <x v="0"/>
    <s v="2018년 12월경 OO(주)에서 시공하는 OO 태양광발전소 전기저장장치(ESS) 기초공사 현장에서 협력업체 소속 재해자(콘크리트 타설공)가 콘크리트 타설 작업을 준비 하던 중,  콘크리트 펌프카의 압송관이 막히자 압송관 교체작업을 위해 클립의 볼트를 해지하는 순간 막혀있던 콘크리트가 갑자기 분출하여 재해자의 머리를 타격하여 사망 "/>
    <s v="콘크리트 타설 작업 준비 중 콘크리트 펌프카의 압송관이 막혀 압송관 교체작업을 위해 클립의 볼트를 해지하는 순간 막혀있던 콘크리트가 분출하여 근로자 가격"/>
    <s v="▶ 콘크리트 펌프용 압송관이 막혀 콘크리트 타설작업 중지 시 작업 중단 및 보수 실시_x000a_▶ 분출되는 콘크리트에 맞을 위험이 있는 장소에서는 작업내용에 적정한 개인 보호구 지급 및 착용"/>
  </r>
  <r>
    <n v="2"/>
    <x v="2"/>
    <x v="8"/>
    <x v="11"/>
    <s v="YES"/>
    <x v="3"/>
    <x v="9"/>
    <s v="해당없음"/>
    <s v="해당없음"/>
    <s v="해당없음"/>
    <s v="2018년 12월"/>
    <d v="2018-12-01T00:00:00"/>
    <n v="12"/>
    <s v="혹한기"/>
    <x v="1"/>
    <s v="2018년 12월경 OO건설(주) 복선전철 공사 현장에서 재해자(펌프카운전원)가 OO갱#1 내부 라이닝 콘크리트 타설 작업을 위해 설치된 펌프카 후미에서 후진하는 콘크리트 믹서트럭의 유도 작업 중 후진하는 믹서 트럭과 펌프카 사이에 끼어 사망"/>
    <s v="콘크리트 타설 작업을 위해 대기중이던 레미콘 차량 유도 중 근로자가 후진하는 레미콘 차량에 깔림"/>
    <s v="▶ 차량계 건설기계 사용 시 위험구역 내 유도원의 배치로 근로자 출입 금지 및 차량계 건설기계 유도_x000a_▶ 장비간 충돌 및 협착 방지 등 접근한계거리 유지를 위한 안전한 구조의 스토퍼 등 설치_x000a_▶ 차량계 건설기계 운행 경로와 별도로 작업자들이 이동할 수 있는 안전통로 확보"/>
  </r>
  <r>
    <n v="2"/>
    <x v="2"/>
    <x v="8"/>
    <x v="11"/>
    <s v="YES"/>
    <x v="3"/>
    <x v="9"/>
    <s v="해당없음"/>
    <s v="해당없음"/>
    <s v="해당없음"/>
    <s v="2019년 5월경"/>
    <d v="2019-05-01T00:00:00"/>
    <n v="5"/>
    <s v="-"/>
    <x v="0"/>
    <s v="2019년 5월경 일반산업단지 조성공사에서 재해자(타설공)가 절토사면부 도수로벽체 콘크리트 타설작업 중 지반 침하로 콘크리트 펌프카 아웃트리거 접지부가 지반 속으로 꺼지면서 동시에 펌프카 전면부가 앞으로 기울어져 순간적으로 하강한 붐 선단부위에 머리를 맞아 사망"/>
    <s v="콘크리트 타설 작업 중 펌프카 아웃트리거 하부 지반이 침하되어 펌프카가 기울어지며 펌프카 붐대가 근로자 가격"/>
    <s v="▶ 콘크리트 펌프카를 이용한 타설 작업 시 지반·지층 상태 사전조사 및 다짐 등의 방법으로 지지력 확보_x000a_▶ 콘크리트 펌프카를 이용한 타설 작업 시 아웃트리거 손상 등에 의한 전도방지를 위해 아웃트리거 접지부 받침대 설치 등 실시_x000a_▶ 차량계 건설기계 사용 시 유도자를 배치하여 작업반경 내 근로자 접근 통제 실시"/>
  </r>
  <r>
    <n v="2"/>
    <x v="2"/>
    <x v="8"/>
    <x v="11"/>
    <s v="YES"/>
    <x v="3"/>
    <x v="9"/>
    <s v="해당없음"/>
    <s v="해당없음"/>
    <s v="해당없음"/>
    <s v="2019년 10월"/>
    <d v="2019-10-01T00:00:00"/>
    <n v="10"/>
    <s v="-"/>
    <x v="0"/>
    <s v="2019년 10월경 ㈜OO이 시공하는 생산동 구축 1단계 공사 현장에서 협력업체 소속 재해자(타설공)가 콘크리트 펌프카(40ton) 엔드호스를 잡고 매트기초 슬라브 버림 콘크리트 타설작업 중 펌프카 후방 우측 아웃트리거 하부 지반이 침하되면서 펌프카가 기울어져 하강하는 붐(5단)에 맞아 사망"/>
    <s v="콘크리트 타설 작업 중 펌프카 아웃트리거 하부 지반이 침하되어 펌프카가 기울어지며 펌프카 붐대가 근로자 가격"/>
    <s v="▶ 콘크리트 펌프카를 이용한 타설 작업 시 지반·지층 상태 사전조사 및 다짐 등의 방법으로 지지력 확보_x000a_▶ 콘크리트 펌프카를 이용한 타설 작업 시 아웃트리거 손상 등에 의한 전도방지를 위해 아웃트리거 접지부 받침대 설치 등 실시_x000a_▶ 차량계 건설기계 사용 시 유도자를 배치하여 작업반경 내 근로자 접근 통제 실시"/>
  </r>
  <r>
    <n v="2"/>
    <x v="2"/>
    <x v="8"/>
    <x v="11"/>
    <s v="YES"/>
    <x v="3"/>
    <x v="9"/>
    <s v="해당없음"/>
    <s v="해당없음"/>
    <s v="해당없음"/>
    <s v="2020년 6월경"/>
    <d v="2020-06-01T00:00:00"/>
    <n v="6"/>
    <s v="혹서기"/>
    <x v="0"/>
    <s v="2020년 6월경 OO에서 시공하는 근린생활시설 신축공사현장에서 콘크리트 펌프카를 이용한 버림 콘크리트 타설을 완료한 후 붐(Boom, 총 4단 중 3단 접는 도중 사고발생)을 접는 순간, 유압실린더의 로드(Rod)가 전단파괴를 일으키며 파단되면서 붐이 구속력을 잃고 전방으로 펼쳐지면서 재해자(미장공)를 가격하여 사망"/>
    <s v="버림 콘크리트 타설 완료 후 펌프카 붐을 접는 순간 유압실린더의 로드가 전단파괴를 일으키며 파단되면서 붐이 구속력을 잃고 전방으로 펼쳐지면서 재해자를 가격"/>
    <s v="▶ 위험구역 내 근로자 출입금지_x000a_▶ 유도자 배치를 통한 근로자 출입통제 및 차량계 건설기계 유도"/>
  </r>
  <r>
    <n v="2"/>
    <x v="2"/>
    <x v="8"/>
    <x v="11"/>
    <s v="YES"/>
    <x v="3"/>
    <x v="9"/>
    <s v="해당없음"/>
    <s v="해당없음"/>
    <s v="해당없음"/>
    <s v="2020년 11월"/>
    <d v="2020-11-01T00:00:00"/>
    <n v="11"/>
    <s v="-"/>
    <x v="0"/>
    <s v="2020년 11월경 문화체험장 조성사업 현장에서 재해자(콘크리트공)가 기초 콘크리트 타설 작업 중 콘크리트 펌프카 아웃트리거가 지반 속으로 침하하면서 순간적으로 하강한 붐 선단부위에 깔려 사망"/>
    <s v="콘크리트 타설 작업 중 펌프카 아웃트리거 하부 지반이 침하되어 펌프카가 기울어지며 펌프카 붐대가 근로자 가격"/>
    <s v="▶ 콘크리트 펌프카를 이용한 타설 작업 시 지반·지층 상태 사전조사 및 다짐 등의 방법으로 지지력 확보_x000a_▶ 콘크리트 펌프카를 이용한 타설 작업 시 아웃트리거 손상 등에 의한 전도방지를 위해 아웃트리거 접지부 받침대 설치 등 실시_x000a_▶ 차량계 건설기계 사용 시 유도자를 배치하여 작업반경 내 근로자 접근 통제 실시"/>
  </r>
  <r>
    <n v="2"/>
    <x v="2"/>
    <x v="8"/>
    <x v="11"/>
    <s v="YES"/>
    <x v="3"/>
    <x v="9"/>
    <s v="해당없음"/>
    <s v="해당없음"/>
    <s v="해당없음"/>
    <s v="2021년 3월경"/>
    <d v="2021-03-01T00:00:00"/>
    <n v="3"/>
    <s v="-"/>
    <x v="0"/>
    <s v="2021년 3월경 (주)OO에서 시공하는 OO센터 신축현장에서 철근콘크리트 협력업체 OO(주) 소속 재해자가 지하4층 합벽 콘크리트 타설 중 복공판 상부에 설치되어있던 콘크리트 펌프카의 1단과 2단 붐대 연결부분 파단으로 인해 붐이 주저앉으면서 그 충격으로 붐 끝에 연결되어 있던 호스가 유동하면서 재해자를 타격하여 사망"/>
    <s v="지하층 합벽 콘크리트 타설 중 복공판 상부에 설치되어있던 콘크리트 펌프카의 1단과 2단 붐대 연결부분 파단으로 인해 붐이 주저앉으면서 붐 끝에 연결되어 있던 호스가 유동하여 재해자를 타격"/>
    <s v="▶ 콘크리트 펌프카를 사용하여 작업 시 아웃트리거 설치 길이 준수, 붐 각도, 타설 작업반경 검토 후 실시_x000a_▶ 차량계 건설기계를 사용하여 작업 시 붐∙암 등 작업장치가 파괴될 위험 방지를 위해 최대사용하중 준수_x000a_▶ 콘크리트 펌프카 사용 중 지반침하 방지를 위해 지반 허용지내력을 고려하여 아웃트리거 지지면적 확보 및 아웃트리거 하부에 철판으로 충분한 접지면 확보 후 작업"/>
  </r>
  <r>
    <n v="2"/>
    <x v="2"/>
    <x v="8"/>
    <x v="11"/>
    <s v="YES"/>
    <x v="3"/>
    <x v="14"/>
    <s v="해당없음"/>
    <s v="해당없음"/>
    <s v="해당없음"/>
    <s v="2021년 10월"/>
    <d v="2021-10-01T00:00:00"/>
    <n v="10"/>
    <s v="-"/>
    <x v="1"/>
    <s v="2021년 10월경 OO㈜ 용·배수로 개선사업 현장에서 OO중기 소속 재해자(운전자)가 콘크리트 타설 현장에 도착하여 콘크리트 믹서트럭을 경사로(경사도 8.25˚)에 정차하고 콘크리트 타설 작업 중 제동장치 이상으로 미끄러지면서 바퀴에 깔려 사망"/>
    <s v="콘크리트 타설을 위해 대기 중인 콘크리트 믹서트럭이 제동장치 이상으로 미끄러지며 근로자 깔림"/>
    <s v="▶ 차량계 건설기계를 사용하여 작업 시 작업 전 관리감독자가 브레이크 및 클러치 등의 기능 점검_x000a_▶ 경사로에서 차량계 건설기계에 탑승하여 대기 시 사이드브레이크 체결 및 고임목 설치 등 미끄러짐 방지"/>
  </r>
  <r>
    <n v="2"/>
    <x v="2"/>
    <x v="8"/>
    <x v="11"/>
    <s v="YES"/>
    <x v="3"/>
    <x v="9"/>
    <s v="해당없음"/>
    <s v="해당없음"/>
    <s v="해당없음"/>
    <s v="2021년 10월"/>
    <d v="2021-10-01T00:00:00"/>
    <n v="10"/>
    <s v="-"/>
    <x v="2"/>
    <s v="2021년 10월경 OO(주) OO공장 반도체 제조설비 OO(주) 신축공사 현장에서 철근콘크리트공사 협력업체인 OO건설(주)의 수급업체인 탑중기 소속 재해자(콘크리트 펌프카 기사)가 모르타르(mortar) 타설 종료 후 펌프카 배관 내부에 남은 잔여 모르타르를 콘크리트 믹서트럭에 회수하기 위해 믹서트럭 계단에 올라가 작업 중 믹서트럭 호퍼 투입된 펌프카 고무호스가 갑자기 요동치며 허공으로 튀어올라 재해자를 타격하여 높이 2.6m에서 추락하여 사망"/>
    <s v="콘크리트 펌프카 기사가 타설 종료 후 펌프카 배관 내부에 남은 잔여 모르타르를 콘크리트 믹서트럭에 회수하기 위해 믹서트럭 계단에 올라가 작업 중 믹서트럭 호퍼 투입된 펌프카 고무호스가 갑자기 요동치며 허공으로 튀어올라 재해자를 타격하여 추락"/>
    <s v="▶ 콘크리트펌프카 호스의 갑작스러운 요동 시 작업을 즉시 중지시키고 상태점검_x000a_▶ 믹서트럭 계단에 올라서는 등 불안정한 자세에서 작업금지_x000a_▶ 콘크리트펌프카 주변의 근로자 가격 위험 장소에는 근로자 출입 금지 및 유도자 배치"/>
  </r>
  <r>
    <n v="3"/>
    <x v="3"/>
    <x v="9"/>
    <x v="36"/>
    <s v="YES"/>
    <x v="3"/>
    <x v="5"/>
    <s v="12대 기인물"/>
    <n v="12"/>
    <n v="2.3E-2"/>
    <s v="2016년 3월경"/>
    <d v="2016-03-01T00:00:00"/>
    <n v="3"/>
    <s v="-"/>
    <x v="0"/>
    <s v="2016년 3월경 OO이 시공하는 OO공장 신축공사 현장에서 재해자가 철골보 위에서 월브레이싱을 조립하기 위해 대기하던 중 이동식크레인(25톤)으로 인양한 월브레이싱이 튕기면서 재해자를 강타하여 지상 1층 바닥으로 떨어져(높이≒7.5m) 사망"/>
    <s v="철골보 위에서 윌브레이싱을 조립하기 위해 대기하던 중, 이동식크레인으로 인양한 윌브레이싱이 튕기면서 근로자 강타 "/>
    <s v="▶ 철골빔 위에서 윌브레이싱 설치를 위해 고소작업 시 추락방망 설치, 고소작업대 사용 등 추락방지조치 실시_x000a_▶ 추락위험이 있는 장소에서 작업 시 안전대 부착설비 및 안전대 착용_x000a_▶ 철골부재에 끼인 윌브래이싱 분리 시 튕김 방지를 위해 인력으로 지렛대 등을 확용하여 작업 실시"/>
  </r>
  <r>
    <n v="3"/>
    <x v="3"/>
    <x v="9"/>
    <x v="36"/>
    <s v="YES"/>
    <x v="3"/>
    <x v="6"/>
    <s v="12대 기인물"/>
    <n v="9"/>
    <n v="3.4000000000000002E-2"/>
    <s v="2018년 4월경"/>
    <d v="2018-04-01T00:00:00"/>
    <n v="4"/>
    <s v="-"/>
    <x v="3"/>
    <s v="2018년 4월경 OO건축에서 시공하는 ㈜OO 휴게공간 설치 및 마당포장 현장에서 휴게공간 설치 작업후 반출하는 잔여 자재를 상차한 1톤 트럭을 이동시키던 중 상차된 자재와 함께 적재함 위에 있던 재해자가 떨어지면서 동시에 낙하된 자재에 깔려 사망"/>
    <s v="휴게공간 설치 작업후 반출하는 잔여 자재를 상차한 1톤 트럭을 이동시키는 중 트럭에 고정되지 않은 상태로 상차되어 있던 자재가 미끄러지면서 적재함에 탑승하고 있던 피재자와 함께 트럭 하부로 낙하"/>
    <s v="▶ 화물자동차 적재함에 근로자 탑승 금지"/>
  </r>
  <r>
    <n v="3"/>
    <x v="3"/>
    <x v="9"/>
    <x v="13"/>
    <s v="YES"/>
    <x v="3"/>
    <x v="7"/>
    <s v="해당없음"/>
    <s v="해당없음"/>
    <s v="해당없음"/>
    <s v="2016년 8월경"/>
    <d v="2016-08-01T00:00:00"/>
    <n v="8"/>
    <s v="혹서기"/>
    <x v="0"/>
    <s v="2016년 8월경 OO근린생활 신축공사에 설치 될 H-beam을 제작 작업 중 H-beam 전면부 용접을 완료하고 뒤집어 후면부를 용접하기 위해 하카를 이용하여 걸어 넘기는 과정에서 하카를 빼지 못하고 길이 185cm의 하카에 재해자가 안면부를 강타당하여 사망(추정)"/>
    <s v="H빔을 제작 작업 중 H빔 전면부 용접을 완료하고 후면부 용접하기 위해 하카를 이용하여 걸어 넘기는 과정에서 하카를 빼지 못하여 하카에 의해 근로자 안면부 강타"/>
    <s v="▶ H-beam 용접 및 인양 작업 시 낙하, 맞음 등의 위험과 하카를 이용하여 중량물을 뒤집는 등에 작업 시 맞음 등의 위험발생가능성이 있어 개인 보호구 착용_x000a_▶ 중량물 인양 시 리프트, 크레인 등 차량용 건설기계의 활용으로 인재 방지"/>
  </r>
  <r>
    <n v="3"/>
    <x v="3"/>
    <x v="9"/>
    <x v="13"/>
    <s v="YES"/>
    <x v="3"/>
    <x v="5"/>
    <s v="12대 기인물"/>
    <n v="12"/>
    <n v="2.3E-2"/>
    <s v="2019년 8월경"/>
    <d v="2019-08-01T00:00:00"/>
    <n v="8"/>
    <s v="혹서기"/>
    <x v="3"/>
    <s v="2019년 8월경 OO(주) OO물류센터 공장 증축공사 현장에서 철골공사 하청업체인 ㈜OO건설 소속의 재해자(철골공)가 철골부재 양중작업을 위해 공장동 외부에서 이동식 크레인(45톤)의 보조붐 설치작업 중 메인붐에 지지되어 있던 보조붐(L=9m)이 이탈하여 낙하하면서 재해자를 덮쳐 협착되어 사망"/>
    <s v="철골부재 양중작업을 위해 이동식크레인 보조붐 설치작업 중 기계적 결함 보다는 보조붐 설치작업 과정에서 문제가 발생하여 메인붐에 지지되어 있는 보조붐이 이탈하여 근로자에게 낙하 "/>
    <s v="▶ 이동식 크레인 보조붐 장착을 위한 기계의 운전을 시작할 때 근로자가 위험해질 우려가 있으면 근로자의 배치 및 교육, 작업방법, 방호장치 등 필요한 사항을 미리 확인 후 위험방지를 위해 필요한 조치를 해야 함"/>
  </r>
  <r>
    <n v="3"/>
    <x v="3"/>
    <x v="9"/>
    <x v="13"/>
    <s v="YES"/>
    <x v="3"/>
    <x v="5"/>
    <s v="12대 기인물"/>
    <n v="12"/>
    <n v="2.3E-2"/>
    <s v="2020년 5월경"/>
    <d v="2020-05-01T00:00:00"/>
    <n v="5"/>
    <s v="-"/>
    <x v="2"/>
    <s v="2020년 5월경 OO공장 신축공사 현장에서 크레인 보(Girder) 조립작업 중 이동식크레인(45ton)이 넘어지면서 크레인 보(약 7.7ton)가 고소작업대에 부딪히고, 고소작업대(작업대 높이 약 11m)가 넘어지면서 탑승중인 재해자가 바닥에 부딪혀 사망"/>
    <s v="크레인 보(Girder) 조립작업 중 이동식 크레인의 과부하방지장치가 작동하지 않고, 허용하중을 초과하여 이동식크레인이 넘어지면서 크레인 보가 고소작업대에 부딪히고 고소작업대가 넘어지면서 근로자 추락"/>
    <s v="▶ 이동식크레인 사용 시 과부하방지장치 등의 정상적으로 작동될 수 있도록 사전에 조정 및 점검 실시_x000a_▶ 이동식크레인의 가동 범위를 고려하여 인양 가능한 위치에서 작업 실시_x000a_▶ 이동식크레인 사용 시 사전에 지반 다짐 등의 방법으로 지내력 확보 및 아웃트리거 상태 점검 실시"/>
  </r>
  <r>
    <n v="4"/>
    <x v="4"/>
    <x v="10"/>
    <x v="37"/>
    <s v="YES"/>
    <x v="3"/>
    <x v="13"/>
    <s v="해당없음"/>
    <s v="해당없음"/>
    <s v="해당없음"/>
    <s v="2017년 2월경"/>
    <d v="2017-02-01T00:00:00"/>
    <n v="2"/>
    <s v="혹한기"/>
    <x v="6"/>
    <s v="2017년 2월경 OO신축공사에서 지하 2층 주차장 내에서 조적용 시멘트 블럭을 운반하기 위해 지게차를 운전하던 중 지하주차장 기둥과 지게차 사이에 끼여 사망"/>
    <s v="지게차 운전자격이 없는 근로자가 조적자재를 운반하기 위해 지게차를 운전하던 중 주차장 기둥과 지게차 사이에 끼임"/>
    <s v="▶ 지게차 운전원의 자격(「건설기계관리법」에 따른 면허) 확인 철저, 무자격자 운전 금지_x000a_▶ 차량계하역운반기계 작업 또는 이동 시 유도자 배치 및 작업반경 내 접근통제 조치"/>
  </r>
  <r>
    <n v="4"/>
    <x v="4"/>
    <x v="10"/>
    <x v="37"/>
    <s v="YES"/>
    <x v="3"/>
    <x v="13"/>
    <s v="해당없음"/>
    <s v="해당없음"/>
    <s v="해당없음"/>
    <s v="2019년 6월경"/>
    <d v="2019-06-01T00:00:00"/>
    <n v="6"/>
    <s v="혹서기"/>
    <x v="6"/>
    <s v="2019년 6월경 OO재개발 공사에서 레미탈을 이동시키기 위해 지게차에 레미탈을 인양한 상태에서 경사로에 정차시킨 후 하차하여, 적치장소를 찾던 중 지게차가 뒤로 밀리는 것을 인지하고 정지시키려다, 지게차 앞바퀴에 깔려 사망"/>
    <s v="지게차에 레미탈을 인양한 상태에서 경사로에 정차시킨 후 적치장소를 찾던 중 지게차가 뒤로 밀리면서 지게차 앞바퀴에 끼임"/>
    <s v="▶ 지게차 주ㆍ정차 시 평탄하고 정해진 지역에 주ㆍ정차 실시 후 포크를 바닥까지 완전히 내리는 조치 실시_x000a_▶ 차량계 하역운반 기계 등 사용하는 작업 시 유도하는 사람 배치 준수 _x000a_▶ 작업을 시작하는 경우 신호방법에 따라 근로자에게 신호를 인지토록 조치"/>
  </r>
  <r>
    <n v="4"/>
    <x v="4"/>
    <x v="10"/>
    <x v="37"/>
    <s v="YES"/>
    <x v="3"/>
    <x v="5"/>
    <s v="12대 기인물"/>
    <n v="12"/>
    <n v="2.3E-2"/>
    <s v="2020년 10월"/>
    <d v="2020-10-01T00:00:00"/>
    <n v="10"/>
    <s v="-"/>
    <x v="8"/>
    <s v="2020년 10월경 OO조성공사 옥상에서 자재 반출을 위해 자재결속과 신호업무를 수행하던 중,크레인으로 자재를 들어 올리는 순간 크게 흔들리는 자재에 재해자가 매달렸고, 그 상태로 엘리베이터 기계실 외벽에 충돌하여 사망 "/>
    <s v="옥상에서 자재 반출을 위해 자재결속과 신호업무를 수행하던 중 크레인으로 자재를 들어 올리는 순간 크게 흔들리는 자재에 근로자가 매달렸고 그 상태로 엘리베이터 기계실 외벽에 충돌"/>
    <s v="▶ 크레인을 사용한 중량물 취급 작업 시 전담 신호수 배치 및 관련 근로자에게 일정한 신호방법 주지_x000a_▶ 크레인을 사용하여 자재 인양 시 자재 무게중심 파악 후 인양물을 양중하여 자재 흔들림 등 방지_x000a_▶ 크레인을 사용하여 중량물 인양 시 작업 하부면에 근로자 출입 통제"/>
  </r>
  <r>
    <n v="4"/>
    <x v="4"/>
    <x v="10"/>
    <x v="38"/>
    <s v="YES"/>
    <x v="3"/>
    <x v="4"/>
    <s v="12대 기인물"/>
    <n v="5"/>
    <n v="4.9000000000000002E-2"/>
    <s v="2016년 10월"/>
    <d v="2016-10-01T00:00:00"/>
    <n v="10"/>
    <s v="-"/>
    <x v="2"/>
    <s v="2016년 10월경 OO신축공사에서 기존건물 철거·해체작업으로 파손된 옆집 건물 블럭벽체 보수(블럭 제거·쌓기 및 미장) 작업을 하기 위하여 굴삭기(버켓용량: 0.2㎥) 버켓에 올라서서 작업장소로 이동하던중 몸의 균형을 잃고 지상1층 바닥으로 추락하여(H≒2.4M) 사망"/>
    <s v="블록벽체 보수 작업을 위하여 굴삭기 버켓에 탑승하여 이동 중 몸의 균형을 잃고 바닥으로 추락"/>
    <s v="▶ 굴착기 주용도외 사용금지(근로자 탑승 금지)_x000a_▶ 작업높이에 적합한 작업발판(비계, 이동식비계, 고소작업대 등) 설치 및 사용 준수_x000a_▶ 작업장소로 이동하기 위한 안전한 작업통로 설치"/>
  </r>
  <r>
    <n v="4"/>
    <x v="4"/>
    <x v="10"/>
    <x v="38"/>
    <s v="YES"/>
    <x v="3"/>
    <x v="13"/>
    <s v="해당없음"/>
    <s v="해당없음"/>
    <s v="해당없음"/>
    <s v="2020년 11월"/>
    <d v="2020-11-01T00:00:00"/>
    <n v="11"/>
    <s v="-"/>
    <x v="2"/>
    <s v="2020년 11월 OO신축공사에서 1층 AD(Air Duct)구간 벽체 조적작업 중, AD(Air Duct)구간에 근접해 있던 지게차(3ton,벽돌 양중용) 포크의 파렛트(1.1m× 1.1m,목재) 상단(H=1.8m)을 이동하는 과정에서 몸의 중심을 잃고 AD(Air Duct, 2.1m×1.07m) 내부 지하 1층 바닥(H=7.8m)으로 추락하여 사망"/>
    <s v="덮개가 설치되지 않은 환기용 개구부 단부에서 화단조성용 조적자재를 운반하던 중 몸의 균형을 잃고 개구부로 추락"/>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_x000a_▶ 추락방지망 또는 안전난간 설치가 어려운 경우, 안전대 부착설비를 설치하고 안전대 체결 후 작업토록 관리감독"/>
  </r>
  <r>
    <n v="4"/>
    <x v="4"/>
    <x v="10"/>
    <x v="38"/>
    <s v="YES"/>
    <x v="3"/>
    <x v="11"/>
    <s v="해당없음"/>
    <s v="해당없음"/>
    <s v="해당없음"/>
    <s v="2021년 4월경"/>
    <d v="2021-04-01T00:00:00"/>
    <n v="4"/>
    <s v="-"/>
    <x v="6"/>
    <s v="2021년 4월경 OO신축공사에서 현장 건너편 빌딩의 담장 조적 모르타르 줄눈 작업을 하던 중 인접한 아파트 지상 주차장에서 후진으로 나와 회전하던 일반 차량과 충돌하면서 차량과 담장 사이에 끼어 사망"/>
    <s v="외벽 조적 모르타르 줄눈 작업을 하던 중 인접한 지상 주차장에서 후진으로 나와 회전하던 일반 차량과 부딪히면서 차량과 담장 사이에 끼임"/>
    <s v="▶ 작업장소에 건설기계장비 또는 일반차량 등과 충돌할 우려가 있는 경우 출입통제 조치 또는 유도자 배치_x000a_▶ 작업구간 구획 및 공사 안내(진행) 표지판 설치"/>
  </r>
  <r>
    <n v="4"/>
    <x v="4"/>
    <x v="10"/>
    <x v="15"/>
    <s v="YES"/>
    <x v="3"/>
    <x v="7"/>
    <s v="해당없음"/>
    <s v="해당없음"/>
    <s v="해당없음"/>
    <s v="2017년 2월경"/>
    <d v="2017-02-01T00:00:00"/>
    <n v="2"/>
    <s v="혹한기"/>
    <x v="2"/>
    <s v="2017년 2월경 OO신축공사에서 곤돌라에 탑승하여 건물(배면부) 9층 외벽 미장작업(보조)을 진행하던 중 재해자 정관섭이 몸의 균형을 잃고 곤돌라와 건물 사이로 추락하여(H≒30m) 사망"/>
    <s v="곤돌라에 탑승하여 외벽 미장작업을 하던 중 몸의 균형을 잃고 난간대가 설치되지 않은 곤돌라 전면부로 추락 "/>
    <s v="▶ 곤돌라 전면부 안전난간대 설치 철저_x000a_▶ 곤돌라 작업 시 구명줄 설치 및 안전대 착용ㆍ연결 철저 "/>
  </r>
  <r>
    <n v="4"/>
    <x v="4"/>
    <x v="11"/>
    <x v="16"/>
    <s v="YES"/>
    <x v="3"/>
    <x v="5"/>
    <s v="12대 기인물"/>
    <n v="12"/>
    <n v="2.3E-2"/>
    <s v="2018년 3월경"/>
    <d v="2018-03-01T00:00:00"/>
    <n v="3"/>
    <s v="-"/>
    <x v="2"/>
    <s v="2018년 3월경 상가주택 리모델링(옥상방수)공사」 현장에서 재해자(잡부)가 건물 3층 옥탑에서 물탱크를 운반하기 위해 이동식 크레인으로 인양(1줄걸이) 작업 중 인양된 물탱크가 흔들리며 재해자를 가격하여 몸의 중심을 잃고 지상 콘크리트 바닥(H≒12.5m)으로 떨어져 사망"/>
    <s v="옥탑에서 물탱크를 운반하기 위해 이동식 크레인으로 인양(1줄걸이) 작업 중 인양된 물탱크가 흔들리며 재해자를 가격하여 몸의 중심을 잃고 지상 콘크리트 바닥으로 추락"/>
    <s v="▶ 차량계 하역운반기계를 사용하여 중량물 취급하는 작업 시 중량물의 취급방법, 인양장비의 재원 능력에 맞는 작업방식 지휘_x000a_▶ 차량계 하역운반기계 등을 사용하여 작업 시 운반 중인 화물 등에 의한 충돌 방지를 위해 근로자 출입 금지"/>
  </r>
  <r>
    <n v="4"/>
    <x v="4"/>
    <x v="38"/>
    <x v="78"/>
    <s v="YES"/>
    <x v="3"/>
    <x v="7"/>
    <s v="해당없음"/>
    <s v="해당없음"/>
    <s v="해당없음"/>
    <s v="2016년 4월경"/>
    <d v="2016-04-01T00:00:00"/>
    <n v="4"/>
    <s v="-"/>
    <x v="0"/>
    <s v="2016년 4월경 OO신축공사에서 지하 2층 엘리베이터 및 복도 외벽 마감 작업용 타일 자재 박스(40.5kg, 120×60cm)를 인양벨트로 묶어 윈치(전동식 호이스트)에 걸어 지상5층으로 인양 작업을 하던중 인양벨트가 윈치(전동식 호이스트, 250kg) 후크(Hook)에서 이탈하여 타일 자재 박스가 낙하하면서 맞아 사망"/>
    <s v="전동 호이스트로 자재(타일박스)를 상부로 인양하던 중 인양벨트가 윈치 후크에서 이탈하여 낙하하는 자재가 하부에서 작업중이던 근로자를 강타"/>
    <s v="▶ 전동 호이스트 등을 사용하여 자재인양 시 훅 이탈장비 장치의 설치 유무 및 인양벨트 걸이 상태 점검_x000a_▶ 전동 호이스트 등을 사용하여 자재인양 시 작업반경 내 작업자의 출입 금지조치"/>
  </r>
  <r>
    <n v="4"/>
    <x v="4"/>
    <x v="38"/>
    <x v="78"/>
    <s v="YES"/>
    <x v="3"/>
    <x v="13"/>
    <s v="해당없음"/>
    <s v="해당없음"/>
    <s v="해당없음"/>
    <s v="2016년 4월경"/>
    <d v="2016-04-01T00:00:00"/>
    <n v="4"/>
    <s v="-"/>
    <x v="1"/>
    <s v="2016년 4월경 OO아파트 건설공사 현장에서 재해자(지게차 운전원)가 지게차로 테라조 타일자재를 하역하고 후진하던 중 맨홀 설치 후 되메우기가 완료되지 않은 굴착부위(깊이 약 50cm)로 뒷바퀴가 빠지면서 넘어진 지게차에 깔려 사망"/>
    <s v="지게차로 타일자재를 하역한 후 후진하던 중 맨홀 굴착부위에 빠져 지게차가 전도되면서 깔림"/>
    <s v="▶ 지게차 등 건설기계 사용 시, 작업통로 내 지반환경(경사면, 웅덩이, 자재 등)으로 인한 장비의 넘어짐, 구름 등을 방지하기 위해 지반 평탄화(철판 및 합판 설치, 흙 메움 등), 주변 환경 정리 등의 안전조치 실시_x000a_▶ 지게차 등 건설기계 사용 시 별도의 유도자를 배치하여 안전사고에 대비"/>
  </r>
  <r>
    <n v="4"/>
    <x v="4"/>
    <x v="21"/>
    <x v="40"/>
    <s v="YES"/>
    <x v="3"/>
    <x v="5"/>
    <s v="12대 기인물"/>
    <n v="12"/>
    <n v="2.3E-2"/>
    <s v="2016년 7월경"/>
    <d v="2016-07-01T00:00:00"/>
    <n v="7"/>
    <s v="혹서기"/>
    <x v="2"/>
    <s v="2016년 7월경 OO기숙사 계단 빗물막이용 처마지붕 설치공사 현장에서 재해자가 처마지붕 지지재의 용접부분에 녹막이방지 페인트 도포를 위하여 이동식크레인 탑승설비에 탑승하여 지브를 상승시켜 작업장소로 선회하는 순간 탑승설비가 지브 브라켓에서 탈락하여 지상으로 떨어져(H≒14m) 사망"/>
    <s v="지붕 지지재 용접부위에 녹방이방지 페인트를 도포하기 위해 크레인 탑승설비에 탑승 후, 작업장소로 선회하는 순간, 탑승설비가 지브 브라켓에서 탈락하여 바닥으로 추락"/>
    <s v="▶ 이동식크레인 등 건설기계 사용 시, 본래의 목적 외 사용 금지_x000a_▶ 이동식크레인에 부득이하게 탑승설비를 부착하는 경우 작업 시작 전 탑승설비와 지브 브라켓 하부의 연결핀 체결상태 및 아웃트리거, 안전장치 이상유무 확인_x000a_▶ 추락위험이 있는 고소작업 시 작업자가 타고 작업하지 않도록 하중감지장치, 모멘트감지장치 등 부착 및 작업대가 부착된 고소작업대 사용"/>
  </r>
  <r>
    <n v="4"/>
    <x v="4"/>
    <x v="12"/>
    <x v="18"/>
    <s v="YES"/>
    <x v="3"/>
    <x v="11"/>
    <s v="해당없음"/>
    <s v="해당없음"/>
    <s v="해당없음"/>
    <s v="2017년 12월"/>
    <d v="2017-12-01T00:00:00"/>
    <n v="12"/>
    <s v="혹한기"/>
    <x v="8"/>
    <s v="2017년 12월경 재해자(전두성)가 배수로 스틸그레이팅의 설치 작업 전에 작업위치인 배수로로 이동하기 위해 임의로 분리 개방된 방음벽의 임시 출입구(개구부)를 통해 외부에서 내부로 진입 후 신호케이블 덕트 위에서 폭 1.9m의 배수로를 선로와 수직방향으로 뛰어 넘다가 상행선으로 운행 중인 전동열차와 부딪혀 사망한 재해임."/>
    <s v="작업위치로 이동하기 위해 작업통로가 아닌 임시 개구부로 이동하던 중 운행 중인 열차와 충돌"/>
    <s v="▶ 근로자가 안전하게 이동할 수 있는 작업통로 확보_x000a_▶ 운행중인 철도 선로에 출입금지 조치 및 근로자 교육 철저_x000a_▶ 운행중인 철도 주변에서 작업 시 신호수 또는 열차감시원 배치_x000a_▶ 개인보호구 및 안전 휴대용품(열차감시용 무전기, 호루라기, 경보기, 손전등) 지급 및 착용상태 확인"/>
  </r>
  <r>
    <n v="4"/>
    <x v="4"/>
    <x v="13"/>
    <x v="19"/>
    <s v="YES"/>
    <x v="3"/>
    <x v="13"/>
    <s v="해당없음"/>
    <s v="해당없음"/>
    <s v="해당없음"/>
    <s v="2016년 7월경"/>
    <d v="2016-07-01T00:00:00"/>
    <n v="7"/>
    <s v="혹서기"/>
    <x v="0"/>
    <s v="2016년 7월경 OO(주) OO아파트 신축공사 현장 102동 앞 중앙도로에서 지게차로 하역하던 석고보드 자재 더미가 지나가던 재해자(석재반장)에게 떨어져 사망"/>
    <s v="화물트럭 적재함에서 지게차를 이용한 하역 작업 중 지게차 포크가 자재 하부에 충분히 들어가지 않은 상태에서 무리하게 들어올리는 순간 전도되면서 화물차 후면을 지나던 재해자가 맞음 "/>
    <s v="▶ 사전 하역운반기계에 대한 작업계획서를 수립하고, 화물의 낙하 위험구간에 작업자 접근금지 등의 조치를 실시_x000a_▶ 화물 하역 전 적재상태가 불량하여 지게차로 하역이 곤란할 경우, 무리한 하역을 지양하고 크레인 등의 다른 하역 방법으로 검토 "/>
  </r>
  <r>
    <n v="4"/>
    <x v="4"/>
    <x v="13"/>
    <x v="19"/>
    <s v="YES"/>
    <x v="3"/>
    <x v="13"/>
    <s v="해당없음"/>
    <s v="해당없음"/>
    <s v="해당없음"/>
    <s v="2016년 10월"/>
    <d v="2016-10-01T00:00:00"/>
    <n v="10"/>
    <s v="-"/>
    <x v="6"/>
    <s v="2016년 10월경 OO교 보수공사 현장에서 OO건설(주) 소속 재해자(보통인부)가 연마재가 담긴 마대자루를 지게차 포크에 매달아 하역 운반 작업 중 지게차가 전도되면서 지게차 헤드가드에 목 부위가 협착되어 사망"/>
    <s v="지게차 포크에 자재 마대자루를 매달아 포크를 인양한 상태에서 지게차를 후진 및 회전하는 순간 편심이 발생하여 전도되면서 지게차 헤드가드에 재해자 목이 끼임"/>
    <s v="▶ 차랑계 하역운반기계 작업 전 사전조사 및 작업계획서 수립을 통해 작업 구간의 지반 및 환경 상태 점검_x000a_▶ 차랑계 하역운반기계 작업 시, 운전자의 좌석 안전띠 착용여부 및 면허 소지여부 등 점검"/>
  </r>
  <r>
    <n v="4"/>
    <x v="4"/>
    <x v="13"/>
    <x v="19"/>
    <s v="YES"/>
    <x v="3"/>
    <x v="7"/>
    <s v="해당없음"/>
    <s v="해당없음"/>
    <s v="해당없음"/>
    <s v="2018년 7월경"/>
    <d v="2018-07-01T00:00:00"/>
    <n v="7"/>
    <s v="혹서기"/>
    <x v="2"/>
    <s v="2018년 7월경 ㈜OO종합건설 OO신축공사 현장에서 재해자가 9층 창호 주변에 설치된 이삿짐 운반용 리프트(일명 사다리차) 운반구 위에서 자재 하역운반작업 중, 몸의 중심을 잃고 약 25.7m 아래 외부비계 2층 작업발판 위로 추락하여 사망"/>
    <s v="사다리차 위에서 도장작업 중, 고소작업대 상부난간대가 이탈되어 근로자가 몸의 중심을 잃고 추락"/>
    <s v="▶ 이삿짐 운반용 사다리차의 목적 외 사용금지_x000a_▶ 이삿짐 운반용 사다리차의 경우 작업자 탑승금지"/>
  </r>
  <r>
    <n v="4"/>
    <x v="4"/>
    <x v="13"/>
    <x v="42"/>
    <s v="YES"/>
    <x v="3"/>
    <x v="5"/>
    <s v="12대 기인물"/>
    <n v="12"/>
    <n v="2.3E-2"/>
    <s v="2018년 8월경"/>
    <d v="2018-08-01T00:00:00"/>
    <n v="8"/>
    <s v="혹서기"/>
    <x v="0"/>
    <s v="2018년 8월경 OO(주)이 시공하는 OO(주) OO공장 증축공사 현장에서 패널공 2명이 벽체 고정용 철골에 서서 이동식 크레인에 가로방향으로 2줄걸이 한 벽체용 우레탄 패널(길이 9m×폭 1m, 두께 75mm, 중량 125kg)을 잡고 패널과 패널의 홈에 맞춰 끼우는 작업을 하던 중 패널 한쪽 줄걸이 인양용 훅(철근 D10, L=25cm, J형태)이 이탈되어 패널이 출렁거리면서 다른 줄걸이 쪽으로 쏠려 곧바로 나머지 훅도 이탈되어 패널이 바닥으로 떨어진 후(9m) 왼쪽으로 넘어져 지상에서 패널 인양을 준비하던 재해자(패널공)의 얼굴과 가슴을 강타하여 사망 "/>
    <s v="이동식크레인 작업 중 해지장치가 없는 훅에 자재를 결속하여 인양하는 과정에서 자재가 훅에서 이탈, 낙하하면서 재해자가 맞음"/>
    <s v="▶ 작업 전 사전조사 및 작업계획서 수립을 통해 장비 배치구간 선정 및 중량물 취급 시 줄걸이 방식 등을 계획_x000a_▶ 시야확보가 어려운 상황에서 크레인을 이용해 자재를 인양할 경우, 사전에 적절한 신호체계를 구축_x000a_▶ 자재 인양 시 훅 해지장치 등 이탈방지 장치 설치 및 정상작동 여부를 확인하고, 인양 전 관리감독자가 인양물과의 결합 상태 점검 등의 조치_x000a_▶ 크레인으로 자재 인양 시, 인양물의 형상과 재료적 특성에 따른 적절한 줄걸이 방법 사용_x000a_▶ 인양 작업 시 인양물이 낙하할 수 있는 작업반경 내 근로자 출입금지 조치"/>
  </r>
  <r>
    <n v="4"/>
    <x v="4"/>
    <x v="13"/>
    <x v="42"/>
    <s v="YES"/>
    <x v="3"/>
    <x v="6"/>
    <s v="12대 기인물"/>
    <n v="9"/>
    <n v="3.4000000000000002E-2"/>
    <s v="2020년 4월경"/>
    <d v="2020-04-01T00:00:00"/>
    <n v="4"/>
    <s v="-"/>
    <x v="2"/>
    <s v="2020년 4월경 OO(주) 소속 재해자가 가좌분뇨처리시설 증설공사 현장에 단열재를 납품하기 위해 4.5톤 트럭을 운전하여 도착한 후 트럭 적재물(단열재) 상부에서 하역작업 중 중심을 잃고 약 2m 아래 지면으로 추락하여 사망"/>
    <s v="트럭 적재함 상부에서 자재 하역 작업 중 밟고 있던 자재가 기울면서 몸의 중심을 잃고 바닥으로 추락"/>
    <s v="▶ 차량계 하역운반기계에 대한 사전 작업계획서 수립_x000a_▶ 자재 하역 시 적재함, 자재 위로 무리한 탑승을 금지하고, 부득이하게 탑승해야할 경우 안전대 부착설비 설치 등 추락방지조치를 취한 후 탑승하도록 조치_x000a_▶ 근로자 개인보호구 착용상태 점검 및 관리감독"/>
  </r>
  <r>
    <n v="4"/>
    <x v="4"/>
    <x v="14"/>
    <x v="43"/>
    <s v="YES"/>
    <x v="3"/>
    <x v="6"/>
    <s v="12대 기인물"/>
    <n v="9"/>
    <n v="3.4000000000000002E-2"/>
    <s v="2019년 5월경"/>
    <d v="2019-05-01T00:00:00"/>
    <n v="5"/>
    <s v="-"/>
    <x v="2"/>
    <s v="2019년 5월경 개인이 직영으로 시공하는 신축공사(축사) 현장에서 지붕재(칼라강판) 납품업체 소속 차량 운전원인 재해자가 축사 지붕재 하역 작업을 돕고 있던 중 지붕재와 함께 콘크리트 바닥으로 떨어져(H:약1.02m) 사망"/>
    <s v="트럭 적재함 상부에서 자재 하역 작업 중 발을 헛디뎌 추락"/>
    <s v="▶ 차량계 하역운반기계에 대한 사전 작업계획서 수립_x000a_▶ 자재 하역 시 적재함, 자재 위로 무리한 탑승을 금지하고, 부득이하게 탑승해야할 경우 안전대 부착설비 설치 등 추락방지조치를 취한 후 탑승하도록 조치_x000a_▶ 근로자 개인보호구 착용상태 점검 및 관리감독"/>
  </r>
  <r>
    <n v="4"/>
    <x v="4"/>
    <x v="14"/>
    <x v="20"/>
    <s v="YES"/>
    <x v="3"/>
    <x v="5"/>
    <s v="12대 기인물"/>
    <n v="12"/>
    <n v="2.3E-2"/>
    <s v="2015년 12월"/>
    <d v="2015-12-01T00:00:00"/>
    <n v="12"/>
    <s v="혹한기"/>
    <x v="2"/>
    <s v="2015년 12월경 OO(주)에서 시공 중인 자동차관련시설신축공사 현장에서 재해자(패널조립공)가 동료 작업자 3명과 함께 지붕상부(높이: 약 7.6m)에서 패널설치작업을 하던 중 패널양중에 사용된 로프에 왼손목이 감기면서 이동식 크레인에 의해 순간적으로 끌려올라가던 중 지상바닥(높이: 약 9.6m)으로 떨어져 사망"/>
    <s v="지붕에서 작업 중 양중용 로프에 손목이 감기면서 이동식 크레인에 의해 순간적으로 끌려올라가다가 바닥으로 추락"/>
    <s v="▶ 작업 전 사전 작업계획서를 수립하고, 운전원과 신호수 간에 신호체계를 구축하여 수시로 연락이 가능하도록 조치_x000a_▶ 높은 장소에서 인양 등의 작업 전 근로자 추락 방지를 위한 안전시설물을 설치 _x000a_▶ 높은 장소에서 인양 작업 시 수립된 작업계획서에 준하여 안전한 작업방법을 현장 여건에 맞게 적용하고, 기상 상황을 고려하여 작업 실시_x000a_▶ 섬유로프를 사용하여 자재 인양 시 신체 및 옷 등에 걸림방지 조치 실시"/>
  </r>
  <r>
    <n v="4"/>
    <x v="4"/>
    <x v="14"/>
    <x v="20"/>
    <s v="YES"/>
    <x v="3"/>
    <x v="5"/>
    <s v="12대 기인물"/>
    <n v="12"/>
    <n v="2.3E-2"/>
    <s v="2016년 1월중"/>
    <d v="2016-01-01T00:00:00"/>
    <n v="1"/>
    <s v="혹한기"/>
    <x v="2"/>
    <s v="2016년 1월중 연립주택 옥상 샌드위치 패널설치 공사 현장에서 재해자 2명이 샌드위치 패널 설치 마무리 작업인 후레싱 작업을 위해 카고크레인 붐 헤드와 연결된 작업대에 탑승한 후 카고 크레인 붐 헤드의 작업대가 상승 중 높이 11m지점에서 붐 헤드와 작업대가 분리되면서 작업대와 함께 추락하여 1명 사망, 1명 부상"/>
    <s v="이동식크레인에 작업대(탑승설비)를 연결 설치하여 상승시키던 중 작업대 이탈방지핀 미체결로 인해 붐 헤드와 작업대가 분리되면서 재해자가 함께 추락 "/>
    <s v="▶ 이동식크레인 등 건설기계 투입 전 검사증 등을 확인하여 불법 개조여부를 확인_x000a_▶ 이동식크레인에 탑승설비를 부착하는 경우 작업 시작 전 탑승설비와 지브 브라켓 하부의 연결핀 체결 상태 및 아웃트리거, 안전장치 이상유무 확인_x000a_▶ 작업대가 아닌 작업공간 내 별도의 위치에 안전대 부착설비를 설치하고, 근로자가 작업 중 안전대를  체결할 수 있도록 관리감독_x000a_▶ 가능한 안전인증 및 안전검사를 받은 고소작업대를 사용"/>
  </r>
  <r>
    <n v="4"/>
    <x v="4"/>
    <x v="14"/>
    <x v="20"/>
    <s v="YES"/>
    <x v="3"/>
    <x v="5"/>
    <s v="12대 기인물"/>
    <n v="12"/>
    <n v="2.3E-2"/>
    <s v="2016년 5월경"/>
    <d v="2016-05-01T00:00:00"/>
    <n v="5"/>
    <s v="-"/>
    <x v="2"/>
    <s v="2016년 5월경 OO에서 시공하는 OO 설치공사 현장에서 재해자가 동료작업자와 같이 고소작업대 위에서 우레탄패널을 설치하기 위해 이동식크레인으로 패널을 인양 중 패널 양쪽에 걸었던 바이스플라이어 압착력 부족으로 패널이 고소작업대로 낙하하면서 재해자를 타격하고 2차로 고소작업대(H≒6.3m)에서 1층 바닥으로 떨어져 사망"/>
    <s v="이동식 크레인으로 자재를 양중하던 중 양중물이 결속 불량으로 이탈하여 낙하면서 고소작업대에 탑승해 있던 재해자가 맞은 후 바닥으로 추락"/>
    <s v="▶ 이동식 크레인을 이용하여 패널 등의 마감재 인양 전 사전 작업계획서를 수립하여, 알맞은 인양도구를 선정하여 사용_x000a_▶ 줄걸이 방식 및 바이스플라이어의 사용 금지 등 관계근로자 특별교육 실시_x000a_▶ 이동식 크레인 인양작업 시 인양물이 낙하할 수 있는 구간에는 접근금지 조치를 하여 타 공종과 혼재작업이 되지 않도록 관리감독_x000a_▶ 고소작업대의 작업대에 안전난간을 설치하고, 근로자 안전대 체결 등의 추락방지조치"/>
  </r>
  <r>
    <n v="4"/>
    <x v="4"/>
    <x v="14"/>
    <x v="20"/>
    <s v="YES"/>
    <x v="3"/>
    <x v="5"/>
    <s v="12대 기인물"/>
    <n v="12"/>
    <n v="2.3E-2"/>
    <s v="2016년 11월"/>
    <d v="2016-11-01T00:00:00"/>
    <n v="11"/>
    <s v="-"/>
    <x v="2"/>
    <s v="2016년 11월경 OO건설(주)이 시공하는 물류센터 신축공사 현장에서 재해자가 지상 2층 외벽에 판넬 및 창문틀 설치 중 카고크레인을 사용하여 슬링벨트로 달아 올린 작업대를 옆으로 이동시키는 과정에서 재해자가 작업대에서 이탈되면서 지상 1층 외부 바닥으로 떨어져(높이 약7.3m) 사망"/>
    <s v="크레인으로 인양한 작업대에서 외장패널을 설치하던 중 작업대가 흔들려 몸의 균형을 잃고 바닥으로 추락"/>
    <s v="▶ 고소작업 시 양중기를 이용한 불안정한 작업방법을 대체하여 고소작업대 등을  배치 후 작업 진행_x000a_▶ 고소작업 시 근로자에게 안전대를 지급하고 착용 관리감독"/>
  </r>
  <r>
    <n v="4"/>
    <x v="4"/>
    <x v="14"/>
    <x v="20"/>
    <s v="YES"/>
    <x v="3"/>
    <x v="4"/>
    <s v="12대 기인물"/>
    <n v="5"/>
    <n v="4.9000000000000002E-2"/>
    <s v="2016년 12월"/>
    <d v="2016-12-01T00:00:00"/>
    <n v="12"/>
    <s v="혹한기"/>
    <x v="2"/>
    <s v="2016년 12월경 OO(주)에서 시공하는 OO공장 수출면 라인 이설 믹셔반 2층 증축공사 현장에서, 재해자가 굴삭기 버킷(0.6m3)에 탑승하여 약 1.6m 높이까지 상승한 후에 벽체에 드릴로 천공하는 작업 중, 중심을 잃고 지상으로 떨어져(h≒1.6m) 사망"/>
    <s v="굴삭기 버킷에 탑승하여 벽체 천공 작업 중 작업진동 등에 의해 몸의 중심을 잃고 바닥으로 추락"/>
    <s v="▶ 굴착기 사용 시 버킷에 작업자 탑승 및 작업 행위를 금지하며 고소작업이 필요한 경우, 고소작업대, 이동식 비계 등을 설치하여 작업 실시_x000a_▶ 작업자의 개인보호구, 안전대 체결여부 점검 및 관리감독"/>
  </r>
  <r>
    <n v="4"/>
    <x v="4"/>
    <x v="14"/>
    <x v="20"/>
    <s v="YES"/>
    <x v="3"/>
    <x v="5"/>
    <s v="12대 기인물"/>
    <n v="12"/>
    <n v="2.3E-2"/>
    <s v="2016년 12월"/>
    <d v="2016-12-01T00:00:00"/>
    <n v="12"/>
    <s v="혹한기"/>
    <x v="2"/>
    <s v="2016년 12월경 (주)OO 내부 보수공사현장에서 작업자 4명이 지붕판넬 방수(실리콘)작업을 하기 위해 이동식크레인 탑승설비에 탑승하여 지브를 상승시켜 작업장소로 이동 중 탑승설비가 지브 브라켓에서 탈락하여 지상으로 떨어져(H≒13m) 3명사망, 1명 부상"/>
    <s v="이동식크레인에 작업대(탑승설비)를 연결 설치하여 상승시키던 중 작업대 이탈방지핀 미체결로 인해 붐 헤드와 작업대가 분리되면서 재해자가 함께 추락 "/>
    <s v="▶ 이동식크레인 등 건설기계 투입 전 검사증 등을 확인하여 불법 개조여부를 확인_x000a_▶ 이동식크레인에 탑승설비를 부착하는 경우 작업 시작 전 탑승설비와 지브 브라켓 하부의 연결핀 체결 상태 및 아웃트리거, 안전장치 이상유무 확인_x000a_▶ 작업대가 아닌 작업공간 내 별도의 위치에 안전대 부착설비를 설치하고, 근로자가 작업 중 안전대를  체결할 수 있도록 관리감독_x000a_▶ 가능한 안전인증 및 안전검사를 받은 고소작업대를 사용"/>
  </r>
  <r>
    <n v="5"/>
    <x v="5"/>
    <x v="15"/>
    <x v="44"/>
    <s v="YES"/>
    <x v="3"/>
    <x v="5"/>
    <s v="12대 기인물"/>
    <n v="12"/>
    <n v="2.3E-2"/>
    <s v="2016년 4월경"/>
    <d v="2016-04-01T00:00:00"/>
    <n v="4"/>
    <s v="-"/>
    <x v="0"/>
    <s v="2016년 4월경 OO빌딩 야적장에서 전주를 이동식크레인 적재함에 상차하기 위하여 재해자가 야적장 바닥에 적치되어 있던 전주 2본(744kg)의 중간부분을 와이어로프로 묶어(1줄걸이) 이동식 크레인의 훅에 건 후, 3M 뒤로 물러나 인양되던 전주를 바라보던 중 크레인의 인양용 와이어로프(?8mm)가 절단되며 60°로 세워진 전주가 재해자 방향으로 넘어졌고, 전주의 끝부분에 머리를 맞아 사망"/>
    <s v="전주를 와이어로프로 묶어 이동식 크레인을 통한 인양작업 중, 와이어로프가 하중을 견디지 못하고 절단되어 전주 이탈로 근로자 타격"/>
    <s v="▶ 인양 중인 화물을 내려놓는 경우 와이어로프 등에 장력이 걸리지 않은 상태에서 제거_x000a_▶ 작업 전 인양장비, 인양로프에 대한 결함 유무 및 기능점검 실시"/>
  </r>
  <r>
    <n v="5"/>
    <x v="5"/>
    <x v="15"/>
    <x v="44"/>
    <s v="YES"/>
    <x v="3"/>
    <x v="4"/>
    <s v="12대 기인물"/>
    <n v="5"/>
    <n v="4.9000000000000002E-2"/>
    <s v="2017년 3월경"/>
    <d v="2017-03-01T00:00:00"/>
    <n v="3"/>
    <s v="-"/>
    <x v="1"/>
    <s v="2017년 3월경 OO공사에서 재해자가 굴착기를 운전하여 경사면(경사도 약 32°)을 내려오던 중 굴착기가 전도하면서 굴착기에 깔려 사망"/>
    <s v="굴착기가 계단(경사로) 이동중 전도되어 굴삭기운전원(또는 근로자) 깔림"/>
    <s v="▶ 급경사지로 굴삭기 이동 및 급선회 금지 (장비의 제원표 참조)_x000a_▶ 운전자는 안전벨트를 착용하고, 운전석 문은 닫은상태로 작업실시"/>
  </r>
  <r>
    <n v="5"/>
    <x v="5"/>
    <x v="15"/>
    <x v="44"/>
    <s v="YES"/>
    <x v="3"/>
    <x v="5"/>
    <s v="12대 기인물"/>
    <n v="12"/>
    <n v="2.3E-2"/>
    <s v="2017년 5월경"/>
    <d v="2017-05-01T00:00:00"/>
    <n v="5"/>
    <s v="-"/>
    <x v="8"/>
    <s v="2017년 5월경 보안등 설치공사 현장에서 재해자가 전주를 차량탑재형 이동식크레인으로 인양하여 상차하려던 중 붐이 파손되어 떨어지면서 재해자를 가격하여 사망"/>
    <s v="이동식크레인을 통한 전주 인양 후 상차 도중 붐 파손에 의한 붐 낙하 및 근로자 충돌"/>
    <s v="▶ 중량물 인양 시 낙하 위험장소의 근로자 출입금지구역 설치_x000a_▶ 작업 전 반복 하중에 의해 균열 등이 육안검사로 확인 즉시 작업 중단_x000a_▶ 주기적인 이동식 크레인 안전검사 철저"/>
  </r>
  <r>
    <n v="5"/>
    <x v="5"/>
    <x v="15"/>
    <x v="44"/>
    <s v="YES"/>
    <x v="3"/>
    <x v="4"/>
    <s v="12대 기인물"/>
    <n v="5"/>
    <n v="4.9000000000000002E-2"/>
    <s v="2017년 12월"/>
    <d v="2017-12-01T00:00:00"/>
    <n v="12"/>
    <s v="혹한기"/>
    <x v="6"/>
    <s v="2017년 12월경 OO공사에서 재해자가 굴착기 뒤쪽으로 이동하던 중 회전하는 굴착기 몸체 후미와 콘크리트 구조물 사이에 끼어 사망"/>
    <s v="작업전선 제거를 위한 이동 중 굴삭기 회전에 의한 굴삭기와 구조물 사이에 협착"/>
    <s v="▶ 협착위험이 있는 작업 시 근로자 작업구역 설정을 통한 위험작업반경내 근로자 출입금지조치 실시_x000a_▶ 굴삭기 작업 전 후방카메라 작동여부 점검을 통한 안전조치 실시"/>
  </r>
  <r>
    <n v="5"/>
    <x v="5"/>
    <x v="15"/>
    <x v="45"/>
    <s v="YES"/>
    <x v="3"/>
    <x v="6"/>
    <s v="12대 기인물"/>
    <n v="9"/>
    <n v="3.4000000000000002E-2"/>
    <s v="2016년 11월"/>
    <d v="2016-11-01T00:00:00"/>
    <n v="11"/>
    <s v="-"/>
    <x v="8"/>
    <s v="2016년 11월경 OO공사에서 재해자 등이 케이블 도로 횡단작업을 위해 도로 바닥에 조가선을 포설한 후 중앙분리대 및 갓길에서 조가선을 잡고 있던 중 주행하던 1톤 차량에 조가선이 걸리면서 1명은 넘어져 부상하고 1명은 후속차량에 충돌하여 사망"/>
    <s v="케이블 도로 횡단작업을 위한 조가선 지탱 중 1톤 차량에 조가선이 걸려, 조가선을 잡고있던 작업자가 넘어지면서 도로 밖으로 1명 추락, 1명은 후속차량에 충돌"/>
    <s v="▶ 차량충돌 위험이 있는 작업 시, 차량 주행로상의 작업자 작업 및 이동 통제, 유도자 배치 등의 안전방호조치 실시_x000a_▶ 조가선 작업중 작업범위내 차량통행 금지 및 접근금지 조치_x000a_    - 작업반경내 간섭여부 사전 확인 후 차량동선 등 계획 수립"/>
  </r>
  <r>
    <n v="5"/>
    <x v="5"/>
    <x v="15"/>
    <x v="45"/>
    <s v="YES"/>
    <x v="3"/>
    <x v="4"/>
    <s v="12대 기인물"/>
    <n v="5"/>
    <n v="4.9000000000000002E-2"/>
    <s v="2019년 1월경"/>
    <d v="2019-01-01T00:00:00"/>
    <n v="1"/>
    <s v="혹한기"/>
    <x v="2"/>
    <s v="2019년 1월경 OO공사에서 재해자가 굴착기 버킷 위에 올라가 전주에 가요전선관 고정 작업을 하던 중 버킷이 탈락되면서 지면으로 추락하여(H≒5m) 사망"/>
    <s v="굴삭기 버킷 위에 올라탄 후 전주에 가요전선관 고정 작업을 하던 중, 버킷이 탈락되면서 바닥으로 함께 추락"/>
    <s v="▶ 건설기계장비 목적외 사용 금지(굴착기 버킷은 탑승용이 아님)_x000a_▶ 목적에 맞는 건설기계장비 사용 - 고소작업대(차량탑재형)_x000a_▶ 굴착기는 퀵커플러 또는 이탈방지핀을 체결"/>
  </r>
  <r>
    <n v="5"/>
    <x v="5"/>
    <x v="15"/>
    <x v="45"/>
    <s v="YES"/>
    <x v="3"/>
    <x v="11"/>
    <s v="해당없음"/>
    <s v="해당없음"/>
    <s v="해당없음"/>
    <s v="2019년 9월경"/>
    <d v="2019-09-01T00:00:00"/>
    <n v="9"/>
    <s v="-"/>
    <x v="8"/>
    <s v="2019년 9월경 OO공사에서 재해자가 선로 측면을 따라 작업장소로 이동하던 중 뒤에서 주행하며 다가오는 전동열차(K485)에 추돌하여 사망"/>
    <s v="노후된 광케이블 일부 철거 및 신규 광케이블 공사현장에서 업무협의를 위한 회의 종료 후 선로 측면을 따라 작업지점으로 복귀하던 중 뒤에서 다가오는 전동열차(K485)와 충돌"/>
    <s v="▶ 선로 인접 작업 시 열차 이동이 없는 야간작업을 원칙으로 진행_x000a_▶ 부득이한 주간작업 진행 시 열차통행 중 작업제한 및 열차감시원 배치를 통한 충돌방지조치 실시"/>
  </r>
  <r>
    <n v="5"/>
    <x v="5"/>
    <x v="15"/>
    <x v="45"/>
    <s v="YES"/>
    <x v="3"/>
    <x v="5"/>
    <s v="12대 기인물"/>
    <n v="12"/>
    <n v="2.3E-2"/>
    <s v="2021년 2월경"/>
    <d v="2021-02-01T00:00:00"/>
    <n v="2"/>
    <s v="혹한기"/>
    <x v="0"/>
    <s v="2021년 2월경 OO공사에서 재해자가 전신주 설치작업 중 전신주를 인양하고 있던 이동식크레인 붐이 파손되면서 낙하하는 인양물(전신주)에 맞고 사망"/>
    <s v="전력공급을 위한 전신주 설치 중 전신주를 인양하고 있던 이동식크레인의 붐이 파손되어 떨어지면서 재해자를 가격"/>
    <s v="▶ 이동식크레인 사용 시 과부하방지장치 등의 정상적으로 작동될 수 있도록 사전에 조정 및 점검 실시_x000a_▶ 이동식크레인을 사용하여 인양작업을 하는 경우 임계하중 값을 초과하지 않는 범위내에서 작업 수행_x000a_▶ 크레인을 사용한 중량물 취급 작업 시 전담 신호수 배치 및 관련 근로자에게 일정한 신호방법 주지_x000a_▶ 크레인을 사용하여 중량물 인양 시 작업 하부면에 근로자 출입 통제"/>
  </r>
  <r>
    <n v="5"/>
    <x v="5"/>
    <x v="15"/>
    <x v="21"/>
    <s v="YES"/>
    <x v="3"/>
    <x v="4"/>
    <s v="12대 기인물"/>
    <n v="5"/>
    <n v="4.9000000000000002E-2"/>
    <s v="2017년 9월경"/>
    <d v="2017-09-01T00:00:00"/>
    <n v="9"/>
    <s v="-"/>
    <x v="3"/>
    <s v="2017년 9월경 OO 안전이격확보공사 현장에서 재해자가 자재 야적장에서 철탑조립용 볼트(M15×60)를 포대에 담는 작업 중 바로 옆에서 굴삭기 퀵커플러(Quick Coupler) 훅(Hook)에 와이어로프(Ø16mm)를 걸어 인양 중이던 철탑주주재(L=8m, 500kg)가 낙하(H≒6m)하면서 재해자를 강타"/>
    <s v="굴착기로 철탑주주재 인양작업 중 와이어로프가 이탈되며 철탑주주재 낙하"/>
    <s v="▶ 굴착기 작업반경 내 접근금지 조치 및 신호수 배치_x000a_▶ 굴착기로 양중작업시 안전조치 확보_x000a_  - 중량물 인양계획서 작성_x000a_  - 훅 해지장치 설치_x000a_  - 굴착기의 인양능력 확인 (굴착기 제원표)_x000a_  - 줄걸이 상태 확인(달기구 및 와이어로프, 슬링벨트 파손유무 등)"/>
  </r>
  <r>
    <n v="5"/>
    <x v="5"/>
    <x v="16"/>
    <x v="22"/>
    <s v="YES"/>
    <x v="3"/>
    <x v="5"/>
    <s v="12대 기인물"/>
    <n v="12"/>
    <n v="2.3E-2"/>
    <s v="2018년 8월경"/>
    <d v="2018-08-01T00:00:00"/>
    <n v="8"/>
    <s v="혹서기"/>
    <x v="2"/>
    <s v="2018년 8월경 OO의 벼 건조저장시설 현장에서 재해자가 이동식크레인을 이용하여 백필터를 집진설비(백필터 좌대)에 거치 후, 이동식크레인 슬링벨트에 매달려 내려오던 중 슬링벨트와 함께 약 10m 높이에서 떨어져 사망"/>
    <s v="이동식크레인을 활용한 백필터 설치작업 완료 후, 이동식크레인에 걸려있던 슬링벨트를 직접 잡고 지면으로 내려오던 중, 슬링벨트가 보조후크에서 이탈되어 근로자가 바닥으로 추락"/>
    <s v="▶ 이동식크레인을 사용한 작업시, 근로자를 후크로 직접 옮기는 등의 행위 금지_x000a_▶ 후크해지장치를 설치하여 슬링벨트 등이 빠지지 않도록 조치"/>
  </r>
  <r>
    <n v="5"/>
    <x v="5"/>
    <x v="16"/>
    <x v="22"/>
    <s v="YES"/>
    <x v="3"/>
    <x v="7"/>
    <s v="해당없음"/>
    <s v="해당없음"/>
    <s v="해당없음"/>
    <s v="2019년 3월경"/>
    <d v="2019-03-01T00:00:00"/>
    <n v="3"/>
    <s v="-"/>
    <x v="2"/>
    <s v="2019년 3월경 OO건설의 복합시설 신축공사 현장에서 재해자가 에스컬레이터 설치구간 1층 바닥에서 5층 천장에 설치된 윈치에 배관용 탄소강관(6본)을 PE로프로 묶은 후 훅에 걸어서 양중작업을 하던 중, 약 10m높이에서 훅과 와이어로프의 체결부에서 와이어로프가 빠지면서 배관용 탄소강관 다발이 떨어져 하부에 있던 재해자의 머리를 타격하여 사망"/>
    <s v="배관용 탄소강관 양중작업 중 와이어로프 이탈에 의한 배관용 탄소강관 다발 추락"/>
    <s v="▶ 작업 전 와이어로프 체결상태 점검 등 안전점검 실시_x000a_▶ 작업 전 개인보호구 지급 및 착용상태 관리 실시"/>
  </r>
  <r>
    <n v="5"/>
    <x v="5"/>
    <x v="16"/>
    <x v="22"/>
    <s v="YES"/>
    <x v="3"/>
    <x v="6"/>
    <s v="12대 기인물"/>
    <n v="9"/>
    <n v="3.4000000000000002E-2"/>
    <s v="2019년 3월경"/>
    <d v="2019-03-01T00:00:00"/>
    <n v="3"/>
    <s v="-"/>
    <x v="8"/>
    <s v="2019년 3월경 OO 현장에서 재해자가 콜드박스(Cold Box) 구조체 야적장에서 공기구 정리작업 중 인접구간 부속자재 운반을 위해 이동 중이던 소형 화물자동차(1톤)와 충돌 후 화물자동차와 콜드박스 지지대(철골빔)에 몸이  협착"/>
    <s v="화물자동차를 통한 설비폐자재 반출을 위한 차량 안내 작업 중 후진으로 주행하는 화물자동차와의 충돌"/>
    <s v="▶ 차량충돌 위험이 있는 작업 시, 차량 주행로상의 작업자 작업 및 이동 통제, 유도자 배치 등의 안전방호조치 실시_x000a_▶ 차량작업 전 제동장치 및 조종장치의 기능점검 조치 실시"/>
  </r>
  <r>
    <n v="5"/>
    <x v="5"/>
    <x v="16"/>
    <x v="22"/>
    <s v="YES"/>
    <x v="3"/>
    <x v="6"/>
    <s v="12대 기인물"/>
    <n v="9"/>
    <n v="3.4000000000000002E-2"/>
    <s v="2019년 7월경"/>
    <d v="2019-07-01T00:00:00"/>
    <n v="7"/>
    <s v="혹서기"/>
    <x v="8"/>
    <s v="2019년 7월경 OO 현장에서 재해자가 지상1층 중앙부에서 설비폐자재를 화물자동차로 반출하기 위해 차량 안내하면서 이동 중 후진으로 주행하는 화물자동차와 충돌"/>
    <s v="화물자동차를 통한 설비폐자재 반출을 위한 차량 안내 작업 중 후진으로 주행하는 화물자동차와의 충돌"/>
    <s v="▶ 차량충돌 위험이 있는 작업 시, 차량 주행로상의 작업자 작업 및 이동 통제, 유도자 배치 등의 안전방호조치 실시_x000a_▶ 차량작업 전 제동장치 및 조종장치의 기능점검 조치 실시"/>
  </r>
  <r>
    <n v="5"/>
    <x v="5"/>
    <x v="16"/>
    <x v="22"/>
    <s v="YES"/>
    <x v="3"/>
    <x v="4"/>
    <s v="12대 기인물"/>
    <n v="5"/>
    <n v="4.9000000000000002E-2"/>
    <s v="2020년 11월"/>
    <d v="2020-11-01T00:00:00"/>
    <n v="11"/>
    <s v="-"/>
    <x v="6"/>
    <s v="2020년 11월경 OO 정화시설 설치공사 현장에서 정화조 매설을 위해 터파기 장소로 화물트럭 적재함에 정화조(FRP, 중량 약 1.2톤) 일부를 올려놓고 굴착기 후크에 한 줄로 매달아 운반하던 중 회전하는 정화조에 재해자가 진입로(소교량) 난간벽과 정화조 사이에 몸이 협착"/>
    <s v="정화조 매설을 위해 굴착기 후크에 정화조를 매달아 운반하던 중 회전하는 정화조와 진입로(소교량) 난간벽 사이에 끼임"/>
    <s v="▶ 차량계 건설기계를 사용하여 작업하는 경우 유도자를 배치 및 작업반경 내 인원 통제 _x000a_▶ 운전자가 감지할 수 있는 센서 부착 및 차량 후진시 경보음 설비 설치"/>
  </r>
  <r>
    <n v="5"/>
    <x v="5"/>
    <x v="16"/>
    <x v="23"/>
    <s v="YES"/>
    <x v="3"/>
    <x v="13"/>
    <s v="해당없음"/>
    <s v="해당없음"/>
    <s v="해당없음"/>
    <s v="2016년 2월경"/>
    <d v="2016-02-01T00:00:00"/>
    <n v="2"/>
    <s v="혹한기"/>
    <x v="1"/>
    <s v="2016년 2월경, OOO도 OO군 소재 ㈜OOOOO에서 지게차[5톤]  운전자 OOOO이 맥주피처를 싣고 제품 포장동에서 출하장으로 운전 중 “OOOO 개조공사”를 위해 출하장으로 출근하던 OOOO소속 재해자(OOO)를 발견하지 못하고 지게차로 재해자를 충격, 재해자가 앞으로 넘어지고 그 머리 위로 지게차 우측 바퀴가 깔고 지나면서 재해자가 현장에서 사망한 재해임."/>
    <s v="사업장내 교육장소로 이동중이던 근로자가 맥주를 적재 한 상태로 운반중이던 지게차와 충돌, 깔림"/>
    <s v="▶ 지게차를 사용한 작업 시, 지정된 제한속도(10km/h) 준수_x000a_    - 하역물 운반시 급선회 금지, 경사로 이동시 제한속도 준수_x000a_▶ 지게자 작업반경 내 근로자 접근금지 조치 및 신호수 배치_x000a_▶ 지게차 운전자의 시야확보 (시야가 방해될정도로 하역물을 높이 쌓아 이동 금지)_x000a_▶ 지게차 안전장치 설치상태 및 기능점검 실시_x000a_    - 전조등, 후미등, 후사경, 후방카메라, 경보음_x000a_▶ 보행자 통로를 구획하여 표시"/>
  </r>
  <r>
    <n v="5"/>
    <x v="5"/>
    <x v="16"/>
    <x v="23"/>
    <s v="YES"/>
    <x v="3"/>
    <x v="13"/>
    <s v="해당없음"/>
    <s v="해당없음"/>
    <s v="해당없음"/>
    <s v="2016년 5월경"/>
    <d v="2016-05-01T00:00:00"/>
    <n v="5"/>
    <s v="-"/>
    <x v="1"/>
    <s v="2016년 5월경, OOO도 OO면 소재 (주)OOOOOO OOO 물류공사현장의 5층 내부에서 반입되어 눕혀있는 Shelf(W900*L2600*H5600,390KG)를 지게차의 포크에 걸쳐놓은 후 포크를 상승시키면서 Shelf를 세우던 중 상승하던 포크에 의해 발생한 관성에 의해 Shelf가 반대편으로 넘어가 반대편에서 Shelf의 하부를 지지하고 있던 재해자 2명이 넘어오는 Shelf와 바닥사이에 끼이면서 부상을 당한 재해임."/>
    <s v="지게차를 통한 Shelf 운반작업 중 이탈방지 미조치에 의한 Shelf 전복 및 근로자 깔림"/>
    <s v="▶ 지게차를 사용한 작업 시, 지정된 제한속도(10km/h) 준수_x000a_    - 하역물 운반시 급선회 금지, 경사로 이동시 제한속도 준수_x000a_▶ 지게자 작업반경 내 근로자 접근금지 조치 및 신호수 배치_x000a_▶ 지게차 운전자의 시야확보 (시야가 방해될정도로 하역물을 높이 쌓아 이동 금지)_x000a_▶ 지게차 안전장치 설치상태 및 기능점검 실시_x000a_    - 전조등, 후미등, 후사경, 후방카메라, 경보음_x000a_▶ 보행자 통로를 구획하여 표시"/>
  </r>
  <r>
    <n v="5"/>
    <x v="5"/>
    <x v="16"/>
    <x v="23"/>
    <s v="YES"/>
    <x v="3"/>
    <x v="12"/>
    <s v="해당없음"/>
    <s v="해당없음"/>
    <s v="해당없음"/>
    <s v=" 2017년 4월"/>
    <d v="2017-04-01T00:00:00"/>
    <n v="4"/>
    <s v="-"/>
    <x v="8"/>
    <s v=" 2017년 4월경 OO시 OO읍 소재 OO(주) OO시 OOOO센터 설치 현장의 설비동 지하 2층 전처리실에서 재해자가 분리막 전처리장치의 초미세목 스크린(1.5t)을 설치하려던 중 호이스트의 훅에 걸었던 보조 달기구인 체인이 훅으로부터 이탈하여 매달려있던 초미세목 스크린이 낙하하여 재해자가 맞아 사망함. "/>
    <s v="보조 달기구인 체인이 훅으로부터 이탈하여 낙하하는 초미세목 스크린과 근로자가 충돌"/>
    <s v="▶ 훅 걸이용 달기체인 이탈방지를 위해 해지장치 구비 _x000a_▶ 인양작업 시 엔드리스(endless)가 아닌 훅 등을 달기체인 양단에 사용"/>
  </r>
  <r>
    <n v="5"/>
    <x v="5"/>
    <x v="16"/>
    <x v="23"/>
    <s v="YES"/>
    <x v="3"/>
    <x v="5"/>
    <s v="12대 기인물"/>
    <n v="12"/>
    <n v="2.3E-2"/>
    <s v="2017년 9월경"/>
    <d v="2017-09-01T00:00:00"/>
    <n v="9"/>
    <s v="-"/>
    <x v="2"/>
    <s v="2017년 9월경 OO시 OO구에 소재한 OOOO(주)에서 시공중인 OOOO 개선공사 현장에서 OOOO(주) 소속 근로자가 주수송관 교체공사 전 회수관 내부 물을 빼기위해 이동식 크레인(25ton)에 탑승설비를 매단 후 탑승설비 내부에서 핸드그라인더를 이용하여 커팅작업 중 내부 수압에 의해 커팅부위가 파열되며 그 수압에 의해 재해자가 탑승설비에서 이탈하며 굴착바닥(H≒4.1m)으로 떨어져 사망한 재해임."/>
    <s v="배수작업을 위한 커팅작업 중 내부 수압에 의한 회수관 파열 및 근로자 추락"/>
    <s v="▶ 근로자 탑승제한 준수_x000a_▶ 작업발판 설치를 통한 추락방지조치 준수_x000a_▶ 작업 전 개인보호구 지금 및 착용상태 관리"/>
  </r>
  <r>
    <n v="5"/>
    <x v="5"/>
    <x v="16"/>
    <x v="23"/>
    <s v="YES"/>
    <x v="3"/>
    <x v="5"/>
    <s v="12대 기인물"/>
    <n v="12"/>
    <n v="2.3E-2"/>
    <s v="2019년 5월경"/>
    <d v="2019-05-01T00:00:00"/>
    <n v="5"/>
    <s v="-"/>
    <x v="2"/>
    <s v="2019년 5월경 OOO도 OO시 OOO동 소재 OOOO(주)가 시공하는 OOOO 주상복합 신축공사 현장에서 협력업체 소속 재해자가 2층 덕트 설치작업을 위해 차량탑재형 이동식크레인으로 고소작업대 양중작업 중 고소작업대가 뒤집어지면서 7m 바닥으로 떨어져 사망한 재해임."/>
    <s v="덕트 설치작업을 위한 양중작업 중 이동식크레인 고소작업대 전도에 의한 추락"/>
    <s v="▶ 작업 전 개인보호구 지급 및 착용상태 관리_x000a_▶ 크레인 탑승제한조치 철저"/>
  </r>
  <r>
    <n v="5"/>
    <x v="5"/>
    <x v="23"/>
    <x v="48"/>
    <s v="YES"/>
    <x v="3"/>
    <x v="4"/>
    <s v="12대 기인물"/>
    <n v="5"/>
    <n v="4.9000000000000002E-2"/>
    <s v="2016년 10월"/>
    <d v="2016-10-01T00:00:00"/>
    <n v="10"/>
    <s v="-"/>
    <x v="8"/>
    <s v="2016년 10월경 OOO도 OO시 소재 OOOO구역 정비공사 수로관(플륨관) 설치작업 현장에서 ㈜OOOO 소속 재해자(OOO)가 통행차량 유도를 위해 도로상에서 교통정리 중 후진하는 굴삭기에 부딪혀 사망한 재해 임."/>
    <s v="수로관(플륨관) 설치작업 현장에서 근로자가 도로상에서 통행차량을 통제하던 중 후진하는 굴삭기와 충돌"/>
    <s v="▶ 차량계 건설기계 작업반경 내 근로자 접근 금지 조치 및 유도자 배치_x000a_▶ 차량 통행이 많은 경우 교통신호수 추가 배치"/>
  </r>
  <r>
    <n v="6"/>
    <x v="6"/>
    <x v="17"/>
    <x v="24"/>
    <s v="YES"/>
    <x v="3"/>
    <x v="6"/>
    <s v="12대 기인물"/>
    <n v="9"/>
    <n v="3.4000000000000002E-2"/>
    <s v="2016년 7월경"/>
    <d v="2016-07-01T00:00:00"/>
    <n v="7"/>
    <s v="혹서기"/>
    <x v="8"/>
    <s v="2016년 7월경 지방하천 정비공사에서 재해자가 제방 돌망태 조립작업 중 돌망태석을 운반하기 위해 후진하던 덤프트럭과 충돌하여 사망"/>
    <s v="제방 돌망태석 운반을 위해 후진하던 덤프트럭에 충돌"/>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6"/>
    <x v="6"/>
    <x v="17"/>
    <x v="24"/>
    <s v="YES"/>
    <x v="3"/>
    <x v="7"/>
    <s v="해당없음"/>
    <s v="해당없음"/>
    <s v="해당없음"/>
    <s v="2016년 8월경"/>
    <d v="2016-08-01T00:00:00"/>
    <n v="8"/>
    <s v="혹서기"/>
    <x v="1"/>
    <s v="2016년 8월경 OOO시 OO군 OO면 소재 ○○건설(주) 『○○○클럽 조경공사』현장에서 OO9번 홀 주변 제초작업을 하던 중 재해자는 OO1번 홀에서 이동을 하다가 제초 한 풀을 버리기 위해 후진 중이던 골프 카트(작업용 전동카트)에 깔려서 사망함."/>
    <s v="제초작업 중 후진하는 골프 카트(작업용 전동카트)에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6"/>
    <x v="6"/>
    <x v="17"/>
    <x v="24"/>
    <s v="YES"/>
    <x v="3"/>
    <x v="7"/>
    <s v="해당없음"/>
    <s v="해당없음"/>
    <s v="해당없음"/>
    <s v="2018년 3월경"/>
    <d v="2018-03-01T00:00:00"/>
    <n v="3"/>
    <s v="-"/>
    <x v="0"/>
    <s v="2018년 3월경 ㈜OOOO OOOO사업 현장에서 재해자가 집게차(화물자동차) 주변에서 임목폐기물 상차후 도로변에 잔재물을 모으던 중 집게차 측면의 철판난간대가 떨어지면서 재해자를 강타, 의식을 잃은 재해자를 병원으로 이송하여 치료중 사망한 재해임     "/>
    <s v="임목폐기물 상차 후 도로변에 잔재물을 모으던 중 집게차 측면의 철판난간대가 떨어져 근로자를 강타"/>
    <s v="▶ 차량계 하역운반기계 사용할 경우 작업계획서를 작성하고 작업계획에 맞게 작업실시_x000a_▶ 자재인양 등 중량물 취급작업 시 낙하위험 지역에 대해 근로자 출입 통제"/>
  </r>
  <r>
    <n v="6"/>
    <x v="6"/>
    <x v="17"/>
    <x v="24"/>
    <s v="YES"/>
    <x v="3"/>
    <x v="4"/>
    <s v="12대 기인물"/>
    <n v="5"/>
    <n v="4.9000000000000002E-2"/>
    <s v="2020년 3월경"/>
    <d v="2020-03-01T00:00:00"/>
    <n v="3"/>
    <s v="-"/>
    <x v="1"/>
    <s v="2020년 3월경 OO도 OO시 OO면 소재 OOOO(주) OOOO 도시개발사업 토목조경공사 현장에서 재해자 등 조경공 6명이 소나무 등(7주)을 가(임시) 이식장으로 운반하여 식재하는 작업을 완료하고 재해자가 진입로 바닥 정지작업을 위해 후진하는 굴삭기(0.6㎥) 후방으로 이동하던 중 굴삭기 바퀴에 깔려 사망한 재해임."/>
    <s v="조경작업 중(또는 이동중) 주변 굴삭기에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6"/>
    <x v="6"/>
    <x v="17"/>
    <x v="79"/>
    <s v="YES"/>
    <x v="3"/>
    <x v="13"/>
    <s v="해당없음"/>
    <s v="해당없음"/>
    <s v="해당없음"/>
    <s v="2016년 7월경"/>
    <d v="2016-07-01T00:00:00"/>
    <n v="7"/>
    <s v="혹서기"/>
    <x v="8"/>
    <s v="2016년 7월경 OO 레지던스 신축 조경공사 현장에서 조경공사 협력업체 소속인 재해자(조경공)가 주출입구 화단 조경작업을 위해 수목고르기 및 심기 작업 준비 중, 8m도로(구배 약16%)에서 보·차도경계석을 넘어온 지게차와 충돌하여 사망"/>
    <s v="화단 조경작업을 위한 수목 고르기 및 심기 작업준비 중 지게차가 보∙차도경계석을 넘어와 근로자와 충돌"/>
    <s v="▶ 운전원이 차량 이탈 시 시동키를 운전대에서 분리 또는 잠금장치 실시 _x000a_▶ 지게차 제동장치 등 주요장치의 작업 시작 전 안전점검 실시"/>
  </r>
  <r>
    <n v="6"/>
    <x v="6"/>
    <x v="17"/>
    <x v="79"/>
    <s v="YES"/>
    <x v="3"/>
    <x v="4"/>
    <s v="12대 기인물"/>
    <n v="5"/>
    <n v="4.9000000000000002E-2"/>
    <s v="2016년 9월경"/>
    <d v="2016-09-01T00:00:00"/>
    <n v="9"/>
    <s v="-"/>
    <x v="1"/>
    <s v="2016년 9월경 펜션 신축공사에서 재해자가 굴착기 옆에서 돌쌓기 작업을 하던 중 탈락한 버킷에 깔려 사망"/>
    <s v="절토사면의 돌쌓기 작업을 위해 굴삭기의 채버켓(채바가지) 옆에서 작업하던 중 연결핀이 설치되어 있지 않은 채버켓이 탈락하면서 채버켓에 깔림"/>
    <s v="▶ 굴착면적에 따를 버킷 교체시 유압이 해제될 경우에도 연결장치(Quick coupler)에서 버킷 이탈방지를 위해 안전핀 체결하여 이중 잠금장치 실시_x000a_▶ 차량계 건설기계를 사용하여 굴착 등 작업을 하는 경우 유도자를 배치하여 안전하게 작업 수행"/>
  </r>
  <r>
    <n v="6"/>
    <x v="6"/>
    <x v="17"/>
    <x v="79"/>
    <s v="YES"/>
    <x v="3"/>
    <x v="4"/>
    <s v="12대 기인물"/>
    <n v="5"/>
    <n v="4.9000000000000002E-2"/>
    <s v="2017년 5월경"/>
    <d v="2017-05-01T00:00:00"/>
    <n v="5"/>
    <s v="-"/>
    <x v="3"/>
    <s v="2017년 5월경 조경석쌓기 현장에서 재해자가 굴착기와 같이 조경석을 쌓던 중 굴착기 붐이 보호수 가지를 건드려 부러진 나뭇가지가 아래로 떨어져 머리를 가격하여 사망"/>
    <s v="굴삭기로 조경석을 쌓던 중 부러진 나뭇가지가 근로자의 머리로 낙하"/>
    <s v="▶ 나뭇가지 등 낙하물에 의한 위험 방지를 위해 낙하위험지역의 근로자 불필요한 출입 통제(출입 시 관리감독자 등 감독하에 출입)_x000a_▶ 개인 보호구 지급 및 착용 철저"/>
  </r>
  <r>
    <n v="6"/>
    <x v="6"/>
    <x v="17"/>
    <x v="79"/>
    <s v="YES"/>
    <x v="3"/>
    <x v="6"/>
    <s v="12대 기인물"/>
    <n v="9"/>
    <n v="3.4000000000000002E-2"/>
    <s v="2018년 2월경"/>
    <d v="2018-02-01T00:00:00"/>
    <n v="2"/>
    <s v="혹한기"/>
    <x v="8"/>
    <s v="2018년 2월경 공동주택 신축공사에서 재해자가 신호수 업무를 수행하던 중 덤프트럭 운전원의 요청에 의해 덤프트럭 적재함 후면 잔여 흙을 제거하던 과정에서 적재함 후미와 후문 사이에 두부가 협착되어 사망"/>
    <s v="조경작업용 덤프트럭 운전자가 적재함과 적재함 후문 사이에서 흙을 제거하던 중 트럭이 움직여 후문에 부딪힘"/>
    <s v="▶ 차량계 하역운반기계에서 운전자가 운전석을 이탈하는 경우 주차 브레이크의 확실한 체결 및 차량 고임목 설치_x000a_▶ 차량계 건설기계 사용 작업시 사전에 차량의 제동장치 기능 이상 유무 점검_x000a_▶ 경사로의 주차하는 경우 핸드(주차) 브레이크와 풋 브레이크를 함께 사용"/>
  </r>
  <r>
    <n v="6"/>
    <x v="6"/>
    <x v="17"/>
    <x v="79"/>
    <s v="YES"/>
    <x v="3"/>
    <x v="4"/>
    <s v="12대 기인물"/>
    <n v="5"/>
    <n v="4.9000000000000002E-2"/>
    <s v="2018년 4월경"/>
    <d v="2018-04-01T00:00:00"/>
    <n v="4"/>
    <s v="-"/>
    <x v="1"/>
    <s v="2018년 4월경 도로 정비공사에서 재해자가 굴착기를 이용하여 자재운반하고 후진으로 경사길을 내려오던 중 굴착기가 전도되어 충돌 후 사망"/>
    <s v="굴착기가 계단(경사로) 이동중 전도되어 굴삭기운전원(또는 근로자) 깔림"/>
    <s v="▶ 차량계 건설기계 전도 방지를 위해 급경사 구간 사면완화 작업 조치_x000a_▶ 차량계 건설기계 사용시 작업 장소 내에 근로자의 출입 통제_x000a_▶ 유도자를 배치하여 차량계 건설기계 유도"/>
  </r>
  <r>
    <n v="6"/>
    <x v="6"/>
    <x v="17"/>
    <x v="79"/>
    <s v="YES"/>
    <x v="3"/>
    <x v="4"/>
    <s v="12대 기인물"/>
    <n v="5"/>
    <n v="4.9000000000000002E-2"/>
    <s v="2018년 5월경"/>
    <d v="2018-05-01T00:00:00"/>
    <n v="5"/>
    <s v="-"/>
    <x v="1"/>
    <s v="2018년 5월경 아파트 신축공사에서 조경토 평탄작업과 제석작업을 하던 중 출발하던 굴착기 바퀴에 협착되어 2명 사망, 1명 부상"/>
    <s v="조경작업 중(또는 이동중) 주변 굴삭기에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6"/>
    <x v="6"/>
    <x v="17"/>
    <x v="79"/>
    <s v="YES"/>
    <x v="3"/>
    <x v="6"/>
    <s v="12대 기인물"/>
    <n v="9"/>
    <n v="3.4000000000000002E-2"/>
    <s v="2019년 3월경"/>
    <d v="2019-03-01T00:00:00"/>
    <n v="3"/>
    <s v="-"/>
    <x v="1"/>
    <s v="2019년 3월경 관광단지 조성공사에서 재해차가 살수차로 눈썰매장 상부에 위치한 공사용 가설도로를 운행하던 중 차량이 갑자기 뒤로 밀리면서 눈썰매장 슬로프(길이 115m, 경사도 약14°)를 따라 빠른 속도로 주행되어 하부 가설도로 경사면에 전복하여 사망 "/>
    <s v="눈썰매장 정상부에 정차된 살수차가 뒤로 밀려 하부 가설도로 경사면에서 전복"/>
    <s v="▶ 차량운행 중 넘어지거나 굴러 떨어질 위험이 있는 운행구간에서 차량 유도자를 배치하여 전복사고 예방_x000a_▶ 현장에서 작업하는 노후 된 살수차 등의 차량계 하역운반기계 및 건설기계는 정기적으로 자동차검사 실시 및 작업전 제동장치 등의 기능 점검"/>
  </r>
  <r>
    <n v="6"/>
    <x v="6"/>
    <x v="17"/>
    <x v="79"/>
    <s v="YES"/>
    <x v="3"/>
    <x v="6"/>
    <s v="12대 기인물"/>
    <n v="9"/>
    <n v="3.4000000000000002E-2"/>
    <s v="2019년 4월경"/>
    <d v="2019-04-01T00:00:00"/>
    <n v="4"/>
    <s v="-"/>
    <x v="2"/>
    <s v="2019년 4월경 수목 이식공사 현장에서 재해자가 적재한 소나무를 고정용 고무로프로 결박하는 작업 중 고무로프가 끊어지면서 몸의 중심을 잃고 0.8m 아래 바닥으로 추락하여 사망"/>
    <s v="굴취한 소나무 1주를 운반하기 위해 소형 화물자동차(1톤)에 소나무를 싣고 화물 고정용 고무로프로 결박하는 작업 중 고무로프가 끊어지면서 몸의 중심을 잃고 화물자동차의 적재함에서 도로 바닥면으로 추락"/>
    <s v="▶ 추락할 위험이 있는 장소에서 작업할 경우 이에 맞는 안전 보호구(안전모)착용_x000a_▶ 하역작업 등으로 트럭 적재함을 오를 경우 승강 사다리를 이용_x000a_▶ 불안정한 상태에서 하역작업(로프 해체, 덮개 제거 등) 금지"/>
  </r>
  <r>
    <n v="6"/>
    <x v="6"/>
    <x v="17"/>
    <x v="79"/>
    <s v="YES"/>
    <x v="3"/>
    <x v="4"/>
    <s v="12대 기인물"/>
    <n v="5"/>
    <n v="4.9000000000000002E-2"/>
    <s v="2019년 5월경"/>
    <d v="2019-05-01T00:00:00"/>
    <n v="5"/>
    <s v="-"/>
    <x v="1"/>
    <s v="2019년 5월경 조경공사에서 재해자가 굴착기와 자연석 인양 작업 중 체인이 벗겨지며 자연석이 덮쳐 사망"/>
    <s v="굴삭기로 조경석을 쌓던 중 인양줄걸이가 벗겨지면서 조경석이 전도되어 이에 깔림"/>
    <s v="▶ 나뭇가지 등 낙하물에 의한 위험 방지를 위해 낙하위험지역의 근로자 불필요한 출입 통제(출입 시 관리감독자 등 감독하에 출입)_x000a_▶ 개인 보호구 지급 및 착용 철저"/>
  </r>
  <r>
    <n v="6"/>
    <x v="6"/>
    <x v="17"/>
    <x v="79"/>
    <s v="YES"/>
    <x v="3"/>
    <x v="4"/>
    <s v="12대 기인물"/>
    <n v="5"/>
    <n v="4.9000000000000002E-2"/>
    <s v="2019년 10월"/>
    <d v="2019-10-01T00:00:00"/>
    <n v="10"/>
    <s v="-"/>
    <x v="1"/>
    <s v="2019년 10월경 산업단지 내 전기공사에서 재해자가 신호등 기초구조물 매설작업을 하던 중 PC기초를 양중하던 굴착기가 균형을 잃고 넘어지면서 굴착기 붐대에 깔려 사망"/>
    <s v="굴삭기를 이용하여 PC 기초 콘크리트 양중작업 중 굴삭기가 전도되면서 인근 작업자가 붐대에 깔림"/>
    <s v="▶ 차량계 건설기계 전도 방지를 위해 급경사 구간 사면완화 작업 조치_x000a_▶ 차량계 건설기계 사용시 작업 장소 내에 근로자의 출입 통제_x000a_▶ 유도자를 배치하여 차량계 건설기계 유도"/>
  </r>
  <r>
    <n v="6"/>
    <x v="6"/>
    <x v="17"/>
    <x v="79"/>
    <s v="YES"/>
    <x v="3"/>
    <x v="4"/>
    <s v="12대 기인물"/>
    <n v="5"/>
    <n v="4.9000000000000002E-2"/>
    <s v="2020년 3월경"/>
    <d v="2020-03-01T00:00:00"/>
    <n v="3"/>
    <s v="-"/>
    <x v="1"/>
    <s v="2020년 3월경 수목식재 사업현장에서 재해자가 화단 정리작업을 위해 이동하던 중 잔가지를 톤마대에 담고 매달아 이동하던 굴착기에 깔려 사망"/>
    <s v="굴삭기로 잔가지를 톤백마대에 담아 함께 이동 중 뒤따라오던 굴삭기에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6"/>
    <x v="6"/>
    <x v="17"/>
    <x v="79"/>
    <s v="YES"/>
    <x v="3"/>
    <x v="4"/>
    <s v="12대 기인물"/>
    <n v="5"/>
    <n v="4.9000000000000002E-2"/>
    <s v="2020년 7월경"/>
    <d v="2020-07-01T00:00:00"/>
    <n v="7"/>
    <s v="혹서기"/>
    <x v="1"/>
    <s v="2020년 7월경 아파트 하자보수공사에서 재해자가 퇴근하던 중 굴착기에 충돌하여 넘어진 후 앞바퀴에 하반신 일부(다리)가 깔려 사망"/>
    <s v="조경작업 중(또는 이동중) 주변 굴삭기에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80"/>
    <s v="YES"/>
    <x v="3"/>
    <x v="6"/>
    <s v="12대 기인물"/>
    <n v="9"/>
    <n v="3.4000000000000002E-2"/>
    <s v="2017년 12월"/>
    <d v="2017-12-01T00:00:00"/>
    <n v="12"/>
    <s v="혹한기"/>
    <x v="1"/>
    <s v="2017년 12월경 고속국도 건설공사에서 재해자가 도로 레벨측량 작업 중 후진하는 덤프트럭에 깔려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카메라 부착 또는 후방에 근로자의 접근을 알리는 후방센서, 경보장치 등 부착_x000a_▶ 차량계 건설기계 작업전 안전 점검 실시 및 후방카메라 등 방호장치 확인"/>
  </r>
  <r>
    <n v="7"/>
    <x v="9"/>
    <x v="24"/>
    <x v="80"/>
    <s v="YES"/>
    <x v="3"/>
    <x v="6"/>
    <s v="12대 기인물"/>
    <n v="9"/>
    <n v="3.4000000000000002E-2"/>
    <s v="2018년 5월경"/>
    <d v="2018-05-01T00:00:00"/>
    <n v="5"/>
    <s v="-"/>
    <x v="8"/>
    <s v="2018년 5월경 도로 포장공사 현장에서 재해자가 화물트럭 하부 정비작업 중 갑자기 경사면 아래로 굴러가면서 두부가 협착되어 사망"/>
    <s v="경사면에 주차된 차량이 브레이크 이상으로 굴러가면서 근로자 충돌"/>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카메라 부착 또는 후방에 근로자의 접근을 알리는 후방센서, 경보장치 등 부착_x000a_▶ 차량계 건설기계 작업전 안전 점검 실시 및 후방카메라 등 방호장치 확인"/>
  </r>
  <r>
    <n v="7"/>
    <x v="9"/>
    <x v="24"/>
    <x v="80"/>
    <s v="YES"/>
    <x v="3"/>
    <x v="6"/>
    <s v="12대 기인물"/>
    <n v="9"/>
    <n v="3.4000000000000002E-2"/>
    <s v="2018년 5월경"/>
    <d v="2018-05-01T00:00:00"/>
    <n v="5"/>
    <s v="-"/>
    <x v="1"/>
    <s v="2018년 5월경 포장공사 현장에서 재해자가 거푸집을 들고 이동중 포장작업을 위해 레미콘을 싣고 후진 중이던 덤프트럭에 깔려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카메라 부착 또는 후방에 근로자의 접근을 알리는 후방센서, 경보장치 등 부착_x000a_▶ 차량계 건설기계 작업전 안전 점검 실시 및 후방카메라 등 방호장치 확인"/>
  </r>
  <r>
    <n v="7"/>
    <x v="9"/>
    <x v="24"/>
    <x v="80"/>
    <s v="YES"/>
    <x v="3"/>
    <x v="6"/>
    <s v="12대 기인물"/>
    <n v="9"/>
    <n v="3.4000000000000002E-2"/>
    <s v="2021년 6월경"/>
    <d v="2021-06-01T00:00:00"/>
    <n v="6"/>
    <s v="혹서기"/>
    <x v="1"/>
    <s v="2021년 6월경 도로 포장보수공사현장에서 재해자가 교통신호를 하던 중 작업 예정구간으로 이동하기 위해 후진하던 덤프트럭에 깔려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카메라 부착 또는 후방에 근로자의 접근을 알리는 후방센서, 경보장치 등 부착_x000a_▶ 차량계 건설기계 작업전 안전 점검 실시 및 후방카메라 등 방호장치 확인"/>
  </r>
  <r>
    <n v="7"/>
    <x v="9"/>
    <x v="24"/>
    <x v="49"/>
    <s v="YES"/>
    <x v="3"/>
    <x v="6"/>
    <s v="12대 기인물"/>
    <n v="9"/>
    <n v="3.4000000000000002E-2"/>
    <s v="2016년 4월경"/>
    <d v="2016-04-01T00:00:00"/>
    <n v="4"/>
    <s v="-"/>
    <x v="1"/>
    <s v="2016년 4월경 도로 포장공사현장에서 재해자가 덤프트럭 운행구간에 서있던 중 후진하던 덤프트럭에 치여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49"/>
    <s v="YES"/>
    <x v="3"/>
    <x v="10"/>
    <s v="해당없음"/>
    <s v="해당없음"/>
    <s v="해당없음"/>
    <s v="2016년 8월경"/>
    <d v="2016-08-01T00:00:00"/>
    <n v="8"/>
    <s v="혹서기"/>
    <x v="1"/>
    <s v="2016년 8월경 도로 포장공사에서 재해자가 탠덤롤러 운전 후 하차하여 타이어 롤러 근처 서있다가 후진하는 타이어 롤러와 충돌하여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49"/>
    <s v="YES"/>
    <x v="3"/>
    <x v="10"/>
    <s v="해당없음"/>
    <s v="해당없음"/>
    <s v="해당없음"/>
    <s v="2016년 12월"/>
    <d v="2016-12-01T00:00:00"/>
    <n v="12"/>
    <s v="혹한기"/>
    <x v="1"/>
    <s v="2016년 12월경 도로개설공사 현장에서 재해자가 자전거도로 작업을 마무리 하던 중 후진하던 타이어롤러에 깔려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49"/>
    <s v="YES"/>
    <x v="3"/>
    <x v="6"/>
    <s v="12대 기인물"/>
    <n v="9"/>
    <n v="3.4000000000000002E-2"/>
    <s v="2017년 1월경"/>
    <d v="2017-01-01T00:00:00"/>
    <n v="1"/>
    <s v="혹한기"/>
    <x v="1"/>
    <s v="2017년 1월경 도로 포장공사현장에서 재해자가 기존도로 아스콘 절삭 작업을 하던 중 후진하던 덤프트럭에 치여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49"/>
    <s v="YES"/>
    <x v="3"/>
    <x v="7"/>
    <s v="해당없음"/>
    <s v="해당없음"/>
    <s v="해당없음"/>
    <s v="2017년 11월"/>
    <d v="2017-11-01T00:00:00"/>
    <n v="11"/>
    <s v="-"/>
    <x v="1"/>
    <s v="2017년 11월경 도로 개설현장에서 재해자가 터널 내부에서 수평 고르기 작업을 하던 중 후진하는 살수차(25t)에 깔려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49"/>
    <s v="YES"/>
    <x v="3"/>
    <x v="7"/>
    <s v="해당없음"/>
    <s v="해당없음"/>
    <s v="해당없음"/>
    <s v="2017년 12월"/>
    <d v="2017-12-01T00:00:00"/>
    <n v="12"/>
    <s v="혹한기"/>
    <x v="1"/>
    <s v="2017년 12월경 공장 신축공사 현장에서 재해자가 아스팔트 포장작업 중 후진하는 덤프트럭(25.5t)과 아스팔트 피니셔 사이에 끼여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49"/>
    <s v="YES"/>
    <x v="3"/>
    <x v="10"/>
    <s v="해당없음"/>
    <s v="해당없음"/>
    <s v="해당없음"/>
    <s v="2018년 4월경"/>
    <d v="2018-04-01T00:00:00"/>
    <n v="4"/>
    <s v="-"/>
    <x v="1"/>
    <s v="2018년 4월경 도로 포장공사 현장에서 재해자가 작업구간 내 주변 차량을 통제하던 중 후진하던 타이어롤러에 깔려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49"/>
    <s v="YES"/>
    <x v="3"/>
    <x v="10"/>
    <s v="해당없음"/>
    <s v="해당없음"/>
    <s v="해당없음"/>
    <s v="2018년 5월경"/>
    <d v="2018-05-01T00:00:00"/>
    <n v="5"/>
    <s v="-"/>
    <x v="1"/>
    <s v="2018년 5월경 도로 포장보수공사에서 재해자가 주행차량 신호업무를 하던 중 후진하던 타이어롤러에 충돌협착하여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49"/>
    <s v="YES"/>
    <x v="3"/>
    <x v="10"/>
    <s v="해당없음"/>
    <s v="해당없음"/>
    <s v="해당없음"/>
    <s v="2018년 5월경"/>
    <d v="2018-05-01T00:00:00"/>
    <n v="5"/>
    <s v="-"/>
    <x v="1"/>
    <s v="2018년 5월경 국도 개선공사현장에서 재해자가 롤러를 후진하던 중 다짐작업구간 단부에서 2.5m 사면 아래로 굴러 떨어지면서 롤러 뒷바퀴에 깔려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49"/>
    <s v="YES"/>
    <x v="3"/>
    <x v="6"/>
    <s v="12대 기인물"/>
    <n v="9"/>
    <n v="3.4000000000000002E-2"/>
    <s v="2018년 5월경"/>
    <d v="2018-05-01T00:00:00"/>
    <n v="5"/>
    <s v="-"/>
    <x v="1"/>
    <s v="2018년 5월경 포장보수공사 현장에서 재해자가 덤프트럭의 신호를 보던 중 덤프트럭 운전자가 갑자기 보이지 않는 재해자를 인지하지 못하고 후진하다 치여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49"/>
    <s v="YES"/>
    <x v="3"/>
    <x v="4"/>
    <s v="12대 기인물"/>
    <n v="5"/>
    <n v="4.9000000000000002E-2"/>
    <s v="2018년 6월경"/>
    <d v="2018-06-01T00:00:00"/>
    <n v="6"/>
    <s v="혹서기"/>
    <x v="1"/>
    <s v="2018년 6월경 도로 확포장공사에서 재해자가 도로 아스콘 포장작업 진행을 위해 횡단하던 중 회전교차로에 진입하던 굴착기에 깔려 사망"/>
    <s v="적재물로 인해 시야가 미확보된 굴삭기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49"/>
    <s v="YES"/>
    <x v="3"/>
    <x v="6"/>
    <s v="12대 기인물"/>
    <n v="9"/>
    <n v="3.4000000000000002E-2"/>
    <s v="2019년 5월경"/>
    <d v="2019-05-01T00:00:00"/>
    <n v="5"/>
    <s v="-"/>
    <x v="1"/>
    <s v="2019년 5월경 도로 포장공사에서 재해자가 교통차단 시설을 옮기려던 중 후진하는 작업보호차량에 깔려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49"/>
    <s v="YES"/>
    <x v="3"/>
    <x v="6"/>
    <s v="12대 기인물"/>
    <n v="9"/>
    <n v="3.4000000000000002E-2"/>
    <s v="2019년 6월경"/>
    <d v="2019-06-01T00:00:00"/>
    <n v="6"/>
    <s v="혹서기"/>
    <x v="2"/>
    <s v="2019년 6월경 하수시설물 보수공사에서 재해자가 4.5t 덤프트럭 상부에서 작업을 준비하던 중 추락하여 사망"/>
    <s v="횡단 빗물받이 주변 아스콘 포장을 하기 위해 덤프트럭(화물자동차) 상부에서 작업을 준비하던 중 중심을 잃고 추락"/>
    <s v="▶ 추락할 위험이 있는 장소에서 작업할 경우 이에 맞는 안전 보호구(안전모)착용_x000a_▶ 하역작업 등으로 트럭 적재함을 오를 경우 승강 사다리를 이용_x000a_▶ 불안정한 상태에서 하역작업(로프 해체, 덮개 제거 등) 금지"/>
  </r>
  <r>
    <n v="7"/>
    <x v="9"/>
    <x v="24"/>
    <x v="49"/>
    <s v="YES"/>
    <x v="3"/>
    <x v="10"/>
    <s v="해당없음"/>
    <s v="해당없음"/>
    <s v="해당없음"/>
    <s v="2019년 7월경"/>
    <d v="2019-07-01T00:00:00"/>
    <n v="7"/>
    <s v="혹서기"/>
    <x v="1"/>
    <s v="2019년 7월경 도로 포장공사 현장에서 재해자가 포장온도를 확인하던 중 후진하던 타이어올러에 깔려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49"/>
    <s v="YES"/>
    <x v="3"/>
    <x v="6"/>
    <s v="12대 기인물"/>
    <n v="9"/>
    <n v="3.4000000000000002E-2"/>
    <s v="2019년 12월"/>
    <d v="2019-12-01T00:00:00"/>
    <n v="12"/>
    <s v="혹한기"/>
    <x v="1"/>
    <s v="2019년 12월경 도로 포장공사에서 재해자가 콘크리트 포장작업을 위해 거리 측정을 도와주던 중 후진으로 운전 중인 화물트럭적재함(2.5t) 후면부에 깔려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49"/>
    <s v="YES"/>
    <x v="3"/>
    <x v="6"/>
    <s v="12대 기인물"/>
    <n v="9"/>
    <n v="3.4000000000000002E-2"/>
    <s v="2020년 4월경"/>
    <d v="2020-04-01T00:00:00"/>
    <n v="4"/>
    <s v="-"/>
    <x v="1"/>
    <s v="2020년 4월경 도로 포장공사에서 재해자가 도로 주행차량 통행을 유도하던 중 폐기물을 싣기 위해 후진하던 폐기물 운반용 덤프트럭(5t)에 깔려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49"/>
    <s v="YES"/>
    <x v="3"/>
    <x v="7"/>
    <s v="해당없음"/>
    <s v="해당없음"/>
    <s v="해당없음"/>
    <s v="2020년 5월경"/>
    <d v="2020-05-01T00:00:00"/>
    <n v="5"/>
    <s v="-"/>
    <x v="1"/>
    <s v="2020년 5월경 도로 확포장공사에서 노면파쇄기를 운반해 온 트레일러 운전자인 재해자가 후진으로 작업 중인 스키드로더 바퀴에 깔려 사망"/>
    <s v="시야가 미확보된 상태에서 후진하던 차량계 건설기계에 주변 근로자가 깔림"/>
    <s v="▶ 차량계 건설기계 사용시 작업 장소 내에 근로자의 출입 통제_x000a_▶ 유도자를 배치하여 차량계 건설기계 유도_x000a_▶ 후방카메라 설치 등 장비에 의한 접촉방지조치 실행"/>
  </r>
  <r>
    <n v="7"/>
    <x v="9"/>
    <x v="24"/>
    <x v="49"/>
    <s v="YES"/>
    <x v="3"/>
    <x v="4"/>
    <s v="12대 기인물"/>
    <n v="5"/>
    <n v="4.9000000000000002E-2"/>
    <s v="2020년 7월경"/>
    <d v="2020-07-01T00:00:00"/>
    <n v="7"/>
    <s v="혹서기"/>
    <x v="8"/>
    <s v="2020년 7월경 도로 건설현장에서 재해자가 굴착기 옆을 이동하던 중 굴착기의 붐대가 빠르게 회전하여 1차 충돌 후 정지상태의 콘크리트 피니셔와 2차 충돌 후 사망"/>
    <s v="시야가 미확보된 상태에서 회전하는 굴착기 붐태에 충돌"/>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49"/>
    <s v="YES"/>
    <x v="3"/>
    <x v="6"/>
    <s v="12대 기인물"/>
    <n v="9"/>
    <n v="3.4000000000000002E-2"/>
    <s v="2021년 4월경"/>
    <d v="2021-04-01T00:00:00"/>
    <n v="4"/>
    <s v="-"/>
    <x v="1"/>
    <s v="2021년 4월경 도로 포장공사에서 재해자가 덤프트럭이 부은 아스콘을 삽으로 펼치는 작업을 하던 중 추가 공급을 위해 후진하던 덤프트럭에 깔려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49"/>
    <s v="YES"/>
    <x v="3"/>
    <x v="4"/>
    <s v="12대 기인물"/>
    <n v="5"/>
    <n v="4.9000000000000002E-2"/>
    <s v="2021년 5월경"/>
    <d v="2021-05-01T00:00:00"/>
    <n v="5"/>
    <s v="-"/>
    <x v="1"/>
    <s v="2021년 5월경 노후관료 교체공사에서 재해자가 임시 포장구간을 청소하던 중 아스팔트 평탄화 작업을 위해 후진하던 굴착기에 깔려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49"/>
    <s v="YES"/>
    <x v="3"/>
    <x v="6"/>
    <s v="12대 기인물"/>
    <n v="9"/>
    <n v="3.4000000000000002E-2"/>
    <s v="2021년 8월경"/>
    <d v="2021-08-01T00:00:00"/>
    <n v="8"/>
    <s v="혹서기"/>
    <x v="1"/>
    <s v="2021년 8월경 도로 포장공사에서 재해자가 장비유도자 역할을 하던 중 후진하는 덤프트럭(25.5.t)에 치여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49"/>
    <s v="YES"/>
    <x v="3"/>
    <x v="7"/>
    <s v="해당없음"/>
    <s v="해당없음"/>
    <s v="해당없음"/>
    <s v="2021년 9월경"/>
    <d v="2021-09-01T00:00:00"/>
    <n v="9"/>
    <s v="-"/>
    <x v="1"/>
    <s v="2021년 9월경 하천 재해예방사업 현장에서 재해자가 적재함 청소작업 하던 중 후진하는 스키드 로더와 덤프트럭 적재함 사이에 협착되어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49"/>
    <s v="YES"/>
    <x v="3"/>
    <x v="7"/>
    <s v="해당없음"/>
    <s v="해당없음"/>
    <s v="해당없음"/>
    <s v="2021년 9월경"/>
    <d v="2021-09-01T00:00:00"/>
    <n v="9"/>
    <s v="-"/>
    <x v="1"/>
    <s v="2021년 9월경 포장복구공사 현장에서 재해자가 포장복구 작업을 하던 중 후진하는 타이어롤러에 부딪힌 후 깔려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39"/>
    <x v="81"/>
    <s v="YES"/>
    <x v="3"/>
    <x v="5"/>
    <s v="12대 기인물"/>
    <n v="12"/>
    <n v="2.3E-2"/>
    <s v="2016년 1월경"/>
    <d v="2016-01-01T00:00:00"/>
    <n v="1"/>
    <s v="혹한기"/>
    <x v="1"/>
    <s v="2016년 1월경 부지정지공사 현장에서 재해자가 이동식 크레인을 이용하여 쇄석기 인양작업을 하던 중 인양하중을 견디지 못하고 전도되어 이동식 크레인에 깔려 사망"/>
    <s v="이동식크레인을 이용하여 쇄석기(콘크러셔) 톱셀 인양작업을 하던 중 인양하중을 견디지 못해 전도되던 이동식크레인 붐대에 깔림"/>
    <s v="▶ 이동식크레인을 사용하여 인양작업을 하는 경우 전도에 예방하기 위해 크레인의 강도, 안정도 등 설계기준을 준수_x000a_▶ 이동식크레인을 사용하여 인양작업을 하는 경우 임계하중 값을 초과하지 않는 범위내에서 작업 수행"/>
  </r>
  <r>
    <n v="7"/>
    <x v="9"/>
    <x v="39"/>
    <x v="81"/>
    <s v="YES"/>
    <x v="3"/>
    <x v="6"/>
    <s v="12대 기인물"/>
    <n v="9"/>
    <n v="3.4000000000000002E-2"/>
    <s v="2016년 5월경"/>
    <d v="2016-05-01T00:00:00"/>
    <n v="5"/>
    <s v="-"/>
    <x v="7"/>
    <s v="2016년 5월경 부지조성공사에서 재해자가 덤프트럭 신호를 보던 중 몸의 중심을 잃고 갯벌에 빠져 사망"/>
    <s v="덤프트럭이 매립지반 단부에서 하역하는 순간 매립지반 단부가 침하되어 덤프트럭이 전락"/>
    <s v="▶ 매립지반 단부에서 하역작업을 실시하는 경우 무리하게 단부에 접근을 금지_x000a_▶ 기계 운전 시작 시 근로자 배치 및 교육, 작업방법, 방호장치 등 위험방지를 위한 조치 실시_x000a_▶ 슬래그 하역작업 시 하역작업 부근에는 근로자 출입금지 및 유도자 배치"/>
  </r>
  <r>
    <n v="7"/>
    <x v="9"/>
    <x v="39"/>
    <x v="81"/>
    <s v="YES"/>
    <x v="3"/>
    <x v="11"/>
    <s v="해당없음"/>
    <s v="해당없음"/>
    <s v="해당없음"/>
    <s v="2016년 9월경"/>
    <d v="2016-09-01T00:00:00"/>
    <n v="9"/>
    <s v="-"/>
    <x v="8"/>
    <s v="2016년 9월경 철도 유지보수공사에서 재해자가 자재를 반출하기 위해 궤도를 따라 이동하던 중 운행중이던 전동열차와 충돌하여 2명 사망"/>
    <s v="근로자가 침목 하부로부터 교체된 폐자갈을 반출하기 위해 궤도를 따라 작업지점으로 이동 중 열차와 충돌"/>
    <s v="▶ 철도운행 안전협의 완료 전에 출입 통제구역 내로 임의 출입금지조치 실시_x000a_▶ 작업인원 안전보호구(안전조끼, 안전모, 안전화) 및 휴대용품(열차감시용 무전기, 호루라기, 경보기, 손전등) 지급 및 착용상태 확인_x000a_▶ 철도 내 작업 시, 근로자 안전을 위한 신호수 역할의 열차감시원 배치"/>
  </r>
  <r>
    <n v="7"/>
    <x v="9"/>
    <x v="39"/>
    <x v="81"/>
    <s v="YES"/>
    <x v="3"/>
    <x v="10"/>
    <s v="해당없음"/>
    <s v="해당없음"/>
    <s v="해당없음"/>
    <s v="2016년 10월"/>
    <d v="2016-10-01T00:00:00"/>
    <n v="10"/>
    <s v="-"/>
    <x v="1"/>
    <s v="2016년 10월경 국도건설공사현장에서 재해자가 진동롤러를 사용하여 노상 다짐작업 중 도로 경사면으로 굴러 떨어져 장비협착되어 사망"/>
    <s v="도로 성토부 노상 다짐 작업 중 진동로울러가 도로 경사면 단부 끝으로 굴러 떨어지며 전도되어 운전중이던 근로자가 튕겨 나와 진동로울러에 깔림"/>
    <s v="▶ 성토부 단부에서 진동롤러로 다짐을 실시하는 경우 무리하게 단부에 접근을 금지_x000a_▶ 성토부 단부를 다짐할 경우 단부끝에서 1~1.5m 이격하여 작업할 수 있도록 접근금지 조치 및 난간 등 설치 후 소형 다짐기로 다짐작업 조치_x000a_▶ 기계 운전 시작 시 근로자 배치 및 교육, 작업방법, 방호장치 등 위험방지를 위한 조치 실시"/>
  </r>
  <r>
    <n v="7"/>
    <x v="9"/>
    <x v="39"/>
    <x v="81"/>
    <s v="YES"/>
    <x v="3"/>
    <x v="6"/>
    <s v="12대 기인물"/>
    <n v="9"/>
    <n v="3.4000000000000002E-2"/>
    <s v="2017년 1월경"/>
    <d v="2017-01-01T00:00:00"/>
    <n v="1"/>
    <s v="혹한기"/>
    <x v="1"/>
    <s v="2017년 1월경 고속도로 터널현장에서 재해자가 이동하던 중 덤프트럭(15t)에 부딪혀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카메라 부착 또는 후방에 근로자의 접근을 알리는 후방센서, 경보장치 등 부착_x000a_▶ 차량계 건설기계 작업전 안전 점검 실시 및 후방카메라 등 방호장치 확인"/>
  </r>
  <r>
    <n v="7"/>
    <x v="9"/>
    <x v="39"/>
    <x v="81"/>
    <s v="YES"/>
    <x v="3"/>
    <x v="10"/>
    <s v="해당없음"/>
    <s v="해당없음"/>
    <s v="해당없음"/>
    <s v="2017년 3월경"/>
    <d v="2017-03-01T00:00:00"/>
    <n v="3"/>
    <s v="-"/>
    <x v="1"/>
    <s v="2017년 3월경 도로 포장공사현장에서 재해자가 타이어롤러를 운전하여 포장 다짐작업을 하던 중 후진하다 갓길 측면에 굴러 5m 아래로 추락하여 사망"/>
    <s v="도로 성토부 노상 다짐 작업 중 진동로울러가 도로 경사면 단부 끝으로 굴러 떨어지며 전도되어 운전중이던 근로자가 튕겨 나와 진동로울러에 깔림"/>
    <s v="▶ 성토부 단부에서 진동롤러로 다짐을 실시하는 경우 무리하게 단부에 접근을 금지_x000a_▶ 성토부 단부를 다짐할 경우 단부끝에서 1~1.5m 이격하여 작업할 수 있도록 접근금지 조치 및 난간 등 설치 후 소형 다짐기로 다짐작업 조치_x000a_▶ 기계 운전 시작 시 근로자 배치 및 교육, 작업방법, 방호장치 등 위험방지를 위한 조치 실시"/>
  </r>
  <r>
    <n v="7"/>
    <x v="9"/>
    <x v="39"/>
    <x v="81"/>
    <s v="YES"/>
    <x v="3"/>
    <x v="7"/>
    <s v="해당없음"/>
    <s v="해당없음"/>
    <s v="해당없음"/>
    <s v="2017년 4월경"/>
    <d v="2017-04-01T00:00:00"/>
    <n v="4"/>
    <s v="-"/>
    <x v="6"/>
    <s v="2017년 4월경 보도블럭 보수 및 도로 재포장 공사현장에서 재해자가 아스콘 다짐작업 후 주차장 램프로 후진하여 이동하던 중 천정과 타이어 롤러 핸들사이에 끼여 사망"/>
    <s v="아파트 지하주차장 램프로 타이어로라가 후진하여 이동 중 지하주차장 램프 천정 콘크리트 면과 타이어로라 핸들에 근로자가 끼임"/>
    <s v="▶ 지하주차장 램프로 후진하는 타이어로라 주변에 장비유도자 배치_x000a_▶ 차량계 건설기계가 사각지대 발생가능성이 높은 장소에서 단독으로 작업을 금지"/>
  </r>
  <r>
    <n v="7"/>
    <x v="9"/>
    <x v="39"/>
    <x v="81"/>
    <s v="YES"/>
    <x v="3"/>
    <x v="7"/>
    <s v="해당없음"/>
    <s v="해당없음"/>
    <s v="해당없음"/>
    <s v="2017년 5월경"/>
    <d v="2017-05-01T00:00:00"/>
    <n v="5"/>
    <s v="-"/>
    <x v="7"/>
    <s v="2017년 5월경 단지 부지조성공사에서 재해자가 불도저를 운행하여 경사지에서 흙을 밀어내리는 작업을 하던 중 주변 지반이 무너져 전복되어 주변 토사에 매몰되어 사망"/>
    <s v="불도져가 경사지에서 흙을 밀어내리는 작업을 위해 경사로를 운행하여 이동 중 주변 지반이 무너져 불도저가 전복되어 주변 토사에 매몰됨"/>
    <s v="▶ 건설기계를 사용하는 작업 시 장비유도자 배치_x000a_▶ 지반의 부등침하, 성토부의 붕괴 방지 및 장비이동통로 폭을 유지한 뒤 작업 실시_x000a_▶ 성토부에서 불도저로 작업을 하는 경우 무리하게 단부 끝으로 접근 금지"/>
  </r>
  <r>
    <n v="7"/>
    <x v="9"/>
    <x v="39"/>
    <x v="81"/>
    <s v="YES"/>
    <x v="3"/>
    <x v="6"/>
    <s v="12대 기인물"/>
    <n v="9"/>
    <n v="3.4000000000000002E-2"/>
    <s v="2017년 10월"/>
    <d v="2017-10-01T00:00:00"/>
    <n v="10"/>
    <s v="-"/>
    <x v="1"/>
    <s v="2017년 10월경 아파트 건설현장에서 재해자가 현장 관리감독하던 중 후진하던 덤프트럭(25t)에 치여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카메라 부착 또는 후방에 근로자의 접근을 알리는 후방센서, 경보장치 등 부착_x000a_▶ 차량계 건설기계 작업전 안전 점검 실시 및 후방카메라 등 방호장치 확인"/>
  </r>
  <r>
    <n v="7"/>
    <x v="9"/>
    <x v="39"/>
    <x v="81"/>
    <s v="YES"/>
    <x v="3"/>
    <x v="6"/>
    <s v="12대 기인물"/>
    <n v="9"/>
    <n v="3.4000000000000002E-2"/>
    <s v="2017년 11월"/>
    <d v="2017-11-01T00:00:00"/>
    <n v="11"/>
    <s v="-"/>
    <x v="1"/>
    <s v="2017년 11월경 도로 확포장공사현장에서 재해자가 덤프트럭을 운전하여 경사로를 올라가던 중 차량의 이상함을 느끼고 점검하던 중 브레이크가 풀리면서 차량에 깔려 사망"/>
    <s v="하적(下積)작업을 위한 불도저 수리 후 작동유무를 확인하는 과정에서 불도저가 후진하자 시동을 끄기 위해 운전석으로 탑승시도 중 불도저 무한궤도에 깔림"/>
    <s v="▶ 차량계 하역운반기계에서 운전자가 운전석을 이탈하는 경우 주차 브레이크의 확실한 체결 및 차량 고임목 설치_x000a_▶ 차량계 건설기계 사용 작업시 사전에 차량의 제동장치 기능 이상 유무 점검_x000a_▶ 경사로의 주차하는 경우 핸드(주차) 브레이크와 풋 브레이크를 함께 사용_x000a_▶ 차량계 하역운반기계가 경사로로 밀려 내러가는 경우, 무리하게 인력으로 차량 앞을 막아서는 행위 금지"/>
  </r>
  <r>
    <n v="7"/>
    <x v="9"/>
    <x v="39"/>
    <x v="81"/>
    <s v="YES"/>
    <x v="3"/>
    <x v="4"/>
    <s v="12대 기인물"/>
    <n v="5"/>
    <n v="4.9000000000000002E-2"/>
    <s v="2018년 9월경"/>
    <d v="2018-09-01T00:00:00"/>
    <n v="9"/>
    <s v="-"/>
    <x v="1"/>
    <s v="2018년 9월경 도시가스 배관공사 현장에서 재해자가 바닥면 골재 정리 작업중인 굴착기 후면으로 이동하던 중 굴착기가 갑자기 후진하여 충돌 후 깔려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39"/>
    <x v="81"/>
    <s v="YES"/>
    <x v="3"/>
    <x v="7"/>
    <s v="해당없음"/>
    <s v="해당없음"/>
    <s v="해당없음"/>
    <s v="2018년 10월"/>
    <d v="2018-10-01T00:00:00"/>
    <n v="10"/>
    <s v="-"/>
    <x v="1"/>
    <s v="2018년 10월경 야적장에서 재해자가 불도저 수리후 작동유무를 확인하던 중 불도저가 후진하자 시동을 끄기위해 운전석에 탑승시도 중 깔려 사망"/>
    <s v="하적(下積)작업을 위한 불도저 수리 후 작동유무를 확인하는 과정에서 불도저가 후진하자 시동을 끄기 위해 운전석으로 탑승시도 중 불도저 무한궤도에 깔림"/>
    <s v="▶ 차량계 하역운반기계에서 운전자가 운전석을 이탈하는 경우 주차 브레이크의 확실한 체결 및 차량 고임목 설치_x000a_▶ 차량계 건설기계 사용 작업시 사전에 차량의 제동장치 기능 이상 유무 점검_x000a_▶ 경사로의 주차하는 경우 핸드(주차) 브레이크와 풋 브레이크를 함께 사용_x000a_▶ 차량계 하역운반기계가 경사로로 밀려 내러가는 경우, 무리하게 인력으로 차량 앞을 막아서는 행위 금지"/>
  </r>
  <r>
    <n v="7"/>
    <x v="9"/>
    <x v="39"/>
    <x v="81"/>
    <s v="YES"/>
    <x v="3"/>
    <x v="10"/>
    <s v="해당없음"/>
    <s v="해당없음"/>
    <s v="해당없음"/>
    <s v="2018년 12월"/>
    <d v="2018-12-01T00:00:00"/>
    <n v="12"/>
    <s v="혹한기"/>
    <x v="1"/>
    <s v="2018년 12월경 부지조성공사에서 재해자가 타이어 롤러를 운전하던 중 교량 하부 구조물에 협착되어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39"/>
    <x v="81"/>
    <s v="YES"/>
    <x v="3"/>
    <x v="10"/>
    <s v="해당없음"/>
    <s v="해당없음"/>
    <s v="해당없음"/>
    <s v="2019년 2월경"/>
    <d v="2019-02-01T00:00:00"/>
    <n v="2"/>
    <s v="혹한기"/>
    <x v="1"/>
    <s v="2019년 2월경 도로 개설공사 현장에서 재해자가 진동롤러를 운행하여 이동하던 중 진동롤러가 5.3m 아래로 떨어지면서 진동롤러에 깔려 사망"/>
    <s v="하적(下積)작업을 위한 불도저 수리 후 작동유무를 확인하는 과정에서 불도저가 후진하자 시동을 끄기 위해 운전석으로 탑승시도 중 불도저 무한궤도에 깔림"/>
    <s v="▶ 차량계 하역운반기계에서 운전자가 운전석을 이탈하는 경우 주차 브레이크의 확실한 체결 및 차량 고임목 설치_x000a_▶ 차량계 건설기계 사용 작업시 사전에 차량의 제동장치 기능 이상 유무 점검_x000a_▶ 경사로의 주차하는 경우 핸드(주차) 브레이크와 풋 브레이크를 함께 사용_x000a_▶ 차량계 하역운반기계가 경사로로 밀려 내러가는 경우, 무리하게 인력으로 차량 앞을 막아서는 행위 금지"/>
  </r>
  <r>
    <n v="7"/>
    <x v="9"/>
    <x v="39"/>
    <x v="81"/>
    <s v="YES"/>
    <x v="3"/>
    <x v="4"/>
    <s v="12대 기인물"/>
    <n v="5"/>
    <n v="4.9000000000000002E-2"/>
    <s v="2019년 5월경"/>
    <d v="2019-05-01T00:00:00"/>
    <n v="5"/>
    <s v="-"/>
    <x v="1"/>
    <s v="2019년 5월경 하천 정비공사현장에서 재해자가 일반차량 교통통제 신호를 보던 중 후진하던 굴착기에 깔려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39"/>
    <x v="81"/>
    <s v="YES"/>
    <x v="3"/>
    <x v="6"/>
    <s v="12대 기인물"/>
    <n v="9"/>
    <n v="3.4000000000000002E-2"/>
    <s v="2020년 6월경"/>
    <d v="2020-06-01T00:00:00"/>
    <n v="6"/>
    <s v="혹서기"/>
    <x v="1"/>
    <s v="2020년 6월경 도로공사 현장에서 재해자가 이동하던 중 운행 중이던 덤프트럭(25.5t)에 부딪혀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카메라 부착 또는 후방에 근로자의 접근을 알리는 후방센서, 경보장치 등 부착_x000a_▶ 차량계 건설기계 작업전 안전 점검 실시 및 후방카메라 등 방호장치 확인"/>
  </r>
  <r>
    <n v="7"/>
    <x v="9"/>
    <x v="39"/>
    <x v="81"/>
    <s v="YES"/>
    <x v="3"/>
    <x v="4"/>
    <s v="12대 기인물"/>
    <n v="5"/>
    <n v="4.9000000000000002E-2"/>
    <s v="2020년 7월경"/>
    <d v="2020-07-01T00:00:00"/>
    <n v="7"/>
    <s v="혹서기"/>
    <x v="1"/>
    <s v="2020년 7월경 골프장 부지조성공사 현장에서 재해자가 덤프트럭 후면과 적재함 문사이의 흙을 털어내는 작업 중 후진하던 굴착기가 덤프트럭 적재함 문에 충돌하면서 그 사이 협착되어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39"/>
    <x v="81"/>
    <s v="YES"/>
    <x v="3"/>
    <x v="6"/>
    <s v="12대 기인물"/>
    <n v="9"/>
    <n v="3.4000000000000002E-2"/>
    <s v="2020년 8월경"/>
    <d v="2020-08-01T00:00:00"/>
    <n v="8"/>
    <s v="혹서기"/>
    <x v="1"/>
    <s v="2020년 8월경 야적장에서 재해자가 덤프트럭 운행하던 중 차량이 조수석 방향으로 전도되면서 사망"/>
    <s v="하역 작업 중 적재함을 상승시키자 덤프트럭이 균형을 잃고 전도됨"/>
    <s v="▶ 운반 및 하역 작업 시 적재용량을 초과하여 무리한 운반을 금지_x000a_▶ 지반이 고르지 못한 곳에서는 하역 시 무리한 적재함 상승 금지_x000a_▶ 덤프트럭 하역작업 시 차량 전도 등 비상사태를 예방하기 위해 안전벨트 등 보호구 상시 착용"/>
  </r>
  <r>
    <n v="7"/>
    <x v="9"/>
    <x v="39"/>
    <x v="81"/>
    <s v="YES"/>
    <x v="3"/>
    <x v="10"/>
    <s v="해당없음"/>
    <s v="해당없음"/>
    <s v="해당없음"/>
    <s v="2021년 7월경"/>
    <d v="2021-07-01T00:00:00"/>
    <n v="7"/>
    <s v="혹서기"/>
    <x v="2"/>
    <s v="2021년 7월경 구조물 개량공사 현장에서 재해자가 탠덤롤러 운전석에서 내려오던 중 몸의 중심을 잃고 1.8m 아래로 떨어져 사망"/>
    <s v="탠덤롤러 운전원이 다음 작업 구간으로 이동하기 위해 탠덤롤러를 트레일러에 싣고 운전석에서 내려오던 중 몸의 중심을 잃고 바닥으로 떨어짐"/>
    <s v="▶ 건설기계에 승하강 시 승하강 사다리, 통로, 계단 등으로만 승하강 실시_x000a_▶ 기계 운전 시작 시 근로자 배치 및 교육, 작업방법, 방호장치 등 위험방지를 위한 조치 실시_x000a_▶ 개인보호구 지급 및 착용"/>
  </r>
  <r>
    <n v="7"/>
    <x v="9"/>
    <x v="39"/>
    <x v="81"/>
    <s v="YES"/>
    <x v="3"/>
    <x v="10"/>
    <s v="해당없음"/>
    <s v="해당없음"/>
    <s v="해당없음"/>
    <s v="2021년 7월경"/>
    <d v="2021-07-01T00:00:00"/>
    <n v="7"/>
    <s v="혹서기"/>
    <x v="1"/>
    <s v="2021년 7월경 공장 신축공사 현장에서 재해자가 롤러를 운행하여 바닥 다짐작업을 하던 중 롤러를 정지시키지 않고 하차하여 롤러에 깔려 사망"/>
    <s v="하적(下積)작업을 위한 불도저 수리 후 작동유무를 확인하는 과정에서 불도저가 후진하자 시동을 끄기 위해 운전석으로 탑승시도 중 불도저 무한궤도에 깔림"/>
    <s v="▶ 차량계 하역운반기계에서 운전자가 운전석을 이탈하는 경우 주차 브레이크의 확실한 체결 및 차량 고임목 설치_x000a_▶ 차량계 건설기계 사용 작업시 사전에 차량의 제동장치 기능 이상 유무 점검_x000a_▶ 경사로의 주차하는 경우 핸드(주차) 브레이크와 풋 브레이크를 함께 사용_x000a_▶ 차량계 하역운반기계가 경사로로 밀려 내러가는 경우, 무리하게 인력으로 차량 앞을 막아서는 행위 금지"/>
  </r>
  <r>
    <n v="8"/>
    <x v="7"/>
    <x v="26"/>
    <x v="51"/>
    <s v="NO"/>
    <x v="3"/>
    <x v="7"/>
    <s v="해당없음"/>
    <s v="해당없음"/>
    <s v="해당없음"/>
    <s v="2018년 9월 "/>
    <d v="2018-09-01T00:00:00"/>
    <n v="9"/>
    <s v="-"/>
    <x v="2"/>
    <s v="2018년 9월 교량 균열 보수공사 현장에서 재해자가 하부 균열 보수작업 완료 확인 후 하부 작업대와 수직타워의 연결부가 파단되면서 42m 아래 수면으로 떨어져 익사"/>
    <s v="굴절차 철수 과정 중 하부 작업대와 수직타워의 연결부가 걸려 무리하게 작동 중 파단되어 작업대에 있던 근로자가 수면으로 추락해 익사"/>
    <s v="▶ 굴절차와 같은 작업자를 태운상태에서 구조물에 장비일부가 걸린 경우 무리하게 작동금지_x000a_▶ 하부작업대 작업상황 확인 및 신호체계 확보 후 굴절차 조작_x000a_▶ 교량 구조물과 충돌 방지를 위한 하부 작업대 안전장치 설치_x000a_▶ 고소작업대 사용 시 안전대 지급 및 안전대 부착설비 설치"/>
  </r>
  <r>
    <n v="8"/>
    <x v="7"/>
    <x v="26"/>
    <x v="82"/>
    <s v="NO"/>
    <x v="3"/>
    <x v="11"/>
    <s v="해당없음"/>
    <s v="해당없음"/>
    <s v="해당없음"/>
    <s v="2019년 11월"/>
    <d v="2019-11-01T00:00:00"/>
    <n v="11"/>
    <s v="-"/>
    <x v="2"/>
    <s v="2019년 11월 육교설치 현장에서 재해자가 고소작업대에 탑승하여 하부 도장 보수작업 중 고소작업대 작업구간에 접근하던 버스와 충돌하여 4.6m 아래 바닥으로 추락하여 사망"/>
    <s v="근로자가 고소작업대에 탑승하여 강교 하부 도장 보수 작업 중 접근하던 버스와 충돌하면서 근로자가 도로 바닥으로 추락"/>
    <s v="▶ 고소작업대 추락에 대비하여 안전대 착용_x000a_▶ 고소작업대 사용 시 안전대 지급 및 안전대 부착설비 설치"/>
  </r>
  <r>
    <n v="9"/>
    <x v="11"/>
    <x v="40"/>
    <x v="83"/>
    <s v="NO"/>
    <x v="3"/>
    <x v="6"/>
    <s v="12대 기인물"/>
    <n v="9"/>
    <n v="3.4000000000000002E-2"/>
    <s v="2019년 9월경"/>
    <d v="2019-09-01T00:00:00"/>
    <n v="9"/>
    <s v="-"/>
    <x v="8"/>
    <s v="2019년 9월경 OO건설(주)이 시공하는 OO노반건설공사 OO터널에서 라이닝작업 협력업체 소속 재해자가 터널 종점부 입구방향으로 이동 중 후진하는 트럭에 접촉되어 사망"/>
    <s v="근로자용 안전통로가 미 설치된 현장에서 근로자가 터널 종점부 입구방향으로 이동 중 후진하는 트럭에 접촉"/>
    <s v="▶ 작업장 주변 및 내부에 근로자용 안전통로 설치_x000a_▶ 차량계 건설기계와 접촉을 방지하기 위해 근로자 출입 통제 및 유도자 배치"/>
  </r>
  <r>
    <n v="9"/>
    <x v="11"/>
    <x v="41"/>
    <x v="84"/>
    <s v="NO"/>
    <x v="3"/>
    <x v="7"/>
    <s v="해당없음"/>
    <s v="해당없음"/>
    <s v="해당없음"/>
    <s v="2019년 9월경"/>
    <d v="2019-09-01T00:00:00"/>
    <n v="9"/>
    <s v="-"/>
    <x v="6"/>
    <s v="2019년 9월경 터널 건설공사에서 재해자가 버력 반출용도의 광차를 연결하던 중 광차 사이에 머리가 끼여 사망"/>
    <s v="터널 내부 배터리카(갱내형 축전차) 하역을 마치고 수직구 방향으로 이동하던 중 근로자 본인이 운전하던 배터리카가 움직여 운반대차 하부 철제바퀴와 레일 사이에 끼임"/>
    <s v="▶ 배터리카 운전자가 운전석을 이탈하는 경우 브레이크의 확실한 체결 등 이탈에 대해 방지조치 실시_x000a_▶ 배터리카에 자재를 적재 시 고정상태 확인 후 이동_x000a_▶ 작업 전 사전에 차량의 제동장치 기능 이상 유무 점검"/>
  </r>
  <r>
    <n v="9"/>
    <x v="11"/>
    <x v="42"/>
    <x v="85"/>
    <s v="NO"/>
    <x v="3"/>
    <x v="4"/>
    <s v="12대 기인물"/>
    <n v="5"/>
    <n v="4.9000000000000002E-2"/>
    <s v="2018년 9월경"/>
    <d v="2018-09-01T00:00:00"/>
    <n v="9"/>
    <s v="-"/>
    <x v="1"/>
    <s v="2018년 9월경 전철 건설공사현장에서 재해자가 철근 산소용단 작업 중 굴착기의 후방 무한궤도에 깔려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9"/>
    <x v="11"/>
    <x v="43"/>
    <x v="86"/>
    <s v="NO"/>
    <x v="3"/>
    <x v="7"/>
    <s v="해당없음"/>
    <s v="해당없음"/>
    <s v="해당없음"/>
    <s v="2020년 6월경"/>
    <d v="2020-06-01T00:00:00"/>
    <n v="6"/>
    <s v="혹서기"/>
    <x v="6"/>
    <s v="2020년 6월경 전력구공사 현장에서 재해자가 수직구 방향으로 이동하던 중 운전하던 운반대차 하부 철제바퀴와 레일 사이에 끼여 사망"/>
    <s v="터널 내부 배터리카(갱내형 축전차) 하역을 마치고 수직구 방향으로 이동하던 중 근로자 본인이 운전하던 배터리카가 움직여 운반대차 하부 철제바퀴와 레일 사이에 끼임"/>
    <s v="▶ 배터리카 운전자가 운전석을 이탈하는 경우 브레이크의 확실한 체결 등 이탈에 대해 방지조치 실시_x000a_▶ 배터리카에 자재를 적재 시 고정상태 확인 후 이동_x000a_▶ 작업 전 사전에 차량의 제동장치 기능 이상 유무 점검"/>
  </r>
  <r>
    <n v="1"/>
    <x v="8"/>
    <x v="28"/>
    <x v="55"/>
    <s v="YES"/>
    <x v="4"/>
    <x v="15"/>
    <s v="해당없음"/>
    <s v="해당없음"/>
    <s v="해당없음"/>
    <s v="2017년 8월경"/>
    <d v="2017-08-01T00:00:00"/>
    <n v="8"/>
    <s v="혹서기"/>
    <x v="2"/>
    <s v="2017년 8월경 오수관 정비공사 현장에서 재해자가 차량 유도작업을 하던 중 인양하던 자재와 적재함 사이에 끼여 사망"/>
    <s v="적재함 상부에서 지상에 적재된 시트 파일 상차하기 위해 유도하던 중 인양된 시트파일과 물품적재장치 격벽 사이에 끼인 후 지상으로 추락"/>
    <s v="▶ 중량물 취급 작업 시 근로자 출입 통제 및 유도자 배치_x000a_▶ 중량물 취급시 작업계획서를 사전에 작성하고 관리감독자를 배치하여 작업계획서에 맞게 작업"/>
  </r>
  <r>
    <n v="1"/>
    <x v="8"/>
    <x v="28"/>
    <x v="57"/>
    <s v="YES"/>
    <x v="4"/>
    <x v="16"/>
    <s v="12대 기인물"/>
    <n v="2"/>
    <n v="8.5000000000000006E-2"/>
    <s v="2017년 11월"/>
    <d v="2017-11-01T00:00:00"/>
    <n v="11"/>
    <s v="-"/>
    <x v="8"/>
    <s v="2017년 11월경 복합건물 신축공사 현장에서 재해자가 지상1층 바닥의 가설 버팀보(스트러트) 보강용 Cross Beam(H-형강)을 해체하던 중 지하2층 램프에서 지상1층의 해체된 Cross Beam을 로프에 매달아 하부로 내리다가 로프가 끊어지면서 맞아 사망"/>
    <s v="손상된 로프를 사용하여 가설 버팀보 보강용 Cross Beam을 해체하던 중 해체된 Cross Beam을 로프에 매달아 하부로 내리다가 끊어져 근로자가 부딪힘"/>
    <s v="▶ 중량물 양중작업에 사용할 장비는 사전에 상태 확인 후 실시_x000a_▶ 심하게 손상되거나 부식된 섬유로프 등 사용금지 또는 교체"/>
  </r>
  <r>
    <n v="1"/>
    <x v="8"/>
    <x v="20"/>
    <x v="58"/>
    <s v="YES"/>
    <x v="4"/>
    <x v="15"/>
    <s v="해당없음"/>
    <s v="해당없음"/>
    <s v="해당없음"/>
    <s v="2016년 3월경"/>
    <d v="2016-03-01T00:00:00"/>
    <n v="3"/>
    <s v="-"/>
    <x v="6"/>
    <s v="2016년 3월경 OO기업(주) OO 건설공사 자재야적장에서 협력업체 소속 토목 가시설공인 재해자가 쐐기파일 위에 코너파일을 올려놓고 해체된 인양고리를 잡기위해 머리를 숙이던 중 코너파일이 넘어지면서 재해자를 덮쳐 기적재된 시트파일 사이에 끼여 사망"/>
    <s v="쐐기파일 위에 코너파일을 놓고 해체된 인양고리를 잡던 중 코너파일이 넘어져 근로자를 덮쳐 시트파일 사이에 협착"/>
    <s v="▶ 자재 적재 기준에 따른 자재 적치 및 적재상태 상시 점검 _x000a_▶ 협착위험이 있는 작업반경 내에 직접 들어가서 작업 금지"/>
  </r>
  <r>
    <n v="1"/>
    <x v="8"/>
    <x v="20"/>
    <x v="58"/>
    <s v="YES"/>
    <x v="4"/>
    <x v="15"/>
    <s v="해당없음"/>
    <s v="해당없음"/>
    <s v="해당없음"/>
    <s v="2018년 1월경"/>
    <d v="2018-01-01T00:00:00"/>
    <n v="1"/>
    <s v="혹한기"/>
    <x v="6"/>
    <s v="2018년 1월경 공동주택 신축공사 현장에서 재해자가 페이로더 장비의 전면에서 PHC 파일하역작업을 신호하던중 파일하역작업 시 받침목 위에서 구르는 파일과 파일 사이로 넘어지면서 안면부가 파일 사이에 끼여 협착하여 사망"/>
    <s v="PHC 파일하역 작업을 신호하던 근로자가 파일 하역작업 시 받침목 위에서 구르는 파일과 파일 사이로 넘어지면서 안면부가 파일사이에 끼임"/>
    <s v="▶ 천장 작업시 비계, 고소작업대 등의 적절한 작업발판을 설치하는 적절한 작업방법으로 수행 _x000a_▶ 작업 전 해체대상 구조물에 대한 사전조사 실시 _x000a_▶ 해체 방법 및 해체 순서 도면, 가설설비∙방호설비∙환기설비 및 살수∙방화설비 등의 방법이 포함된 작업계획서 작성 및 준수"/>
  </r>
  <r>
    <n v="1"/>
    <x v="8"/>
    <x v="20"/>
    <x v="58"/>
    <s v="YES"/>
    <x v="4"/>
    <x v="15"/>
    <s v="해당없음"/>
    <s v="해당없음"/>
    <s v="해당없음"/>
    <s v="2021년 1월경"/>
    <d v="2021-01-01T00:00:00"/>
    <n v="1"/>
    <s v="혹한기"/>
    <x v="0"/>
    <s v="2021년 1월경 ㈜OO건설 OO공동주택 신축공사 현장에서 작업자가 PHC파일을 서비스홀로 이동 중 PHC파일 와이어로프 줄걸이가 빠지면서 인근 타워크레인 기초 거푸집작업을 하던 재해자(형틀공)가 파일에 깔려 사망"/>
    <s v="기초 파일 자재를 굴삭기를 이용하여 이동시키던 중 와이어로프가 훅으로부터 이탈되면서 철판에 맞음"/>
    <s v="▶ 차량계 건설기계 작업시 근로자 출입 통제 및 유도자 배치_x000a_▶ 중량물 취급시 작업계획서를 사전에 작성하고 관리감독자를 배치하여 작업계획서에 맞게 작업_x000a_▶ 중량물 인양 시 외줄달기 지양 및 중량물취급 안전작업방법(두줄걸이) 준수"/>
  </r>
  <r>
    <n v="1"/>
    <x v="8"/>
    <x v="29"/>
    <x v="60"/>
    <s v="YES"/>
    <x v="4"/>
    <x v="16"/>
    <s v="12대 기인물"/>
    <n v="2"/>
    <n v="8.5000000000000006E-2"/>
    <s v="2017년 11월"/>
    <d v="2017-11-01T00:00:00"/>
    <n v="11"/>
    <s v="-"/>
    <x v="1"/>
    <s v="2017년 11월경 OO건설이 시공하는 오수관거 정비공사 현장에서 현장 외부차량 교통통제 신호수인 재해자가 되메우기 및 노면정리를 하는 굴삭기(02) 옆을 돌아 뒤쪽으로 지나가던 중, 후진하던 굴삭기의 오른쪽 뒷바퀴에 다리가 깔려 사망"/>
    <s v="시야가 미확보된 상태에서 후진하던 차량계 건설기계에 주변 근로자가 깔림"/>
    <s v="▶ 차량계 건설기계를 사용하여 작업하는 경우 유도자를 배치 및 작업반경 내 인원 통제 _x000a_▶ 운전자가 감지할 수 있는 센서 부착 및 차량 후진시 경보음 설비 설치"/>
  </r>
  <r>
    <n v="1"/>
    <x v="8"/>
    <x v="29"/>
    <x v="61"/>
    <s v="YES"/>
    <x v="4"/>
    <x v="16"/>
    <s v="12대 기인물"/>
    <n v="2"/>
    <n v="8.5000000000000006E-2"/>
    <s v="2016년 12월"/>
    <d v="2016-12-01T00:00:00"/>
    <n v="12"/>
    <s v="혹한기"/>
    <x v="6"/>
    <s v="2016년 12월경 OO건설이 시공하는 전철 건설공사 현장에서 재해자 가 굴삭기(0.6㎥)를 이용하여 빔클램프(하카)로 매달아(외줄) 버팀보 인양 작업중 버팀보가 중앙파일에 부딪혀 빔클램프(하카)로부터 이탈되면서 낙하하여 버팀보를 잡고 있던 재해자가 협착되어 사망"/>
    <s v="굴삭기를 이용하여 빔클램프(하카)로 매달아(외줄) 버팀보 인양 작업 중 버팀보가 중앙파일에 부딪혀 빔클램프(히카)로부터 이탈하면서 낙하하여 버팀보를 잡고있던 근로자가 협착됨"/>
    <s v="▶ 중량물의 취급작업 계획서를 준수하여 버팀보를 2줄로 인양하여 설치함 _x000a_▶ 버팀보에 인양용 러그를 설치하여 인양, 유도로프를 설치하여 근로자와 최대한 이격하여 작업_x000a_▶ 버팀보(Flange) 등에 샤클을 활용하여 인양 등 버팀보 인양 작업 방법을 개선"/>
  </r>
  <r>
    <n v="11"/>
    <x v="0"/>
    <x v="0"/>
    <x v="0"/>
    <s v="YES"/>
    <x v="4"/>
    <x v="17"/>
    <s v="해당없음"/>
    <s v="해당없음"/>
    <s v="해당없음"/>
    <s v="2020년 3월경"/>
    <d v="2020-03-01T00:00:00"/>
    <n v="3"/>
    <s v="-"/>
    <x v="6"/>
    <s v="2020년 3월경 아파트 신축공사장에서 재해자가 영구식 앵커 PC판넬 설치작업 중 판넬 후면의 버팀목이 부러져 넘어지면서 깔려 사망"/>
    <s v="PC옹벽 판넬 설치 중 미고정된 PC판넬이 전도되면서 근로자가 협착"/>
    <s v="▶ P.C 판넬을 임시 거치하는 경우 고정이 되지 않은 판넬 하부에서 작업을 금지하고거나 가고정하는 등의 전도방지조치 실시_x000a_▶ 안전성이 확보된 시공방법(골재 뒷채움 선행 등) 사용_x000a_▶ 중량물을 운반하여 설치하는 경우 작업계획서를 작성하고 작업계획에 맞게 작업실시"/>
  </r>
  <r>
    <n v="11"/>
    <x v="0"/>
    <x v="1"/>
    <x v="1"/>
    <s v="YES"/>
    <x v="4"/>
    <x v="17"/>
    <s v="해당없음"/>
    <s v="해당없음"/>
    <s v="해당없음"/>
    <s v="2020년 7월경"/>
    <d v="2020-07-01T00:00:00"/>
    <n v="7"/>
    <s v="혹서기"/>
    <x v="1"/>
    <s v="2020년 7월경 ㈜OOOO 소속 재해자(OOO)는 근린생활시설 건설공사 상수도 연결 관로공사 현장에서 덤프트럭 통행을 위한 굴착구간 상부면 철판 설치작업을 하다가 굴삭기에 철판을 결속한 슬링벨트가 파단되며 철판에 깔려 사망함"/>
    <s v="덤프트럭 통행을 위한 굴착구간 상부면 철판 설치작업을 하다가 굴삭기에 철판을 결속한 슬링벨트가 파단되며 철판에 깔림"/>
    <s v="▶ 작업 전 슬링벨트의 노후상태를 확인하고 사용불가 시 즉시교체_x000a_▶ 인양물 양중 시 슬링벨트를 감고 샤클 등으로 견고하게 고정한 후 양중 준수_x000a_▶ 인양물 작업 시 인양물이 작업자 머리 위에 위치하거나 통과하지 않도록 작업지휘자 및 전담 신호수 배치"/>
  </r>
  <r>
    <n v="11"/>
    <x v="0"/>
    <x v="1"/>
    <x v="2"/>
    <s v="YES"/>
    <x v="4"/>
    <x v="18"/>
    <s v="해당없음"/>
    <s v="해당없음"/>
    <s v="해당없음"/>
    <s v=" 2018년 9월"/>
    <d v="2018-09-01T00:00:00"/>
    <n v="9"/>
    <s v="-"/>
    <x v="1"/>
    <s v=" 2018년 9월경 OOOO도 OO시 OO읍 소재 OOOO 배수로 정비공사 현장에서 콘크리트 수로관(규격:1500B, 길이:2m)을 설치하던 재해자가 기존 토사 배수로 상단에 적재된 수로관 인양을 위해 줄걸이용 슬링벨트를 걸어주는 작업을 진행하던 중수로관이 미끄러지면서 넘어져 재해자가 콘크리트 포장도로 가장자리와 수로관 사이에 흉부가 협착되어 사망한 재해임"/>
    <s v="크레인으로 인양된 강관파이프를 차량에 적재하던 중, 3단으로 불안정하게 적재된 강관파이프가 붕괴되어 강관파이프에 깔림"/>
    <s v="▶ 자재를 야적하는 경우 평탄한 곳에 적재하며 구름방지조치 실시_x000a_▶ 경사면에서 흄관을 고정하기 위해 쐐기 등을 이용_x000a_▶ 강관파이프를 3단이상 등 과도하게 적재 금지"/>
  </r>
  <r>
    <n v="11"/>
    <x v="0"/>
    <x v="1"/>
    <x v="2"/>
    <s v="YES"/>
    <x v="4"/>
    <x v="18"/>
    <s v="해당없음"/>
    <s v="해당없음"/>
    <s v="해당없음"/>
    <s v="2019년 1월경"/>
    <d v="2019-01-01T00:00:00"/>
    <n v="1"/>
    <s v="혹한기"/>
    <x v="1"/>
    <s v="2019년 1월경, OOO도 OO시 OO면 소재 「OOOO조성공사」현장에서 직영공사 소속 OOO가 배수관로 설치작업을 위해 콘크리트 맨홀(1.2×1.2×1m, 2.4톤)에 슬링벨트를 고정한 후 굴삭기 후크에 걸어 끌어당겨 옮기던 중 맨홀이 배수관로 굴착 법면 아래로 떨어져(H=1.3m) 굴착면 아래에서 바닥면 고르기 작업중에 있는 재해자의 머리를 강타하여 사망한 재해임."/>
    <s v="맨홀에 슬링벨트를 걸어 굴삭기를 사용하여 끌어당겨 옮기던 중 맨홀이 굴착법면 아래로 떨어져 하부 작업자 깔림"/>
    <s v="▶ 중량물 인양 시 굴삭기의 정격하중을 준수하여 무리한 중량물 인양 금지_x000a_▶ 차량계 건설기계 사용시 작업 장소 내에 근로자의 출입 통제_x000a_▶ 유도자를 배치하여 차량계 건설기계 유도"/>
  </r>
  <r>
    <n v="11"/>
    <x v="0"/>
    <x v="1"/>
    <x v="2"/>
    <s v="YES"/>
    <x v="4"/>
    <x v="17"/>
    <s v="해당없음"/>
    <s v="해당없음"/>
    <s v="해당없음"/>
    <s v="2019년 10월"/>
    <d v="2019-10-01T00:00:00"/>
    <n v="10"/>
    <s v="-"/>
    <x v="0"/>
    <s v="2019년 10월경 OOO도 OO시 OO동 소재 OOOO(주)에서 시공하는 아파트 건설공사 현장에서 OOOO(주) 소속 재해자는 오수 맨홀 구조물 설치작업을 하던 중 굴삭기 훅에 연결된 P.E(Poly-Ethylene)로프가 파단 되면서 떨어진 오수 맨홀 구조물에 가슴부위를 맞아 사망한 재해임."/>
    <s v="굴삭기로 맨홀 양중 설치작업 중 인양줄걸이가 파단되면서 떨어지는 맨홀에 맞음"/>
    <s v="▶ 추락위험 장소에 대해 근로자가 임의 출입을 방지하도록 방책 등 설치_x000a_▶ 관로부설 위치로의 이동을 위해 근로자 이동 통로 설치 또는 가설계단 등 안전한 통로 설치"/>
  </r>
  <r>
    <n v="11"/>
    <x v="0"/>
    <x v="1"/>
    <x v="2"/>
    <s v="YES"/>
    <x v="4"/>
    <x v="17"/>
    <s v="해당없음"/>
    <s v="해당없음"/>
    <s v="해당없음"/>
    <s v="2021년 2월경"/>
    <d v="2021-02-01T00:00:00"/>
    <n v="2"/>
    <s v="혹한기"/>
    <x v="0"/>
    <s v="2021년 2월경 OOO도 OO군 OO면 소재 「OOOO 구축사업」 현장에서 ㈜OO 소속 근로자가 상수도관(D=200mm) 설치 후 누설시험(기압시험)을 수행하던 중 배관 내부 압력(약 0.7Mpa)에 의해 이탈된 누설시험용 연결 배관부에 맞아(안면부) 사망한 재해임"/>
    <s v="상수도관 설치 후 누설시험(기압시험)을 수행하던 중 배관 내부 압력에 의해 이탈된 누설시험용 연결 배관부에 맞음"/>
    <s v="▶ 관리감독자를 두어 기계, 기구 또는 설비의 안전점검 및 이상 유무의 확인 실시_x000a_▶ 관로 내부 가압중 갑작스러운 파단 등에 대비하기 위한 상황에 맞는 개인보호구 지급 및 착용"/>
  </r>
  <r>
    <n v="12"/>
    <x v="1"/>
    <x v="2"/>
    <x v="3"/>
    <s v="YES"/>
    <x v="4"/>
    <x v="19"/>
    <s v="12대 기인물"/>
    <n v="2"/>
    <n v="8.5000000000000006E-2"/>
    <s v="2016년 1월경"/>
    <d v="2016-01-01T00:00:00"/>
    <n v="1"/>
    <s v="혹한기"/>
    <x v="2"/>
    <s v="2016년 1월경 OO기계설비 철거공사 현장에서 재해자가 천정크레인 주행빔(H-700×300×13×24)에 설치된 고정용 볼트를 해체하고, 승하강설비가 설치된 장소로 이동하던 중 몸의 중심을 잃고 지상 콘크리트바닥(H≒8.94m)으로 추락하여 사망"/>
    <s v="철골빔 상부에서 안전대를 미착용하던 재해자가 이동하던 중 몸의 중심을 잃고 바닥으로 추락"/>
    <s v="▶ 안전대 부착설비,  추락방지망 등의 안전방호조치 실시_x000a_▶ 근로자 개인보호구, 안전대 체결여부 점검 및 관리감독"/>
  </r>
  <r>
    <n v="12"/>
    <x v="1"/>
    <x v="2"/>
    <x v="3"/>
    <s v="YES"/>
    <x v="4"/>
    <x v="19"/>
    <s v="12대 기인물"/>
    <n v="2"/>
    <n v="8.5000000000000006E-2"/>
    <s v="2016년 4월경"/>
    <d v="2016-04-01T00:00:00"/>
    <n v="4"/>
    <s v="-"/>
    <x v="2"/>
    <s v="2016년 4월경 OO철거현장에서 재해자가 해체작업으로 지상3층 부분 철골빔(폭20cm)상부를 이동하던 중 몸의 중심을 잃고 약 8m아래 지상 바닥으로 추락하여 사망"/>
    <s v="철골빔 상부에서 안전대를 미착용하던 재해자가 이동하던 중 몸의 중심을 잃고 바닥으로 추락"/>
    <s v="▶ 안전대 부착설비,  추락방지망 등의 안전방호조치 실시_x000a_▶ 근로자 개인보호구, 안전대 체결여부 점검 및 관리감독"/>
  </r>
  <r>
    <n v="12"/>
    <x v="1"/>
    <x v="2"/>
    <x v="3"/>
    <s v="YES"/>
    <x v="4"/>
    <x v="17"/>
    <s v="해당없음"/>
    <s v="해당없음"/>
    <s v="해당없음"/>
    <s v="2017년 1월경"/>
    <d v="2017-01-01T00:00:00"/>
    <n v="1"/>
    <s v="혹한기"/>
    <x v="1"/>
    <s v="2017년 1월경 OO건설(주) OO철거공사 현장에서 압쇄기가 부착된 굴삭기(0.8m3,21.0ton) 로 지상 1층 바닥슬래브에서 계단실 벽체를 철거하던 중 지상 1층 바닥슬래브가 굴삭기 및 철거 잔재물 등의 고정하중 및 작업하중을 견디지 못하고 지하 2층 바닥까지 붕괴되어 지상 1층에서 살수작업 중이던 재해자가 매몰되어 사망"/>
    <s v="해체작업을 하던 중 충격 또는 폐기물 하중 등으로 슬라브가 붕괴되어 작업자 추락 및 깔림"/>
    <s v="▶ 구조검토를 실시한 후, 그에 맞는 해체방법 및 순서 등 작업계획을 수립_x000a_▶ 작업층 하부에 잭서포트 보강 실시하며 구조상 충분한 잭서포트 개수를 설치 적정 개소에 설치_x000a_▶ 균열, 콘크리트 강도, 철근 배근상태, 노후정도 등과 같은 해당 건물의 안정성 검토 후 해체계획 수립"/>
  </r>
  <r>
    <n v="12"/>
    <x v="1"/>
    <x v="2"/>
    <x v="3"/>
    <s v="YES"/>
    <x v="4"/>
    <x v="17"/>
    <s v="해당없음"/>
    <s v="해당없음"/>
    <s v="해당없음"/>
    <s v="2017년 2월경"/>
    <d v="2017-02-01T00:00:00"/>
    <n v="2"/>
    <s v="혹한기"/>
    <x v="9"/>
    <s v="2017년 2월경 OO(주)에서 시공하는 OO공사 현장에서 운영 종료된 매장 내 남아있던 인테리어시설을 철거하는 작업 중 용단작업으로 인한 불티가 가연성 자재에 옮겨 붙으면서 화재가 발생하여 재해자가 사망"/>
    <s v="인테리어시설을 철거하는 작업 중 용단작업으로 인한 불티가 인근에 있던 가연성 자재에 옮겨 붙으면서 화재"/>
    <s v="▶ 소화기 배치, 불티방지커버 설치, 가연성 물질의 정리 및 제거 등과 같은 화재예방조치 실시_x000a_▶ 소화설비를 비치 및 소화설비의 작동유무 수시로 점검"/>
  </r>
  <r>
    <n v="12"/>
    <x v="1"/>
    <x v="2"/>
    <x v="3"/>
    <s v="YES"/>
    <x v="4"/>
    <x v="17"/>
    <s v="해당없음"/>
    <s v="해당없음"/>
    <s v="해당없음"/>
    <s v="2017년 2월경"/>
    <d v="2017-02-01T00:00:00"/>
    <n v="2"/>
    <s v="혹한기"/>
    <x v="0"/>
    <s v="2017년 2월경 OO철거현장에서 지게차와 합성섬유로프를 이용하여 천장크레인 점검통로에 있는 전력케이블을 공장바닥으로 내리는 작업 중 재해자가 반발력에 의해 출렁이던 전력케이블 단부에 머리하부를 맞아 사망"/>
    <s v="철거공사 현장에서 이동하다가 상부에서 떨어지는 철거잔해물에 맞음"/>
    <s v="▶ 근로자 이동통로 내 장애물 제거 등 현장정리정돈 철저_x000a_▶ 근로자의 개인보호구, 안전대 체결여부 점검 및 관리감독"/>
  </r>
  <r>
    <n v="12"/>
    <x v="1"/>
    <x v="2"/>
    <x v="3"/>
    <s v="YES"/>
    <x v="4"/>
    <x v="17"/>
    <s v="해당없음"/>
    <s v="해당없음"/>
    <s v="해당없음"/>
    <s v="2017년 11월"/>
    <d v="2017-11-01T00:00:00"/>
    <n v="11"/>
    <s v="-"/>
    <x v="1"/>
    <s v="2017년 11월경 OO건설(주) OO신축공사 현장에서 기도원 내부 2층 조적벽체 철거작업 중 전도되는 조적식벽체에 재해자가 깔려 사망"/>
    <s v="벽체철거 작업 중 조적벽체가 전도되어 깔림"/>
    <s v="▶ 부재와 기 고정된 구조물(벽체 등)을 사전에 파악_x000a_▶ 작업반경 내에 작업자의 출입을 금지_x000a_▶ 순차적으로 상부에서 하부로 파쇄하며 작업을 실시"/>
  </r>
  <r>
    <n v="12"/>
    <x v="1"/>
    <x v="2"/>
    <x v="3"/>
    <s v="YES"/>
    <x v="4"/>
    <x v="19"/>
    <s v="12대 기인물"/>
    <n v="2"/>
    <n v="8.5000000000000006E-2"/>
    <s v="2018년 3월경"/>
    <d v="2018-03-01T00:00:00"/>
    <n v="3"/>
    <s v="-"/>
    <x v="1"/>
    <s v="2018년 3월경 OO철거공사 현장의 건물 B동 내부에서 재해자가 산소-LPG로 철골기둥을 용단한 후 건물 외부로 이동 중 붕괴되는 철골 구조물에 깔려 사망"/>
    <s v="철거공사 현장에서 산소-LPG로 철골기둥을 용단한 후 건물 외부로 이동 중 붕괴되는 철골 구조물에 깔림"/>
    <s v="▶ 구조물의 형상, 중량 등을 고려하여 해체의 방법 및 순서 등이 포함된 작업계획서 작성"/>
  </r>
  <r>
    <n v="12"/>
    <x v="1"/>
    <x v="2"/>
    <x v="3"/>
    <s v="YES"/>
    <x v="4"/>
    <x v="17"/>
    <s v="해당없음"/>
    <s v="해당없음"/>
    <s v="해당없음"/>
    <s v="2018년 3월경"/>
    <d v="2018-03-01T00:00:00"/>
    <n v="3"/>
    <s v="-"/>
    <x v="0"/>
    <s v="2018년 3월경 재해자가 OO철거공사 현장에서 3층 철거작업이 얼마나 진행되었나 작업상황을 확인하고 계단을 통해 내려오던 중 철거 잔해물인 조적 블럭에 맞아 사망"/>
    <s v="철거공사 현장에서 이동하다가 상부에서 떨어지는 철거잔해물에 맞음"/>
    <s v="▶ 근로자 이동통로 내 장애물 제거 등 현장정리정돈 철저_x000a_▶ 근로자의 개인보호구, 안전대 체결여부 점검 및 관리감독"/>
  </r>
  <r>
    <n v="12"/>
    <x v="1"/>
    <x v="2"/>
    <x v="3"/>
    <s v="YES"/>
    <x v="4"/>
    <x v="17"/>
    <s v="해당없음"/>
    <s v="해당없음"/>
    <s v="해당없음"/>
    <s v="2018년 4월경"/>
    <d v="2018-04-01T00:00:00"/>
    <n v="4"/>
    <s v="-"/>
    <x v="1"/>
    <s v="2018년 4월경 건물 구조물 상부 벽체 일부(블럭벽)가 낙하하여 하부에서 정리 작업 중이던 재해자가 무너지는 가건물에 깔려 사망"/>
    <s v="벽체철거 작업 중 조적벽체가 전도되어 깔림"/>
    <s v="▶ 부재와 기 고정된 구조물(벽체 등)을 사전에 파악_x000a_▶ 작업반경 내에 작업자의 출입을 금지_x000a_▶ 순차적으로 상부에서 하부로 파쇄하며 작업을 실시"/>
  </r>
  <r>
    <n v="12"/>
    <x v="1"/>
    <x v="2"/>
    <x v="3"/>
    <s v="YES"/>
    <x v="4"/>
    <x v="17"/>
    <s v="해당없음"/>
    <s v="해당없음"/>
    <s v="해당없음"/>
    <s v="2018년 7월경"/>
    <d v="2018-07-01T00:00:00"/>
    <n v="7"/>
    <s v="혹서기"/>
    <x v="1"/>
    <s v="2018년 7월경 OO철거공사 현장에서 재해자가 공장동 조적벽체 외부에서 휴식중 공장동 천장 철제 트러스와 연결 설치되어 있던 조적 벽체일부가 전도 되면서 조적 벽체에 깔려 사망"/>
    <s v="벽체철거 작업 중 조적벽체가 전도되어 깔림"/>
    <s v="▶ 부재와 기 고정된 구조물(벽체 등)을 사전에 파악_x000a_▶ 작업반경 내에 작업자의 출입을 금지_x000a_▶ 순차적으로 상부에서 하부로 파쇄하며 작업을 실시"/>
  </r>
  <r>
    <n v="12"/>
    <x v="1"/>
    <x v="2"/>
    <x v="3"/>
    <s v="YES"/>
    <x v="4"/>
    <x v="19"/>
    <s v="12대 기인물"/>
    <n v="2"/>
    <n v="8.5000000000000006E-2"/>
    <s v="2018년 8월경"/>
    <d v="2018-08-01T00:00:00"/>
    <n v="8"/>
    <s v="혹서기"/>
    <x v="2"/>
    <s v="2018년 8월경 OO철탑 철거현장에서 재해자가 철골 기둥 해체 작업 중 접합부의 마지막 볼트를 해체하는 순간 상·하부 주각이 순간 벌어졌고 그 사이로 U자걸이가 빠지면서 10m 아래 바닥으로 추락하여 사망"/>
    <s v="통신철탑 철거현장에서 철탑 철거를 위한 접합부 볼트 해체작업에서 마지막 볼트 해체 순간 상·하부 주각이 벌어지면서 U자걸이 안전대가 벌어진 사이로 빠지면서 바닥으로 추락"/>
    <s v="▶ 추락방호망, 안전대 부착설비 설치_x000a_▶ 철골해체 작업계획서 작성"/>
  </r>
  <r>
    <n v="12"/>
    <x v="1"/>
    <x v="2"/>
    <x v="3"/>
    <s v="YES"/>
    <x v="4"/>
    <x v="19"/>
    <s v="12대 기인물"/>
    <n v="2"/>
    <n v="8.5000000000000006E-2"/>
    <s v="2019년 11월"/>
    <d v="2019-11-01T00:00:00"/>
    <n v="11"/>
    <s v="-"/>
    <x v="2"/>
    <s v="2019년 11월경 OO공장 철거공사 현장에서 재해자가 바닥에 놓여진 겐트리크레인의 해체 및 반출을 위해 거더 상부의 핸드레일 절단작업을 하던 중 3m 아래로 추락하여 사망"/>
    <s v="크레인으로 인양한 작업대에서 외장패널을 설치하던 중 작업대가 흔들려 몸의 균형을 잃고 바닥으로 추락"/>
    <s v="▶ 고소작업 시 양중기를 이용한 불안정한 작업방법을 대체하여 고소작업대 등을  배치 후 작업 진행_x000a_▶ 고소작업 시 근로자에게 안전대를 지급하고 착용 관리감독"/>
  </r>
  <r>
    <n v="12"/>
    <x v="1"/>
    <x v="2"/>
    <x v="3"/>
    <s v="YES"/>
    <x v="4"/>
    <x v="17"/>
    <s v="해당없음"/>
    <s v="해당없음"/>
    <s v="해당없음"/>
    <s v="2020년 5월경"/>
    <d v="2020-05-01T00:00:00"/>
    <n v="5"/>
    <s v="-"/>
    <x v="2"/>
    <s v="2020년 5월경 OO(주)가 시공하는 OO부대공사 현장에서 공장 내부 엘리베이터 설치를 위해 기 설치되어있던 천장 우레탄 판넬을 1층 천장내부에서 해체하던 중, 우레탄 판넬의 일부분(L≒30cm)이 절단되면서 고정력을 잃은 판넬과 함께 동시에 2명의 재해자가 1층 Con’c 바닥(H≒6.0m)으로 추락하여 3개월 이상의 요양이 필요한 부상"/>
    <s v="지붕 철거작업 중 해체 및 해체된 자재 운반 작업하다 밟고 있던 지붕 패널의 손상, 탈락으로 바닥으로 추락"/>
    <s v="▶ 충분한 강도와 규격으로 제작된 지붕사다리 설치_x000a_▶ 안전대 부착설비,  추락방지망 등의 안전방호조치 실시_x000a_▶ 고소작업대, 이동식 비계 등을 사용하는 등 작업 방법 적정성 검토"/>
  </r>
  <r>
    <n v="12"/>
    <x v="1"/>
    <x v="2"/>
    <x v="3"/>
    <s v="YES"/>
    <x v="4"/>
    <x v="18"/>
    <s v="해당없음"/>
    <s v="해당없음"/>
    <s v="해당없음"/>
    <s v="2020년 7월경"/>
    <d v="2020-07-01T00:00:00"/>
    <n v="7"/>
    <s v="혹서기"/>
    <x v="2"/>
    <s v="2020년 7월경 OO신축공사 현장에서 재해자 6명이 노후(부식)가 심한 지상2층 바닥 슬래브 철근을 해체하던 중 슬래브 거푸집 위에 적치해 놓은 철근의 하중을 거푸집동바리가 견디지 못하고 무너지면서 지상1층 바닥으로 추락하여(약3.6m) 3개월 이상의 요양이 필요한 부상"/>
    <s v="노후화 된 바닥 슬라브 철근을 해체하던 중 거푸집 위에 적치해 놓은 철근의 하중을 거푸집동바리가 견디지 못하고 무너지면서 바닥으로 떨어짐"/>
    <s v="▶ 장기간 공사 중지된 구축물에서 공사를 재개하는 경우 시설물의 안전성평가 실시_x000a_▶ 거푸집 동바리 조립시 상하고정 철저, 경사재 조립 등 보강조치"/>
  </r>
  <r>
    <n v="12"/>
    <x v="1"/>
    <x v="2"/>
    <x v="3"/>
    <s v="YES"/>
    <x v="4"/>
    <x v="19"/>
    <s v="12대 기인물"/>
    <n v="2"/>
    <n v="8.5000000000000006E-2"/>
    <s v="2020년 8월경"/>
    <d v="2020-08-01T00:00:00"/>
    <n v="8"/>
    <s v="혹서기"/>
    <x v="2"/>
    <s v="2020년 8월경 OO대수선공사 현장에서 재해자가 이동식비계 상부 작업발판에서 중도리 중도리(퍼린, Purlin) : 지붕 트러스와 트러스를 연결하는 부재로 지붕재의 지지대 역할을 함. (C형강) 용단작업을 하던 중 절단된 중도리가 휘어져 이동식비계에 부딪히는 순간 충격으로 몸의 균형을 잃고 바닥(콘크리트)으로 추락(H≒6.0m)하여 사망"/>
    <s v="이동식비계 상부에서 퍼린용 C형강 용단작업을 하던 중 절단된 철골부재가 휘어져 이동식 비계에 부딪히는 순간 충격으로 몸의 균형을 잃고 바닥으로 추락"/>
    <s v="▶ 이동식비계 아웃트리거 설치, 안전난간 설치 등의 전도방지조치 실시_x000a_▶ 근로자 개인보호구, 안전대 체결여부 점검 및 관리감독"/>
  </r>
  <r>
    <n v="12"/>
    <x v="1"/>
    <x v="2"/>
    <x v="3"/>
    <s v="YES"/>
    <x v="4"/>
    <x v="19"/>
    <s v="12대 기인물"/>
    <n v="2"/>
    <n v="8.5000000000000006E-2"/>
    <s v="2020년 8월경"/>
    <d v="2020-08-01T00:00:00"/>
    <n v="8"/>
    <s v="혹서기"/>
    <x v="2"/>
    <s v="2020년 8월경 OO철거공사 현장에서 재해자가 공장 지붕 철골 위에 올라가 외부 벽체 샌드위치 패널 철거 작업을 하던 중 몸의 중심을 잃고 지상 콘크리트 바닥(h≒7.0m)으로 추락하여 사망"/>
    <s v="철골빔 상부에서 안전대를 미착용하던 재해자가 이동하던 중 몸의 중심을 잃고 바닥으로 추락"/>
    <s v="▶ 안전대 부착설비,  추락방지망 등의 안전방호조치 실시_x000a_▶ 근로자 개인보호구, 안전대 체결여부 점검 및 관리감독"/>
  </r>
  <r>
    <n v="12"/>
    <x v="1"/>
    <x v="2"/>
    <x v="3"/>
    <s v="YES"/>
    <x v="4"/>
    <x v="19"/>
    <s v="12대 기인물"/>
    <n v="2"/>
    <n v="8.5000000000000006E-2"/>
    <s v="2020년 11월"/>
    <d v="2020-11-01T00:00:00"/>
    <n v="11"/>
    <s v="-"/>
    <x v="2"/>
    <s v="2020년 11월경 OO공장 신축공사 현장에서 재해자가 잘못 설치된 외부 계단실의 철골 기둥(길이:13m, 중량:800kg)을 해체하기 위해 기둥 상부 브라켓(높이:12m, 폭:150㎜)에 올라가서 이동식크레인(25톤, 유압식) 줄걸이 작업(벨트슬링의 샤클을 체결)을 진행하던 중 철골 기둥이 넘어지면서 몸의 균형을 잃고 약 12m아래 바닥으로 추락하여 사망"/>
    <s v="철골 기둥을 해체하기 위해 기둥 상부 브라켓에 올라가 이동식 크레인 줄걸이 작업을 진행하던 중 전도방지조치가 되어 있지 않던 철골 기둥이 넘어지면서 몸의 균형을 잃고 바닥으로 추락"/>
    <s v="▶ 철골 기둥 구조물의 전도 위험 예방조치 실시_x000a_▶ 비계를 조립하거나 고소작업대를 이용하는 등의 방법"/>
  </r>
  <r>
    <n v="12"/>
    <x v="1"/>
    <x v="3"/>
    <x v="87"/>
    <s v="YES"/>
    <x v="4"/>
    <x v="16"/>
    <s v="12대 기인물"/>
    <n v="2"/>
    <n v="8.5000000000000006E-2"/>
    <s v="2021년 2월경"/>
    <d v="2021-02-01T00:00:00"/>
    <n v="2"/>
    <s v="혹한기"/>
    <x v="3"/>
    <s v="2021년 2월경 OO건설의 아파트 공사현장에 가설울타리 설치를 위해 H-Beam이 반입되었으며, 화물차에서 지게차로 하역하던 중 적재되어 있던 H-Beam이 낙하하면서 근처에 있던 재해자 2명이 깔려 1명 사망, 1명 부상"/>
    <s v="가설울타리 설치를 위해 H빔 자재를 지게차로 하역하던 중 적재되어 있던 자재가 무너져 내려 주변 근로자에게 낙하"/>
    <s v="▶ 하역운반 작업반경 내 근로자 통제_x000a_▶ 차량계 하역운반기계등을 사용하는 작업 시 작업계획서 작성 및 작업지휘자 지정"/>
  </r>
  <r>
    <n v="12"/>
    <x v="1"/>
    <x v="3"/>
    <x v="87"/>
    <s v="YES"/>
    <x v="4"/>
    <x v="16"/>
    <s v="12대 기인물"/>
    <n v="2"/>
    <n v="8.5000000000000006E-2"/>
    <s v="2021년 10월"/>
    <d v="2021-10-01T00:00:00"/>
    <n v="10"/>
    <s v="-"/>
    <x v="0"/>
    <s v="2021년 10월경 OO신축공사 현장에서 가설울타리 설ㆍ해체공사 협력업체 ㈜OO 소속 재해자가 가설울타리 철거를 위해 당일 가스 절단기를 사용해 6번째 H빔(126kg, 6m)을 절단하던 중 해당 빔이 재해자 쪽으로 전도되어 사망"/>
    <s v="가설울타리 철거를 위해 가스절단기를 사용하여 H빔을 절단하던 중 재해자 쪽으로 전도"/>
    <s v="▶ 용단 시 부재의 반발상황 등을 고려하여 작업 실시_x000a_▶ H빔을 해체하는 경우 철골구조물 자중, 주변 진동, 충격 등을 고려하여 전도방지조치 실시"/>
  </r>
  <r>
    <n v="12"/>
    <x v="1"/>
    <x v="4"/>
    <x v="32"/>
    <s v="YES"/>
    <x v="4"/>
    <x v="17"/>
    <s v="해당없음"/>
    <s v="해당없음"/>
    <s v="해당없음"/>
    <s v="2017년 1월경"/>
    <d v="2017-01-01T00:00:00"/>
    <n v="1"/>
    <s v="혹한기"/>
    <x v="0"/>
    <s v="2017년 1월경 숙박시설 신축공사 현장에서 타워크레인(2.9t : 무인)텔리스코핑 작업을 하기 위하여 건물외부 지상에서 철제공구함(1m * 0.5m * 0.6m)을 타워크레인을 이용하여 인양하던 중, 철제공구함이 웹슬링(2줄 choke)에서 이탈하며 하부에 있던 재해자 위로 떨어지며 머리를 가격하여 사망"/>
    <s v=" 타워크레인으로 자재 인양 중 자재와 슬링벨트의 불완전 체결로 인해 자재가 낙하하며 지상 작업자들의 머리 등을 가격"/>
    <s v="▶ 인양작업 시 자재와 슬링벨트 체결상태 점검 철저_x000a_▶ 인양작업 시 신호수 배치, 작업지휘자 지정, 근로자 출입통제 등의 재해예방조치 실시"/>
  </r>
  <r>
    <n v="12"/>
    <x v="1"/>
    <x v="4"/>
    <x v="32"/>
    <s v="YES"/>
    <x v="4"/>
    <x v="18"/>
    <s v="해당없음"/>
    <s v="해당없음"/>
    <s v="해당없음"/>
    <s v="2018년 3월경"/>
    <d v="2018-03-01T00:00:00"/>
    <n v="3"/>
    <s v="-"/>
    <x v="1"/>
    <s v="2018년 3월경 OO아파트 신축공사 현장에서 옥탑층 및 옹벽 콘크리트 타설을 위하여 타워크레인으로 콘크리트 타설용 호퍼 양중 작업 중 옥상층에 대기 중이던 재해자가 하강하던 콘크리트 타설용 호퍼를 미쳐 발견하지 못하고 하강하는 호퍼 하부와 트러스 지지대 옹벽 상부 사이에 깔려 사망"/>
    <s v="타워크레인으로 콘크리트 타설용 호퍼 양중 작업 중, 근로자가 호퍼를 발견하지 못하고 호퍼 하부와 트러스 지지대 상부 사이에 깔림"/>
    <s v="▶ 타워크레인을 사용하여 작업 시 호퍼 용량을 준수하여 작업 실시_x000a_▶ 타워크레인 작업 시 인양중인 화물 낙하방지를 위해 신호수 배치 및 경적신호 실시_x000a_▶ 타워크레인 인양 시 작업반경 하부에 근로자 출입 통제"/>
  </r>
  <r>
    <n v="12"/>
    <x v="1"/>
    <x v="37"/>
    <x v="75"/>
    <s v="YES"/>
    <x v="4"/>
    <x v="17"/>
    <s v="해당없음"/>
    <s v="해당없음"/>
    <s v="해당없음"/>
    <s v="2016년 2월경"/>
    <d v="2016-02-01T00:00:00"/>
    <n v="2"/>
    <s v="혹한기"/>
    <x v="6"/>
    <s v="2016년 2월경 재해자가 쇼트 공장 내에서 제품에 테이프를 부착하는 작업 중에 지게차(7톤)로 입고 중이던 제품과 기 작업 중이던 제품 사이에 끼여 사망"/>
    <s v="지게차를 이용하여 자재운반 중 시야확보가 되지 않아 자재와 지게차 사이에 끼임 "/>
    <s v="▶ 유도자를 배치하여 차량계 건설기계 유도_x000a_▶ 후방카메라 설치 등 장비에 의한 접촉방지조치 실행_x000a_▶ 지게차 포크 화물 적재 시 전방 시야 확보"/>
  </r>
  <r>
    <n v="12"/>
    <x v="1"/>
    <x v="5"/>
    <x v="6"/>
    <s v="YES"/>
    <x v="4"/>
    <x v="17"/>
    <s v="해당없음"/>
    <s v="해당없음"/>
    <s v="해당없음"/>
    <s v="2015년 12월"/>
    <d v="2015-12-01T00:00:00"/>
    <n v="12"/>
    <s v="혹한기"/>
    <x v="0"/>
    <s v="2015년 12월경 OO하수처리장내 하수슬러지처리시설에서 용접공인 재해자가 건조기 B호기 보수작업중 건조기 내부 축부분 용접절단작업을 하기위하여 건조기 좌측 감속기에 체인을 체결하고 축을 회전시키던중 구동 체인이 끊겨 재해자의 머리부위에 체인부위(핀 링크)가 비래되어 사망"/>
    <s v="상부설치된 배관 및 기계설비 체인 등이 노후화로 인해 떨어지고 끊기면서 하부에 작업하던 재해자 깔림 및 강타"/>
    <s v="▶ 위험구간내 근로자 배치 및 작업지휘자 미배치_x000a_▶ 작업내용에 맞게 사용 체인의 충분한 인장강도 확보 후 작업 실시 "/>
  </r>
  <r>
    <n v="12"/>
    <x v="1"/>
    <x v="5"/>
    <x v="6"/>
    <s v="YES"/>
    <x v="4"/>
    <x v="17"/>
    <s v="해당없음"/>
    <s v="해당없음"/>
    <s v="해당없음"/>
    <s v="2016년 6월경"/>
    <d v="2016-06-01T00:00:00"/>
    <n v="6"/>
    <s v="혹서기"/>
    <x v="2"/>
    <s v="2016년 6월경 OO설비공사 현장에서 재해자가 공장동 2층 천정에서 폐자재 청소작업(비닐마대 속에 담음) 중 천정의 파손과 함께 6.0m 아래 계단실 바닥으로 추락하여 사망"/>
    <s v="공장동 천장에서 폐자재 청소작업 중 천장재가 파손되어 천장재와 함께 바닥으로 떨어짐"/>
    <s v="▶ 강도가 약한 천장 마감재 위에서 청소작업을 하는 경우, 추락할 위험이 있으므로 추락방호망, 안전대 부착설비 설치 등의 안전방호조치를 실시_x000a_▶ 강도가 약한 천장 마감재 위에서 작업 및 이동하는 경우, 적절한 조명기구를 설치하여 작업자가 실족하거나 넘어지지 않도록 조치"/>
  </r>
  <r>
    <n v="12"/>
    <x v="1"/>
    <x v="5"/>
    <x v="6"/>
    <s v="YES"/>
    <x v="4"/>
    <x v="17"/>
    <s v="해당없음"/>
    <s v="해당없음"/>
    <s v="해당없음"/>
    <s v="2016년 6월경"/>
    <d v="2016-06-01T00:00:00"/>
    <n v="6"/>
    <s v="혹서기"/>
    <x v="5"/>
    <s v="2016년 6월경 OO에서 시공하는 「OO공장」현장에서 탈수용 열교환기(Glycol Dehydrator Reboiler) tube 내부를 고압의 물로 세척하던 중 분사용 노즐(lance)의 spin 부분이 빠지면서 수압에 의해 분사용 노즐이 Tube 내부에서 튕겨나가면서 재해자의 목 부위를 강타하여 사망"/>
    <s v="기계설비 내부 고압의 물로 세척작업 중 수압에 의해 노즐이 튕겨나가면서 재해자 강타 후 넘어짐"/>
    <s v="▶ 노후화 된 사용 정비 및 자재 관리 철저"/>
  </r>
  <r>
    <n v="12"/>
    <x v="1"/>
    <x v="5"/>
    <x v="6"/>
    <s v="YES"/>
    <x v="4"/>
    <x v="19"/>
    <s v="12대 기인물"/>
    <n v="2"/>
    <n v="8.5000000000000006E-2"/>
    <s v="2016년 8월경"/>
    <d v="2016-08-01T00:00:00"/>
    <n v="8"/>
    <s v="혹서기"/>
    <x v="0"/>
    <s v="2016년 8월경 교량 하부보강 작업장에서 OO건설(주) 소속 재해자(용접공)가 굴삭기로 운반하여 기초구조물 위에 올려놓은 지보재의 가장자리에서 노룻발못뽑이로 지렛대 원리를 이용하여 지보재 하단부 수평재를 이동 시키는 작업 중 지보재가 넘어지면서 회전, 재해자를 강타하여 사망"/>
    <s v="교량 하부 보강을 위해 지보재 하단부 수평재를 이동시키는 작업 중 지보재가 넘어지면서 회전하여 재해자 강타"/>
    <s v="▶ 중량물 취급작업계획서 작성 및 작업지휘자 지정_x000a_▶ 자재 전도방지를 위해 슬링벨트 연결 부위 및 이동방법 검토"/>
  </r>
  <r>
    <n v="12"/>
    <x v="1"/>
    <x v="5"/>
    <x v="6"/>
    <s v="YES"/>
    <x v="4"/>
    <x v="19"/>
    <s v="12대 기인물"/>
    <n v="2"/>
    <n v="8.5000000000000006E-2"/>
    <s v="2016년 8월경"/>
    <d v="2016-08-01T00:00:00"/>
    <n v="8"/>
    <s v="혹서기"/>
    <x v="2"/>
    <s v="2016년 8월경 ㈜OO 철탑 점검 및 보수공사 현장에서 재해자가 철탑 암 끝부분에 있는 애자를 청소하기 위해 철탑을 오르던 중, 몸의 중심을 잃고 지면으로 떨어져(H=10m) 사망"/>
    <s v="철탑 암 끝부분에 있는 애자를 청소하기 위해 수직로프가 미설치된 철탑을 오르던 중 몸의 중심을 잃고 바닥으로 추락"/>
    <s v="▶ 안전대 부착설비(수직로프, 추락방지대, Key Lock) 설치_x000a_▶ 철탑 하부에 추락방지망 설치"/>
  </r>
  <r>
    <n v="12"/>
    <x v="1"/>
    <x v="5"/>
    <x v="6"/>
    <s v="YES"/>
    <x v="4"/>
    <x v="17"/>
    <s v="해당없음"/>
    <s v="해당없음"/>
    <s v="해당없음"/>
    <s v="2017년 1월경"/>
    <d v="2017-01-01T00:00:00"/>
    <n v="1"/>
    <s v="혹한기"/>
    <x v="7"/>
    <s v="2017년 1월경 OO현장에서 재해자가 OO공장 OO세정작업을 위하여 탱크 내부에서 슬러지 처리(반출)작업을 하던 중, 과절취된 슬러지 단면이 붕괴되면서 슬러지 더미에 재해자가 매몰되어 사망"/>
    <s v="세정작업을 위해 탱크내부에서 슬러지 반출작업을 하던 중 과절취된 슬러지 단면이 붕괴되면서 슬러지 더미에 재해자 매몰"/>
    <s v="▶ 과절취로 인한 슬러지 낙하위험이 발생하지 않도록 안전하게 작업 실시"/>
  </r>
  <r>
    <n v="12"/>
    <x v="1"/>
    <x v="5"/>
    <x v="6"/>
    <s v="YES"/>
    <x v="4"/>
    <x v="18"/>
    <s v="해당없음"/>
    <s v="해당없음"/>
    <s v="해당없음"/>
    <s v="2017년 6월경"/>
    <d v="2017-06-01T00:00:00"/>
    <n v="6"/>
    <s v="혹서기"/>
    <x v="0"/>
    <s v="2017년 6월경 OO건설(주) OO공공임대주택 건설공사 현장에서 OO건설(주) 소속 근로자 OOO이 지상4층 비계 작업발판 위에서 쓰레기를 건물 외부로 반출하던 중 지상8층에서 떨어진 철근(D10, 길이2.4m)에 맞아 사망"/>
    <s v="비계 작업발판 위에서 쓰레기를 건물 외부로 반출하던 중 상부에서 떨어진 철근에 맞음"/>
    <s v="▶ 낙하물에 의한 위험의 방지조치_x000a_▶ 자재 이탈을 방지하기 위한 보관함 설치"/>
  </r>
  <r>
    <n v="12"/>
    <x v="1"/>
    <x v="5"/>
    <x v="6"/>
    <s v="YES"/>
    <x v="4"/>
    <x v="17"/>
    <s v="해당없음"/>
    <s v="해당없음"/>
    <s v="해당없음"/>
    <s v="2018년 10월"/>
    <d v="2018-10-01T00:00:00"/>
    <n v="10"/>
    <s v="-"/>
    <x v="2"/>
    <s v="2018년 10월경 OO(주) OO신축공사 현장에서 준공청소 업체 소속 재해자가 아파트 세대 내 아일랜드식탁 주위 거실 바닥에 쓰러져 사망"/>
    <s v="준공청소 중 아일랜드 식탁 주변에 쓰러진 채 발견"/>
    <s v="▶ 높은 장소에서 작업 시 말비계 등 안전한 작업발판을 설치하고 작업 수행_x000a_▶ 가구 청소 작업 시 사다리 사용을 지양"/>
  </r>
  <r>
    <n v="12"/>
    <x v="1"/>
    <x v="5"/>
    <x v="6"/>
    <s v="YES"/>
    <x v="4"/>
    <x v="17"/>
    <s v="해당없음"/>
    <s v="해당없음"/>
    <s v="해당없음"/>
    <s v="2020년 5월경"/>
    <d v="2020-05-01T00:00:00"/>
    <n v="5"/>
    <s v="-"/>
    <x v="0"/>
    <s v="2020년 5월경 OO 이전에 따른 인테리어 공사 현장 엘리베이터 앞 전실에서 바닥 보양지를 정리하는 과정에서 벽에 세워둔 석재 대리석이 재해자에게 넘어져 부상"/>
    <s v="엘리베이터 앞 바닥 보양지를 정리하는 과정에서 벽에 세워둔 대리석이 넘어져 재해자 맞음"/>
    <s v="▶ 자재 등이 넘어지지 않도록 전도방지조치 실시"/>
  </r>
  <r>
    <n v="12"/>
    <x v="1"/>
    <x v="5"/>
    <x v="6"/>
    <s v="YES"/>
    <x v="4"/>
    <x v="17"/>
    <s v="해당없음"/>
    <s v="해당없음"/>
    <s v="해당없음"/>
    <s v="2021년 3월경"/>
    <d v="2021-03-01T00:00:00"/>
    <n v="3"/>
    <s v="-"/>
    <x v="2"/>
    <s v="2021년 3월경 보온작업장에서 재해자가 LPG탱크 블록의 보온작업을 위해 탱크상부 경사면에서 우레탄 스프레이 발포작업 중 착용한 작업벨트용 섬유로프의 고리가 도르래블록 훅에서 빠지면서 약 22m 높이에서 추락_x000a_"/>
    <s v="LPG탱크상부 경사면에서 우레탄 스프레이 발포작업 중 착용한 작업벨트용 섬유로프의 고리가 도르래블록 훅에서 빠지면서 바닥으로 추락"/>
    <s v="▶ 안전대 및 부속 설비의 이상유무를 작업을 시작 하기 전 점검 실시"/>
  </r>
  <r>
    <n v="12"/>
    <x v="1"/>
    <x v="5"/>
    <x v="6"/>
    <s v="YES"/>
    <x v="4"/>
    <x v="17"/>
    <s v="해당없음"/>
    <s v="해당없음"/>
    <s v="해당없음"/>
    <s v="2021년 12월"/>
    <d v="2021-12-01T00:00:00"/>
    <n v="12"/>
    <s v="혹한기"/>
    <x v="1"/>
    <s v="2021년 12월경 OO에서 시공하는 OO공사 현장 야적장에서 재해재가 자재를 옮기는 작업 중 재해자 뒤에 2단으로 적재되어있던 목재 묶음(길이 3.8m, 지름 15cm 목재 48본, 무게 약 1.3ton)이 재해자 방향으로 무너져, 무너진 목재에 재해자가 깔려 사망"/>
    <s v="자재를 옮기던 중 재해자 뒤 과적된 목재묶음이 재해자 방향으로 넘어져 깔림"/>
    <s v="▶ 자재 야적 시 고임목, 쐐기 등을 설치하여 굴러떨어짐 방지_x000a_▶ 자재를 야적하는 경우 균등한 하중이 분포되도록 배치"/>
  </r>
  <r>
    <n v="2"/>
    <x v="2"/>
    <x v="6"/>
    <x v="7"/>
    <s v="YES"/>
    <x v="4"/>
    <x v="18"/>
    <s v="해당없음"/>
    <s v="해당없음"/>
    <s v="해당없음"/>
    <s v="2018년 6월경"/>
    <d v="2018-06-01T00:00:00"/>
    <n v="6"/>
    <s v="혹서기"/>
    <x v="4"/>
    <s v="2018년 6월경 OO산업(주) 다중주택 신축공사현장에서 재해자가 지상3층 바닥에서 이동 중 몸의 중심을 잃고 쓰러지면서 수직철근(벽체)에 찔려 사망"/>
    <s v="철근 상부 찔림 방호조치 미실시한 상태에서 슬래브 상판 바닥에서 이동 중 실족으로 몸의 중심을 잃고 쓰러지면서 수직철근(벽체)에 근로자 찔림"/>
    <s v="▶ 근로자가 작업장에서 넘어지거나 미끄러지는 등의 위험이 없도록 통로용 발판 설치 등 안전한 통로 확보_x000a_▶ 철근 보호캡 설치 등 찔림 방호조치 실시"/>
  </r>
  <r>
    <n v="2"/>
    <x v="2"/>
    <x v="6"/>
    <x v="7"/>
    <s v="YES"/>
    <x v="4"/>
    <x v="18"/>
    <s v="해당없음"/>
    <s v="해당없음"/>
    <s v="해당없음"/>
    <s v="2018년 10월"/>
    <d v="2018-10-01T00:00:00"/>
    <n v="10"/>
    <s v="-"/>
    <x v="2"/>
    <s v="2018년 10월경 (주)OO건설 OO정비사업 신축공사현장에서 1층 바닥(X11~X12, Y7~Y8) PC Half 슬래브를 보 위에 올려 놓던 재해자가 인양체인을 해체하고 슬래브 중앙으로 이동하던 중, Half 슬래브가 보 위에서 낙하하면서 지하1층 바닥으로 떨어져(H=3.5m) 사망"/>
    <s v="PC구조물 조립 시 낙하 위험 예방조치를 미실시한 상태에서 바닥에서 PC Half 슬래브를 보 위에 거치 작업 이후 인양체인을 해체하고 슬래브 중앙으로 이동 중 시공오차 등으로 걸침길이가 짧아 Half 슬래브가 보 위에서 낙하로 인한 근로자 추락"/>
    <s v="▶ PC구조물 조립 시 낙하 위험 예방을 위해 작업 전 시공오차 확인 및 조정 실시_x000a_▶ 추락 방지를 위한 안전대 부착설비 설치 및 안전대 착용"/>
  </r>
  <r>
    <n v="2"/>
    <x v="2"/>
    <x v="6"/>
    <x v="33"/>
    <s v="YES"/>
    <x v="4"/>
    <x v="17"/>
    <s v="해당없음"/>
    <s v="해당없음"/>
    <s v="해당없음"/>
    <s v="2017년 4월경"/>
    <d v="2017-04-01T00:00:00"/>
    <n v="4"/>
    <s v="-"/>
    <x v="2"/>
    <s v="2017년 4월경 OO오피스텔 신축 공사 현장에서 바람에 의해 현장가설휀스 1장(W550×H6000 mm, 13kg)이 탈락되어 지하 2층 계단실 형틀 작업 중이던 재해자 쪽으로 떨어져 재해자가 이에 맞고 지하 2층에서 지하 3층 바닥으로 추락(H≒4.95m)하여 사망"/>
    <s v="가설 휀스 고정이 불량한 상태에서 바람에 의해 현장가설펜스 1장이 탈락되어 지하 계단실 형틀 작업중인 근로자 가격 이후 근로자 추락"/>
    <s v="▶ 가설펜스 설치 시 재료 이탈 방지를 위해 강관, 클램프 등을 이용하여 설치_x000a_▶ 추락 위험이 있는 작업 시, 안전방망, 안전난간, 안전대 부착설비 등 안전방호조치 실시"/>
  </r>
  <r>
    <n v="2"/>
    <x v="2"/>
    <x v="6"/>
    <x v="33"/>
    <s v="YES"/>
    <x v="4"/>
    <x v="19"/>
    <s v="12대 기인물"/>
    <n v="2"/>
    <n v="8.5000000000000006E-2"/>
    <s v="2018년 2월경"/>
    <d v="2018-02-01T00:00:00"/>
    <n v="2"/>
    <s v="혹한기"/>
    <x v="2"/>
    <s v="2018년 2월경 개인이 시공하는 (주)OO공사 현장에서 재해자가 데크플레이트 판개 및 용접 작업을 위해 철골 상부 이동 중 몸의 중심을 잃고 약 5.8m 아래 바닥으로 떨어지며 사망"/>
    <s v="추락 방지조치 미실시한 상태에서 데크플레이트 판개 및 용접 작업을 위해 철골 상부 이동 중 몸의 중심을 잃고 바닥으로 추락"/>
    <s v="▶ 추락위험이 있는 구간에는 추락방호망, 안전난간 설치 또는 및 안전대 착용후 작업_x000a_▶ 안전난간 설치 기준 준수하여 살치 및 관리감독자 확인 "/>
  </r>
  <r>
    <n v="2"/>
    <x v="2"/>
    <x v="6"/>
    <x v="33"/>
    <s v="YES"/>
    <x v="4"/>
    <x v="17"/>
    <s v="해당없음"/>
    <s v="해당없음"/>
    <s v="해당없음"/>
    <s v="2021년 6월경"/>
    <d v="2021-06-01T00:00:00"/>
    <n v="6"/>
    <s v="혹서기"/>
    <x v="2"/>
    <s v="2021년 6월경 재해자가 지하4층 기계식주차장(H≒8.75m) 시스템동바리 최상단 수평재를 밟고 서서 멍에재를 옮기는 작업 중, 자재를 전달받고 몸을 돌리는 순간 약 7.3m 아래 콘크리트 바닥으로 떨어져 사망"/>
    <s v="추락방지조치 미실시한 상태에서 지하층 기둥 거푸집에 매달려 플랫타이 및 핀 고정작업 중 바닥으로 근로자 추락"/>
    <s v="▶ 기둥 상부 작업 등 추락 위험이 있는 작업은 이동식 비계 등을 이용하여 발판 및 안전난간 등  설치_x000a_▶ 거푸집 조립 작업 등 추락 위험이 있는 장소에서 작업 시 추락방호망, 안전난간 설치, 안전대 착용 등 추락방호조치 실시_x000a_▶ 임시로 난간 등을 해체하여야 하는 경우 비계와 건물 사이에 추락방호망 설치"/>
  </r>
  <r>
    <n v="2"/>
    <x v="2"/>
    <x v="6"/>
    <x v="8"/>
    <s v="YES"/>
    <x v="4"/>
    <x v="18"/>
    <s v="해당없음"/>
    <s v="해당없음"/>
    <s v="해당없음"/>
    <s v="2015년 12월"/>
    <d v="2015-12-01T00:00:00"/>
    <n v="12"/>
    <s v="혹한기"/>
    <x v="1"/>
    <s v="2015년 12월경 OO고속철도현장에서 협력업체 소속 재해자 2명이 수직구와 본선터널을 연결하는 횡갱 터널의 풍도(지하 공기를 순환 시키는 용도의 통로) PC 슬래브 하부 동바리를 해체 하던 중, 상부의 PC 슬래브가 붕괴되면서 매몰되어 1명 사망, 1명 부상"/>
    <s v="콘크리트 양생기간 미준수한 상태에서 수직구와 본선터널을 연결하는 횡갱 터널의 풍도(지하 공기를 순환 시키는 용도의 통로) PC 슬래브 하부 동바리를 해체 하던 중, 상부의 PC 슬래브가 붕괴되면서 깔림"/>
    <s v="▶ 동바리 해체 작업 시 슬래브 붕괴를 예방하기 위해 잭 서포트 설치 등 구조 보강 후 작업진행_x000a_▶ 동바리 해체 작업 시 슬라브의 구조 등과 같은 정보를 사전에 검토하여 적절한 작업방식을 수립 후 작업진행"/>
  </r>
  <r>
    <n v="2"/>
    <x v="2"/>
    <x v="6"/>
    <x v="8"/>
    <s v="YES"/>
    <x v="4"/>
    <x v="18"/>
    <s v="해당없음"/>
    <s v="해당없음"/>
    <s v="해당없음"/>
    <s v="2016년 10월"/>
    <d v="2016-10-01T00:00:00"/>
    <n v="10"/>
    <s v="-"/>
    <x v="1"/>
    <s v="2016년 10월경 OO단독주택 리모델링 공사 현장에서 재해자가 1주일 전 타설한 콘크리트 계단의 거푸집 해체 작업을 위해 계단 하부를 지지하고 있던 강관 동바리를 제거하던 중 양생이 완료되지 않은 계단(H≒3.6m)이 무너지면서 재해자 하반신이 하부에 깔려 사망"/>
    <s v="콘크리트 양생기간 미준수한 상태에서 콘크리트 계단의 거푸집 해체 작업을 위해 계단 하부를 지지하고 있던 강관 동바리를 제거하던 중 양생이 완료되지 않은 계단이 무너지면서 깔림"/>
    <s v="▶ 동바리 해체 작업 시 콘크리트 붕괴를 예방하기 위해 잭 서포트 설치 등 구조 보강 후 작업진행_x000a_▶ 동바리 해체 작업 시 콘크리트의 구조 등과 같은 정보를 사전에 검토하여 적절한 작업방식을 수립 후 작업진행_x000a_▶ 동바리 해체 작업 시 콘크리트의 양생기간 준수"/>
  </r>
  <r>
    <n v="2"/>
    <x v="2"/>
    <x v="6"/>
    <x v="8"/>
    <s v="YES"/>
    <x v="4"/>
    <x v="16"/>
    <s v="12대 기인물"/>
    <n v="2"/>
    <n v="8.5000000000000006E-2"/>
    <s v="2020년 9월경"/>
    <d v="2020-09-01T00:00:00"/>
    <n v="9"/>
    <s v="-"/>
    <x v="0"/>
    <s v="2020년 9월경 (주)OO건설이 시공하는 OO현장에서 협력업체 소속 재해자가 실습동 3층 외부계단에서 거푸집 해체작업 중 이동식크레인을 이용하여 3층으로 인양하던 철골부재(H형강 4개, L=9.2m, 총중량 3.3톤)가 떨어지며 가한 충격으로 휘어지던 수직철근(Ø25mm, L≒1.5m)에 머리를 맞고 사망"/>
    <s v="낙하물 방지조치 미실시한 상태에서 지상층 외부계단에서 거푸집 해체작업 중 이동식크레인을 이용하여 같은층으로 인양하던 철골부재가 낙하하며 가한 충격으로 휘어지던 수직철근이 근로자 머리 가격"/>
    <s v="▶ 이동식 크레인을 이용하여 철골부재를 인양하는 경우 사전에 근로자 출입 통제_x000a_▶ 철골부재 인양작업 시 낙하물 발생에 대비하여 작업 통제 신호수 배치"/>
  </r>
  <r>
    <n v="2"/>
    <x v="2"/>
    <x v="7"/>
    <x v="77"/>
    <s v="YES"/>
    <x v="4"/>
    <x v="18"/>
    <s v="해당없음"/>
    <s v="해당없음"/>
    <s v="해당없음"/>
    <s v="2016년 7월경"/>
    <d v="2016-07-01T00:00:00"/>
    <n v="7"/>
    <s v="혹서기"/>
    <x v="2"/>
    <s v="2016년 7월경 OO개발㈜가 시공하는 근린생활 신축 현장에서 재해자가 지상 12층 피트(Pit) 이동 통로인 갱폼 작업발판에 기 적재된 철근다발을 밟는 순간 철근다발이 무너지면서 47m 아래 콘크리트 바닥으로 떨어져 사망"/>
    <s v="이동 통로로 사용중인 갱폼 작업발판에 적재된 철근 다발을 밟아 지나가던중 철근 다발이 무너지며 근로자 추락 "/>
    <s v="▶ 자재 인양 시 작업발판이 견딜 수 있는 하중을 고려하여 작업구간별 중량물 적재위치 확보_x000a_▶ 작업면으로부터 수직거리 10m 이내 마다 안전방망 설치"/>
  </r>
  <r>
    <n v="2"/>
    <x v="2"/>
    <x v="7"/>
    <x v="77"/>
    <s v="YES"/>
    <x v="4"/>
    <x v="18"/>
    <s v="해당없음"/>
    <s v="해당없음"/>
    <s v="해당없음"/>
    <s v="2016년 7월경"/>
    <d v="2016-07-01T00:00:00"/>
    <n v="7"/>
    <s v="혹서기"/>
    <x v="0"/>
    <s v="2016년 7월경 OO성당 신축공사 현장에서 화물트럭 운전자가 인력으로 트럭 적재함에서 철근(1다발 D10mm, L=8m, 940kg)을 내리는 작업 중, 운전석 옆으로 지나가던 재해자가 떨어지는 철근다발의 끝부분에 머리를 맞아 사망"/>
    <s v="트럭 적재함에서 하역작업 중 고정되지 않은 적재화물이 쏟아지며 근로자가 맞음"/>
    <s v="▶ 철근 등 중량물 적재 시 붕괴의 우려가 없는 받침판 위에 적재 또는 최대 적재하중을 초과하지 않는 선에서의 적재_x000a_▶ 추락방지조치를 위한 안전대 부착설비 설치 및 안전대 착용"/>
  </r>
  <r>
    <n v="2"/>
    <x v="2"/>
    <x v="7"/>
    <x v="10"/>
    <s v="YES"/>
    <x v="4"/>
    <x v="18"/>
    <s v="해당없음"/>
    <s v="해당없음"/>
    <s v="해당없음"/>
    <s v="2016년 2월경"/>
    <d v="2016-02-01T00:00:00"/>
    <n v="2"/>
    <s v="혹한기"/>
    <x v="0"/>
    <s v="2016년 2월경 OO오피스텔 신축공사 현장 OO동의 최상층인 2층에서 협력업체 소속 재해자가 타워크레인으로 운반중인 철근 다발을 신호중 철근 운반구의 한쪽이 슬링벨트에서 탈락되면서 운반구에 실려있던 철근다발이 재해자를 강타, 사망"/>
    <s v="타워크레인으로 운반중인 철근 다발을 신호 중 철근 운반구의 한쪽이 슬링벨트에서 탈락되면서 운반구에 실려있던 철근다발이 근로자 강타"/>
    <s v="▶ 타워크레인으로 철근다발을 운반하는 경우 운반 중인 철근다발이 머리 위로 통과하지 않도록 안전조치_x000a_▶ 철근다발 등 타원크레인으로 운반하는 등 작업을 할때의 작업방법 및 운반구가 적절한지 작업 전 확인 조치 _x000a_▶ 철근다발 등 중량물 취급시에는 운반 등의 작업에 있어서 계획서를 작업하고 그 계획에 따라 작업하도록 지시"/>
  </r>
  <r>
    <n v="2"/>
    <x v="2"/>
    <x v="7"/>
    <x v="10"/>
    <s v="YES"/>
    <x v="4"/>
    <x v="18"/>
    <s v="해당없음"/>
    <s v="해당없음"/>
    <s v="해당없음"/>
    <s v="2017년 3월경"/>
    <d v="2017-03-01T00:00:00"/>
    <n v="3"/>
    <s v="-"/>
    <x v="3"/>
    <s v="2017년 3월경 OO공동주택 신축공사 현장입구에서 재해자가 반입 된 철근다발을 현장 내부로 인양·이동시키려고 크레인으로 철근다발 한쪽 끝단 철선에 결속 후 인양하고, 철근다발 하부에 고임목을 받치고 철근다발 끝단으로 이동하던 중 결속되어 있던 철선이 풀리며 철근다발이 재해자 머리로 떨어져(h≒1.7m) 사망"/>
    <s v="크레인으로 철근다발 한쪽 끝단 철선에 결속 후 인양 중, 결속되어 있던 철선이 풀리며 철근다발이 근로자에게 낙하"/>
    <s v="▶ 중량물 인양시 중량물의 취급방법, 인양장비의 재원 등 작업방법 검토_x000a_▶ 전담 신호수 배치 및 일정한 신호방법 주지_x000a_▶ 중량물 인양시 작업 하부에 근로자 출입 통제"/>
  </r>
  <r>
    <n v="2"/>
    <x v="2"/>
    <x v="7"/>
    <x v="10"/>
    <s v="YES"/>
    <x v="4"/>
    <x v="18"/>
    <s v="해당없음"/>
    <s v="해당없음"/>
    <s v="해당없음"/>
    <s v="2017년 4월경"/>
    <d v="2017-04-01T00:00:00"/>
    <n v="4"/>
    <s v="-"/>
    <x v="0"/>
    <s v="2017년 4월경 OO종합건설(주)에서 시공 중인 OO병원 신축현장에서, 기중기(50Ton)를 사용하여 섬유로프(2줄걸이)로 체결한 철근묶음(약 800kg)을 지상 8층으로 운반하던 중, 가장자리에 체결한 한 쪽의 섬유로프가 벗겨지자 철근묶음의 무게중심이 기울어지면서 약 400kg 정도의 철근이 일시적으로 떨어져 직하부에 있던 재해자를 강타하여 사망"/>
    <s v="기중기를 사용하여 철근묶음을 운반 하던 중, 가장자리에 체결한 섬유로프가 벗겨져 철근묶음의 무게중심이 기울어지면서 근로자를 강타"/>
    <s v="▶ 낙하물 위험장소에 대해 안전펜스, 안전표지판 등으로 출입금지구역 설정을 통한 근로자 출입 통제_x000a_▶ 철근 운반구 제작 시 작업발판 및 각재에 대하여 견고히 고정_x000a_▶ 운반구 인양 시 하부 내층으로 슬링벨트를 충분히 삽입하여 무게중심 확보"/>
  </r>
  <r>
    <n v="2"/>
    <x v="2"/>
    <x v="7"/>
    <x v="10"/>
    <s v="YES"/>
    <x v="4"/>
    <x v="18"/>
    <s v="해당없음"/>
    <s v="해당없음"/>
    <s v="해당없음"/>
    <s v="2017년 11월"/>
    <d v="2017-11-01T00:00:00"/>
    <n v="11"/>
    <s v="-"/>
    <x v="0"/>
    <s v="2017년 11월경 OO종합건설(주)에서 시공중인 OOOO신축공사 현장에서 재해자가 지상1층 철근야적장에서 철근 다발위에 앉아 휴식을 취하던 중지상4층(H≒14.5m)에서 각재(8cm×5cm×2,550cm,약 9kg)가 떨어져 두부에 맞아 사망"/>
    <s v="지상층 거푸집 해체작업 중 각재가 떨어져 철근야적장에서 휴식 중이던 근로자 가격"/>
    <s v="▶ 거푸집 해체 작업으로 인해 자재 낙하의 위험이 있는 경우 낙하물 방지망, 수직보호망, 또는 방호선반의 설치 실시_x000a_▶ 작업장 내 관계 근로자가 아닌 근로자 출입을 금지_x000a_▶ 적절한 휴게시설 설치"/>
  </r>
  <r>
    <n v="2"/>
    <x v="2"/>
    <x v="7"/>
    <x v="10"/>
    <s v="YES"/>
    <x v="4"/>
    <x v="18"/>
    <s v="해당없음"/>
    <s v="해당없음"/>
    <s v="해당없음"/>
    <s v="2018년 4월경"/>
    <d v="2018-04-01T00:00:00"/>
    <n v="4"/>
    <s v="-"/>
    <x v="0"/>
    <s v="2018년 4월경 OO건설(주)에서 시공하는 주상복합건물 신축공사 현장에서 재해자가 지상1층 좌측면 철근가공장에서 철근가공 작업대에 적재된 철근을 철근가공 작업대에 부착된 운반용 레일방향으로 철근을 쌓고 레일로 내리는 과정에서 철근이 레일로 흘러내리면서작업대와 함께 전도하여 적재된 철근이 재해자를 덮치며 깔려 사망"/>
    <s v="적재된 철근을 레일로 내리는 과정에서, 철근이 레일로 흘러내리면서 작업대와 함께 전도하여 적재된 철근이 근로자를 덮침"/>
    <s v="▶ 철근가공 시 작업대에 대하여 안정한 형태로 바닥에 고정시켜 작업대 상부에서 철근 전도 방지_x000a_▶ 철근가공 작업대 보강을 위해 닥업대 하부 버림타설 등 지반 보강, 수직대와 하부 바닥 앙카 설치, 운반 레일방향 철근 구름 방지용 스토퍼 설치 및 운반 레일 하부지지대 설치"/>
  </r>
  <r>
    <n v="2"/>
    <x v="2"/>
    <x v="7"/>
    <x v="10"/>
    <s v="YES"/>
    <x v="4"/>
    <x v="18"/>
    <s v="해당없음"/>
    <s v="해당없음"/>
    <s v="해당없음"/>
    <s v="2021년 7월경"/>
    <d v="2021-07-01T00:00:00"/>
    <n v="7"/>
    <s v="혹서기"/>
    <x v="0"/>
    <s v="2021년 7월경 (주)OO에서 시공하는 OOOO신축공사 현장의 OO동 20층 슬라브 철근 배근 작업구간에서 철근(길이 약 2m / 무게 약 1.9kg) 한 가닥이 높이 약 62m에서 지상으로 낙하하여, 점심식사 후 현장사무실로 이동하던 협력업체 소속 재해자의 안전모와 머리에 철근이 관통하여 사망"/>
    <s v="상부층 슬라브 철근 배근 작업구간에서 철근 한 가닥이 지상으로 떨어져 근로자 가격"/>
    <s v="▶ 낙하물 위험장소에 대해 안전펜스, 안전표지판 등으로 출입금지구역 설정을 통한 근로자 출입 통제_x000a_▶ 철근가공 시 안정한 형태로 바닥에 고정시켜 철근 낙하 방지"/>
  </r>
  <r>
    <n v="2"/>
    <x v="2"/>
    <x v="7"/>
    <x v="34"/>
    <s v="YES"/>
    <x v="4"/>
    <x v="18"/>
    <s v="해당없음"/>
    <s v="해당없음"/>
    <s v="해당없음"/>
    <s v="2015년 3월경"/>
    <d v="2015-03-01T00:00:00"/>
    <n v="3"/>
    <s v="-"/>
    <x v="1"/>
    <s v="2015년 3월경 OO교 설치공사 현장에서 철근공인 재해자 2명이 교대 수직철근 조립작업을 하던 중 강풍, 철근자체 중량 등의 영향으로 수평 저항력을 잃고 전도되는 수직철근에 깔려 1명 사망, 1명 부상"/>
    <s v="교량 교대의 수직철근 조립작업 중 강풍, 철근자체 중량 등의 영향으로 수평 저항력을 잃고 전도되는 수직철근에 깔림 "/>
    <s v="▶ 작업 전 전도 안전성 확보를 위한 작업계획서 작성 및 준수_x000a_▶ 조립철근이 외력에 견딜 수 있거나 넘어지지 않도록 견고한 구조의 버팀대 또는 지지대를 설치"/>
  </r>
  <r>
    <n v="2"/>
    <x v="2"/>
    <x v="7"/>
    <x v="34"/>
    <s v="YES"/>
    <x v="4"/>
    <x v="18"/>
    <s v="해당없음"/>
    <s v="해당없음"/>
    <s v="해당없음"/>
    <s v="2017년 6월경"/>
    <d v="2017-06-01T00:00:00"/>
    <n v="6"/>
    <s v="혹서기"/>
    <x v="6"/>
    <s v="2017년 6월경 OO물류센타 신축현장 기초 철근배근 위치에서 상부철근 지지용 철근 보강 작업중 상부철근이 한쪽으로 몰려 붕괴 되면서 하부철근과 상부철근 사이에서 작업중이던 근로자 2명이 협착되어 1명이 사망하고 1명이 부상"/>
    <s v="상부철근 지지용 철근 보강 작업 중, 상부 철근이 한쪽으로 몰려 붕괴 되면서 상∙하부근 철근 사이에 작업 중이던 근로자 협착"/>
    <s v="▶ 중량물 취급시 안전대책이 포함된 작업계획서 작성 및 준수_x000a_▶ 경사 지지대용 철근 설치 시 X, Y열 2방향으로 설치_x000a_▶ 철근 등 중량물 취급 시 작업지휘자 지정"/>
  </r>
  <r>
    <n v="2"/>
    <x v="2"/>
    <x v="7"/>
    <x v="34"/>
    <s v="YES"/>
    <x v="4"/>
    <x v="18"/>
    <s v="해당없음"/>
    <s v="해당없음"/>
    <s v="해당없음"/>
    <s v="2020년 9월경"/>
    <d v="2020-09-01T00:00:00"/>
    <n v="9"/>
    <s v="-"/>
    <x v="4"/>
    <s v="2020년 9월경 (주)OO종합건설에서 시공하는 자연재해위험 개선지구 정비사업 현장 펌프장 구역에서 협력업체 소속 재해자가 날개벽 벽체 철근배근 작업과정에서 설치된 벽체철근을 넘어 이동하는 중, 벽체 상부에 돌출된 수직철근에 우측 허벅지 안쪽을 찔려 사망"/>
    <s v=" 날개벽 벽체 철근배근 작업과정에서 설치된 벽체철근을 넘어 이동하는 중 벽체 상부에 돌출된 수직철근에 우측 허벅지 안쪽을 찔침"/>
    <s v="▶ 이동통로 및 작업구간 내 수직철근 돌출부 보호캡 설치 및 주변 접근통제 조치_x000a_▶ 현장 내의 작업 시 작업장으로 통하는 장소 또는 작업장 내에 안전한 통로 설치"/>
  </r>
  <r>
    <n v="2"/>
    <x v="2"/>
    <x v="7"/>
    <x v="34"/>
    <s v="YES"/>
    <x v="4"/>
    <x v="18"/>
    <s v="해당없음"/>
    <s v="해당없음"/>
    <s v="해당없음"/>
    <s v="2021년 2월경"/>
    <d v="2021-02-01T00:00:00"/>
    <n v="2"/>
    <s v="혹한기"/>
    <x v="1"/>
    <s v="2021년 2월경 OO건설㈜ 하천재해예방사업 현장에서 협력업체 소속 재해자가 교량(강합성형 라멘교) 교각 기둥철근 조립 작업을 하던 중, 넘어지는 수직철근에 깔려 부상을 입은 후 사망"/>
    <s v="벽체, 기둥 철근 배근중 버팀대 미설치로 철근이 전도되며 근로자 깔림"/>
    <s v="▶ 벽체철근 시공 시 안정한 형태로 유지하도록 버팀대를 설치하는 등 철근 전도 방지조치 실시_x000a_▶ 수직철근의 전도방지를 위해 지지대 설치 등 보강조치 실시_x000a_▶ 수직철근 조립작업 시 전도재해를 예방하기 위해 관리감독자 지휘 ∙ 감독 철저"/>
  </r>
  <r>
    <n v="2"/>
    <x v="2"/>
    <x v="7"/>
    <x v="34"/>
    <s v="YES"/>
    <x v="4"/>
    <x v="18"/>
    <s v="해당없음"/>
    <s v="해당없음"/>
    <s v="해당없음"/>
    <s v="2021년 6월경"/>
    <d v="2021-06-01T00:00:00"/>
    <n v="6"/>
    <s v="혹서기"/>
    <x v="1"/>
    <s v="2021년 6월경 OO물류센터 신축공사 현장에서 재해자가 지상 2층 8구간에서 PC슬래브·PC보 철근배근 작업 중 부족한 철근자제를 가지러 이동하다, 설치작업 중이던 6번 계단실 벽체철근이 재해자 쪽으로 넘어져 협착되어 사망"/>
    <s v="벽체, 기둥 철근 배근중 버팀대 미설치로 철근이 전도되며 근로자 깔림"/>
    <s v="▶ 벽체철근 시공 시 안정한 형태로 유지하도록 버팀대를 설치하는 등 철근 전도 방지조치 실시_x000a_▶ 수직철근의 전도방지를 위해 지지대 설치 등 보강조치 실시_x000a_▶ 수직철근 조립작업 시 전도재해를 예방하기 위해 관리감독자 지휘 ∙ 감독 철저"/>
  </r>
  <r>
    <n v="2"/>
    <x v="2"/>
    <x v="8"/>
    <x v="35"/>
    <s v="YES"/>
    <x v="4"/>
    <x v="18"/>
    <s v="해당없음"/>
    <s v="해당없음"/>
    <s v="해당없음"/>
    <s v="2021년 8월경"/>
    <d v="2021-08-01T00:00:00"/>
    <n v="8"/>
    <s v="혹서기"/>
    <x v="2"/>
    <s v="2021년 8월경 복합시설 신축공사 현장에서 OO(주) 소속 재해자와 동료작업자가 물류센터 신축현장 7층에서 PC슬라브 설치작업 중, PC슬라브에 체결된 줄걸이가 완전히 해체되지 않은 상태에서 무전기를 통해 상승신호를 받은 크롤러크레인 기사가 크레인을 상승시켜 PC슬라브 위에 서있던 재해자가 중심을 잃고 물류창고 6층 바닥으로 추락하여 사망"/>
    <s v="PC슬라브 설치작업 중 PC슬라브에 체결된 줄걸이가 완전히 해체되지 않은 상태에서 무전기를 통해 상승신호를 받은 크롤러크레인 기사가 크레인을 상승시켜 PC슬라브 위에 서있던 재해자가 중심을 잃고 추락"/>
    <s v="▶ 인양중인 화물에 대한 작업방법, 신호 등을 정하여 장비기사의 임의 조작을 금지_x000a_▶ 크롤러크레인 작업 시 인양중인 화물 낙하방지를 위해 신호수 배치 및 경적신호 실시"/>
  </r>
  <r>
    <n v="2"/>
    <x v="2"/>
    <x v="8"/>
    <x v="11"/>
    <s v="YES"/>
    <x v="4"/>
    <x v="17"/>
    <s v="해당없음"/>
    <s v="해당없음"/>
    <s v="해당없음"/>
    <s v="2015년 12월"/>
    <d v="2015-12-01T00:00:00"/>
    <n v="12"/>
    <s v="혹한기"/>
    <x v="8"/>
    <s v="2015년 12월경 ㈜OO OO신축공사 현장에서 협력업체 ㈜OO건설 소속 재해자(콘크리트 타설공)가 지하2층 전기실 패드 콘크리트 타설 후 배관 내부 청소작업 중 콘크리트 타설용 주름관에 걸려 넘어지면서 머리를 바닥에 부딪쳐 사망"/>
    <s v="전기실 패드 콘크리트 타설 후 배관 내부 청소작업 중 콘크리트 타설용 주름관에 걸려 넘어지면서 머리를 바닥에 부딪힘"/>
    <s v="▶ 배관 내부 청소작업시 장비 및 기계사용에 대한 작업순서, 작업방법 등이 포함된 작업계획서 작성 및 준수_x000a_▶ 주름관이 움직이지 않도록 견고히 고정하고, 근로자 접근 통제 구역 지정 및 신호수 배치"/>
  </r>
  <r>
    <n v="2"/>
    <x v="2"/>
    <x v="8"/>
    <x v="11"/>
    <s v="YES"/>
    <x v="4"/>
    <x v="19"/>
    <s v="12대 기인물"/>
    <n v="2"/>
    <n v="8.5000000000000006E-2"/>
    <s v="2016년 2월경"/>
    <d v="2016-02-01T00:00:00"/>
    <n v="2"/>
    <s v="혹한기"/>
    <x v="7"/>
    <s v="2016년 2월경 OO(주) 석탄취급설비 설치공사 현장에서 화력 8∼9호기 사이 석탄 이송설비인 벨트 컨베이어 갤러리구간에서 협력업체 근로자 9명이 바닥 콘크리트 타설 작업 중 데크플레이트가 상부하중을 지지하지 못하고 아래로 무너지며 그 자리에서 콘크리트 타설작업을 하던 2명이 60m아래 지면 바닥으로 떨어져 사망"/>
    <s v="데크플레이트 콘크리트 타설 작업 중 데크플레이트(구조적 불안정, 작업방법 불량 등)가 붕괴"/>
    <s v="▶ 데크플레이트를 지지하는 철골빔과 같은 주요 부재 설치시, 용도, 품질, 이음부 발생 시 접합방법 등 사전 확인_x000a_▶ 콘크리트 타설 시 편심발생을 막기위해 집중타설 금지_x000a_▶ 콘크리트 타설 작업 시 데크플레이트의 변형 및 변위 감시를 위한 감시자 배치"/>
  </r>
  <r>
    <n v="2"/>
    <x v="2"/>
    <x v="8"/>
    <x v="11"/>
    <s v="YES"/>
    <x v="4"/>
    <x v="18"/>
    <s v="해당없음"/>
    <s v="해당없음"/>
    <s v="해당없음"/>
    <s v="2016년 5월경"/>
    <d v="2016-05-01T00:00:00"/>
    <n v="5"/>
    <s v="-"/>
    <x v="4"/>
    <s v="2016년 5월경 OO(주) 아파트 신축공사 현장에서 협력업체 ㈜OO토건 소속 재해자(콘크리트공)가 102동 13층 바닥 슬래브 및 벽체 콘크리트 타설공사의 다짐작업을 위해 벽체 조립철근을 넘어가던 중 몸의 중심을 잃고 쓰러지면서 조립철근에 회음부가 찔려 사망"/>
    <s v="이동통로가 없는 상태에서 슬래브 및 벽체 콘크리트 타설공사의 다짐작업을 위해 벽체 조립철근을 넘어가던 중 몸의 중심을 잃고 쓰러지면서 조립철근에 찔림"/>
    <s v="▶ 콘크리트 타설 작업 시 찔림위험이 있는 경우 조립철근이 없는 방향에서의 작업 통로 설치_x000a_▶ 철근 돌출로 인해 찔림위험이 있는 경우 철근 돌출부에 보호캡 설치 _x000a_▶ 추락 위험이 있는 장소에서 작업 시, 작업발판 및 안전방망 설치"/>
  </r>
  <r>
    <n v="2"/>
    <x v="2"/>
    <x v="8"/>
    <x v="11"/>
    <s v="YES"/>
    <x v="4"/>
    <x v="18"/>
    <s v="해당없음"/>
    <s v="해당없음"/>
    <s v="해당없음"/>
    <s v="2017년 6월 "/>
    <d v="2017-06-01T00:00:00"/>
    <n v="6"/>
    <s v="혹서기"/>
    <x v="2"/>
    <s v="2017년 6월 OO산업단지 OO지구 조성 현장에서 협력업체 OO(주)의 재해자(목공)이 지원시설용지의 J형 측구 타설을 보조하기 위해 J형 측구 거푸집 작업발판 위에서 원동기식 바이브레이터 엔진시동 준비를 하던 중 콘크리트펌프카의 호스가 요동·선회하면서 재해자를 강타하여 안전난간 사이로 추락하면서 바닥에 배근되어 있는 철근에 찔려 사망"/>
    <s v="측구 거푸집 작업발판 위에서 원동기식 바이브레이터 엔진시동 준비를 하던 중 콘크리트펌프카의 호스가 요동·선회하면서 재해자를 강타하여 안전난간 사이로 추락"/>
    <s v="▶ 콘크리트 타설 작업 시 찔림위험이 있는 경우 조립철근이 없는 방향에서의 작업 통로 설치_x000a_▶ 철근 돌출로 인해 찔림위험이 있는 경우 철근 돌출부에 보호캡 설치 _x000a_▶ 추락 위험이 있는 장소에서 작업 시, 작업발판 및 안전방망 설치"/>
  </r>
  <r>
    <n v="2"/>
    <x v="2"/>
    <x v="8"/>
    <x v="11"/>
    <s v="YES"/>
    <x v="4"/>
    <x v="19"/>
    <s v="12대 기인물"/>
    <n v="2"/>
    <n v="8.5000000000000006E-2"/>
    <s v="2019년 4월경"/>
    <d v="2019-04-01T00:00:00"/>
    <n v="4"/>
    <s v="-"/>
    <x v="2"/>
    <s v="2019년 4월경 ㈜OO 공장 신축공사현장에서 재해자(미장공) 등 10명이 지상1층 바닥 콘크리트 타설을 하던 중 슬래브를 지지하는 작은보(철골) 2개소에서 보와 옹벽 사이의 임베드 플레이트 볼트 용접 부위가 파단 되면서 보와 슬래브가 한쪽으로 기울며 붕괴되어 6명의 근로자가 6.5m 높이에서 미끄러지듯 떨어지면서 부상(4명이 3개월 이상의 요양 필요)"/>
    <s v="바닥 콘크리트 타설을 하던 중 슬래브를 지지하는 작은보 2개소에서 임베드 플레이트 볼트 용접 부위가 파단나면서 슬래브가 한쪽으로 기울어 근로자 추락"/>
    <s v="▶ 철골부재 용접 시 용접관련 자격증 보유 확인 및 용접 후 원청, 하청, 감리의 입회하에 검측 실시_x000a_▶ 데크플레이트를 설치하는 철골구조물을 시공하는 경우 철골구조물 자중, 상부 적재하중 및 콘크리트 타설에 따른 진동 및 충격 등을 고려하여 전도방지조치 실시"/>
  </r>
  <r>
    <n v="2"/>
    <x v="2"/>
    <x v="8"/>
    <x v="11"/>
    <s v="YES"/>
    <x v="4"/>
    <x v="19"/>
    <s v="12대 기인물"/>
    <n v="2"/>
    <n v="8.5000000000000006E-2"/>
    <s v="2019년 11월"/>
    <d v="2019-11-01T00:00:00"/>
    <n v="11"/>
    <s v="-"/>
    <x v="7"/>
    <s v="2019년 11월경 OO(주)가 시공하는 창고시설 신축 현장에서 협력업체 ㈜OO 소속 근로자 재해자(철근공, 형틀공) 2명이 창고동 옥상 슬래브(Slab)에서 콘크리트타설 작업 중 데크플레이트가 철골에서 탈락하며 2층 바닥으로 떨어져(H≒7m) 부상"/>
    <s v="데크플레이트 콘크리트 타설 작업 중 데크플레이트(구조적 불안정, 작업방법 불량 등)가 붕괴"/>
    <s v="▶ 콘크리트 타설작업 시 사전에 거푸집의 변형 및 변위 등을 점검 및 보수_x000a_▶ 데크플레이트의 양단 걸침길이는 50mm 이상으로 하며 용접 방법과 간격 준수 "/>
  </r>
  <r>
    <n v="2"/>
    <x v="2"/>
    <x v="8"/>
    <x v="11"/>
    <s v="YES"/>
    <x v="4"/>
    <x v="17"/>
    <s v="해당없음"/>
    <s v="해당없음"/>
    <s v="해당없음"/>
    <s v="2020년 4월경"/>
    <d v="2020-04-01T00:00:00"/>
    <n v="4"/>
    <s v="-"/>
    <x v="0"/>
    <s v="2020년 4월경 ㈜OO OO현장에서 철근콘크리트 협력업체 OO건설(주) 소속 재해자(콘크리트공)이 콘크리트 타설용 배관 내부의 청소를 위해 산소주입용 캡의 고정철물 해체 중 배관 내부 압력이 분출되면서 산소주입용 캡에 맞아 사망"/>
    <s v="콘크리트 타설용 배관 내부의 청소를 위해 스폰지볼을 삽입 후 배관과 산소용기를 연결하여 가압하던 중 배관내부의 스폰지 볼이 막혀 산소주입용 캡의 고정철물 해제 중 배관 내부 압력이 분출되면서 산소주입용 캡에 강타"/>
    <s v="▶ 콘크리트 배관 등 청소작업 시 압축된 기체가 방출되어 사고가 발생하지 않도록 압축된 기체를 방출하도록 조치 후 작업_x000a_▶ 개인보호구 지급 및 착용"/>
  </r>
  <r>
    <n v="2"/>
    <x v="2"/>
    <x v="8"/>
    <x v="11"/>
    <s v="YES"/>
    <x v="4"/>
    <x v="19"/>
    <s v="12대 기인물"/>
    <n v="2"/>
    <n v="8.5000000000000006E-2"/>
    <s v="2020년 9월경"/>
    <d v="2020-09-01T00:00:00"/>
    <n v="9"/>
    <s v="-"/>
    <x v="7"/>
    <s v="2020년 9월경 ㈜OO 주거 및 업무시설 신축공사 현장의 기계식주차장 중층 슬래브 위에서 재해자 2명이 콘크리트를 타설하던 중, 데크플레이트가 붕괴되어 약 46.5미터 아래 주차 Pit내 지하2층 바닥으로 추락하여 사망"/>
    <s v="데크플레이트 콘크리트 타설 작업 중 데크플레이트(구조적 불안정, 작업방법 불량 등)가 붕괴"/>
    <s v="▶ 데크플레이트를 지지하는 철골빔과 같은 주요 부재 설치시, 용도, 품질, 이음부 발생 시 접합방법 등 사전 확인_x000a_▶ 콘크리트 타설 시 편심발생을 막기위해 집중타설 금지_x000a_▶ 콘크리트 타설 작업 시 데크플레이트의 변형 및 변위 감시를 위한 감시자 배치"/>
  </r>
  <r>
    <n v="2"/>
    <x v="2"/>
    <x v="8"/>
    <x v="11"/>
    <s v="YES"/>
    <x v="4"/>
    <x v="19"/>
    <s v="12대 기인물"/>
    <n v="2"/>
    <n v="8.5000000000000006E-2"/>
    <s v="2021년 2월경"/>
    <d v="2021-02-01T00:00:00"/>
    <n v="2"/>
    <s v="혹한기"/>
    <x v="7"/>
    <s v="2021년 2월경 OO(주) OO신축공사 현장에서 지상1층 콘크리트 타설 중 상부슬래브가(데크플레이트 : 8.1m x 10.3m, 3 Span) 붕괴되면서, 지상1층 바닥에서 콘크리트 양생용 열풍기에 연료주입을 하던 재해자 2명을 덮쳐 부상"/>
    <s v="데크플레이트 콘크리트 타설 작업 중 데크플레이트(구조적 불안정, 작업방법 불량 등)가 붕괴"/>
    <s v="▶ 데크플레이트를 지지하는 철골빔과 같은 주요 부재 설치시, 용도, 품질, 이음부 발생 시 접합방법 등 사전 확인_x000a_▶ 콘크리트 타설 시 편심발생을 막기위해 집중타설 금지_x000a_▶ 콘크리트 타설 작업 시 데크플레이트의 변형 및 변위 감시를 위한 감시자 배치"/>
  </r>
  <r>
    <n v="2"/>
    <x v="2"/>
    <x v="8"/>
    <x v="11"/>
    <s v="YES"/>
    <x v="4"/>
    <x v="19"/>
    <s v="12대 기인물"/>
    <n v="2"/>
    <n v="8.5000000000000006E-2"/>
    <s v="2021년 2월경"/>
    <d v="2021-02-01T00:00:00"/>
    <n v="2"/>
    <s v="혹한기"/>
    <x v="7"/>
    <s v="2021년 2월경 OO(주)에서 시공 중인 OO신축공사 현장에서 지하 1층 주차장 바닥 슬라브 타설 작업 중 데크플레이트가 붕괴하여 타설작업자 5명이 떨어져(H≒3.5m) 전원 부상"/>
    <s v="데크플레이트 콘크리트 타설 작업 중 데크플레이트(구조적 불안정, 작업방법 불량 등)가 붕괴"/>
    <s v="▶ 데크플레이트를 지지하는 철골빔과 같은 주요 부재 설치시, 용도, 품질, 이음부 발생 시 접합방법 등 사전 확인_x000a_▶ 콘크리트 타설 시 편심발생을 막기위해 집중타설 금지_x000a_▶ 콘크리트 타설 작업 시 데크플레이트의 변형 및 변위 감시를 위한 감시자 배치"/>
  </r>
  <r>
    <n v="2"/>
    <x v="2"/>
    <x v="8"/>
    <x v="11"/>
    <s v="YES"/>
    <x v="4"/>
    <x v="19"/>
    <s v="12대 기인물"/>
    <n v="2"/>
    <n v="8.5000000000000006E-2"/>
    <s v="2021년 9월경"/>
    <d v="2021-09-01T00:00:00"/>
    <n v="9"/>
    <s v="-"/>
    <x v="7"/>
    <s v="2021년 9월경 OO(주)에서 OO신축공사 현장에서 철근콘크리트 공사 협력업체 ㈜OO건업 소속 재해자 3명이 지상 1층 바닥 슬라브 콘크리트를 타설하는 중 슬라브가 붕괴되며 데크플레이트 및 보와 함께 약 8.5m 아래 지하 1층 바닥으로 추락하여 2명 사망, 1명 부상"/>
    <s v="데크플레이트 콘크리트 타설 작업 중 데크플레이트(구조적 불안정, 작업방법 불량 등)가 붕괴"/>
    <s v="▶ 데크플레이트를 지지하는 철골빔과 같은 주요 부재 설치시, 용도, 품질, 이음부 발생 시 접합방법 등 사전 확인_x000a_▶ 콘크리트 타설 시 편심발생을 막기위해 집중타설 금지_x000a_▶ 콘크리트 타설 작업 시 데크플레이트의 변형 및 변위 감시를 위한 감시자 배치"/>
  </r>
  <r>
    <n v="2"/>
    <x v="2"/>
    <x v="8"/>
    <x v="11"/>
    <s v="YES"/>
    <x v="4"/>
    <x v="18"/>
    <s v="해당없음"/>
    <s v="해당없음"/>
    <s v="해당없음"/>
    <s v="2021년 10월"/>
    <d v="2021-10-01T00:00:00"/>
    <n v="10"/>
    <s v="-"/>
    <x v="4"/>
    <s v="2021년 10월경 OO(주)에서 시공하는 주택재개발 정비사업 현장에서 철근콘크리트 협력업체 ㈜OO 소속 재해자가 110동 지상4층 바닥 콘크리트 타설 작업 중 중심을 잃고 뒤로 주저앉으면서 옆에 돌출되어 있던 벽체 이음용 수직 철근(D10, 높이 약 38cm)에 엉덩이 부근을 찔려 사망"/>
    <s v="콘크리트 타설 작업 중 발을 디뎌야 하는 구간이 보이지 않은 상태에서 재해자가 전동다짐기를 보조하는 작업을 하면서 중심을 잃고 배근된 철근에 찔림"/>
    <s v="▶ 콘크리트 타설 작업 시 찔림위험이 있는 경우 조립철근이 없는 방향에서의 작업 통로 설치_x000a_▶ 철근 돌출로 인해 찔림위험이 있는 경우 철근 돌출부에 보호캡 설치 _x000a_▶ 추락 위험이 있는 장소에서 작업 시, 작업발판 및 안전방망 설치"/>
  </r>
  <r>
    <n v="3"/>
    <x v="3"/>
    <x v="9"/>
    <x v="36"/>
    <s v="YES"/>
    <x v="4"/>
    <x v="16"/>
    <s v="12대 기인물"/>
    <n v="2"/>
    <n v="8.5000000000000006E-2"/>
    <s v="2015년 10월"/>
    <d v="2015-10-01T00:00:00"/>
    <n v="10"/>
    <s v="-"/>
    <x v="1"/>
    <s v="2015년 10월경 ㈜OO OO공장 신축공사 현장 주변 도로에서, 재해자(철골공)가 현장 인근의 야적장에서 철골자재를 트레일러에 싣고 적재함에 함께 탑승한 채 공사현장으로 이동하던 중 트레일러 적재함에 실린 철골자재가 재해자와 함께 도로로 떨어지면서 재해자 위로 덮쳐 사망"/>
    <s v="철골자재의 낙하방지조치가 불량한 상태에서 철골자재를 트레일러에 싣고 적재함에 함께 탑승한 채 공사현장으로 이동하던 중 철골부재와 재해자가 함께 도로로 떨어지면서 재해자 위로 덮쳐 깔림"/>
    <s v="▶ 트레일러에 화물적재시 화물의 붕괴 또는 낙하에 의한 위험을 방지하기 위해 화물에 로프등으로 고정하여 탈락하지 않도록 하여야 함"/>
  </r>
  <r>
    <n v="3"/>
    <x v="3"/>
    <x v="9"/>
    <x v="36"/>
    <s v="YES"/>
    <x v="4"/>
    <x v="19"/>
    <s v="12대 기인물"/>
    <n v="2"/>
    <n v="8.5000000000000006E-2"/>
    <s v="2015년 12월"/>
    <d v="2015-12-01T00:00:00"/>
    <n v="12"/>
    <s v="혹한기"/>
    <x v="2"/>
    <s v="2015년 12월경 OO골프장 천정 그물망 보수공사 현장에서 재해자(도비공)가 동료 근로자와 함께 철구조물 기둥 상부에서 수직 그물망 설치 작업 중  실족하여 약 35m 아래 지상바닥으로 떨어져 사망(추정)"/>
    <s v="동료 근로자와 함께 철구조물 기둥 상부에서 수직 그물망 설치 작업 중  실족하여 약 35m 아래 지상바닥으로 떨어짐"/>
    <s v="▶ 추락위험장소에서 작업 시 안전대 부착설비 설치 및 안전대 착용_x000a_▶ 철골작업장에서 볼트 조입 작업 시 달대비계 등 안전한 작업 발판 설치 후 작업"/>
  </r>
  <r>
    <n v="3"/>
    <x v="3"/>
    <x v="9"/>
    <x v="36"/>
    <s v="YES"/>
    <x v="4"/>
    <x v="19"/>
    <s v="12대 기인물"/>
    <n v="2"/>
    <n v="8.5000000000000006E-2"/>
    <s v="2016년 9월경"/>
    <d v="2016-09-01T00:00:00"/>
    <n v="9"/>
    <s v="-"/>
    <x v="1"/>
    <s v="2016년 9월경 ㈜OO이 시공하는 아파트 신축공사 현장에서 골조공사를 수급받은 ㈜OO건설 소속 형틀공인 재해자가 데크플레이트(Deck Plate, 600×2,400×2.1) 상단에서 지게차 포크(Fork)위에 적재된 자재를 데크플래이트 위로 내리는 작업을 보조하던 중 지게차가 지하1층 콘크리트 바닥을 지나 데크플레이트로 넘어오면서 데크플레이트가 무너지자 재해자가 지게차와 함께 지하2층 바닥으로 떨어져 지게차에 깔려 사망"/>
    <s v="지게차가 콘크리트 바닥을 지나 데크플래이트만 설치된 구간으로 넘어오면서 데크플래이트가 무너져 근로자와 같이 추락하여 지게차에 깔림"/>
    <s v="▶ 지게차를 이용하여 운반작업 시 운행경로 및 작업방법 계획 수립_x000a_▶ 차량계 하역운반기계 사용 시 추락위험이 있는 단부까지 운행하는 등 불안전한 작업 금지_x000a_▶ 차량계 하역운반기계를 사용하여 자재 운반 작업 시 위험 장소에서 유도자 배치"/>
  </r>
  <r>
    <n v="3"/>
    <x v="3"/>
    <x v="9"/>
    <x v="36"/>
    <s v="YES"/>
    <x v="4"/>
    <x v="16"/>
    <s v="12대 기인물"/>
    <n v="2"/>
    <n v="8.5000000000000006E-2"/>
    <s v="2016년 12월"/>
    <d v="2016-12-01T00:00:00"/>
    <n v="12"/>
    <s v="혹한기"/>
    <x v="3"/>
    <s v="2016년 12월경 OO기업에서 시공중인 OO신축공사 현장에서 직영 근로자(보통인부)가 외부에서 반입된 철골부재를 당 현장 지상1층 바닥으로 하차작업 하던 중, 화물차 적재함에 적대된 철골부재(H-350×175×7×11, L≒7.3m, 362kg)가 지상1층 바닥으로 낙하, 화물차 주변에 서있던 재해자가 맞으며 사망"/>
    <s v="철골부재를 바닥으로 하차작업 하던 중 화물차 적재함에 적재된 중앙부의 철골부재를 인양하는 순간 단부에 적재된 철골부재 바닥으로 낙하"/>
    <s v="▶ 차량계 하역운반기계 등을 사용하여 작업 시 근로자 접촉방지를 위해 이동경로에 대해 출입 통제 및 안전통로 설치_x000a_▶ 적재된 철골부재 등의 낙하방지를 위해 단부에서 떨어진 곳에 적재 및 낙하방망 설치"/>
  </r>
  <r>
    <n v="3"/>
    <x v="3"/>
    <x v="9"/>
    <x v="36"/>
    <s v="YES"/>
    <x v="4"/>
    <x v="19"/>
    <s v="12대 기인물"/>
    <n v="2"/>
    <n v="8.5000000000000006E-2"/>
    <s v="2017년 5월경"/>
    <d v="2017-05-01T00:00:00"/>
    <n v="5"/>
    <s v="-"/>
    <x v="2"/>
    <s v="2017년 5월경 OO(주) OO 증축공사 현장에서 재해자가 지상 1층에 설치된 안전난간을 넘어 철골빔으로 이동하던 중 지하 1층 바닥으로 떨어져(약6.7m) 사망"/>
    <s v="설치된 안전난간을 넘어 철골빔으로 이동하던 중 바닥으로 근로자 추락"/>
    <s v="▶ 철골 설치 작업장으로 이동가능한 통행로 설치 시 통행로 구간에 개폐식 구조의 안전난간을 설치하여 안전난간을 열고 안전대를 체결한 상태에서 철골빔으로 이동할 수 있도록 조치_x000a_▶ 작업발판 단부에 추락방망 등 설치를 통한 추락방지조치 실시"/>
  </r>
  <r>
    <n v="3"/>
    <x v="3"/>
    <x v="9"/>
    <x v="36"/>
    <s v="YES"/>
    <x v="4"/>
    <x v="16"/>
    <s v="12대 기인물"/>
    <n v="2"/>
    <n v="8.5000000000000006E-2"/>
    <s v="2017년 7월경"/>
    <d v="2017-07-01T00:00:00"/>
    <n v="7"/>
    <s v="혹서기"/>
    <x v="2"/>
    <s v="2017년 7월경 OO에서 시공하는 ㈜OO 공장 신축현장에서, 트럭크레인 적재함의 철골자재를 하차하던 중 재해자가 트럭크레인 적재함의 철골자재(H-beam)를 잡고 오르려는 순간 결속로프가 풀린 상태의 H-beam이 떨어지면서 동시에 몸이 중심을 잃고 바닥으로 추락하여 사망"/>
    <s v="트럭크레인 적재함의 철골자재를 하차하는 과정에서 근로자가 트럭크레인 적재함의 H빔을 잡고 오르려는 순간 결속로프가 풀린 상태에서 H빔이 떨어지면서 동시에 몸의 중심을 잃고 근로자 추락"/>
    <s v="▶ 차량계 하역운반기계 등의 단위화물의 무게가 100kg 이상인 화물을 내리는 작업 시 중량물은 상하 긴결하게 묶여진 채로 순서에 맞게 해체하며, 작업자는 트럭 적재함에 안전하게 이동할 수 있는 디딤대나 발판을 사용_x000a_▶ 화물자동차에 화물 적재 시 최대적재량 내에서 적재"/>
  </r>
  <r>
    <n v="3"/>
    <x v="3"/>
    <x v="9"/>
    <x v="36"/>
    <s v="YES"/>
    <x v="4"/>
    <x v="16"/>
    <s v="12대 기인물"/>
    <n v="2"/>
    <n v="8.5000000000000006E-2"/>
    <s v="2017년 9월경"/>
    <d v="2017-09-01T00:00:00"/>
    <n v="9"/>
    <s v="-"/>
    <x v="2"/>
    <s v="2017년 9월경 OO건설(주)에서 시공하는 OO(주) OO공장 증설 토목 건축공사 현장내에서 이동식 크레인(50ton)으로 철골보를 양중(하강) 하던 중 철골보가 낙하되면서 3층에서 철골보 조립 위치를 잡기 위해 무전중이던 재해자의 안전모 차양부분에 부딪쳐 재해자가 중심을 잃고 철골보와 함께 2층으로 떨어져(H≒10m) 사망 "/>
    <s v="이동식크레인으로 철골보 양중작업을 1줄걸이로 실시하던 중 철골자재가 낙하하며 3층에서 무전중이던 근로자 가격 및 추락"/>
    <s v="▶ 중량물 양중 작업 시 줄걸이 방법, 줄걸이 공구 및 작업방법 검토_x000a_▶ 철골보 작업 시 하부 조립은 고소작업대 등을 이용하여 조립_x000a_▶ 철골보 상부 작업 시 작업면으로부터 10m를 초과하지 않도록 하부에 안전방망 설치"/>
  </r>
  <r>
    <n v="3"/>
    <x v="3"/>
    <x v="9"/>
    <x v="36"/>
    <s v="YES"/>
    <x v="4"/>
    <x v="19"/>
    <s v="12대 기인물"/>
    <n v="2"/>
    <n v="8.5000000000000006E-2"/>
    <s v="2018년 4월경"/>
    <d v="2018-04-01T00:00:00"/>
    <n v="4"/>
    <s v="-"/>
    <x v="2"/>
    <s v="2018년 4월경 OO공장 천막공사 현장에서 천막 설치를 위한 파이프구조물을 카고크레인으로 양중작업 중 재해자가 양중물인 파이프구조물의 흔들림이 발생하면서 충돌하여 약 4.6m 옹벽 바닥 경사면으로 추락하여 사망"/>
    <s v="카고 크레인으로 철골구조물을 양중하던 중 철골구조물의 흔들림으로 인해 작업자와 충돌 후 추락"/>
    <s v="▶ 양중작업 시 유도로프를 설치하여 양중물의 선회 또는 흔들림을 사전에 예방_x000a_▶ 양중작업 시, 양중물의 형상과 그에 따른 줄걸이의 적정성 검토_x000a_▶ 양중작업 시, 지상에서 양중물을 일정 높이 상승케 한 후 줄걸이 상태 재확인 "/>
  </r>
  <r>
    <n v="3"/>
    <x v="3"/>
    <x v="9"/>
    <x v="36"/>
    <s v="YES"/>
    <x v="4"/>
    <x v="16"/>
    <s v="12대 기인물"/>
    <n v="2"/>
    <n v="8.5000000000000006E-2"/>
    <s v="2018년 10월"/>
    <d v="2018-10-01T00:00:00"/>
    <n v="10"/>
    <s v="-"/>
    <x v="2"/>
    <s v="2018년 10월경 OO㈜ 하수찌꺼기 처리시설 건축공사 현장에 협력업체 ㈜OO 소속 재해자(철골공)가 철골상부 파라펫 설치를 위해 자재(C형강)를 들고 철골상부를 이동하던 중 몸의 중심을 잃고 11m 아래 지상바닥으로 떨어져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36"/>
    <s v="YES"/>
    <x v="4"/>
    <x v="19"/>
    <s v="12대 기인물"/>
    <n v="2"/>
    <n v="8.5000000000000006E-2"/>
    <s v="2019년 8월경"/>
    <d v="2019-08-01T00:00:00"/>
    <n v="8"/>
    <s v="혹서기"/>
    <x v="2"/>
    <s v="2019년 8월경 아파트 견본주택 설치 현장에서 OO(주) 소속 재해자(판넬조립공)가 견본주택 철골지붕 위에서 이동식크레인으로 인양된 지붕용 샌드위치판넬 묶음을 철골지붕 위에 야적하는 작업 중 우천으로 작업이 중지되어 철골지붕 거더(폭 350mm, H형강=350*175*7*11)에서 지상으로 내려오기 위해 이동하다 중심을 잃고 미끄러지며 철골지붕 거더에서 2층 바닥슬라브(H≒7m)으로 떨어져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36"/>
    <s v="YES"/>
    <x v="4"/>
    <x v="16"/>
    <s v="12대 기인물"/>
    <n v="2"/>
    <n v="8.5000000000000006E-2"/>
    <s v="2019년 9월경"/>
    <d v="2019-09-01T00:00:00"/>
    <n v="9"/>
    <s v="-"/>
    <x v="3"/>
    <s v="2019년 9월경 ㈜OO 옥상 가림막 휀스 설치공사 현장에서 컬러철판 휀스를 설치(부착)하기 위한 철골 부재 하지작업 도중 이동식 크레인의 자재 운반용 섬유재질의 벨트슬링에 묶여진 H형강 철골부재가 낙하되면서 재해자를 강타하여 사망"/>
    <s v="컬러철판 휀스를 설치하기 위한 철골 부재 하지작업 도중 이동식 크레인의 자재 운반용 벨트슬링에 1 줄걸이로 묶여있던 철골부재가 브라켓에 걸려 근로자에게 낙하 "/>
    <s v="▶ 철골부재 운반 시 낙하위험이 있는 경우 근로자 출입금지 구역 설정 및 근로자 출입 통체_x000a_▶ 개인보호구 지급 및 착용_x000a_▶ 철골부재 등 긴 부재 운반 작업 시 1줄걸이 방법은 부재가 다른 물체에 걸리거나 부딪힐 경우 낙하위험이 있으므로 2줄걸이 방법으로 실시"/>
  </r>
  <r>
    <n v="3"/>
    <x v="3"/>
    <x v="9"/>
    <x v="36"/>
    <s v="YES"/>
    <x v="4"/>
    <x v="16"/>
    <s v="12대 기인물"/>
    <n v="2"/>
    <n v="8.5000000000000006E-2"/>
    <s v="2019년 11월"/>
    <d v="2019-11-01T00:00:00"/>
    <n v="11"/>
    <s v="-"/>
    <x v="3"/>
    <s v="2019년 11월경 OO체육관 개보수 현장에서 ㈜OO 소속 재해자(보통인부)가 츄레라에 적재된 철재기둥(Φ508, L=7.5m, , 2.02Ton) 에 올라가 하역 준비를 하던 중 츄레라 기사가 체인블럭을 푸는 순간 철재기둥이 무게중심을 잃고 츄레라 단부에서 철재기둥과 재해자가 바닥으로 떨어진 후(H=1.54m) 철재기둥이 굴러 재해자의 안면을 덮쳐 사망"/>
    <s v="츄레라에 적재된 철재기둥에 올라가 하역 준비를 하던 중 츄레라 기사가 체인블럭을 해체하는 순간 철재기둥이 무게 중심을 잃고 무너져 근로자와 함께 낙하"/>
    <s v="▶ 철재기둥의 하역 작업 시 안전조치 후 작업 실시_x000a_▶ 지급된 개인보후구 착용 후 작업 실시"/>
  </r>
  <r>
    <n v="3"/>
    <x v="3"/>
    <x v="9"/>
    <x v="13"/>
    <s v="YES"/>
    <x v="4"/>
    <x v="19"/>
    <s v="12대 기인물"/>
    <n v="2"/>
    <n v="8.5000000000000006E-2"/>
    <s v="2016년 1월경"/>
    <d v="2016-01-01T00:00:00"/>
    <n v="1"/>
    <s v="혹한기"/>
    <x v="2"/>
    <s v="2016년 1월경 OO건설(주)에서 시공하는 OO 신축공사 현장에서 건물내 주차타워 철골조립 작업 중이던 재해자(철골공)가 철골 보 상부로 이동하던 중 중심을 잃고 약 35m 아래 지상 1층에 적재된 철골자재위로 떨어져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6"/>
    <s v="12대 기인물"/>
    <n v="2"/>
    <n v="8.5000000000000006E-2"/>
    <s v="2016년 3월경"/>
    <d v="2016-03-01T00:00:00"/>
    <n v="3"/>
    <s v="-"/>
    <x v="6"/>
    <s v="2016년 3월경 슬러그 공정용 집진기 및 열풍장치 등 설치 현장에서 크레인을 사용하여 철골기둥 건립 작업 중, 임의 제작한 중량물 취급용구가 양중 하중을 견디지 못하고 파단되면서 철골기둥이 넘어져 바닥에 적재된 부재 사이에 안면부가 협착되어 사망"/>
    <s v="크레인을 사용하여 철골기둥 건립 작업 중 임의 제작한 중량물 취급용구가 양중 하중을 견디지 못하고 파단됨에 따라 철골기둥이 넘어져 바닥에 적재된 부재 사이에 근로자 끼임"/>
    <s v="▶ 철골 등의 중량물 인양 시 안전성 시험을 거쳐 안전율이 확보된 샤클 등의 취급용구 사용_x000a_▶ 철골기둥에는 수직 승강로 설치 및 고소작업대차를 사용하여 걸이용구 해지"/>
  </r>
  <r>
    <n v="3"/>
    <x v="3"/>
    <x v="9"/>
    <x v="13"/>
    <s v="YES"/>
    <x v="4"/>
    <x v="19"/>
    <s v="12대 기인물"/>
    <n v="2"/>
    <n v="8.5000000000000006E-2"/>
    <s v="2016년 4월경"/>
    <d v="2016-04-01T00:00:00"/>
    <n v="4"/>
    <s v="-"/>
    <x v="2"/>
    <s v="2016년 4월경 OO공사현장에서 재해자가 지붕 철골부재 조립중 지상바닥으로 떨어져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9"/>
    <s v="12대 기인물"/>
    <n v="2"/>
    <n v="8.5000000000000006E-2"/>
    <s v="2016년 4월경"/>
    <d v="2016-04-01T00:00:00"/>
    <n v="4"/>
    <s v="-"/>
    <x v="2"/>
    <s v="2016년 4월경 OO공장 전면 철골 트러스보 위에서 재해자(철골공)가 철골 부재(Prapet Girth) 조립을 위해 철골 지붕 트러스 보 위에서 철골부재를 슬링으로 묶던중 트러스 보 위에서 떨어져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9"/>
    <s v="12대 기인물"/>
    <n v="2"/>
    <n v="8.5000000000000006E-2"/>
    <s v="2016년 4월경"/>
    <d v="2016-04-01T00:00:00"/>
    <n v="4"/>
    <s v="-"/>
    <x v="2"/>
    <s v="2016년 4월경 ㈜OO건설에서 시공하는 OO(주) OO공장 신축공사 현장에서 재해자(철골공)가 철골2단 Girder(H-588×300×12×17mm) 위에 앉아 이동식크레인(50ton)으로 인양한 Beam(H-200×100×5.5×8mm)을 볼트 체결 후 Beam 인양용 줄걸이(섬유로프)를 풀기 위하여 일어서던 중 몸의 중심을 잃고 약 11m 하부 콘크리트 바닥으로 떨어져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9"/>
    <s v="12대 기인물"/>
    <n v="2"/>
    <n v="8.5000000000000006E-2"/>
    <s v="2016년 5월경"/>
    <d v="2016-05-01T00:00:00"/>
    <n v="5"/>
    <s v="-"/>
    <x v="2"/>
    <s v="2016년 5월경 OO건설(주) 근생(사무동) 신축공사 현장에서 재해자(철골공)가 지상 2층 바닥의 철골 보 상부에서 이동 중 몸의 중심을 잃고 약 4.5m 아래 지상 1층 바닥으로 떨어져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9"/>
    <s v="12대 기인물"/>
    <n v="2"/>
    <n v="8.5000000000000006E-2"/>
    <s v="2016년 6월경"/>
    <d v="2016-06-01T00:00:00"/>
    <n v="6"/>
    <s v="혹서기"/>
    <x v="2"/>
    <s v="2016년 6월경 ㈜OO건설에서 시공하는 OO공장 신축공사 현장에서 재해자가 퍼린 설치 작업을 위해 기 조립된 철골 보 위에 서서 퍼린 부재를 잡으려는 도중 중심을 잃고 약 9m아래 지면으로 추락하여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9"/>
    <s v="12대 기인물"/>
    <n v="2"/>
    <n v="8.5000000000000006E-2"/>
    <s v="2016년 7월경"/>
    <d v="2016-07-01T00:00:00"/>
    <n v="7"/>
    <s v="혹서기"/>
    <x v="6"/>
    <s v="2016년 7월경 ㈜OO건설이 시공하는 OO 증축공사 현장에서 재해자(철골공)이 현장내에 하역된 철골기둥의 보 연결 브라켓 설치부위의 보양 테이프를 제거하던 중 10m 길이의 철골기둥(중량 약 4.5ton)이 기울어지면서 지면과 철골기둥 사이에 협착되어 사망"/>
    <s v="철골기둥의 보 연결 브라켓 설치부위의 보양 테이프를 제거하던 중 발생된 편심이 전도모멘트로 작용하며 철골기둥이 기울어지면서 지면과 철골기둥 사이에 근로자 협착"/>
    <s v="▶ 반입된 철골기둥의 전도방지를 위해 철골기둥 부재 양끝단에 안전블록 등 지지받침대 설치_x000a_▶ 철골기둥을 비스듬히 눕혀놓을 경우 2개의 브라켓을 이용하여 3점 지지하여 작업 실시_x000a_▶ 철골기둥을 바닥으로 인양 시 지면바닥의 평탄화로 지내력 확보"/>
  </r>
  <r>
    <n v="3"/>
    <x v="3"/>
    <x v="9"/>
    <x v="13"/>
    <s v="YES"/>
    <x v="4"/>
    <x v="19"/>
    <s v="12대 기인물"/>
    <n v="2"/>
    <n v="8.5000000000000006E-2"/>
    <s v="2016년 7월경"/>
    <d v="2016-07-01T00:00:00"/>
    <n v="7"/>
    <s v="혹서기"/>
    <x v="2"/>
    <s v="2016년 7월경 창고 증설공사 현장에서 협력업체 소속 재해자(랙설치공)이 지붕층 트러스를 랙(Rack) 최상부와 연결하기 위하여 랙 최상부에서 볼트 조립작업을 하던 중, 몸의 중심을 잃고 지면으로 추락(H≒30m)하여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9"/>
    <s v="12대 기인물"/>
    <n v="2"/>
    <n v="8.5000000000000006E-2"/>
    <s v="2016년 8월경"/>
    <d v="2016-08-01T00:00:00"/>
    <n v="8"/>
    <s v="혹서기"/>
    <x v="2"/>
    <s v="2016년 8월경 OO㈜에서 시공하는 OO공장 신축공사 현장에서 재해자(철골공)가 이동식크레인(50ton)으로 인양한 큰 보 (Girder, H400×200×8×13mm)와 기둥(Column, X4열)을 볼트를 이용하여 가체결 후 큰 보 중간에 설치된 인양용 빔클램프를 풀기 위하여 이동하던 중 몸의 중심을 잃고 약 11m 하부 건물 외부 바닥으로 떨어져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9"/>
    <s v="12대 기인물"/>
    <n v="2"/>
    <n v="8.5000000000000006E-2"/>
    <s v="2016년 9월경"/>
    <d v="2016-09-01T00:00:00"/>
    <n v="9"/>
    <s v="-"/>
    <x v="2"/>
    <s v="2016년 9월경 ㈜OO에서 시공하는 물류자동창고 설치공사 현장에서 재해자(철골공)가 자동화창고 연결작업을 실시하던 중, 중심을 잃고 약 23m 아래 창고바닥으로 추락하여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9"/>
    <s v="12대 기인물"/>
    <n v="2"/>
    <n v="8.5000000000000006E-2"/>
    <s v="2016년 11월"/>
    <d v="2016-11-01T00:00:00"/>
    <n v="11"/>
    <s v="-"/>
    <x v="2"/>
    <s v="2016년 11월경 OO 공장 신축공사 현장에서 재해자가 철골세우기 및 수직보기 작업 후 고장력볼트 임팩트작업을 위해 폭15cm인 철골빔 상을 이동 중 9.1m 아래로 떨어져 사망"/>
    <s v="안전대 부착설비 또는 안전망 미설치 상태에서 철골보 이동 중  실족하여 추락"/>
    <s v="▶ 추락위험장소에서 작업 시 안전대 부착설비 설치 및 안전대 착용_x000a_▶ 철골 위 작업 시 추락방지망을 설치"/>
  </r>
  <r>
    <n v="3"/>
    <x v="3"/>
    <x v="9"/>
    <x v="13"/>
    <s v="YES"/>
    <x v="4"/>
    <x v="19"/>
    <s v="12대 기인물"/>
    <n v="2"/>
    <n v="8.5000000000000006E-2"/>
    <s v="2016년 11월"/>
    <d v="2016-11-01T00:00:00"/>
    <n v="11"/>
    <s v="-"/>
    <x v="2"/>
    <s v="2016년 11월경 OO에서 시공하는 OO고등학교 신축공사 현장에서 협력업체인 ㈜OO 소속 재해자(철골공)가 다목적강당 무대준비실 콘크리트 벽체에 임시로 올려놓은 철골빔 플랜지 위에서 인양용 샤클을 해체하던 중 몸의 중심을 잃고 실족하여 다목적강당 바닥으로 떨어져(높이 약 10.9m)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9"/>
    <s v="12대 기인물"/>
    <n v="2"/>
    <n v="8.5000000000000006E-2"/>
    <s v="2016년 11월"/>
    <d v="2016-11-01T00:00:00"/>
    <n v="11"/>
    <s v="-"/>
    <x v="2"/>
    <s v="2016년 11월경 154kv OO변전소 토건공사 현장에서 재해자(철골공)가 지상3층 풍도실 철골 브레이싱 조립 작업 중 실족하여 약 12m 아래 지상1층 바닥으로 추락하여 사망"/>
    <s v="풍도실 철골 브레이싱 조립 작업 중 안전대 미착용한 근로자가 실족하여 추락"/>
    <s v="▶ 철골 구조물 위에서 작업 할 경우 안전대를 걸어 사용할 수 있는 안전대 부착설비 설치_x000a_▶ 관리 감독자 업무 수행 철저 "/>
  </r>
  <r>
    <n v="3"/>
    <x v="3"/>
    <x v="9"/>
    <x v="13"/>
    <s v="YES"/>
    <x v="4"/>
    <x v="19"/>
    <s v="12대 기인물"/>
    <n v="2"/>
    <n v="8.5000000000000006E-2"/>
    <s v="2016년 12월"/>
    <d v="2016-12-01T00:00:00"/>
    <n v="12"/>
    <s v="혹한기"/>
    <x v="5"/>
    <s v="2016년 12월경 OO 주차장에서 ㈜OO 소속 재해자들이 동료들과 함께 OO눈썰매 축제 운영 준비를 위해 옥외 행사용 철구조물 설치작업 중 철구조물이 넘어져 사망 1명, 부상 1명"/>
    <s v="벽체 브레이싱 설치 누락 및 미고정, 지붕 브레이싱 지연 시공 등 불량한 방법으로 철구조물 설치작업 중 철구조물이 넘어짐"/>
    <s v="▶ 구조물 설치시 설계도서 및 건설공사 시방서 준수"/>
  </r>
  <r>
    <n v="3"/>
    <x v="3"/>
    <x v="9"/>
    <x v="13"/>
    <s v="YES"/>
    <x v="4"/>
    <x v="19"/>
    <s v="12대 기인물"/>
    <n v="2"/>
    <n v="8.5000000000000006E-2"/>
    <s v="2016년 12월"/>
    <d v="2016-12-01T00:00:00"/>
    <n v="12"/>
    <s v="혹한기"/>
    <x v="2"/>
    <s v="2016년 12월경 OO건설(주)에서 시공하는 OO공장 신축공사 현장에서 재해자(철골공)가 공장 지붕철골 위로 올라가서 지붕 철골위에 적재되어있는 지붕자재(C형강 묶음)를 이동식 크레인(25톤)에 줄걸이 해준 후 다음 작업장소로 이동 중, 철골하부 콘크리트 바닥으로 떨어져(H≒9.0m)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9"/>
    <s v="12대 기인물"/>
    <n v="2"/>
    <n v="8.5000000000000006E-2"/>
    <s v="2016년 12월"/>
    <d v="2016-12-01T00:00:00"/>
    <n v="12"/>
    <s v="혹한기"/>
    <x v="2"/>
    <s v="2016년 12월경 ㈜OO 본사 신축공사 현장에서 ㈜OO산업 소속 재해자가 옥탑층(2층 천장) 계단실 철골보(Beam) 위에서, 이동식크레인으로 인양된 철골계단을 계단실 내부로 반입시키기 위해 이동 중 몸의 중심을 잃고 1층 바닥(추락거리 15m)으로 떨어져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9"/>
    <s v="12대 기인물"/>
    <n v="2"/>
    <n v="8.5000000000000006E-2"/>
    <s v="2016년 12월"/>
    <d v="2016-12-01T00:00:00"/>
    <n v="12"/>
    <s v="혹한기"/>
    <x v="2"/>
    <s v="2016년 12월경 ㈜OO에서 시공중인 OOO 공장신축 현장에서 재해자(용접공)가 철골지붕에 올라서 철골지붕부재(퍼린)를 용접작업 하던 중, 몸의 중심을 잃고 철골지붕에서 지상1층 바닥(H=7.8m)으로 추락하여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9"/>
    <s v="12대 기인물"/>
    <n v="2"/>
    <n v="8.5000000000000006E-2"/>
    <s v="2016년 12월"/>
    <d v="2016-12-01T00:00:00"/>
    <n v="12"/>
    <s v="혹한기"/>
    <x v="2"/>
    <s v="2016년 12월경 공장 신축 현장에서 재해자(철골공)가 철골 지붕 위에서 퍼린 설치 작업 중 실족하여 높이 11.5m 아래 콘크리트 바닥으로 떨어져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9"/>
    <s v="12대 기인물"/>
    <n v="2"/>
    <n v="8.5000000000000006E-2"/>
    <s v="2017년 1월경"/>
    <d v="2017-01-01T00:00:00"/>
    <n v="1"/>
    <s v="혹한기"/>
    <x v="2"/>
    <s v="2017년 1월경 OO(주) 공장동 및 사무동 신축공사 현장에서 재해자(철골공)가 공장동 철골공사 중에 보조빔 설치를 하고 이동하던 중 몸의 중심을 잃고 5m아래 지상바닥으로 떨어져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9"/>
    <s v="12대 기인물"/>
    <n v="2"/>
    <n v="8.5000000000000006E-2"/>
    <s v="2017년 3월경"/>
    <d v="2017-03-01T00:00:00"/>
    <n v="3"/>
    <s v="-"/>
    <x v="2"/>
    <s v="2017년 3월경 OOO 조립식 주택 신축공사 현장에서 재해자(철골공)가 지붕 트러스 철골(C형강) 상단에서 외부판넬 설치 실측 후 내려가는 도중 미끄러져 약 4m 아래 콘크리트 바닥에 떨어져 사망"/>
    <s v="지붕 트러스 철골(C형강) 상단에서 외부판넬 설치 실측 후 내려가는 도중 미끄러져 바닥에 추락"/>
    <s v="▶ 추락위험이 있는 철골 보에서 안전대를 안전대 부착설비 또는 철골 홀 등에 체결한 상태에서 이동_x000a_▶ 철골구조물 승하강시에는 안전대 부착설비나 안전블럭을 활용하여 승하강 실시"/>
  </r>
  <r>
    <n v="3"/>
    <x v="3"/>
    <x v="9"/>
    <x v="13"/>
    <s v="YES"/>
    <x v="4"/>
    <x v="19"/>
    <s v="12대 기인물"/>
    <n v="2"/>
    <n v="8.5000000000000006E-2"/>
    <s v="2017년 3월경"/>
    <d v="2017-03-01T00:00:00"/>
    <n v="3"/>
    <s v="-"/>
    <x v="2"/>
    <s v="2017년 3월경 OO건설(주)가 시공 중인 OO신축공사 현장에서 재해자(철골공)가  지상1층 철골 수직기둥 브라킷 상부에서 보설치 작업 중 지상1층 바닥(H≒5m)으로 떨어져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6"/>
    <s v="12대 기인물"/>
    <n v="2"/>
    <n v="8.5000000000000006E-2"/>
    <s v="2017년 6월경"/>
    <d v="2017-06-01T00:00:00"/>
    <n v="6"/>
    <s v="혹서기"/>
    <x v="2"/>
    <s v="2017년 6월경 OO 공장증축 및 개보수공사 현장에서 재해자(철골공)가 고소작업대(일명 렌탈) 탑승함에 올라 본용접 작업을 준비하던 중 철골부재의 가용접(tack welding) 지점이 자중에 의해 탈락되면서 고소작업대에 타고 있던 재해자가 1차적으로 철골부재에 맞아 높이 약 3.2미터 아래바닥으로 떨어지면서 사망"/>
    <s v="고소작업대 탑승함에서 본용접 작업 준비 중 철골부재의 가용접 지점이 탈락됨에 따라 근로자 가격 연이어 근로자 추락"/>
    <s v="▶ 철골 고립 시 철골의 접합부가 충분한 강도를 지니도록 브라켓 스플릿티 등을 이용하여 볼트 체결_x000a_▶ 본용접이 완료 되어 충분히 지지되기 전까지 이동식 크레인의 걸이로프에 철골부재 체결 유지"/>
  </r>
  <r>
    <n v="3"/>
    <x v="3"/>
    <x v="9"/>
    <x v="13"/>
    <s v="YES"/>
    <x v="4"/>
    <x v="19"/>
    <s v="12대 기인물"/>
    <n v="2"/>
    <n v="8.5000000000000006E-2"/>
    <s v="2017 6월경 "/>
    <d v="2017-06-01T00:00:00"/>
    <n v="6"/>
    <s v="혹서기"/>
    <x v="2"/>
    <s v="2017 6월경 OO가 시공하는 OO 옥상 지붕공사 현장에서 협력업체인 소속 재해자(용접공)가 철구조물 상부에서 용접 작업 중 몸의 중심을 잃고 약 5m 아래 옥상 바닥으로 떨어져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9"/>
    <s v="12대 기인물"/>
    <n v="2"/>
    <n v="8.5000000000000006E-2"/>
    <s v="2017년 8월경"/>
    <d v="2017-08-01T00:00:00"/>
    <n v="8"/>
    <s v="혹서기"/>
    <x v="2"/>
    <s v="2017년 8월경 ㈜OO에서 시공하는 ㈜OO 공장 신축공사 현장에서 재해자(철골공)가 공장동 2층 철골보 위에서 볼트체결 작업 중 갑작스럽게 비가 와서 작업을 중지하고, 지상으로 내려오기 위해 철골보 수평 이동 중 중심을 잃고 지상 1층 콘크리트 바닥으로 떨어져(H≒5m)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6"/>
    <s v="12대 기인물"/>
    <n v="2"/>
    <n v="8.5000000000000006E-2"/>
    <s v="2017년 8월경"/>
    <d v="2017-08-01T00:00:00"/>
    <n v="8"/>
    <s v="혹서기"/>
    <x v="2"/>
    <s v="2017년 8월경 OO건설(주)가 시공하는 OO공장 신축공사 현장에서 재해자(철골공)가 공장C동 천장 크레인용 철골 보 상부에서 볼트 조임 작업을 하던 중 점심 식사를 하기위해 지상으로 이동하는 과정에서 몸의 중심을 잃고 약 6m 아래 지상 1층 콘크리트 바닥으로 추락하여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6"/>
    <s v="12대 기인물"/>
    <n v="2"/>
    <n v="8.5000000000000006E-2"/>
    <s v="2017년 9월경"/>
    <d v="2017-09-01T00:00:00"/>
    <n v="9"/>
    <s v="-"/>
    <x v="0"/>
    <s v="2017년 9월경 OOO(개인)이 시공하는 OO 근린생활시설 및 단독주택 신축공사 현장에서 재해자(철골공)가 데크플레이트(Deck Plate, 파형강판) 여러 장을 두줄걸이로 걸어서 인상 작업을 하던 중 데크 플레이트가 줄걸이 한쪽 슬링벨트에서 탈락되어 떨어지면서 아래에 있던 재해자의 머리를 강타하여 사망"/>
    <s v="데크플레이트 여러 장을 두줄걸이로 걸어서 인상 작업을 하던 중 데크 플레이트가 줄걸이 한쪽 슬링벨트에서 탈락되어 떨어지면서 아래에 있던 재해자의 머리를 강타"/>
    <s v="▶ 자재 운반 시 낙하위험이 있는 경우 근로자 출입금지 구역 설정 및 근로자 출입 통체_x000a_▶ 중량물인 데크플레이트 인양시 중량물 취급방법, 인양장비의 재원 능력에 맞는 작업방식 지휘"/>
  </r>
  <r>
    <n v="3"/>
    <x v="3"/>
    <x v="9"/>
    <x v="13"/>
    <s v="YES"/>
    <x v="4"/>
    <x v="19"/>
    <s v="12대 기인물"/>
    <n v="2"/>
    <n v="8.5000000000000006E-2"/>
    <s v="2017년 9월경"/>
    <d v="2017-09-01T00:00:00"/>
    <n v="9"/>
    <s v="-"/>
    <x v="2"/>
    <s v="2017년 9월경 OO건설㈜에서 시공하는 OO공장 신축공사 현장에서 재해자가 철골 상부에서 퍼린(Purlin) 설치작업 중 퍼린(Purlin)부재와 함께 약 9m 아래 지상 콘크리트 바닥으로 떨어져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6"/>
    <s v="12대 기인물"/>
    <n v="2"/>
    <n v="8.5000000000000006E-2"/>
    <s v="2017년 10월"/>
    <d v="2017-10-01T00:00:00"/>
    <n v="10"/>
    <s v="-"/>
    <x v="2"/>
    <s v="2017년 10월경 OO건설(주)에서 시공중인 연구소 및 근생시설 신축공사 현장에서 재해자가 연구동(B동)의 상부 철골 트러스 조립작업을 마치고 철골 트러스를 잡아주던 줄걸이를 해체한 후 다음 작업을 위해 철골 트러스 상부에서 이동하던 중 몸의 중심을 잃고 지상 약 7.5m 아래 콘크리트 바닥으로 추락하여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6"/>
    <s v="12대 기인물"/>
    <n v="2"/>
    <n v="8.5000000000000006E-2"/>
    <s v="2017년 11월"/>
    <d v="2017-11-01T00:00:00"/>
    <n v="11"/>
    <s v="-"/>
    <x v="3"/>
    <s v="2017년 11월경 창고신축 공사 현장에서 지붕 상부에 설치되는 Purlin 부재를 이동식크레인으로 인양하던 중 달고리로부터 퍼린 부재가 이탈·낙하하여 인양부재 하부 지상에 서있던 재해자가 낙하하는 Purlin 부재에 맞아 사망"/>
    <s v="인양용 달고리의 설치 각도가 약 75°~83°로 완만하게 이완되어 미끄러져 빠질수 있는 구조인 상태에서 철골부재인 퍼린 부재 인양 중 이탈하여 낙하"/>
    <s v="▶ 철골 부재를 인양하는 경우 달고리로 샤클, 해지장치가 부착된 훅 등의 달고리를 사용_x000a_▶ 인양 작업 중 달아올린 자재의 이동경로 하부에 근로자 출입금지 조치 실시"/>
  </r>
  <r>
    <n v="3"/>
    <x v="3"/>
    <x v="9"/>
    <x v="13"/>
    <s v="YES"/>
    <x v="4"/>
    <x v="19"/>
    <s v="12대 기인물"/>
    <n v="2"/>
    <n v="8.5000000000000006E-2"/>
    <s v="2017년 12월"/>
    <d v="2017-12-01T00:00:00"/>
    <n v="12"/>
    <s v="혹한기"/>
    <x v="2"/>
    <s v="2017년 12월경 OO 창고시설 신축공사 현장에서 재해자(철골공)가 철골보 위에서 지붕 마감재 고정철물(purlin)을 설치하던 중 몸의 중심을 잃고 약 11.0m 아래 지상 콘크리트 바닥으로 떨어져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9"/>
    <s v="12대 기인물"/>
    <n v="2"/>
    <n v="8.5000000000000006E-2"/>
    <s v="2018년 1월경"/>
    <d v="2018-01-01T00:00:00"/>
    <n v="1"/>
    <s v="혹한기"/>
    <x v="2"/>
    <s v="2018년 1월경 ㈜OO건설 오피스텔 신축 현장에서 재해자가 주차타워 최상단 철골보의  볼트 조임작업 중 기둥에 체결했던 안전대가 풀리면서 약 24m 지상 바닥으로 떨어져 사망"/>
    <s v="주차타워 최상단 철골보의 볼트 조임 작업 중 별도의 안전대 걸이시설를 설치하여 안전대를 걸고 작업하여야 하나 수직구명줄 미설치 상태에서 작업 중 추락 "/>
    <s v="▶ 주차타워설치 등 고소작업 시 안전대 부착설비 설치 및 안전대 착용_x000a_▶ 자재인양구 등 추락위험이 있는 개구부에는 안전방망을 설치하여 자재 인양 시 여닫는 방식으로 작업 실시"/>
  </r>
  <r>
    <n v="3"/>
    <x v="3"/>
    <x v="9"/>
    <x v="13"/>
    <s v="YES"/>
    <x v="4"/>
    <x v="19"/>
    <s v="12대 기인물"/>
    <n v="2"/>
    <n v="8.5000000000000006E-2"/>
    <s v="2018년 3월경"/>
    <d v="2018-03-01T00:00:00"/>
    <n v="3"/>
    <s v="-"/>
    <x v="2"/>
    <s v="2018년 3월경 ㈜OO 판매시설 증·개축현장에서 재해자가 3층 철골보의 볼트 조임작업을 위해 H빔 상단에서 이동 중 약 9.5m 지상 바닥으로 떨어져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9"/>
    <s v="12대 기인물"/>
    <n v="2"/>
    <n v="8.5000000000000006E-2"/>
    <s v="2018년 4월경"/>
    <d v="2018-04-01T00:00:00"/>
    <n v="4"/>
    <s v="-"/>
    <x v="2"/>
    <s v="2018년 4월경 ㈜OO건설에서 시공중인 OO 신축공사 현장에서 재해자(철골공)가 기계식 주차장 내부 벽체고정용 브라켓 4단높이에서 철골 연결부위 볼트의 본조임 작업을 위해 이동 또는 작업 중 몸의 중심을 잃고 지하2층 높이에 기 설치된 철판 파렛트 바닥(H≒19.232m)으로 떨어져 사망"/>
    <s v="기계식 주차장 내부 벽체고정용 브라켓 4단높이에서 안전대 미착용한 상태에서 철골 연결부위 볼트의 본조임 작업을 위해 이동 중 근로자가 몸의 중심을 잃고 추락"/>
    <s v="▶ 기계식 주차설비 등 철골작업 시 근로자 주요 이동통로에 고정된 가설통로 설치 및 안전대 부착설비 설치_x000a_▶ 기계식 주차설비 등 수평방형, 수직방향 철골이 연결되는 부분에서 작업 시 시스템비계 또는 달대비계 등 작업발판 설치_x000a_▶ 작업발판의 설치가 곤란할 경우 작업면으로부터 수직거리 10m 이내에 안전방망 설치"/>
  </r>
  <r>
    <n v="3"/>
    <x v="3"/>
    <x v="9"/>
    <x v="13"/>
    <s v="YES"/>
    <x v="4"/>
    <x v="16"/>
    <s v="12대 기인물"/>
    <n v="2"/>
    <n v="8.5000000000000006E-2"/>
    <s v="2018년 5월경"/>
    <d v="2018-05-01T00:00:00"/>
    <n v="5"/>
    <s v="-"/>
    <x v="1"/>
    <s v="2018년 5월경 ㈜OO건설에서 시공하는 OO 신축공사 현장에서 재해자(철골공)가 지상1층 바닥에서 지게차로 운반(적재) 작업 중 떨어진 철골빔(H-450×200×9×14, L=8m, 608kg)에 하반신이 깔려 사망."/>
    <s v="지상에서 지게차로 철골빔을 운반 작업 중 떨어진 철골빔에 근로자 하반신이 깔림"/>
    <s v="▶ 차량계 하역운반기계를 사용하여 중량물인 철골빔을 취급하는 작업 시 중량물의 취급방법, 인양장비의 재원 능력에 맞는 작업방식 지휘_x000a_▶ 차량계 하역운반기계 등을 사용하여 작업 시 운반 중인 화물 등에 의한 충돌 방지를 위해 근로자 출입 금지"/>
  </r>
  <r>
    <n v="3"/>
    <x v="3"/>
    <x v="9"/>
    <x v="13"/>
    <s v="YES"/>
    <x v="4"/>
    <x v="16"/>
    <s v="12대 기인물"/>
    <n v="2"/>
    <n v="8.5000000000000006E-2"/>
    <s v="2018년 6월경"/>
    <d v="2018-06-01T00:00:00"/>
    <n v="6"/>
    <s v="혹서기"/>
    <x v="2"/>
    <s v="2018년 6월경 OO건설(주) OO 토건공사 현장에서, 4층 계단참 부근 철판 슬래브(철골빔 위 철판으로 용접) 위에 서 있던 재해자가 철골빔에 설치된 안전대 걸이설비(로프)에 안전대 고리를 걸기 위해 4층 측면 계단의 안전난간 기둥재를 잡은 순간, 안전난간 기둥재가 전도되면서 재해자가 균형을 잃고 약 17.5m 아래 지상 콘크리트 바닥으로 추락하여 사망"/>
    <s v="계단참 부근 철판슬래브 위에서 철골빔에 설치된 안전대 걸이설비에 안전대 고리를 걸기 위해 철판 슬래브 측면의 안전난간 기둥재를 잡은 순간 고정되지 않은 안전난간 기둥재가 전도됨에 따라 중심을 잃고 근로자 추락"/>
    <s v="▶ 안전난간 설치 시 기둥재는 철골빔 등 구조물과 밀착하여 견고히 고정_x000a_▶ 작업발판 및 통로의 끝이나 개구부로서 추락위험이 있는 장소에는 안전난간 등 방호조치 실시_x000a_▶ 추락위험이 있는 장소에서 작업 시 안전대 부착설비 설치 및 안전대 착용"/>
  </r>
  <r>
    <n v="3"/>
    <x v="3"/>
    <x v="9"/>
    <x v="13"/>
    <s v="YES"/>
    <x v="4"/>
    <x v="19"/>
    <s v="12대 기인물"/>
    <n v="2"/>
    <n v="8.5000000000000006E-2"/>
    <s v="2018년 7월경"/>
    <d v="2018-07-01T00:00:00"/>
    <n v="7"/>
    <s v="혹서기"/>
    <x v="2"/>
    <s v="2018년 7월경 OO 무역공장 신축공사 현장에서 지붕 용마루 부근에 다발로 적치된 중도리(퍼린,C형강)를 설치 위치에 배열하기위해 재해자(철골공)가 동료작업자 2명과 함께 길이 8.4M의 철골 중도리 1개를 함께 들고 각각 4M 떨어진 폭 20cm의 지붕 철골 보 위에서 이동하던 중 재해자만 몸의 중심을 잃고 6M 하부 콘크리트 바닥으로 떨어져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9"/>
    <s v="12대 기인물"/>
    <n v="2"/>
    <n v="8.5000000000000006E-2"/>
    <s v="2018년 7월경"/>
    <d v="2018-07-01T00:00:00"/>
    <n v="7"/>
    <s v="혹서기"/>
    <x v="2"/>
    <s v="2018년 7월경 ㈜OO 주상복합 신축공사 현장에서 재해자(철골공)가 철골 보 설치용 철판을 용접하기 위하여 철골구조 하부에 설치된 추락방호망으로 이동 중 방망의 달기 로프가 끊어지면서 높이 약 8.5m 의 아래 터파기 바닥으로 추락하여 사망"/>
    <s v="철골 보 설치용 철판을 용접하기 위해 철골구조 하부에 설치된 추락방호망으로 이동 중 방망의 달기 로프가 끊어지면서 근로자가 추락"/>
    <s v="▶ 철골 보 웨브 구간 용접 등 추락위험이 있는 장소에서 작업 시 해당 철골 보의 형상과 치수에 맞는 달대비계 제작 후 철골 보에 매달아 작업 실시_x000a_▶ 안전방망의 달기로프가 묶여져 있는 장소에서 용접 작업 시 불티의 비산에 의한 훼손 유의 및 작업 후 안전방망 결속상태 점검"/>
  </r>
  <r>
    <n v="3"/>
    <x v="3"/>
    <x v="9"/>
    <x v="13"/>
    <s v="YES"/>
    <x v="4"/>
    <x v="16"/>
    <s v="12대 기인물"/>
    <n v="2"/>
    <n v="8.5000000000000006E-2"/>
    <s v="2018년 8월경"/>
    <d v="2018-08-01T00:00:00"/>
    <n v="8"/>
    <s v="혹서기"/>
    <x v="2"/>
    <s v="2018년 8월경 OO건설㈜ 근린생활 시설 신축공사 현장에서 재해자(철골공)가 철골 보 조립을 하기 위하여 철골 보 상부에서 이동하다가 몸의 중심을 잃고 약 7.2m 아래의 1층 콘크리트 바닥으로 추락하여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6"/>
    <s v="12대 기인물"/>
    <n v="2"/>
    <n v="8.5000000000000006E-2"/>
    <s v="2018년 9월경"/>
    <d v="2018-09-01T00:00:00"/>
    <n v="9"/>
    <s v="-"/>
    <x v="1"/>
    <s v="2018년 9월경 OO건설㈜이 시공하는 OO공장 신축공사 현장에서 재해자(철골공)가 가조립된 철골 기둥 부재를 해체하던 중 작업장소 인근에 야적되어 있던 철골빔의 하부 지반이 침하되면서 전도되어 철골빔을 등지고 작업하던 재해자가 철골빔에 깔려 사망"/>
    <s v="가조립된 철골 기둥 부재를 해체하던 중 작업장소 인근에 야적되어 있던 철골빔의 하부 지반이 침하되면서 전도되어 근로자가 철골빔에 깔림"/>
    <s v="▶ 철골빔 등 중량물 적재 시 평탄하고 견고한 지반에 동일 길이의 받침목을 사용하여 거치_x000a_▶ 적재된 철골빔의 전도 방지를 위해 벨트 등으로 체결하여 붙들어 지탱_x000a_▶ 중량물의 전도 시 근로자와의 충돌방지를 위해 작업반경에 벗어난 지점에서 적재"/>
  </r>
  <r>
    <n v="3"/>
    <x v="3"/>
    <x v="9"/>
    <x v="13"/>
    <s v="YES"/>
    <x v="4"/>
    <x v="16"/>
    <s v="12대 기인물"/>
    <n v="2"/>
    <n v="8.5000000000000006E-2"/>
    <s v="2018년 09월"/>
    <d v="2018-09-01T00:00:00"/>
    <n v="9"/>
    <s v="-"/>
    <x v="2"/>
    <s v="2018년 09월경 OO(주)에서 시공중인 OO공장 신축공사 현장에서 재해자(철골공)가 철골 3단 Beam(H-400×200×13×7953mm 위에 서서 이동식크레인(50ton)으로 인양한 Beam(H-400×200×13×7953mm)을 Column과의 체결 지점으로 내리기 위하여 Beam 하부 유도 로프를 잡던 중 몸의 중심을 잃고 약 12m 아래 콘크리트 바닥으로 떨어져 사망"/>
    <s v="철골 3단빔 위에 서서 이동식으로 인양한 빔을 기둥과의 체결 지점으로 내리기 위해 빔 하부 유도 로프를 잡던 중 근로자가 몸의 중심을 잃고 추락"/>
    <s v="▶ 철골 기둥·보에 철골조립작업 또는 작업을 위해 이동하는 경우 작업면 하부에 추락방지망 설치_x000a_▶ 추락위험장소에서 철골조립작업 시 안전대 부착설비 설치 및 안전대 착용_x000a_▶ 철골작업장에서 볼트 조입 작업 시 달대비계 등 안전한 작업 발판 설치 후 작업"/>
  </r>
  <r>
    <n v="3"/>
    <x v="3"/>
    <x v="9"/>
    <x v="13"/>
    <s v="YES"/>
    <x v="4"/>
    <x v="16"/>
    <s v="12대 기인물"/>
    <n v="2"/>
    <n v="8.5000000000000006E-2"/>
    <s v="2018년 10월"/>
    <d v="2018-10-01T00:00:00"/>
    <n v="10"/>
    <s v="-"/>
    <x v="2"/>
    <s v="2018년 10월경 물류창고 1동 전면 캐노피구간에서 재해자(철골공)가 이동식 크레인으로 인양된 캐노피철골 빔을 철골기둥에 연결작업 후, 이동식 크레인과 캐노피철골 빔을 연결했던 슬링벨트를 해체하고 철골기둥 방향으로 이동하던 중 캐노피철골 빔(L≒3.4m, W≒0.2m)에서 몸의 중심을 잃고 바닥으로 떨어져(H≒6m)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9"/>
    <s v="12대 기인물"/>
    <n v="2"/>
    <n v="8.5000000000000006E-2"/>
    <s v=" 2018년 11"/>
    <d v="2018-11-01T00:00:00"/>
    <n v="11"/>
    <s v="-"/>
    <x v="2"/>
    <s v=" 2018년 11월경 근생시설 신축공사현장에서 재해자가 주차타워 철골기둥 조립작업을 마치고 내려오다 승강용트랩에서 손을 놓쳐 몸의 중심을 잃고 추락(H≒8.4m)하여 사망"/>
    <s v="주차타워 철골기둥 조립작업을 마치고 내려오다 승강용트랩에서 손을 놓쳐 몸의 중심을 잃고 추락"/>
    <s v="▶ 철골 보 상부에서 작업 시 추락방지를 위해 안전대 부착설비 설치 및 안전대 착용_x000a_▶ 승강용 사다리를 이용하여 이동할 경우 추락방지를 위해 안전대 체결"/>
  </r>
  <r>
    <n v="3"/>
    <x v="3"/>
    <x v="9"/>
    <x v="13"/>
    <s v="YES"/>
    <x v="4"/>
    <x v="19"/>
    <s v="12대 기인물"/>
    <n v="2"/>
    <n v="8.5000000000000006E-2"/>
    <s v="2018년 11월"/>
    <d v="2018-11-01T00:00:00"/>
    <n v="11"/>
    <s v="-"/>
    <x v="2"/>
    <s v="2018년 11월경 ㈜OO건설이 시공하는 판매시설 신축공사 현장에서 재해자(철골공)가 이동식 크레인(20ton)으로 인양된 3단 철골 보(RSG2) 상부에서 수평 이동(X2,Y6→X2,Y7) 중 철골 보 중간 지점에서 몸의 중심을 잃고 약 12.85m 아래 콘크리트 바닥으로 떨어져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9"/>
    <s v="12대 기인물"/>
    <n v="2"/>
    <n v="8.5000000000000006E-2"/>
    <s v="2018년 11월"/>
    <d v="2018-11-01T00:00:00"/>
    <n v="11"/>
    <s v="-"/>
    <x v="2"/>
    <s v="2018년 11월경 돈사 신축 현장에서 재해자가 철골 지붕트러스 볼팅작업중 몸의 중심을 잃고 약 5.7m 아래 콘크리트 바닥으로 추락하여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9"/>
    <s v="12대 기인물"/>
    <n v="2"/>
    <n v="8.5000000000000006E-2"/>
    <s v="2018년 12월"/>
    <d v="2018-12-01T00:00:00"/>
    <n v="12"/>
    <s v="혹한기"/>
    <x v="2"/>
    <s v="2018년 12월경 OO건설(주)에서 시공 중인 다목적강당 및 급식소 증축공사 현장에서 재해자(철골공)가 지상 2층 지붕철골빔(폭 35cm)위를 이동하던 중 몸의 중심을 잃고 지상 2층 콘크리트 바닥(높이 약 8.5m)으로 떨어져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6"/>
    <s v="12대 기인물"/>
    <n v="2"/>
    <n v="8.5000000000000006E-2"/>
    <s v="2019년 1월경"/>
    <d v="2019-01-01T00:00:00"/>
    <n v="1"/>
    <s v="혹한기"/>
    <x v="2"/>
    <s v="2019년 1월경 OO건설(주) 다세대주택 및 오피스텔 신축공사 현장에서 재해자(철골공)가 1층 주차설비 입구의 개구부를 통해 기계식 주차타워구내로 진입하기 위하여, 내부 벽에 기대어있는 철골구조물의 안전대 걸이를 사다리 삼아 지하1층으로 내려가던 중 발을 헛디뎌 약 3.6m 높이에서 떨어져 바닥에 놓인 철골구조물에 머리를 부딪혀 사망"/>
    <s v="주차타워에서 차량이 주차공간으로 진입하는 구간의 안전난간 등 어떠한 방호조치도 되어있지 않은 좌측개구부(자재반입구)에 재해자가 진입하여 건물에 기대어놓은 H빔의 철근용접 부위를 사다리 삼아 주차공간 바닥으로 내려오던 중 발을 헛디뎌 약3.6m 높이에서 바닥으로 떨어짐"/>
    <s v="▶ 개구부 방호 조치 실시 _x000a_▶ 근로자가 떨어질 위험이 있는 개구부는 안전난간, 울타리 등을 충분한 강도를 가진 구조로 견고하게 설치_x000a_▶ 임의로 진입하지 못하도록 출입통제 실시"/>
  </r>
  <r>
    <n v="3"/>
    <x v="3"/>
    <x v="9"/>
    <x v="13"/>
    <s v="YES"/>
    <x v="4"/>
    <x v="19"/>
    <s v="12대 기인물"/>
    <n v="2"/>
    <n v="8.5000000000000006E-2"/>
    <s v=" 2019년 1월"/>
    <d v="2019-01-01T00:00:00"/>
    <n v="1"/>
    <s v="혹한기"/>
    <x v="2"/>
    <s v=" 2019년 1월경 ㈜OO 자동차관련시설(정비공장) 신축공사 현장에서 재해자(용접공)가 지상 2층의 철골보(H-Beam) 볼트 체결을 위해 이동하던 중 실족하여 지상 1층 카리프트실 바닥(H≒8.2m)으로 추락하여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9"/>
    <s v="12대 기인물"/>
    <n v="2"/>
    <n v="8.5000000000000006E-2"/>
    <s v="2019년 5월경"/>
    <d v="2019-05-01T00:00:00"/>
    <n v="5"/>
    <s v="-"/>
    <x v="2"/>
    <s v="2019년 5월경 ㈜OO이 시공하는 OO견본주택 건립공사 현장에서 재해자(철골공)가 지상2층 브레이싱 설치작업을 위해 지붕보 철골부재 상부에서 이동하던 중, 지상 바닥(H≒11m)으로 떨어져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9"/>
    <s v="12대 기인물"/>
    <n v="2"/>
    <n v="8.5000000000000006E-2"/>
    <s v="2019년 5월경"/>
    <d v="2019-05-01T00:00:00"/>
    <n v="5"/>
    <s v="-"/>
    <x v="2"/>
    <s v="2019년 5월경 OO(주) 견본주택신축공사 현장에서 철골 기둥(Column) 건립작업을 위해 철골 기둥의 앵커볼트 가체결 후 철골 기둥에매단 슬링(섬유로프)을 제거하는 순간, 철골 기둥이 전도되면서 재해자(철골조립공)가 이동 중이던 철골 보의 철골 기둥에 부딪힘으로써 재해자가 철골 보 상부에서 몸의 중심을 잃고 떨어져(H≒5.8m) 사망"/>
    <s v="철골 기둥 건립작업을 위해 앵커볼트 가체결 후 철골 기둥에 매단 슬링을 제거하는 순간, 철골 기둥이 전도되면서 근로자가 이동 중이던 철골 보의 기둥에 부딪힘으로써 몸의 중심을 잃고 추락"/>
    <s v="▶ 철골 조립 시 철골의 접합부가 충분히 지지되도록 볼트 체결_x000a_▶ 견고한 구조 형성 전 들어올린 철골을 걸이로프 등으로부터 결속 유지_x000a_▶ 철골조립 시 안전대 부착설비 설치 및 안전대 지급"/>
  </r>
  <r>
    <n v="3"/>
    <x v="3"/>
    <x v="9"/>
    <x v="13"/>
    <s v="YES"/>
    <x v="4"/>
    <x v="19"/>
    <s v="12대 기인물"/>
    <n v="2"/>
    <n v="8.5000000000000006E-2"/>
    <s v="2019년 5월경"/>
    <d v="2019-05-01T00:00:00"/>
    <n v="5"/>
    <s v="-"/>
    <x v="2"/>
    <s v="2019년 5월경 OO 창고 증축공사장에서 재해자(철골공)이 철골에 C형강을 고정하기 위해 철골 위(약 높이 12m)에서 C형강 용접을 끝낸 후 몸의 중심을 잃고 바닥으로 추락하여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9"/>
    <s v="12대 기인물"/>
    <n v="2"/>
    <n v="8.5000000000000006E-2"/>
    <s v="2019년 6월경"/>
    <d v="2019-06-01T00:00:00"/>
    <n v="6"/>
    <s v="혹서기"/>
    <x v="2"/>
    <s v="2019년 6월경 OO건설(주)이 시공 중인 OO(주) 공장 신축공사 현장에서 재해자(철골공)이 지상2층 철골 위에서 가새 설치작업 중 몸의 중심을 잃고 1층 바닥(H≒9m)으로 떨어져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9"/>
    <s v="12대 기인물"/>
    <n v="2"/>
    <n v="8.5000000000000006E-2"/>
    <s v="2019년 9월경"/>
    <d v="2019-09-01T00:00:00"/>
    <n v="9"/>
    <s v="-"/>
    <x v="2"/>
    <s v="2019년 9월경 ㈜OO이 시공하는 OO 공장 신축공사 현장에서 재해자(철골공)가 주1동 지붕 철골보(H-beam, 폭20cm) 위에서 이동식크레인으로 인양중인 자재(데크플레이트)를 받던 중 중심을 잃고 콘크리트 바닥으로 떨어져(H=6.2m) 사망"/>
    <s v="안전대 부착설비 등 추락을 방지하기 위한 안전시설물이 미설치된 상태로 지붕 철골보 위에서 이동식크레인으로 인양중인 자재를 받던 중 근로자가 몸의 중심을 잃고 추락"/>
    <s v="▶ 철골조 상부에서 데크플레이트 작업 등 추락위험 장소에서 작업 시 추락방망 설치 및 안전대 부착설비 설치_x000a_▶ 크레인을 사용하여 데크플레이트 인양 시 철골보 사이공간을 고려하여 작업 실시_x000a_▶ 개인보호구 지급 및 착용"/>
  </r>
  <r>
    <n v="3"/>
    <x v="3"/>
    <x v="9"/>
    <x v="13"/>
    <s v="YES"/>
    <x v="4"/>
    <x v="19"/>
    <s v="12대 기인물"/>
    <n v="2"/>
    <n v="8.5000000000000006E-2"/>
    <s v="2019년 9월경"/>
    <d v="2019-09-01T00:00:00"/>
    <n v="9"/>
    <s v="-"/>
    <x v="2"/>
    <s v="2019년 9월경 OO㈜이 시공하는 OO 증축공사 현장에서 철골 재하청업체 사장과 작업자 1명이 지붕철골 상부(H형강, 플랜지 폭=20cm)에서 파라펫(C형강) 용접작업 중 약 5m 아래 지상 콘크리트 바닥으로 떨어져 사망   "/>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9"/>
    <s v="12대 기인물"/>
    <n v="2"/>
    <n v="8.5000000000000006E-2"/>
    <s v="2019년 11월"/>
    <d v="2019-11-01T00:00:00"/>
    <n v="11"/>
    <s v="-"/>
    <x v="2"/>
    <s v="2019년 11월경 ㈜OO에서 시공하는 OO 공장 신축공사 현장에서 지상3층 데크 플레이트 말단부를 철골 외부 테두리 보에 고정하기 위해 사고 지점으로 이동 후 용접 준비작업 도중 몸의 중심을 잃고 3층 개구부에서 높이 약 11.6m 지상 1층 외부지반으로 추락하여 사망"/>
    <s v="안전대 부착설비가 설치되지 않은 상태로 데크 플레이트 설치 작업 중 근로자가 몸의 중심을 잃고 데크플레이트 단부, 개구부로 추락"/>
    <s v="▶ 데크플레이트 설치작업 시 통로의 끝이나 개구부 등 추락위험이 있는 장소에는 안전난간, 울타리, 수직형 추락방망 또는 덮개 등의 방호조치 실시_x000a_▶ 안전난간 등 설치가 곤란할 경우 추락방호망 설치_x000a_▶ 데크플레이트 설치 및 철근 배근작업 시 근로자의 실족 방지를 위해 작업발판 등을 작업장의 통로에 설치_x000a_▶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
  </r>
  <r>
    <n v="3"/>
    <x v="3"/>
    <x v="9"/>
    <x v="13"/>
    <s v="YES"/>
    <x v="4"/>
    <x v="19"/>
    <s v="12대 기인물"/>
    <n v="2"/>
    <n v="8.5000000000000006E-2"/>
    <s v="2019년 11월"/>
    <d v="2019-11-01T00:00:00"/>
    <n v="11"/>
    <s v="-"/>
    <x v="2"/>
    <s v="2019년 11월경 OO건설(주)에서 시공하는 OO산업(주) 공장 신축공사 현장에서 OO(주) 소속 재해자(철골공)는 공장 지붕 철골 조립작업을 위해 고소작업대에 탑승하여 약 7.3m 높이까지 상승한 뒤, 양중된 지붕 철골의 방향을 돌리기 위해 고소작업대에서 나와 기둥 철골을 밟고 서 있던 중 회전하는 지붕 철골에 맞아 약 7.8m 아래 콘크리트 바닥으로 떨어져 사망"/>
    <s v="지붕 철골 조립작업을 위해 고소작업대에 탑승하여 상승한 뒤, 고소작업대에서 나와 기둥 철골을 밟고 서 있던 중 회전하는 지붕 철골에 맞아 근로자 추락"/>
    <s v="▶ 고소작업대를 상승시킨 상태에서는 작업대 내에서 작업 또는 안전대를 체결하여 작업가능범위 내에서 작업_x000a_▶ 철골구조 지붕 조립을 위한 철골 양중 시 안전한 위치에서 유도로프를 이용하여 작업_x000a_▶ 개인보호구 지급 및 착용"/>
  </r>
  <r>
    <n v="3"/>
    <x v="3"/>
    <x v="9"/>
    <x v="13"/>
    <s v="YES"/>
    <x v="4"/>
    <x v="19"/>
    <s v="12대 기인물"/>
    <n v="2"/>
    <n v="8.5000000000000006E-2"/>
    <s v="2019년 11월"/>
    <d v="2019-11-01T00:00:00"/>
    <n v="11"/>
    <s v="-"/>
    <x v="2"/>
    <s v="2019년 11월 OO공장 신축 공사 현장에서 재해자가 철골 기둥에 철골 보조립 작업 후 철골 보 중간지점에 인양 목적으로 연결되어 있던 클램프를 빼기위해 볼트 조립 작업 시 브래킷 볼트 구멍에 연결하였던 안전대 고리를 빼고 철골 보 위로 이동, 클램프를 빼던 중 추락(H≒15.5m) 하여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9"/>
    <s v="12대 기인물"/>
    <n v="2"/>
    <n v="8.5000000000000006E-2"/>
    <s v="2019년 11월"/>
    <d v="2019-11-01T00:00:00"/>
    <n v="11"/>
    <s v="-"/>
    <x v="2"/>
    <s v="2019년 11월경 OO(주)가 시공중인 OO공장 신축공사 현장에서 재해자(철골공)가 지붕 철골을 설치한 후 이동 또는 작업 중, 몸의 중심을 잃고 지상1층 바닥(H≒10.8m)으로 떨어져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9"/>
    <s v="12대 기인물"/>
    <n v="2"/>
    <n v="8.5000000000000006E-2"/>
    <s v="2020년 4월경"/>
    <d v="2020-04-01T00:00:00"/>
    <n v="4"/>
    <s v="-"/>
    <x v="2"/>
    <s v="2020년 4월경 OO초 강당 겸 체육관 증축공사 현장에서 재해자(철골공)가 체육관 지붕 철골부재의 볼트 조임을 완료하고 이동식크레인과 연결된 클램프를 해체 후 철골부재 위를 이동함. 이때 인상 중이던 벨트 슬링의 고리에 설치된 클램프가 재해자의 옷에 걸렸거나 재해자의 몸을 가격(추정)하여 재해자가 중심을 잃고 약 8m 아래 2층 바닥으로 추락하여 사망"/>
    <s v="지붕 철골부재의 볼트 조임을 완료하고 이동식크레인과 연결된 클램프를 해체 후 철골부재 위를 이동 중, 인상 중이던 벨트 슬링의 고리에 설치된 클램프가 근로자의 몸을 가격하여 중심을 잃고 추락"/>
    <s v="▶ 철골 설치 작업 시 이동 및 작업 중 추락방지를 위해 안전대 부착설비 설치 및 안전대 착용_x000a_▶ 철골 설치 작업 시 비계, 달비계, 고소작업대, 수평통로 및 안전난간 등의 작업발판 사용_x000a_▶ 작업발판의 설치가 곤란할 경우 작업면 하부에 추락방망 설치"/>
  </r>
  <r>
    <n v="3"/>
    <x v="3"/>
    <x v="9"/>
    <x v="13"/>
    <s v="YES"/>
    <x v="4"/>
    <x v="19"/>
    <s v="12대 기인물"/>
    <n v="2"/>
    <n v="8.5000000000000006E-2"/>
    <s v="2020년 5월경"/>
    <d v="2020-05-01T00:00:00"/>
    <n v="5"/>
    <s v="-"/>
    <x v="2"/>
    <s v="2020년 5월경 OO건설㈜에서 시공하는 근린생활시설 신축공사 현장에서 재해자(용접공)가 가용접 상태의 철골계단을 지지하던 양중용 걸이로프를 제거하고 철골계단 상부로 이동 중 가용접 부위가 탈락·붕괴되면서 약 8m 아래 콘크리트 바닥으로 떨어져 사망"/>
    <s v="가용접 상태의 철골계단을 지지하던 양중용 걸이로프를 제거하고 철골계단 상부로 이동 중 가용접 부위가 탈락되면서 근로자 추락"/>
    <s v="▶ 철골계단 조립 시 본용접으로 철골부재의 접합부가 충분히 지지된 후 걸이로프 제거_x000a_▶ 철골계단 용접 시 안전대 부착설비 설치 및 안전대 착용_x000a_▶ 철골계단 조립 등 중량물 취급 시 안전방망, 수직형 추락방망 등을 설치하여 추락 및 낙하방지 실시"/>
  </r>
  <r>
    <n v="3"/>
    <x v="3"/>
    <x v="9"/>
    <x v="13"/>
    <s v="YES"/>
    <x v="4"/>
    <x v="19"/>
    <s v="12대 기인물"/>
    <n v="2"/>
    <n v="8.5000000000000006E-2"/>
    <s v="2020년 5월경"/>
    <d v="2020-05-01T00:00:00"/>
    <n v="5"/>
    <s v="-"/>
    <x v="2"/>
    <s v="2020년 5월경 자동차관련시설 현장에서 재해자가 카리프트 구간의 월 브레이싱 설치 작업을 하던 중 철골 상부에서 실족하여 콘크리트 바닥으로 추락(H≒11.8m)하여 사망한 재해임."/>
    <s v="카리프트 구간의 월 브레이싱 설치 작업을 하던 중, 근로자가 철골 상부에서 실족하여 추락 "/>
    <s v="▶ 철골작업 등 고소작업 시 비계 조립 등의 방법으로 작업발판 및 단부에 안전난간 설치_x000a_▶ 안전난간의 설치가 곤란할 경우 안전방망 및 안전대 부착설비 설치_x000a_▶ 철골작업 중 작업발판 및 안전방망의 설치가 곤란할 경우 수직·상하 이동이 가능한 곤돌라 등을 이용하여 작업 "/>
  </r>
  <r>
    <n v="3"/>
    <x v="3"/>
    <x v="9"/>
    <x v="13"/>
    <s v="YES"/>
    <x v="4"/>
    <x v="19"/>
    <s v="12대 기인물"/>
    <n v="2"/>
    <n v="8.5000000000000006E-2"/>
    <s v="2020년 6월경"/>
    <d v="2020-06-01T00:00:00"/>
    <n v="6"/>
    <s v="혹서기"/>
    <x v="2"/>
    <s v="2020년 6월경 OO㈜에서 시공하는 OO공장 신축공사 현장에서 재해자1(철골공)와 동료작업자가 높이 약9.6m 철골보위에서 앵글브레이싱을 조립하던 중 재해자는 앵글브레이싱과 함께 콘크리트연석으로 떨어져 사망하고 밑에서 작업하던 재해자2(철골공)는 떨어지는 앵글브레이싱에 발등을 맞아 부상"/>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9"/>
    <s v="12대 기인물"/>
    <n v="2"/>
    <n v="8.5000000000000006E-2"/>
    <s v="2020년 7월경"/>
    <d v="2020-07-01T00:00:00"/>
    <n v="7"/>
    <s v="혹서기"/>
    <x v="2"/>
    <s v="2020년 7월경 ㈜OO 숙박시설 신축공사 현장에서 재해자(철골공) 2명이 가 지상1층 슬래브 데크플레이트 설치작업 중 몸의 중심을 잃고 지상1층 바닥(H≒3.3m)으로 떨어져 부상"/>
    <s v="안전대 부착설비가 설치되지 않은 상태로 데크 플레이트 설치 작업 중 근로자가 몸의 중심을 잃고 데크플레이트 단부, 개구부로 추락"/>
    <s v="▶ 데크플레이트 설치작업 시 통로의 끝이나 개구부 등 추락위험이 있는 장소에는 안전난간, 울타리, 수직형 추락방망 또는 덮개 등의 방호조치 실시_x000a_▶ 안전난간 등 설치가 곤란할 경우 추락방호망 설치_x000a_▶ 데크플레이트 설치 및 철근 배근작업 시 근로자의 실족 방지를 위해 작업발판 등을 작업장의 통로에 설치_x000a_▶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
  </r>
  <r>
    <n v="3"/>
    <x v="3"/>
    <x v="9"/>
    <x v="13"/>
    <s v="YES"/>
    <x v="4"/>
    <x v="19"/>
    <s v="12대 기인물"/>
    <n v="2"/>
    <n v="8.5000000000000006E-2"/>
    <s v="2020년 7월경"/>
    <d v="2020-07-01T00:00:00"/>
    <n v="7"/>
    <s v="혹서기"/>
    <x v="2"/>
    <s v="2020년 7월경 OO건설(주) OO근린생활시설 건설현장에서 재해자가 지상2층 바닥 철골에 데크 플레이트 설치작업 중 데크 플레이트와 함께 추락(H=5.5m)하여 사망"/>
    <s v="안전대 부착설비가 설치되지 않은 상태로 데크 플레이트 설치 작업 중 근로자가 몸의 중심을 잃고 데크플레이트 단부, 개구부로 추락"/>
    <s v="▶ 데크플레이트 설치작업 시 통로의 끝이나 개구부 등 추락위험이 있는 장소에는 안전난간, 울타리, 수직형 추락방망 또는 덮개 등의 방호조치 실시_x000a_▶ 안전난간 등 설치가 곤란할 경우 추락방호망 설치_x000a_▶ 데크플레이트 설치 및 철근 배근작업 시 근로자의 실족 방지를 위해 작업발판 등을 작업장의 통로에 설치_x000a_▶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
  </r>
  <r>
    <n v="3"/>
    <x v="3"/>
    <x v="9"/>
    <x v="13"/>
    <s v="YES"/>
    <x v="4"/>
    <x v="19"/>
    <s v="12대 기인물"/>
    <n v="2"/>
    <n v="8.5000000000000006E-2"/>
    <s v="2020년 7월경"/>
    <d v="2020-07-01T00:00:00"/>
    <n v="7"/>
    <s v="혹서기"/>
    <x v="2"/>
    <s v="2020년 7월경 ㈜OO 공장 신축공사 현장에서 재해자가 옥상층 파라펫 지지용 밑받침 철물 설치를 위해 철골보 위에서 이동 중 몸의 중심을 잃고 지상 콘크리트 바닥으로 떨어져(H≒17.5m)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9"/>
    <s v="12대 기인물"/>
    <n v="2"/>
    <n v="8.5000000000000006E-2"/>
    <s v="2020년 7월경"/>
    <d v="2020-07-01T00:00:00"/>
    <n v="7"/>
    <s v="혹서기"/>
    <x v="3"/>
    <s v="2020년 7월경 OOO(개인) 판매시설 신축 현장에서 재해자(직영인부)가 철골기둥에 철골보(도리)를 설치하고 1층 바닥에 앉아 철골기둥의 수직도를 확인하던 중 임시용접된 상부의 철골보(도리)가 떨어지며(h=3.25m) 재해자의 머리와 등을 가격하여 사망"/>
    <s v="철골기둥 철골보를 설치하는 작업을 위해 철골기둥의 수직도를 확인하던 중 임시용접된 상부의 철골보가 탈락하여 근로자에게 낙하 "/>
    <s v="▶ 철골 조립 시 철골의 접합부가 충분히 지지되도록 볼트 체결_x000a_▶ 견고한 구조 형성 전 들어올린 철골을 걸이로프 등으로부터 결속 유지_x000a_▶ 철골조립 시 안전대 부착설비 설치 및 안전대 지급"/>
  </r>
  <r>
    <n v="3"/>
    <x v="3"/>
    <x v="9"/>
    <x v="13"/>
    <s v="YES"/>
    <x v="4"/>
    <x v="19"/>
    <s v="12대 기인물"/>
    <n v="2"/>
    <n v="8.5000000000000006E-2"/>
    <s v="2020년 8월경"/>
    <d v="2020-08-01T00:00:00"/>
    <n v="8"/>
    <s v="혹서기"/>
    <x v="2"/>
    <s v="2020년 8월경 OO건설(주)이 시공하는 OO센터 신축공사 현장에서 재해자(철골공)가 다목적강당 지붕철골 상부에서 ‘X’브레이싱 설치 작업을 위해 이동 중 몸의 중심을 잃고 약 9.4m 아래 바닥으로 떨어져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9"/>
    <s v="12대 기인물"/>
    <n v="2"/>
    <n v="8.5000000000000006E-2"/>
    <s v="2020년 8월경"/>
    <d v="2020-08-01T00:00:00"/>
    <n v="8"/>
    <s v="혹서기"/>
    <x v="2"/>
    <s v="2020년 8월경 ㈜OO 물류센터 신축공사 현장에서 재해자(철골공)이 철골보 위에서 조립작업을 위해 준비하던 중 높이 약10.9m에서 콘크리트바닥으로 떨어져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6"/>
    <s v="12대 기인물"/>
    <n v="2"/>
    <n v="8.5000000000000006E-2"/>
    <s v="2020년 9월경"/>
    <d v="2020-09-01T00:00:00"/>
    <n v="9"/>
    <s v="-"/>
    <x v="2"/>
    <s v="2020년 9월경 단독주택 건설현장의 지상1층 경량철골 지붕트러스 설치작업 중 지붕 트러스가 떨어지면서 이동식비계에서 추락(높이:1.7m)하여 1명 사망, 지붕 트러스에 깔려 1명 부상"/>
    <s v="경량철골 지붕트러스 설치작업 중 지붕트러스가 떨어지면서 근로자가 안전난간이 설치되지 않은 이동식비계에서 추락"/>
    <s v="▶ 이동식 비계 최상부 작업발판 단부에는 안전난간 설치_x000a_▶ 안전난간의 설치가 곤란할 경우 추락방망 설치_x000a_▶ 높이 2m 이상의 장소에서 작업 시 안전대 부착설비 설치 및 안전대 착용"/>
  </r>
  <r>
    <n v="3"/>
    <x v="3"/>
    <x v="9"/>
    <x v="13"/>
    <s v="YES"/>
    <x v="4"/>
    <x v="19"/>
    <s v="12대 기인물"/>
    <n v="2"/>
    <n v="8.5000000000000006E-2"/>
    <s v="2020년 9월경"/>
    <d v="2020-09-01T00:00:00"/>
    <n v="9"/>
    <s v="-"/>
    <x v="2"/>
    <s v="2020년 9월경 근린생활시설 신축공사 현장에서 재해자(철골공)가 지붕 철골 보 가조립 완료 후 지상으로 내려오기 위해 보(폭 125mm)를 딛고 고소작업대(시저형)로 넘어가던 중 몸의 중심을 잃고 약 9.6m 아래 건물 외측 주차장 바닥으로 떨어져 사망"/>
    <s v="철골구조물에서 고소작업대(시저형)로 넘어가던 중 몸의 중심을 잃고 근로자 추락"/>
    <s v="▶ 고소작업대를 사용하는 경우 탑승자가 작업대를 벗어나지 않도록 조치_x000a_▶ 고소작업대 사용 작업 시 작업대의 안전난간이 아닌 별도의 안전대 부착설비 설치 및 안전대 착용관리_x000a_▶ 고소작업대 안전장치 설치 및 정상작동 상태 유지로 허용 작업범위 내에서 작업 실시"/>
  </r>
  <r>
    <n v="3"/>
    <x v="3"/>
    <x v="9"/>
    <x v="13"/>
    <s v="YES"/>
    <x v="4"/>
    <x v="16"/>
    <s v="12대 기인물"/>
    <n v="2"/>
    <n v="8.5000000000000006E-2"/>
    <s v="2020년 10월"/>
    <d v="2020-10-01T00:00:00"/>
    <n v="10"/>
    <s v="-"/>
    <x v="3"/>
    <s v="2020년 10월경 ㈜OO건설 오피스텔 신축공사 현장에서 지하5층 슬라브 위에 적치되어 있던 데크플레이트(Deck Plate) 잔여자재를 지상으로 반출하기 위해 타워크레인을 사용하여 양중하던 중 고정되지 않은 데크플레이트 자재 더미가 약 20m 아래의 지하5층 작업장으로 낙하하여 하부에서 작업중이던 작업자 3명이 날아온 데크플레이트 자재에 깔리거나 맞아 2명 사망 1명이 부상_x000d_"/>
    <s v="적치되어 있던 데크플레이트 잔여자재를 반출하기 위해 타워크레인을 사용하여 양중하던 중 고정되지 않은 데크플레이트 자재 더미가 근로자에게 낙하 "/>
    <s v="▶ 사용하고 남은 데크플레이트 반출작업의 경우 하부 로프로 데크플레이트 자재를 직접 감아서 묶는 방법으로 줄걸이를 하거나 보조 달기기구(리프팅 빔 등)를 사용하는 것이 적정_x000a_▶ 크레인을 사용하여 양중작업 시 인양 중인 양중물이 근로자의 머리 위로 통과하지 않도록 출입 통제"/>
  </r>
  <r>
    <n v="3"/>
    <x v="3"/>
    <x v="9"/>
    <x v="13"/>
    <s v="YES"/>
    <x v="4"/>
    <x v="19"/>
    <s v="12대 기인물"/>
    <n v="2"/>
    <n v="8.5000000000000006E-2"/>
    <s v="2020년 11월"/>
    <d v="2020-11-01T00:00:00"/>
    <n v="11"/>
    <s v="-"/>
    <x v="2"/>
    <s v="2020년 11월경 OO(주)이 시공하는 OO 창고시설 신축공사 현장에서 재해자(철골공)가 철골기둥 브라켓(H-250×125×6×9, 길이 약 70cm)에 걸터 앉아 이동식크레인으로 인양된 철골지붕 거더를 철골기둥 브라켓에 연결하는 볼트 가조임 작업 중 몸의 중심을 잃고 5m 아래 콘크리트 바닥으로 떨어져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6"/>
    <s v="12대 기인물"/>
    <n v="2"/>
    <n v="8.5000000000000006E-2"/>
    <s v="2020년 12월"/>
    <d v="2020-12-01T00:00:00"/>
    <n v="12"/>
    <s v="혹한기"/>
    <x v="2"/>
    <s v="2020년 12월경 OO초 체육관 신축현장에서 카고크레인을 이용하여 철골부재(x-bracing) 조립 도중 beam 위에서 대기하던 재해자가 낙하 또는 하강하는 부재에 부딪혀 몸의 중심을 잃고 지상으로 추락(약 5m)하여 사망"/>
    <s v="줄걸이 방법 미흡한 상태에서 카고크레인을 이용하여 철골부재 조립 중 안전대를 미착용하고 빔 위에서 대기하던 근로자가 하강하는 부재에 부딪혀 몸의 중심을 잃고 추락"/>
    <s v="▶ 추락위험 장소에는 안전대 부착설비 설치 및 안전대 착용_x000a_▶ 자재 종류에 따른 줄걸이 종류를 선택하고 2줄걸이 방법을 채택하는 등 양중 도중 자재가 미끄러지거나 빠지지 않는 방법으로 작업 실시"/>
  </r>
  <r>
    <n v="3"/>
    <x v="3"/>
    <x v="9"/>
    <x v="13"/>
    <s v="YES"/>
    <x v="4"/>
    <x v="16"/>
    <s v="12대 기인물"/>
    <n v="2"/>
    <n v="8.5000000000000006E-2"/>
    <s v="2021년 2월경"/>
    <d v="2021-02-01T00:00:00"/>
    <n v="2"/>
    <s v="혹한기"/>
    <x v="2"/>
    <s v="2021년 2월경 ㈜OO건설 OO 신축공사 현장에서 재해자(철골공)가 옥탑층 철골 상부에서 H빔 거더 설치작업을 하던 중, 이동식크레인(60t)으로 인양 중인 거더가 강풍에 의해 기설치된 주변 철골보를 타격하였고, 부딪힘 충격으로 인한 진동으로 재해자가 추락(H≒14.0m)하여 사망"/>
    <s v="옥탑층 철골 상부에서 H빔 거더 설치작업을 하던 중 이동식크레인으로 인양 중인 거더가 강풍에 의해 기설치된 주변 철골보를 타격하였고, 부딪힘 충격으로 인한 진동으로 재해자가 추락"/>
    <s v="▶ 차량계 하역운반기계를 사용하여 중량물인 철골빔을 취급하는 작업 시 중량물의 취급방법, 인양장비의 재원 능력에 맞는 작업방식 지휘_x000a_▶ 차량계 하역운반기계 등을 사용하여 작업 시 운반 중인 화물 등에 의한 충돌 방지를 위해 줄걸이 방법, 줄걸이 공구 및 작업방법 검토_x000a_▶ 추락위험이 있는 장소에서 작업 시 안전대 부착설비 설치 및 안전대 착용"/>
  </r>
  <r>
    <n v="3"/>
    <x v="3"/>
    <x v="9"/>
    <x v="13"/>
    <s v="YES"/>
    <x v="4"/>
    <x v="19"/>
    <s v="12대 기인물"/>
    <n v="2"/>
    <n v="8.5000000000000006E-2"/>
    <s v="2021년 3월경"/>
    <d v="2021-03-01T00:00:00"/>
    <n v="3"/>
    <s v="-"/>
    <x v="2"/>
    <s v="2021년 3월경 재해자가 2층 거더와 기둥 접합부 용접을 위해 CO2 용접기 송급장치를 들고 철골 보 상부에서 이동 중 추락 (H≒7m)하여 사망 "/>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9"/>
    <s v="12대 기인물"/>
    <n v="2"/>
    <n v="8.5000000000000006E-2"/>
    <s v="2021년 3월경"/>
    <d v="2021-03-01T00:00:00"/>
    <n v="3"/>
    <s v="-"/>
    <x v="2"/>
    <s v="2021년 3월경 OO 리모델링공사 현장에서 4층 철골기둥과 보의 본조립 작업 중(추정) 4층 바닥(H=3.6m)으로 떨어져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6"/>
    <s v="12대 기인물"/>
    <n v="2"/>
    <n v="8.5000000000000006E-2"/>
    <s v="2021년 4월경"/>
    <d v="2021-04-01T00:00:00"/>
    <n v="4"/>
    <s v="-"/>
    <x v="3"/>
    <s v="2021년 4월경 ㈜OO 증축공사 현장에서 치선이 과도하게 마모된 클램프로 철골기둥을 체결해 이동식 카고크레인을 사용하여 이동하던 중 해당 철골기둥이 불시에 클램프에서 이탈·낙하하면서 작업장에서 이동 중이던 재해자를 덮쳐 사망"/>
    <s v="과도하게 마모된 클램프로 철골기둥을 체결해 이동식 카고크레인을 사용하여 이동하던 중 해당 철골기둥이 클램프에서 이탈·낙하"/>
    <s v="▶ 철골 부재를 인양하는 경우 달고리로 샤클, 해지장치가 부착된 훅 등의 달고리를 사용_x000a_▶ 인양 작업 중 달아올린 자재의 이동경로 하부에 대해 근로자 출입금지 조치 실시"/>
  </r>
  <r>
    <n v="3"/>
    <x v="3"/>
    <x v="9"/>
    <x v="13"/>
    <s v="YES"/>
    <x v="4"/>
    <x v="16"/>
    <s v="12대 기인물"/>
    <n v="2"/>
    <n v="8.5000000000000006E-2"/>
    <s v="2021년 7월경"/>
    <d v="2021-07-01T00:00:00"/>
    <n v="7"/>
    <s v="혹서기"/>
    <x v="2"/>
    <s v="2021년 7월경 OO건설(주)이 시공하는 OO공장 증축공사 현장에서 재해자(철골공)가 이동식크레인으로 인양한 철골 Beam(작은보, H-500×200×10x16mm L=6m) 중간지점에 걸터앉아 Beam 양 끝에 부착된 용접접합용 강재 Plate (14×45cm, T=13mm)를  Girder Flange에 고정하지 않은 상태에서 Beam에 부착된 인양용 클램프(Clamp)를분리시키는 순간 Beam이 우측으로 90도 전도되면서 몸의 중심을 잃고 약 7m 아래 콘크리트 바닥으로 떨어져 사망"/>
    <s v="이동식크레인으로 인양한 철골 빔 중간지점에 걸터앉아 빔 양 끝에 부착된 용접접합용 강재 플레이트를 거더에 고정하지 않은 상태에서 빔에 부착된 인양용 클램프를 분리시키는 순간 빔이 우측으로 90도 전도되면서 몸의 중심을 잃고 아래 바닥으로 추락"/>
    <s v="▶ 철골 기둥·보에 철골조립작업 또는 작업을 위해 이동하는 경우 작업면 하부에 추락방지망 설치_x000a_▶ 추락위험장소에서 철골조립작업 시 안전대 부착설비 설치 및 안전대 착용"/>
  </r>
  <r>
    <n v="3"/>
    <x v="3"/>
    <x v="9"/>
    <x v="13"/>
    <s v="YES"/>
    <x v="4"/>
    <x v="19"/>
    <s v="12대 기인물"/>
    <n v="2"/>
    <n v="8.5000000000000006E-2"/>
    <s v="2021년 9월경"/>
    <d v="2021-09-01T00:00:00"/>
    <n v="9"/>
    <s v="-"/>
    <x v="8"/>
    <s v="2021년 9월경 OO의 공장 이전 및 리모델링 현장에서 OOOO 소속 재해자가 천장 페인트 작업을 마친 후 철재 구조물(트러스) 조립 작업장으로 이동 중 뒤로 넘어져 바닥에 놓여져 있던 트러스 구조의 철재 파이프에 목·어깨를 부딪히고 후두부가 바닥에 부딪혀 사망"/>
    <s v="천장 페인트 작업을 마친 후 철재 구조물(트러스) 조립 작업장으로 이동 중 뒤로 넘어져 바닥에 놓여져 있던 트러스 구조물에 충돌"/>
    <s v="▶ 통로 주요 부분에 통로 표시 및 장애물 제거 등 이동통로 확보_x000a_▶ 개인보호구 지급 및 착용상태 관리 실시 "/>
  </r>
  <r>
    <n v="3"/>
    <x v="3"/>
    <x v="9"/>
    <x v="13"/>
    <s v="YES"/>
    <x v="4"/>
    <x v="19"/>
    <s v="12대 기인물"/>
    <n v="2"/>
    <n v="8.5000000000000006E-2"/>
    <s v="2021년 11월"/>
    <d v="2021-11-01T00:00:00"/>
    <n v="11"/>
    <s v="-"/>
    <x v="2"/>
    <s v="2021년 11월경 OO건설(주)에서 시공하는 공장 증축공사 현장에서 재해자가 약 20m 높이의 철골 상부에서 각파이프 설치 작업 중 추락하여 약 11m 아래에 있는 시저형 고소작업대 내부로 떨어져 사망"/>
    <s v="추락방호망이 설치되지 않은 지붕 층 파라펫 설치 작업 구간에서 안전대를 체결하지 않은 상태에서 작업 중 파라펫 설치 작업 중 추락"/>
    <s v="▶ 철골빔 위에서 고소작업 시 추락방망 설치, 고소작업대 사용 등 추락방지조치 실시_x000a_▶ 추락위험이 있는 장소에서 작업 시 안전대 부착설비 및 안전대 착용"/>
  </r>
  <r>
    <n v="3"/>
    <x v="3"/>
    <x v="9"/>
    <x v="13"/>
    <s v="YES"/>
    <x v="4"/>
    <x v="19"/>
    <s v="12대 기인물"/>
    <n v="2"/>
    <n v="8.5000000000000006E-2"/>
    <s v="주차타워 철골에 "/>
    <s v="X"/>
    <e v="#VALUE!"/>
    <e v="#VALUE!"/>
    <x v="2"/>
    <s v="주차타워 철골에 올라서 철거작업 중에  철골주보인 H-BEAM을 절단작업하고 다음 작업을 위해 철골보를 타고 이동하던 중 몸의 중심을 잃고 5층 철골보에서 지상1층 콘크리트 바닥(H=18m)으로 추락하여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4"/>
    <s v="YES"/>
    <x v="4"/>
    <x v="19"/>
    <s v="12대 기인물"/>
    <n v="2"/>
    <n v="8.5000000000000006E-2"/>
    <s v="2016년 3월경"/>
    <d v="2016-03-01T00:00:00"/>
    <n v="3"/>
    <s v="-"/>
    <x v="2"/>
    <s v="2016년 3월경 지상2층 철골구조물 신축공사 현장에서 재해자(철골공)가 지상2층 데크플레이트 설치(판개)작업 중 지상1층 바닥(약 3m)으로 떨어져 병원으로 이송·치료받았으나 사망"/>
    <s v="안전대 부착설비가 설치되지 않은 상태로 데크 플레이트 설치 작업 중 근로자가 몸의 중심을 잃고 데크플레이트 단부, 개구부로 추락"/>
    <s v="▶ 데크플레이트 설치작업 시 통로의 끝이나 개구부 등 추락위험이 있는 장소에는 안전난간, 추락방망 또는 덮개, 안전대 착용 등의 방호조치 실시_x000a_▶ 안전난간 등 설치가 곤란할 경우 추락방호망 설치_x000a_▶ 데크플레이트 설치 및 철근 배근작업 시 근로자의 실족 방지를 위해 작업발판 등을 작업장의 통로에 설치_x000a_▶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
  </r>
  <r>
    <n v="3"/>
    <x v="3"/>
    <x v="9"/>
    <x v="14"/>
    <s v="YES"/>
    <x v="4"/>
    <x v="19"/>
    <s v="12대 기인물"/>
    <n v="2"/>
    <n v="8.5000000000000006E-2"/>
    <s v="2016년 10월"/>
    <d v="2016-10-01T00:00:00"/>
    <n v="10"/>
    <s v="-"/>
    <x v="2"/>
    <s v="2016년 10월경 근린생활시설 신축공사 현장에서 재해자가 지붕 철골구조물에 데크플레이트 설치작업 중 추락(높이≒7.6m)하여 사망"/>
    <s v="안전대 부착설비가 설치되지 않은 상태로 데크 플레이트 설치 작업 중 근로자가 몸의 중심을 잃고 데크플레이트 단부, 개구부로 추락"/>
    <s v="▶ 데크플레이트 설치작업 시 통로의 끝이나 개구부 등 추락위험이 있는 장소에는 안전난간, 울타리, 수직형 추락방망 또는 덮개 등의 방호조치 실시_x000a_▶ 안전난간 등 설치가 곤란할 경우 추락방호망 설치_x000a_▶ 데크플레이트 설치 및 철근 배근작업 시 근로자의 실족 방지를 위해 작업발판 등을 작업장의 통로에 설치_x000a_▶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
  </r>
  <r>
    <n v="3"/>
    <x v="3"/>
    <x v="9"/>
    <x v="14"/>
    <s v="YES"/>
    <x v="4"/>
    <x v="19"/>
    <s v="12대 기인물"/>
    <n v="2"/>
    <n v="8.5000000000000006E-2"/>
    <s v="2017년 4월경"/>
    <d v="2017-04-01T00:00:00"/>
    <n v="4"/>
    <s v="-"/>
    <x v="2"/>
    <s v="2017년 4월경 OO건설(주)이 시공중인 OO 물류센터 증축공사 현장에서 재해자(용접공)가 지상3층(X14~15, Y3~4) 데크플레이트 판개작업 및 용접작업 또는 이동 중, 몸의 중심을 잃고 지상1층 바닥(H=11m)으로 떨어져 사망"/>
    <s v="안전대 부착설비가 설치되지 않은 상태로 데크 플레이트 설치 작업 중 근로자가 몸의 중심을 잃고 데크플레이트 단부, 개구부로 추락"/>
    <s v="▶ 데크플레이트 설치작업 시 통로의 끝이나 개구부 등 추락위험이 있는 장소에는 안전난간, 울타리, 수직형 추락방망 또는 덮개 등의 방호조치 실시_x000a_▶ 안전난간 등 설치가 곤란할 경우 추락방호망 설치_x000a_▶ 데크플레이트 설치 및 철근 배근작업 시 근로자의 실족 방지를 위해 작업발판 등을 작업장의 통로에 설치_x000a_▶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
  </r>
  <r>
    <n v="3"/>
    <x v="3"/>
    <x v="9"/>
    <x v="14"/>
    <s v="YES"/>
    <x v="4"/>
    <x v="19"/>
    <s v="12대 기인물"/>
    <n v="2"/>
    <n v="8.5000000000000006E-2"/>
    <s v="2017년 9월경"/>
    <d v="2017-09-01T00:00:00"/>
    <n v="9"/>
    <s v="-"/>
    <x v="2"/>
    <s v="2017년 9월경 OO 공장 신축공사 내 도장시설 제작 현장에서 재해자(생산직)가 공장동 내 2층에서 BOOTH DECK(가로3.75m x 세로 2.0m x 높이 0.1m)를 설치를 위해 BOOTH DECK를 측면으로 밀어내고자 공장동 벽체 철골 수평재 상부로 내려가는 중 바닥으로 추락(H=6.5m)하여 사망"/>
    <s v="BOOTH DECK를 설치를 위해 BOOTH DECK를 측면으로 밀어내기 위해 안전대 미착용한 상태에서 벽체 철골 수평재 상부로 내려가는 중 몸의 균형을 잃고 추락"/>
    <s v="▶ 추락위험 장소에서 작업 시 비계 조립 등의 방법으로 작업발판 설치_x000a_▶ 작업발판 설치가 곤란할 경우 안전방망 설치_x000a_▶ 안전방망의 설치가 곤란할 경우 안전대 부착설비 설치 및 안전대 착용"/>
  </r>
  <r>
    <n v="3"/>
    <x v="3"/>
    <x v="9"/>
    <x v="14"/>
    <s v="YES"/>
    <x v="4"/>
    <x v="19"/>
    <s v="12대 기인물"/>
    <n v="2"/>
    <n v="8.5000000000000006E-2"/>
    <s v="2017년 9월경"/>
    <d v="2017-09-01T00:00:00"/>
    <n v="9"/>
    <s v="-"/>
    <x v="2"/>
    <s v="2017년 9월경 OO(주)에서 시공하는 OO부두 건설공사 현장에서 재해자(철골공)이 경비실 상부 데크플레이트를 설치하던 중 고정되지 않은 데크플레이트를 밟고 부재와 함께 콘크리트 바닥으로 떨어져(H≒3.3m) 사망"/>
    <s v="철골 구조물의 데크플레이트 설치 작업 중 고정되지 않은 데크플레이트를 밟는 순간 부재와 함께 근로자 추락"/>
    <s v="▶ 데크플레이트 설치 시 추락방지를 위해 안전방망 설치_x000a_▶ 안전방망 설치가 곤란할 경우 안전대 부착설비 설치 및 안전대 착용_x000a_▶ 데크플레이트 설치시 추락 및 낙하하는 등의 사고 방지를 위해 보 상단 좌우 50mm 이상 걸치도록 설치 및 1매 째의 데크플레이트 설치 후 곧바로 가용접 실시 이후 순차적으로 60cm 간격 이내마다 가용접 실시"/>
  </r>
  <r>
    <n v="3"/>
    <x v="3"/>
    <x v="9"/>
    <x v="14"/>
    <s v="YES"/>
    <x v="4"/>
    <x v="17"/>
    <s v="해당없음"/>
    <s v="해당없음"/>
    <s v="해당없음"/>
    <s v="2018년 11월"/>
    <d v="2018-11-01T00:00:00"/>
    <n v="11"/>
    <s v="-"/>
    <x v="2"/>
    <s v="2018년 11월경 재해재가 동료 작업자 2명과 지상2층 철골 상부에서 바닥 데크 플레이트 설치 작업 중 재해자가 발을 딛고있던 미고정된 데크 플레이트와 함께 지상1층 바닥으로 추락하여 사망"/>
    <s v="안전대 부착설비가 설치되지 않은 상태로 데크 플레이트 설치 작업 중 근로자가 몸의 중심을 잃고 데크플레이트 단부, 개구부로 추락"/>
    <s v="▶ 데크플레이트 설치작업 시 통로의 끝이나 개구부 등 추락위험이 있는 장소에는 안전난간, 추락방망 또는 덮개, 안전대 착용 등의 방호조치 실시_x000a_▶ 안전난간 등 설치가 곤란할 경우 추락방호망 설치_x000a_▶ 데크플레이트 설치 및 철근 배근작업 시 근로자의 실족 방지를 위해 작업발판 등을 작업장의 통로에 설치_x000a_▶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
  </r>
  <r>
    <n v="3"/>
    <x v="3"/>
    <x v="9"/>
    <x v="14"/>
    <s v="YES"/>
    <x v="4"/>
    <x v="19"/>
    <s v="12대 기인물"/>
    <n v="2"/>
    <n v="8.5000000000000006E-2"/>
    <s v="2018년 11월"/>
    <d v="2018-11-01T00:00:00"/>
    <n v="11"/>
    <s v="-"/>
    <x v="2"/>
    <s v="2018년 11월경 OO(주)가 시공하는 OO 신축공사 현장에서 재해자(데크설치공)가 지상 3층 철골 상부에서 용접봉 홀더를 들고 이동하던 중 약 7m 아래 지상 1층 콘크리트 바닥으로 추락하여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4"/>
    <s v="YES"/>
    <x v="4"/>
    <x v="19"/>
    <s v="12대 기인물"/>
    <n v="2"/>
    <n v="8.5000000000000006E-2"/>
    <s v="2019년 2월경"/>
    <d v="2019-02-01T00:00:00"/>
    <n v="2"/>
    <s v="혹한기"/>
    <x v="2"/>
    <s v="2019년 2월경 재해자가 OO설치공사 현장에서 철골+데크구조의 경량 슬래브 미설치구간 바닥 개구부 주변에서 균형을 잃고 추락(≒6.0m)"/>
    <s v="안전대 부착설비가 설치되지 않은 상태로 데크 플레이트 설치 작업 중 근로자가 몸의 중심을 잃고 데크플레이트 단부, 개구부로 추락"/>
    <s v="▶ 데크플레이트 설치작업 시 통로의 끝이나 개구부 등 추락위험이 있는 장소에는 안전난간, 울타리, 수직형 추락방망 또는 덮개 등의 방호조치 실시_x000a_▶ 안전난간 등 설치가 곤란할 경우 추락방호망 설치_x000a_▶ 데크플레이트 설치 및 철근 배근작업 시 근로자의 실족 방지를 위해 작업발판 등을 작업장의 통로에 설치_x000a_▶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
  </r>
  <r>
    <n v="3"/>
    <x v="3"/>
    <x v="9"/>
    <x v="14"/>
    <s v="YES"/>
    <x v="4"/>
    <x v="19"/>
    <s v="12대 기인물"/>
    <n v="2"/>
    <n v="8.5000000000000006E-2"/>
    <s v="2019년 3월 "/>
    <d v="2019-03-01T00:00:00"/>
    <n v="3"/>
    <s v="-"/>
    <x v="2"/>
    <s v="2019년 3월 OO건설(주) OO 건설공사 현장에서 골조공사 협력업체인 OO(주) 소속 콘크리트공 6명이 OO시설동 크레인조정실 바닥슬래브 콘크리트 타설 작업을 진행하던 중 데크플레이트(Deck-plate)를 지지하고 있던 목재각재가 슬래브 자중 및 작업하중을 견디지 못하고 철근콘크리트 보 측면에서 이탈되면서 바닥 슬래브가 붕괴되어 콘크리트공 3명이 약 24.0m아래 지상으로 추락하여 사망"/>
    <s v="콘크리트 타설 작업 진행 중, 데크플레이트를 지지하고 있던 목재각재가 슬래브 자중 및 작업 하중을 견디지 못하고 이탈되면서 슬래브가 붕괴되어 근로자 추락"/>
    <s v="▶ 설계도서 작성 및 준수 _x000a_▶ 콘크리트 타설 전 안전점검 및 보강조치 실시_x000a_▶ 콘크리트 타설 작업 시 추락방지조치 실시"/>
  </r>
  <r>
    <n v="3"/>
    <x v="3"/>
    <x v="9"/>
    <x v="14"/>
    <s v="YES"/>
    <x v="4"/>
    <x v="19"/>
    <s v="12대 기인물"/>
    <n v="2"/>
    <n v="8.5000000000000006E-2"/>
    <s v=" 2019년 6월"/>
    <d v="2019-06-01T00:00:00"/>
    <n v="6"/>
    <s v="혹서기"/>
    <x v="2"/>
    <s v=" 2019년 6월경 OO 모델하우스 건립공사 현장에서 재해자(철골공)가 지상 2층 바닥 데크플레이트 설치 작업 중 단부에서 지상 바닥으로 떨어져(H≒7.3m) 사망"/>
    <s v="안전대 부착설비가 설치되지 않은 상태로 데크 플레이트 설치 작업 중 근로자가 몸의 중심을 잃고 데크플레이트 단부, 개구부로 추락"/>
    <s v="▶ 데크플레이트 설치작업 시 통로의 끝이나 개구부 등 추락위험이 있는 장소에는 안전난간, 추락방망 또는 덮개, 안전대 착용 등의 방호조치 실시_x000a_▶ 안전난간 등 설치가 곤란할 경우 추락방호망 설치_x000a_▶ 데크플레이트 설치 및 철근 배근작업 시 근로자의 실족 방지를 위해 작업발판 등을 작업장의 통로에 설치_x000a_▶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
  </r>
  <r>
    <n v="3"/>
    <x v="3"/>
    <x v="9"/>
    <x v="14"/>
    <s v="YES"/>
    <x v="4"/>
    <x v="19"/>
    <s v="12대 기인물"/>
    <n v="2"/>
    <n v="8.5000000000000006E-2"/>
    <s v="2019년 6월경"/>
    <d v="2019-06-01T00:00:00"/>
    <n v="6"/>
    <s v="혹서기"/>
    <x v="2"/>
    <s v="2019년 6월경 OO건설(주)에서 시공하는 OO 근생 및 주택 신축공사현장에서 재해자가 지상 2층 계단참 데크플레이트 설치작업 중 밟고있던 미 고정된 데크플레이트가 철골에서 탈락되면서 지상1층 콘크리트 바닥으로 떨어져(높이 4.2m) 사망"/>
    <s v="철골 구조물의 데크플레이트 설치 작업 중 고정되지 않은 데크플레이트를 밟는 순간 부재와 함께 근로자 추락"/>
    <s v="▶ 데크플레이트 설치 시 추락방지를 위해 안전방망 설치_x000a_▶ 안전방망 설치가 곤란할 경우 안전대 부착설비 설치 및 안전대 착용_x000a_▶ 데크플레이트 설치시 추락 및 낙하하는 등의 사고 방지를 위해 보 상단 좌우 50mm 이상 걸치도록 설치 및 1매 째의 데크플레이트 설치 후 곧바로 가용접 실시 이후 순차적으로 60cm 간격 이내마다 가용접 실시"/>
  </r>
  <r>
    <n v="3"/>
    <x v="3"/>
    <x v="9"/>
    <x v="14"/>
    <s v="YES"/>
    <x v="4"/>
    <x v="19"/>
    <s v="12대 기인물"/>
    <n v="2"/>
    <n v="8.5000000000000006E-2"/>
    <s v="2020년 8월경"/>
    <d v="2020-08-01T00:00:00"/>
    <n v="8"/>
    <s v="혹서기"/>
    <x v="2"/>
    <s v="2020년 8월경 OO건설(주)이 시공하는 OO센터 건립공사 현장에서 재해자(판넬공)가 지붕층 철골보 위에 데크플레이트 설치 후 가용접하려던 중 데크플레이트와 함께 약 14.1m 아래 콘크리트 바닥으로 떨어져 사망"/>
    <s v="안전대 부착설비가 설치되지 않은 상태로 데크 플레이트 설치 작업 중 근로자가 몸의 중심을 잃고 데크플레이트 단부, 개구부로 추락"/>
    <s v="▶ 데크플레이트 설치작업 시 통로의 끝이나 개구부 등 추락위험이 있는 장소에는 안전난간, 추락방망 또는 덮개, 안전대 착용 등의 방호조치 실시_x000a_▶ 안전난간 등 설치가 곤란할 경우 추락방호망 설치_x000a_▶ 데크플레이트 설치 및 철근 배근작업 시 근로자의 실족 방지를 위해 작업발판 등을 작업장의 통로에 설치_x000a_▶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
  </r>
  <r>
    <n v="4"/>
    <x v="4"/>
    <x v="10"/>
    <x v="38"/>
    <s v="YES"/>
    <x v="4"/>
    <x v="17"/>
    <s v="해당없음"/>
    <s v="해당없음"/>
    <s v="해당없음"/>
    <s v="2017년 1월경"/>
    <d v="2017-01-01T00:00:00"/>
    <n v="1"/>
    <s v="혹한기"/>
    <x v="0"/>
    <s v="2017년 1월경 OO시설공사에서 지상 2층 기존 점포 조적벽체(시멘트 벽돌)를 해체하기 위해, 2층 바닥에서 벽체 중간부위를(h≒1.6m) 핸드브레이커로 파쇄하던 중 진동 등에 의해 조적벽체의 상부부분이 떨어지자 미처 피하지 못하고 맞아 사망"/>
    <s v="조적벽체 해체 작업 중 핸드브레이커 파쇄로 인한 진동 등으로 벽체 상부의 조적더미가 낙하하여 맞음"/>
    <s v="▶ 벽체 철거 작업 시, 이동식 비계 등을 이용하여 작업발판에 서서 벽체 상부에서부터 작은 면적 단위로 분할하여 순차적으로 철거작업 실시 _x000a_▶ 해체작업 시 구조, 주변상황 등 사전조사 결과를 바탕으로 해체방법, 해체순서 등 작업계획을 수립하고 준수하여 작업"/>
  </r>
  <r>
    <n v="4"/>
    <x v="4"/>
    <x v="10"/>
    <x v="38"/>
    <s v="YES"/>
    <x v="4"/>
    <x v="17"/>
    <s v="해당없음"/>
    <s v="해당없음"/>
    <s v="해당없음"/>
    <s v="2019년 8월경"/>
    <d v="2019-08-01T00:00:00"/>
    <n v="8"/>
    <s v="혹서기"/>
    <x v="0"/>
    <s v="2019년 8월경 OO인테리어 공사에서 조적벽체 해체 작업 중 바닥 폐기물 정리작업을 하다가 천장(H=2.0m)에 완전히 해체되지 않은 조적벽돌더미가 아래로 떨어져 머리를 맞아 사망"/>
    <s v=" 바닥 폐기물 정리작업을 하다가 천장에 완전히 해체되지 않은 조적벽돌더미가 아래로 떨어져 머리를 강타"/>
    <s v="▶ 벽체 철거 작업 시 벽체 상부에서부터 작은 면적 단위로 분할하여 순차적으로 철거작업 실시 _x000a_▶ 해체작업 시 구조, 주변상황 등 사전조사 결과를 바탕으로 해체방법, 해체순서 등 작업계획을 수립하고 준수하여 작업"/>
  </r>
  <r>
    <n v="4"/>
    <x v="4"/>
    <x v="10"/>
    <x v="15"/>
    <s v="YES"/>
    <x v="4"/>
    <x v="17"/>
    <s v="해당없음"/>
    <s v="해당없음"/>
    <s v="해당없음"/>
    <s v="2018년 4월경"/>
    <d v="2018-04-01T00:00:00"/>
    <n v="4"/>
    <s v="-"/>
    <x v="2"/>
    <s v="2018년 4월경 OO재건축공사에서 견출작업 중 원인미상의 이유로 6~7층 사이 외부에 설치된 낙하물방지망으로 추락하여 사망"/>
    <s v="세대 내 벽체 견출작업 중 원인미상으로 추락"/>
    <s v="▶ 계단실, 기계실의 벽체 개구부 및 옥상층 안전난간 등 물제가 떨어질 위험이 있는 장소에는 수직보호망 설치_x000a_▶ 아파트 동 외부에 높이 10m 이내마다 낙하물 방지망 설치 "/>
  </r>
  <r>
    <n v="4"/>
    <x v="4"/>
    <x v="10"/>
    <x v="15"/>
    <s v="YES"/>
    <x v="4"/>
    <x v="18"/>
    <s v="해당없음"/>
    <s v="해당없음"/>
    <s v="해당없음"/>
    <s v="2018년 12월"/>
    <d v="2018-12-01T00:00:00"/>
    <n v="12"/>
    <s v="혹한기"/>
    <x v="2"/>
    <s v="2018년 12월경 OO설치공사에서 캐노피 콘크리트 타설 후 미장 작업중 4.2m 아래 공장 바닥으로 추락하여 사망"/>
    <s v="콘크리트 타설후 미장작업 중 안전난간이 설치되지 않은 슬라브 단부에서 몸의 중심을 잃고 추락"/>
    <s v="▶ 슬라부 단부 등 추락위험 장소에는 안전난간 설치_x000a_▶ 마감작업으로 인해 안전난간의 설치가 곤란할 경우 안전대 부착설비를 설치하고 안전대 체결 후 작업토록 관리감독"/>
  </r>
  <r>
    <n v="4"/>
    <x v="4"/>
    <x v="10"/>
    <x v="15"/>
    <s v="YES"/>
    <x v="4"/>
    <x v="18"/>
    <s v="해당없음"/>
    <s v="해당없음"/>
    <s v="해당없음"/>
    <s v="2021년 10월"/>
    <d v="2021-10-01T00:00:00"/>
    <n v="10"/>
    <s v="-"/>
    <x v="0"/>
    <s v="2021년 10월경 OO재건축공사에서 말비계 위에서 핸드브레이커를 사용하여 천장슬래브 하부의 콘크리트를 해체 하던 중, 콘크리트 덩어리가 떨어져(높이 약 2.7m, 중량 약 1,242kg) 맞아서 사망"/>
    <s v="말비계 위에서 핸드브레이커를 사용하여 천장슬래브 하부의 콘크리트를 해체 하던 중 낙하하는 콘크리트 덩어리에 맞음"/>
    <s v="▶ 해체작업 시 구조, 주변상황 등 사전조사 결과를 바탕으로 해체방법, 해체순서 등 작업계획을 수립하고 준수하여 작업_x000a_▶ 개인보호구(안전모) 착용관리 철저"/>
  </r>
  <r>
    <n v="4"/>
    <x v="4"/>
    <x v="11"/>
    <x v="16"/>
    <s v="YES"/>
    <x v="4"/>
    <x v="17"/>
    <s v="해당없음"/>
    <s v="해당없음"/>
    <s v="해당없음"/>
    <s v="2018년 10월"/>
    <d v="2018-10-01T00:00:00"/>
    <n v="10"/>
    <s v="-"/>
    <x v="2"/>
    <s v="2018년 10월경 ㈜OO 지하주차장 누수방수공사(우레탄 발포 크랙보수) 현장에서 재해자(보통인부)가 보양비닐 설치 작업을 하던 중 출입구 상부 캐노피(격자형 루바)를 딛는 순간 무너지면서 바닥으로 떨어져(H≒2.5m) 사망"/>
    <s v="보양비닐 설치 작업을 하던 중 별도의 작업발판 설치 없이 출입구 상부 캐노피를 딛는 순간 무너지면서 근로자 추락 "/>
    <s v="▶ 캐노피 상부 콘크리트 천정 작업을 위한 별도의 작업발판 설치 후 작업_x000a_▶ 보호구 지급 착용 관리감독 철저 "/>
  </r>
  <r>
    <n v="4"/>
    <x v="4"/>
    <x v="38"/>
    <x v="78"/>
    <s v="YES"/>
    <x v="4"/>
    <x v="17"/>
    <s v="해당없음"/>
    <s v="해당없음"/>
    <s v="해당없음"/>
    <s v="2021년 1월경"/>
    <d v="2021-01-01T00:00:00"/>
    <n v="1"/>
    <s v="혹한기"/>
    <x v="0"/>
    <s v="2021년 1월경 OO빌딩 신축공사 현장에서 협력업체 재해자가 외부 석재 마감공사를 위해 지하 1층에서 지상 8층으로 자재 양중작업을 하던 중 석재가 낙하하면서 맞아 사망"/>
    <s v="외부 석재 마감공사를 위해 지하에서 지상으로 자재 양중작업을 하던 중 석재가 낙하하며 맞음"/>
    <s v="▶ 자재 적재 및 인양시 낙하가 발생 하지 않도록 결속 철저_x000a_▶ 낙하발생 가능한 자재 인양시 자재 적재함 등 사용_x000a_▶ 낙하물 발생 가능구간 낙하방지조치 및 접근통제 실시"/>
  </r>
  <r>
    <n v="4"/>
    <x v="4"/>
    <x v="21"/>
    <x v="39"/>
    <s v="YES"/>
    <x v="4"/>
    <x v="19"/>
    <s v="12대 기인물"/>
    <n v="2"/>
    <n v="8.5000000000000006E-2"/>
    <s v="2017년 2월경"/>
    <d v="2017-02-01T00:00:00"/>
    <n v="2"/>
    <s v="혹한기"/>
    <x v="2"/>
    <s v="2017년 2월경 OO공장 증축공사 현장에서 재해자가 지상 4층 계단실 철골 보 내화도장 작업 중 몸의 중심을 잃고 지상 3층 계단실로 추락하여(H≒4.0m) 사망"/>
    <s v="안전난간 미설치한 계단실 철골 보 내화도장 작업 중 몸의 균형을 잃고 추락"/>
    <s v="▶ 철골보 상부 등 추락위험이 있는 장소에서 작업 시 작업높이에 적합한 안전한 작업발판(비계, 고소작업대 등)을 설치하여 안전하게 작업_x000a_▶ 작업발판을 설치하기 어려운 경우 철골보 하부에 추락방호망을 설치하고 철골보 상부에 안전대 부착설비를 설치하여 안전대를 체결한 후 작업"/>
  </r>
  <r>
    <n v="4"/>
    <x v="4"/>
    <x v="21"/>
    <x v="39"/>
    <s v="YES"/>
    <x v="4"/>
    <x v="17"/>
    <s v="해당없음"/>
    <s v="해당없음"/>
    <s v="해당없음"/>
    <s v="2020년 10월"/>
    <d v="2020-10-01T00:00:00"/>
    <n v="10"/>
    <s v="-"/>
    <x v="9"/>
    <s v="2020년 10월경 상가건물에서 도장공인 재해자가 페인트 작업 후 소지하고 있던 라이터를 이용해 의자의 실오라기를 제거하던 중 장갑에 불이 붙으면서 화재가 발생하여 동료작업자 2명과 건물입주민 등 5명이 동시에 화상"/>
    <s v="리모델링 도장 작업 후 소지하고 있던 라이터를 이용해 의자의 실오라기를 제거하던 중 장갑에 불이 붙으면서 화재가 발생하여 화상"/>
    <s v="▶ 도장, 방수 작업 등 화재위험 작업장소에서 라이터 등 화기사용(지참) 금지 조치 및 근로자 주지_x000a_▶ 작업과 관련 없는 불안전한 행동을 하지 않도록 근로자 주지 및 관리감독"/>
  </r>
  <r>
    <n v="4"/>
    <x v="4"/>
    <x v="21"/>
    <x v="40"/>
    <s v="YES"/>
    <x v="4"/>
    <x v="19"/>
    <s v="12대 기인물"/>
    <n v="2"/>
    <n v="8.5000000000000006E-2"/>
    <s v="2016년 12월"/>
    <d v="2016-12-01T00:00:00"/>
    <n v="12"/>
    <s v="혹한기"/>
    <x v="2"/>
    <s v="2016년 12월경 OO챔버시험동 신축공사 현장에서, 협력업체 소속 재해자가 당 현장내 부품실 지붕 철골보 상부에서 내화페인트 도장작업 중 철골보(약 H=13m) 아래 콘크리트 바닥으로 추락하여 사망"/>
    <s v="안전대 미착용한 상태에서 철골보 상부에서 내화도장 작업 중 몸의 균형을 잃고 추락"/>
    <s v="▶ 철골보 상부 등 추락위험이 있는 장소에서 작업 시 작업높이에 적합한 안전한 작업발판(비계, 고소작업대 등)을 설치하여 안전하게 작업_x000a_▶ 작업발판을 설치하기 어려운 경우 철골보 하부에 추락방호망을 설치하고 철골보 상부에 안전대 부착설비를 설치하여 안전대를 체결한 후 작업"/>
  </r>
  <r>
    <n v="4"/>
    <x v="4"/>
    <x v="12"/>
    <x v="17"/>
    <s v="YES"/>
    <x v="4"/>
    <x v="17"/>
    <s v="해당없음"/>
    <s v="해당없음"/>
    <s v="해당없음"/>
    <s v="2019년 10월"/>
    <d v="2019-10-01T00:00:00"/>
    <n v="10"/>
    <s v="-"/>
    <x v="2"/>
    <s v="2019년 10월경 조립식창고 신축공사(잡철, 판넬공사) 현장 소속 재해자가 건축자재용 철재 파이프를 싣기 위하여 트럭(1톤) 공구함 위(높이≒1.35m)에서 자재(약 6m길이 사각파이프 10개)와 트럭 데크 프론트 가드 고리에 로프를 결속 하던 중 튕겨져온 로프에 의해 몸의 균형을 잃고 콘크리트 바닥으로 추락하여 사망"/>
    <s v="트럭 적재함에서 자재 상차작업 중 트럭 고리에 결속중이던 로프가 이탈하여 튕겨져 나오면서 몸의 중심을 잃고 바닥으로 추락 "/>
    <s v="▶ 추락의 위험이 있는 장소에서 작업 시, 안전난간, 안전대 부착설비 등을 설치하고 이동식 비계 또는 고소작업대 등을 사용하여 작업하도록 조치_x000a_▶ 추락의 위험이 있는 장소에 웨빙띠 등으로 출입금지 조치 철저"/>
  </r>
  <r>
    <n v="4"/>
    <x v="4"/>
    <x v="12"/>
    <x v="18"/>
    <s v="YES"/>
    <x v="4"/>
    <x v="19"/>
    <s v="12대 기인물"/>
    <n v="2"/>
    <n v="8.5000000000000006E-2"/>
    <s v="2013년 7월경"/>
    <d v="2013-07-01T00:00:00"/>
    <n v="7"/>
    <s v="혹서기"/>
    <x v="2"/>
    <s v="2013년 7월경 공연장 구간 보강공사 현장에서, 재해자가 아치형 캐노피 위에서 캐노피 덮개용 폴리카보네이트 고정작업 중, 캐노피 끝단에서 추락(H≒4m)"/>
    <s v="아치형 캐노피 상부에서 작업 중 앞쪽으로 몸의 무게중심이 쏠려 추락"/>
    <s v="▶ 추락위험이 있는 장소에서 작업 시 작업높이에 적합한 안전한 작업발판(비계, 고소작업대 등)을 설치하여 안전하게 작업_x000a_▶ 작업발판을 설치하기 어려운 경우 추락방호망을 설치하고 안전대 부착설비를 설치하여 안전대를 체결한 후 작업"/>
  </r>
  <r>
    <n v="4"/>
    <x v="4"/>
    <x v="12"/>
    <x v="18"/>
    <s v="YES"/>
    <x v="4"/>
    <x v="19"/>
    <s v="12대 기인물"/>
    <n v="2"/>
    <n v="8.5000000000000006E-2"/>
    <s v="2016년 8월경"/>
    <d v="2016-08-01T00:00:00"/>
    <n v="8"/>
    <s v="혹서기"/>
    <x v="2"/>
    <s v="2016년 8월경 OO주유소 신축공사현장에서 재해자는 주유소 지붕(케노피)에서 물받이(400×100×15×1.6, L≒15.0m)를 설치하기 위하여 지붕 철골(C형강) 위에서 보조 작업을 하던 중 갑자기 몸의 중심을 잃고 지상 1층 바닥(H≒7.5m)으로 추락"/>
    <s v="철골보 상부에서 작업 중 발을 헛디뎌 바닥으로 추락"/>
    <s v="▶ 철골보 상부 등 추락위험이 있는 장소에서 작업 시 작업높이에 적합한 안전한 작업발판(비계, 고소작업대 등)을 설치하여 안전하게 작업_x000a_▶ 작업발판을 설치하기 어려운 경우 철골보 하부에 추락방호망을 설치하고 철골보 상부에 안전대 부착설비를 설치하여 안전대를 체결한 후 작업"/>
  </r>
  <r>
    <n v="4"/>
    <x v="4"/>
    <x v="12"/>
    <x v="18"/>
    <s v="YES"/>
    <x v="4"/>
    <x v="19"/>
    <s v="12대 기인물"/>
    <n v="2"/>
    <n v="8.5000000000000006E-2"/>
    <s v="2016년 9월경"/>
    <d v="2016-09-01T00:00:00"/>
    <n v="9"/>
    <s v="-"/>
    <x v="2"/>
    <s v="2016년 9월경 OO공영주차장 건립공사 현장에서 재해자가 경사램프 상부 지붕 하지 철물(下持鐵物) 설치작업을 하기 위하여 지붕 철골보 위에서 C형강 및 각파이프 임시용접작업을 하던 중, 몸의 중심을 잃고 개구부 사이로 추락(H≒4.7m)"/>
    <s v="철골보 상부에서 이동하던 중 발을 헛디뎌 바닥으로 추락"/>
    <s v="▶ 철골보 상부 등 추락위험이 있는 장소에서 작업 시 작업높이에 적합한 안전한 작업발판(비계, 고소작업대 등)을 설치하여 안전하게 작업_x000a_▶ 작업발판을 설치하기 어려운 경우 철골보 하부에 추락방호망을 설치하고 철골보 상부에 안전대 부착설비를 설치하여 안전대를 체결한 후 작업"/>
  </r>
  <r>
    <n v="4"/>
    <x v="4"/>
    <x v="12"/>
    <x v="18"/>
    <s v="YES"/>
    <x v="4"/>
    <x v="19"/>
    <s v="12대 기인물"/>
    <n v="2"/>
    <n v="8.5000000000000006E-2"/>
    <s v="2016년 12월"/>
    <d v="2016-12-01T00:00:00"/>
    <n v="12"/>
    <s v="혹한기"/>
    <x v="2"/>
    <s v="2016년 12월경 신축공사 현장 지붕 처마부위에서 철골조 부재를 밟고 벽체 판넬 상부에 빗물받이 홈통 고정 작업을 진행하던 재해자가 몸의 균형을 잃고 4m 하부 콘크리트 바닥으로 추락"/>
    <s v="철골보 상부에서 작업 중 발을 헛디뎌 바닥으로 추락"/>
    <s v="▶ 철골보 상부 등 추락위험이 있는 장소에서 작업 시 작업높이에 적합한 안전한 작업발판(비계, 고소작업대 등)을 설치하여 안전하게 작업_x000a_▶ 작업발판을 설치하기 어려운 경우 철골보 하부에 추락방호망을 설치하고 철골보 상부에 안전대 부착설비를 설치하여 안전대를 체결한 후 작업"/>
  </r>
  <r>
    <n v="4"/>
    <x v="4"/>
    <x v="12"/>
    <x v="18"/>
    <s v="YES"/>
    <x v="4"/>
    <x v="17"/>
    <s v="해당없음"/>
    <s v="해당없음"/>
    <s v="해당없음"/>
    <s v="2017년 3월경"/>
    <d v="2017-03-01T00:00:00"/>
    <n v="3"/>
    <s v="-"/>
    <x v="2"/>
    <s v="2017년 3월경 OOO 신축 인테리어 내부공사 현장에서 금속공사 협력업체 소속 재해자가 관리동 1층 장식용 책장 상단(폭≒ 60cm)에서 기존 용접부위의 면갈기 작업을 위해 그라인더를 이용해 작업 중 몸의 균형을 잃고 책장 단부에서 지하2층 바닥으로 추락(H≒10.1m)하여 사망"/>
    <s v="책장 상단에서 작업 중 발을 헛디뎌 안전난간이 설치되지 않은 책장 단부로 추락"/>
    <s v="▶ 추락의 위험이 있는 장소에서 작업 시, 안전난간, 안전대 부착설비 등을 설치하고 이동식 비계 또는 고소작업대 등을 사용하여 작업하도록 조치_x000a_▶ 추락의 위험이 있는 장소에 웨빙띠 등으로 출입금지 조치 철저"/>
  </r>
  <r>
    <n v="4"/>
    <x v="4"/>
    <x v="12"/>
    <x v="18"/>
    <s v="YES"/>
    <x v="4"/>
    <x v="19"/>
    <s v="12대 기인물"/>
    <n v="2"/>
    <n v="8.5000000000000006E-2"/>
    <s v="2017년 9월경"/>
    <d v="2017-09-01T00:00:00"/>
    <n v="9"/>
    <s v="-"/>
    <x v="2"/>
    <s v="2017년 9월경 OO타워 현장에서 재해자가 지상1층 환풍구에 철제 그레이팅을 덮는 작업을 하던 중 밟고 있던 철제그레이팅이 지지재에서 미끄러지면서 지하 4층 기계실 바닥으로 추락(약18.7m)"/>
    <s v="환기구 덮개 위에서 고정작업을 하던 중 작업하중 등에 의해 덮개가 밀려나면서 발생한 개구부 아래로 추락"/>
    <s v="▶ 개구부 등 추락위험이 있는 장소에서 작업하는 경우 작업높이에 맞는 견고한 작업발판(비계 등)을 설치_x000a_▶ 작업발판을 설치하기 곤란한 경우 안전방망을 설치하고 안전대걸이설비에 안전대를 체결한 후 작업"/>
  </r>
  <r>
    <n v="4"/>
    <x v="4"/>
    <x v="12"/>
    <x v="18"/>
    <s v="YES"/>
    <x v="4"/>
    <x v="19"/>
    <s v="12대 기인물"/>
    <n v="2"/>
    <n v="8.5000000000000006E-2"/>
    <s v="2017년 10월"/>
    <d v="2017-10-01T00:00:00"/>
    <n v="10"/>
    <s v="-"/>
    <x v="2"/>
    <s v="2017년 10월경 OO식물원 조성공사 온실 내부에서 재해자가 관람 스카이워크 하지철물 설치 작업 과정에서 철골보 상으로 이동하던 중, 몸의 중심을 잃고 약 6.5M아래 지상 콘크리트 바닥으로 추락"/>
    <s v="철골보 상부에서 이동하던 중 발을 헛디뎌 바닥으로 추락"/>
    <s v="▶ 철골보 상부 등 추락위험이 있는 장소에서 작업 시 작업높이에 적합한 안전한 작업발판(비계, 고소작업대 등)을 설치하여 안전하게 작업_x000a_▶ 작업발판을 설치하기 어려운 경우 철골보 하부에 추락방호망을 설치하고 철골보 상부에 안전대 부착설비를 설치하여 안전대를 체결한 후 작업"/>
  </r>
  <r>
    <n v="4"/>
    <x v="4"/>
    <x v="12"/>
    <x v="18"/>
    <s v="YES"/>
    <x v="4"/>
    <x v="17"/>
    <s v="해당없음"/>
    <s v="해당없음"/>
    <s v="해당없음"/>
    <s v="2017년 12월"/>
    <d v="2017-12-01T00:00:00"/>
    <n v="12"/>
    <s v="혹한기"/>
    <x v="2"/>
    <s v="2017년 12월경 OOOOO호텔 신축공사 현장에서 재해자가 건물3층 시스템비계에서 건물외벽에 경관조명등 설치를 위해 자재(경관조명등)를 인양 하던 중 몸의 중심을 잃고 시스템비계 외부로 경관조명등(2,830(L)×260(B)×1(T), 5.2kg)과 같이 지상1층 바닥으로 추락하여(H≒9.6m) 사망"/>
    <s v="시스템비계에서 로프를 이용하여 자재를 인양하던 중 안전난간이 낮게(상부난간대 90cm) 설치된 작업발판 단부로 추락 "/>
    <s v="▶ 고소작업 장소에서 자재 인양 시 고소작업대 등을 사용하여 인양 실시_x000a_▶ 고소작업 장소에서 자재 인양 시 작업방법과 기상상태 고려하여 작업 실시_x000a_▶ 불가피하게 섬유로프를 사용하여 인력으로 자재 인양 시 추락방지를 위해 안전대 부착설비 설치 및 안전대 착용"/>
  </r>
  <r>
    <n v="4"/>
    <x v="4"/>
    <x v="22"/>
    <x v="88"/>
    <s v="YES"/>
    <x v="4"/>
    <x v="17"/>
    <s v="해당없음"/>
    <s v="해당없음"/>
    <s v="해당없음"/>
    <s v="2016년 1월경"/>
    <d v="2016-01-01T00:00:00"/>
    <n v="1"/>
    <s v="혹한기"/>
    <x v="1"/>
    <s v="2016년 1월경 야적장에서 재해자는 동료작업자 2명과 함께 복층유리를 창틀에 조립하여 완료된 창호를 A형 적재대에 적재하다가 창호가 넘어지려고 하자 이를 피하려다가 넘어지는 창호에 충격을 받아 쓰러지면서 바닥에 머리를 부딪힘"/>
    <s v="가공된 자재(창호)를 적재하던 중 적재대를 거치한 바닥면의 기울기 등으로 적재대가 기울면서 전도되는 자재에 깔림"/>
    <s v="▶ 판유리 등과 같은 무거운 자재를 화물차에 적재할 시, 전용 적재대 사용 등의 전도방지조치 철저_x000a_▶ 판유리 등과 같은 무거운 자재를 화물차에 적재할 시, 2인1조로 상하차 작업을 진행하도록 하며 화물차는 경사면이 아닌 비교적 평탄한 지면에 위치시켜 자재 상하차 시, 흔들림에 의한 자재 전도를 방지"/>
  </r>
  <r>
    <n v="4"/>
    <x v="4"/>
    <x v="22"/>
    <x v="88"/>
    <s v="YES"/>
    <x v="4"/>
    <x v="17"/>
    <s v="해당없음"/>
    <s v="해당없음"/>
    <s v="해당없음"/>
    <s v="2018년 11월"/>
    <d v="2018-11-01T00:00:00"/>
    <n v="11"/>
    <s v="-"/>
    <x v="1"/>
    <s v="2018년 11월경 재해자가 건축자재 야적장에서 화물자동차 운전기사와 함께 안전난간용 판유리를 공사 현장으로 운반하기 위하여 1톤 화물자동차 적재함에 상차 후, 판유리를 밀착시키는 작업 중 적재함에 적재되어 있던 판유리 10장(총중량 : 607.5kg)이 재해자 쪽으로 전도되면서, 재해자가 전도되는 판유리에 깔림"/>
    <s v="자재(유리) 상차작업 중 화물트럭 적재함 위에 기대어 놓은 자재가 작업충격 등에 의해 전도되면서 깔림"/>
    <s v="▶ 판유리 등과 같은 무거운 자재를 화물차에 적재할 시, 전용 적재대 사용 등의 전도방지조치 철저_x000a_▶ 판유리 등과 같은 무거운 자재를 화물차에 적재할 시, 2인1조로 상하차 작업을 진행하도록 하며 화물차는 경사면이 아닌 비교적 평탄한 지면에 위치시켜 자재 상하차 시, 흔들림에 의한 자재 전도를 방지"/>
  </r>
  <r>
    <n v="4"/>
    <x v="4"/>
    <x v="22"/>
    <x v="41"/>
    <s v="YES"/>
    <x v="4"/>
    <x v="19"/>
    <s v="12대 기인물"/>
    <n v="2"/>
    <n v="8.5000000000000006E-2"/>
    <s v="2020년 7월경"/>
    <d v="2020-07-01T00:00:00"/>
    <n v="7"/>
    <s v="혹서기"/>
    <x v="2"/>
    <s v="2020년 7월경 도시환경정비사업 현장에서 재해자가 지하주차장 램프(#3) 지붕 유리설치 공사 중 유리 미설치 구간으로 추락(H≒7.6m)"/>
    <s v="주차장 램프 지붕 상부에서 작업 중 유리가 미설치된 개구부를 인지하지 못하고 발을 헛디뎌 추락 "/>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_x000a_▶ 추락방지망 또는 안전난간 설치가 어려운 경우, 안전대 부착설비를 설치하고 안전대 체결 후 작업토록 관리감독"/>
  </r>
  <r>
    <n v="4"/>
    <x v="4"/>
    <x v="13"/>
    <x v="19"/>
    <s v="YES"/>
    <x v="4"/>
    <x v="17"/>
    <s v="해당없음"/>
    <s v="해당없음"/>
    <s v="해당없음"/>
    <s v=" 2017년 11"/>
    <d v="2017-11-01T00:00:00"/>
    <n v="11"/>
    <s v="-"/>
    <x v="6"/>
    <s v=" 2017년 11월경 OO(주)아파트 신축공사 현장에서 내부 마감공사를 도급받은 협력업체 소속 재해자(보통인부)는 MDF합판 운반 작업 중이던 동료작업자가 107동 지상 1층 리프트 출입구 경사로에서 MDF합판이 실린 손수레를 사용하여 끌고 내려오는 것을 보고 도와주려다 손수레에 밀려 경사로 주변에 적재되어 있던 시멘트벽돌과 손수레 사이에 끼어 사망"/>
    <s v="손수레를 사용하여 자재운반 작업 중 경사로를 내려오던 손수레에 밀려 적재된 시멘트벽돌과 손수레 사이에 끼임"/>
    <s v="▶ 손수레로 자재 운반 시, 사전에 중량물 취급 작업계획서를 수립하여 손수레의 제원과 자재 규격 등을 검토하고 그에 따른 적절한 조치 후 작업 진행_x000a_▶ 경사로를 통한 자재 운반 시, 적정 중량의 자재를 적재하여 운반하도록 관리감독"/>
  </r>
  <r>
    <n v="4"/>
    <x v="4"/>
    <x v="13"/>
    <x v="19"/>
    <s v="YES"/>
    <x v="4"/>
    <x v="17"/>
    <s v="해당없음"/>
    <s v="해당없음"/>
    <s v="해당없음"/>
    <s v="2020년 6월경"/>
    <d v="2020-06-01T00:00:00"/>
    <n v="6"/>
    <s v="혹서기"/>
    <x v="0"/>
    <s v="2020년 6월경 근린생활시설 증축공사 현장에서 이동식크레인(25톤, 유압식)을 이용하여 단열재 묶음(1,200×2,000×2,160, 중량: 206kg)을 옥상층 바닥으로 인양하던 중, 돌출된 비계기둥에 걸려 떨어진 단열재 묶음이 옥상에서 신호 중이던 재해자(철거공)의 머리를 타격하여 사망"/>
    <s v="이동식크레인으로 자재 인양 중 자재가 돌출된 장애물(비계기둥)에 걸려 낙하하면서 재해자가 맞음"/>
    <s v="▶ 작업 전 사전조사 및 작업계획서 수립을 통해 장비 배치구간 선정 및 중량물 취급 시 줄걸이 방식 등을 계획_x000a_▶ 시야확보가 어려운 상황에서 크레인을 이용해 자재를 인양할 경우, 사전에 적절한 신호체계를 구축_x000a_▶ 자재 인양 시 훅 해지장치 등 이탈방지 장치 설치 및 정상작동 여부를 확인하고, 인양 전 관리감독자가 인양물과의 결합 상태 점검 등의 조치_x000a_▶ 크레인으로 자재 인양 시, 인양물의 형상과 재료적 특성에 따른 적절한 줄걸이 방법 사용_x000a_▶ 인양 작업 시 인양물이 낙하할 수 있는 작업반경 내 근로자 출입금지 조치"/>
  </r>
  <r>
    <n v="4"/>
    <x v="4"/>
    <x v="13"/>
    <x v="19"/>
    <s v="YES"/>
    <x v="4"/>
    <x v="17"/>
    <s v="해당없음"/>
    <s v="해당없음"/>
    <s v="해당없음"/>
    <s v="2021년 3월경"/>
    <d v="2021-03-01T00:00:00"/>
    <n v="3"/>
    <s v="-"/>
    <x v="6"/>
    <s v="2021년 3월경 OO 신사옥 신축 현장 지상 1층 건물 내 도로에서 지게차를 이용하여 화물차에 실린 UHPC패널(내부마감재)을 하역하던 중 UHPC 파렛트가 화물차 측면으로 넘어져 재해자(화물차 운전자)가 넘어진 파렛트와 적재되어 있던 각재파이프 묶음 사이에 끼어 사망"/>
    <s v="화물트럭 적재함에서 지게차를 이용한 하역 작업 중 적재함 후면으로 치우쳐 있던 자재 파렛트에 지게차 포크를 넣고 들어올리는 순간 전도되면서 파렛트와 주변 적재물 사이에 끼임"/>
    <s v="▶ 사전 하역운반기계에 대한 작업계획서를 수립하고, 화물의 낙하 위험구간에 작업자 접근금지 등의 조치를 실시_x000a_▶ 화물 하역 전 적재상태가 불량하여 지게차로 하역이 곤란할 경우, 무리한 하역을 지양하고 크레인 등의 다른 하역 방법으로 검토 "/>
  </r>
  <r>
    <n v="4"/>
    <x v="4"/>
    <x v="13"/>
    <x v="42"/>
    <s v="YES"/>
    <x v="4"/>
    <x v="17"/>
    <s v="해당없음"/>
    <s v="해당없음"/>
    <s v="해당없음"/>
    <s v="2017년 6월경"/>
    <d v="2017-06-01T00:00:00"/>
    <n v="6"/>
    <s v="혹서기"/>
    <x v="2"/>
    <s v="2017년 6월경 OO(주) OO 현장에서 재해자(보통인부)가 방호시설 상부의 폐자재(판넬 조각 등)를 받아 작업장 바닥으로 내려놓는 작업을 하기위해 A형 사다리에 올라가 전산볼트를 잡던 중, 감전되어 의식을 잃고 사다리에서 약1m 아래 바닥으로 추락하여 사망"/>
    <s v="피복이 손상된 가설전선이 사다리 하부와 접촉된 상태에서 견고하게 고정되지 않은 사다리에 올라가 작업을 준비하던 중 몸의 중심을 잡기 위해 상부의 전산볼트를 잡는 순간 감전되어 추락"/>
    <s v="▶ 용접기 등 공도구 인입전선의 절연피복 손상을 방지하기 위해 통로 바닥에 설치하는 행위 금지하며 통로의 일정 간격마다 별도의 전선거치대를 설치하여 사용_x000a_▶ 용접기 등 공도구 사용 시, 누전차단기를 설치하여 감전사고를 예방"/>
  </r>
  <r>
    <n v="4"/>
    <x v="4"/>
    <x v="13"/>
    <x v="42"/>
    <s v="YES"/>
    <x v="4"/>
    <x v="17"/>
    <s v="해당없음"/>
    <s v="해당없음"/>
    <s v="해당없음"/>
    <s v="2018년 7월경"/>
    <d v="2018-07-01T00:00:00"/>
    <n v="7"/>
    <s v="혹서기"/>
    <x v="2"/>
    <s v="2018년 7월경 OO이 시공하는 OO신축공사 현장에서 재해자(보통인부)가 건물 내부 관리실의 천장 EPS 패널 설치 작업 중, 설치 중이던 EPS 패널과 함께 약 3.2m 아래 건물 바닥으로 추락하여 사망"/>
    <s v="지붕과 천정 사이 좁은 작업공간(높이 1m 미만)에서 불완전한 자세로 마감재 설치작업 중 몸의 중심이 앞쪽으로 쏠리며 추락 "/>
    <s v="▶ 건물 내부의 천장 패널 설치 등 고소작업 시, 추락방지망, 안전대 부착설비 등 안전방호조치를 실시_x000a_▶ 작업자의 개인보호구, 안전대 체결여부 점검 및 관리감독"/>
  </r>
  <r>
    <n v="4"/>
    <x v="4"/>
    <x v="13"/>
    <x v="42"/>
    <s v="YES"/>
    <x v="4"/>
    <x v="19"/>
    <s v="12대 기인물"/>
    <n v="2"/>
    <n v="8.5000000000000006E-2"/>
    <s v="2019년 8월경"/>
    <d v="2019-08-01T00:00:00"/>
    <n v="8"/>
    <s v="혹서기"/>
    <x v="2"/>
    <s v="2019년 8월경 OO정비공장 신축공사 현장에서 재해자가 사무동 3층 바닥 슬래브에서 내부칸막이 판넬 지지철물을 기조립된 슬래브 철근에 용접을 하기 위하여 이동 중 철근에 발이 걸려 몸의 중심을 잃고 3층 슬래브 단부로 떨어져 (H=7.2m) 사망"/>
    <s v="작업을 위해 슬래브 철근 상부로 이동하던 중 철근에 발이 걸려 안전난간이 설치되지 않은 슬래브 단부로 추락"/>
    <s v="▶ 철근조립이나 데크플레이트 설치 구간 등 실족위험이 있는 경우 작업장 바닥에 실족방지망 또는 작업발판 및 안전난간 설치_x000a_▶ 안전난간 설치 시 지름 2.7cm 이상의 금속제 파이프나 그 이상 강도의 재료 사용하며 구조적으로 가장 취약한 지점에서 가장 취약한 방향으로 작용하는 100kg 이상의 하중에 견딜 수 있는 구조로 설치"/>
  </r>
  <r>
    <n v="4"/>
    <x v="4"/>
    <x v="13"/>
    <x v="42"/>
    <s v="YES"/>
    <x v="4"/>
    <x v="17"/>
    <s v="해당없음"/>
    <s v="해당없음"/>
    <s v="해당없음"/>
    <s v="2020년 3월경"/>
    <d v="2020-03-01T00:00:00"/>
    <n v="3"/>
    <s v="-"/>
    <x v="0"/>
    <s v="2020년 3월경 OO 철거공사 현장에서 재해자(신호수)가 객실 해체작업 시 던져지는 폐기물에 의한 사고방지를 위해 건물 외부에서 하부통제를 하던 중 떨어지는 폐기물에 맞아 사망"/>
    <s v="해체작업 시 던져지는 폐기물에 의한 사고방지를 위해 건물 외부에서 하부통제를 하던 중 낙하하는 폐기물에 맞음 "/>
    <s v="▶ 해체작업 시 낙하물 방호설비 설치 및 작업반경 내 접근통제 조치_x000a_▶ 해체 폐기물 및 공구 등을 건물 밖으로 던지는 행위 금지_x000a_▶ 해체 작업순서 및 방법 등 작업계획 수립 및 준수여부 관리감독 철저"/>
  </r>
  <r>
    <n v="4"/>
    <x v="4"/>
    <x v="14"/>
    <x v="43"/>
    <s v="YES"/>
    <x v="4"/>
    <x v="19"/>
    <s v="12대 기인물"/>
    <n v="2"/>
    <n v="8.5000000000000006E-2"/>
    <s v="2020년 10월"/>
    <d v="2020-10-01T00:00:00"/>
    <n v="10"/>
    <s v="-"/>
    <x v="2"/>
    <s v="2020년 10월경 OO(주)이 시공하는 OO창고 신축공사 현장에서 재해자(판넬공)가 철골 지붕으로 운반된 판넬 다발의 인양기구(판넬 지지대 및 슬링벨트)를 풀기 위해 퍼린(purlin) 위에서 작업(또는 이동) 중 실족하여 지상 1층 콘크리트 바닥으로 떨어져(높이 약 14.9m) 사망"/>
    <s v="철골구조물 상부에서 양중물 줄걸이 해체작업 중 발을 헛디뎌 추락"/>
    <s v="▶ 철골 구조물 상부에서 자재 인양, 이동, 설치 등 추락할 위험이 있는 작업 전 전 구간에 걸쳐 추락방지망, 안전대 부착설비 설치 등의 안전방호조치를 실시_x000a_▶ 철골 지붕 위에서 패널 등 마감재을 판개하는 등 추락할 위험이 있는 작업 시, 안전대 부착설비는 철골 거더 방향 뿐만 아니라 퍼린방향으로도 설치하여 전 작업범위에서 안전대를 체결할 수 있도록 조치_x000a_▶ 지붕재 등 마감재의의 해체 또는 설치 작업 시 고소작업대, 타워형 계단 등을 사용하여 철골 구조물 위에서의 작업을 최소화할 수 있는 작업 방법을 검토_x000a_▶ 지붕 위에서 지붕재의 해체 또는 설치 작업 시, 지붕 단부에서 작업하는 경우, 건물 외부에 쌍줄비계를 설치하고 안전난간대, 작업발판을 마련하여 작업자의 추락을 방지_x000a_▶ 외부의 패널 설치 작업 시, 고정볼트 조임자리가 높아서 작업이 어려울 경우, 안전대 죔줄을 풀고 이동하는 등 불안전한 작업행위를 금지하며 고소작업대를 타고 상승한 후 작업 재개_x000a_▶ 고소작업대를 벗어나 안전대 체결 없이 작업하는 행위를 금지_x000a_▶ 지붕 위에서 지붕재의 해체 또는 설치 작업 전 기후 상황에 따른 작업 중단 여부를 일일 검토하고, 노후화된 마감재의 경우 미끄러짐 우려가 있으므로 논슬립 안전화를 착용하도록 조치_x000a_▶ 작업자의 개인보호구 착용, 안전대 체결여부 점검 및 관리감독"/>
  </r>
  <r>
    <n v="4"/>
    <x v="4"/>
    <x v="14"/>
    <x v="20"/>
    <s v="YES"/>
    <x v="4"/>
    <x v="19"/>
    <s v="12대 기인물"/>
    <n v="2"/>
    <n v="8.5000000000000006E-2"/>
    <s v="2016년 4월경"/>
    <d v="2016-04-01T00:00:00"/>
    <n v="4"/>
    <s v="-"/>
    <x v="2"/>
    <s v="2016년 4월경 OO공사에서 재해자가 철골 트러스 위에서 패널 조립작업중 몸의 중심을 잃고 높이 약 9.7m 1층 콘크리트 바닥으로 추락하여 사망"/>
    <s v="철골 구조물 위에서 작업하던 중 발을 헛디뎌 바닥으로 추락"/>
    <s v="▶ 철골 구조물 상부에서 자재 인양, 이동, 설치 등 추락할 위험이 있는 작업 전 전 구간에 걸쳐 추락방지망, 안전대 부착설비 설치 등의 안전방호조치를 실시_x000a_▶ 철골 지붕 위에서 패널 등 마감재을 판개하는 등 추락할 위험이 있는 작업 시, 안전대 부착설비는 철골 거더 방향 뿐만 아니라 퍼린방향으로도 설치하여 전 작업범위에서 안전대를 체결할 수 있도록 조치_x000a_▶ 지붕재 등 마감재의의 해체 또는 설치 작업 시 고소작업대, 타워형 계단 등을 사용하여 철골 구조물 위에서의 작업을 최소화할 수 있는 작업 방법을 검토_x000a_▶ 지붕 위에서 지붕재의 해체 또는 설치 작업 시, 지붕 단부에서 작업하는 경우, 건물 외부에 쌍줄비계를 설치하고 안전난간대, 작업발판을 마련하여 작업자의 추락을 방지_x000a_▶ 외부의 패널 설치 작업 시, 고정볼트 조임자리가 높아서 작업이 어려울 경우, 안전대 죔줄을 풀고 이동하는 등 불안전한 작업행위를 금지하며 고소작업대를 타고 상승한 후 작업 재개_x000a_▶ 고소작업대를 벗어나 안전대 체결 없이 작업하는 행위를 금지_x000a_▶ 지붕 위에서 지붕재의 해체 또는 설치 작업 전 기후 상황에 따른 작업 중단 여부를 일일 검토하고, 노후화된 마감재의 경우 미끄러짐 우려가 있으므로 논슬립 안전화를 착용하도록 조치_x000a_▶ 작업자의 개인보호구 착용, 안전대 체결여부 점검 및 관리감독"/>
  </r>
  <r>
    <n v="4"/>
    <x v="4"/>
    <x v="14"/>
    <x v="20"/>
    <s v="YES"/>
    <x v="4"/>
    <x v="17"/>
    <s v="해당없음"/>
    <s v="해당없음"/>
    <s v="해당없음"/>
    <s v="2016년 06월"/>
    <d v="2016-06-01T00:00:00"/>
    <n v="6"/>
    <s v="혹서기"/>
    <x v="2"/>
    <s v="2016년 06월경 OO에서 시공하는 개인주택 기와지붕 보수공사 현장에서 재해자가 각도 22°로 되어있는 기와지붕공사에 인접건물이 있는 외측방향에서 작업을 진행하기위해 모서리 방향으로 이동 중 지붕에 작업을 하기 위해  쌓아놓은 기와에 발이 걸려 기와와 같이 넘어지면서 인접건물방향으로 높이 4.5m 아래로 머리부터 시멘트 옹벽에 부딪혀 떨어져 사망"/>
    <s v="지붕에서 이동하던 중 적재해둔 자재에 발이 걸리면서 지붕단부로 추락"/>
    <s v="▶ 추락 위험장소(슬래브 단부 등)에 근로자 이동 또는 작업 시 외부 비계 조립 등 폭 40cm 이상의 작업발판 설치 및 단부 구간에 안전난간 등 추락방지용 안전시설물을 견고하게 설치_x000a_▶ 안전난간 설치 시 지름 2.7cm 이상의 금속제 파이프나 그 이상 강도의 재료 사용하며 구조적으로 가장 취약한 지점에서 가장 취약한 방향으로 작용하는 100kg 이상의 하중에 견딜 수 있는 구조로 설치_x000a_▶ 슬래브 단부 등에 작업발판 및 안전난간 설치가 곤란한 경우 근로자 추락방지를 위해 추락방지망 설치 또는 안전대 부착설비 설치 및 안전대 체결 관리_x000a_▶ 건물 외측의 작업이 필요한 경우 내측에서 몸을 내밀어 작업하는 방식을 지양하고, 고소작업대 또는 달비계 등을 이용하여 작업하도록 관리감독_x000a_▶ 마감재 해체 작업 시, 패널 등 마감재를 해체한 후 지지대를 해체하는 순서로 작업을 계획하여 불시의 마감재 낙하 등의 사고를 예방"/>
  </r>
  <r>
    <n v="4"/>
    <x v="4"/>
    <x v="14"/>
    <x v="20"/>
    <s v="YES"/>
    <x v="4"/>
    <x v="19"/>
    <s v="12대 기인물"/>
    <n v="2"/>
    <n v="8.5000000000000006E-2"/>
    <s v="2016년 7월경"/>
    <d v="2016-07-01T00:00:00"/>
    <n v="7"/>
    <s v="혹서기"/>
    <x v="2"/>
    <s v="2016년 7월경 OO공사에서 재해자가 철골 구조물 위에서 하지철물에 판넬(칼라시트)을 설치하던 중  안전대 고리를 풀고 옆으로 이동하던 순간 몸의 중심을 잃고 지상으로 추락하여(H≒15m) 사망"/>
    <s v="철골 구조물 위에서 이동하던 중 발을 헛디뎌 바닥으로 추락"/>
    <s v="▶ 철골 구조물 상부에서 자재 인양, 이동, 설치 등 추락할 위험이 있는 작업 전 전 구간에 걸쳐 추락방지망, 안전대 부착설비 설치 등의 안전방호조치를 실시_x000a_▶ 철골 지붕 위에서 패널 등 마감재을 판개하는 등 추락할 위험이 있는 작업 시, 안전대 부착설비는 철골 거더 방향 뿐만 아니라 퍼린방향으로도 설치하여 전 작업범위에서 안전대를 체결할 수 있도록 조치_x000a_▶ 지붕재 등 마감재의의 해체 또는 설치 작업 시 고소작업대, 타워형 계단 등을 사용하여 철골 구조물 위에서의 작업을 최소화할 수 있는 작업 방법을 검토_x000a_▶ 지붕 위에서 지붕재의 해체 또는 설치 작업 시, 지붕 단부에서 작업하는 경우, 건물 외부에 쌍줄비계를 설치하고 안전난간대, 작업발판을 마련하여 작업자의 추락을 방지_x000a_▶ 외부의 패널 설치 작업 시, 고정볼트 조임자리가 높아서 작업이 어려울 경우, 안전대 죔줄을 풀고 이동하는 등 불안전한 작업행위를 금지하며 고소작업대를 타고 상승한 후 작업 재개_x000a_▶ 고소작업대를 벗어나 안전대 체결 없이 작업하는 행위를 금지_x000a_▶ 지붕 위에서 지붕재의 해체 또는 설치 작업 전 기후 상황에 따른 작업 중단 여부를 일일 검토하고, 노후화된 마감재의 경우 미끄러짐 우려가 있으므로 논슬립 안전화를 착용하도록 조치_x000a_▶ 작업자의 개인보호구 착용, 안전대 체결여부 점검 및 관리감독"/>
  </r>
  <r>
    <n v="4"/>
    <x v="4"/>
    <x v="14"/>
    <x v="20"/>
    <s v="YES"/>
    <x v="4"/>
    <x v="19"/>
    <s v="12대 기인물"/>
    <n v="2"/>
    <n v="8.5000000000000006E-2"/>
    <s v="2016년 12월"/>
    <d v="2016-12-01T00:00:00"/>
    <n v="12"/>
    <s v="혹한기"/>
    <x v="2"/>
    <s v="2016년 12월경 OO공사에서 재해자가 철골 트러스 위에서 벽체 샌드위치 패널(1,000×7,500×125, 45kg)을 로프에 묶어 올리던 중 지상바닥으로 추락하여 사망"/>
    <s v="철골 구조물 위에서 자재 운반 중 발을 헛디뎌 바닥으로 추락"/>
    <s v="▶ 철골 구조물 상부에서 자재 인양, 이동, 설치 등 추락할 위험이 있는 작업 전 전 구간에 걸쳐 추락방지망, 안전대 부착설비 설치 등의 안전방호조치를 실시_x000a_▶ 철골 지붕 위에서 패널 등 마감재을 판개하는 등 추락할 위험이 있는 작업 시, 안전대 부착설비는 철골 거더 방향 뿐만 아니라 퍼린방향으로도 설치하여 전 작업범위에서 안전대를 체결할 수 있도록 조치_x000a_▶ 지붕재 등 마감재의의 해체 또는 설치 작업 시 고소작업대, 타워형 계단 등을 사용하여 철골 구조물 위에서의 작업을 최소화할 수 있는 작업 방법을 검토_x000a_▶ 지붕 위에서 지붕재의 해체 또는 설치 작업 시, 지붕 단부에서 작업하는 경우, 건물 외부에 쌍줄비계를 설치하고 안전난간대, 작업발판을 마련하여 작업자의 추락을 방지_x000a_▶ 외부의 패널 설치 작업 시, 고정볼트 조임자리가 높아서 작업이 어려울 경우, 안전대 죔줄을 풀고 이동하는 등 불안전한 작업행위를 금지하며 고소작업대를 타고 상승한 후 작업 재개_x000a_▶ 고소작업대를 벗어나 안전대 체결 없이 작업하는 행위를 금지_x000a_▶ 지붕 위에서 지붕재의 해체 또는 설치 작업 전 기후 상황에 따른 작업 중단 여부를 일일 검토하고, 노후화된 마감재의 경우 미끄러짐 우려가 있으므로 논슬립 안전화를 착용하도록 조치_x000a_▶ 작업자의 개인보호구 착용, 안전대 체결여부 점검 및 관리감독"/>
  </r>
  <r>
    <n v="4"/>
    <x v="4"/>
    <x v="14"/>
    <x v="20"/>
    <s v="YES"/>
    <x v="4"/>
    <x v="17"/>
    <s v="해당없음"/>
    <s v="해당없음"/>
    <s v="해당없음"/>
    <s v="2017년 1월경"/>
    <d v="2017-01-01T00:00:00"/>
    <n v="1"/>
    <s v="혹한기"/>
    <x v="2"/>
    <s v="2017년 1월경 ㈜OO에서 시공하는 빌딩 신축공사 현장에서 재해자가 비계 위에서 로프와 화물차용 자동바를 당기면서 루버를 설치하던 중, 로프가 끊어지면서 반동으로 인해 몸의 중심을 잃고 비계 외부로 떨어져(높이 약 12.4m) 사망"/>
    <s v="외부비계 작업발판 위에서 작업 중 넘어지며 안전난간 사이로 추락"/>
    <s v="▶ 지붕재 또는 천장재의 해체 또는 설치 작업을 할 경우 추락방지망, 안전대 부착설비 설치 등의 안전방호조치 실시하고 근로자 안전대 체결여부 점검 및 관리감독_x000a_▶ 작업발판을 견고하게 설치하고, 미끄럼방지 조치를 하여 근로자 추락 및 미끄러짐을 예방"/>
  </r>
  <r>
    <n v="4"/>
    <x v="4"/>
    <x v="14"/>
    <x v="20"/>
    <s v="YES"/>
    <x v="4"/>
    <x v="18"/>
    <s v="해당없음"/>
    <s v="해당없음"/>
    <s v="해당없음"/>
    <s v="2018년 3월경"/>
    <d v="2018-03-01T00:00:00"/>
    <n v="3"/>
    <s v="-"/>
    <x v="2"/>
    <s v="2018년 3월경 OO건설에서 시공하는 터널공사 현장에서 재해자 등 6명이 터널 내부 지하환기소의 풍도슬래브(PSC 중공 슬래브, 9.1X1.2X0.2m, 2.72ton) 설치 작업중 지지 브라켓이 붕괴되어 떨어지며(H=5.5m) 하부에서 유도로프를 잡고있던 재해자를 강타하여 사망"/>
    <s v="자재 운반 또는 이동 및 작업 중 강도가 약한 마감재를 밟아 마감재가 파손 또는 탈락되며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4"/>
    <x v="16"/>
    <s v="12대 기인물"/>
    <n v="2"/>
    <n v="8.5000000000000006E-2"/>
    <s v="2018년 5월경"/>
    <d v="2018-05-01T00:00:00"/>
    <n v="5"/>
    <s v="-"/>
    <x v="2"/>
    <s v="2018년 5월경 OO공사에서 재해자가 지붕 위에서 지붕마감재(폴리카보나이트)를 볼트로 고정시키는 작업 중 마감재가 꺾이면서 약 8.8m 아래 콘크리트 바닥으로 추락하여 사망"/>
    <s v="지붕에서 작업 중 밟고있던 마감재가 파손되면서 바닥으로 추락"/>
    <s v="▶ 지붕 위에서 마감재의 해체 또는 설치 작업 시 지붕재가 고정되지 않은 구간에 대해 각별히 유의하여 작업 실시하고, 작업자에게 지정된 안전통로로 이동핟도록 교육 실시_x000a_▶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4"/>
    <x v="19"/>
    <s v="12대 기인물"/>
    <n v="2"/>
    <n v="8.5000000000000006E-2"/>
    <s v="2018년 7월경"/>
    <d v="2018-07-01T00:00:00"/>
    <n v="7"/>
    <s v="혹서기"/>
    <x v="2"/>
    <s v="2018년 7월경 OO공사에서 재해자가 지하주차장 램프 출입구 캐노피 위에서 지붕자재(폴리카보네이트)설치 작업 중 몸의 중심을 잃고 약 3.9m 아래 콘크리트 바닥으로 추락하여 사망"/>
    <s v="주차장 램프 지붕에서 작업 중 발을 헛디뎌 지붕단부로 추락 "/>
    <s v="▶ 철골 구조물 상부에서 자재 인양, 이동, 설치 등 추락할 위험이 있는 작업 전 전 구간에 걸쳐 추락방지망, 안전대 부착설비 설치 등의 안전방호조치를 실시_x000a_▶ 철골 지붕 위에서 패널 등 마감재을 판개하는 등 추락할 위험이 있는 작업 시, 안전대 부착설비는 철골 거더 방향 뿐만 아니라 퍼린방향으로도 설치하여 전 작업범위에서 안전대를 체결할 수 있도록 조치_x000a_▶ 지붕재 등 마감재의의 해체 또는 설치 작업 시 고소작업대, 타워형 계단 등을 사용하여 철골 구조물 위에서의 작업을 최소화할 수 있는 작업 방법을 검토_x000a_▶ 지붕 위에서 지붕재의 해체 또는 설치 작업 시, 지붕 단부에서 작업하는 경우, 건물 외부에 쌍줄비계를 설치하고 안전난간대, 작업발판을 마련하여 작업자의 추락을 방지_x000a_▶ 외부의 패널 설치 작업 시, 고정볼트 조임자리가 높아서 작업이 어려울 경우, 안전대 죔줄을 풀고 이동하는 등 불안전한 작업행위를 금지하며 고소작업대를 타고 상승한 후 작업 재개_x000a_▶ 고소작업대를 벗어나 안전대 체결 없이 작업하는 행위를 금지_x000a_▶ 지붕 위에서 지붕재의 해체 또는 설치 작업 전 기후 상황에 따른 작업 중단 여부를 일일 검토하고, 노후화된 마감재의 경우 미끄러짐 우려가 있으므로 논슬립 안전화를 착용하도록 조치_x000a_▶ 작업자의 개인보호구 착용, 안전대 체결여부 점검 및 관리감독"/>
  </r>
  <r>
    <n v="4"/>
    <x v="4"/>
    <x v="14"/>
    <x v="20"/>
    <s v="YES"/>
    <x v="4"/>
    <x v="16"/>
    <s v="12대 기인물"/>
    <n v="2"/>
    <n v="8.5000000000000006E-2"/>
    <s v="2018년 10월"/>
    <d v="2018-10-01T00:00:00"/>
    <n v="10"/>
    <s v="-"/>
    <x v="2"/>
    <s v="2018년 10월경 OO공사에서 재해자가 H-BEAM(폭 12.5cm)위에서 외벽판넬 작업 후 휴식을 위해 내려올 준비 중 균형을 잃고 5m 아래 콘크리트 바닥으로 추락하여 사망"/>
    <s v="철골 구조물 위에서 이동하던 중 발을 헛디뎌 바닥으로 추락"/>
    <s v="▶ 철골 구조물 상부에서 자재 인양, 이동, 설치 등 추락할 위험이 있는 작업 전 전 구간에 걸쳐 추락방지망, 안전대 부착설비 설치 등의 안전방호조치를 실시_x000a_▶ 철골 지붕 위에서 패널 등 마감재을 판개하는 등 추락할 위험이 있는 작업 시, 안전대 부착설비는 철골 거더 방향 뿐만 아니라 퍼린방향으로도 설치하여 전 작업범위에서 안전대를 체결할 수 있도록 조치_x000a_▶ 지붕재 등 마감재의의 해체 또는 설치 작업 시 고소작업대, 타워형 계단 등을 사용하여 철골 구조물 위에서의 작업을 최소화할 수 있는 작업 방법을 검토_x000a_▶ 지붕 위에서 지붕재의 해체 또는 설치 작업 시, 지붕 단부에서 작업하는 경우, 건물 외부에 쌍줄비계를 설치하고 안전난간대, 작업발판을 마련하여 작업자의 추락을 방지_x000a_▶ 외부의 패널 설치 작업 시, 고정볼트 조임자리가 높아서 작업이 어려울 경우, 안전대 죔줄을 풀고 이동하는 등 불안전한 작업행위를 금지하며 고소작업대를 타고 상승한 후 작업 재개_x000a_▶ 고소작업대를 벗어나 안전대 체결 없이 작업하는 행위를 금지_x000a_▶ 지붕 위에서 지붕재의 해체 또는 설치 작업 전 기후 상황에 따른 작업 중단 여부를 일일 검토하고, 노후화된 마감재의 경우 미끄러짐 우려가 있으므로 논슬립 안전화를 착용하도록 조치_x000a_▶ 작업자의 개인보호구 착용, 안전대 체결여부 점검 및 관리감독"/>
  </r>
  <r>
    <n v="4"/>
    <x v="4"/>
    <x v="14"/>
    <x v="20"/>
    <s v="YES"/>
    <x v="4"/>
    <x v="19"/>
    <s v="12대 기인물"/>
    <n v="2"/>
    <n v="8.5000000000000006E-2"/>
    <s v="2018년 12월"/>
    <d v="2018-12-01T00:00:00"/>
    <n v="12"/>
    <s v="혹한기"/>
    <x v="2"/>
    <s v="2018년 12월경 OO공사에서 재해자가 철골구조룸 위에서 빗물받이 구조물을 설치하기 위해 이동하던 중 바닥으로 추락하여(H≒6.9m) 사망"/>
    <s v="철골 구조물 위에서 이동하던 중 발을 헛디뎌 바닥으로 추락"/>
    <s v="▶ 철골 구조물 상부에서 자재 인양, 이동, 설치 등 추락할 위험이 있는 작업 전 전 구간에 걸쳐 추락방지망, 안전대 부착설비 설치 등의 안전방호조치를 실시_x000a_▶ 철골 지붕 위에서 패널 등 마감재을 판개하는 등 추락할 위험이 있는 작업 시, 안전대 부착설비는 철골 거더 방향 뿐만 아니라 퍼린방향으로도 설치하여 전 작업범위에서 안전대를 체결할 수 있도록 조치_x000a_▶ 지붕재 등 마감재의의 해체 또는 설치 작업 시 고소작업대, 타워형 계단 등을 사용하여 철골 구조물 위에서의 작업을 최소화할 수 있는 작업 방법을 검토_x000a_▶ 지붕 위에서 지붕재의 해체 또는 설치 작업 시, 지붕 단부에서 작업하는 경우, 건물 외부에 쌍줄비계를 설치하고 안전난간대, 작업발판을 마련하여 작업자의 추락을 방지_x000a_▶ 외부의 패널 설치 작업 시, 고정볼트 조임자리가 높아서 작업이 어려울 경우, 안전대 죔줄을 풀고 이동하는 등 불안전한 작업행위를 금지하며 고소작업대를 타고 상승한 후 작업 재개_x000a_▶ 고소작업대를 벗어나 안전대 체결 없이 작업하는 행위를 금지_x000a_▶ 지붕 위에서 지붕재의 해체 또는 설치 작업 전 기후 상황에 따른 작업 중단 여부를 일일 검토하고, 노후화된 마감재의 경우 미끄러짐 우려가 있으므로 논슬립 안전화를 착용하도록 조치_x000a_▶ 작업자의 개인보호구 착용, 안전대 체결여부 점검 및 관리감독"/>
  </r>
  <r>
    <n v="4"/>
    <x v="4"/>
    <x v="14"/>
    <x v="20"/>
    <s v="YES"/>
    <x v="4"/>
    <x v="19"/>
    <s v="12대 기인물"/>
    <n v="2"/>
    <n v="8.5000000000000006E-2"/>
    <s v="2019년 12월"/>
    <d v="2019-12-01T00:00:00"/>
    <n v="12"/>
    <s v="혹한기"/>
    <x v="2"/>
    <s v="2019년 12월경 OO공사에서 재해자가 철골구조물 위에서 외벽 패널의 고정볼트 조임작업을 위해 안전대 죔줄(로프)을 푼 상태로 이동하던 중 높이 12m아래 지면으로 추락하여 사망"/>
    <s v="철골 구조물 위에서 이동하던 중 발을 헛디뎌 바닥으로 추락"/>
    <s v="▶ 철골 구조물 상부에서 자재 인양, 이동, 설치 등 추락할 위험이 있는 작업 전 전 구간에 걸쳐 추락방지망, 안전대 부착설비 설치 등의 안전방호조치를 실시_x000a_▶ 철골 지붕 위에서 패널 등 마감재을 판개하는 등 추락할 위험이 있는 작업 시, 안전대 부착설비는 철골 거더 방향 뿐만 아니라 퍼린방향으로도 설치하여 전 작업범위에서 안전대를 체결할 수 있도록 조치_x000a_▶ 지붕재 등 마감재의의 해체 또는 설치 작업 시 고소작업대, 타워형 계단 등을 사용하여 철골 구조물 위에서의 작업을 최소화할 수 있는 작업 방법을 검토_x000a_▶ 지붕 위에서 지붕재의 해체 또는 설치 작업 시, 지붕 단부에서 작업하는 경우, 건물 외부에 쌍줄비계를 설치하고 안전난간대, 작업발판을 마련하여 작업자의 추락을 방지_x000a_▶ 외부의 패널 설치 작업 시, 고정볼트 조임자리가 높아서 작업이 어려울 경우, 안전대 죔줄을 풀고 이동하는 등 불안전한 작업행위를 금지하며 고소작업대를 타고 상승한 후 작업 재개_x000a_▶ 고소작업대를 벗어나 안전대 체결 없이 작업하는 행위를 금지_x000a_▶ 지붕 위에서 지붕재의 해체 또는 설치 작업 전 기후 상황에 따른 작업 중단 여부를 일일 검토하고, 노후화된 마감재의 경우 미끄러짐 우려가 있으므로 논슬립 안전화를 착용하도록 조치_x000a_▶ 작업자의 개인보호구 착용, 안전대 체결여부 점검 및 관리감독"/>
  </r>
  <r>
    <n v="4"/>
    <x v="4"/>
    <x v="14"/>
    <x v="20"/>
    <s v="YES"/>
    <x v="4"/>
    <x v="19"/>
    <s v="12대 기인물"/>
    <n v="2"/>
    <n v="8.5000000000000006E-2"/>
    <s v="2020년 6월경"/>
    <d v="2020-06-01T00:00:00"/>
    <n v="6"/>
    <s v="혹서기"/>
    <x v="2"/>
    <s v="2020년 6월경 OO공사에서 재해자가 철골구조물 위에서 지붕 샌드위치 판넬 설치 작업 중 지상바닥으로 추락하여(H≒6.8m) 사망"/>
    <s v="철골 구조물 위에서 작업하던 중 발을 헛디뎌 바닥으로 추락"/>
    <s v="▶ 철골 구조물 상부에서 자재 인양, 이동, 설치 등 추락할 위험이 있는 작업 전 전 구간에 걸쳐 추락방지망, 안전대 부착설비 설치 등의 안전방호조치를 실시_x000a_▶ 철골 지붕 위에서 패널 등 마감재을 판개하는 등 추락할 위험이 있는 작업 시, 안전대 부착설비는 철골 거더 방향 뿐만 아니라 퍼린방향으로도 설치하여 전 작업범위에서 안전대를 체결할 수 있도록 조치_x000a_▶ 지붕재 등 마감재의의 해체 또는 설치 작업 시 고소작업대, 타워형 계단 등을 사용하여 철골 구조물 위에서의 작업을 최소화할 수 있는 작업 방법을 검토_x000a_▶ 지붕 위에서 지붕재의 해체 또는 설치 작업 시, 지붕 단부에서 작업하는 경우, 건물 외부에 쌍줄비계를 설치하고 안전난간대, 작업발판을 마련하여 작업자의 추락을 방지_x000a_▶ 외부의 패널 설치 작업 시, 고정볼트 조임자리가 높아서 작업이 어려울 경우, 안전대 죔줄을 풀고 이동하는 등 불안전한 작업행위를 금지하며 고소작업대를 타고 상승한 후 작업 재개_x000a_▶ 고소작업대를 벗어나 안전대 체결 없이 작업하는 행위를 금지_x000a_▶ 지붕 위에서 지붕재의 해체 또는 설치 작업 전 기후 상황에 따른 작업 중단 여부를 일일 검토하고, 노후화된 마감재의 경우 미끄러짐 우려가 있으므로 논슬립 안전화를 착용하도록 조치_x000a_▶ 작업자의 개인보호구 착용, 안전대 체결여부 점검 및 관리감독"/>
  </r>
  <r>
    <n v="4"/>
    <x v="4"/>
    <x v="14"/>
    <x v="20"/>
    <s v="YES"/>
    <x v="4"/>
    <x v="19"/>
    <s v="12대 기인물"/>
    <n v="2"/>
    <n v="8.5000000000000006E-2"/>
    <s v="2020년 7월경"/>
    <d v="2020-07-01T00:00:00"/>
    <n v="7"/>
    <s v="혹서기"/>
    <x v="2"/>
    <s v="2020년 7월경 OO공사에서 재해재가 고소작업대(시저형)를 이용하여 외부 판넬 설치 작업 중 고소작업대를 벗어나 철골구조물 위로 올라가 몸의 중심을 잃고 지면(H≒9.0m)으로 추락하여 사망"/>
    <s v="고소작업대에 탑승하여 작업 중 작업대를 벗어나 철골 구조물 위로 올라가던 중 발을 헛디뎌 바닥으로 추락"/>
    <s v="▶ 철골 구조물 상부에서 자재 인양, 이동, 설치 등 추락할 위험이 있는 작업 전 전 구간에 걸쳐 추락방지망, 안전대 부착설비 설치 등의 안전방호조치를 실시_x000a_▶ 철골 지붕 위에서 패널 등 마감재을 판개하는 등 추락할 위험이 있는 작업 시, 안전대 부착설비는 철골 거더 방향 뿐만 아니라 퍼린방향으로도 설치하여 전 작업범위에서 안전대를 체결할 수 있도록 조치_x000a_▶ 지붕재 등 마감재의의 해체 또는 설치 작업 시 고소작업대, 타워형 계단 등을 사용하여 철골 구조물 위에서의 작업을 최소화할 수 있는 작업 방법을 검토_x000a_▶ 지붕 위에서 지붕재의 해체 또는 설치 작업 시, 지붕 단부에서 작업하는 경우, 건물 외부에 쌍줄비계를 설치하고 안전난간대, 작업발판을 마련하여 작업자의 추락을 방지_x000a_▶ 외부의 패널 설치 작업 시, 고정볼트 조임자리가 높아서 작업이 어려울 경우, 안전대 죔줄을 풀고 이동하는 등 불안전한 작업행위를 금지하며 고소작업대를 타고 상승한 후 작업 재개_x000a_▶ 고소작업대를 벗어나 안전대 체결 없이 작업하는 행위를 금지_x000a_▶ 지붕 위에서 지붕재의 해체 또는 설치 작업 전 기후 상황에 따른 작업 중단 여부를 일일 검토하고, 노후화된 마감재의 경우 미끄러짐 우려가 있으므로 논슬립 안전화를 착용하도록 조치_x000a_▶ 작업자의 개인보호구 착용, 안전대 체결여부 점검 및 관리감독"/>
  </r>
  <r>
    <n v="5"/>
    <x v="5"/>
    <x v="15"/>
    <x v="44"/>
    <s v="YES"/>
    <x v="4"/>
    <x v="17"/>
    <s v="해당없음"/>
    <s v="해당없음"/>
    <s v="해당없음"/>
    <s v="2017년 2월경"/>
    <d v="2017-02-01T00:00:00"/>
    <n v="2"/>
    <s v="혹한기"/>
    <x v="10"/>
    <s v="2017년 2월경 OO공사에서 재해자가 철탑(지상 33미터)에 승탑하여 폴리머 점퍼 지지애자 설치를 위해 철탑암과 점퍼선의 이격거리를 낚시대로 실측하던 중 감전으로 사망"/>
    <s v="철탑에 올라 철탑암과 점퍼선의 이격거리를 낚시대로 실측 작업 중 감전"/>
    <s v="▶ 감전될 위험이 있는 작업 시, 해당 전로의 차단여부 확인 철저_x000a_▶ 전압이 발생할 우려가 있는 경우 단락 접지기구를 이용하여 접지해야 함"/>
  </r>
  <r>
    <n v="5"/>
    <x v="5"/>
    <x v="15"/>
    <x v="45"/>
    <s v="YES"/>
    <x v="4"/>
    <x v="17"/>
    <s v="해당없음"/>
    <s v="해당없음"/>
    <s v="해당없음"/>
    <s v="2018년 6월경"/>
    <d v="2018-06-01T00:00:00"/>
    <n v="6"/>
    <s v="혹서기"/>
    <x v="9"/>
    <s v="2018년 6월경 OO공사에서 재해자 등이 지하 및 지상에서 작업 중 지하주차장 천정에 설치한 가설조명 전선 접속부의 과열 및 열축적에 의한 절연파괴로 불꽃이 발생하여 천장 단열재와 하부에 적재된 단열재 더미에 튀어 착화되면서 대형 화재가 발생하여 유독가스에 의한 질식으로 3명 사망 및 37명 부상 "/>
    <s v="가설 조명등 연결전선의 접속부 과열 및 열축적에 의한 절연파괴로 발생한 단락 불꽃이 천장에 부착된 단열재와 하부에 쌓아둔 단열재 더미 등에 튀어 대형화재로 유독가스에 질식 및 화재에 대한 근로자 사망"/>
    <s v="▶ 전기 기계ㆍ기구의 충분한 전기적 용량 및 기계적 강도 확보_x000a_▶ 전선 간 접속점의 변형을 방지하기 위해 적정한 전기적ㆍ기계적 방호조치 실시_x000a_▶ 비상상황에 즉시 대처 할 수 있도록 대피훈련 및 경보운영체계 확립_x000a_▶ 비상시 신속하게 알리기 위해 경보용 설비 또는 기구를 설치 "/>
  </r>
  <r>
    <n v="5"/>
    <x v="5"/>
    <x v="15"/>
    <x v="45"/>
    <s v="YES"/>
    <x v="4"/>
    <x v="17"/>
    <s v="해당없음"/>
    <s v="해당없음"/>
    <s v="해당없음"/>
    <s v="2019년 2월경"/>
    <d v="2019-02-01T00:00:00"/>
    <n v="2"/>
    <s v="혹한기"/>
    <x v="2"/>
    <s v="2019년 2월경 OO공사에서 재해자 등이 지상1층 우레탄패널 천장 위에서 등기구 배선작업을 하던 중 천장마감재(50mm 우레탄패널)가 탈락되면서 4m 아래 콘크리트 바닥으로 추락하여 2명 부상"/>
    <s v="조립라인 천장 상부 우레탄패널 단부에서 등기구 배선작업을 하던 중, T-Bar에 거치된 우레탄 패널이 탈락되면서 패널 위에서 작업중이던 근로자가 바닥으로 추락"/>
    <s v="▶ 천정을 해체하기 위해서 안전한 작업발판을 설치 사용_x000a_   - 이동식 비계 및 고소작업대(시저형) 등 안전한 작업발판을 설치 사용_x000a_   - 2m이상의 고소작업시 작업자 안전대 체결_x000a_▶ 천정을 고정하기 위한 자재 등 작업발판으로 사용 금지 (불안전한 행동)_x000a_   - 달대볼트에 안전대체결, 천정자재 및 M-BAR등 철물 상부에서 작업 금지 (불안전한 행동)_x000a_   - 해당 자재는 천정을 고정시키기 위함으로 작업발판으로 사용금지    "/>
  </r>
  <r>
    <n v="5"/>
    <x v="5"/>
    <x v="15"/>
    <x v="45"/>
    <s v="YES"/>
    <x v="4"/>
    <x v="17"/>
    <s v="해당없음"/>
    <s v="해당없음"/>
    <s v="해당없음"/>
    <s v="2019년 4월경"/>
    <d v="2019-04-01T00:00:00"/>
    <n v="4"/>
    <s v="-"/>
    <x v="2"/>
    <s v="2019년 4월경 OO공사에서 재하자가 지상4층에 A형 사다리를 설치하고 그 위에서 케이블 포설(고정)작업을 하던 중 5층에서 케이블드럼(무게 약150kg)이 떨어지면서 작업 중인 사다리와 충돌하여 그 충격에 의해 재해자가 몸의 균형을 잃고 높이 약 19미터 아래 지상바닥으로 추락하여 사망"/>
    <s v="사다리 위에서 케이블 고정작업 중 낙하한 케이블드럼과의 충격에 의해 몸의 균형을 잃고 바닥으로 추락"/>
    <s v="▶ 케이블 드럼과 같이 굴러떨어질 위험이 있는 자재는 움직이지않도록 쐐기 고정 등 고정조치 실시_x000a_▶ A형 사다리 사용 작업시 사다리 작업 안전지침 준수_x000a_   - A형사다리 최상단 답단에서 작업 금지 (불안전한 작업상태)_x000a_   - A형사다리 전도방지조치를 위한 아웃트리거 설치_x000a_   - A형사다리 벌어짐 방지조치 (힌지타입, 걸쇠타입의 걸쇠철물 설치 사용)_x000a_   - 2인1조 작업으로 사다리의 전도방지조치 실시_x000a_   - 2m이상의 높이에서 작업시 작업자는 안전대를 체결"/>
  </r>
  <r>
    <n v="5"/>
    <x v="5"/>
    <x v="15"/>
    <x v="46"/>
    <s v="YES"/>
    <x v="4"/>
    <x v="17"/>
    <s v="해당없음"/>
    <s v="해당없음"/>
    <s v="해당없음"/>
    <s v="2016년 1월경"/>
    <d v="2016-01-01T00:00:00"/>
    <n v="1"/>
    <s v="혹한기"/>
    <x v="0"/>
    <s v="2016년 1월경 OO공사에서 재해자가 높이 약 10m의 천장크레인 주행레일 위에서 변압기 및 배전반 증설공사를 위해 전력용 케이블을 고정해둔 케이블타이를 제거하던 중 낙하하는 전력용 케이블 뭉치에 맞고 바닥으로 추락하여 사망"/>
    <s v="천장크레인 주행레일 위에서 변압기 및 배전반 증설공사를 위해  전력용 케이블 고정용 케이블 타이를 제거하던 중 낙하하는 전력용 케이블 뭉치에 맞음"/>
    <s v="▶ 케이블은 크레인의 줄걸이 등을 통해 매단상태로 고정용 케이블 타이를 제거_x000a_▶ 전력용 케이블 낙하지점 주변 작업자 접근금지 조치 및 통제"/>
  </r>
  <r>
    <n v="5"/>
    <x v="5"/>
    <x v="15"/>
    <x v="21"/>
    <s v="YES"/>
    <x v="4"/>
    <x v="19"/>
    <s v="12대 기인물"/>
    <n v="2"/>
    <n v="8.5000000000000006E-2"/>
    <s v="2016년 9월경"/>
    <d v="2016-09-01T00:00:00"/>
    <n v="9"/>
    <s v="-"/>
    <x v="2"/>
    <s v="2016년 9월경 OO설치공사 현장에서 재해자가 기존 철탑의 피뢰기 설치작업을 하기 위해 철탑의 높이 약 46m 지점에서 작업을 하던중 실족하여 지상으로 떨어짐"/>
    <s v="송전철탑의 상단부에서 피뢰기 설치 및 압축인류크램프, 점퍼소켓 교체작업 등 상단부에서 작업 및 승하강시 실족하여 바닥으로 추락"/>
    <s v="▶ 철탑 세우기전 지상에서 각 부재에 안전대 걸이설비를 사전 부착_x000a_   - 주각 스텝볼트 상태 점검 및 안전로프 설치_x000a_   - 수평재(암) 안전대 걸이설비 설치 등 지상에서 선조립_x000a_▶ 철탑의 승하강 통로 및 수평재(암)상단부 작업자는 안전대를 체결한 상태로 작업실시_x000a_▶ 10m 높이마다 추락방지망(주각 내부) 및 낙하물방지망(주각 외부)을 설치"/>
  </r>
  <r>
    <n v="5"/>
    <x v="5"/>
    <x v="15"/>
    <x v="21"/>
    <s v="YES"/>
    <x v="4"/>
    <x v="16"/>
    <s v="12대 기인물"/>
    <n v="2"/>
    <n v="8.5000000000000006E-2"/>
    <s v="2017년 8월경"/>
    <d v="2017-08-01T00:00:00"/>
    <n v="8"/>
    <s v="혹서기"/>
    <x v="0"/>
    <s v="2017년 8월경 OO케이블카 설치 현장에서 재해자가 산 정상에 있는 삭도철탑 A형 지주의 주발 및 최하단 단위지주(L=2m) 교체를 위해 지주 하부에 임시버팀대(5개)를 설치하여 지주를 약 20mm 인상시키고, 최하단 단위지주를 해체하던 중 임시버팀대가 붕괴되면서 A형 지주가 전도되어 사망"/>
    <s v="철탑 A형 지주의 주발 및 최하단 단위지주 교체를 위한 임시버팀대 설치 후 최하단 단위지주 해체작업 중 임시버팀대 붕괴에 의한 지주 전도 및 근로자 덮침"/>
    <s v="▶ 철탑 지주의 단위지주 교체를 위한 작업 전 안전성 평가 실시_x000a_    - 철탑 지주와 같은 중량물 인양시 인양능력 사전 검토 및 확인_x000a_▶ 케이블 크레인 수리 등 보수공사 시 안전기준 준수_x000a_▶ 작업순서 및 작업계획 사전 검토, 수립실시_x000a_    - 해당 지주의 임시버팀대 설치 위치등 안전성 확인, 단위지주 해체 순서_x000a_▶ 해체작업 범위내 인접 근로자 접근금지 조치 실시"/>
  </r>
  <r>
    <n v="5"/>
    <x v="5"/>
    <x v="16"/>
    <x v="22"/>
    <s v="YES"/>
    <x v="4"/>
    <x v="17"/>
    <s v="해당없음"/>
    <s v="해당없음"/>
    <s v="해당없음"/>
    <s v="2016년 4월경"/>
    <d v="2016-04-01T00:00:00"/>
    <n v="4"/>
    <s v="-"/>
    <x v="2"/>
    <s v="2016년 4월경 OO 프로젝트 공사중 재해자가 FAB BP(Back Plane)지역 소방배관 설치를 위해 SP배관을 5층 천장구역으로 운반하여 자재거치대에 적재하는 작업 중,지지력을 상실한 자재거치대가 파괴되면서 적재되어 있던 SP배관 약55본(1,042.8kg)이 낙하하여 재해자가 작업 중 발판대용의 천장구조물인 Blind Panel에 충격, 붕괴되면서 Blind Panel과 함께 15m아래 바닥으로 떨어짐"/>
    <s v="자재거치대 자재 적재 및 운반 작업 중 자재거치대의 뒤틀림 및 꺾임에 의해 적재된 배관이 낙하하여 발판대용 천장구조물에 충격, 붕괴되어 근로자들이 천장구조물과 함께 바닥으로 추락"/>
    <s v="▶ 자재 적재작업 전, 구조검토에 따라 부재두께, 재질, 적재량, 고정방법 등을 고려한 브라켓 설치 준수"/>
  </r>
  <r>
    <n v="5"/>
    <x v="5"/>
    <x v="16"/>
    <x v="22"/>
    <s v="YES"/>
    <x v="4"/>
    <x v="17"/>
    <s v="해당없음"/>
    <s v="해당없음"/>
    <s v="해당없음"/>
    <s v="2018년 10월"/>
    <d v="2018-10-01T00:00:00"/>
    <n v="10"/>
    <s v="-"/>
    <x v="1"/>
    <s v="2018년 10월경 콘크리트 배쳐플랜트 설치공사 현장에서 재해자가 이동식크레인(50톤)을 이용하여 화물차(5톤)에 적재된 배쳐플랜트 자재를 지상 바닥에 하역한 후 슬링벨트 줄걸이의 샤클을 해체하는 과정에서 지반에 2단으로 적재되어 있던 사일로 서포트 자재가 재해자 쪽으로 넘어지면서 자재에 깔려 사망"/>
    <s v="이동식크레인 슬링벨트 줄걸이의 샤클 해체 중 적재된 자재가 갑자기 넘어져 근로자 깔림"/>
    <s v="▶ 자재 하역작업 시 자재가 전도하지 않도록 받침목 설치 등 전도방지조치 실시▶ 무게중심이 높은 중량물의 경우 수평으로 적재"/>
  </r>
  <r>
    <n v="5"/>
    <x v="5"/>
    <x v="16"/>
    <x v="22"/>
    <s v="YES"/>
    <x v="4"/>
    <x v="17"/>
    <s v="해당없음"/>
    <s v="해당없음"/>
    <s v="해당없음"/>
    <s v="2019년 10월"/>
    <d v="2019-10-01T00:00:00"/>
    <n v="10"/>
    <s v="-"/>
    <x v="8"/>
    <s v="2019년 10월경 OO 정비보수작업 시 펌프(380kg)를 섬유벨트를 사용하여 호이스트(2ton)로 인양하던 중 섬유벨트가 파단되면서 펌프가 낙하하여 맞음"/>
    <s v="정비보수작업을 위한 펌프 인양작업 중 호이스트 섬유벨트 파단으로 인한 충돌"/>
    <s v="▶ 인양작업 중 작업범위내 근로자 접근금지 조치_x000a_▶ 중량물 인양작업 전 줄걸이 상태 사전 점검_x000a_   - 슬링벨트 파손유무 확인, 와이어로프 파단여부 확인_x000a_   - 줄걸이 방법에 따른 인양하중 검토"/>
  </r>
  <r>
    <n v="5"/>
    <x v="5"/>
    <x v="16"/>
    <x v="23"/>
    <s v="YES"/>
    <x v="4"/>
    <x v="17"/>
    <s v="해당없음"/>
    <s v="해당없음"/>
    <s v="해당없음"/>
    <s v="2016년 4월경"/>
    <d v="2016-04-01T00:00:00"/>
    <n v="4"/>
    <s v="-"/>
    <x v="2"/>
    <s v="2016년 4월경 OO도 OO시 소재 ㈜OOOOOOO 신축공장에서 OOOO 소속 재해자 OOO이 30톤 천장크레인 상부에서 주행 레일을 H-Beam에 고정시키는 작업(클램프를 볼트와 너트로 체결)을 실시하던 중 H-Beam 상부에서 중심을 잃고 약 10m 공장동 바닥 아래로 떨어져 인근병원으로 후송하였으나 사망한 재해임"/>
    <s v="천장크레인 상부에서 주행 레일을 H-Beam에 고정시키는 작업 중 H-Beam 상부에서 몸의 중심을 잃고 추락"/>
    <s v="▶ 사다리 통로 이외의 다른 이동방법을 통한 통행 금지 및 관련한 안전교욱실시_x000a_▶ 작업장 내외부로 통하는 구간에 통로표시_x000a_▶ 근로자의 불안전한 행동에 대해 관리감독 실시"/>
  </r>
  <r>
    <n v="5"/>
    <x v="5"/>
    <x v="16"/>
    <x v="23"/>
    <s v="YES"/>
    <x v="4"/>
    <x v="17"/>
    <s v="해당없음"/>
    <s v="해당없음"/>
    <s v="해당없음"/>
    <s v="2017년 1월경"/>
    <d v="2017-01-01T00:00:00"/>
    <n v="1"/>
    <s v="혹한기"/>
    <x v="1"/>
    <s v="2017년 1월경 OO도 OO시 OO동 소재 OOOO(주)에서 시공하는 OO빌딩 주차타워 리모델링공사 현장에서 협력업체인 OOOOO(주) 소속 재해자가 주차타워 내부 지하바닥에서 높이 2.45m 위에 위치한 리프트로 이동하기 위해 팔레트(약 531kg)를 잡고 팔레트 위로 올라가던 중, 팔레트가 재해자 쪽으로 이탈되어 팔레트에 충격을 받고 깔려 사망한 재해임."/>
    <s v="주차타워 내부 팔레트를 잡고 상부로 이동하려던 중 이탈된 팔레트와 함께 추락 및 깔림"/>
    <s v="▶ 사다리 통로 이외의 다른 이동방법을 통한 통행 금지 및 관련한 안전교욱실시_x000a_▶ 작업장 내외부로 통하는 구간에 통로표시_x000a_▶ 근로자의 불안전한 행동에 대해 관리감독 실시"/>
  </r>
  <r>
    <n v="5"/>
    <x v="5"/>
    <x v="16"/>
    <x v="23"/>
    <s v="YES"/>
    <x v="4"/>
    <x v="19"/>
    <s v="12대 기인물"/>
    <n v="2"/>
    <n v="8.5000000000000006E-2"/>
    <s v="2017년 4월경"/>
    <d v="2017-04-01T00:00:00"/>
    <n v="4"/>
    <s v="-"/>
    <x v="7"/>
    <s v="2017년 4월경 OOOO이 시공하는 OO시 OO군 OO읍 소재 OO공사 현장에서 협력업체 OOOO(주)의 재하도급업체인 OOOO 소속 작업자들이 부지내 Vessel (높이 104.4m, 2090톤) 설치를 위한 Tower Mast  system(일명 : Tower Lift System)을 조립하는 과정에서 Tower Mast System의 수직도를 조정하기 위하여 G1, G4 Stability Guys를 유압장치로 당기던 중 Tower Mast System의 Tower &quot;A&quot;상단의 Capping Beam과 Side Beam 연결부가 파단 되었고, Tower “A”는 남쪽으로 넘어지면서 기존 배관라인을 강타하여 화재(Jet Fire)가 발생하였고, Tower “B”는 인접한 휴게실을 강타하여 휴식 중이던 재해자 1명이 사망하고 4명이 부상한 재해임."/>
    <s v="타워 리프트 시스템 조립작업 중 타워 상단의 빔 연결부 파단에 의한 전도 및 휴게실 붕괴"/>
    <s v="▶ 설치작업 구간에 작업구역 설정 및 근로자 출입제한_x000a_▶ 시설물 붕괴, 전도 등의 위험 방지조치 준수"/>
  </r>
  <r>
    <n v="5"/>
    <x v="5"/>
    <x v="16"/>
    <x v="23"/>
    <s v="YES"/>
    <x v="4"/>
    <x v="17"/>
    <s v="해당없음"/>
    <s v="해당없음"/>
    <s v="해당없음"/>
    <s v="2017년 8월경"/>
    <d v="2017-08-01T00:00:00"/>
    <n v="8"/>
    <s v="혹서기"/>
    <x v="2"/>
    <s v="2017년 8월경 OO시 OO군 OO읍 소재 ㈜OOOO OOOO 1, 2호기 2차측 기전설비 정비공사 현장에서 ㈜OOOO 소속 재해자 OOO이 동료작업자 3명과 함께 OOOO 순환수 배수관로 거품제거장치 제거를 위하여 맨홀 상부 그레이팅에 안전대 고리를 연결하여 들어 올리던 중 그레이팅과 함께 맨홀로 떨어져(H≒7m 추정) 사망(익사)한 재해임."/>
    <s v="맨홀 내부 거품제거장치 제거를 위하여 맨홀 상부에서 그레이팅을 들던 중 그레이팅과 함께 추락"/>
    <s v="▶ 후속시공이 연속하여 이어지지 않는 경우, 발생한 개구부(집수정 등)는 개구부 덮개 등을 이용하여 막음조치_x000a_▶ 개구부 부근에서 작업 시 안전난간 설치 등 추락방지조치 실시"/>
  </r>
  <r>
    <n v="5"/>
    <x v="5"/>
    <x v="16"/>
    <x v="23"/>
    <s v="YES"/>
    <x v="4"/>
    <x v="16"/>
    <s v="12대 기인물"/>
    <n v="2"/>
    <n v="8.5000000000000006E-2"/>
    <s v="2017년 8월경"/>
    <d v="2017-08-01T00:00:00"/>
    <n v="8"/>
    <s v="혹서기"/>
    <x v="2"/>
    <s v="2017년 8월경 OO 공장 내 반응기 설치공사 현장에서 재해자가 공장 설비인 반응기 탱크를 설치하고 탱크주변 개구부를 체크 플레이트로 덮는 작업을 위해 체크 플레이트 단부에서 체크 플레이트 하부 보강재(ㄷ형강,75mm×40mm×4m)를 설치하는 작업 중 몸의 중심을 잃고 약 4m 아래 콘크리트 바닥으로 떨어져 사망"/>
    <s v="바닥 개구부 인근에서 작업 중 근로자가 몸의 중심을 잃고 바닥 개구부로 추락"/>
    <s v="▶ 바닥 개구부 주변에서 작업 시 안전난간 설치_x000a_▶ 안전난간 설치가 곤란할 경우 안전대 부착설비 설치 및 안전대 착용"/>
  </r>
  <r>
    <n v="5"/>
    <x v="5"/>
    <x v="16"/>
    <x v="23"/>
    <s v="YES"/>
    <x v="4"/>
    <x v="19"/>
    <s v="12대 기인물"/>
    <n v="2"/>
    <n v="8.5000000000000006E-2"/>
    <s v="2018년 4월경"/>
    <d v="2018-04-01T00:00:00"/>
    <n v="4"/>
    <s v="-"/>
    <x v="6"/>
    <s v="2018년 4월경 OO시 OO구 소재 OOOO(주) / OOOO 신축공사 현장에서 OOOO(주) 소속의 재해자가 고소작업대 작업대에 탑승 이동중 고소작업대의 조정레버에 신체가 접촉되면서 작업대가 갑자기 상승 되어 재해자의 상체 가슴부위가 작업대의 상부 난간대와 난방배관 사이에 협착되어 사망한 재해로 추정됨"/>
    <s v="고소작업대 탑승 후 이동중 작업대의 급상승에 의한 난간대와의 충돌, 협착"/>
    <s v="▶ 협착방지조치를 위한 과상승 방지장치 설치 및 작업적정 높이 기준 준수_x000a_▶ 작업 전 과상승방지장치 점검을 통한 협착방지조치 준수"/>
  </r>
  <r>
    <n v="5"/>
    <x v="5"/>
    <x v="16"/>
    <x v="23"/>
    <s v="YES"/>
    <x v="4"/>
    <x v="17"/>
    <s v="해당없음"/>
    <s v="해당없음"/>
    <s v="해당없음"/>
    <s v="2018년 6월경"/>
    <d v="2018-06-01T00:00:00"/>
    <n v="6"/>
    <s v="혹서기"/>
    <x v="2"/>
    <s v="2018년 6월경 OO도 OO시 OO구 OO동 소재 ㈜OOOO OO OOO 복합건물 신축공사 현장에서 재해자 2명이 설비덕트가 간섭되는 위치에서 냉온수배관 가대 설치를 위해 설비덕트 위로 올라가 천정을 드릴로 천공하는 작업을 하던 중 설비덕트(단위길이 3.0m)를 지지하는 행거가 하중을 견디지 못하고 천정에서 이탈되면서 재해자가 덕트와 함께 떨어져(높이 약 3.5m) 2명이 부상을 당한 재해임"/>
    <s v="설비 덕트 위로 올라가 천장 천공 작업 중 설비 덕트를 지지하는 행거가 이탈되면서 추락"/>
    <s v="▶ 사다리 통로 이외의 다른 이동방법을 통한 통행 금지 및 관련한 안전교욱실시_x000a_▶ 작업장 내외부로 통하는 구간에 통로표시_x000a_▶ 근로자의 불안전한 행동에 대해 관리감독 실시"/>
  </r>
  <r>
    <n v="5"/>
    <x v="5"/>
    <x v="16"/>
    <x v="23"/>
    <s v="YES"/>
    <x v="4"/>
    <x v="17"/>
    <s v="해당없음"/>
    <s v="해당없음"/>
    <s v="해당없음"/>
    <s v="2021년 3월경"/>
    <d v="2021-03-01T00:00:00"/>
    <n v="3"/>
    <s v="-"/>
    <x v="6"/>
    <s v="2021년 3월경 OOO도 OO시 OO읍 소재 OOOO(주)에서 시공하는 플랜트 현장 Water Quench Tower(증류탑) 내부에서, 재해자가 Support Beam(#1, #2, #3 Piece를 조립하여 구성)을 설치하던 중 가조립된 #1, #2 Piece의 볼트를 뽑은 상태에서 체인블럭으로 인양한 #3 Piece를 연결하려는 순간, #2 Piece가 전도되면서 연쇄적으로 전도된 #3 Piece(㉢자형, 가로 x 세로 x 폭 = 9,220 x 862 x 160mm, , t=12mm, 973kgf)와 기 설치된 Support Beam 사이에 재해자 목이 협착되어 사망한 재해임"/>
    <s v="Water Quench Tower(증류탑) 내부에서, 재해자가 Support Beam을 설치하던 중 가조립된 #1, #2 Piece의 볼트를 뽑은 상태에서 체인블럭으로 인양한 #3 Piece를 연결하려는 순간, #2 Piece가 전도되면서 연쇄적으로 전도된 #3 Piece와 기 설치된 Support Beam 사이에 재해자 목이 협착"/>
    <s v="▶ 인양한 부재를 가조립한 경우 전도 방지를 위해 벨트 등으로 체결하여 붙들어 지탱_x000a_▶ 부재를 조립하는 등의 작업 시 부재의 갑작스러운 전도 등의 위험을 방지할 수 있는 범위에서 작업 실시"/>
  </r>
  <r>
    <n v="5"/>
    <x v="5"/>
    <x v="16"/>
    <x v="23"/>
    <s v="YES"/>
    <x v="4"/>
    <x v="17"/>
    <s v="해당없음"/>
    <s v="해당없음"/>
    <s v="해당없음"/>
    <s v="2021년 7월경"/>
    <d v="2021-07-01T00:00:00"/>
    <n v="7"/>
    <s v="혹서기"/>
    <x v="0"/>
    <s v="2021년 7월경 OO시 OO구에 위치한 OOOO빌딩 기계식주차장치 3호기 내에서 ㈜OOOOOO 소속 재해자가 상부에서 떨어진 래칫렌치에 맞아 사망한 재해임"/>
    <s v="기계식주차장치 내에서 상부에서 떨어진 래칫렌치에 맞음"/>
    <s v="▶ 안전모 등 개인보호구 지급 및 착용 철저_x000a_▶ 자재 이탈을 방지하기 위한 보관함 설치"/>
  </r>
  <r>
    <n v="5"/>
    <x v="5"/>
    <x v="23"/>
    <x v="47"/>
    <s v="YES"/>
    <x v="4"/>
    <x v="17"/>
    <s v="해당없음"/>
    <s v="해당없음"/>
    <s v="해당없음"/>
    <s v="2019년 3월경"/>
    <d v="2019-03-01T00:00:00"/>
    <n v="3"/>
    <s v="-"/>
    <x v="2"/>
    <s v="2019년 3월경 OO시 OOO구 소재 OOOO아파트에서 OOOO(주) 소속 근로자 2명이 노후 엘리베이터 교체공사 중, 엘리베이터의 카를 임시로 매달고 있던 고리(카라비너)가 벌어져 카가 18층에서 1층 바닥으로 낙하하면서 카 위에서 작업하던 근로자 2명이 함께 추락하여 사망함_x000d_"/>
    <s v="승강기 교체공사 중 승강기를 임시로 매달고 있던 고리(카라비너)가 벌어져 승강기와 함께 추락"/>
    <s v="▶ 승강기 해체작업 전 중량물 취급 등의 작업계획서를 검토 및 수립하여 승강기 매달기 구조나 체결 방식을 선정하는 등 안전한 작업방식을 검토_x000a_▶ 중량물을 지지하는 달기구는 충분한 강도를 가지고 목적에 맞는 것을 선정해야 하며, 관리감독자는 와이어로프 등을 매달기 전 로프 등의 상태 및 체결 고정상태 등을 반드시 점검하고 이상 발견 시 즉시 교체를 지시_x000a_▶ 달기 체인은 관리감독자가 작업 전 육안점검을 통해 제조된 때의 길이의 5%를 초과하거나, 링의 단면지름이 제조된 때의 해당 링의 지름의 10%를 초과하여 감소한 것, 심하게 변형된 것은 사용을 금지_x000a_▶ 작업 지휘자 선임, 관계근로자 외 사람의 출입 금지 등 안전조치 실시"/>
  </r>
  <r>
    <n v="6"/>
    <x v="6"/>
    <x v="17"/>
    <x v="79"/>
    <s v="YES"/>
    <x v="4"/>
    <x v="16"/>
    <s v="12대 기인물"/>
    <n v="2"/>
    <n v="8.5000000000000006E-2"/>
    <s v="2016년 5월경"/>
    <d v="2016-05-01T00:00:00"/>
    <n v="5"/>
    <s v="-"/>
    <x v="6"/>
    <s v="2016년 5월경 공원 정비사업에서 재해자가 자재하역을 지켜보던 중 위험을 느껴 피하려다 주변 돌출된 바위 사이에 끼어 사망"/>
    <s v="헬리콥터에 매달린 자재가 회전하여 근로자를 쳐 바위 사이에 끼임"/>
    <s v="▶ 중량물 취급 작업 시 주변 근로자의 충돌, 협착 등의 위험이 없도록 작업 반경 밖으로 근로자 대피_x000a_▶ 헬리콥터 하강 시 신호수와 신호 또는 무전을 통해 안전한 장소에 하강"/>
  </r>
  <r>
    <n v="6"/>
    <x v="6"/>
    <x v="17"/>
    <x v="79"/>
    <s v="YES"/>
    <x v="4"/>
    <x v="17"/>
    <s v="해당없음"/>
    <s v="해당없음"/>
    <s v="해당없음"/>
    <s v="2019년 8월경"/>
    <d v="2019-08-01T00:00:00"/>
    <n v="8"/>
    <s v="혹서기"/>
    <x v="6"/>
    <s v="2019년 8월경 공동주택 신축공사에서 재해자가 조경석 설치작업 중 연결체인에서 이탈된 조경석에 흉부가 협착되어 사망"/>
    <s v="체인으로 연결된 줄걸이에서 조경석이 이탈하여 근로자 쪽으로 전도되어 협착"/>
    <s v="▶ 조경석과 같은 중량물을 취급하는 경우 전도가 발생하지 않도록 잘 묶거나 지탱 할 수 있도록 조치_x000a_▶ 전도위험이 있는 작업현장에 근로자가 접근하지 못하도록 통제_x000a_▶ 작업 반경 내 근로자가 벗어 난 상태에서 줄걸이 해체 등 작업 실시"/>
  </r>
  <r>
    <n v="8"/>
    <x v="7"/>
    <x v="26"/>
    <x v="51"/>
    <s v="NO"/>
    <x v="4"/>
    <x v="18"/>
    <s v="해당없음"/>
    <s v="해당없음"/>
    <s v="해당없음"/>
    <s v="2018년 1월경"/>
    <d v="2018-01-01T00:00:00"/>
    <n v="1"/>
    <s v="혹한기"/>
    <x v="1"/>
    <s v="2018년 1월경 위험교량개축사업 현장에서 라멘교 교대벽체 등을 조립하면서 기울어진 철근 수직도를 바로 잡으려고 철근을 잡아당기던 중 수직철근이 전도되면서 깔려 2명 사망"/>
    <s v="기울어진 철근 수직도를 바로 잡기 위해 화물고정용 라쳇으로 철근을 무리하게 당겨 수직철근이 교대 축의 횡방향으로 전도됨"/>
    <s v="▶ 교대 수직철근조립 시 설계도서 준수_x000a_▶ 철근의 수직도를 수정하기 위해 무리하게 철근을 잡아당기는 등의 불안정한 작업 금지_x000a_▶ 수직철근 조립작업 시 전도재해를 예방하기 위해 관리감독자 지휘 ∙ 감독 철저"/>
  </r>
  <r>
    <n v="9"/>
    <x v="11"/>
    <x v="40"/>
    <x v="83"/>
    <s v="NO"/>
    <x v="4"/>
    <x v="17"/>
    <s v="해당없음"/>
    <s v="해당없음"/>
    <s v="해당없음"/>
    <s v="2021년 10월"/>
    <d v="2021-10-01T00:00:00"/>
    <n v="10"/>
    <s v="-"/>
    <x v="0"/>
    <s v="2021년 10월경 OO순환도로 확장공사 터널 작업현장에서 터널전용으로 제작된 강재거푸집을 유압잭으로 이동시키던 과정에서, 강재거푸집 러그와 굴착기에 연결시켜 사용하던 와이어로프(∵강재거푸집 고정용)를 굴착기 운전기사가 끌어당기자 러그에서 이탈하여 와이어로프가 재해자를 타격해 사망"/>
    <s v="유압잭으로 터널용 강재거푸집을 이동중, 굴삭기에 연결시켜 사용하던 와이어로프가 러그에서 이탈하여 와이어로프가 재해자를 타격하여 사망한 재해임"/>
    <s v="▶작업 전 인양장비에 대한 결함 유무 및 점검 실시_x000a_▶인양작업 전 작업반경에 따른 근로자 통제 조치 실시"/>
  </r>
  <r>
    <n v="9"/>
    <x v="11"/>
    <x v="44"/>
    <x v="89"/>
    <s v="NO"/>
    <x v="4"/>
    <x v="18"/>
    <s v="해당없음"/>
    <s v="해당없음"/>
    <s v="해당없음"/>
    <s v="2017년 6월경"/>
    <d v="2017-06-01T00:00:00"/>
    <n v="6"/>
    <s v="혹서기"/>
    <x v="1"/>
    <s v="2017년 6월경 철도 건설공사 현장에서 재해자가 풍도 슬래브를 설치하는 작업 중 풍도슬래브가 낙하하여 1명 깔려 사망, 1명 추락하여 사망"/>
    <s v="터널 브라켓에 풍도슬래브를 정치하기 위해 위치조정 중 풍도슬래브 1본이 4m 높이에서 낙하하여 근로자 추락 및 하부에 있던 근로자 깔림"/>
    <s v="▶ 중량물을 인양 시 인양물에 작업자를 탑승시키는 등 부적절한 작업 금지(불가피할 경우 인양물이 아닌 양중기 등에 별도의 추락방지조치 실시)_x000a_▶ 중량물을 인양하는 등의 작업 시 중량물 취급작업계획서를 작성하고 작업계획에 따라 작업진행"/>
  </r>
  <r>
    <n v="9"/>
    <x v="11"/>
    <x v="45"/>
    <x v="90"/>
    <s v="NO"/>
    <x v="4"/>
    <x v="16"/>
    <s v="12대 기인물"/>
    <n v="2"/>
    <n v="8.5000000000000006E-2"/>
    <s v="2016년 12월"/>
    <d v="2016-12-01T00:00:00"/>
    <n v="12"/>
    <s v="혹한기"/>
    <x v="0"/>
    <s v="2016년 12월경 OO지구 청소공구 토목공사현장에서 재해자가 고장난 세미쉴드(Semi-Shield) 기기 및 콘크리트 관로 인출작업 중 유압에 의해 튕겨져 나온 원통형 강봉밀대에 두부를 맞아 사망"/>
    <s v="고장난 세미쉴드 기기 및 콘크리트 관로 인출작업 중 유압에 의해 튕겨져 나온 원통형 강봉밀대에 근로자가 맞음"/>
    <s v="▶ 유압잭의 길이가 짧아 강재 밀대를 붙여 연장할 경우 유압 잭과 밀대 사이에 볼트 체결, 용접 등 결속하여 편심 발생여부 확인_x000a_▶ 세미쉴드 인출작업 시 해당 작업구간에 근로자의 출입금지"/>
  </r>
  <r>
    <n v="12"/>
    <x v="1"/>
    <x v="5"/>
    <x v="6"/>
    <s v="YES"/>
    <x v="5"/>
    <x v="20"/>
    <s v="해당없음"/>
    <s v="해당없음"/>
    <s v="해당없음"/>
    <s v="2016년 11월"/>
    <d v="2016-11-01T00:00:00"/>
    <n v="11"/>
    <s v="-"/>
    <x v="2"/>
    <s v="2016년 11월경 근생 및 단독신축 현장에서 재해자가 옥상에서 철근배근 작업을 하고 오전 간식을 먹기 위해 계단으로 내려오던 중 지상 1층 중간 계단참에서 실족하여 옹벽 외부 바닥으로 떨어져(높이 약 2.8m) 사망"/>
    <s v="손수레에 담긴 시멘트 벽돌을 윈치를 이용하여 4층 자재 인양 개구부로 인양하여 건물 내부로 옮기던 중 중심을 잃고 개구부로 근로자 추락"/>
    <s v="▶ 조적작업을 위해 시멘트 벽돌을 건물 각 층 자재인양 개구부를 통해 반입 시 하이랜더 등의 건설 인양장비 사용 및 내부 엘리베이터를 통해 소운반_x000a_▶ 추락위험이 있는 작업발판 및 통로의 끝이나 개구부에는 안전난간 등 설치_x000a_▶ 인양작업용 양중기는 훅 걸이용 줄걸이가 벗겨지는 것을 방지하기 위한 해지장치 설치"/>
  </r>
  <r>
    <n v="12"/>
    <x v="1"/>
    <x v="5"/>
    <x v="6"/>
    <s v="YES"/>
    <x v="5"/>
    <x v="20"/>
    <s v="해당없음"/>
    <s v="해당없음"/>
    <s v="해당없음"/>
    <s v="2020년 1월경"/>
    <d v="2020-01-01T00:00:00"/>
    <n v="1"/>
    <s v="혹한기"/>
    <x v="8"/>
    <s v="2020년 1월경 OO공동주택 신축공사 현장에서 재해자가 옥상층에서 자재정리 등 청소작업을 마치고 현장 내부 계단으로 내려오던 중 몸의 중심을 잃고 떨어지면서 세대 내부 구조체에 부딪혀 사망"/>
    <s v="옥상층에서 자재정리 등 청소작업을 하고 안전난간이 미설치된 내부계단으로 내려오던 중 중심을 잃고 넘어지면서 세대 내부 구조체에 부딪힘"/>
    <s v="▶ 계단실 등 추락단부 안전난간대 설치 등 추락방호조치 실시_x000a_▶ 근로자 개인보호구, 안전대 체결여부 점검 및 관리감독"/>
  </r>
  <r>
    <n v="2"/>
    <x v="2"/>
    <x v="6"/>
    <x v="33"/>
    <s v="YES"/>
    <x v="5"/>
    <x v="20"/>
    <s v="해당없음"/>
    <s v="해당없음"/>
    <s v="해당없음"/>
    <s v="2016년 1월경"/>
    <d v="2016-01-01T00:00:00"/>
    <n v="1"/>
    <s v="혹한기"/>
    <x v="2"/>
    <s v="2016년 1월경 OO건설(주)이 시공하는 OO주거복합시설 신축현장에서 재해자가 지상14층 돌음계단 거푸집조립·해체 작업 중 계단실내 개구부로 추락하여 사망"/>
    <s v="추락방지조치 미실시한 상태에서 지하층 바닥슬래브 거푸집 설치 작업 중 슬래브 개구부로 근로자 추락"/>
    <s v="▶ 기둥 상부 작업 등 추락 위험이 있는 작업은 이동식 비계 등을 이용하여 발판 및 안전난간 등  설치_x000a_▶ 거푸집 조립 작업 등 추락 위험이 있는 장소에서 작업 시 추락방호망, 안전난간 설치, 안전대 착용 등 추락방호조치 실시_x000a_▶ 임시로 난간 등을 해체하여야 하는 경우 비계와 건물 사이에 추락방호망 설치"/>
  </r>
  <r>
    <n v="2"/>
    <x v="2"/>
    <x v="6"/>
    <x v="8"/>
    <s v="YES"/>
    <x v="5"/>
    <x v="20"/>
    <s v="해당없음"/>
    <s v="해당없음"/>
    <s v="해당없음"/>
    <s v="2016년 9월경"/>
    <d v="2016-09-01T00:00:00"/>
    <n v="9"/>
    <s v="-"/>
    <x v="1"/>
    <s v="2016년 9월경 단독주택신축공사 현장에서 외부 계단슬래브 하부 거푸집동바리 해체작업 중이던 재해자가 무너져 내린 계단슬래브 구조물에 깔려 사망"/>
    <s v="콘크리트 양생기간 미준수한 상태에서 거푸집동바리 해체작업 중 무너져 내려 깔림"/>
    <s v="▶ 콘크리트 타설 후 양생기간을 준수하여 거푸집동바리 해체 실시_x000a_▶ 거푸집동바리 해체 작업 시 낙하에 의한 재해를 방지하기 위해 순차적으로 파이프 써포트를 제거하면서 부분적으로 해체_x000a_▶ 해체작업을 하는 장소에는 관계 근로자가 아닌 근로자 출입을 금지 철저"/>
  </r>
  <r>
    <n v="2"/>
    <x v="2"/>
    <x v="6"/>
    <x v="8"/>
    <s v="YES"/>
    <x v="5"/>
    <x v="20"/>
    <s v="해당없음"/>
    <s v="해당없음"/>
    <s v="해당없음"/>
    <s v="2017년 5월경"/>
    <d v="2017-05-01T00:00:00"/>
    <n v="5"/>
    <s v="-"/>
    <x v="2"/>
    <s v="2017년 5월경 (주)OO건설에서 시공하는 OO신축공사 현장에서 협력업체 (주)OO건설 재해자가 지상 5층 주계단실의 계단참 거푸집 해체작업을 위해 계단참에서 작업하던 중, 몸의 중심을 잃고 거푸집과 함께 4층 계단실 바닥으로 떨어져(H≒3~3.75m) 사망"/>
    <s v="작업발판 설치 상태 미흡한 상태에서 보 거푸집 해체 작업 중 각재 상부에 올려놓은 거푸집을 밟는 순간 거푸집이 뒤집어짐에 따라 근로자 추락"/>
    <s v="▶ 추락위험이 있는 구간에는 추락방호망, 안전난간 설치 또는 및 안전대 착용후 작업_x000a_▶ 작업발판 설치시 작업발판이 뒤집어지거나 떨어지지 않도록 견고히 고정"/>
  </r>
  <r>
    <n v="2"/>
    <x v="2"/>
    <x v="6"/>
    <x v="8"/>
    <s v="YES"/>
    <x v="5"/>
    <x v="20"/>
    <s v="해당없음"/>
    <s v="해당없음"/>
    <s v="해당없음"/>
    <s v="2019년 6월경"/>
    <d v="2019-06-01T00:00:00"/>
    <n v="6"/>
    <s v="혹서기"/>
    <x v="2"/>
    <s v="2019년 6월경 OO건설(주)에서 시공중인 OO빌딩신축공사 현장에서 협력업체 소속 재해자가 단독으로 지하1층 계단실 자재 정리·정돈 또는 청소작업 중, 몸의 중심을 잃고 지하1층 계단참으로 떨어져(H≒2.0m) 사망"/>
    <s v="넘어지거나 미끄러지는 등 위험조치 미실시한 상태에서 지하층 계단실 자재 정리정돈 또는 청소작업 중 중심을 잃고 근로자 추락"/>
    <s v="▶ 추락위험이 있는 구간에는 추락방호망, 안전난간 설치 또는 및 안전대 착용후 작업_x000a_▶ 작업장에서 넘어지거나 미끄러지는 등 위험이 없도록 작업장 바닥 등을 안전하고 청결한 상태로 유지 후 작업 시행"/>
  </r>
  <r>
    <n v="2"/>
    <x v="2"/>
    <x v="7"/>
    <x v="10"/>
    <s v="YES"/>
    <x v="5"/>
    <x v="20"/>
    <s v="해당없음"/>
    <s v="해당없음"/>
    <s v="해당없음"/>
    <s v="2016년 8월경"/>
    <d v="2016-08-01T00:00:00"/>
    <n v="8"/>
    <s v="혹서기"/>
    <x v="2"/>
    <s v="2016년 8월경 OO 공사현장에서 재해자가 슬라브의 철근조립 및 운반작업 후 휴식을 취하던 중 계단실 부위 개구부(폭 1m× 길이 2.6m)를 통해 약 3m 아래의 지하1층 콘크리트 바닥으로 추락하여 사망"/>
    <s v="안전난간이 설치되지 않은 바닥 개구부 주변 작업 중 근로자 추락"/>
    <s v="▶ 자재 반입구와 같이 개구부로서 떨어질 위험이 있는 경우 안전난간 또는 안전방망과 같이 추락방호시설 설치_x000a_▶ 안전난간 또는 안전방망 설치가 곤란한 경우 안전대 지급 및 안전대를 걸 수 있는 안전대 부착설비 설치"/>
  </r>
  <r>
    <n v="2"/>
    <x v="2"/>
    <x v="8"/>
    <x v="12"/>
    <s v="YES"/>
    <x v="5"/>
    <x v="20"/>
    <s v="해당없음"/>
    <s v="해당없음"/>
    <s v="해당없음"/>
    <s v="2017년 10월"/>
    <d v="2017-10-01T00:00:00"/>
    <n v="10"/>
    <s v="-"/>
    <x v="2"/>
    <s v="2017년 10월경 ㈜OO 복합시설 개발사업 현장에서 콘크리트공인 재해자가 지상11층 콘크리트바닥 마감작업(Finishing) 후 지상 10층으로 계단통로를 통해 이동하던 중 계단참 단부에서 약 2.3m아래 지상10층 콘크리트 바닥으로 추락하여 사망"/>
    <s v="콘크리트 마감 작업 후 계단통로를 통해 이동 하던 중 안전난간이 해체된 상태의 계단참 단부에서 근로자 추락"/>
    <s v="▶ 작업간섭 등의 사유로 계단 및 계단참 단부의 안전난간이 해체된 경우 해당작업 종료 후 안전난간 재설치_x000a_▶ 추락위험이 있는 장소에서 작업 시 안전대 부착설비 설치 및 안전대 착용_x000a_▶ 개인보호구 지급 및 착용"/>
  </r>
  <r>
    <n v="3"/>
    <x v="3"/>
    <x v="9"/>
    <x v="13"/>
    <s v="YES"/>
    <x v="5"/>
    <x v="20"/>
    <s v="해당없음"/>
    <s v="해당없음"/>
    <s v="해당없음"/>
    <s v="2016년 12월"/>
    <d v="2016-12-01T00:00:00"/>
    <n v="12"/>
    <s v="혹한기"/>
    <x v="2"/>
    <s v="2016년 12월경 OO건물 신축 공사 현장에서 지상 1층에서 2층으로 연결되는 철골 계단 설치 작업 중 재해자가 2층 계단 참 단부에서 미끄러져 몸의 중심을 잃고 1층 바닥으로 추락(H≒4.5m)"/>
    <s v="철골 조립작업을 마치고 내려오던 중 안전난간이 설치되지 않은 계단 참 단부로 근로자 추락"/>
    <s v="▶ 추락할 위험이 있는 장소에서 작업 시, 안전난간 및 안전방망 설치 _x000a_▶ 안전난간 설치가 곤란한 경우 안전대를 착용 하는 등 추락 방호 조치 철저 "/>
  </r>
  <r>
    <n v="3"/>
    <x v="3"/>
    <x v="9"/>
    <x v="13"/>
    <s v="YES"/>
    <x v="5"/>
    <x v="20"/>
    <s v="해당없음"/>
    <s v="해당없음"/>
    <s v="해당없음"/>
    <s v="2017년 10월"/>
    <d v="2017-10-01T00:00:00"/>
    <n v="10"/>
    <s v="-"/>
    <x v="2"/>
    <s v="2017년 10월경 OO 근생신축공사 현장에서 현장소장과 함께 철골 조립작업 중이던 재해자가 당일 작업을 마치고 내려오던 중 지상 3층 계단참에서 약 8m 아래 지상 콘크리트 바닥으로 추락하여 사망"/>
    <s v="철골 조립작업을 마치고 내려오던 중 안전난간이 설치되지 않은 계단 참 단부로 근로자 추락"/>
    <s v="▶ 추락할 위험이 있는 장소에서 작업 시, 안전난간 및 안전방망 설치 _x000a_▶ 안전난간 설치가 곤란한 경우 안전대를 착용 하는 등 추락 방호 조치 철저 "/>
  </r>
  <r>
    <n v="3"/>
    <x v="3"/>
    <x v="9"/>
    <x v="13"/>
    <s v="YES"/>
    <x v="5"/>
    <x v="20"/>
    <s v="해당없음"/>
    <s v="해당없음"/>
    <s v="해당없음"/>
    <s v="2021년 4월경"/>
    <d v="2021-04-01T00:00:00"/>
    <n v="4"/>
    <s v="-"/>
    <x v="2"/>
    <s v="2021년 4월경 OO 모델하우스 철거공사 현장에서 일용직 재해자 2명이 점심식사를 위해 모델하우스 3층에서 2층으로 내려오던 중 철제 계단이 기울어 지상 2층 바닥으로 추락하여 부상"/>
    <s v="철거공사 현장에서 내려오던 중 계단과 바닥을 연결한 볼트가 탈락하면서 계단이 기울어져 추락"/>
    <s v="▶ 단부 작업 등 추락위험이 있는 장소에서 작업 시 안전난간 및 수직형 추락방망 설치_x000a_▶ 안전난간의 설치가 곤란할 경우 안전대 부착설비 설치 및 안전대 착용_x000a_▶ 개인보호구 지급 및 착용 "/>
  </r>
  <r>
    <n v="4"/>
    <x v="4"/>
    <x v="10"/>
    <x v="37"/>
    <s v="YES"/>
    <x v="5"/>
    <x v="20"/>
    <s v="해당없음"/>
    <s v="해당없음"/>
    <s v="해당없음"/>
    <s v="2016년 7월경"/>
    <d v="2016-07-01T00:00:00"/>
    <n v="7"/>
    <s v="혹서기"/>
    <x v="2"/>
    <s v="2016년 7월경 OO신축공사에서 옥상층에 레미탈 포대(40kg)를 2층으로 옮기던 중 계단에서 실족하여 2층 계단으로 추락하면서(약 H≒2m) 머리가 콘크리트 바닥에 부딪혀 사망"/>
    <s v="옥상층에서 레미탈 포대를 옮기던 중 안전난간이 설치되지 않은  계단에서 실족하여 추락"/>
    <s v="▶ 계단 단부 등 추락위험이 있는 장소에는 안전난간 견고하게 설치_x000a_▶ 작업을 위해 임의로 안전난간을 해체해야 하는 경우 안전방망 설치 또는 안전대 부착설비를 설치하고 안전대 체결 후 작업"/>
  </r>
  <r>
    <n v="4"/>
    <x v="4"/>
    <x v="10"/>
    <x v="37"/>
    <s v="YES"/>
    <x v="5"/>
    <x v="20"/>
    <s v="해당없음"/>
    <s v="해당없음"/>
    <s v="해당없음"/>
    <s v="2019년 7월경"/>
    <d v="2019-07-01T00:00:00"/>
    <n v="7"/>
    <s v="혹서기"/>
    <x v="2"/>
    <s v="2019년 7월경 OO리모델링 공사에서 미장공사를 위해 모래를 질통에 실어 1층에서 2층 슬래브로 운반한뒤 2층 슬래브에 내려두기전 2층 슬래브의 난간(h=64cm)에 앉으려다 질통(약25kg)의 무게에 의해 몸의 중심이 뒤로 넘어가면서 질통을 맨 채로 1층 바닥(h=4.15m)으로 추락하여 사망"/>
    <s v="모래를 질통에 실어 슬래브에 내려두기전 난간(h=64cm)에 앉으려다 질통(약25kg)의 무게에 의해 몸의 중심이 뒤로 넘어가면서 질통을 맨 채로 바닥(h=4.15m)으로 떨어짐"/>
    <s v="▶ 계단 단부 등 추락위험이 있는 장소에는 안전난간 견고하게 설치_x000a_▶  사용하던 기구, 자재 등을 바닥에 내려놓은 후 휴식  "/>
  </r>
  <r>
    <n v="4"/>
    <x v="4"/>
    <x v="10"/>
    <x v="38"/>
    <s v="YES"/>
    <x v="5"/>
    <x v="20"/>
    <s v="해당없음"/>
    <s v="해당없음"/>
    <s v="해당없음"/>
    <s v="2019년 2월경"/>
    <d v="2019-02-01T00:00:00"/>
    <n v="2"/>
    <s v="혹한기"/>
    <x v="2"/>
    <s v="2019년 2월경 OO대수선공사에서 지상1층 창호주변 미장작업을 위하여 2층에서 작업을 완료하고 1층으로 계단을 이용하여 내려가던 중 발을 헛디뎌 높이 약 1.5M 콘크리트 바닥으로 추락하여 사망"/>
    <s v="계단참 바닥의 몰탈 타설 및 평탄작업 중 발을 헛디뎌 안전난간이 설치되지 않은 계단 단부로 추락"/>
    <s v="▶ 계단 단부 등 추락위험이 있는 장소에는 안전난간 견고하게 설치_x000a_▶ 작업을 위해 임의로 안전난간을 해체해야 하는 경우 안전방망 설치 또는 안전대 부착설비를 설치하고 안전대 체결 후 작업"/>
  </r>
  <r>
    <n v="4"/>
    <x v="4"/>
    <x v="10"/>
    <x v="15"/>
    <s v="YES"/>
    <x v="5"/>
    <x v="20"/>
    <s v="해당없음"/>
    <s v="해당없음"/>
    <s v="해당없음"/>
    <s v="2016년 3월경"/>
    <d v="2016-03-01T00:00:00"/>
    <n v="3"/>
    <s v="-"/>
    <x v="5"/>
    <s v="2016년 3월경 OO신축공사에서 2층 계단실 벽체 미장작업을 위해 계단위를 오르던 중 몸의 중심을 잃고 넘어져 사망"/>
    <s v="계단실 벽체 미장작업을 위해 계단위를 오르던 중 안전모를 부실하게 착용한 상태에서 넘어지면서 계단실 콘크리트 바닥에 머리를 부딪혀 사망"/>
    <s v="▶ 계단 단부 등 추락위험이 있는 장소에는 안전난간 견고하게 설치_x000a_▶ 개인보호구 착용 철저"/>
  </r>
  <r>
    <n v="4"/>
    <x v="4"/>
    <x v="10"/>
    <x v="15"/>
    <s v="YES"/>
    <x v="5"/>
    <x v="20"/>
    <s v="해당없음"/>
    <s v="해당없음"/>
    <s v="해당없음"/>
    <s v="2017년 5월경"/>
    <d v="2017-05-01T00:00:00"/>
    <n v="5"/>
    <s v="-"/>
    <x v="2"/>
    <s v="2017년 5월경 OO증축공사에서 4층 계단실 계단참 바닥에 몰탈 타설 및 평탄작업 중, 계단참 끝단부에서 발을 헛디뎌 약 8.6m아래 2층 계단참 바닥으로 추락하여 사망"/>
    <s v="계단참 미장·견출 작업 중 발을 헛디뎌 안전난간이 설치되지 않은 계단 단부로 추락"/>
    <s v="▶ 계단 단부 등 추락위험이 있는 장소에는 안전난간 견고하게 설치_x000a_▶ 작업을 위해 임의로 안전난간을 해체해야 하는 경우 안전방망 설치 또는 안전대 부착설비를 설치하고 안전대 체결 후 작업"/>
  </r>
  <r>
    <n v="4"/>
    <x v="4"/>
    <x v="10"/>
    <x v="15"/>
    <s v="YES"/>
    <x v="5"/>
    <x v="20"/>
    <s v="해당없음"/>
    <s v="해당없음"/>
    <s v="해당없음"/>
    <s v="2020년 12월"/>
    <d v="2020-12-01T00:00:00"/>
    <n v="12"/>
    <s v="혹한기"/>
    <x v="2"/>
    <s v="2020년 12월경 OO신축공사에서 3~4층 계단참에서 계단 마구리면 미장작업 중 높이 약 9.2M 아래의 지상 1층 바닥으로 추락하여 사망"/>
    <s v="계단참 미장·견출 작업 중 발을 헛디뎌 안전난간이 설치되지 않은 계단 단부로 추락"/>
    <s v="▶ 계단 단부 등 추락위험이 있는 장소에는 안전난간 견고하게 설치_x000a_▶ 작업을 위해 임의로 안전난간을 해체해야 하는 경우 안전방망 설치 또는 안전대 부착설비를 설치하고 안전대 체결 후 작업"/>
  </r>
  <r>
    <n v="4"/>
    <x v="4"/>
    <x v="11"/>
    <x v="16"/>
    <s v="YES"/>
    <x v="5"/>
    <x v="20"/>
    <s v="해당없음"/>
    <s v="해당없음"/>
    <s v="해당없음"/>
    <s v="2017년 9월 "/>
    <d v="2017-09-01T00:00:00"/>
    <n v="9"/>
    <s v="-"/>
    <x v="8"/>
    <s v="2017년 9월 OO(주) OO아파트 주택재건축 현장에서 재해자가 아파트 계단실에서 이동하던 중 뒤로 넘어지면서 콘크리트 바닥에 머리를 부딪쳐 사망"/>
    <s v="아파트 계단실에서 이동하던 중 발을 헛디뎌 근로자가 뒤로 넘어지면서 콘크리트 바닥에 머리를 부딪힘"/>
    <s v="▶ 근로자는 계단실을 이용하여 이동할 경우 안전난간을 잡고 이동 하는 등 안전하게 통행"/>
  </r>
  <r>
    <n v="4"/>
    <x v="4"/>
    <x v="38"/>
    <x v="78"/>
    <s v="YES"/>
    <x v="5"/>
    <x v="20"/>
    <s v="해당없음"/>
    <s v="해당없음"/>
    <s v="해당없음"/>
    <s v="2016년 1월경"/>
    <d v="2016-01-01T00:00:00"/>
    <n v="1"/>
    <s v="혹한기"/>
    <x v="2"/>
    <s v="2016년 1월경 OO신축공사에서 계단실을 통해 옥상에서 1층으로 내려오던 중 몸의 중심을 잃고 계단 측면 단부에서 하부 콘크리트 바닥으로 떨어져(Hmax≒2.4m) 사망"/>
    <s v="계단실 석재 마감작업 중 몸의 중심을 잃고 안전난간이 설치되지 않은 계단 단부로 추락"/>
    <s v="▶ 계단 단부 등 추락위험이 있는 장소에는 안전난간 견고하게 설치_x000a_▶ 작업을 위해 임의로 안전난간을 해체해야 하는 경우 안전방망 설치 또는 안전대 부착설비를 설치하고 안전대 체결 후 작업"/>
  </r>
  <r>
    <n v="4"/>
    <x v="4"/>
    <x v="38"/>
    <x v="78"/>
    <s v="YES"/>
    <x v="5"/>
    <x v="20"/>
    <s v="해당없음"/>
    <s v="해당없음"/>
    <s v="해당없음"/>
    <s v="2016년 6월경"/>
    <d v="2016-06-01T00:00:00"/>
    <n v="6"/>
    <s v="혹서기"/>
    <x v="2"/>
    <s v="2016년 6월경 OO신축공사에서 계단을 내려오던 중 중심을 잃고 넘어지며 계단실의 유리가 끼워지지 않은 창호 개구부를 통해 지상 바닥으로 추락하여(H=약10∼15m) 사망"/>
    <s v="계단실 석재 마감작업 중 몸의 중심을 잃고 안전난간이 설치되지 않은 계단 단부로 추락"/>
    <s v="▶ 계단 단부 등 추락위험이 있는 장소에는 안전난간 견고하게 설치_x000a_▶ 작업을 위해 임의로 안전난간을 해체해야 하는 경우 안전방망 설치 또는 안전대 부착설비를 설치하고 안전대 체결 후 작업"/>
  </r>
  <r>
    <n v="4"/>
    <x v="4"/>
    <x v="38"/>
    <x v="78"/>
    <s v="YES"/>
    <x v="5"/>
    <x v="20"/>
    <s v="해당없음"/>
    <s v="해당없음"/>
    <s v="해당없음"/>
    <s v="2018년 10월"/>
    <d v="2018-10-01T00:00:00"/>
    <n v="10"/>
    <s v="-"/>
    <x v="2"/>
    <s v="2018년 10월경 OO공사에서  4층 계단실 및 세대내부 화장실 벽체 타일작업 준비 중, 몸의 중심을 잃고 4층 내부 계단실 홀(400×800)을 통해 1층 바닥(H≒10.5m)으로 추락하여 사망"/>
    <s v="계단실 석재 마감작업 중 몸의 중심을 잃고 안전난간이 설치되지 않은 계단 단부로 추락"/>
    <s v="▶ 계단 단부 등 추락위험이 있는 장소에는 안전난간 견고하게 설치_x000a_▶ 작업을 위해 임의로 안전난간을 해체해야 하는 경우 안전방망 설치 또는 안전대 부착설비를 설치하고 안전대 체결 후 작업"/>
  </r>
  <r>
    <n v="4"/>
    <x v="4"/>
    <x v="38"/>
    <x v="91"/>
    <s v="YES"/>
    <x v="5"/>
    <x v="20"/>
    <s v="해당없음"/>
    <s v="해당없음"/>
    <s v="해당없음"/>
    <s v="2019년 6월경"/>
    <d v="2019-06-01T00:00:00"/>
    <n v="6"/>
    <s v="혹서기"/>
    <x v="2"/>
    <s v="2019년 6월경 OO오피스텔 신축공사 현장에서 협력업체 소속 재해자가 지하1층 계단 재조정 및 대리석 재설치 보조 작업중몸의 중심을 잃고 지하2층 계단(높이 2.59m)으로 추락하여 사망"/>
    <s v="계단실 석재, 타일 마감작업 중 몸의 중심을 잃고 안전난간이 설치되지 않은 계단 단부로 추락"/>
    <s v="▶ 계단 단부 등 추락위험이 있는 장소에는 안전난간 견고하게 설치_x000a_▶ 작업을 위해 임의로 안전난간을 해체해야 하는 경우 안전방망 설치 또는 안전대 부착설비를 설치하고 안전대 체결 후 작업"/>
  </r>
  <r>
    <n v="4"/>
    <x v="4"/>
    <x v="38"/>
    <x v="91"/>
    <s v="YES"/>
    <x v="5"/>
    <x v="20"/>
    <s v="해당없음"/>
    <s v="해당없음"/>
    <s v="해당없음"/>
    <s v="2019년 9월경"/>
    <d v="2019-09-01T00:00:00"/>
    <n v="9"/>
    <s v="-"/>
    <x v="2"/>
    <s v="2019년 9월경 OO주상 복합 상가 신축공사 현장에서 협력업체 소속 재해자가 2층 바닥으로 올라가는 계단의 화강석 마감 보조 작업 중 몸의 중심을 잃고 1층 계단으로 추락하여(H≒2.52m) 사망"/>
    <s v="계단실 석재, 타일 마감작업 중 몸의 중심을 잃고 안전난간이 설치되지 않은 계단 단부로 추락"/>
    <s v="▶ 계단 단부 등 추락위험이 있는 장소에는 안전난간 견고하게 설치_x000a_▶ 작업을 위해 임의로 안전난간을 해체해야 하는 경우 안전방망 설치 또는 안전대 부착설비를 설치하고 안전대 체결 후 작업"/>
  </r>
  <r>
    <n v="4"/>
    <x v="4"/>
    <x v="38"/>
    <x v="91"/>
    <s v="YES"/>
    <x v="5"/>
    <x v="20"/>
    <s v="해당없음"/>
    <s v="해당없음"/>
    <s v="해당없음"/>
    <s v="OO공사현장 &quot;ㅁ"/>
    <s v="X"/>
    <e v="#VALUE!"/>
    <e v="#VALUE!"/>
    <x v="2"/>
    <s v="OO공사현장 &quot;ㅁ&quot;형 돌음계단 계단실에서 계단참 타일을, 계단 단부 안전난간이 해체된 상태에서 시공하던 중 균형을 잃고 돌음계단 중앙 &quot;ㅁ&quot;자 개구부로 지하1층 바닥으로(높이 : 약23m) 추락하여 사망"/>
    <s v="계단실 석재, 타일 마감작업 중 몸의 중심을 잃고 안전난간이 설치되지 않은 계단 단부로 추락"/>
    <s v="▶ 계단 단부 등 추락위험이 있는 장소에는 안전난간 견고하게 설치_x000a_▶ 작업을 위해 임의로 안전난간을 해체해야 하는 경우 안전방망 설치 또는 안전대 부착설비를 설치하고 안전대 체결 후 작업"/>
  </r>
  <r>
    <n v="4"/>
    <x v="4"/>
    <x v="21"/>
    <x v="92"/>
    <s v="YES"/>
    <x v="5"/>
    <x v="20"/>
    <s v="해당없음"/>
    <s v="해당없음"/>
    <s v="해당없음"/>
    <s v="2019년 12월"/>
    <d v="2019-12-01T00:00:00"/>
    <n v="12"/>
    <s v="혹한기"/>
    <x v="2"/>
    <s v="2019년 12월경 OO은행 신축공사 현장에서 재해자가 도장공사를 위해 계단실(2층~옥상) 벽체 바탕정리(Putty) 작업 중 계단실 단부에서 높이 약 1.4m 아래 계단실 바닥으로 추락하여 사망"/>
    <s v="도장공사를 위해 계단실 벽체 바탕정리 작업 중 몸의 중심을 잃고 안전난간이 미설치 된 계단 단부에서 추락"/>
    <s v="▶ 계단 단부 등 추락위험이 있는 장소에는 안전난간 견고하게 설치_x000a_▶ 작업을 위해 임의로 안전난간을 해체해야 하는 경우 안전방망 설치 또는 안전대 부착설비를 설치하고 안전대 체결 후 작업"/>
  </r>
  <r>
    <n v="4"/>
    <x v="4"/>
    <x v="21"/>
    <x v="39"/>
    <s v="YES"/>
    <x v="5"/>
    <x v="20"/>
    <s v="해당없음"/>
    <s v="해당없음"/>
    <s v="해당없음"/>
    <s v="2017년 9월경"/>
    <d v="2017-09-01T00:00:00"/>
    <n v="9"/>
    <s v="-"/>
    <x v="2"/>
    <s v="2017년 9월경 OO출장소 신축공사 현장에서 직영소속 재해자가 지상 2층 상부 계단에 서서 도장용 롤러(길이 1.4m)를 이용하여 벽체 도장작업 중 약 1m아래 하부 계단으로 떨어진 후 다시 굴러 약 2.1m아래 1층 계단으로 추락하여 사망"/>
    <s v="도장공사를 위해 계단실 벽체 바탕정리 작업 중 안전난간 미설치한 계단 단부에서 몸의 중심을 잃고 추락"/>
    <s v="▶ 계단 단부 등 추락위험이 있는 장소에는 안전난간 견고하게 설치_x000a_▶ 작업을 위해 임의로 안전난간을 해체해야 하는 경우 안전방망 설치 또는 안전대 부착설비를 설치하고 안전대 체결 후 작업"/>
  </r>
  <r>
    <n v="4"/>
    <x v="4"/>
    <x v="12"/>
    <x v="18"/>
    <s v="YES"/>
    <x v="5"/>
    <x v="20"/>
    <s v="해당없음"/>
    <s v="해당없음"/>
    <s v="해당없음"/>
    <s v="2021년 2월경"/>
    <d v="2021-02-01T00:00:00"/>
    <n v="2"/>
    <s v="혹한기"/>
    <x v="2"/>
    <s v="2021년 2월경 주택 외부계단 난간 및 대문 교체공사 현장에서, 재해자가 건물 외부계단의 계단참에서 지면으로 추락하여(H=2.3m) 사망"/>
    <s v="계단참에서 작업 중 발을 헛디뎌 안전난간이 설치되지 않은 계단 단부로 추락"/>
    <s v="▶ 계단 단부 등 추락위험이 있는 장소에는 안전난간 견고하게 설치_x000a_▶ 작업을 위해 임의로 안전난간을 해체해야 하는 경우 안전방망 설치 또는 안전대 부착설비를 설치하고 안전대 체결 후 작업"/>
  </r>
  <r>
    <n v="4"/>
    <x v="4"/>
    <x v="13"/>
    <x v="19"/>
    <s v="YES"/>
    <x v="5"/>
    <x v="20"/>
    <s v="해당없음"/>
    <s v="해당없음"/>
    <s v="해당없음"/>
    <s v="2020년 2월경"/>
    <d v="2020-02-01T00:00:00"/>
    <n v="2"/>
    <s v="혹한기"/>
    <x v="2"/>
    <s v="2020년 2월경 OO교회 신축공사의 인테리어 공사 현장 중 금속공사 협력업체 소속 재해자(보통인부)이 지상3층 대예배실 천정에 설치할 자재를 계단을 이용하여 동료작업자와 지상5층에서 지상3층으로 옮기던 중, 지상3층의 계단 단부로 추락(H≒10.2m)하여 사망"/>
    <s v="자재운반 중 발을 헛디뎌 안전난간이 설치되지 않은 계단 단부로 추락"/>
    <s v="▶ 계단실 내 추락 방지를 위한 계단실의 개방된 측면에는 안전난간대 등 추락방지용 안전시설물을 설치하고, 관리감독자나 안전관리자는 지연 설치되지 않도록 관리감독_x000a_▶ 루버(천정재)등 긴 부재의 경우 안전시설물이 미설치된 계단실을 통해 인력으로 운반하는 행위를 지양하고, 윈치 또는 다른 이동통로를 사용하여 운반하도록 관리감독"/>
  </r>
  <r>
    <n v="5"/>
    <x v="5"/>
    <x v="15"/>
    <x v="45"/>
    <s v="YES"/>
    <x v="5"/>
    <x v="20"/>
    <s v="해당없음"/>
    <s v="해당없음"/>
    <s v="해당없음"/>
    <s v="2020년 4월경"/>
    <d v="2020-04-01T00:00:00"/>
    <n v="4"/>
    <s v="-"/>
    <x v="2"/>
    <s v="2020년 4월경 OO공사에서 재해자가 지상 5층 계단실 측벽 배선작업을 하던 중 전선을 뒤로 당기다가 몸의 중심을 잃고 계단참 단부로 추락하여(H≒2.5m) 사망"/>
    <s v="계단실 측벽 배선작업 중 전선을 뒤로 당기다가 몸의 중심을 잃고 계단참 단부로 추락"/>
    <s v="▶ 계단실 난간대는 전용 철물로 고정을 하고 100KG이상의 하중을 견디는 구조로 설치_x000a_▶ 안전난간대 설치가 불가할 경우 수직방망 등 설치하여 추락안전 조치 실시"/>
  </r>
  <r>
    <n v="5"/>
    <x v="5"/>
    <x v="16"/>
    <x v="22"/>
    <s v="YES"/>
    <x v="5"/>
    <x v="20"/>
    <s v="해당없음"/>
    <s v="해당없음"/>
    <s v="해당없음"/>
    <s v="2016년 12월"/>
    <d v="2016-12-01T00:00:00"/>
    <n v="12"/>
    <s v="혹한기"/>
    <x v="2"/>
    <s v="2016년 12월경 OO 다가구주택 신축공사 현장에서 세대내 렌지 후드 환풍구 캡 설치를 위해 재해자가 동료작업자와 함께 2층 계단참을 올라가던 중 몸의 중심을 잃고 창호 프레임 개구부를 통해 4.6m 하부 콘크리트 바닥으로 추락"/>
    <s v="설비배관 작업을 위한 작업발판 설치 중 개구부로 추락"/>
    <s v="▶ 개구부 등 추락위험 구간에 덮개, 안전방망, 안전대 부착설비 등 추락방지조치 준수_x000a_▶ 작업 전 개인보호구 지급 및 착용상태 관리"/>
  </r>
  <r>
    <n v="5"/>
    <x v="5"/>
    <x v="16"/>
    <x v="23"/>
    <s v="YES"/>
    <x v="5"/>
    <x v="20"/>
    <s v="해당없음"/>
    <s v="해당없음"/>
    <s v="해당없음"/>
    <s v="2019년 11월"/>
    <d v="2019-11-01T00:00:00"/>
    <n v="11"/>
    <s v="-"/>
    <x v="2"/>
    <s v="2019년 11월경 OO 신축공사에서 재해자가 지하2층 OO 인테리어 현장에서 인테리어 구조물(미끄럼틀) 상부 천정의 설비 배관을 확인하고 계단으로 내려오는 과정에서, 계단의 측면에 설치된 상부 안전난간을 잡다가 미고정된 상부 안전난간이 탈락하면서 재해자도 같이 추락(H≒2.8m)"/>
    <s v="인테리어 구조물(미끄럼틀) 상부 천정의 설비 배관을 확인하고 계단으로 내려오던 중 계단의 측면에 설치된 상부 안전난간을 잡다가 미고정된 상부 안전난간이 탈락하면서 추락"/>
    <s v="▶ 계단에서 작업 또는 이동 시 근로자의 추락위험이 있는 경우 강관파이프 등의 충분한 강도를 가진 자재를 이용하여 안전난간 설치_x000a_▶ 작업에 의해 안전난간 설치가 곤란할 경우 안전대 부착설비 설치 및 안전대 착용_x000a_▶ 개인보호구 지급 및 착용"/>
  </r>
  <r>
    <n v="6"/>
    <x v="6"/>
    <x v="17"/>
    <x v="79"/>
    <s v="YES"/>
    <x v="5"/>
    <x v="20"/>
    <s v="해당없음"/>
    <s v="해당없음"/>
    <s v="해당없음"/>
    <s v="2019년 4월경"/>
    <d v="2019-04-01T00:00:00"/>
    <n v="4"/>
    <s v="-"/>
    <x v="2"/>
    <s v="2019년 4월경 산책로 난간보수공사에서 재해자가 난간 조립 및 설치작업 중 몸의 균형을 잃고 바닥으로 추락하여 사망"/>
    <s v="해안산책로 난간보수 작업 중 몸의 균형을 잃고 추락"/>
    <s v="▶ 추락 우려가 있는 곳에 안전난간을 설치 또는 접근금지 휀스 설치_x000a_▶ 개인 보호구 지급 및 착용 철저"/>
  </r>
  <r>
    <n v="1"/>
    <x v="8"/>
    <x v="28"/>
    <x v="56"/>
    <s v="YES"/>
    <x v="3"/>
    <x v="21"/>
    <s v="12대 기인물"/>
    <n v="6"/>
    <n v="4.9000000000000002E-2"/>
    <s v="2020년 8월경"/>
    <d v="2020-08-01T00:00:00"/>
    <n v="8"/>
    <s v="혹서기"/>
    <x v="2"/>
    <s v="2020년 8월경 OO토건이 시공하는 OO 정비사업 현장에서 협력업체 소속 재해자가 차량탑재형 고소작업대(일명 스카이)에 탑승하여 사면 천공작업 후 고소작업대가 움직이지 않아 확인하는 과정에서 작업대에 충격이 가해졌고 이로 인해 재해자가 약 15m 아래로 추락하여 사망"/>
    <s v="고소작업대를 사용하여 지붕에서 지상으로 이동하려던 중 지붕강판에 걸려있던 작업대가 떨어져 나감과 동시에 그 충격으로 몸의 중심을 잃고 바닥으로 추락"/>
    <s v="▶ 고소작업대를 사용하여 작업 시, 지붕강판 등 구조물에 걸려 작업대의 승하강이 어려울 경우, 운전자는 작업대가 걸려있는 상황을 직접 파악한 후 조작 실시_x000a_▶ 고소작업대를 통해 작업 시, 전면부에 웨빙띠 및 안전 난간 등과 같은 추락방지조치 철저"/>
  </r>
  <r>
    <n v="1"/>
    <x v="8"/>
    <x v="28"/>
    <x v="93"/>
    <s v="YES"/>
    <x v="3"/>
    <x v="21"/>
    <s v="12대 기인물"/>
    <n v="6"/>
    <n v="4.9000000000000002E-2"/>
    <s v="2016년 7월경"/>
    <d v="2016-07-01T00:00:00"/>
    <n v="7"/>
    <s v="혹서기"/>
    <x v="2"/>
    <s v="2016년 7월경 경기장 신축공사 현장에서 재해자가 주경기장 지붕철골(Truss)공사 중 SEMALLOY Cable 설치를 위해 차량탑재형 고소작업대(차)의 작업대에 탑승하여 이동 중(Boom 약36m 확장) 선회부의 턴테이블 체결볼트가 파단되면서 Boom과 동시에 아래로 떨어져 1명 사망, 1명 부상"/>
    <s v="차량탑재형 고소작업대의 작업대에 탑승하여 이동 중 선회부의 턴테이블 체결볼트가 파단되면서 근로자 추락"/>
    <s v="▶ 고소작업대의 붐 선회부 등 주요구조부 체결볼트의 충분한 강도유지 및 이상유무 확인 철저_x000a_▶ 고소작업대의 붐 길이ㆍ각도 등에 따른 허용 작업반경 초과 사용금지"/>
  </r>
  <r>
    <n v="12"/>
    <x v="1"/>
    <x v="2"/>
    <x v="3"/>
    <s v="YES"/>
    <x v="3"/>
    <x v="21"/>
    <s v="12대 기인물"/>
    <n v="6"/>
    <n v="4.9000000000000002E-2"/>
    <s v="2017년 6월경"/>
    <d v="2017-06-01T00:00:00"/>
    <n v="6"/>
    <s v="혹서기"/>
    <x v="2"/>
    <s v="2017년 6월경 아파트 건설현장에서 기존 아파트 철거작업을 위해 재해자 2명이 고소작업대(차량탑재형)에 탑승하여 아파트 주위에 가림막 설치를 위한 비계를 설치하던 중, 고소작업대 붐이 꺾이면서 추락(H≒27m) 사망"/>
    <s v="고소작업대에 탑승하여 아파트 주위에 비계를 설치하던 중 고소작업대 붐이 꺾이면서 바닥으로 추락"/>
    <s v="▶ 고소작업대 사용 시, 허용 작업반경을 초과하여 붐대 인출 금지_x000a_▶ 고소작업대 사용 시, 과부하 방지장치의 작동유무 점검"/>
  </r>
  <r>
    <n v="12"/>
    <x v="1"/>
    <x v="2"/>
    <x v="3"/>
    <s v="YES"/>
    <x v="3"/>
    <x v="21"/>
    <s v="12대 기인물"/>
    <n v="6"/>
    <n v="4.9000000000000002E-2"/>
    <s v="2019년 8월경"/>
    <d v="2019-08-01T00:00:00"/>
    <n v="8"/>
    <s v="혹서기"/>
    <x v="6"/>
    <s v="2019년 8월경 OO건설(주) OO철거공사 현장에서 재해자 2명이 자재창고 천장부 경량 철골 프레임을 해체하기 위해 고소작업대(시저형)에 탑승하여 상승 조작 중 철골 프레임과 고소작업대 최상부 안전난간대 사이에 재해자들의 손이 끼어 3개월 이상의 요양이 필요한 부상"/>
    <s v="철골프레임 해체작업을 위해 고소작업대 상승 조작 중 철골프레임과 안전난간대 사이 재해자의 손이 끼임"/>
    <s v="▶ 고소작업대 사용시 안전장치(과상승방지장치)의 설치_x000a_▶ 작업 중 프레임 등에 끼임, 협착되는 사고를 방지하기 위해 주의 철저 "/>
  </r>
  <r>
    <n v="12"/>
    <x v="1"/>
    <x v="35"/>
    <x v="94"/>
    <s v="YES"/>
    <x v="3"/>
    <x v="21"/>
    <s v="12대 기인물"/>
    <n v="6"/>
    <n v="4.9000000000000002E-2"/>
    <s v="2018년 1월경"/>
    <d v="2018-01-01T00:00:00"/>
    <n v="1"/>
    <s v="혹한기"/>
    <x v="2"/>
    <s v="2018년 1월경 OO(주) 공장 내 창고동에서 고소작업대의 작업대에 재해자 2명이 탑승하여 천장 LED등 교체공사를 진행하던 중 턴테이블 고정볼트 파단으로 붐대가 낙하하면서, 탑승한 재해자 2명이 약 10.5m 바닥으로 떨어져 1명 사망, 1명 부상"/>
    <s v="고소작업대의 턴베이블 고정볼트 파단으로 인해 붐대가 낙하하면서 추락"/>
    <s v="▶ 작업 전 고소작업대 과부하방지장치 기능점검을 통한 정상작동 여부 확인_x000a_▶ 고소작업대의 각 부위의 이상 유무에 대한 정기점검 실시"/>
  </r>
  <r>
    <n v="12"/>
    <x v="1"/>
    <x v="4"/>
    <x v="95"/>
    <s v="YES"/>
    <x v="3"/>
    <x v="21"/>
    <s v="12대 기인물"/>
    <n v="6"/>
    <n v="4.9000000000000002E-2"/>
    <s v="2016년 3월경"/>
    <d v="2016-03-01T00:00:00"/>
    <n v="3"/>
    <s v="-"/>
    <x v="2"/>
    <s v="2016년 3월경 OO건축공사 현장에서 재해자가 동료작업자 1명과 함께 고소작업대(차량 탑재형) 위에서 건물 7층 창문을 통해 해체물을 작업대에 적재하던 중, 작업대의 붐 인출용 와이어로프의 파단과 동시에 붐이 인입되면서 작업대가 낙하하여 건물 3층 부위에 충돌하는 과정에서 충격에 의해 약 29m 아래 지면으로 떨어져 사망"/>
    <s v="고소작업대에 탑승하여 해체물(폐벽돌, 바닥몰탈)을 작업대에 적재하던 중 붐 인출용 로프가 파단되고 작업대와 함께 바닥으로 추락"/>
    <s v="▶ 고소작업대 사용 시, 차량의 정격하중을 초과하는 자재 등을 작업대에 적재 및 운반하는 행위를 원칙적으로 금지하며 자재를 운반해야 하는 경우, 사다리 차, 건물의 계단, 리프트, E/V 등과 같은 차량 및 통로를 통한 자재 운반방식을 우선하고 불가피하게 고소작업대를 사용해야 하는 경우, 정격하중을 넘어서지 않는 범위 내에서 자재 등을 소분하여 운반하도록 조치_x000a_▶ 고소작업대 사용시, 방호장치 컨트롤러의 작동유무 및 전원상태 확인"/>
  </r>
  <r>
    <n v="12"/>
    <x v="1"/>
    <x v="4"/>
    <x v="95"/>
    <s v="YES"/>
    <x v="3"/>
    <x v="21"/>
    <s v="12대 기인물"/>
    <n v="6"/>
    <n v="4.9000000000000002E-2"/>
    <s v="2019년 1월경"/>
    <d v="2019-01-01T00:00:00"/>
    <n v="1"/>
    <s v="혹한기"/>
    <x v="2"/>
    <s v="2019년 1월경 주식회사OO에서 시공하는 OO작업 현장에서 차량탑재형 고소작업대(일명 스카이)가 하강 하려던 중 작업대 가드가 Main Stack의 수직 비계파이프에 걸려 동료작업자가 핸드그라인더로 비계파이프를 절단하는 순간 작업대가 출렁이면서 작업대에 있던 재해자가 약 35m 바닥으로 추락하여 사망"/>
    <s v="고소작업대 위에서 도장작업 중, 고소작업대 상부난간대가 이탈되어 근로자가 몸의 중심을 잃고 추락"/>
    <s v="▶ 고소작업대 안전난간 설치 철저_x000a_▶ 고소작업대 안전난간 잠금핀 등 방호장치 점검 철저_x000a_▶ 안전대ㆍ안전모 지급, 착용 철저"/>
  </r>
  <r>
    <n v="12"/>
    <x v="1"/>
    <x v="4"/>
    <x v="95"/>
    <s v="YES"/>
    <x v="3"/>
    <x v="21"/>
    <s v="12대 기인물"/>
    <n v="6"/>
    <n v="4.9000000000000002E-2"/>
    <s v="2019년 10월"/>
    <d v="2019-10-01T00:00:00"/>
    <n v="10"/>
    <s v="-"/>
    <x v="2"/>
    <s v="2019년 10월경 공장 주행크레인 레일 설치를 위하여 재해자가 고소작업대에 탑승하여 고소작업대를 상승시킨 채 이동하던 중 고소작업대 바퀴가 평탄하지 않은 작업면(개구부)에 빠진 후 고소작업대가 전도되면서 재해자가 하부 바닥으로 추락(높이 7.2m)하여 사망"/>
    <s v="고소작업대에 탑승하여 고소작업대를 상승시킨 채 이동하던 중, 고소작업대 바퀴가 개구부에 빠진 후 고소작업대가 전도되어 근로자 추락"/>
    <s v="▶ 고소작업대 이동통로의 요철상태 확인 및 조치_x000a_▶ 고소작업대 이동시 작업대를 가장 낮게 내린 채 운행_x000a_▶ 안전모 착용 관리 철저"/>
  </r>
  <r>
    <n v="12"/>
    <x v="1"/>
    <x v="5"/>
    <x v="6"/>
    <s v="YES"/>
    <x v="3"/>
    <x v="21"/>
    <s v="12대 기인물"/>
    <n v="6"/>
    <n v="4.9000000000000002E-2"/>
    <s v="2017년 9월경"/>
    <d v="2017-09-01T00:00:00"/>
    <n v="9"/>
    <s v="-"/>
    <x v="2"/>
    <s v="2017년 9월경 OO빌딩에서 재해자가 고소작업대(차량탑재용)에 탑승하여 지상 높이 약28미터 지점인 8층 건물외벽에서 광고 현수막 설치작업을 하던 중 추락하여 사망"/>
    <s v="안전난간이 미설치된 고소작업차에서 건물 외벽 광고 현수막 설치작업 중 몸의 중심을 잃고 바닥으로 떨어짐 "/>
    <s v="▶ 고소작업대의 작업대(운반구) 안전난간 설치_x000a_▶ 근로자 개인보호구, 안전대 체결여부 점검 및 관리감독"/>
  </r>
  <r>
    <n v="12"/>
    <x v="1"/>
    <x v="5"/>
    <x v="6"/>
    <s v="YES"/>
    <x v="3"/>
    <x v="21"/>
    <s v="12대 기인물"/>
    <n v="6"/>
    <n v="4.9000000000000002E-2"/>
    <s v="2019년 5월경"/>
    <d v="2019-05-01T00:00:00"/>
    <n v="5"/>
    <s v="-"/>
    <x v="6"/>
    <s v="2019년 5월경 OO보수공사 현장에서 재해자가 고소작업대를 사용하여 양식장 철골빔 녹제거 작업을 하던 중 고소작업대가 상승하여 재해자가 고소작업대 안전난간과 천장 철골빔 사이에 끼여 사망"/>
    <s v="고소작업대를 사용하여 철골빔 녹제거 작업을 하던 중 고소작업대가 상승하여 고소작업대 안전난간과 철골빔 사이에 끼임"/>
    <s v="▶ 고소작업대 사용시 안전장치(과상승방지장치) 체결"/>
  </r>
  <r>
    <n v="2"/>
    <x v="2"/>
    <x v="7"/>
    <x v="10"/>
    <s v="YES"/>
    <x v="3"/>
    <x v="21"/>
    <s v="12대 기인물"/>
    <n v="6"/>
    <n v="4.9000000000000002E-2"/>
    <s v="2016년 10월"/>
    <d v="2016-10-01T00:00:00"/>
    <n v="10"/>
    <s v="-"/>
    <x v="3"/>
    <s v="2016년 10월경 OO토건공사 현장에서 철근공인 재해자가 철근다발(약 1톤) 인양을 위한 줄걸이 및 신호 작업을 하던 중, 차량탑재형 크레인(15톤)의 선회부 볼트가 파단되면서 떨어지던 붐대가 재해자를 강타하여 사망, 운전원 OOO은 운전석에서 지상으로 추락(H≒3M)하여 부상"/>
    <s v="철근 다발 인양을 위한 줄걸이 및 신호 작업을 하던 중, 크레인의 선회부 볼트가 파단되면서 떨어지던 붐대가 근로자에게 낙하"/>
    <s v="▶ 차량탑재형 크레인 등 유해 위험기계 대여 시 작업 전 사전 점검 실시_x000a_▶ 대여받은 자에게 기계 등의 수리·보수 및 점검내역을 서면으로 제공_x000a_▶ 크레인 사용 시 과부하장치 설치를 통한 허용 인양하중 내에서 작업 실시_x000a_▶ 크레인 붐 선회부 체결볼트의 정기점검 실시"/>
  </r>
  <r>
    <n v="2"/>
    <x v="2"/>
    <x v="7"/>
    <x v="34"/>
    <s v="YES"/>
    <x v="3"/>
    <x v="21"/>
    <s v="12대 기인물"/>
    <n v="6"/>
    <n v="4.9000000000000002E-2"/>
    <s v="2021년 8월경"/>
    <d v="2021-08-01T00:00:00"/>
    <n v="8"/>
    <s v="혹서기"/>
    <x v="2"/>
    <s v="2021년 8월경 OO공동주택 신축공사 현장에서 시저형 고소작업대에 탑승중인 재해자가 수직철근(L:7.35m) 11본(약 246kg)을 고소작업대에 기대어 기둥 철근 조립 작업(H:약4.9M)을 하던 중 고소작업대가 전도되며 바닥으로 떨어져 사망"/>
    <s v="시저형 고소작업대에 탑승중인 재해자가 수직철근 다발을 고소작업대에 기대어 기둥 철근 조립 작업을 하던 중 고소작업대가 전도되며 바닥으로 추락 "/>
    <s v="▶ 고소작업대의 허용하중을 넘어선 중량물 적재 금지_x000a_▶ 고소작업대 이동 시 작업대를 가장 낮게 하강 후 이동통로의 요철상태, 장애물 등의 유무 등 확인 후 이동_x000a_▶ 고소작업대에서 작업 시 작업대 내부에서 작업하며, 안전대 체결 시 가능한 범위에서 작업_x000a_▶ 개인보호구 지급 및 착용"/>
  </r>
  <r>
    <n v="3"/>
    <x v="3"/>
    <x v="9"/>
    <x v="36"/>
    <s v="YES"/>
    <x v="3"/>
    <x v="21"/>
    <s v="12대 기인물"/>
    <n v="6"/>
    <n v="4.9000000000000002E-2"/>
    <s v="2018년 9월경"/>
    <d v="2018-09-01T00:00:00"/>
    <n v="9"/>
    <s v="-"/>
    <x v="2"/>
    <s v="2018년 9월경 OO(주)에서 시공하는 OO 공장 신축공사 현장에서 재해자(철골공)가 철골 상부의 잔여 자재 회수를 위하여 고소작업대 중간 난간대에 올라서서 작업중 약 8.0m 아래 콘크리트 바닥으로 추락하여 사망"/>
    <s v="철골구조물에서 고소작업대에 탑승하여 고소작업대의 안전난간을 밟고 작업하던 중 몸의 균형을 잃고 근로자 추락"/>
    <s v="▶ 고소작업대를 사용하는 경우 탑승자가 작업대를 벗어나지 않도록 조치_x000a_▶ 고소작업대 사용 작업 시 작업대의 안전난간이 아닌 별도의 안전대 부착설비 설치 및 안전대 착용관리_x000a_▶ 고소작업대 안전장치 설치 및 정상작동 상태 유지로 허용 작업범위 내에서 작업 실시"/>
  </r>
  <r>
    <n v="3"/>
    <x v="3"/>
    <x v="9"/>
    <x v="13"/>
    <s v="YES"/>
    <x v="3"/>
    <x v="21"/>
    <s v="12대 기인물"/>
    <n v="6"/>
    <n v="4.9000000000000002E-2"/>
    <s v="2015년 9월경"/>
    <d v="2015-09-01T00:00:00"/>
    <n v="9"/>
    <s v="-"/>
    <x v="2"/>
    <s v="2015년 9월경 OO(주) 공장내부 수리작업 현장에서 재해자가 고소작업대에 탑승하여 철골 후레싱(flashing) 마감작업 중 작업장 바닥으로 추락(H≒4.0)하여 사망"/>
    <s v="철골구조물에서 고소작업대에 탑승하여 고소작업대의 안전난간을 밟고 작업하던 중 몸의 균형을 잃고 근로자 추락"/>
    <s v="▶ 고소작업대를 사용하는 경우 탑승자가 작업대를 벗어나지 않도록 조치_x000a_▶ 고소작업대 사용 작업 시 작업대의 안전난간이 아닌 별도의 안전대 부착설비 설치 및 안전대 착용관리_x000a_▶ 고소작업대 안전장치 설치 및 정상작동 상태 유지로 허용 작업범위 내에서 작업 실시"/>
  </r>
  <r>
    <n v="3"/>
    <x v="3"/>
    <x v="9"/>
    <x v="13"/>
    <s v="YES"/>
    <x v="3"/>
    <x v="21"/>
    <s v="12대 기인물"/>
    <n v="6"/>
    <n v="4.9000000000000002E-2"/>
    <s v="2017년 1월경"/>
    <d v="2017-01-01T00:00:00"/>
    <n v="1"/>
    <s v="혹한기"/>
    <x v="2"/>
    <s v="2017년 1월경 OO종합건설(주) OO공장 신축공사 현장에서 재해자가 고소작업대를 사용하여 지붕 철골 줄걸이 해체작업 중 지상 1층 콘크리트 바닥으로 떨어져(높이 약 10.2m) 사망"/>
    <s v="고소작업대에 탑승한 상태에서 고소작업대 난간을 밟고 철골 보 위로 이동하던 중 근로자가 몸의 균형을 잃고 추락"/>
    <s v="▶ 고소작업대를 설치하는 경우 갑작스러운 이동 방지를 위해 상호연동 제어장치를 설치_x000a_▶ 고소작업대 사용 작업 시 안전한 장소에서 작업대를 탑승하거나 내리도록 조치_x000a_▶ 고소작업대 사용 시 작업대의 모든 측면에 안전난간 설치"/>
  </r>
  <r>
    <n v="3"/>
    <x v="3"/>
    <x v="9"/>
    <x v="13"/>
    <s v="YES"/>
    <x v="3"/>
    <x v="21"/>
    <s v="12대 기인물"/>
    <n v="6"/>
    <n v="4.9000000000000002E-2"/>
    <s v="2017년 5월경"/>
    <d v="2017-05-01T00:00:00"/>
    <n v="5"/>
    <s v="-"/>
    <x v="2"/>
    <s v="2017년 5월경 OO건설(주)가 시공하는 ㈜OO공장 신축공사 현장에서 협력업체 소속인 재해자가 철골부재 조립작업을 하기위해 고소작업차에 탑승하여 이동 중 고소작업차가 전도되어 높이 약 4m아래 공장동 내부 콘크리트 바닥으로 떨어져 사망"/>
    <s v="철골부재 조립작업을 위해 고소작업대(시저형)에 탑승하여 작업대를 약 4m 높이까지 하강하여 이동 중 고소작업대가 전도되어 바닥으로 떨어짐"/>
    <s v="▶ 고소작업대 이동 시 작업대를 가장 낮게 하강 후 이동통로의 요철상태, 장애물 등의 유무 등 확인 후 이동_x000a_▶ 고소작업대에서 작업 시 작업대 내부에서 작업하며, 안전대 체결 시 가능한 범위에서 작업_x000a_▶ 개인보호구 지급 및 착용"/>
  </r>
  <r>
    <n v="3"/>
    <x v="3"/>
    <x v="9"/>
    <x v="13"/>
    <s v="YES"/>
    <x v="3"/>
    <x v="21"/>
    <s v="12대 기인물"/>
    <n v="6"/>
    <n v="4.9000000000000002E-2"/>
    <s v="2017년 8월경"/>
    <d v="2017-08-01T00:00:00"/>
    <n v="8"/>
    <s v="혹서기"/>
    <x v="2"/>
    <s v="2017년 8월경 OO공장 신축공사 현장에서 재해자(판넬공)가 건물 배면부 지붕처마 물받이 설치작업을 위해 고소작업대(시저형 렌탈)에 탑승하여 작업대를 상승시킨 상태에서 철골 빔 위로 올라가 이동하던 중 약 7m 아래의 콘크리트 바닥으로 추락하여 사망"/>
    <s v="안전대 미착용 등 추락방지조치 미실시한 상태에서 고소작업대에서 철골 구조물로 이동 중 추락"/>
    <s v="▶ 추락위험이 있는 철골 보에서 안전대를 안전대 부착설비 또는 철골 홀 등에 체결한 상태에서 이동_x000a_▶ 철골구조물 승하강시에는 안전대 부착설비나 안전블럭을 활용하여 승하강 실시"/>
  </r>
  <r>
    <n v="3"/>
    <x v="3"/>
    <x v="9"/>
    <x v="13"/>
    <s v="YES"/>
    <x v="3"/>
    <x v="21"/>
    <s v="12대 기인물"/>
    <n v="6"/>
    <n v="4.9000000000000002E-2"/>
    <s v="2017년 9월경"/>
    <d v="2017-09-01T00:00:00"/>
    <n v="9"/>
    <s v="-"/>
    <x v="2"/>
    <s v="2017년 9월경 ㈜OO에서 시공하는 OO공장 증축공사 현장에서 협력업체인 OO산업 소속 재해자(철골공)가 3층 철골 보 위에서 볼트 체결(가조임) 작업중 약 9.5m 아래 콘크리트 바닥으로 추락하여 사망"/>
    <s v="재해자가 안전대 미착용 상태에서 철골 보 위에서 볼트 체결(가조임) 작업중 약 9.5m 아래 콘크리트 바닥으로 추락"/>
    <s v="▶ 철골 보 상부에서 작업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3"/>
    <x v="21"/>
    <s v="12대 기인물"/>
    <n v="6"/>
    <n v="4.9000000000000002E-2"/>
    <s v="2019년 1월경"/>
    <d v="2019-01-01T00:00:00"/>
    <n v="1"/>
    <s v="혹한기"/>
    <x v="2"/>
    <s v="2019년 1월경 OO공사 현장에서 직영 근로자인 재해자(철골공)가 고소작업차(차량탑재형)의 작업대에서 부재 설치 및 수정작업 중 몸의 중심을 잃고 약 7m 아래 바닥으로 떨어져 사망"/>
    <s v="고소작업차의 작업대에서 아케이드 부재 설치 및 수정작업 중 작업대 내부에서 이동 중 몸의 중심을 잃고(원인 미상) 추락"/>
    <s v="▶ 고소작업대 사용 시 추락방지를 위해 안전대 부착설비 설치 및 안전대 착용_x000a_▶ 고소작업대를 사용하여 작업 시 작업대 내부에서만 작업 또는 안전대 체결 시 가능한 범위에서 작업 실시_x000a_▶ 개인보호구 지급 및 착용"/>
  </r>
  <r>
    <n v="3"/>
    <x v="3"/>
    <x v="9"/>
    <x v="13"/>
    <s v="YES"/>
    <x v="3"/>
    <x v="21"/>
    <s v="12대 기인물"/>
    <n v="6"/>
    <n v="4.9000000000000002E-2"/>
    <s v=" 2019년 7월"/>
    <d v="2019-07-01T00:00:00"/>
    <n v="7"/>
    <s v="혹서기"/>
    <x v="6"/>
    <s v=" 2019년 7월경 OO(주) OO 신축공사 현장에서 협력업체 ㈜OO 소속 재해자(철골공)가 고소작업대에 탑승하여 지상 2층 철골보 볼트 본조임 작업을 하던 과정에서, 고소작업대 상승 중 철골보와 고소작업대 안전난간 사이에 머리가 협착되어 사망"/>
    <s v="시저형 고소작업대에 탑승하여 철골보 볼트 본조임 작업을 하던 중 고소작업대 상승 중 철골보와 고소작업대 안전난간 사이에 근로자 머리가 협착"/>
    <s v="▶ 고소작업대 사용 시 과상승 방지장치를 4개소에 설치하며 유효높이 확보 후 작업 실시_x000a_▶과상승 방지장치의 수정방법이 간단하여 임의 조작이 불가능한 구조로 설계 혹은 안전난간에 눌림을 감지하여 작업대의 과상승 방지 구조로 사용"/>
  </r>
  <r>
    <n v="3"/>
    <x v="3"/>
    <x v="9"/>
    <x v="13"/>
    <s v="YES"/>
    <x v="3"/>
    <x v="21"/>
    <s v="12대 기인물"/>
    <n v="6"/>
    <n v="4.9000000000000002E-2"/>
    <s v="2019년 12월"/>
    <d v="2019-12-01T00:00:00"/>
    <n v="12"/>
    <s v="혹한기"/>
    <x v="2"/>
    <s v="2019년 12월경 OO(주) OO신축공사 현장에서 재해자(도장공)가 차량탑재형 고소작업대의 작업대에 탑승하여 포장동 상부 철골구조물(H≒40m)에 내화도장 작업을 하던 중 장비가 전도되어 작업대에 타고있던 재해자가 지면으로 떨어져(H≒12m) 사망"/>
    <s v="차량탑재형 고소작업대의 작업대에 탑승하여 상부 철골 구조물에 내화도장 작업을 하던 중 고소작업대 허용 작업반경을 초과하여 작업하면서 전도되어 근로자 추락"/>
    <s v="▶ 고소작업대 허용 작업반경 내 사용 준수 _x000a_▶ 고소작업대 안전장치 설치 및 정상작동 상태 유지로 허용 작업범위 내에서 작업 실시_x000a_▶ 고소작업대 작업 전 과부하방지장치 등 안전장치 설치상태 및 작동유무 점검"/>
  </r>
  <r>
    <n v="3"/>
    <x v="3"/>
    <x v="9"/>
    <x v="13"/>
    <s v="YES"/>
    <x v="3"/>
    <x v="21"/>
    <s v="12대 기인물"/>
    <n v="6"/>
    <n v="4.9000000000000002E-2"/>
    <s v="2020년 6월경"/>
    <d v="2020-06-01T00:00:00"/>
    <n v="6"/>
    <s v="혹서기"/>
    <x v="4"/>
    <s v="2020년 6월경 OO축사 신축공사 현장에서 재해자(용접공)가 고소작업대(시저형) 위에서 작업대의 승강발판을 딛고 지상바닥으로 내려오려던 중 몸의 중심을 잃고 앞으로 떨어지면서(H≒1.2m) 사조(飼槽)벽체(H=60cm) 상단에 돌출 된 수직철근(L=11.5cm)에 우측흉부가 찔려 사망"/>
    <s v="고소작업대 위에서 작업대의 승강발판을 딛고 지상바닥으로 내려오던 중 근로자가  발판에서 실족 또는 몸의 중심을 잃고 추락하며 벽체 철근에 찔림"/>
    <s v="▶ 고소작업대 사용 작업 시 안전한 장소에서 작업대를 탑승하거나 내리도록 조치_x000a_▶ 승강발판을 이용하는 경우, 고소작업대 방향을 향한 상태로 3점접촉 승강법을 준수하도록 조치_x000a_▶ 고소작업대 사용 시 작업대의 모든 측면에 안전난간 설치"/>
  </r>
  <r>
    <n v="3"/>
    <x v="3"/>
    <x v="9"/>
    <x v="13"/>
    <s v="YES"/>
    <x v="3"/>
    <x v="21"/>
    <s v="12대 기인물"/>
    <n v="6"/>
    <n v="4.9000000000000002E-2"/>
    <s v="2020년 6월경"/>
    <d v="2020-06-01T00:00:00"/>
    <n v="6"/>
    <s v="혹서기"/>
    <x v="2"/>
    <s v="2020년 6월경 OO에서 시공하는 근린생활시설 신축공사 현장에서 재해자(철골공)가 고소작업대(시저형)에 탑승한 상태에서 지붕 철골구조물 상부에 적재되어있던 Purlin(C형강: 길이9.2m) 배치 작업을 하던 중, 고소작업대가 알 수 없는 이유로 갑자기 약 0.8m가량 후진하면서 몸의 중심을 잃고 약 7.2m 아래 콘크리트 바닥으로 떨어져 사망_x000d_"/>
    <s v="고소작업대에 탑승한 상태에서 지붕 철골구조물 상부에 적재되어 있던 퍼린(Purline) 배치 작업을 하던 중 신체 일부가 조이스틱과 접촉하면서 임의 작동하여 후진하면서 근로자가 몸의 균형을 잃고 추락"/>
    <s v="▶ 고소작업대를 설치하는 경우 갑작스러운 이동 방지를 위해 상호연동 제어장치를 설치_x000a_▶ 고소작업대 사용 작업 시 안전한 장소에서 작업대를 탑승하거나 내리도록 조치_x000a_▶ 고소작업대 사용 시 작업대의 모든 측면에 안전난간 설치"/>
  </r>
  <r>
    <n v="3"/>
    <x v="3"/>
    <x v="9"/>
    <x v="13"/>
    <s v="YES"/>
    <x v="3"/>
    <x v="21"/>
    <s v="12대 기인물"/>
    <n v="6"/>
    <n v="4.9000000000000002E-2"/>
    <s v="2020년 10월"/>
    <d v="2020-10-01T00:00:00"/>
    <n v="10"/>
    <s v="-"/>
    <x v="2"/>
    <s v="2020년 10월경 OO산업단지 내 ㈜OO건설이 시공 중인 ㈜OO공장 신축공사 현장에서 철골 조립작업 협력업체 근로자가 차량 탑재형 고소작업대(스카이)를 사용하여 작업을 진행하던 중 작업대 하부가 철골 빔 볼트에 걸려 장비를 조정하던 과정에서 작업대의 상하 반동으로 작업대에 탑승하고 있던 재해자가 추락(H= 약 23m)하여 사망"/>
    <s v="차량탑재형 고소작업대를 사용하여 작업을 진행하던 중 작업대 하부가 철골 빔 볼트에 걸려 장비를 조정하던 과정에서 작업대 반동으로 인해 근로자 추락 "/>
    <s v="▶ 고소작업대를 사용하여 작업 시 안전대 체결 후 작업을 실시하며 적정 안전대 부착시설을 설치하여 가능한 범위 내에서 작업 실시_x000a_▶ 고소작업대 사용 시 작업대의 모든 측면에 안전난간 설치_x000a_▶ 개인보호구 지급 및 착용 "/>
  </r>
  <r>
    <n v="3"/>
    <x v="3"/>
    <x v="9"/>
    <x v="13"/>
    <s v="YES"/>
    <x v="3"/>
    <x v="21"/>
    <s v="12대 기인물"/>
    <n v="6"/>
    <n v="4.9000000000000002E-2"/>
    <s v="2021년 3월경"/>
    <d v="2021-03-01T00:00:00"/>
    <n v="3"/>
    <s v="-"/>
    <x v="2"/>
    <s v="2021년 3월경 OO 공장 신축공사 현장에서 협력업체 OO기공 소속 재해자(조립공)가 동료작업자와 함께 자주식 시저형 고소작업대에 탑승하여 약 12미터 위치의 2번째 철골구조물 조립을 위해 상승하던 중 지상으로 추락하여 사망"/>
    <s v="철골 구조물 조립을 위해 자주식 시저형 고소작업대에 탑승하여 상승하던 중 재해자는 불안정한 행동 등 기타의 사유로 고소작업대를 벗어나 지상으로 추락"/>
    <s v="▶ 고소작업대를 사용하는 경우 탑승자가 작업대를 벗어나지 않도록 조치_x000a_▶ 고소작업대 사용 작업 시 작업대의 안전난간이 아닌 별도의 안전대 부착설비 설치 및 안전대 착용관리_x000a_▶ 고소작업대 안전장치 설치 및 정상작동 상태 유지로 허용 작업범위 내에서 작업 실시"/>
  </r>
  <r>
    <n v="3"/>
    <x v="3"/>
    <x v="9"/>
    <x v="13"/>
    <s v="YES"/>
    <x v="3"/>
    <x v="21"/>
    <s v="12대 기인물"/>
    <n v="6"/>
    <n v="4.9000000000000002E-2"/>
    <s v="2021년 5월경"/>
    <d v="2021-05-01T00:00:00"/>
    <n v="5"/>
    <s v="-"/>
    <x v="2"/>
    <s v="2021년 5월경 OO공장 신축공사 현장 내 공장 1동 철골 루프층(보 2단. h≒10m)에서 볼트 수체결 작업 후 지상으로 내려오기 위해 고소작업대(시저형)로 이동 중 바닥면으로 떨어져 사망"/>
    <s v="안전대 미착용 등 추락방지조치 미실시한 상태에서 고소작업대에서 철골 구조물로 이동 중 추락"/>
    <s v="▶ 추락위험이 있는 철골 보에서 안전대를 안전대 부착설비 또는 철골 홀 등에 체결한 상태에서 이동_x000a_▶ 철골구조물 승하강시에는 안전대 부착설비나 안전블럭을 활용하여 승하강 실시"/>
  </r>
  <r>
    <n v="3"/>
    <x v="3"/>
    <x v="9"/>
    <x v="13"/>
    <s v="YES"/>
    <x v="3"/>
    <x v="21"/>
    <s v="12대 기인물"/>
    <n v="6"/>
    <n v="4.9000000000000002E-2"/>
    <s v="2021년 5월경"/>
    <d v="2021-05-01T00:00:00"/>
    <n v="5"/>
    <s v="-"/>
    <x v="2"/>
    <s v="2021년 5월경 OO건축에서 시공하는 OO공장 증축공사 현장에서 협력업체 소속 재해자는 지붕철골 본조립을 위해 고소작업대에서 테두리 Girder 이동 중 약 5.5m 아래 구조물 바닥으로 떨어져 사망"/>
    <s v="안전대 미착용 등 추락방지조치 미실시한 상태에서 고소작업대에서 철골 구조물로 이동 중 추락"/>
    <s v="▶ 추락위험이 있는 철골 보에서 안전대를 안전대 부착설비 또는 철골 홀 등에 체결한 상태에서 이동_x000a_▶ 철골구조물 승하강시에는 안전대 부착설비나 안전블럭을 활용하여 승하강 실시"/>
  </r>
  <r>
    <n v="3"/>
    <x v="3"/>
    <x v="9"/>
    <x v="13"/>
    <s v="YES"/>
    <x v="3"/>
    <x v="21"/>
    <s v="12대 기인물"/>
    <n v="6"/>
    <n v="4.9000000000000002E-2"/>
    <s v="2021년 12월"/>
    <d v="2021-12-01T00:00:00"/>
    <n v="12"/>
    <s v="혹한기"/>
    <x v="2"/>
    <s v="2021년 12월경 OO건설㈜에서 시공하는 OO 주유소 신축공사 현장에서 OO건설(주) 소속 패널공 2명이 고소작업대(시저형)에 탑승하여 약 7.5m 높이에서 철골구조물의 용접작업을 하려던 중 고소작업대 설치 위치 이동을 위해 하강하려던 순간, 고소작업대가 전도되면서 2명 모두 지면으로 떨어져 1명 사망, 1명 부상"/>
    <s v="고소작업대(시저형)에 탑승하여 약 7.5m 높이에서 철골구조물의 용접작업을 하려던 중 고소작업대의 수평센서가 작동되지 않은 상태에서 재해자가 하강하려던 순간 경사진 방향으로 고소작업대가 전도되면서 지면으로 추락"/>
    <s v="▶ 고소작업대의 붐대를 상승시킨 상태에서 작업 시 작업대 범위 내에서 작업 실시 또는 안전대 부착설비 설치 및 안전대 체결 상태에서 가능한 범위 내의 작업 실시_x000a_▶ 고소작업대를 사용하여 작업 시 근로자의 무리한 작업 방지를 위해 붐대 하강 후 고소작업대 이동을 통한 정확한 위치에서 작업_x000a_▶ 근로자가 추락할 위험이 있는 보 상단 등 높이 2m 이상인 장소에 안전대를 안전하게 걸어 사용할 수 있는 안전대 부착설비 설치"/>
  </r>
  <r>
    <n v="4"/>
    <x v="4"/>
    <x v="10"/>
    <x v="37"/>
    <s v="YES"/>
    <x v="3"/>
    <x v="21"/>
    <s v="12대 기인물"/>
    <n v="6"/>
    <n v="4.9000000000000002E-2"/>
    <s v="2017년 4월경"/>
    <d v="2017-04-01T00:00:00"/>
    <n v="4"/>
    <s v="-"/>
    <x v="2"/>
    <s v="2017년 4월경 OO건설이 시공하는 다목적복지회관 건물 지상 4층의 체력단련실 내 화장실 설치공사 현장에서 재해자가 이삿짐운반용 리프트(일명 사다리차) 운반구에 탑승하여 지상 4층으로 시멘트벽돌을 양중하던 중 이삿짐운반용 리프트 운반구를 이동시키는 와이어로프가 파단되며 이삿짐운반용 리프트 운반구가 지상 4층(12.8m) 높이에서 지면으로 낙하함과 동시에 운반구에 탑승해 있던 재해자가 추락하여 사망"/>
    <s v="이삿짐운반용 리프트 운반구에 탑승하여 시멘트 벽돌을 양중하던 중, 와이어로프가 파단되어 리프트가 전도되며 근로자 추락 "/>
    <s v="▶ 이삿짐운반용 리프트 운반구에 근로자 탑승 금지_x000a_▶ 이삿짐운반용 리프트 안전검사 실시 및 확인 철저_x000a_▶ 이삿짐운반용 리프트 운반구에 적재하중 준수"/>
  </r>
  <r>
    <n v="4"/>
    <x v="4"/>
    <x v="10"/>
    <x v="15"/>
    <s v="YES"/>
    <x v="3"/>
    <x v="21"/>
    <s v="12대 기인물"/>
    <n v="6"/>
    <n v="4.9000000000000002E-2"/>
    <s v="2016년 6월경"/>
    <d v="2016-06-01T00:00:00"/>
    <n v="6"/>
    <s v="혹서기"/>
    <x v="6"/>
    <s v="2016년 6월경 OO신축공사에서 지하주차장 보 견출 작업 중 고소작업대와 지하주차장 보 사이에 두부가 끼어 사망"/>
    <s v="고소작업대에 탑승하여 보 또는 천정부의 견출 작업 중 천정과 고소작업대 상부 난간 사이에 끼임"/>
    <s v="▶ 방호 장치 해체 금지_x000a_▶ 고소작업대를 사용하는 경우 작업대가 일정 높이 이상 상승하지 못하도록 과상승방지장치를 적당한 높이로 설치_x000a_▶ 작업전 고소작업대 작동상태 및 이상여부 점검 실시"/>
  </r>
  <r>
    <n v="4"/>
    <x v="4"/>
    <x v="10"/>
    <x v="15"/>
    <s v="YES"/>
    <x v="3"/>
    <x v="21"/>
    <s v="12대 기인물"/>
    <n v="6"/>
    <n v="4.9000000000000002E-2"/>
    <s v="2016년 8월경"/>
    <d v="2016-08-01T00:00:00"/>
    <n v="8"/>
    <s v="혹서기"/>
    <x v="6"/>
    <s v="2016년 8월경 OO신축공사에서 철선제거 작업을 위하여 고소작업대(시저형)에 탑승하여 상승하던 중, 지하 1층 천정과 작업대의 안전난간 사이에 머리가 끼어 사망"/>
    <s v="고소작업대에 탑승하여 보 또는 천정부의 견출 작업 중 천정과 고소작업대 상부 난간 사이에 끼임"/>
    <s v="▶ 방호 장치 해체 금지_x000a_▶ 고소작업대를 사용하는 경우 작업대가 일정 높이 이상 상승하지 못하도록 과상승방지장치를 적당한 높이로 설치_x000a_▶ 작업전 고소작업대 작동상태 및 이상여부 점검 실시"/>
  </r>
  <r>
    <n v="4"/>
    <x v="4"/>
    <x v="10"/>
    <x v="15"/>
    <s v="YES"/>
    <x v="3"/>
    <x v="21"/>
    <s v="12대 기인물"/>
    <n v="6"/>
    <n v="4.9000000000000002E-2"/>
    <s v="2017년 2월경"/>
    <d v="2017-02-01T00:00:00"/>
    <n v="2"/>
    <s v="혹한기"/>
    <x v="6"/>
    <s v="2017년 2월경 OO신축공사에서 고소작업대(시저형)에 탑승하여 지하층 콘크리트 구조물 면의 할석작업(거푸집 제거 작업)을 진행하던 중 지하층 천정 보와 고소작업대의 난간대 상부 사이에 흉부가 끼어 사망"/>
    <s v="고소작업대에 탑승하여 보 또는 천정부의 견출 작업 중 천정과 고소작업대 상부 난간 사이에 끼임"/>
    <s v="▶ 방호 장치 해체 금지_x000a_▶ 고소작업대를 사용하는 경우 작업대가 일정 높이 이상 상승하지 못하도록 과상승방지장치를 적당한 높이로 설치_x000a_▶ 작업전 고소작업대 작동상태 및 이상여부 점검 실시"/>
  </r>
  <r>
    <n v="4"/>
    <x v="4"/>
    <x v="10"/>
    <x v="15"/>
    <s v="YES"/>
    <x v="3"/>
    <x v="21"/>
    <s v="12대 기인물"/>
    <n v="6"/>
    <n v="4.9000000000000002E-2"/>
    <s v="2020년 8월경"/>
    <d v="2020-08-01T00:00:00"/>
    <n v="8"/>
    <s v="혹서기"/>
    <x v="1"/>
    <s v="2020년 8월경 OO신축공사에서 1층 바닥 미장 공사를 위한 청소작업 중 후진하는 고소작업대(시저형)에 깔리면서 끼어 사망"/>
    <s v="바닥 미장공사를 위해 청소작업 중 정된 유도자 미배치 한 상태로 후진하는 고소작업대에 부딪혀 깔림"/>
    <s v="▶ 차량계 하역운반기계 사용 시 출입통제 조치 실시 또는 유도자 배치_x000a_▶ 고소작업대 이동 시 작업대를 최하단으로 낮추어 이동_x000a_▶ 공사 진행 시 차량계 하역운반기계와 인접하여 협착위험이 있는 작업의 경우 사전에 인지시키거나 작업 순서 변경 권고"/>
  </r>
  <r>
    <n v="4"/>
    <x v="4"/>
    <x v="10"/>
    <x v="15"/>
    <s v="YES"/>
    <x v="3"/>
    <x v="21"/>
    <s v="12대 기인물"/>
    <n v="6"/>
    <n v="4.9000000000000002E-2"/>
    <s v="2021년 4월경"/>
    <d v="2021-04-01T00:00:00"/>
    <n v="4"/>
    <s v="-"/>
    <x v="6"/>
    <s v="2021년 4월경 OO재건축공사에서 고소작업대의 상부난간과 천장보 사이에 끼어 사망"/>
    <s v="고소작업대에 탑승하여 보 또는 천정부의 견출 작업 중 천정과 고소작업대 상부 난간 사이에 끼임"/>
    <s v="▶ 방호 장치 해체 금지_x000a_▶ 고소작업대를 사용하는 경우 작업대가 일정 높이 이상 상승하지 못하도록 과상승방지장치를 적당한 높이로 설치_x000a_▶ 작업전 고소작업대 작동상태 및 이상여부 점검 실시"/>
  </r>
  <r>
    <n v="4"/>
    <x v="4"/>
    <x v="11"/>
    <x v="16"/>
    <s v="YES"/>
    <x v="3"/>
    <x v="21"/>
    <s v="12대 기인물"/>
    <n v="6"/>
    <n v="4.9000000000000002E-2"/>
    <s v="2017년 4월경"/>
    <d v="2017-04-01T00:00:00"/>
    <n v="4"/>
    <s v="-"/>
    <x v="2"/>
    <s v="2017년 4월경 외벽 방수공사 현장에 외벽에 방수제를 도포하기 위해 고소작업차(일명 스카이, 3.5ton)의 작업대(탑승함)를 외벽에 밀착시키는 과정에서 작업대가 흔들리면서, 작업대에 탑승중이던 재해자가 중심을 잃고 바닥으로 떨어져(H≒3m) 사망"/>
    <s v="고소작업대에 탑승하여 해체물(폐벽돌, 바닥몰탈)을 작업대에 적재하던 중 붐 인출용 로프가 파단되고 작업대와 함께 바닥으로 추락"/>
    <s v="▶ 고소작업대 사용 시, 차량의 정격하중을 초과하는 자재 등을 작업대에 적재 및 운반하는 행위를 원칙적으로 금지하며 자재를 운반해야 하는 경우, 사다리 차, 건물의 계단, 리프트, E/V 등과 같은 차량 및 통로를 통한 자재 운반방식을 우선하고 불가피하게 고소작업대를 사용해야 하는 경우, 정격하중을 넘어서지 않는 범위 내에서 자재 등을 소분하여 운반하도록 조치_x000a_▶ 고소작업대 사용시, 방호장치 컨트롤러의 작동유무 및 전원상태 확인"/>
  </r>
  <r>
    <n v="4"/>
    <x v="4"/>
    <x v="11"/>
    <x v="16"/>
    <s v="YES"/>
    <x v="3"/>
    <x v="21"/>
    <s v="12대 기인물"/>
    <n v="6"/>
    <n v="4.9000000000000002E-2"/>
    <s v="2020년 10월"/>
    <d v="2020-10-01T00:00:00"/>
    <n v="10"/>
    <s v="-"/>
    <x v="6"/>
    <s v="2020년 10월경 외부벽체 방수공사 현장에서 인근 건물 담장에 있던 재해자(방수공)가 주변에서 접근하는 차량의 원활한 통행을 위해 앞으로 이동 중에 있던 고소작업대(차량탑재형)의 아우트리거(펼쳐진 상태)와 인근 건물 담장 사이에 가슴부위가 충돌·협착되어 사망"/>
    <s v="인근 건물 담장에 있는 재해자를 발견하지 못하고 고소작업대가(차량탑재형) 아우트리거를 펼친 상태에서 이동 중 담장 사이에 가슴부위가 충돌·협착"/>
    <s v="▶위험구역 내 근로자 출입금지_x000a_▶고소작업대 허용 작업반경 내에서 작업 실시_x000a_▶작업 전 아웃트리거, 과부하방지장치 등 설치 상태 및 작동 유무 점검"/>
  </r>
  <r>
    <n v="4"/>
    <x v="4"/>
    <x v="38"/>
    <x v="78"/>
    <s v="YES"/>
    <x v="3"/>
    <x v="21"/>
    <s v="12대 기인물"/>
    <n v="6"/>
    <n v="4.9000000000000002E-2"/>
    <s v="2016년 12월"/>
    <d v="2016-12-01T00:00:00"/>
    <n v="12"/>
    <s v="혹한기"/>
    <x v="2"/>
    <s v="2016년 12월경 OO신축공사에서 화장실 벽체 타일 22박스(462kg)를 고소작업대(차량 탑재형)에 실은 후 작업대에 탑승하여 지상 5층으로 상승하는 도중 2~3층(h≒11.2m)지점에서 작업대 붐 인출용 와이어로프가 파단되면서 붐이 인입되며 작업대가 약 5m 높이까지 급하강 하면서 멈추었고 그 충격으로 작업대에 탑승한 재해자 2명이 바닥으로 추락하여 1명 사망 1명 부상"/>
    <s v="고소작업대에 석재를 싣고 상승하는 중 작업대 붐 인출용 와이어로프가 파단되면서 급하강하는 작업대에서 추락"/>
    <s v="▶ 정격하중을 초과하는 자재 등을 고소작업대에 적재 및 운반하는 행위를 원칙적으로 금지하며 불가피한 경우 정격하중을 넘어서지 않는 범위 내에서 소분하여 운반하도록 조치_x000a_▶ 작업 전 고소작업대 부품 및 방호장치 등의 이상여부 점검 철저 _x000a_▶ 고소작업대 작업 시 안전대부착설비 설치 및 안전대 체결 후 작업토록 관리감독"/>
  </r>
  <r>
    <n v="4"/>
    <x v="4"/>
    <x v="21"/>
    <x v="39"/>
    <s v="YES"/>
    <x v="3"/>
    <x v="21"/>
    <s v="12대 기인물"/>
    <n v="6"/>
    <n v="4.9000000000000002E-2"/>
    <s v="2018년 12월"/>
    <d v="2018-12-01T00:00:00"/>
    <n v="12"/>
    <s v="혹한기"/>
    <x v="2"/>
    <s v="2018년 12월경 OO마트 차선도색 및 건물도색 현장에서 재해자가 차량탑재형 고소작업대를 이용해 주차장 램프(경사 진입로)도장작업을 하던 중 천장부위 도장작업을 위해 천장에 있는 이물질을 제거하다가 안전난간이 미설치된 고소작업대의 전면 방향으로 추락하여(높이 2.5m) 사망"/>
    <s v="차량탑재형 고소작업대에 탑승하여 철골 용접부 도장작업 중 몸의 중심을 잃고 안전난간이 설치되지 않은 작업대 단부로 추락"/>
    <s v="▶ 고소작업대의 모든 면에 안전난간 설치_x000a_▶ 고소작업대 작업 시 작업대의 안전난간이 아닌 별도의 안전대 부착설비 설치 및 안전대 체결 후 작업"/>
  </r>
  <r>
    <n v="4"/>
    <x v="4"/>
    <x v="21"/>
    <x v="40"/>
    <s v="YES"/>
    <x v="3"/>
    <x v="21"/>
    <s v="12대 기인물"/>
    <n v="6"/>
    <n v="4.9000000000000002E-2"/>
    <s v="2016년 2월경"/>
    <d v="2016-02-01T00:00:00"/>
    <n v="2"/>
    <s v="혹한기"/>
    <x v="2"/>
    <s v="2016년 2월경 OO공장 증축 및 대수선공사 현장에서 협력업체 소속 재해자가 고소작업대의 작업대에 탑승하여 화물용 리프트 철골 구조물 도장작업을 하던 중 안전난간대가 일부 미설치된 작업대 단부(2.8m)로부터 6m 아래 바닥으로 추락하여 사망"/>
    <s v="차량탑재형 고소작업대에 탑승하여 철골 용접부 도장작업 중 몸의 중심을 잃고 안전난간이 설치되지 않은 작업대 단부로 추락"/>
    <s v="▶ 고소작업대의 모든 면에 안전난간 설치_x000a_▶ 고소작업대 작업 시 작업대의 안전난간이 아닌 별도의 안전대 부착설비 설치 및 안전대 체결 후 작업"/>
  </r>
  <r>
    <n v="4"/>
    <x v="4"/>
    <x v="21"/>
    <x v="40"/>
    <s v="YES"/>
    <x v="3"/>
    <x v="21"/>
    <s v="12대 기인물"/>
    <n v="6"/>
    <n v="4.9000000000000002E-2"/>
    <s v="2016년 8월경"/>
    <d v="2016-08-01T00:00:00"/>
    <n v="8"/>
    <s v="혹서기"/>
    <x v="2"/>
    <s v="2016년 8월경 OO대학교 실습목장 중 건축, 토목공사 현장에서 재해자가 실내마장동 지붕 트러스 페인트 보수작업을 위해 고소작업대의 탑재함에 탑승하여 불량 시공된 페인트 제거 작업을 하던 중 균형을 잃고 약 2.1m 아래 관람석 바닥으로 추락하여 사망"/>
    <s v="차량탑재형 고소작업대에 탑승하여 철골 용접부 도장작업 중 몸의 중심을 잃고 안전난간이 설치되지 않은 작업대 단부로 추락"/>
    <s v="▶ 고소작업대의 모든 면에 안전난간 설치_x000a_▶ 고소작업대 작업 시 작업대의 안전난간이 아닌 별도의 안전대 부착설비 설치 및 안전대 체결 후 작업"/>
  </r>
  <r>
    <n v="4"/>
    <x v="4"/>
    <x v="21"/>
    <x v="40"/>
    <s v="YES"/>
    <x v="3"/>
    <x v="21"/>
    <s v="12대 기인물"/>
    <n v="6"/>
    <n v="4.9000000000000002E-2"/>
    <s v="2017년 3월경"/>
    <d v="2017-03-01T00:00:00"/>
    <n v="3"/>
    <s v="-"/>
    <x v="2"/>
    <s v="2017년 3월경 OO공장 신축공사] 현장에서 협력업체 소속 재해자가 차량탑재형 고소작업대 탑승함(1.08m×3.2m)에 탑승한 상태로 지상2층 철골구조물 도장작업을 하던 중, 몸의 중심을 잃고 지상1층 바닥(H≒8.5m)으로 추락하여 사망"/>
    <s v="차량탑재형 고소작업대에 탑승하여 철골 용접부 도장작업 중 몸의 중심을 잃고 안전난간이 설치되지 않은 작업대 단부로 추락"/>
    <s v="▶ 고소작업대의 모든 면에 안전난간 설치_x000a_▶ 고소작업대 작업 시 작업대의 안전난간이 아닌 별도의 안전대 부착설비 설치 및 안전대 체결 후 작업"/>
  </r>
  <r>
    <n v="4"/>
    <x v="4"/>
    <x v="21"/>
    <x v="40"/>
    <s v="YES"/>
    <x v="3"/>
    <x v="21"/>
    <s v="12대 기인물"/>
    <n v="6"/>
    <n v="4.9000000000000002E-2"/>
    <s v="2017년 4월경"/>
    <d v="2017-04-01T00:00:00"/>
    <n v="4"/>
    <s v="-"/>
    <x v="2"/>
    <s v="2017년 4월경 고가교 보수보강공사 현장에서 고소작업대(차량탑재용)에 탑승하여 교각 주변 연석 외측부의 도장 작업을 진행하던 중 작업대가 흔들려 몸의 중심을 잃고 추락하여 사망"/>
    <s v="고소작업대에 탑승하여 교량 연석 외측부 도장작업 중 작업장소 이동을 위해 고소작업대 붐을 선회하는 과정에서 작업대가 흔들리며 몸의 중심을 잃고 추락  "/>
    <s v="▶ 고소작업대의 모든 면에 안전난간 설치_x000a_▶ 고소작업대 작업 시 작업대의 안전난간이 아닌 별도의 안전대 부착설비 설치 및 안전대 체결 후 작업"/>
  </r>
  <r>
    <n v="4"/>
    <x v="4"/>
    <x v="21"/>
    <x v="40"/>
    <s v="YES"/>
    <x v="3"/>
    <x v="21"/>
    <s v="12대 기인물"/>
    <n v="6"/>
    <n v="4.9000000000000002E-2"/>
    <s v="2018년 8월경"/>
    <d v="2018-08-01T00:00:00"/>
    <n v="8"/>
    <s v="혹서기"/>
    <x v="2"/>
    <s v="2018년 8월경 OO건설 근생 신축 현장에서 재해자가 고소작업대 위에서 도장작업 중 고소작업대 상부난간대가 이탈되어 지상1층 콘크리트 바닥으로 추락하여(H≒3.3m) 사망"/>
    <s v="고소작업대 위에서 도장작업 중, 고소작업대 상부난간대가 이탈되어 근로자가 몸의 중심을 잃고 추락"/>
    <s v="▶ 고소작업대 안전난간 설치 철저_x000a_▶ 고소작업대 안전난간 잠금핀 등 방호장치 점검 철저_x000a_▶ 안전대ㆍ안전모 지급, 착용 철저"/>
  </r>
  <r>
    <n v="4"/>
    <x v="4"/>
    <x v="21"/>
    <x v="40"/>
    <s v="YES"/>
    <x v="3"/>
    <x v="21"/>
    <s v="12대 기인물"/>
    <n v="6"/>
    <n v="4.9000000000000002E-2"/>
    <s v="2018년 10월"/>
    <d v="2018-10-01T00:00:00"/>
    <n v="10"/>
    <s v="-"/>
    <x v="2"/>
    <s v="2018년 10월경 OO리모델링 공사 현장에서 OO 직영 재해자가 차량탑재형 고소작업대에 탑승하여 외벽 도장 작업 중 외부 벽체에 설치된 각관 프레임에 작업대가 끼어있다 빠지며 작업대가 갑자기 움직여 약 9.5m 아래 콘크리트 바닥으로 추락하여 사망"/>
    <s v="고소작업대를 사용하여 지붕에서 지상으로 이동하려던 중 지붕강판에 걸려있던 작업대가 떨어져 나감과 동시에 그 충격으로 몸의 중심을 잃고 바닥으로 추락"/>
    <s v="▶ 고소작업대를 사용하여 작업 시, 지붕강판 등 구조물에 걸려 작업대의 승하강이 어려울 경우, 운전자는 작업대가 걸려있는 상황을 직접 파악한 후 조작 실시_x000a_▶ 고소작업대를 통해 작업 시, 전면부에 웨빙띠 및 안전 난간 등과 같은 추락방지조치 철저"/>
  </r>
  <r>
    <n v="4"/>
    <x v="4"/>
    <x v="21"/>
    <x v="40"/>
    <s v="YES"/>
    <x v="3"/>
    <x v="21"/>
    <s v="12대 기인물"/>
    <n v="6"/>
    <n v="4.9000000000000002E-2"/>
    <s v="2019년 12월"/>
    <d v="2019-12-01T00:00:00"/>
    <n v="12"/>
    <s v="혹한기"/>
    <x v="2"/>
    <s v="2019년 12월경 OO공원 주철주 도색공사 현장에서 협력업체 소속 재해자가 주철주 상단 도장 작업을 마치고 고소작업대(차량탑재형) 탑승구에 탑승한 채 내려오던 중 인접 가로수에 탑승구 하부가 접촉하며 그 충격으로 지상 바닥으로 추락하여 사망"/>
    <s v="주철주 상단 도장 작업을 마치고 고소작업대(차량탑재형) 탑승구에 탑승한 채 내려오던 중 인접 가로수에 탑승구 하부가 접촉하며 그 충격으로 지상 바닥으로 떨어짐"/>
    <s v="▶ 고소작업대의 모든 면에 안전난간 설치_x000a_▶ 고소작업대 작업 시 작업대의 안전난간이 아닌 별도의 안전대 부착설비 설치 및 안전대 체결 후 작업"/>
  </r>
  <r>
    <n v="4"/>
    <x v="4"/>
    <x v="21"/>
    <x v="40"/>
    <s v="YES"/>
    <x v="3"/>
    <x v="21"/>
    <s v="12대 기인물"/>
    <n v="6"/>
    <n v="4.9000000000000002E-2"/>
    <s v="2020년 7월경"/>
    <d v="2020-07-01T00:00:00"/>
    <n v="7"/>
    <s v="혹서기"/>
    <x v="2"/>
    <s v="2020년 7월경 OO공장 입구에서 재해자가 철골 용접부위 도장작업을 위하여 차량탑재형 고소작업대에 탑승하여 락카칠을 하던 중 안전난간이 미설치된 방향으로 몸의 중심을 잃고 높이 약 3.7m 아래로 추락하여 사망"/>
    <s v="차량탑재형 고소작업대에 탑승하여 철골 용접부 도장작업 중 몸의 중심을 잃고 안전난간이 설치되지 않은 작업대 단부로 추락"/>
    <s v="▶ 고소작업대의 모든 면에 안전난간 설치_x000a_▶ 고소작업대 작업 시 작업대의 안전난간이 아닌 별도의 안전대 부착설비 설치 및 안전대 체결 후 작업"/>
  </r>
  <r>
    <n v="4"/>
    <x v="4"/>
    <x v="21"/>
    <x v="40"/>
    <s v="YES"/>
    <x v="3"/>
    <x v="21"/>
    <s v="12대 기인물"/>
    <n v="6"/>
    <n v="4.9000000000000002E-2"/>
    <s v="2020년 8월경"/>
    <d v="2020-08-01T00:00:00"/>
    <n v="8"/>
    <s v="혹서기"/>
    <x v="2"/>
    <s v="2020년 8월경 OO학교 내.외부 도색공사 현장에서 재해자가 고소작업대(차량탑재형)를 사용하여 본관동 정면의 지붕처마 하부면 도장작업 중 정면 안전난간이 설치되지 않은 고소작업대의 작업대에서 약 9.1m 아래 바닥으로 추락하여 사망"/>
    <s v="차량탑재형 고소작업대에 탑승하여 철골 용접부 도장작업 중 몸의 중심을 잃고 안전난간이 설치되지 않은 작업대 단부로 추락"/>
    <s v="▶ 고소작업대의 모든 면에 안전난간 설치_x000a_▶ 고소작업대 작업 시 작업대의 안전난간이 아닌 별도의 안전대 부착설비 설치 및 안전대 체결 후 작업"/>
  </r>
  <r>
    <n v="4"/>
    <x v="4"/>
    <x v="21"/>
    <x v="40"/>
    <s v="YES"/>
    <x v="3"/>
    <x v="21"/>
    <s v="12대 기인물"/>
    <n v="6"/>
    <n v="4.9000000000000002E-2"/>
    <s v="2021년 6월경"/>
    <d v="2021-06-01T00:00:00"/>
    <n v="6"/>
    <s v="혹서기"/>
    <x v="2"/>
    <s v="2021년 6월경 OO아파트 외벽도장 공사현장 4층 높이(11M)에서 차량탑재형 고소작업대(스카이)를 이용한 외부 도장작업에서 운전기사가 고소작업대를 이동시키던 중 재해자가 지상으로 추락하여 사망"/>
    <s v="차량탑재형 고소작업대(스카이)를 이용한 외부 도장작업에서 고소작업대를 내리지 않고 이동시키던 중 재해자가 지상으로 추락"/>
    <s v="▶ 고소작업대의 모든 면에 안전난간 설치_x000a_▶ 고소작업대 작업 시 작업대의 안전난간이 아닌 별도의 안전대 부착설비 설치 및 안전대 체결 후 작업"/>
  </r>
  <r>
    <n v="4"/>
    <x v="4"/>
    <x v="21"/>
    <x v="40"/>
    <s v="YES"/>
    <x v="3"/>
    <x v="21"/>
    <s v="12대 기인물"/>
    <n v="6"/>
    <n v="4.9000000000000002E-2"/>
    <s v="2021년 7월경"/>
    <d v="2021-07-01T00:00:00"/>
    <n v="7"/>
    <s v="혹서기"/>
    <x v="2"/>
    <s v="2021년 7월경 OO저수지 자연환경보전·이용시설(수변생태공원) 조성사업 현장에서, 재해자가 자주식(굴절형) 고소작업대를 사용하여 자연관찰교량(보도교, Truss) 접합부(용접,볼팅) 도장작업 중, 바닥으로 추락하여 사망"/>
    <s v="차량탑재형 고소작업대에 탑승하여 철골 용접부 도장작업 중 몸의 중심을 잃고 안전난간이 설치되지 않은 작업대 단부로 추락"/>
    <s v="▶ 고소작업대의 모든 면에 안전난간 설치_x000a_▶ 고소작업대 작업 시 작업대의 안전난간이 아닌 별도의 안전대 부착설비 설치 및 안전대 체결 후 작업"/>
  </r>
  <r>
    <n v="4"/>
    <x v="4"/>
    <x v="12"/>
    <x v="17"/>
    <s v="YES"/>
    <x v="3"/>
    <x v="21"/>
    <s v="12대 기인물"/>
    <n v="6"/>
    <n v="4.9000000000000002E-2"/>
    <s v="2016년 6월경"/>
    <d v="2016-06-01T00:00:00"/>
    <n v="6"/>
    <s v="혹서기"/>
    <x v="2"/>
    <s v="2016년 6월경 3층 건물 빗물막이 설치 현장에서 2층 바닥 높이에 빗물막이를 설치하기 위해 빗물막이의 철제 뼈대를 고소작업차의 작업발판에 싣고, 재해자가 고소작업차에 함께 탑승한 후, 설치 높이(H≒3m)까지 작업발판이 상승한 상태에서, 지면에 위치한 동료 근로자에게 공구(스패너)를 전달받기 위해 몸을 숙이던 중, 작업발판 바깥으로 몸의 무게중심이 쏠리며 바닥으로 추락하여(H≒3m) 사망"/>
    <s v="고소작업대에 탑승한 상태에서 작업대 바깥으로 몸을 내밀어 지상(하부)에서 공구를 전달받던 중 몸의 중심이 바깥으로 쏠리며 추락 "/>
    <s v="▶ 고소작업대를 사용하는 경우 탑승자가 작업대를 벗어나지 않도록 조치_x000a_▶ 고소작업대 사용 작업 시 작업대의 안전난간이 아닌 별도의 안전대 부착설비 설치 및 안전대 착용관리_x000a_▶ 고소작업대 안전장치 설치 및 정상작동 상태 유지로 허용 작업범위 내에서 작업 실시"/>
  </r>
  <r>
    <n v="4"/>
    <x v="4"/>
    <x v="12"/>
    <x v="18"/>
    <s v="YES"/>
    <x v="3"/>
    <x v="21"/>
    <s v="12대 기인물"/>
    <n v="6"/>
    <n v="4.9000000000000002E-2"/>
    <s v="2016년 8월경"/>
    <d v="2016-08-01T00:00:00"/>
    <n v="8"/>
    <s v="혹서기"/>
    <x v="2"/>
    <s v="2016년 8월경 OO이 시공하는 도시형생활주택 신축공사 현장에서 협력업체 소속 재해자가 고소작업대에 탑승하여 40M 높이의 건물 외벽(11-12층 사이)에 도시가스 배관작업 중 고소작업대의 붐 인출용 체인을 고정하는 볼트가 갑자기 파단되며 급격히 붐이 접히면서 붐 간의 접힘 충격에 의해 탑승하고 있던 재해자가 11M 아래 바닥으로 추락하여 사망"/>
    <s v="배관작업 중 고소작업대 붐 인출용 체인 고정용 볼트 파단에 의한 근로자 추락"/>
    <s v="▶ 작업 전 반복 하중에 의해 균열 등이 육안검사로 확인 즉시 작업 중단_x000a_▶ 안전대ㆍ안전모 지급, 착용 철저"/>
  </r>
  <r>
    <n v="4"/>
    <x v="4"/>
    <x v="12"/>
    <x v="18"/>
    <s v="YES"/>
    <x v="3"/>
    <x v="21"/>
    <s v="12대 기인물"/>
    <n v="6"/>
    <n v="4.9000000000000002E-2"/>
    <s v="2017년 9월경"/>
    <d v="2017-09-01T00:00:00"/>
    <n v="9"/>
    <s v="-"/>
    <x v="2"/>
    <s v="2017년 9월경 ○○산업(주)공장 증축공사 현장에서 하청 소속 재해자가 현장 내부에서 고소작업대(일명:렌탈)를 사용하여 약 5m높이에 위치한 소화전 배관 용접작업 중 전기작업용 고소작업대가 재해자가 탑승한 고소작업대를 근접하여 지나가는 과정에서, 재해자가 사용중인 용접기와 연결된 이동전선이 전기작업자의 고소작업대에 걸려 당겨졌고, 이로 인해 재해자가 탑승한 고소작업대가 전도되면서 바닥으로 추학하여 사망"/>
    <s v="증축공장 내부 소화전 수직배관 연결을 위해 고소작업대에 탑승하여 용접작업 진행 중 전기작업용 고소작업대가 지나가면서 전기작업용 고소작업대에 연결된 이동전선에 의해 용접작업용 고소작업대가 전도되면서 바닥으로 추락"/>
    <s v="▶ 고소작업대 이동통로에 장애물 등을 제거 후 이동 조치_x000a_▶ 고소작업대의 이동시 다른 고소작업대와의 이동 및 작업구역이 겹치지 않은 우회경로 설정 준수"/>
  </r>
  <r>
    <n v="4"/>
    <x v="4"/>
    <x v="12"/>
    <x v="18"/>
    <s v="YES"/>
    <x v="3"/>
    <x v="21"/>
    <s v="12대 기인물"/>
    <n v="6"/>
    <n v="4.9000000000000002E-2"/>
    <s v="2018년 3월경"/>
    <d v="2018-03-01T00:00:00"/>
    <n v="3"/>
    <s v="-"/>
    <x v="2"/>
    <s v="2018년 3월경 OO건설 공사 현장 지하4층 반입구에서 고소작업대를 이용하여 방화셔터 기둥(H-beam) 해체 작업 중 무게가 약 150kg인 기둥(H-beam)의 모멘트에 의해 고소작업대가 전도되어(H≒3.5m) 고소작업대에 탑승해있던 재해자 2명이 동시에 부상"/>
    <s v="고소작업대에 방화셔터 기둥을 묶어 해체하던 중 기둥의 모멘트에 의해 고소작업대가 전도되어 바닥으로 추락"/>
    <s v="▶ H-beam등 무거운 자재를 고소작업대와 연결하여 해체하는 행위를 금지하고 크레인과 같은 인양장비를 사용하여 작업하도록 조치_x000a_▶ 고소작업대가 전도할 위험이 있는 작업을 할 경우, 안전대를 별도의 안전대 부착설비에 체결하여 고소작업대가 전도되어도 작업자의 안전을 확보할 수 있도록 조치"/>
  </r>
  <r>
    <n v="4"/>
    <x v="4"/>
    <x v="12"/>
    <x v="18"/>
    <s v="YES"/>
    <x v="3"/>
    <x v="21"/>
    <s v="12대 기인물"/>
    <n v="6"/>
    <n v="4.9000000000000002E-2"/>
    <s v="2018년 3월경"/>
    <d v="2018-03-01T00:00:00"/>
    <n v="3"/>
    <s v="-"/>
    <x v="2"/>
    <s v="2018년 3월경 OO산업 기계기초 토목공사 현장에서 기존 공장에 설치된 천장 크레인 거더가 자주식 고소작업대의 작업대를 충돌하여 높이 약 9.4m의 공장동 바닥으로 고소작업대가 전도되면서 작업대에서 작업중이던 재해자가 고소작업대와 함께 넘어져 사망"/>
    <s v="고소작업대에 탑승하여 작업하던 중 근접한 위치에서 천정크레인이 작동하면서 크레인 거더와 고소작업대가 충돌·전도되어 추락"/>
    <s v="▶ 같은 장소에서 두가지 이상의 작업이 혼재되는 경우 작업간섭 및 재해발생 위험 등을 충분히 검토하여 작업계획을 수립하고 준수하여 작업_x000a_▶ 고소작업대 작업 시 작업대의 안전난간이 아닌 별도의 안전대 부착설비 설치 및 안전대 체결 후 작업"/>
  </r>
  <r>
    <n v="4"/>
    <x v="4"/>
    <x v="12"/>
    <x v="18"/>
    <s v="YES"/>
    <x v="3"/>
    <x v="21"/>
    <s v="12대 기인물"/>
    <n v="6"/>
    <n v="4.9000000000000002E-2"/>
    <s v="2018년 4월경"/>
    <d v="2018-04-01T00:00:00"/>
    <n v="4"/>
    <s v="-"/>
    <x v="2"/>
    <s v="2018년 4월경 OO초교 균열 등 보수공사 현장에서 재해자가 교사동 2관 4층 바닥 외부의 캐노피(빗물막이용 돌출구조물) 보수를 위한 칼라강판 설치 작업 중, 몸의 중심을 잃고 1층 바닥(h≒9.9m, 보도블럭)으로 추락하여 사망"/>
    <s v="캐노피에서 작업 중 발을 헛디뎌 안전난간이 설치되지 않은 캐노피 단부로 추락"/>
    <s v="▶ 추락의 위험이 있는 장소에서 작업 시 안전난간대, 추락방지망 설치 등의 안전방호조치_x000a_▶ 안전방호조치가 현장 여건 상 어려울 경우, 안전대 부착설비는 반드시 설치_x000a_▶ 근로자의 개인보호구 지급 및 착용상태 점검 철저"/>
  </r>
  <r>
    <n v="4"/>
    <x v="4"/>
    <x v="22"/>
    <x v="88"/>
    <s v="YES"/>
    <x v="3"/>
    <x v="21"/>
    <s v="12대 기인물"/>
    <n v="6"/>
    <n v="4.9000000000000002E-2"/>
    <s v="2017년 2월경"/>
    <d v="2017-02-01T00:00:00"/>
    <n v="2"/>
    <s v="혹한기"/>
    <x v="2"/>
    <s v="2017년 2월경 OO고등학교 창호교체공사 현장에서 창호설치공인 재해자가 차량탑재형 고소작업대의 작업대에 탑승하여 교사동 3층 외부창문 고정철물(’L`형 앵글, 20×50×1.2) 설치작업 중 작업대와 건물사이 개구부에서 약7m 아래 지상바닥으로 추락"/>
    <s v="고소작업대에 탑승하여 작업 중 발을 헛디뎌 안전난간이 설치되지 않은 작업대 단부로 추락"/>
    <s v="▶ 고소작업대 작업 시, 안전대 설치 및 안전대 결합 등 추락방지조치(안전대 부착) 준수_x000a_▶ 작업자의 개인보호구, 안전대 체결여부 점검 및 관리감독"/>
  </r>
  <r>
    <n v="4"/>
    <x v="4"/>
    <x v="22"/>
    <x v="88"/>
    <s v="YES"/>
    <x v="3"/>
    <x v="21"/>
    <s v="12대 기인물"/>
    <n v="6"/>
    <n v="4.9000000000000002E-2"/>
    <s v="2017년 6월경"/>
    <d v="2017-06-01T00:00:00"/>
    <n v="6"/>
    <s v="혹서기"/>
    <x v="2"/>
    <s v="2017년 6월경 아파트 유지보수 공사 현장에서 재해자가 고소작업차(일명 스카이, 3.5톤)를 타고 아파트 발코니 외부의 창호 가장자리 부위 실리콘 충진 작업을 하던 중 아파트 주민의 요청으로 작업대(탑승함)에서 발코니 안으로 이동 중 몸의 중심을 잃고 추락(H≒7.5M)"/>
    <s v="고소작업대에서 발코니 내부로 이동하기 위해 안전대를 풀고 이동하던 중 발을 헛디뎌 작업대 단부로 추락"/>
    <s v="▶ 고소작업대 사용 시, 작업대를 벗어나서 건물 외부에서 내부로 들어가는 행위를 금지하고 불가피하게 내부로 들어가야 할 경우, 건물 내부의 튼튼한 구조물에 안전대를 체결한 후 건물 내부로 이동_x000a_▶ 고소작업대 사용 시, 전면부에 웨빙띠 및 철재난간대 등과 같은 추락방지조치_x000a_▶ 작업자의 개인보호구, 안전대 체결여부 점검 및 관리감독"/>
  </r>
  <r>
    <n v="4"/>
    <x v="4"/>
    <x v="22"/>
    <x v="88"/>
    <s v="YES"/>
    <x v="3"/>
    <x v="21"/>
    <s v="12대 기인물"/>
    <n v="6"/>
    <n v="4.9000000000000002E-2"/>
    <s v="2018년 12월"/>
    <d v="2018-12-01T00:00:00"/>
    <n v="12"/>
    <s v="혹한기"/>
    <x v="2"/>
    <s v="2018년 12월경 OO 인테리어공사 현장에서 하청업체 소속 재해자가 차량탑재형 고소작업대를 사용하여 내부 칸막이 설치용 강화유리를 하역한 후, 작업대에 탑승한 상태에서 작업대가 하강하는 순간 작업대가 흔들리면서 재해자가 약 15.0m 아래 콘크리트 바닥으로 추락"/>
    <s v="자재운반 작업 후 고소작업대를 하강하는 과정에서 작업대 하부가 구조물에 걸린상황을 인지하지 못하고 작동하는 순간 작업대가 흔들리면서 탑승해 있던 재해자가 몸의 중심을 잃고 바닥으로 추락"/>
    <s v="▶ 고소작업대 사용 시, 운전자가 오조작 하여 고소작업대가 구조물에 걸리지 않도록 작업대에서 작업하는 인원 이외의 추가로 중간 신호수를 배치하여 작업자-신호수-운전원 간의 신호체계를 구축_x000a_▶ 고소작업대를 통해 작업 시, 전면부에 웨빙띠 및 철재난간대 등과 같은 추락방지조치 철저_x000a_▶ 작업자의 개인보호구, 안전대 체결여부 점검 및 관리감독"/>
  </r>
  <r>
    <n v="4"/>
    <x v="4"/>
    <x v="22"/>
    <x v="41"/>
    <s v="YES"/>
    <x v="3"/>
    <x v="21"/>
    <s v="12대 기인물"/>
    <n v="6"/>
    <n v="4.9000000000000002E-2"/>
    <s v="2017년 1월경"/>
    <d v="2017-01-01T00:00:00"/>
    <n v="1"/>
    <s v="혹한기"/>
    <x v="2"/>
    <s v="2017년 1월경 OO고등학교 창호교체 작업 현장에서 재해자가 고소작업차량(일명고소작업대 또는 스카이, 22M)에 탑승하여 실리콘 코킹 작업을 위한 마스킹 테이프를 붙이던 중- 고소 작업차량의 안전난간 미설치 구간(약 40cm)으로 떨어짐(H ≒ 8.5m)"/>
    <s v="고소작업대에 탑승하여 작업 중 발을 헛디뎌 안전난간이 설치되지 않은 작업대 단부로 추락"/>
    <s v="▶ 고소작업대 작업 시, 안전대 설치 및 안전대 결합 등 추락방지조치(안전대 부착) 준수_x000a_▶ 작업자의 개인보호구, 안전대 체결여부 점검 및 관리감독"/>
  </r>
  <r>
    <n v="4"/>
    <x v="4"/>
    <x v="22"/>
    <x v="41"/>
    <s v="YES"/>
    <x v="3"/>
    <x v="21"/>
    <s v="12대 기인물"/>
    <n v="6"/>
    <n v="4.9000000000000002E-2"/>
    <s v="2017년 11월"/>
    <d v="2017-11-01T00:00:00"/>
    <n v="11"/>
    <s v="-"/>
    <x v="2"/>
    <s v="2017년 11월경 OO프라자 B/D 외벽보수공사 현장에서 재해자 2명이 건물 배면 지상8층(높이 약 34m)의 외벽 창틀 하부 몰딩작업을 하기 위해 차량탑재형 고소작업대(이하 고소작업대)의 작업대에 탑승하여 붐을 이동(좌선회) 중 도로에 설치된 고소작업대가 전도되면서 작업대와 함께 지상 약 33m 아래 지상으로 추락"/>
    <s v="고소작업대에 탑승한 상태에서 붐을 선회하던 중 아웃트리거가 전개되지 않은 방향으로 고소작업대가 전도하면서 작업대에서 추락"/>
    <s v="▶ 고소작업대 허용 작업반경 내 사용 준수 _x000a_▶ 고소작업대 작업 전 과부하방지장치 등 안전장치 설치상태 및 작동유무 점검_x000a_▶ 고소작업대 작업 시 아웃트리거 전개 등 전도방지조치 "/>
  </r>
  <r>
    <n v="4"/>
    <x v="4"/>
    <x v="22"/>
    <x v="41"/>
    <s v="YES"/>
    <x v="3"/>
    <x v="21"/>
    <s v="12대 기인물"/>
    <n v="6"/>
    <n v="4.9000000000000002E-2"/>
    <s v="2019년 5월경"/>
    <d v="2019-05-01T00:00:00"/>
    <n v="5"/>
    <s v="-"/>
    <x v="2"/>
    <s v="2019년 5월경 OO프라자 신축공사장에서 협력업체 소속 재해자가 가시공된 창호틀을 고정하기 위해 건물 밖 차량탑재형 고소작업대 상부(높이 약2.5m)에서 구조물과 창호틀 사이에 우레탄 폼을 좌측에서 우측으로 시공하던 중 안전난간이 해체되었던 고소작업대 우측방향 단부로 떨어짐"/>
    <s v="고소작업대에 탑승하여 작업 중 발을 헛디뎌 안전난간이 설치되지 않은 작업대 단부로 추락"/>
    <s v="▶ 고소작업대 작업 시, 안전대 설치 및 안전대 결합 등 추락방지조치(안전대 부착) 준수_x000a_▶ 작업자의 개인보호구, 안전대 체결여부 점검 및 관리감독"/>
  </r>
  <r>
    <n v="4"/>
    <x v="4"/>
    <x v="22"/>
    <x v="41"/>
    <s v="YES"/>
    <x v="3"/>
    <x v="21"/>
    <s v="12대 기인물"/>
    <n v="6"/>
    <n v="4.9000000000000002E-2"/>
    <s v="2020년 12월"/>
    <d v="2020-12-01T00:00:00"/>
    <n v="12"/>
    <s v="혹한기"/>
    <x v="2"/>
    <s v="2020년 12월경 근린생활시설 신축공사 현장에서 유리공사 협력업체 소속 재해자가 현장 외부에 설치된 차량탑재형 고소작업대에 탑승하여 지상 2층 유리 주위 코킹작업 중 안전난간이 설치되지 않은 작업대 단부(폭 약 40cm)에서 몸의 중심을 잃고 추락(H≒9.1m)"/>
    <s v="고소작업대에 탑승하여 작업 중 발을 헛디뎌 안전난간이 설치되지 않은 작업대 단부로 추락"/>
    <s v="▶ 고소작업대 작업 시, 안전대 설치 및 안전대 결합 등 추락방지조치(안전대 부착) 준수_x000a_▶ 작업자의 개인보호구, 안전대 체결여부 점검 및 관리감독"/>
  </r>
  <r>
    <n v="4"/>
    <x v="4"/>
    <x v="22"/>
    <x v="41"/>
    <s v="YES"/>
    <x v="3"/>
    <x v="21"/>
    <s v="12대 기인물"/>
    <n v="6"/>
    <n v="4.9000000000000002E-2"/>
    <s v="2020년 12월"/>
    <d v="2020-12-01T00:00:00"/>
    <n v="12"/>
    <s v="혹한기"/>
    <x v="2"/>
    <s v="2020년 12월경 기숙사 신축공사(토목/건축/기계) 현장에서 재해자 2명이 차량탑재형 고소작업대에 탑승하여 건물 외벽 유리 실리콘 마감작업 중 고소작업대 운전자가 건물 유리면에 작업대를 가까이 붙이기 위해 붐을 조정하는 과정에서, 건물유리에 작업대가 충돌하였고 그 충격으로 작업대가 붐에서 탈락하면서 재해자 2명이 추락(H≒12m)"/>
    <s v="고소작업대에 탑승하여 작업 중 작업대를 작업위치로 밀착시키기 위해 작업대를 작동하는 과정에서 유리와 충돌하고 작업대가 붐에서 탈락되며 작업대와 함께 추락"/>
    <s v="▶ 고소작업대 사용 시, 작업대를 작업부위에 밀접하여 이동시키는 경우, 충돌을 방지하기 위해 사전에 조종원과 작업자 간의 신호체계 수립_x000a_▶ 고소작업대 사용 시, 허용 작업반경을 벗어나 작업하는 행위를 금지하고 안전장치는 항상 작동되어 있는 상태로 유지"/>
  </r>
  <r>
    <n v="4"/>
    <x v="4"/>
    <x v="22"/>
    <x v="41"/>
    <s v="YES"/>
    <x v="3"/>
    <x v="21"/>
    <s v="12대 기인물"/>
    <n v="6"/>
    <n v="4.9000000000000002E-2"/>
    <s v="2021년 2월경"/>
    <d v="2021-02-01T00:00:00"/>
    <n v="2"/>
    <s v="혹한기"/>
    <x v="8"/>
    <s v="2021년 2월경 OO타운하우스 신축공사 현장에서 재해자는 창호설치작업을 마치고 고소작업차 철수를 위해 고정된 아웃트리거를 지상에서 올리던 순간 고소작업차가 내리막길로 굴러가면서 고소작업대 아웃트리거에 재해자가 추돌 후 끼여서 함께 내리막길로 끌려가 사망"/>
    <s v="창호 설치를 마치고 고소작업대 철수를 위해 고정된 아웃트리거를 지상에서 올리던 순간 고소작업차가 내리막길로 굴러가면서 고소작업대 아웃트리거에 충돌 후 끼인 상태에서 내리막길로 끌려감"/>
    <s v="▶ 고소작업대(차) 운전원이 운전위치 이탈 시 브레이크 또는 고임목 설치 등 차량 이탈 방지를 위한 조치 실시_x000a_▶ 고소작업대(차)를 경사로에 주차하는 경우 핸드(주차) 브레이크와 풋 브레이크를 함께 사용_x000a_▶ 고소작업대(차)가 경사로로 밀려 내러가는 경우, 무리하게 인력으로 차량 앞을 막아서는 행위 금지_x000a_▶ 고소작업대(차)를 이용하여 작업하는 경우 지형, 지반상태에 대해 사전조사 실시"/>
  </r>
  <r>
    <n v="4"/>
    <x v="4"/>
    <x v="22"/>
    <x v="41"/>
    <s v="YES"/>
    <x v="3"/>
    <x v="21"/>
    <s v="12대 기인물"/>
    <n v="6"/>
    <n v="4.9000000000000002E-2"/>
    <s v="2021년 7월경"/>
    <d v="2021-07-01T00:00:00"/>
    <n v="7"/>
    <s v="혹서기"/>
    <x v="2"/>
    <s v="2021년 7월경 산업단지 공장 신축공사 현장에서 차량탑재형 고소작업대를 사용하여 창호 유리 설치작업 중 차량탑재형 고소작업대가 붐대방향으로 기울면서 전도되어 작업대에 탑승하여 작업 중이던 재해자 2명이 약 13m 아래로 떨어짐"/>
    <s v="안전장치가 해제된 고소작업대에 탑승하여 작업 중 작업반경을 초과한 고소작업대가 전도하면서 추락"/>
    <s v="▶ 고소작업대 허용 작업반경 내 사용 준수 _x000a_▶ 고소작업대 작업 전 과부하방지장치 등 안전장치 설치상태 및 작동유무 점검_x000a_▶ 고소작업대 작업 시 아웃트리거 전개 등 전도방지조치 "/>
  </r>
  <r>
    <n v="4"/>
    <x v="4"/>
    <x v="22"/>
    <x v="41"/>
    <s v="YES"/>
    <x v="3"/>
    <x v="21"/>
    <s v="12대 기인물"/>
    <n v="6"/>
    <n v="4.9000000000000002E-2"/>
    <s v="2021년 12월"/>
    <d v="2021-12-01T00:00:00"/>
    <n v="12"/>
    <s v="혹한기"/>
    <x v="2"/>
    <s v="2021년 12월경 실내체육시설 신축공사 현장에서 재해자 2명이 차량탑재형 고소작업대 위에서 건물 계단실 프로젝트창호에 유리를 설치하기 위한 테이핑 작업 중 약 12.6m 아래 지상으로 떨어짐"/>
    <s v="고소작업대에 탑승하여 작업 중 발을 헛디뎌 안전난간이 설치되지 않은 작업대 단부로 추락"/>
    <s v="▶ 고소작업대 작업 시, 안전대 설치 및 안전대 결합 등 추락방지조치(안전대 부착) 준수_x000a_▶ 작업자의 개인보호구, 안전대 체결여부 점검 및 관리감독"/>
  </r>
  <r>
    <n v="4"/>
    <x v="4"/>
    <x v="13"/>
    <x v="19"/>
    <s v="YES"/>
    <x v="3"/>
    <x v="21"/>
    <s v="12대 기인물"/>
    <n v="6"/>
    <n v="4.9000000000000002E-2"/>
    <s v="2020년 6월경"/>
    <d v="2020-06-01T00:00:00"/>
    <n v="6"/>
    <s v="혹서기"/>
    <x v="2"/>
    <s v="2020년 6월경 OO인테리어에서 시공 중인 OO현장에서 재해자(보통인부)가 세대 내부에서 거실창 개구부를 통해 철거한 폐자재를 이삿짐운반용 리프트의 운반구에 싣던 중 리프트의 운반구가 아래로 기울어지며 재해자가 몸의 중심을 잃고 약 12m 아래 지상층 바닥으로 추락하여 사망"/>
    <s v="창문턱을 딛고 올라서서 자재를 고소작업대로 옮겨 싣던 중 운전원의 목에 걸어둔 조종장치의 버튼이 눌리는 순간 작업대가 기울면서 몸의 무게중심이 쏠려 바닥으로 추락"/>
    <s v="▶ 추락 위험 구간에서 작업 시 안전대 부착설비 설치 및 안전대 체결여부 점검 및 관리감독_x000a_▶ 고소작업대(차) 안전장치 설치 및 정상작동 상태 유지로 허용 작업범위 내에서 작업 실시"/>
  </r>
  <r>
    <n v="4"/>
    <x v="4"/>
    <x v="13"/>
    <x v="19"/>
    <s v="YES"/>
    <x v="3"/>
    <x v="21"/>
    <s v="12대 기인물"/>
    <n v="6"/>
    <n v="4.9000000000000002E-2"/>
    <s v="2021년 10월"/>
    <d v="2021-10-01T00:00:00"/>
    <n v="10"/>
    <s v="-"/>
    <x v="2"/>
    <s v="2021년 10월경 OO 신축공사 현장에서 지상5층에서 지하1층으로 천장자재(마이톤)를 하역하기 위해 고소작업대 장비 운전원이 붐대 인입을 시도했지만 작업대 하부가 지상 5층 건물 단부 토보드(발끝막이판)에 걸려 움직이지 않자 토보드에 걸려 장력을 받고 있던 작업대가 원인 미상으로 순간적으로 장력이 풀리며 반동에 의해 붐대가 약 3m 수평으로 흔들리면서 지상5층에서 있던 재해자가 손으로 작업대 난간을 잡고, 작업대 위에 한 발을 올려놓은 과정에서 몸의 균형을 잃고 약 18m 아래로 떨어져 사망"/>
    <s v="하역작업 후 고소작업대 붐을 인입하던 중 작업대가 구조물에 걸렸다 풀리면서 흔들림이 발생하여 작업대에 한 발을 걸치고 있던 재해자가 몸의 균형을 잃고 추락"/>
    <s v="▶ 고소작업대(차)를 사용하는 경우 탑승자가 작업대를 벗어나지 않도록 조치_x000a_▶ 고소작업대(차) 사용 시 작업반경 내 구조물, 나무 등이 걸리지 않는 적합한 장소에 위치한 후 작업 진행_x000a_▶ 고소작업대(차) 사용 작업 시 작업대 단부 등 추락 위험 구간에 안전난간을 설치하고, 작업대의 안전난간이 아닌 별도의 안전대 부착설비 설치 및 안전대 체결상태 점검 및 관리감독_x000a_▶ 고소작업대(차) 안전장치 설치 및 정상작동 상태 유지로 허용 작업범위 내에서 작업 실시"/>
  </r>
  <r>
    <n v="4"/>
    <x v="4"/>
    <x v="13"/>
    <x v="42"/>
    <s v="YES"/>
    <x v="3"/>
    <x v="21"/>
    <s v="12대 기인물"/>
    <n v="6"/>
    <n v="4.9000000000000002E-2"/>
    <s v="2016년 1월경"/>
    <d v="2016-01-01T00:00:00"/>
    <n v="1"/>
    <s v="혹한기"/>
    <x v="2"/>
    <s v="2016년 1월경 실내 인테리어 공사 현장에서 재해자가 길이 12M의 배기용덕트를 5층 건물의 외벽에 거치하기 위하여 고소작업대(SKY)에 덕트(30kg)를 묶어 바닥에서 5층으로 인양하던 중 4층 높이에서 고소작업대 붐의 인출용 와이어로프가 끊어지면서 붐이 3M 아래로 하강하여 작업대에 있던 재해자가 11M 아래 콘크리트바닥으로 추락하여 사망"/>
    <s v="배기용덕트를 고소작업대에 묶어 바닥에서 5층으로 인양하던 중 4층 높이에서 고소작업대 붐의 인출용 와이어로프가 끊어짐에 따라 근로자 추락"/>
    <s v="▶ 고소작업대 작업 전 와이어로프 등 인양용 로프의 손상 여부 사전 점검 실시_x000a_▶ 고소작업대 탑승 작업자에게 안전모, 안전대 지급 및 착용"/>
  </r>
  <r>
    <n v="4"/>
    <x v="4"/>
    <x v="13"/>
    <x v="42"/>
    <s v="YES"/>
    <x v="3"/>
    <x v="21"/>
    <s v="12대 기인물"/>
    <n v="6"/>
    <n v="4.9000000000000002E-2"/>
    <s v="2017년 10월"/>
    <d v="2017-10-01T00:00:00"/>
    <n v="10"/>
    <s v="-"/>
    <x v="2"/>
    <s v="2017년 10월경 OO㈜ OO마트 신축현장 지하 2층 공조실에서 재해자가 시저형 고소작업대 위에서 약 5m 높이에 설치 된 덕트의 보온 작업 중 몸에 중심을 잃고 4.2m 아래 콘크리트 바닥으로 떨어져 사망"/>
    <s v="고소작업대에 탑승하여 작업 중 작업높이가 맞지 않아 작업대의 안전난간을 밟고 올라서서 작업하다가 발을 헛디뎌 추락"/>
    <s v="▶ 고소작업대 작업 중 작업대 이탈 등 불안전한 행동 금지 및 관리감독_x000a_▶ 고소작업대 탑승 시 작업대 안전난간 설치상태 확인_x000a_▶ 사용 중인 제원의 고소작업대 상승높이가 부족할 경우, 장비 제원 변경 또는 비계 설치 등을 통해 작업발판과 추락방지용 안전시설물을 설치하여 작업 실시_x000a_▶ 작업자의 개인보호구, 안전대 체결여부 점검 및 관리감독"/>
  </r>
  <r>
    <n v="4"/>
    <x v="4"/>
    <x v="13"/>
    <x v="42"/>
    <s v="YES"/>
    <x v="3"/>
    <x v="21"/>
    <s v="12대 기인물"/>
    <n v="6"/>
    <n v="4.9000000000000002E-2"/>
    <s v="2020년 3월경"/>
    <d v="2020-03-01T00:00:00"/>
    <n v="3"/>
    <s v="-"/>
    <x v="2"/>
    <s v="2020년 3월경 OO(주)가 시공하는 OO복지관 건립 건축공사 현장에서 재해자(수장공)가 고소작업대(시저형)를 타고 중앙홀 테두리보 모서리 구간 치수를 재는 작업을 하던 중(고소작업대 발판 내부[Cage 안]에서 실측하기 어려운 상황) 실족하여 지상 1층 바닥으로 떨어져(높이 약 9.3m) 사망"/>
    <s v="고소작업대에 탑승한 상태에서 작업위치가 닿지 않아 작업대 밖으로 몸을 내밀어 작업하던 중 몸의 중심이 밖으로 쏠리며 추락"/>
    <s v="▶ 작업 전 위험요인 파악을 위한 위험성평가를 실시_x000a_▶ 고소작업대 작업 시 작업대 이탈을 원칙적으로 금지하고, 부득이하게 이탈할 경우 작업구간에 안전대 부착설비 설치 및 근로자 안전대 체결한 상태로 작업 실시_x000a_▶ 고소작업대 탑승 시 작업대 안전난간 설치상태 확인_x000a_▶ 고소작업대 작업 중 작업대 이탈 등 불안전한 행동 금지 및 관리감독_x000a_▶ 작업자의 개인보호구, 안전대 체결여부 점검 및 관리감독"/>
  </r>
  <r>
    <n v="4"/>
    <x v="4"/>
    <x v="14"/>
    <x v="43"/>
    <s v="YES"/>
    <x v="3"/>
    <x v="21"/>
    <s v="12대 기인물"/>
    <n v="6"/>
    <n v="4.9000000000000002E-2"/>
    <s v=" 2017년 2월"/>
    <d v="2017-02-01T00:00:00"/>
    <n v="2"/>
    <s v="혹한기"/>
    <x v="2"/>
    <s v=" 2017년 2월경 OO에서 시공하는 OO 신축공사 현장에서 재해자(판넬설치공)가 외벽 판넬 인양작업 중 몸의 중심을 잃고 약 6m 아래 지상 1층 콘크리트 바닥으로 떨어져 사망"/>
    <s v="고소작업대에 탑승하여 도르래의 양중로프를 당기던 중 양중물 체결부위가 파단되어 낙하하면서 발생한 반동으로 재해자가 작업대에서 추락"/>
    <s v="▶ 고소작업대 작업 전 안전장치 상태 점검 및 조치_x000a_▶ 고소작업대 탑승 시 근로자 이동통로 확보 및 작업대 안전난간 설치상태 확인_x000a_▶ 고소작업대 작업 중 작업대 이탈, 안전난간을 밟고 올라서는 등의 불안전한 행동 금지 및 관리감독_x000a_▶ 사용 중인 제원의 고소작업대 상승높이가 부족할 경우, 장비 제원 변경 또는 비계 설치 등을 통해 작업발판과 추락방지용 안전시설물을 설치하여 작업 실시_x000a_▶ 작업자의 개인보호구, 안전대 체결여부 점검 및 관리감독"/>
  </r>
  <r>
    <n v="4"/>
    <x v="4"/>
    <x v="14"/>
    <x v="43"/>
    <s v="YES"/>
    <x v="3"/>
    <x v="21"/>
    <s v="12대 기인물"/>
    <n v="6"/>
    <n v="4.9000000000000002E-2"/>
    <s v="2018년 10월"/>
    <d v="2018-10-01T00:00:00"/>
    <n v="10"/>
    <s v="-"/>
    <x v="6"/>
    <s v="2018년 10월경 ㈜OO 물류센터 신축공사 현장에서 협력업체 소속 재해자(판넬설치공)가 창고동 1층 내부 판넬 설치 작업 전 각파이프(하지철물)를 설치 하기 위해, 고소작업대(시저형) 상승 중 고소작업대(시저형)와 상부 보 사이에 협착되어 사망"/>
    <s v="과상승방지장치가 미설치된 고소작업대에 탑승하여 상승하던 중 작업대와 구조물 상부 사이에 끼임"/>
    <s v="▶ 고소작업대 작업 전 작업계획서를 수립하고, 과상승방지장치 등 안전장치 설치 및 상태 점검_x000a_▶ 고소작업대 작업 중 작업대 이탈, 안전난간을 밟고 올라서는 등의 불안전한 행동 금지 및 관리감독_x000a_▶ 고소작업대 작업 시 관리감독자 또는 안전관리자 배치하여 관리감독"/>
  </r>
  <r>
    <n v="4"/>
    <x v="4"/>
    <x v="14"/>
    <x v="20"/>
    <s v="YES"/>
    <x v="3"/>
    <x v="21"/>
    <s v="12대 기인물"/>
    <n v="6"/>
    <n v="4.9000000000000002E-2"/>
    <s v="2016년 11월"/>
    <d v="2016-11-01T00:00:00"/>
    <n v="11"/>
    <s v="-"/>
    <x v="2"/>
    <s v="2016년 11월경 ㈜OOOO 냉동창고 설치공사 현장에서 재해자가 지상 1층 수산냉동실에서 벽체 판넬 코킹(실리콘) 작업을 하기위해 고소작업대(시저형) 탑승 중 콘크리트 바닥(H≒0.9m)으로 떨어져 사망(추정)"/>
    <s v="고소작업대 탑승을 위해 답단이 좁은(0.32m) 승강사다리를 올라가던 중 발을 헛디뎌 추락"/>
    <s v="▶ 고소작업대 작업 전 안전장치 상태 점검 및 조치_x000a_▶ 고소작업대 탑승 시 근로자 이동통로 확보 및 작업대 안전난간 설치상태 확인_x000a_▶ 고소작업대 작업 중 작업대 이탈, 안전난간을 밟고 올라서는 등의 불안전한 행동 금지 및 관리감독_x000a_▶ 사용 중인 제원의 고소작업대 상승높이가 부족할 경우, 장비 제원 변경 또는 비계 설치 등을 통해 작업발판과 추락방지용 안전시설물을 설치하여 작업 실시_x000a_▶ 작업자의 개인보호구, 안전대 체결여부 점검 및 관리감독"/>
  </r>
  <r>
    <n v="4"/>
    <x v="4"/>
    <x v="14"/>
    <x v="20"/>
    <s v="YES"/>
    <x v="3"/>
    <x v="21"/>
    <s v="12대 기인물"/>
    <n v="6"/>
    <n v="4.9000000000000002E-2"/>
    <s v="2016년 11월"/>
    <d v="2016-11-01T00:00:00"/>
    <n v="11"/>
    <s v="-"/>
    <x v="2"/>
    <s v="2016년 11월경 ㈜OO에서 시공중인 OO 공장 증축공사 현장에서 협력업체 소속 재해자(용접공)가 철골구조물의 지붕 판넬설치를 위한 바탕철물(C형강) 용접을 위해 고소작업대를 이용하여 작업 또는 이동 중, 몸의 중심을 잃고 지상1층 바닥(H≒8m)으로 떨어져 사망"/>
    <s v="고소작업대에 탑승하여 작업 중 발을 헛디뎌 안전난간이 설치되지 않은 작업대 단부로 추락"/>
    <s v="▶ 고소작업대(차) 사용 시 작업반경 내 구조물, 나무 등이 걸리지 않는 적합한 장소에 위치한 후 작업 진행_x000a_▶ 고소작업대(차) 사용 작업 시 작업대 단부 등 추락 위험 구간에 안전난간을 설치하고, 작업대의 안전난간이 아닌 별도의 안전대 부착설비 설치 및 안전대 체결상태 점검 및 관리감독_x000a_▶ 고소작업대(차) 안전장치 설치 및 정상작동 상태 유지로 허용 작업범위 내에서 작업 실시_x000a_▶ 고소작업대(차) 이동 또는 작업대를 움직여야 할 경우, 작업대가 마감재 등에 걸려 충돌 및 충격을 받지 않도록 운전원과 작업자 간의 무선연락체계(무전기 등)를 통한 정확한 신호체계 구축_x000a_▶ 고소작업대를 통해 작업 시 건물 외벽 코너부 마감재를 시공하는데 작업이 어려울 경우, 안전난간대를 해체하여 몸을 내민 상태에서 작업하는 행위를 금지하고 고소작업대의 위치를 변경하거나 비계 등의 가설구조물을 설치하여 작업을 재개하도록 조치"/>
  </r>
  <r>
    <n v="4"/>
    <x v="4"/>
    <x v="14"/>
    <x v="20"/>
    <s v="YES"/>
    <x v="3"/>
    <x v="21"/>
    <s v="12대 기인물"/>
    <n v="6"/>
    <n v="4.9000000000000002E-2"/>
    <s v="2017년 1월경"/>
    <d v="2017-01-01T00:00:00"/>
    <n v="1"/>
    <s v="혹한기"/>
    <x v="2"/>
    <s v="2017년 1월경 OO(주) OO 패널공사 현장에서 재해자(패널공)가 경량 철골조에 천장의 패널(약 5m 높이)을 고정하기 위해 시저형 고소작업대의(약 3m상승) 작업대 측면 중간 난간대(높이 60cm)에 올라서서 전동 드라이버로 나사못(육각 직결 스크류 볼트)을 철골조에 고정하던 중 몸의 균형을 잃고 약 3.6m 아래 콘크리트 바닥으로 떨어져 사망"/>
    <s v="작업높이에 맞지 않아 고소작업대 난간대를 밟고 올라서서 작업하던 중 몸의 균형을 잃고 바닥으로 추락"/>
    <s v="▶ 고소작업대 작업 전 안전장치 상태 점검 및 조치_x000a_▶ 고소작업대 탑승 시 근로자 이동통로 확보 및 작업대 안전난간 설치상태 확인_x000a_▶ 고소작업대 작업 중 작업대 이탈, 안전난간을 밟고 올라서는 등의 불안전한 행동 금지 및 관리감독_x000a_▶ 사용 중인 제원의 고소작업대 상승높이가 부족할 경우, 장비 제원 변경 또는 비계 설치 등을 통해 작업발판과 추락방지용 안전시설물을 설치하여 작업 실시_x000a_▶ 작업자의 개인보호구, 안전대 체결여부 점검 및 관리감독"/>
  </r>
  <r>
    <n v="4"/>
    <x v="4"/>
    <x v="14"/>
    <x v="20"/>
    <s v="YES"/>
    <x v="3"/>
    <x v="21"/>
    <s v="12대 기인물"/>
    <n v="6"/>
    <n v="4.9000000000000002E-2"/>
    <s v="2017년 2월경"/>
    <d v="2017-02-01T00:00:00"/>
    <n v="2"/>
    <s v="혹한기"/>
    <x v="2"/>
    <s v="2017년 2월경 OO 의원 외벽판넬공사 현장에서 재해자(용접공)가 동료 작업 근로자와 함께 고소작업대(스카이)에 탑승하여 건물 2층 외벽판넬 설치 작업을 진행하던 중 작업대 보조 작업발판 하부 경첩이 파손되어 작업발판이 벌어지면서 재해자 가 몸의 균형을 잃고 건물 바닥으로 떨어져(H≒3.6m) 사망"/>
    <s v="외벽 패널 설치 작업을 진행하던 중 작업대 보조 작업발판 하부 경첩이 파손되어 작업발판이 벌어지면서 추락"/>
    <s v="▶ 고소작업대(차)를 사용 전 안전검사 여부, 안전장치, 작업대 발판 등의 상태 점검을 실시하고 이상이 있을 경우 즉시 교체 또는 보수작업 완료 후 사용하도록 관리감독_x000a_▶ 고소작업대(차) 사용 작업 시 작업대의 안전난간이 아닌 별도의 안전대 부착설비 설치 및 안전대 체결상태 점검 및 관리감독"/>
  </r>
  <r>
    <n v="4"/>
    <x v="4"/>
    <x v="14"/>
    <x v="20"/>
    <s v="YES"/>
    <x v="3"/>
    <x v="21"/>
    <s v="12대 기인물"/>
    <n v="6"/>
    <n v="4.9000000000000002E-2"/>
    <s v="2017년 9월경"/>
    <d v="2017-09-01T00:00:00"/>
    <n v="9"/>
    <s v="-"/>
    <x v="2"/>
    <s v="2017년 9월경 창고 유지보수공사 현장에서 재해자가 창고지붕에서 고소작업대의 작업대에 탑승하여 지상으로 이동하려 하였으나 작업대 붐이 하강하던 순간 작업대와 건물사이 개구부로 넘어지면서 약 32m 아래 지상바닥으로 떨어져 사망"/>
    <s v="고소작업대를 사용하여 지붕에서 지상으로 이동하려던 중 지붕강판에 걸려있던 작업대가 떨어져 나감과 동시에 그 충격으로 몸의 중심을 잃고 바닥으로 추락"/>
    <s v="▶ 고소작업대를 사용하여 작업 시, 지붕강판 등 구조물에 걸려 작업대의 승하강이 어려울 경우, 운전자는 작업대가 걸려있는 상황을 직접 파악한 후 조작 실시_x000a_▶ 고소작업대를 통해 작업 시, 전면부에 웨빙띠 및 안전 난간 등과 같은 추락방지조치 철저"/>
  </r>
  <r>
    <n v="4"/>
    <x v="4"/>
    <x v="14"/>
    <x v="20"/>
    <s v="YES"/>
    <x v="3"/>
    <x v="21"/>
    <s v="12대 기인물"/>
    <n v="6"/>
    <n v="4.9000000000000002E-2"/>
    <s v="2018년 4월경"/>
    <d v="2018-04-01T00:00:00"/>
    <n v="4"/>
    <s v="-"/>
    <x v="2"/>
    <s v="2018년 4월경 OO리조트 대연회장 현장에서 재해자가 고소작업대(일명 스카이)에 탑승 상태로 엘리베이터 벽체 패널 설치 작업 중, 오전 작업을 마치고 고소작업대 탑승 상태로 지상으로 내려오던 중, 고소작업대 cage가 나뭇가지에 걸려 흔들리면서 재해자가 cage에서 지상 1층 바닥(H≒8m)으로 떨어져 사망"/>
    <s v="고소작업대를 하강시키던 중 작업대가 장애물에 걸려 흔들리면서 작업대에서 추락"/>
    <s v="▶ 고소작업대(차) 사용 시 작업반경 내 구조물, 나무 등이 걸리지 않는 적합한 장소에 위치한 후 작업 진행_x000a_▶ 고소작업대(차) 사용 작업 시 작업대 단부 등 추락 위험 구간에 안전난간을 설치하고, 작업대의 안전난간이 아닌 별도의 안전대 부착설비 설치 및 안전대 체결상태 점검 및 관리감독_x000a_▶ 고소작업대(차) 안전장치 설치 및 정상작동 상태 유지로 허용 작업범위 내에서 작업 실시_x000a_▶ 고소작업대(차) 이동 또는 작업대를 움직여야 할 경우, 작업대가 마감재 등에 걸려 충돌 및 충격을 받지 않도록 운전원과 작업자 간의 무선연락체계(무전기 등)를 통한 정확한 신호체계 구축_x000a_▶ 고소작업대를 통해 작업 시 건물 외벽 코너부 마감재를 시공하는데 작업이 어려울 경우, 안전난간대를 해체하여 몸을 내민 상태에서 작업하는 행위를 금지하고 고소작업대의 위치를 변경하거나 비계 등의 가설구조물을 설치하여 작업을 재개하도록 조치"/>
  </r>
  <r>
    <n v="4"/>
    <x v="4"/>
    <x v="14"/>
    <x v="20"/>
    <s v="YES"/>
    <x v="3"/>
    <x v="21"/>
    <s v="12대 기인물"/>
    <n v="6"/>
    <n v="4.9000000000000002E-2"/>
    <s v="2018년 5월경"/>
    <d v="2018-05-01T00:00:00"/>
    <n v="5"/>
    <s v="-"/>
    <x v="2"/>
    <s v="2018년 5월경 OO이 시공하는 ㈜OO 지붕 보강공사 외 공사 현장에서 재해자(판넬공)가 차량 탑재형 고소작업대에 탑승 작업 중  지나가는 지게차의 돌출된 구조부(마스트)가 고소작업대의 붐대를 치면서 재해자가 작업대에서 추락하여 사망"/>
    <s v="고소작업대에 탑승하여 작업 중 지나가는 지게차의 돌출된 구조부(마스트)가 고소작업대의 붐대와 충돌하면서 재해자가 작업대에서 추락"/>
    <s v="▶ 혼재작업 구간에서 작업지휘자 또는 유도자를 배치하고 고소작업대(차) 주변 접근금지 조치 실시하여 장비 간 충돌 방지 조치_x000a_▶ 고소작업대(차)를 사용하는 경우 탑승자가 작업대를 벗어나지 않도록 조치_x000a_▶ 고소작업대(차) 사용 작업 시 작업대 단부 등 추락 위험 구간에 안전난간을 설치하고, 작업대의 안전난간이 아닌 별도의 안전대 부착설비 설치 및 안전대 체결상태 점검 및 관리감독_x000a_▶ 고소작업대(차) 안전장치 설치 및 정상작동 상태 유지로 허용 작업범위 내에서 작업 실시"/>
  </r>
  <r>
    <n v="4"/>
    <x v="4"/>
    <x v="14"/>
    <x v="20"/>
    <s v="YES"/>
    <x v="3"/>
    <x v="21"/>
    <s v="12대 기인물"/>
    <n v="6"/>
    <n v="4.9000000000000002E-2"/>
    <s v="2018년 12월"/>
    <d v="2018-12-01T00:00:00"/>
    <n v="12"/>
    <s v="혹한기"/>
    <x v="2"/>
    <s v="2018년 12월경 ㈜OO이 시공중인 ㈜OO 공장 신축공사 현장에서 협력업체 소속 근로자인 재해자(잡철공)가 고소작업차에서 외부판넬(지상7층) 실란트 충전작업 후 고소작업차 운전원이 작업대를 이동하는 순간, 몸의 중심을 잃고 구조물과 작업대 사이로 떨어지며 지상5층 높이에 설치된 고소작업차의 작업대에 충돌 후 지상1층 바닥(H≒29.3m)으로 떨어져 사망"/>
    <s v="고소작업대에 탑승하여 작업 중 운전원이 작업대를 이동시키는 순간 몸의 중심을 잃고 안전난간이 설치되지 않은 작업대 단부로 추락"/>
    <s v="▶ 고소작업대(차) 사용 시 작업반경 내 구조물, 나무 등이 걸리지 않는 적합한 장소에 위치한 후 작업 진행_x000a_▶ 고소작업대(차) 사용 작업 시 작업대 단부 등 추락 위험 구간에 안전난간을 설치하고, 작업대의 안전난간이 아닌 별도의 안전대 부착설비 설치 및 안전대 체결상태 점검 및 관리감독_x000a_▶ 고소작업대(차) 안전장치 설치 및 정상작동 상태 유지로 허용 작업범위 내에서 작업 실시_x000a_▶ 고소작업대(차) 이동 또는 작업대를 움직여야 할 경우, 작업대가 마감재 등에 걸려 충돌 및 충격을 받지 않도록 운전원과 작업자 간의 무선연락체계(무전기 등)를 통한 정확한 신호체계 구축_x000a_▶ 고소작업대를 통해 작업 시 건물 외벽 코너부 마감재를 시공하는데 작업이 어려울 경우, 안전난간대를 해체하여 몸을 내민 상태에서 작업하는 행위를 금지하고 고소작업대의 위치를 변경하거나 비계 등의 가설구조물을 설치하여 작업을 재개하도록 조치"/>
  </r>
  <r>
    <n v="4"/>
    <x v="4"/>
    <x v="14"/>
    <x v="20"/>
    <s v="YES"/>
    <x v="3"/>
    <x v="21"/>
    <s v="12대 기인물"/>
    <n v="6"/>
    <n v="4.9000000000000002E-2"/>
    <s v="2019년 5월경"/>
    <d v="2019-05-01T00:00:00"/>
    <n v="5"/>
    <s v="-"/>
    <x v="2"/>
    <s v="2019년 5월경 OO 신축현장에서 재해자(판넬공)이 차량탑재형 고소작업대 상부(높이≒10m)에서 지상3층 코너부(X6-Y2) ㉠형 외장판넬(1,755×735×1,000×135mm, 약 50kg)을 설치하고 판넬에 부착된 압착기를 제거하던 중 안전난간이 미설치된 고소작업대 전면부로 떨어져 사망"/>
    <s v="고소작업대에 탑승하여 작업 중 발을 헛디뎌 안전난간이 설치되지 않은 작업대 단부로 추락"/>
    <s v="▶ 고소작업대(차) 사용 시 작업반경 내 구조물, 나무 등이 걸리지 않는 적합한 장소에 위치한 후 작업 진행_x000a_▶ 고소작업대(차) 사용 작업 시 작업대 단부 등 추락 위험 구간에 안전난간을 설치하고, 작업대의 안전난간이 아닌 별도의 안전대 부착설비 설치 및 안전대 체결상태 점검 및 관리감독_x000a_▶ 고소작업대(차) 안전장치 설치 및 정상작동 상태 유지로 허용 작업범위 내에서 작업 실시_x000a_▶ 고소작업대(차) 이동 또는 작업대를 움직여야 할 경우, 작업대가 마감재 등에 걸려 충돌 및 충격을 받지 않도록 운전원과 작업자 간의 무선연락체계(무전기 등)를 통한 정확한 신호체계 구축_x000a_▶ 고소작업대를 통해 작업 시 건물 외벽 코너부 마감재를 시공하는데 작업이 어려울 경우, 안전난간대를 해체하여 몸을 내민 상태에서 작업하는 행위를 금지하고 고소작업대의 위치를 변경하거나 비계 등의 가설구조물을 설치하여 작업을 재개하도록 조치"/>
  </r>
  <r>
    <n v="4"/>
    <x v="4"/>
    <x v="14"/>
    <x v="20"/>
    <s v="YES"/>
    <x v="3"/>
    <x v="21"/>
    <s v="12대 기인물"/>
    <n v="6"/>
    <n v="4.9000000000000002E-2"/>
    <s v="2020년 7월경"/>
    <d v="2020-07-01T00:00:00"/>
    <n v="7"/>
    <s v="혹서기"/>
    <x v="2"/>
    <s v="2020년 7월경 ㈜OO 근린생활시설 신축공사 현장에서 재해자(판넬공)가 근린생활시설 2층 외벽 마감재(메탈판넬)와 마감재 사이 방수용 실리콘 코킹작업을 차량탑재형 고소작업대에 탑승하여 작업하다가 작업대 전면 단부와 외벽마감재 사이의 개구부에서 추락하여 약4.0m 아래의 콘크리트 바닥으로 떨어져 사망"/>
    <s v="고소작업대에 탑승하여 작업 중 발을 헛디뎌 안전난간이 설치되지 않은 작업대 단부로 추락"/>
    <s v="▶ 고소작업대(차) 사용 시 작업반경 내 구조물, 나무 등이 걸리지 않는 적합한 장소에 위치한 후 작업 진행_x000a_▶ 고소작업대(차) 사용 작업 시 작업대 단부 등 추락 위험 구간에 안전난간을 설치하고, 작업대의 안전난간이 아닌 별도의 안전대 부착설비 설치 및 안전대 체결상태 점검 및 관리감독_x000a_▶ 고소작업대(차) 안전장치 설치 및 정상작동 상태 유지로 허용 작업범위 내에서 작업 실시_x000a_▶ 고소작업대(차) 이동 또는 작업대를 움직여야 할 경우, 작업대가 마감재 등에 걸려 충돌 및 충격을 받지 않도록 운전원과 작업자 간의 무선연락체계(무전기 등)를 통한 정확한 신호체계 구축_x000a_▶ 고소작업대를 통해 작업 시 건물 외벽 코너부 마감재를 시공하는데 작업이 어려울 경우, 안전난간대를 해체하여 몸을 내민 상태에서 작업하는 행위를 금지하고 고소작업대의 위치를 변경하거나 비계 등의 가설구조물을 설치하여 작업을 재개하도록 조치"/>
  </r>
  <r>
    <n v="4"/>
    <x v="4"/>
    <x v="14"/>
    <x v="20"/>
    <s v="YES"/>
    <x v="3"/>
    <x v="21"/>
    <s v="12대 기인물"/>
    <n v="6"/>
    <n v="4.9000000000000002E-2"/>
    <s v="2020년 7월경"/>
    <d v="2020-07-01T00:00:00"/>
    <n v="7"/>
    <s v="혹서기"/>
    <x v="2"/>
    <s v="2020년 7월경 OO건축에서 시공하는 OO 철거 및 보수공사 건설현장에서 고소작업대를 이용하여 외벽 판넬 설치작업을 하던 중 콘크리트 바닥이 침하되어 고소작업대가 전도되면서 탑승하고 있던 재해자 2명이 인근 옥수수 밭으로 추락(H≒7.0m)하여 부상"/>
    <s v="고소작업대에 탑승하여 작업 중 아웃트리거 거치지반이 침하하여 전도되면서 작업대에서 추락"/>
    <s v="▶ 고소작업대 등 건설장비를 사용하여 작업할 경우, 지반 침하 등으로 인한 장비 전도를 막기 위해 사전 조사를 통해 지반상태를 확인하고 철판 또는 콘크리트 타설 등의 보강 조치 후 작업을 진행하거나 다른 방법으로 작업을 실시_x000a_▶ 고소작업대(차) 사용 작업 시 작업대 단부 등 추락 위험 구간에 안전난간을 설치하고, 작업대의 안전난간이 아닌 별도의 안전대 부착설비 설치 및 안전대 체결상태 점검 및 관리감독"/>
  </r>
  <r>
    <n v="4"/>
    <x v="4"/>
    <x v="14"/>
    <x v="20"/>
    <s v="YES"/>
    <x v="3"/>
    <x v="21"/>
    <s v="12대 기인물"/>
    <n v="6"/>
    <n v="4.9000000000000002E-2"/>
    <s v="2020년 9월경"/>
    <d v="2020-09-01T00:00:00"/>
    <n v="9"/>
    <s v="-"/>
    <x v="6"/>
    <s v="2020년 9월경 저온저장고설치 및 창고설치 공사현장에서 재해자(판넬공)가 고소작업대(시저형)에 탑승(h=4m)하여 창고 벽체 판넬을 설치하던 중 고소작업대가 갑자기 상승하여 철골보(girder)와 고소작업대의 안전난간 사이에 흉부가 협착되어 사망"/>
    <s v="과상승방지장치가 설치되지 않은 고소작업대에서 작업대 외부로 상체를 내밀어 작업하던 중 재해자가 착용한 공구주머니 및 상체가 작동레버를 눌러 순간 상승되면서 작업대와 구조물 사이에 끼임"/>
    <s v="▶ 고소작업대 작업 전 작업계획서를 수립하고, 과상승방지장치 등 안전장치 설치 및 상태 점검_x000a_▶ 고소작업대 작업 중 작업대 이탈, 안전난간을 밟고 올라서는 등의 불안전한 행동 금지 및 관리감독_x000a_▶ 고소작업대 작업 시 관리감독자 또는 안전관리자 배치하여 관리감독"/>
  </r>
  <r>
    <n v="4"/>
    <x v="4"/>
    <x v="14"/>
    <x v="20"/>
    <s v="YES"/>
    <x v="3"/>
    <x v="21"/>
    <s v="12대 기인물"/>
    <n v="6"/>
    <n v="4.9000000000000002E-2"/>
    <s v="2020년 9월경"/>
    <d v="2020-09-01T00:00:00"/>
    <n v="9"/>
    <s v="-"/>
    <x v="2"/>
    <s v="2020년 9월경 OO(주) OO 신축공사 현장에서 재해자가 고소작업대 상부에서 지붕판넬 설치작업을 하던 중 추락(H≒12m)하여 사망"/>
    <s v="작업높이에 맞지 않아 고소작업대 난간대를 밟고 올라서서 작업하던 중 몸의 균형을 잃고 바닥으로 추락"/>
    <s v="▶ 고소작업대 작업 전 안전장치 상태 점검 및 조치_x000a_▶ 고소작업대 탑승 시 근로자 이동통로 확보 및 작업대 안전난간 설치상태 확인_x000a_▶ 고소작업대 작업 중 작업대 이탈, 안전난간을 밟고 올라서는 등의 불안전한 행동 금지 및 관리감독_x000a_▶ 사용 중인 제원의 고소작업대 상승높이가 부족할 경우, 장비 제원 변경 또는 비계 설치 등을 통해 작업발판과 추락방지용 안전시설물을 설치하여 작업 실시_x000a_▶ 작업자의 개인보호구, 안전대 체결여부 점검 및 관리감독"/>
  </r>
  <r>
    <n v="4"/>
    <x v="4"/>
    <x v="14"/>
    <x v="20"/>
    <s v="YES"/>
    <x v="3"/>
    <x v="21"/>
    <s v="12대 기인물"/>
    <n v="6"/>
    <n v="4.9000000000000002E-2"/>
    <s v="2021년 2월경"/>
    <d v="2021-02-01T00:00:00"/>
    <n v="2"/>
    <s v="혹한기"/>
    <x v="2"/>
    <s v="2021년 2월경 재해자가 차량탑재형 고소작업대(스카이) 작업대에 탑승하여 옥상 처마 옆면에 목재를 붙이는 작업 중 고소작업대의 전면 우측 아웃트리거 하부 콘크리트 지반이 붕괴되어 고소작업대가 흔들렸고, 그 충격으로 작업대에 있던 재해자가 약 5m 아래 지상으로 추락하여 사망"/>
    <s v="고소작업대에 탑승하여 작업 중 아웃트리거 거치지반이 침하하여 전도되면서 작업대에서 추락"/>
    <s v="▶ 고소작업대 등 건설장비를 사용하여 작업할 경우, 지반 침하 등으로 인한 장비 전도를 막기 위해 사전 조사를 통해 지반상태를 확인하고 철판 또는 콘크리트 타설 등의 보강 조치 후 작업을 진행하거나 다른 방법으로 작업을 실시_x000a_▶ 고소작업대(차) 사용 작업 시 작업대 단부 등 추락 위험 구간에 안전난간을 설치하고, 작업대의 안전난간이 아닌 별도의 안전대 부착설비 설치 및 안전대 체결상태 점검 및 관리감독"/>
  </r>
  <r>
    <n v="5"/>
    <x v="5"/>
    <x v="15"/>
    <x v="45"/>
    <s v="YES"/>
    <x v="3"/>
    <x v="21"/>
    <s v="12대 기인물"/>
    <n v="6"/>
    <n v="4.9000000000000002E-2"/>
    <s v="2018년 4월경"/>
    <d v="2018-04-01T00:00:00"/>
    <n v="4"/>
    <s v="-"/>
    <x v="6"/>
    <s v="2018년 4월경 OO공사에서 재해자가 고소작업대(길이 1.72m×폭 0.83m)에 탑승하여 작업대 외측의 케이블을 잡아 당기기 위해 몸을 내미는 과정에서 승·하강을 조작 레버가 복부에 눌려 순간적으로 작업대가 상승하면서 천정 케이블덕트와 작업대 난간 사이에 흉부가 끼어 사망"/>
    <s v="고소작업대(시저형)에 탑승후 전기선 풀링작업 및 전기 트레이 설치작업시 상승스위치 오작동으로 인해 작업대가 과상승하여 상단부 구조물과 덕트등에 재해자가 협착"/>
    <s v="▶ 작업 전 기능점검을 통한 과상승방지장치 정상 작동여부 확인 실시_x000a_▶ 작업 전 안전장치의 정상작동 여부 사전 점검 (안전장치 임의해제 금지)_x000a_▶ 작동 스위치 레버 상부 방호덮개 설치"/>
  </r>
  <r>
    <n v="5"/>
    <x v="5"/>
    <x v="15"/>
    <x v="45"/>
    <s v="YES"/>
    <x v="3"/>
    <x v="21"/>
    <s v="12대 기인물"/>
    <n v="6"/>
    <n v="4.9000000000000002E-2"/>
    <s v="2018년 7월경"/>
    <d v="2018-07-01T00:00:00"/>
    <n v="7"/>
    <s v="혹서기"/>
    <x v="6"/>
    <s v="2018년 7월경 OO C2,C3,C4BL 신축공사 현장에서 재해자가 C3블럭 지하 1층에서 약 4.45m 높이에 설치되어 있던 가설전선을 정리하기 위해 고소작업대를 이용하여 상승하는 도중 지하 1층 천장의 보와 고소작업대 난간사이에 작업자가 협착"/>
    <s v="고소작업대(시저형)에 탑승후 전기선 풀링작업 및 전기 트레이 설치작업시 상승스위치 오작동으로 인해 작업대가 과상승하여 상단부 구조물과 덕트등에 재해자가 협착"/>
    <s v="▶ 작업 전 기능점검을 통한 과상승방지장치 정상 작동여부 확인 실시_x000a_▶ 작업 전 안전장치의 정상작동 여부 사전 점검 (안전장치 임의해제 금지)_x000a_▶ 작동 스위치 레버 상부 방호덮개 설치"/>
  </r>
  <r>
    <n v="5"/>
    <x v="5"/>
    <x v="15"/>
    <x v="45"/>
    <s v="YES"/>
    <x v="3"/>
    <x v="21"/>
    <s v="12대 기인물"/>
    <n v="6"/>
    <n v="4.9000000000000002E-2"/>
    <s v="2019년 5월경"/>
    <d v="2019-05-01T00:00:00"/>
    <n v="5"/>
    <s v="-"/>
    <x v="6"/>
    <s v="2019년 5월경 OO공사에서 재해자가 고소작업대에 탑승한 상태에서 플렉시블관에 전선 인입 작업 중 고소작업대가 과상승하여 천정 슬래브와 고소작업대 난간대 상부 사이에 끼어 사망"/>
    <s v="고소작업대(시저형)에 탑승후 전기선 풀링작업 및 전기 트레이 설치작업시 상승스위치 오작동으로 인해 작업대가 과상승하여 상단부 구조물과 덕트등에 재해자가 협착"/>
    <s v="▶ 작업 전 기능점검을 통한 과상승방지장치 정상 작동여부 확인 실시_x000a_▶ 작업 전 안전장치의 정상작동 여부 사전 점검 (안전장치 임의해제 금지)_x000a_▶ 작동 스위치 레버 상부 방호덮개 설치"/>
  </r>
  <r>
    <n v="5"/>
    <x v="5"/>
    <x v="15"/>
    <x v="45"/>
    <s v="YES"/>
    <x v="3"/>
    <x v="21"/>
    <s v="12대 기인물"/>
    <n v="6"/>
    <n v="4.9000000000000002E-2"/>
    <s v="2021년 10월"/>
    <d v="2021-10-01T00:00:00"/>
    <n v="10"/>
    <s v="-"/>
    <x v="8"/>
    <s v="2021년 10월경 OO공사에서 재해자가 차량탑재형 고소작업대 이동을 위해 차량 후면의 버튼을 조작하여 아웃트리거를 접는 순간 고소작업대가 경사로 아래쪽으로 밀려 내려가자 차량을 멈추기 위해 운전석(경사로 아래쪽)으로 이동하던 중 밀려 내려오는 고소작업대 아웃트리거와 부딪혀 사망  "/>
    <s v="경사로에 설치된 고소작업대(차량탑재형)의 아웃트리거를 조작하는중 운전자는 경사로에서 밀려 내려오는 고소작업대를 멈추기 위해 경사면 아래로 이동하던 중 전면 아웃트리거와 충돌"/>
    <s v="▶ 작업 시작전 설치위치의 지반상태를 사전 확인_x000a_▶ 경사로에 차량 정차시 하부 고임목 등 고정조치 실시_x000a_▶ 운전원의 자격 유,무를 확인하고 정차시 브레이크 잠금 등 확인"/>
  </r>
  <r>
    <n v="5"/>
    <x v="5"/>
    <x v="15"/>
    <x v="46"/>
    <s v="YES"/>
    <x v="3"/>
    <x v="21"/>
    <s v="12대 기인물"/>
    <n v="6"/>
    <n v="4.9000000000000002E-2"/>
    <s v="2020년 9월경"/>
    <d v="2020-09-01T00:00:00"/>
    <n v="9"/>
    <s v="-"/>
    <x v="2"/>
    <s v="2020년 9월경 OO공사에서 조명등(투광등) 해체작업을 위해 조종사가  재해자 2명이 탑승한 차량탑재형 고소작업대의 위치를 조정하던 중 고소작업대가 조명타워 방향으로 넘어지면서 작업대가 높이 약 15m 아래로 떨어져 작업대에 탑승하고 있던 재해자 2명 사망"/>
    <s v="조명등(투광등) 해체작업을 위해 고소작업대(차량탑재형)의 작업대에 근로자 2명이 탑승 후 작업대를 인상하여 작업 위치를 조정하던 중 고소작업대가 조명타워 방향으로 넘어지면서 작업대와 함께 추락"/>
    <s v="▶ 작업 시작전 안전장치의 정상작동 여부 사전점검_x000a_▶ 작업 시작전 작업계획서 작성_x000a_   - 지반상태의 사전조사, 고소작업대의 제원(최대 작업능력)검토, 작업방법 계획수립_x000a_▶ 아웃트리거 최대로 확장하고 견고한 지반에 안착 (하부 깔목 설치)_x000a_    - 아웃트리거는 보도블럭 및 맨홀 그레이팅 등 불안전한 지반에 안착 금지 (필요시 추가 보강조치 실시)_x000a_▶ 붐대 최대 인출에 따른 아웃트리거 확장상태 검토 _x000a_▶ 작업범위내 접근금지 조치 및 신호수 배치_x000a_    - 인접 작업 및 통행차로에 대한 접근금지 조치(차선변경 신호 등)"/>
  </r>
  <r>
    <n v="5"/>
    <x v="5"/>
    <x v="15"/>
    <x v="46"/>
    <s v="YES"/>
    <x v="3"/>
    <x v="21"/>
    <s v="12대 기인물"/>
    <n v="6"/>
    <n v="4.9000000000000002E-2"/>
    <s v="2021년 9월경"/>
    <d v="2021-09-01T00:00:00"/>
    <n v="9"/>
    <s v="-"/>
    <x v="2"/>
    <s v="2021년 9월경 OO공사에서 재해자가 차량탑재형 고소작업대에 탑승하여 통신선을 설치하던 중 고소작업대의 붐 하부를 지나가던 폐기물 운반차량(2.5톤)이 고소작업대의 붐과 충돌하면서 재해자가 바닥으로 추락하여 사망"/>
    <s v="고소작업대(차량탑재형)를 이용해 통신선 설치작업을 하던 중 폐기물 수집운반차량이 고소작업대 밑을 지나가면서 고소작업대 붐을 추돌하여 작업대에 탑승해 있던 재해가 바닥으로 추락"/>
    <s v="▶ 작업 시작전 안전장치의 정상작동 여부 사전점검_x000a_▶ 작업 시작전 작업계획서 작성_x000a_   - 지반상태의 사전조사, 고소작업대의 제원(최대 작업능력)검토, 작업방법 계획수립_x000a_▶ 아웃트리거 최대로 확장하고 견고한 지반에 안착 (하부 깔목 설치)_x000a_    - 아웃트리거는 보도블럭 및 맨홀 그레이팅 등 불안전한 지반에 안착 금지 (필요시 추가 보강조치 실시)_x000a_▶ 붐대 최대 인출에 따른 아웃트리거 확장상태 검토 _x000a_▶ 작업범위내 접근금지 조치 및 신호수 배치_x000a_    - 인접 작업 및 통행차로에 대한 접근금지 조치(차선변경 신호 등)"/>
  </r>
  <r>
    <n v="5"/>
    <x v="5"/>
    <x v="15"/>
    <x v="46"/>
    <s v="YES"/>
    <x v="3"/>
    <x v="21"/>
    <s v="12대 기인물"/>
    <n v="6"/>
    <n v="4.9000000000000002E-2"/>
    <s v="2021년 10월"/>
    <d v="2021-10-01T00:00:00"/>
    <n v="10"/>
    <s v="-"/>
    <x v="6"/>
    <s v="2021년 10월경 OO공사에서 재해자가 차량탑재형 고소작업대에 탑승하여 교량 하부의 가로등 교체작업을 마친 후 고소작업대 하강을 위해 무선리모컨을 작동하는 순간 고소작업대가 상승하면서 재해자의 목이 교량 하부와 고소작업대 사이에 끼어 사망"/>
    <s v="고소작업대(차량탑재형)의 작업대에 탑승 후 교량하부에 설치된 가로등을 교체하는 작업 도중, 운전자가 하강버튼을 눌렀으나 오작동으로 인해 작업대가 상승하면서 재해자가 교량 하부에 협착함"/>
    <s v="▶ 작업 시작전 안전장치의 정상작동 여부 사전점검_x000a_▶ 작업대 상단부에 과상승방지장치 추가 설치_x000a_▶ 작업자와 운전자의 신호체계 확립"/>
  </r>
  <r>
    <n v="5"/>
    <x v="5"/>
    <x v="15"/>
    <x v="21"/>
    <s v="YES"/>
    <x v="3"/>
    <x v="21"/>
    <s v="12대 기인물"/>
    <n v="6"/>
    <n v="4.9000000000000002E-2"/>
    <s v="2018년 1월경"/>
    <d v="2018-01-01T00:00:00"/>
    <n v="1"/>
    <s v="혹한기"/>
    <x v="2"/>
    <s v="2018년 1월경 OO통신 관련 공사현장에서 재해자가 고소작업대(차량탑재형) 버켓에 탑승하여 통신케이블을 포설한 후, 버켓에 설치된 조작스위치를 이용하여 버켓을 하강시킨던 중 스윙감속기 베이스 체결볼트가 파단되면서 넘어지는 붐대와 함께 약 5m 아래의 아스팔트 바닥으로 떨어짐"/>
    <s v="고소작업대(차량탑재형)의 작업대에 작업자가 탑승하여 통신케이블 포설 후 버켓 하강 중 턴테이블 체결볼트 파단에 의해 붐대가 전도되며 함께 추락"/>
    <s v="▶ 고소작업대의 임의 개조 금지_x000a_▶ 작업범위 사전 확인 및 사용제원 검토_x000a_▶ 고소작업대(차량탑재형)의 주기적 안전검사 실시 (2년단위)_x000a_▶ 턴테이블 및 붐대 연결부 등 취약부위 수시점검_x000a_   - 체결핀의 노후화 및 균열상태 등 작업 시작전 확인"/>
  </r>
  <r>
    <n v="5"/>
    <x v="5"/>
    <x v="16"/>
    <x v="22"/>
    <s v="YES"/>
    <x v="3"/>
    <x v="21"/>
    <s v="12대 기인물"/>
    <n v="6"/>
    <n v="4.9000000000000002E-2"/>
    <s v="2018년 7월경"/>
    <d v="2018-07-01T00:00:00"/>
    <n v="7"/>
    <s v="혹서기"/>
    <x v="3"/>
    <s v="2018년 7월경 OO건설의 근생 및 오피스텔 신축공사 현장에서 재해자 2인이 지하4층 기계실에 있던 고소작업대(시저형, 약 1Ton)를 윈치와 체인블럭을 사용하여 지하3층 장비 반입구 개구부(5,000mm×2,700mm)를 통해 인양하여 반출하는 작업 중 윈치를 지지하고 있던 셋트앵커(2개소)가 천정에서 탈락되면서 고소작업대가 낙하하였고, 이 충격으로 체인블럭을 지지하던 파이프 부재가 꺾이면서 작업자와 충돌하여 약 5m 아래의 기계실 바닥으로 추락하여 1명 사망, 1명 부상"/>
    <s v="윈치로 고소작업대 운반작업 중 윈치를 고정하고 있던 셋트앵커 탈락으로 인해 고소작업대 낙하"/>
    <s v="▶ 안전대 부착설비 및 작업발판 설치 등 추락방지조치 준수_x000a_▶ 작업 전 셋트앵커 설치상태 점검"/>
  </r>
  <r>
    <n v="5"/>
    <x v="5"/>
    <x v="16"/>
    <x v="23"/>
    <s v="YES"/>
    <x v="3"/>
    <x v="21"/>
    <s v="12대 기인물"/>
    <n v="6"/>
    <n v="4.9000000000000002E-2"/>
    <s v="2015년 12월"/>
    <d v="2015-12-01T00:00:00"/>
    <n v="12"/>
    <s v="혹한기"/>
    <x v="6"/>
    <s v="2015년 12월경 OO신축공사 현장에서 재해자가 고소작업대에 탑승하여 소방 배관의 용접부 도장작업 중 과상승으로 인한 끼임"/>
    <s v="고소작업대에 탑승하여 배관설비 작업을 위하여 상승하던 중 협착"/>
    <s v="▶ 고소작업대 작업 시 상부의 장애물(파이프 등)로부터 과상승방지장치의 유효높이를 확보할 수 있도록 과상승방지장치를 설치하여 협착, 충돌 등 안전예방조치 실시_x000a_▶ 현장여건에 적합하고 유효한 방식의 과상승방지장치 설치 준수 철저"/>
  </r>
  <r>
    <n v="5"/>
    <x v="5"/>
    <x v="16"/>
    <x v="23"/>
    <s v="YES"/>
    <x v="3"/>
    <x v="21"/>
    <s v="12대 기인물"/>
    <n v="6"/>
    <n v="4.9000000000000002E-2"/>
    <s v="2016년 5월경"/>
    <d v="2016-05-01T00:00:00"/>
    <n v="5"/>
    <s v="-"/>
    <x v="2"/>
    <s v="2016년 5월경 OO도로 건설공사 현장에서 재해자가 OO교 OO방향 P6~P7 배수관 설치작업을 위해 차량탑재형 고소작업대(일명:스카이)의 탑승함을 타고 P6~P7의 중간지점으로 붐대를 인출하여 십자배수관을 설치하려던 순간 붐대 2단부위가 꺾이면서 재해자가 탑승함과 함께 높이 26m 아래 지면으로 떨어짐"/>
    <s v="고소작업대(차량탑재형)의 작업대에 작업자가 탑승하여 교량배수관 설치작업 중 붐대가 꺽이면서 바닥으로 추락"/>
    <s v="▶ 고소작업대의 임의 개조 금지_x000a_▶ 작업범위 사전 확인 및 사용제원 검토_x000a_▶ 고소작업대(차량탑재형)의 주기적 안전검사 실시 (2년단위)_x000a_▶ 턴테이블 및 붐대 연결부 등 취약부위 수시점검_x000a_   - 체결핀의 노후화 및 균열상태 등 작업 시작전 확인"/>
  </r>
  <r>
    <n v="5"/>
    <x v="5"/>
    <x v="16"/>
    <x v="23"/>
    <s v="YES"/>
    <x v="3"/>
    <x v="21"/>
    <s v="12대 기인물"/>
    <n v="6"/>
    <n v="4.9000000000000002E-2"/>
    <s v="2016년 11월"/>
    <d v="2016-11-01T00:00:00"/>
    <n v="11"/>
    <s v="-"/>
    <x v="2"/>
    <s v="2016년 11월경 OO공장 내부에서 재해자가 이동식 고소작업대을 이용하여 크레인 레일을 H-beam에 후크볼트로 체결하는 작업을 하는 과정에서 4m높이의 콘크리트 바닥으로 떨어짐"/>
    <s v="고소작업대(시저형) 탑숭 후 등기구 및 설비배관 설치, 철골조립 작업 중 작업자가 몸의 중심을 잃고 지상바닥으로 추락함"/>
    <s v="▶ 고소작업대 탑승자 안전대 체결_x000a_▶ 작업자의 불안전한 행동 금지 (안전난간대 상부를 밟고 작업하는 등)"/>
  </r>
  <r>
    <n v="5"/>
    <x v="5"/>
    <x v="16"/>
    <x v="23"/>
    <s v="YES"/>
    <x v="3"/>
    <x v="21"/>
    <s v="12대 기인물"/>
    <n v="6"/>
    <n v="4.9000000000000002E-2"/>
    <s v="2017년 2월경"/>
    <d v="2017-02-01T00:00:00"/>
    <n v="2"/>
    <s v="혹한기"/>
    <x v="2"/>
    <s v="2017년 2월경 OO 물류센터 내 보관설비 설치공사 현장에서 재해자가 고소작업대에 탑승하여 안전난간대를 딛고 팔레트 랙의 서포트를 고정하는 작업 중, 몸의 중심을 잃고 작업대 내부로 떨어져 조작박스에 안면부를 맞음"/>
    <s v="고소작업대(시저형) 탑숭 후 등기구 및 설비배관 설치, 철골조립 작업 중 작업자가 몸의 중심을 잃고 지상바닥으로 추락함"/>
    <s v="▶ 고소작업대 탑승자 안전대 체결_x000a_▶ 작업자의 불안전한 행동 금지 (안전난간대 상부를 밟고 작업하는 등)"/>
  </r>
  <r>
    <n v="5"/>
    <x v="5"/>
    <x v="16"/>
    <x v="23"/>
    <s v="YES"/>
    <x v="3"/>
    <x v="21"/>
    <s v="12대 기인물"/>
    <n v="6"/>
    <n v="4.9000000000000002E-2"/>
    <s v="2017년 6월경"/>
    <d v="2017-06-01T00:00:00"/>
    <n v="6"/>
    <s v="혹서기"/>
    <x v="2"/>
    <s v="2017년 6월경 OO 복합시설 신축공사 현장에서 재해자가 고소작업대 상부에서 오배수 통기관 설치·확인 작업 중 떨어짐(H≒2.4m)"/>
    <s v="고소작업대(시저형) 탑숭 후 등기구 및 설비배관 설치, 철골조립 작업 중 작업자가 몸의 중심을 잃고 지상바닥으로 추락함"/>
    <s v="▶ 고소작업대 탑승자 안전대 체결_x000a_▶ 작업자의 불안전한 행동 금지 (안전난간대 상부를 밟고 작업하는 등)"/>
  </r>
  <r>
    <n v="5"/>
    <x v="5"/>
    <x v="16"/>
    <x v="23"/>
    <s v="YES"/>
    <x v="3"/>
    <x v="21"/>
    <s v="12대 기인물"/>
    <n v="6"/>
    <n v="4.9000000000000002E-2"/>
    <s v="2018년 10월"/>
    <d v="2018-10-01T00:00:00"/>
    <n v="10"/>
    <s v="-"/>
    <x v="6"/>
    <s v="2018년 10월경 OO 복합시설 신축공사 현장 지상 1층 방재실 인근에서 재해자가 고소작업대에 탑승하여 배관설비 작업 중, 고소작업대의 안전난간과 천정에 설치된 파이프 사이에 끼임"/>
    <s v="고소작업대에 탑승하여 배관설비 작업을 위하여 상승하던 중 협착"/>
    <s v="▶ 고소작업대 작업 시 상부의 장애물(파이프 등)로부터 과상승방지장치의 유효높이를 확보할 수 있도록 과상승방지장치를 설치하여 협착, 충돌 등 안전예방조치 실시_x000a_▶ 현장여건에 적합하고 유효한 방식의 과상승방지장치 설치 준수 철저"/>
  </r>
  <r>
    <n v="5"/>
    <x v="5"/>
    <x v="16"/>
    <x v="23"/>
    <s v="YES"/>
    <x v="3"/>
    <x v="21"/>
    <s v="12대 기인물"/>
    <n v="6"/>
    <n v="4.9000000000000002E-2"/>
    <s v="2018년 10월"/>
    <d v="2018-10-01T00:00:00"/>
    <n v="10"/>
    <s v="-"/>
    <x v="2"/>
    <s v="2018년 10월경 OO 증축현장에서 재해자가 2층 내부 소방 배관공사를 하기 위하여 이동식크레인으로 고소작업대를 양중하여 슬라브에 전륜바퀴를 지지한 상태에서 고소작업대에 탑승하여 운전하던 중 고소작업차가 슬라브로부터 이탈하여 약 7m 아래로 떨어짐"/>
    <s v="차량탑재형 고소작업대에 탑승하여 배관 도장작업 중 몸의 균형을 잃고 바닥으로 추락"/>
    <s v="▶ 고소작업대를 이용한 작업 시 고소작업대에 설치된 안전문 개방금지 준수_x000a_▶ 부득이하게 안전문을 개방할 시 안전대 부착설비를 설치하고 해당 부착설비에 안전대를 걸고 작업을 실시할 것_x000a_▶ 고소작업대에 자재 등을 양중하는 작업 시 고소작업대를 가장 낮게 내린 상태에서 적재를 한 뒤 상승 후 작업하는 방식으로 진행할 것"/>
  </r>
  <r>
    <n v="5"/>
    <x v="5"/>
    <x v="16"/>
    <x v="23"/>
    <s v="YES"/>
    <x v="3"/>
    <x v="21"/>
    <s v="12대 기인물"/>
    <n v="6"/>
    <n v="4.9000000000000002E-2"/>
    <s v="2019년 1월경"/>
    <d v="2019-01-01T00:00:00"/>
    <n v="1"/>
    <s v="혹한기"/>
    <x v="2"/>
    <s v="2019년 1월경 OO공사에서 재해자가 5톤 크레인의 적재함에 실린 고소작업대 상부에서 터널 내 등기구의 등주감시기 설치를 위해 드릴천공 작업 중 터널 바닥으로 추락하여(H≒3.9m) 사망"/>
    <s v="고소작업대(시저형) 탑승 후 등기구 및 설비배관 설치, 철골조립 작업 중 작업자가 몸의 중심을 잃고 지상바닥으로 추락함"/>
    <s v="▶ 고소작업대 탑승자 안전대 체결_x000a_▶ 작업자의 불안전한 행동 금지 (안전난간대 상부를 밟고 작업하는 등)"/>
  </r>
  <r>
    <n v="5"/>
    <x v="5"/>
    <x v="16"/>
    <x v="23"/>
    <s v="YES"/>
    <x v="3"/>
    <x v="21"/>
    <s v="12대 기인물"/>
    <n v="6"/>
    <n v="4.9000000000000002E-2"/>
    <s v="2019년 1월경"/>
    <d v="2019-01-01T00:00:00"/>
    <n v="1"/>
    <s v="혹한기"/>
    <x v="6"/>
    <s v="2019년 1월경 OO 아파트 건설현장 지하1층 주차장에서 고소작업대(일명, 렌탈)에 탑승하여 지하층 천정에 소방배관 설치작업 중이던 재해자가 렌탈이 과상승 되어 렌탈 프레임에 걸쳐진 배관과 지하층 상부 콘크리트 구조물(보)에 목이 충돌·협착"/>
    <s v="고소작업대에 탑승하여 배관설비 작업을 위하여 상승하던 중 협착"/>
    <s v="▶ 고소작업대 작업 시 상부의 장애물(파이프 등)로부터 과상승방지장치의 유효높이를 확보할 수 있도록 과상승방지장치를 설치하여 협착, 충돌 등 안전예방조치 실시_x000a_▶ 현장여건에 적합하고 유효한 방식의 과상승방지장치 설치 준수 철저"/>
  </r>
  <r>
    <n v="5"/>
    <x v="5"/>
    <x v="16"/>
    <x v="23"/>
    <s v="YES"/>
    <x v="3"/>
    <x v="21"/>
    <s v="12대 기인물"/>
    <n v="6"/>
    <n v="4.9000000000000002E-2"/>
    <s v="2019년 1월경"/>
    <d v="2019-01-01T00:00:00"/>
    <n v="1"/>
    <s v="혹한기"/>
    <x v="2"/>
    <s v="2019년 1월경 OO병원 건립공사 현장에서 재해자가 1층 B구간에서 방화셔터감지기 이설 작업을 위해 고소작업대를 약 2.5m 상승시킨 후에 발판위에 서서, 안전문을 개방한 상태에서 하부바닥에서 동료근로자가 건네주는 자재를 받아 고소작업대 발판에 내려놓거나 정리하던 중 몸의 균형을 잃고 콘크리트 바닥(H≒2.5m)으로 떨어짐"/>
    <s v="차량탑재형 고소작업대에 탑승하여 배관 도장작업 중 몸의 균형을 잃고 바닥으로 추락"/>
    <s v="▶ 고소작업대를 이용한 작업 시 고소작업대에 설치된 안전문 개방금지 준수_x000a_▶ 부득이하게 안전문을 개방할 시 안전대 부착설비를 설치하고 해당 부착설비에 안전대를 걸고 작업을 실시할 것_x000a_▶ 고소작업대에 자재 등을 양중하는 작업 시 고소작업대를 가장 낮게 내린 상태에서 적재를 한 뒤 상승 후 작업하는 방식으로 진행할 것"/>
  </r>
  <r>
    <n v="5"/>
    <x v="5"/>
    <x v="16"/>
    <x v="23"/>
    <s v="YES"/>
    <x v="3"/>
    <x v="21"/>
    <s v="12대 기인물"/>
    <n v="6"/>
    <n v="4.9000000000000002E-2"/>
    <s v="2019년 10월"/>
    <d v="2019-10-01T00:00:00"/>
    <n v="10"/>
    <s v="-"/>
    <x v="2"/>
    <s v="2019년 10월경 OO 신축 기계소방공사 현장에서 재해자가 차량탑재형 고소작업대에 탑승하여 공장동 1층 스프링클러 배관의 도장 작업 중, 재해자가 고소작업대(높이 약 4m)에서 떨어짐"/>
    <s v="차량탑재형 고소작업대에 탑승하여 배관 도장작업 중 몸의 균형을 잃고 바닥으로 추락"/>
    <s v="▶ 고소작업대를 이용한 작업 시 고소작업대에 설치된 안전문 개방금지 준수_x000a_▶ 부득이하게 안전문을 개방할 시 안전대 부착설비를 설치하고 해당 부착설비에 안전대를 걸고 작업을 실시할 것_x000a_▶ 고소작업대에 자재 등을 양중하는 작업 시 고소작업대를 가장 낮게 내린 상태에서 적재를 한 뒤 상승 후 작업하는 방식으로 진행할 것"/>
  </r>
  <r>
    <n v="5"/>
    <x v="5"/>
    <x v="16"/>
    <x v="23"/>
    <s v="YES"/>
    <x v="3"/>
    <x v="21"/>
    <s v="12대 기인물"/>
    <n v="6"/>
    <n v="4.9000000000000002E-2"/>
    <s v="2020년 2월경"/>
    <d v="2020-02-01T00:00:00"/>
    <n v="2"/>
    <s v="혹한기"/>
    <x v="6"/>
    <s v="2020년 2월경 OO공장 신축공사 중 2차 건축공사 현장에서 재해자가 제품냉각실에서 고소작업대를 이용하여 냉동기(UNIT COOLER) 설치작업 중 고소작업대의 급작스러운 상승으로 천장과 고소작업대 사이에 끼임"/>
    <s v="고소작업대에 탑승하여 배관설비 작업을 위하여 상승하던 중 협착"/>
    <s v="▶ 고소작업대 작업 시 상부의 장애물(파이프 등)로부터 과상승방지장치의 유효높이를 확보할 수 있도록 과상승방지장치를 설치하여 협착, 충돌 등 안전예방조치 실시_x000a_▶ 현장여건에 적합하고 유효한 방식의 과상승방지장치 설치 준수 철저"/>
  </r>
  <r>
    <n v="5"/>
    <x v="5"/>
    <x v="16"/>
    <x v="23"/>
    <s v="YES"/>
    <x v="3"/>
    <x v="21"/>
    <s v="12대 기인물"/>
    <n v="6"/>
    <n v="4.9000000000000002E-2"/>
    <s v="2020년 3월경"/>
    <d v="2020-03-01T00:00:00"/>
    <n v="3"/>
    <s v="-"/>
    <x v="6"/>
    <s v="2020년 3월경 OO 지식산업센터 신축공사 현장에서 재해자가 고소작업대(시저형)에 탑승하여 FCU배관 보온작업을 위하여 상승하던 중, 높이 약 6.5m 지점에서 전기 트레이와 고소작업대 난간대 사이에 목이 협착"/>
    <s v="고소작업대에 탑승하여 배관설비 작업을 위하여 상승하던 중 협착"/>
    <s v="▶ 고소작업대 작업 시 상부의 장애물(파이프 등)로부터 과상승방지장치의 유효높이를 확보할 수 있도록 과상승방지장치를 설치하여 협착, 충돌 등 안전예방조치 실시_x000a_▶ 현장여건에 적합하고 유효한 방식의 과상승방지장치 설치 준수 철저"/>
  </r>
  <r>
    <n v="5"/>
    <x v="5"/>
    <x v="16"/>
    <x v="23"/>
    <s v="YES"/>
    <x v="3"/>
    <x v="21"/>
    <s v="12대 기인물"/>
    <n v="6"/>
    <n v="4.9000000000000002E-2"/>
    <s v="2020년 4월경"/>
    <d v="2020-04-01T00:00:00"/>
    <n v="4"/>
    <s v="-"/>
    <x v="1"/>
    <s v="2020년 4월경 OO공장 신축공사 현장 내 지상1층 천장 설비배관설치 작업장소에서 주행 중 넘어진 고소작업대를 다른 고소작업대(2대)에 묶어서 세우는 작업을 진행하던 중, 상승시키던 고소작업대 1대(2호기)가 넘어지며 옆에서 지켜보던 재해자가 깔림"/>
    <s v="넘어진 1호기 고소작업대를 3대의 고소작업대를 이용해 일으켜세우던 중, 2호기 고소작업대의 전도에 의해 근로자가 깔림"/>
    <s v="▶ 고소작업대 사용시 주된 용도인 작업대 전용 외의 목적(양중용, 운반용 등)으로 사용금지조치 실시"/>
  </r>
  <r>
    <n v="5"/>
    <x v="5"/>
    <x v="16"/>
    <x v="23"/>
    <s v="YES"/>
    <x v="3"/>
    <x v="21"/>
    <s v="12대 기인물"/>
    <n v="6"/>
    <n v="4.9000000000000002E-2"/>
    <s v="2021년 4월경"/>
    <d v="2021-04-01T00:00:00"/>
    <n v="4"/>
    <s v="-"/>
    <x v="6"/>
    <s v="2021년 4월경 OO공장 현장에서 재해자가 고소작업대에 탑승하여 케이블트레이 접속부의 본딩접지 볼트체결을 위해 상체를 숙인 후 작업 중 고소작업대 안전난간과 소방배관 사이에 복부가 끼임"/>
    <s v="고소작업대에 탑승하여 배관설비 작업을 위하여 상승하던 중 협착"/>
    <s v="▶ 고소작업대 작업 시 상부의 장애물(파이프 등)로부터 과상승방지장치의 유효높이를 확보할 수 있도록 과상승방지장치를 설치하여 협착, 충돌 등 안전예방조치 실시_x000a_▶ 현장여건에 적합하고 유효한 방식의 과상승방지장치 설치 준수 철저"/>
  </r>
  <r>
    <n v="6"/>
    <x v="6"/>
    <x v="17"/>
    <x v="24"/>
    <s v="YES"/>
    <x v="3"/>
    <x v="21"/>
    <s v="12대 기인물"/>
    <n v="6"/>
    <n v="4.9000000000000002E-2"/>
    <s v="2019년 12월"/>
    <d v="2019-12-01T00:00:00"/>
    <n v="12"/>
    <s v="혹한기"/>
    <x v="2"/>
    <s v="2019년 12월경 OO초등학교에서 재해자가 고소작업대(차량탑재형) 작업대 위에서 붐 끝단에 연결된 슬링벨트로 벌목대상 나무 상단을 고정한 후 하부에서 동료근로자가 엔진톱으로 나무 하단을 절단하던 중, 나무가 기울어지면서 고소작업대의 흔들림이 발생하여 재해자가 H≒5m 아래로 추락하여 사망"/>
    <s v="고소작업대를 사용하여 지붕에서 지상으로 이동하려던 중 지붕강판에 걸려있던 작업대가 떨어져 나감과 동시에 그 충격으로 몸의 중심을 잃고 바닥으로 추락"/>
    <s v="▶ 고소작업대를 사용하여 작업 시, 지붕강판 등 구조물에 걸려 작업대의 승하강이 어려울 경우, 운전자는 작업대가 걸려있는 상황을 직접 파악한 후 조작 실시_x000a_▶ 고소작업대를 통해 작업 시, 전면부에 웨빙띠 및 안전 난간 등과 같은 추락방지조치 철저"/>
  </r>
  <r>
    <n v="6"/>
    <x v="6"/>
    <x v="17"/>
    <x v="79"/>
    <s v="YES"/>
    <x v="3"/>
    <x v="21"/>
    <s v="12대 기인물"/>
    <n v="6"/>
    <n v="4.9000000000000002E-2"/>
    <s v="2016년 2월경"/>
    <d v="2016-02-01T00:00:00"/>
    <n v="2"/>
    <s v="혹한기"/>
    <x v="2"/>
    <s v="2016년 2월경 부지정지공사에서 재해자가 차량 탑재형 크레인을 이용하여 조경수 인양작업을 하던 중 크레인 슬링벨트에 걸린 나뭇가지가 회전하여 타격 후 몸의 중심을 잃고 15m 아래 바닥으로 추락하여 사망"/>
    <s v="차량 탑재형 크레인을 이용하여 조경수 인양작업을 하던 중 크레인 붐대를 상승하던 순간 슬링벨트에 의해 나뭇가지가 회전하여 근로자를 타격해 몸의 중심을 잃고 추락함"/>
    <s v="▶ 크레인으로 수목을 인양하는 경우 수목의 갑작스런 요동 등을 방지하기 위해 줄걸이를 활용하여 요동 방지_x000a_▶ 수목 인양 시 회전반경 내 작업자 접근방지 조치 실시_x000a_▶ 추락할 위험이 있는 장소에서 작업할 경우 이에 맞는 안전 보호구(안전모)착용"/>
  </r>
  <r>
    <n v="9"/>
    <x v="11"/>
    <x v="44"/>
    <x v="96"/>
    <s v="NO"/>
    <x v="3"/>
    <x v="21"/>
    <s v="12대 기인물"/>
    <n v="6"/>
    <n v="4.9000000000000002E-2"/>
    <s v="2016년 12월"/>
    <d v="2016-12-01T00:00:00"/>
    <n v="12"/>
    <s v="혹한기"/>
    <x v="6"/>
    <s v="2016년 12월경 터널 공사현장에서 재해자가 지보재 다발의 슬링벨트를 제거하던 중 근처에 있더 터널용 고소작업차가 움직이면서 끼여 사망"/>
    <s v="지보재를 하역하던 중 터널용 고소작업차(차징카)가 갑자기 움직여 작업대와 지보재 사이에 근로자가 끼임"/>
    <s v="▶ 근로자가 고소작업차 등에 탑승하여 작업을 수행하는 경우 유도자를 배치하여 신호에 따라 작업_x000a_▶ 운전자가 운전석에서 이탈하는 경우 갑작스러운 주행이나 이탈이 발생하지 않도록 엔진 정지, 브레이크 작동 및 운전대에서 시동키 분리 등의 안전조치 실시"/>
  </r>
  <r>
    <n v="12"/>
    <x v="1"/>
    <x v="2"/>
    <x v="3"/>
    <s v="YES"/>
    <x v="6"/>
    <x v="22"/>
    <s v="해당없음"/>
    <s v="해당없음"/>
    <s v="해당없음"/>
    <s v="2016년 10월"/>
    <d v="2016-10-01T00:00:00"/>
    <n v="10"/>
    <s v="-"/>
    <x v="0"/>
    <s v="2016년 10월경 OO공장철거공사 현장에서 재해자가 로터리킬른(회전소성로)을 회전시키던 중, 원동기에서 감속기로 동력을 전달하는 부분인 베어링과 드럼이 파열되면서 비래되어 재해자가 맞아 사망"/>
    <s v="기계설비 작동 중 동력부가 파단되면서 기계설비 점검하던 재해자 맞음"/>
    <s v="▶ 회전축 등이 파열되어 날아오는 등 위험상황에 대비하여 해당 부위에 덮개 등의 안전조치 실시"/>
  </r>
  <r>
    <n v="12"/>
    <x v="1"/>
    <x v="2"/>
    <x v="3"/>
    <s v="YES"/>
    <x v="6"/>
    <x v="22"/>
    <s v="해당없음"/>
    <s v="해당없음"/>
    <s v="해당없음"/>
    <s v="2016년 10월"/>
    <d v="2016-10-01T00:00:00"/>
    <n v="10"/>
    <s v="-"/>
    <x v="1"/>
    <s v="2016년 10월경 OO설치공사 현장에서 해체되어 운반차에 안착되어 있던 노후 모터(중량 약 4.5ton 추정)가 전도되면서 재해자와 부딪혀 사망"/>
    <s v="해체작업을 하던 중 방음벽 및 배관 등 해체물이 재해자쪽으로 전도되어 맞음, 깔림"/>
    <s v="▶ 해체물, 자재 등 현장 내 존치할 경우 전도방지조치 실시_x000a_▶ 건축물의 해체 작업시 작업반경 내 작업자의 출입 금지조치"/>
  </r>
  <r>
    <n v="12"/>
    <x v="1"/>
    <x v="2"/>
    <x v="3"/>
    <s v="YES"/>
    <x v="6"/>
    <x v="22"/>
    <s v="해당없음"/>
    <s v="해당없음"/>
    <s v="해당없음"/>
    <s v="2018년 8월경"/>
    <d v="2018-08-01T00:00:00"/>
    <n v="8"/>
    <s v="혹서기"/>
    <x v="6"/>
    <s v="2018년 8월경 OO(주) OO현장에서 재해자가 승강기 설치를 위한 사전 해체작업 중 카운터웨이트와 케이스 사이에 두부가 끼어 사망"/>
    <s v="승강기 설치를 위한 사전 해체작업 중 카운터웨이트와 케이스 사이 두부가 끼임"/>
    <s v="▶ 낙하물에 의한 방호조치 실시_x000a_▶ 작업지휘자 배치"/>
  </r>
  <r>
    <n v="12"/>
    <x v="1"/>
    <x v="2"/>
    <x v="3"/>
    <s v="YES"/>
    <x v="6"/>
    <x v="22"/>
    <s v="해당없음"/>
    <s v="해당없음"/>
    <s v="해당없음"/>
    <s v="2020년 2월경"/>
    <d v="2020-02-01T00:00:00"/>
    <n v="2"/>
    <s v="혹한기"/>
    <x v="1"/>
    <s v="2020년 2월경 OO건설이 시공하는 OO공사현장에서 재해자가 공장동 내 소방배관 용단작업 중 배관에 걸쳐져 있던 물탱크 철재받침대가 재해자 방향으로 넘어지면서 철재받침대에 깔려 사망 "/>
    <s v="해체작업을 하던 중 방음벽 및 배관 등 해체물이 재해자쪽으로 전도되어 맞음, 깔림"/>
    <s v="▶ 해체물, 자재 등 현장 내 존치할 경우 전도방지조치 실시_x000a_▶ 건축물의 해체 작업시 작업반경 내 작업자의 출입 금지조치"/>
  </r>
  <r>
    <n v="12"/>
    <x v="1"/>
    <x v="36"/>
    <x v="73"/>
    <s v="YES"/>
    <x v="6"/>
    <x v="22"/>
    <s v="해당없음"/>
    <s v="해당없음"/>
    <s v="해당없음"/>
    <s v="2016년 4월경"/>
    <d v="2016-04-01T00:00:00"/>
    <n v="4"/>
    <s v="-"/>
    <x v="0"/>
    <s v="2016년 4월경 고속도로 건설공사에서 재해자가 크랴사 벨트컨베이 윤활유 주입 중 갑작스런 벨트컨베이어의 가동으로 몸의 중심을 잃고 쓰러지며 두부를 강타당해 사망"/>
    <s v="급작스런 벨트컨베이어 가동으로 근로자가 중심을 잃고 쓰러지면서 자석에 두부를 강타"/>
    <s v="▶ 크라샤 동력전달부 윤활유 주입작업 시 컨베이어 정지_x000a_▶ 운전을 정지한 경우 운전하는 것을 방지하기 위해 크라샤 벨트 컨베이어의 기동장치에 잠금장치 설치"/>
  </r>
  <r>
    <n v="12"/>
    <x v="1"/>
    <x v="4"/>
    <x v="97"/>
    <s v="YES"/>
    <x v="6"/>
    <x v="22"/>
    <s v="해당없음"/>
    <s v="해당없음"/>
    <s v="해당없음"/>
    <s v="2016년 6월경"/>
    <d v="2016-06-01T00:00:00"/>
    <n v="6"/>
    <s v="혹서기"/>
    <x v="1"/>
    <s v="2016년 6월경 물류센터 리뉴얼공사 현장에서 해체작업 중인 화물용승강기 카(약 1톤)가 불시에 상승하였고 동시에 균형추(3.75톤)가 하강하면서 1층에서 해체작업 중인 재해자 2명이 균형추에 충돌하여 1명 사망, 1명 부상"/>
    <s v="화물용승강기 해체작업 중 승강기 카와 균형 추의 무게균형이 쏠리고 승강기가 불시에 상승하여 하강하는 균형추에 깔림"/>
    <s v="▶ 화물용 승강기 해체 시, 승강기 카의 전면도어, 상부〮측면 판넬 등을 해체할 경우, 승강기 카와 균형 추의 무게균형을 맞추기 위해 승강기 카에 중량물을 적재하는 등의 조치를 취한 후 작업 진행_x000a_▶ 화물용 승강기 해체 시, 무면허업체에 의한 해체작업 절대금지 조치"/>
  </r>
  <r>
    <n v="12"/>
    <x v="1"/>
    <x v="5"/>
    <x v="6"/>
    <s v="YES"/>
    <x v="6"/>
    <x v="22"/>
    <s v="해당없음"/>
    <s v="해당없음"/>
    <s v="해당없음"/>
    <s v="2016년 7월경"/>
    <d v="2016-07-01T00:00:00"/>
    <n v="7"/>
    <s v="혹서기"/>
    <x v="6"/>
    <s v="2016년 7월경 OO정비공사 현장에서 재해자가 선별장의 트롬멜스크린 좌측부 작업발판 등에서 후속작업 준비 및 시운전시 이상징후(소음 등) 확인 등의 작업 중 스크린망과 측면벽체 사이에 협착되어 사망"/>
    <s v="장비 시운전 중 설비작동으로 인해 기계설비와 벽체사이 끼임"/>
    <s v="▶ 설비 작동 전 근로자 안전확보 조치_x000a_▶ 설비 운전시작 전 신호방법 미흡"/>
  </r>
  <r>
    <n v="12"/>
    <x v="1"/>
    <x v="5"/>
    <x v="6"/>
    <s v="YES"/>
    <x v="6"/>
    <x v="22"/>
    <s v="해당없음"/>
    <s v="해당없음"/>
    <s v="해당없음"/>
    <s v="2018년 6월경"/>
    <d v="2018-06-01T00:00:00"/>
    <n v="6"/>
    <s v="혹서기"/>
    <x v="2"/>
    <s v="2018년 6월경 OO보수공사 현장에서 Main Silo 상부 콘베이어 보강작업을 위해 재해자와 동료작업자 3명이 콘베이어의 기존 바닥판을 철거하고 신규 바닥판과 덧댐 측판을 설치하던 중 재해자가 안전난간 바깥에서 이음부의 볼트체결 작업을 하면서 안전난간에 연결한 안전대를 풀고 이동하다가 약 22m 아래 바닥으로 추락하여 사망"/>
    <s v="컨베이어 보수공사에서 볼트체결 작업을 위해 안전대를 풀고 이동하다 바닥으로 추락"/>
    <s v="▶ 원동기·회전축·벨트 등의 위험 방지 조치 실시_x000a_▶ 컨베이어 등을 청소할 시, 해당기계의 운전을 정지시킨 후 작업 실시_x000a_▶ 비상시 컨베이어의 운전을 정지시킬 수 있는 비상정지장치 설치"/>
  </r>
  <r>
    <n v="12"/>
    <x v="1"/>
    <x v="5"/>
    <x v="6"/>
    <s v="YES"/>
    <x v="6"/>
    <x v="22"/>
    <s v="해당없음"/>
    <s v="해당없음"/>
    <s v="해당없음"/>
    <s v="2018년 7월경"/>
    <d v="2018-07-01T00:00:00"/>
    <n v="7"/>
    <s v="혹서기"/>
    <x v="6"/>
    <s v="2018년 7월경 OO도로 개설공사 현장에서 재해자가 폐기물 선별 작업 중 컨베이어 벨트에 낀 토사를 삽으로 제거하던 중 삽과 함께 컨베이어 벨트에 협착되어 사망"/>
    <s v="컨베이어 가동 중 컨베이어 점검 및 잔여물 제거하다 컨베이어 벨트에 협착"/>
    <s v="▶ 원동기·회전축·벨트 등의 위험 방지 조치 실시_x000a_▶ 컨베이어 등을 청소할 시, 해당기계의 운전을 정지시킨 후 작업 실시_x000a_▶ 비상시 컨베이어의 운전을 정지시킬 수 있는 비상정지장치 설치"/>
  </r>
  <r>
    <n v="12"/>
    <x v="1"/>
    <x v="5"/>
    <x v="6"/>
    <s v="YES"/>
    <x v="6"/>
    <x v="22"/>
    <s v="해당없음"/>
    <s v="해당없음"/>
    <s v="해당없음"/>
    <s v="2018년 8월경"/>
    <d v="2018-08-01T00:00:00"/>
    <n v="8"/>
    <s v="혹서기"/>
    <x v="11"/>
    <s v="2018년 8월경 OO발전소 신축현장에서 석탄 이송 설비인 트랜스퍼 타워의 버킷 컨베이어 내부에서 석탄 분진이 폭발하여 비래한 파편 및 화염 등에 의해, 스피드 스위치 조정 작업 등을 하던 재해자가 사망"/>
    <s v="버킷 컨베이어 케이싱 내부에서 내부 부유분진에 의한 분진폭발"/>
    <s v="▶ 자연발화 우려 시 설비의 작동을 중지 후 잔류 석탄의 제거_x000a_▶ 버킷 컨베이어 가동 시 집진기를 가동하여 부유 분진 제거_x000a_▶ 불활성 가스 치환 등 발화 위험성 제거"/>
  </r>
  <r>
    <n v="12"/>
    <x v="1"/>
    <x v="5"/>
    <x v="6"/>
    <s v="YES"/>
    <x v="6"/>
    <x v="22"/>
    <s v="해당없음"/>
    <s v="해당없음"/>
    <s v="해당없음"/>
    <s v="2018년 8월경"/>
    <d v="2018-08-01T00:00:00"/>
    <n v="8"/>
    <s v="혹서기"/>
    <x v="2"/>
    <s v="2018년 8월경 OO에서 시공하는 OO용역 현장에서 재해자가 정지된 컨베이어 벨트 상부에 서서 Silo 하부의 석탄 발화 여부를 확인하던 중 컨베이어 벨트가 기동되면서 쓰러진 상태로 컨베이어 끝단까지 이송되어 헤드 슈트로 추락하여(H≒3.5m) 사망"/>
    <s v="정지된 컨베이어 벨트 상부에서 석탄 발화여부를 확인하던 중 컨베이어 벨트가 가동되면서 재해자가 쓰러진 상태로 컨베이어 끝단까지 이동되어 바닥으로 떨어짐"/>
    <s v="▶ 컨베이어 벨트 탑승 제한 조치_x000a_▶ 비상시 컨베이어의 운전을 정지시킬 수 있는 비상정지장치 설치"/>
  </r>
  <r>
    <n v="12"/>
    <x v="1"/>
    <x v="5"/>
    <x v="6"/>
    <s v="YES"/>
    <x v="6"/>
    <x v="22"/>
    <s v="해당없음"/>
    <s v="해당없음"/>
    <s v="해당없음"/>
    <s v="2018년 10월"/>
    <d v="2018-10-01T00:00:00"/>
    <n v="10"/>
    <s v="-"/>
    <x v="2"/>
    <s v="2018년 10월경 OO개설공사 현장내 폐콘크리트 파쇄 작업장에서  임펙트 크라샤 작동 상태의 이상을 느낀 재해자가  회전체(Roter)의 운전을 정지하고 덮개를 열어 걸린 원석(폐콘크리트) 등을 제거하던 중  Blow Bar와 임펙트 Curtain 사이에 빠지면서 사망"/>
    <s v="쇄석기 로터에 걸린 원석을 제거하던 중 Blow bar와 임팩트 curtain 사이에 빠짐"/>
    <s v="▶ 크라샤 컨베이어 구동 모터 등 수시로 정비 작업이 이루어지는 구간에 근로자가 상부 작업발판으로 이동 가능한 통로 설치"/>
  </r>
  <r>
    <n v="12"/>
    <x v="1"/>
    <x v="5"/>
    <x v="6"/>
    <s v="YES"/>
    <x v="6"/>
    <x v="22"/>
    <s v="해당없음"/>
    <s v="해당없음"/>
    <s v="해당없음"/>
    <s v="2019년 4월경"/>
    <d v="2019-04-01T00:00:00"/>
    <n v="4"/>
    <s v="-"/>
    <x v="6"/>
    <s v="2019년 4월경 OO 구축사업현장 내 2층에서 재해자와 동료 작업자가 경사 벨트 컨베이어에서 발생하는 이상 소음의 원인을 파악하기 위해 컨베이어가 가동 중인 상태에서 방호덮개를 해체한 후 점검하던 중 재해자의 왼쪽 팔이 벨트와 드럼사이에 끼어 말려 들어가면서 사망"/>
    <s v="컨베이어 가동 중 컨베이어 점검 및 잔여물 제거하다 컨베이어 벨트에 협착"/>
    <s v="▶ 원동기·회전축·벨트 등의 위험 방지 조치 실시_x000a_▶ 컨베이어 등을 청소할 시, 해당기계의 운전을 정지시킨 후 작업 실시_x000a_▶ 비상시 컨베이어의 운전을 정지시킬 수 있는 비상정지장치 설치"/>
  </r>
  <r>
    <n v="12"/>
    <x v="1"/>
    <x v="5"/>
    <x v="6"/>
    <s v="YES"/>
    <x v="6"/>
    <x v="22"/>
    <s v="해당없음"/>
    <s v="해당없음"/>
    <s v="해당없음"/>
    <s v="2019년 12월"/>
    <d v="2019-12-01T00:00:00"/>
    <n v="12"/>
    <s v="혹한기"/>
    <x v="6"/>
    <s v="2019년 12월경 OO LNG 설치 현장에서 재해자 2명이 보일러 건물 내부 1층에 설치될 분석기 패널(약 100kgf)을 전면이 아래로 향하게 눕힌 상태로 양쪽에서 들고 옮기던 중 불완전하게 체결되어 있던 잠금장치가 흔들림 등에 의해 해지되면서 열린 분석기 패널 문에 재해자 2명의 손가락이 끼여 3개월 이상의 요양이 필요한 부상"/>
    <s v="분석기 패널 운반작업 중 잠금장치가 흔들림에 의해 해지되면서 열린 패널 문에 손가락 끼임"/>
    <s v="▶ 중량물인 기계설비 운반 시 손잡이를 붙이거나 작업대차 등 적절한 보조도구를 활용한 중량물 운반방법 실시_x000a_▶ 불가피한 인력운반 시 흔들림에 의한 문짝 열림방지조치 실시"/>
  </r>
  <r>
    <n v="4"/>
    <x v="4"/>
    <x v="12"/>
    <x v="17"/>
    <s v="YES"/>
    <x v="6"/>
    <x v="22"/>
    <s v="해당없음"/>
    <s v="해당없음"/>
    <s v="해당없음"/>
    <s v="2016년 1월경"/>
    <d v="2016-01-01T00:00:00"/>
    <n v="1"/>
    <s v="혹한기"/>
    <x v="6"/>
    <s v="2016년 1월경 OOO 복합시설 신축공사 현장, 지상9층 복도에서 설비공사 협력업체 소속 재해자가 파이프 머신을 이용하여 금속 파이프(L=100mm, D25mm) 단부에 나사산을 만드는 작업중 왼쪽 팔 뒷 부분의 옷이 파이프 머신 뒷척 부분에 말려들어가면서 재해자의 등이 뒷척에 밀착되어 상의 하단이 가슴까지 올라가며 가슴을 압박, 재해자가 호흡곤란으로 사망"/>
    <s v="자재 가공작업 중 옷의 일부가 기계(파이프머신)에 말려들어가면서 흉부압박"/>
    <s v="▶ 파이프머신 작업 시 회전축에 옷, 장갑 등이 말려들어가지 않도록 회전축 덮개를 설치한 후 작업"/>
  </r>
  <r>
    <n v="4"/>
    <x v="4"/>
    <x v="12"/>
    <x v="18"/>
    <s v="YES"/>
    <x v="6"/>
    <x v="22"/>
    <s v="해당없음"/>
    <s v="해당없음"/>
    <s v="해당없음"/>
    <s v="2016년 11월"/>
    <d v="2016-11-01T00:00:00"/>
    <n v="11"/>
    <s v="-"/>
    <x v="6"/>
    <s v="2016년 11월경 OOOOO 주상복합 신축공사 현장에서 건물 내/외부 기계전기소방공사 업체인 작업반장이 기계식 주차장 내부에서 스프링클러 배관고정작업을 위하여 벽에 앵커볼트 고정 및 브라켓 연결 작업을 하던 중 상부에서 내려오는 웨이트(무게추)와 기계식 주차설비 철골빔 사이에 끼어 사망"/>
    <s v="기계식 주차장 내부에서 작업 중 승강기가 작동하며 하강하는 균형추와 주차설비 구조물 사이에 끼임"/>
    <s v="▶ 승강기 내 또는 근접하여 작업하는 경우 전원 차단 및 조작부 잠금장치 설치 등 승강기 운전을 정지하고 작업지휘자를 배치하여 작업 _x000a_▶ 2개 이상의 건설공사가 같은 장소에서 행해지는 경우 안전보건조정자를 선임하여 배치"/>
  </r>
  <r>
    <n v="4"/>
    <x v="4"/>
    <x v="12"/>
    <x v="18"/>
    <s v="YES"/>
    <x v="6"/>
    <x v="22"/>
    <s v="해당없음"/>
    <s v="해당없음"/>
    <s v="해당없음"/>
    <s v="2016년 12월"/>
    <d v="2016-12-01T00:00:00"/>
    <n v="12"/>
    <s v="혹한기"/>
    <x v="0"/>
    <s v="2016년 12월경 OOO빌딩 주차타워 공사 현장에서 건물 소방설비공사 업체 재해자가 주차타워 지하1층 A형 사다리 위에서 소방배관 용접작업 중 상부에서 내려오던 승강기의 균형추(4.3톤, 일명 무게추 또는 웨이트)에 머리를 맞아 사망"/>
    <s v="기계식 주차장 내부에서 작업 중 승강기가 작동하며 하강하는 균형추에 맞음"/>
    <s v="▶ 승강기 내 또는 근접하여 작업하는 경우 전원 차단 및 조작부 잠금장치 설치 등 승강기 운전을 정지하고 작업지휘자를 배치하여 작업 _x000a_▶ 2개 이상의 건설공사가 같은 장소에서 행해지는 경우 안전보건조정자를 선임하여 배치"/>
  </r>
  <r>
    <n v="4"/>
    <x v="4"/>
    <x v="12"/>
    <x v="18"/>
    <s v="YES"/>
    <x v="6"/>
    <x v="22"/>
    <s v="해당없음"/>
    <s v="해당없음"/>
    <s v="해당없음"/>
    <s v="2020년 9월경"/>
    <d v="2020-09-01T00:00:00"/>
    <n v="9"/>
    <s v="-"/>
    <x v="6"/>
    <s v="2020년 9월경 OO프라자 인테리어공사 현장에서 재해자가 지상 3층 승강기(엘리베이터) 구간 방화벽체 설치 작업 중 승강기 운행으로 하강하는 균형추와 승강기 벽체 수평철골 사이에 흉부가 협착되어 사망"/>
    <s v="이동식사다리에서 승강기 방화벽체 작업 중 설치상태 확인을 위해 승강기 내부로 상체를 기울인 상태에서 승강기가 작동하며 하강하는 균형추와 벽체 구조물 사이에 끼임"/>
    <s v="▶ 승강기 내 또는 근접하여 작업하는 경우 전원 차단 및 조작부 잠금장치 설치 등 승강기 운전을 정지하고 작업지휘자를 배치하여 작업 _x000a_▶ 2개 이상의 건설공사가 같은 장소에서 행해지는 경우 안전보건조정자를 선임하여 배치"/>
  </r>
  <r>
    <n v="4"/>
    <x v="4"/>
    <x v="12"/>
    <x v="18"/>
    <s v="YES"/>
    <x v="6"/>
    <x v="22"/>
    <s v="해당없음"/>
    <s v="해당없음"/>
    <s v="해당없음"/>
    <s v="2021년 10월"/>
    <d v="2021-10-01T00:00:00"/>
    <n v="10"/>
    <s v="-"/>
    <x v="0"/>
    <s v="2021년 10월경 OO신축공사 현장에서 재해자와 동료작업자는 물류동 램프 외부에서 지상 3층에 루버를 설치하기 위해 고소작업대에 탑승하여 작업하던 중, 윈치를 거치한 부재 용접면이 파단하면서 윈치가 빠져 약 42m 낙하하면서 재해자와 충돌해 사망"/>
    <s v="전동윈치를 사용하여 양중작업 중 윈치를 거치한 부재의 용접 이음부가 파단되면서 낙하하는 윈치에 맞음"/>
    <s v="▶ 윈치 등 양중기계 작업 시 과부하방지장치 설치 및 정상작동여부 점검_x000a_▶ 윈치 거치 부재의 용접 이음부의 용접불량 등 이상여부 확인 및 조치_x000a_▶ 중량물 양중작업 시 작업반경 내 출입통제 및 신호수 배치"/>
  </r>
  <r>
    <n v="4"/>
    <x v="4"/>
    <x v="14"/>
    <x v="20"/>
    <s v="YES"/>
    <x v="6"/>
    <x v="22"/>
    <s v="해당없음"/>
    <s v="해당없음"/>
    <s v="해당없음"/>
    <s v="2020년 2월경"/>
    <d v="2020-02-01T00:00:00"/>
    <n v="2"/>
    <s v="혹한기"/>
    <x v="6"/>
    <s v="2020년 2월경 의료시설 신축공사 중 기계식 주차설비공사 현장에서 판넬설치공사 협렵업체 소속 재해자(판넬공)이 기계식주차장 내부에서 용접불티 비산에 따른 소화작업 중 하강하는 균형추와 철골부재 사이에 끼여 사망"/>
    <s v="기계식 주차장 내부에서 작업 중 승강기가 작동하며 하강하는 균형추와 주차설비 구조물 사이에 끼임"/>
    <s v="▶ 기계식 주차설비 운반기 운전 시, 위험 방지조치 및 신호체계 구축_x000a_▶ 기계식 주차설비를 근로자의 승강목적으로 사용 금지_x000a_▶ 기계식 주차설비의 균형추 주행로상, 근로자의 접근금지 조치 철저"/>
  </r>
  <r>
    <n v="5"/>
    <x v="5"/>
    <x v="15"/>
    <x v="44"/>
    <s v="YES"/>
    <x v="6"/>
    <x v="22"/>
    <s v="해당없음"/>
    <s v="해당없음"/>
    <s v="해당없음"/>
    <s v="2016년 2월경"/>
    <d v="2016-02-01T00:00:00"/>
    <n v="2"/>
    <s v="혹한기"/>
    <x v="1"/>
    <s v="2016년 2월경 OO공사에서 재해자가 지하 변전실에서 변압기를 인력으로 이동하던 중 변압기가 뒤집어 지면서 변압기에 부딪혀 사망 "/>
    <s v="천장 크레인의 거더부가 기둥 하지작업을 하는 자주식 고소작업대 방향으로 이동하면서 고소작업대와 충돌, 공장밖으로 자주식 고소작업대가 전도되어 작업대에 탑승한 근로자가 자주식 고소작업대와 같이 전도"/>
    <s v="▶ 지주식 고소작업대를 사용하는 작업 시 전도 등의 위험예방을 위한 유도자 배치 후 작업실시_x000a_▶ 천장크레인을 이용한 작업 시 안전한 신호방법을 정한 후 운전자는 그 신호에 따라 천장크레인 작동 실시_x000a_▶ 고소작업대 내부에서 작업 시 안전대 지급 및 착용상태 관리"/>
  </r>
  <r>
    <n v="5"/>
    <x v="5"/>
    <x v="15"/>
    <x v="46"/>
    <s v="YES"/>
    <x v="6"/>
    <x v="22"/>
    <s v="해당없음"/>
    <s v="해당없음"/>
    <s v="해당없음"/>
    <s v="2016년 3월경"/>
    <d v="2016-03-01T00:00:00"/>
    <n v="3"/>
    <s v="-"/>
    <x v="2"/>
    <s v="2016년 3월경 OO건설에서 시공중인 신축공사 현장에서 재해자가 오피스동(지상9층) 외부 경관조명 설치작업을 위해 옥상에서 자일에 RIG(자일에 설치하는 등산용 하강장비)를 설치하고 하강하던중 RIG가 자일에서 이탈하여 높이 약35m 지상1층 바닥으로 떨어져 사망"/>
    <s v="건물 외벽 외부 LED 경관조명 교체 및 설치작업을 위해 옥상에서 자일에 등산용 하강장비 설치 후 하강하던 중 하강장비가 자일에서 이탈하여 바닥으로 추락"/>
    <s v="▶ 2m이상의 고소작업시 안전한 작업발판을 설치 후 작업 실시_x000a_   - 비계, 이동식 틀비계, 말비계, 고소작업대(시저형) 사용_x000a_▶ 고소작업시 작업자의 불안전한 행동 금지(작업발판 이외의 장소에서 발을 딛고 작업)_x000a_▶ 작업발판의 설치가 어려울경우 작업자는 안전대를 체결"/>
  </r>
  <r>
    <n v="5"/>
    <x v="5"/>
    <x v="15"/>
    <x v="46"/>
    <s v="YES"/>
    <x v="6"/>
    <x v="22"/>
    <s v="해당없음"/>
    <s v="해당없음"/>
    <s v="해당없음"/>
    <s v="2018년 4월경"/>
    <d v="2018-04-01T00:00:00"/>
    <n v="4"/>
    <s v="-"/>
    <x v="10"/>
    <s v="2018년 4월경 OO공사에서 재해자 등이 전력량 확인용 계량기를 설치하기 위해 멀티테스트기를 이용하여 전류테스트를 실시하던 중 과전류로 인한 아크폭발 발생으로 3명 부상"/>
    <s v="수배전실 내 계량기 설치를 위해 멀티테스트기로 전류테스트 중 과전류로 인한 아크폭발 발생으로 부상(화상)"/>
    <s v="▶ 감전 위험이 있는 작업 시 절연용 보호구(AE형 안전모, 절연장갑, 절연화) 및 방호구를 통한 감전방지조치 실시_x000a_▶ 충전전로 근접작업 시 전압에 따른 접근한계거리 준수_x000a_▶ 아크폭발에 의한 화상 방지를 위한 방염처리된 작업복 또는 난연성능을 가진 작업복 착용 실시 및 준수"/>
  </r>
  <r>
    <n v="5"/>
    <x v="5"/>
    <x v="15"/>
    <x v="46"/>
    <s v="YES"/>
    <x v="6"/>
    <x v="22"/>
    <s v="해당없음"/>
    <s v="해당없음"/>
    <s v="해당없음"/>
    <s v="2020년 5월경"/>
    <d v="2020-05-01T00:00:00"/>
    <n v="5"/>
    <s v="-"/>
    <x v="2"/>
    <s v="2020년 5월경 OO공사에서 재해자가 축산냉장고 상부에서 전등공사 작업 중 몸의 중심을 잃고 콘크리트 바닥으로 추락하여(H≒2.86m) 사망"/>
    <s v="전등 스위치박스, 후드캡설치 및 조명배관, 소방배관등 설치 작업중 2m이상의 높이에서 바닥으로 추락"/>
    <s v="▶ 2m이상의 고소작업시 안전한 작업발판을 설치하여 작업(이동식 비계 설치사용)_x000a_▶ 이동식비계 설치 사용시 안전수칙 준수_x000a_   - 이동식비계 상단부 안전난간대 설치_x000a_   - 전도방지를 위한 하단부 아웃트리거 설치(4지점)_x000a_   - 작업발판 상부에서 작업자는 안전대 체결 후 작업실시_x000a_     =&gt; 이동식 틀비계에 안전대를 체결시 안전대의 최하사점을 고려하여 체결_x000a_     =&gt; 이동식 틀비계 1조당 1.8m높이로 2조이상 조립시 틀비계에 안전대를 체결_x000a_   - 이동식비계 조립시 주요 구조부 조립상태 확인(가새재 설치, 승강사다리 디딤대에 작업발판 설치 금지)_x000a_   - 이동식비계 승강시 해치발판을 설치하여 내측으로 승강사다리 사용_x000a_   - 작업자의 불안전한 행동 금지 (안전난간 상단부를 딛고 작업실시)"/>
  </r>
  <r>
    <n v="5"/>
    <x v="5"/>
    <x v="15"/>
    <x v="46"/>
    <s v="YES"/>
    <x v="6"/>
    <x v="22"/>
    <s v="해당없음"/>
    <s v="해당없음"/>
    <s v="해당없음"/>
    <s v="2021년 11월"/>
    <d v="2021-11-01T00:00:00"/>
    <n v="11"/>
    <s v="-"/>
    <x v="2"/>
    <s v="2021년 11월경 OO공사에서 재해자가 수배전반 위에서 덕트 덮개를 설치하던 중 발을 헛디뎌 수배전반 단부로 추락하여(H≒3m) 사망"/>
    <s v="수배전반(큐비클) 상부에서 덕트 덮개 설치 중 단부로 추락"/>
    <s v="▶ 2m이상의 고소작업시 안전한 작업발판을 설치 후 작업 실시_x000a_   - 비계, 이동식 틀비계, 말비계, 고소작업대(시저형) 사용_x000a_▶ 고소작업시 작업자의 불안전한 행동 금지(작업발판 이외의 장소에서 발을 딛고 작업)_x000a_▶ 작업발판의 설치가 어려울경우 작업자는 안전대를 체결"/>
  </r>
  <r>
    <n v="5"/>
    <x v="5"/>
    <x v="15"/>
    <x v="21"/>
    <s v="YES"/>
    <x v="6"/>
    <x v="22"/>
    <s v="해당없음"/>
    <s v="해당없음"/>
    <s v="해당없음"/>
    <s v="2016년 12월"/>
    <d v="2016-12-01T00:00:00"/>
    <n v="12"/>
    <s v="혹한기"/>
    <x v="2"/>
    <s v="2016년 12월경 OO전철 전력설비 신설 기타공사 현장에서 재해자가 특고압(22.9kv) 케이블 포설작업을 위해 엔진플러(윈치, 용량:7ton)를 조작하던 중 도르래에서 이탈된 로프가 재해자의 얼굴 부위를 가격하여 터널 배수박스에서 떨어지면서(h=67㎝) 레일 기초 콘크리트에 머리를 부딪힘"/>
    <s v="케이블 포설작업을 위해 윈치 조작 중 로프가 도르래의 이탈로 인한 근로자 강타 및 레일로 추락"/>
    <s v="▶ 케이블 견인작업 시 작업장소 주변 근로자 출입통제 실시_x000a_▶ 윈치(엔진플러)사용전 기능검사 실시_x000a_   - 도르래에 로프의 이탈여부, 로프의 파단상태 등_x000a_▶ 작업 전 케이블 포설작업 방법에 대한 안전성검토 실시 후 작업 실시"/>
  </r>
  <r>
    <n v="5"/>
    <x v="5"/>
    <x v="15"/>
    <x v="21"/>
    <s v="YES"/>
    <x v="6"/>
    <x v="22"/>
    <s v="해당없음"/>
    <s v="해당없음"/>
    <s v="해당없음"/>
    <s v="2020년 9월경"/>
    <d v="2020-09-01T00:00:00"/>
    <n v="9"/>
    <s v="-"/>
    <x v="2"/>
    <s v="2020년 9월경 OO지장송전선로 이설공사 현장에서 비가 내려서 작업이 중지되어 재해자가 철탑 암에서 지상으로 내려오려고 수직구명줄에 추락방지대를 체결하던 중, 철탑 하단에 설치한 추락방호망으로 떨어짐(H≒26m)"/>
    <s v="송전철탑의 상단부에서 피뢰기 설치 및 압축인류크램프, 점퍼소켓 교체작업 등 상단부에서 작업 및 승하강시 실족하여 바닥으로 추락"/>
    <s v="▶ 철탑 세우기전 지상에서 각 부재에 안전대 걸이설비를 사전 부착_x000a_   - 주각 스텝볼트 상태 점검 및 안전로프 설치_x000a_   - 수평재(암) 안전대 걸이설비 설치 등 지상에서 선조립_x000a_▶ 철탑의 승하강 통로 및 수평재(암)상단부 작업자는 안전대를 체결한 상태로 작업실시_x000a_▶ 10m 높이마다 추락방지망(주각 내부) 및 낙하물방지망(주각 외부)을 설치"/>
  </r>
  <r>
    <n v="5"/>
    <x v="5"/>
    <x v="15"/>
    <x v="21"/>
    <s v="YES"/>
    <x v="6"/>
    <x v="22"/>
    <s v="해당없음"/>
    <s v="해당없음"/>
    <s v="해당없음"/>
    <s v="2020년 10우"/>
    <d v="2020-10-01T00:00:00"/>
    <n v="10"/>
    <s v="-"/>
    <x v="2"/>
    <s v="2020년 10우러경 OO송전 취약설비 정비공사 현장에서 재해자가  철탑(154kV 구서-명장 T/L No.3)의 송전선로 부속품 교체작업을 마치고 지상으로 내려오기 위하여 수평재로 이동하던 중 실족하여 약 20m 아래 지상으로 떨어짐"/>
    <s v="송전철탑의 상단부에서 피뢰기 설치 및 압축인류크램프, 점퍼소켓 교체작업 등 상단부에서 작업 및 승하강시 실족하여 바닥으로 추락"/>
    <s v="▶ 철탑 세우기전 지상에서 각 부재에 안전대 걸이설비를 사전 부착_x000a_   - 주각 스텝볼트 상태 점검 및 안전로프 설치_x000a_   - 수평재(암) 안전대 걸이설비 설치 등 지상에서 선조립_x000a_▶ 철탑의 승하강 통로 및 수평재(암)상단부 작업자는 안전대를 체결한 상태로 작업실시_x000a_▶ 10m 높이마다 추락방지망(주각 내부) 및 낙하물방지망(주각 외부)을 설치"/>
  </r>
  <r>
    <n v="5"/>
    <x v="5"/>
    <x v="16"/>
    <x v="22"/>
    <s v="YES"/>
    <x v="6"/>
    <x v="22"/>
    <s v="해당없음"/>
    <s v="해당없음"/>
    <s v="해당없음"/>
    <s v="2016년 2월경"/>
    <d v="2016-02-01T00:00:00"/>
    <n v="2"/>
    <s v="혹한기"/>
    <x v="8"/>
    <s v="2016년 2월경 OO 공장 열교환기 교체 작업장에서,체인블럭(1.5Ton)을 이용하여 판형열교환기 (1,130㎜ × 529㎜, h = 1,740m, W≒971㎏)을 옮기던 중 재해자가 넘어지는 판형열교환기에 가슴을 맞음"/>
    <s v="교체를 위해 공장 내 판형열교환기를 체인블럭을 이용하여 운반중 전도되어 부딪힘"/>
    <s v="▶ 단차가 있는 자재 또는 부재 세우기 작업 중 전도방지를 위한 체인블럭, 윈치 등 달기구를 이용하여 지탱하는 방식으로 전도방지조치 실시"/>
  </r>
  <r>
    <n v="5"/>
    <x v="5"/>
    <x v="16"/>
    <x v="22"/>
    <s v="YES"/>
    <x v="6"/>
    <x v="22"/>
    <s v="해당없음"/>
    <s v="해당없음"/>
    <s v="해당없음"/>
    <s v="2016년 4월경"/>
    <d v="2016-04-01T00:00:00"/>
    <n v="4"/>
    <s v="-"/>
    <x v="6"/>
    <s v="2016년 4월경 OO 계획예방정비공사(터빈,보일러,탈황설비) 현장에서 재해자가 Pulverizer F번 Under Bowl 내부로 들어가 청소작업을 하던 중 모터(Motor)와 감속기의 연결축(Shaft)의 정상 작동여부를 확인하기 위하여 Pulverizer를 기동하여 Scraper가 회전하면서 협착"/>
    <s v="터빈 내부 청소작업 중 기계작동으로 인한 작업자 협착"/>
    <s v="▶ 기계의 정비 및 청소, 수리를 위한 안전조치 준수 (LOTO)_x000a_   - 밸브의 손잡이나 전기스위치 등 자물쇠를 이용하여 전원을 차단 (Lock out)_x000a_   - 잠금장치의 표시를 위해 잠금장치에 꼬리표를 부착 (Tag out)_x000a_▶ 작업자 투입 후 감시인 배치 등 실시"/>
  </r>
  <r>
    <n v="5"/>
    <x v="5"/>
    <x v="16"/>
    <x v="22"/>
    <s v="YES"/>
    <x v="6"/>
    <x v="22"/>
    <s v="해당없음"/>
    <s v="해당없음"/>
    <s v="해당없음"/>
    <s v="2016년 7월경"/>
    <d v="2016-07-01T00:00:00"/>
    <n v="7"/>
    <s v="혹서기"/>
    <x v="3"/>
    <s v="2016년 7월경 OO건설의 고속철도 노반신설공사 현장에서 재해자가 윈치를 사용하여 배수펌프를 지하 50m 깊이의 수직구 하부로 내리는 과정에서 지상1층 바닥에 고정하였던 윈치의 앙카가 탈락되며 윈치가 불시에 빠른속도로 재해자 쪽으로 이동되었고, 이동된 윈치(최대중량≒200kg)에 충돌된 충격으로 지하 1층 바닥(Hmax≒5m)으로 떨어져 사망"/>
    <s v="윈치로 고소작업대 운반작업 중 윈치를 고정하고 있던 셋트앵커 탈락으로 인해 고소작업대 낙하"/>
    <s v="▶ 안전대 부착설비 및 작업발판 설치 등 추락방지조치 준수_x000a_▶ 작업 전 셋트앵커 설치상태 점검"/>
  </r>
  <r>
    <n v="5"/>
    <x v="5"/>
    <x v="16"/>
    <x v="22"/>
    <s v="YES"/>
    <x v="6"/>
    <x v="22"/>
    <s v="해당없음"/>
    <s v="해당없음"/>
    <s v="해당없음"/>
    <s v="2016년 11월"/>
    <d v="2016-11-01T00:00:00"/>
    <n v="11"/>
    <s v="-"/>
    <x v="1"/>
    <s v="2016년 11월경 OO학교 이전신축 수배전반설치공사 현장에서 지상 1층 계단에서 지하층으로 변압기를 이동시키던 중, 변압기를 고정한 앵커볼트가 탈락되면서 재해자가 변압기에 부딪힌 후 깔림"/>
    <s v="변압기 이동 중 변압기를 고정한 앵커볼트가 탈락되면서 변압기에 깔림"/>
    <s v="▶ 단차가 있는 자재 또는 부재 세우기 작업 중 전도방지를 위한 체인블럭, 윈치 등 달기구를 이용하여 지탱하는 방식으로 전도방지조치 실시"/>
  </r>
  <r>
    <n v="5"/>
    <x v="5"/>
    <x v="16"/>
    <x v="22"/>
    <s v="YES"/>
    <x v="6"/>
    <x v="22"/>
    <s v="해당없음"/>
    <s v="해당없음"/>
    <s v="해당없음"/>
    <s v="2016년 11월"/>
    <d v="2016-11-01T00:00:00"/>
    <n v="11"/>
    <s v="-"/>
    <x v="1"/>
    <s v="2016년 11월경 플랜트 현장에서 재해자가 열교환기를 건물 내부로 이동 및 설치하는 작업 중_x000d_ 지게차로 지하 1층 자재 반입구까지 하역 후 작업자 4명이 하부에 중량물 운반용 활차(일명 : 도비캐스터)를 3개소 설치 후 인력으로 밀어 이동하던 중 반입구 바닥의 요철(반입구 차단문 하부)에 도비캐스터 1개 바퀴가 걸리며 이탈되어 열교환기가 중심을 잃고 재해자 쪽으로 전도"/>
    <s v="중량물 운반용 활차를 이용하여 자재 운반 중 자재가 넘어지며 깔림"/>
    <s v="▶ 자재 운반 시 자재의 전도를 방지하기 위해 자재를 평탄한 발판 위에 올려놓는 등의 전도방지조치를 취한 후 작업 진행_x000a_▶ 작업구간 관계 근로자가 아닌 사람의 출입을 금지하고 근로자 이동통로를 별도로 지정하는 등 주변을 통제_x000a_▶ 중량물 취급 작업계획서를 작성하고 운반방법에 대한 위험성평가를 통해 안전작업방법을 해당 근로자에게 교육_x000a_▶ 근로자 개인보호구 지급 및 착용상태 관리감독"/>
  </r>
  <r>
    <n v="5"/>
    <x v="5"/>
    <x v="16"/>
    <x v="22"/>
    <s v="YES"/>
    <x v="6"/>
    <x v="22"/>
    <s v="해당없음"/>
    <s v="해당없음"/>
    <s v="해당없음"/>
    <s v="2019년 3월경"/>
    <d v="2019-03-01T00:00:00"/>
    <n v="3"/>
    <s v="-"/>
    <x v="2"/>
    <s v="2019년 3월경 OO 주거복합신축공사 현장에서 재해자가 OO동 피트층 단부에서 전동윈치로 양중한 탈취유니트 케이스를 피트층 단부에 걸쳐놓고 내측으로 반입하던 중, 갑자기 케이스가 단부에서 이탈되며 작업중이던 재해자가 약 7.7m 아래 지상 1층 콘크리트 바닥으로 추락"/>
    <s v="주거복합신축공사 현장에서 탈취유니트 케이스를 양중과정에서 피트층 단부에 걸쳐놓고 내측으로 반입하던 중 갑자기 케이스가 단부에서 이탈되며 작업중이던 근로자가 추락"/>
    <s v="▶ 백필터 등과 같이 하중이 상부에 쏠려있는 구조물을 해체하는 경우, 체결된 볼트 수, 지지기둥의 길이차이 등의 설치상태를 사전에 검토한 후 작업계획을 수립_x000a_▶ 백필터 등과 같이 하중이 상부에 쏠려있는 구조물을 해체하는 경우, 인양 줄걸이 작업 전, 전도방지를 위해 안전블럭, 안전지지대 등을 설치"/>
  </r>
  <r>
    <n v="5"/>
    <x v="5"/>
    <x v="16"/>
    <x v="22"/>
    <s v="YES"/>
    <x v="6"/>
    <x v="22"/>
    <s v="해당없음"/>
    <s v="해당없음"/>
    <s v="해당없음"/>
    <s v="2019년 3월경"/>
    <d v="2019-03-01T00:00:00"/>
    <n v="3"/>
    <s v="-"/>
    <x v="1"/>
    <s v="2019년 3월경 OO 발효관 및 자동화 연계 동기화 공사 현장에서 체인블록을 사용하여 바닥에 눕혀진 압력용기(약1.7ton)를 들어 세우던 중 체인블록의 로드체인이 파단되면서, 주변에서 작업 중이던 재해자가 전도되는 압력용기에 맞은 후 깔림"/>
    <s v="체인블럭을 이용하여 누워있던 압력용기를 세우던 중 체인이 파단되어 작업자가 깔림"/>
    <s v="▶ 단차가 있는 자재 또는 부재 세우기 작업 중 전도방지를 위한 체인블럭, 윈치 등 달기구를 이용하여 지탱하는 방식으로 전도방지조치 실시"/>
  </r>
  <r>
    <n v="5"/>
    <x v="5"/>
    <x v="16"/>
    <x v="22"/>
    <s v="YES"/>
    <x v="6"/>
    <x v="22"/>
    <s v="해당없음"/>
    <s v="해당없음"/>
    <s v="해당없음"/>
    <s v="2019년 4월경"/>
    <d v="2019-04-01T00:00:00"/>
    <n v="4"/>
    <s v="-"/>
    <x v="2"/>
    <s v="2019년 4월경 OO에서 재해자가 기계식 주차장 전면 보수공사를 위해 주차장 리프트의 가이드레일을 절단하여 지상으로 권상하던 중 호이스트의 체인이 파단되면서 작업발판(지하 4층~5층 사이)으로 사용하던 주차 파렛트 위로 절단된 가이드레일이 떨어(H≒23m)지면서 철골과 파렛트가 함께 지하 바닥(7층)으로 추락(H≒13.5m)"/>
    <s v="기계식 주차장 보수공사 현장에서 리프트 가이드레일을 절단 후 권상하던 중 호이스트 체인의 파단 및 가이드레일의 낙하와 함께 바닥으로 추락"/>
    <s v="▶ 호이스트의 권과방지장치 설치유무 점검_x000a_▶ 파렛트를 작업발판으로 사용할 시, 추락방지용 안전난간대 설치_x000a_▶ 작업자의 개인보호구, 안전대 체결여부 점검 및 관리감독"/>
  </r>
  <r>
    <n v="5"/>
    <x v="5"/>
    <x v="16"/>
    <x v="22"/>
    <s v="YES"/>
    <x v="6"/>
    <x v="22"/>
    <s v="해당없음"/>
    <s v="해당없음"/>
    <s v="해당없음"/>
    <s v="2019년 8월경"/>
    <d v="2019-08-01T00:00:00"/>
    <n v="8"/>
    <s v="혹서기"/>
    <x v="8"/>
    <s v="2019년 8월경 OO공장에서 재해자가 신규설비 설치를 위한 공간을 확보하고자 기존에 설치된 오토포밍기 설비를 이전하기 위해 설비의 안전 방책 고정 볼트를 풀던 중 안전 방책과 같이 재해자가 넘어지며 바닥에 머리를 부딪힘"/>
    <s v="신규설비 설치를 위한 공간을 확보하고자 기존에 설치된 오토포밍기 설비를 이전하기 위해 설비의 안전 방책 고정 볼트를 풀던 중 안전 방책과 같이 넘어지며 바닥에 머리를 부딪힘"/>
    <s v="▶ 안전방책 볼트 풀기전 크레인등 줄걸이로 매단상태로 안전방책 볼트를 해체_x000a_▶ 전도방지를 위한 추가 버팀대를 설치 후 볼트를 해체"/>
  </r>
  <r>
    <n v="5"/>
    <x v="5"/>
    <x v="16"/>
    <x v="23"/>
    <s v="YES"/>
    <x v="6"/>
    <x v="22"/>
    <s v="해당없음"/>
    <s v="해당없음"/>
    <s v="해당없음"/>
    <s v="2016년 6월경"/>
    <d v="2016-06-01T00:00:00"/>
    <n v="6"/>
    <s v="혹서기"/>
    <x v="6"/>
    <s v="2016년 6월경 OO시 소재㈜OOOO에서 시공하는 오피스텔신축공사 중 소방설비공사 현장에서 ㈜OOOO 소속 배관공인 재해자가 주차타워내부 배관설비작업 중 운반기(횡행구동)가상승하면서하강하는균형추와철골Girder사이에 끼여 사망한 재해임._x000d_"/>
    <s v="주차타워 내부 배관설비 작업 중 운반기 작동에 의한 균형추와 협착"/>
    <s v="▶ 작업 시 운반기 등 운전정지 조치 준수_x000a_   - 주차타워 내부에 근로자 투입시 작동금지_x000a_   - 임의작동 금지를 위해 작동부에 관리인 등 배치"/>
  </r>
  <r>
    <n v="5"/>
    <x v="5"/>
    <x v="16"/>
    <x v="23"/>
    <s v="YES"/>
    <x v="6"/>
    <x v="22"/>
    <s v="해당없음"/>
    <s v="해당없음"/>
    <s v="해당없음"/>
    <s v="2017년 4월경"/>
    <d v="2017-04-01T00:00:00"/>
    <n v="4"/>
    <s v="-"/>
    <x v="2"/>
    <s v="2017년 4월경 OO시 OO구 OO동 소재 근린생활시설 신축공사 현장에서 협력업체 소속 재해자가 지하 2층 주차설비 설치작업을 위하여 격납고 3단 카트 인근에 위치한 격납레일에 앉아 카트 하부의 가이드롤러 설치작업 중 몸의 중심을 잃고 바닥으로 떨어져 병원으로 후송하였으나, 치료도중 사망한 재해임.(H≒4.5m)"/>
    <s v="평행왕복식 주차설비 설치작업을 위해 지하 2층 격납레일에 앉아 카드 하부 가이드롤러를 설치하던 중 몸의 중심을 잃고 바닥으로 추락"/>
    <s v="▶ 격납고 및 카트레일 가이드롤러 설치 작업 시, 사다리를 통해 레일 위로 올라가 작업하는 행위를 금지하고 이동식비계를 설치하여 작업하도록 조치_x000a_▶ 격납고 및 카트레일 가이드롤러 설치 작업 시, 이동식비계의 설치가 어려운 경우, 별도의 안전대 부착설비를 설치하거나 안전방망 설치 등 추락방지조치를 실시"/>
  </r>
  <r>
    <n v="5"/>
    <x v="5"/>
    <x v="16"/>
    <x v="23"/>
    <s v="YES"/>
    <x v="6"/>
    <x v="22"/>
    <s v="해당없음"/>
    <s v="해당없음"/>
    <s v="해당없음"/>
    <s v="2017년 11월"/>
    <d v="2017-11-01T00:00:00"/>
    <n v="11"/>
    <s v="-"/>
    <x v="6"/>
    <s v="2017년 11월경 OO발전소 3호기 정비공사 현장에서 재하청 소속 재해자가 발전용 보일러(3호기) 공기예열기(GAH) 내부 회전체(Rotor)에 설치되는 열소자(Element) 교체 작업 중 수동 에어밸브(Air Valve)로 작동되는 회전체가 완전히 정지되지 않은 상황에서 회전체와 하부 구조체 사이에 머리가 끼여 사망한 재해임."/>
    <s v="화력발전소 정비공사 현장에서 발전용 보일러 공기예열기 내부 회전체에 설치되는 열소자 교체 작업 중 수동 에어밸브로 작동되는 회전체가 완전히 정지되지 않은 상황에서 회전체와 하부 구조체 사이에 머리가 끼임"/>
    <s v="▶ 기계의 정비 및 청소, 수리를 위한 안전조치 준수 (LOTO)_x000a_   - 밸브의 손잡이나 전기스위치 등 자물쇠를 이용하여 전원을 차단 (Lock out)_x000a_   - 잠금장치의 표시를 위해 잠금장치에 꼬리표를 부착 (Tag out)_x000a_▶ 작업자 투입 후 감시인 배치 등 실시"/>
  </r>
  <r>
    <n v="5"/>
    <x v="5"/>
    <x v="16"/>
    <x v="23"/>
    <s v="YES"/>
    <x v="6"/>
    <x v="22"/>
    <s v="해당없음"/>
    <s v="해당없음"/>
    <s v="해당없음"/>
    <s v="2018년 3월경"/>
    <d v="2018-03-01T00:00:00"/>
    <n v="3"/>
    <s v="-"/>
    <x v="2"/>
    <s v="2018년 3월경 OO시 OO로 소재 OOOO 건물 내 지하1층 소방시설 신축공사 현장에서 재해자가 소방급수배관에 보온재 설치작업을 위해 경량철골천장틀의 달대(행거볼트)를 잡고 아래로 이동하던 중 추락하여 천장마감재를 뚫고 약 8m 아래 대강당 출입문 주변의 지하1층 바닥으로 떨어져 사망한 재해임"/>
    <s v="평행왕복식 주차설비 설치작업을 위해 지하 2층 격납레일에 앉아 카드 하부 가이드롤러를 설치하던 중 몸의 중심을 잃고 바닥으로 추락"/>
    <s v="▶ 격납고 및 카트레일 가이드롤러 설치 작업 시, 사다리를 통해 레일 위로 올라가 작업하는 행위를 금지하고 이동식비계를 설치하여 작업하도록 조치_x000a_▶ 격납고 및 카트레일 가이드롤러 설치 작업 시, 이동식비계의 설치가 어려운 경우, 별도의 안전대 부착설비를 설치하거나 안전방망 설치 등 추락방지조치를 실시"/>
  </r>
  <r>
    <n v="5"/>
    <x v="5"/>
    <x v="16"/>
    <x v="23"/>
    <s v="YES"/>
    <x v="6"/>
    <x v="22"/>
    <s v="해당없음"/>
    <s v="해당없음"/>
    <s v="해당없음"/>
    <s v="2018경 3월경"/>
    <d v="2018-03-01T00:00:00"/>
    <n v="3"/>
    <s v="-"/>
    <x v="6"/>
    <s v="2018경 3월경 OO시 OO구 소재 OOOO(주)에서 시공하는 OO대학교 OO대학 신축공사 현장에서 설비공 2명이 지하 2층 기계실에서 온수저장탱크를 인력으로 이동 및 설치 작업을 하는 도중, 온수저장탱크가 중심을 잃고 전도되면서 재해자 1명을 강타하여 사망한 재해임."/>
    <s v="온수저장탱크 이동 및 설치 작업 중 전도, 협착"/>
    <s v="▶ 장비 운반 시 전도되지 않도록 깔판, 깔목 등 견고한 받침대 설치_x000a_▶ 작업 전 안전점검을 통한 해당 기계설비 작동여부 확인"/>
  </r>
  <r>
    <n v="5"/>
    <x v="5"/>
    <x v="16"/>
    <x v="23"/>
    <s v="YES"/>
    <x v="6"/>
    <x v="22"/>
    <s v="해당없음"/>
    <s v="해당없음"/>
    <s v="해당없음"/>
    <s v="2018년 6월경"/>
    <d v="2018-06-01T00:00:00"/>
    <n v="6"/>
    <s v="혹서기"/>
    <x v="2"/>
    <s v="2018년 6월경 OO시 OO구 OO동 소재 ㈜OOOOO OO동 복합시설 신축공사 현장에서 OOOOO 소속 재해자가 주차타워 내부 팔레트 위에서 사다리를 설치하여 벽면에 전등 설치를 위하여 배관작업을 하던 중 바퀴가 달린 팔레트가 밀리면서 높이 약 9.1M아래 수직개구부로 추락하여 사망한 재해임"/>
    <s v="기계식 주차설비 팔레트 위에서 작업 중 바퀴가 달린 팔레트가 밀리면서 추락"/>
    <s v="▶ 작업용 탑승대를 팔레트로 사용시 안전조치 확인_x000a_   - 팔레트의 고정여부 확인 및 팔레트 단부 안전난간대 설치_x000a_   - 안전난간대 설치가 불가할시 작업자는 안전대를 체결_x000a_▶ 주차설비 내부통로 사용시 안전한 통로를 설치 및 구획_x000a_   - 레일 등 철골위로 승강시 작업자는 안전대 체결"/>
  </r>
  <r>
    <n v="5"/>
    <x v="5"/>
    <x v="16"/>
    <x v="23"/>
    <s v="YES"/>
    <x v="6"/>
    <x v="22"/>
    <s v="해당없음"/>
    <s v="해당없음"/>
    <s v="해당없음"/>
    <s v="2018년 6월경"/>
    <d v="2018-06-01T00:00:00"/>
    <n v="6"/>
    <s v="혹서기"/>
    <x v="2"/>
    <s v="2018년 6월경 OO도 OO시 OO읍 소재 ㈜OOOOOO OOOOO 스마트오피스텔 신축공사 현장에서 재해자가 지하3층 주차설비 소방설비 배관작업 자재점검을 위해 주차설비 내부작업통로를 이동중 4.6m 아래로 떨어져 사망한 재해임."/>
    <s v="배관작업 자재점검을 위해 주차설비 내부 내부작업 통로를 이동 중 추락"/>
    <s v="▶ 작업용 탑승대를 팔레트로 사용시 안전조치 확인_x000a_   - 팔레트의 고정여부 확인 및 팔레트 단부 안전난간대 설치_x000a_   - 안전난간대 설치가 불가할시 작업자는 안전대를 체결_x000a_▶ 주차설비 내부통로 사용시 안전한 통로를 설치 및 구획_x000a_   - 레일 등 철골위로 승강시 작업자는 안전대 체결"/>
  </r>
  <r>
    <n v="5"/>
    <x v="5"/>
    <x v="16"/>
    <x v="23"/>
    <s v="YES"/>
    <x v="6"/>
    <x v="22"/>
    <s v="해당없음"/>
    <s v="해당없음"/>
    <s v="해당없음"/>
    <s v="2018년 7월경"/>
    <d v="2018-07-01T00:00:00"/>
    <n v="7"/>
    <s v="혹서기"/>
    <x v="2"/>
    <s v="2018년 7월경 OOO시 O구 소재한 ㈜OOOOOO에서 시공중인 OOOO 복합시설 공사 현장에서 협력업체 소속 근로자가 20층 엘리베이터 홀의 입상 제연덕트 설치작업 중 나사못을 이용하여 제연덕트를 고정하다 몸의 중심을 잃고 덕트내부(개구부)로 빠지며 3층 엘리베이터 홀 바닥으로 떨어져(H≒58.9m) 사망한 재해임."/>
    <s v="제연덕트 입상 작업 중 덕트 내부 개구부로 추락"/>
    <s v="▶ 작업용 탑승대를 팔레트로 사용시 안전조치 확인_x000a_   - 팔레트의 고정여부 확인 및 팔레트 단부 안전난간대 설치_x000a_   - 안전난간대 설치가 불가할시 작업자는 안전대를 체결_x000a_▶ 주차설비 내부통로 사용시 안전한 통로를 설치 및 구획_x000a_   - 레일 등 철골위로 승강시 작업자는 안전대 체결"/>
  </r>
  <r>
    <n v="5"/>
    <x v="5"/>
    <x v="16"/>
    <x v="23"/>
    <s v="YES"/>
    <x v="6"/>
    <x v="22"/>
    <s v="해당없음"/>
    <s v="해당없음"/>
    <s v="해당없음"/>
    <s v="2018년 8월경"/>
    <d v="2018-08-01T00:00:00"/>
    <n v="8"/>
    <s v="혹서기"/>
    <x v="2"/>
    <s v="2018년 8월경, OOO도 OO시 OO면 소재「㈜OOOO, OO OOOOO 슬러지 건조시설 보일러 제작·설치공사」현장에서 협력업체 소속 용접공이 태풍에 대비하여 옥외작업장에서 조립 중이던 보일러 위(높이4m)에 올라가 보일러에 천막을 씌우고 다시 내려오기 위해 이동하던 중 보일러 상단부에서 몸의 중심을 잃고 4m 하부 콘크리트 바닥으로 떨어져 인근 병원으로 이송·치료 중 사망한 재해임."/>
    <s v="보일러 조립 중 보일러 위로 올라가 천막 설치 작업 후 이동 중 추락"/>
    <s v="▶ 2m이상의 고소작업시 안전한 작업발판을 설치 후 작업 실시_x000a_   - 비계, 이동식 틀비계, 말비계, 고소작업대(시저형) 사용_x000a_▶ 고소작업시 작업자의 불안전한 행동 금지(작업발판 이외의 장소에서 발을 딛고 작업)_x000a_▶ 작업발판의 설치가 어려울경우 작업자는 안전대를 체결"/>
  </r>
  <r>
    <n v="5"/>
    <x v="5"/>
    <x v="16"/>
    <x v="23"/>
    <s v="YES"/>
    <x v="6"/>
    <x v="22"/>
    <s v="해당없음"/>
    <s v="해당없음"/>
    <s v="해당없음"/>
    <s v="2018년 9월경"/>
    <d v="2018-09-01T00:00:00"/>
    <n v="9"/>
    <s v="-"/>
    <x v="2"/>
    <s v="2018년 9월경, OOO도 OO시 OOO면 소재 OOOOOO(주)공장 내 생산1동 배관 보온작업장에서 (유)OOOO 소속 재해자가 생산1동 파이프랙(총4단) 3단에 위치한 온수배관(L=9m) 보온작업을 위해 4단 파이프랙 상부에서 작업도중에  지상 콘크리트 바닥으로 떨어져(H≒12m)병원으로 후송하였으나 사망한 재해임."/>
    <s v="공장 파이프랙 상부에서 배관 보온작업 중 추락"/>
    <s v="▶ 작업용 탑승대를 팔레트로 사용시 안전조치 확인_x000a_   - 팔레트의 고정여부 확인 및 팔레트 단부 안전난간대 설치_x000a_   - 안전난간대 설치가 불가할시 작업자는 안전대를 체결_x000a_▶ 주차설비 내부통로 사용시 안전한 통로를 설치 및 구획_x000a_   - 레일 등 철골위로 승강시 작업자는 안전대 체결"/>
  </r>
  <r>
    <n v="5"/>
    <x v="5"/>
    <x v="16"/>
    <x v="23"/>
    <s v="YES"/>
    <x v="6"/>
    <x v="22"/>
    <s v="해당없음"/>
    <s v="해당없음"/>
    <s v="해당없음"/>
    <s v=" 2018년 11"/>
    <d v="2018-11-01T00:00:00"/>
    <n v="11"/>
    <s v="-"/>
    <x v="2"/>
    <s v=" 2018년 11월경 OO도 OOO시 소재 OOOOO(주) OO동 OOO-OO 외 1필지 공동주택 신축 현장에서 재해자가 주차설비 철골구조물 볼트 조임 작업 중 주차설비 외부로 추락하여(H≒32m) 사망."/>
    <s v="주차설비 철골구조물 볼트 조임 작업 중 주차설비 외부로 추락"/>
    <s v="▶ 작업용 탑승대를 팔레트로 사용시 안전조치 확인_x000a_   - 팔레트의 고정여부 확인 및 팔레트 단부 안전난간대 설치_x000a_   - 안전난간대 설치가 불가할시 작업자는 안전대를 체결_x000a_▶ 주차설비 내부통로 사용시 안전한 통로를 설치 및 구획_x000a_   - 레일 등 철골위로 승강시 작업자는 안전대 체결"/>
  </r>
  <r>
    <n v="5"/>
    <x v="5"/>
    <x v="16"/>
    <x v="23"/>
    <s v="YES"/>
    <x v="6"/>
    <x v="22"/>
    <s v="해당없음"/>
    <s v="해당없음"/>
    <s v="해당없음"/>
    <s v="2018년 12월"/>
    <d v="2018-12-01T00:00:00"/>
    <n v="12"/>
    <s v="혹한기"/>
    <x v="6"/>
    <s v="2018년 12월경, OOO도 OO군 소재 OOOOOO(주) OOOOOO 內 「OOOO O·OO호기 및 OOOO 연료환경설비 위탁운전용역」 현장에서, 재해자가 석탄 운반용 컨베이어벨트(턴오버 아이들러) 점검 중 머리가 벨트에 끼어 사망함"/>
    <s v="석탄 운반용 컨베이어벨트(턴오버 아이들러) 점검 중 머리가 벨트에 끼임"/>
    <s v="▶ 기계의 정비 및 청소, 수리를 위한 안전조치 준수 (LOTO)_x000a_   - 밸브의 손잡이나 전기스위치 등 자물쇠를 이용하여 전원을 차단 (Lock out)_x000a_   - 잠금장치의 표시를 위해 잠금장치에 꼬리표를 부착 (Tag out)_x000a_▶ 작업자 투입 후 감시인 배치 등 실시"/>
  </r>
  <r>
    <n v="5"/>
    <x v="5"/>
    <x v="16"/>
    <x v="23"/>
    <s v="YES"/>
    <x v="6"/>
    <x v="22"/>
    <s v="해당없음"/>
    <s v="해당없음"/>
    <s v="해당없음"/>
    <s v="2019년 1월경"/>
    <d v="2019-01-01T00:00:00"/>
    <n v="1"/>
    <s v="혹한기"/>
    <x v="0"/>
    <s v="2019년 1월경 OOO시 OO구 OO산단로 소재 ㈜OOOO에서 시공하는 스파이럴 프리져(급속동결장치) 설치공사 현장에서 재해자가 스파이럴 프리져 기초 프레임 설치 작업 중 프레임(1.6m(폭)x7.5m(길이),약 447kg(중량))을 수직으로 세워 잡고 있던 중 프레임이 재해자 방향으로 기울어지면서 재해자의 머리를 강타하여 사망한 재해임. "/>
    <s v="급속동결장치 기초프레임 설치작업 중 프레임을 수직상태로 세우고 대기하던 중 프레임이 균형을 잃고 근로자의 머리를 강타"/>
    <s v="▶ 단차가 있는 자재 또는 부재 세우기 작업 중 전도방지를 위한 체인블럭, 윈치 등 달기구를 이용하여 지탱하는 방식으로 전도방지조치 실시"/>
  </r>
  <r>
    <n v="5"/>
    <x v="5"/>
    <x v="16"/>
    <x v="23"/>
    <s v="YES"/>
    <x v="6"/>
    <x v="22"/>
    <s v="해당없음"/>
    <s v="해당없음"/>
    <s v="해당없음"/>
    <s v="2019년 2월경"/>
    <d v="2019-02-01T00:00:00"/>
    <n v="2"/>
    <s v="혹한기"/>
    <x v="6"/>
    <s v="2019년 2월경, OO시 OO읍 소재 OOOO㈜ OOOO OO공장내에서 OO 소속 재해자가 벨트컨베이어에 풀리레깅(PulleyLegging) 작업 중 작업용 자재(볼트)를 가지러간 후 바로 옆에 위치한 가동 중인 벨트컨베이어에 끼여 사망한 재해임_x000d_"/>
    <s v="벨트컨베이어에 풀리레깅(PulleyLegging) 작업 중 작업용 자재(볼트)를 가지러간 후 바로 옆에 위치한 가동 중인 벨트컨베이어에 끼임"/>
    <s v="▶ 기계의 정비 및 청소, 수리를 위한 안전조치 준수 (LOTO)_x000a_   - 밸브의 손잡이나 전기스위치 등 자물쇠를 이용하여 전원을 차단 (Lock out)_x000a_   - 잠금장치의 표시를 위해 잠금장치에 꼬리표를 부착 (Tag out)_x000a_▶ 작업자 투입 후 감시인 배치 등 실시"/>
  </r>
  <r>
    <n v="5"/>
    <x v="5"/>
    <x v="16"/>
    <x v="23"/>
    <s v="YES"/>
    <x v="6"/>
    <x v="22"/>
    <s v="해당없음"/>
    <s v="해당없음"/>
    <s v="해당없음"/>
    <s v="2019년 2월경"/>
    <d v="2019-02-01T00:00:00"/>
    <n v="2"/>
    <s v="혹한기"/>
    <x v="6"/>
    <s v="2019년 2월경, (주)OOOO건설에서 시공중인 「OOOO지점 신축공사」현장에서 재해자가 엘리베이터 승강로(Pit) 천장에 연기식 감지기(화재감지기) 설치를 위해 엘리베이터 카 상부에서 작업준비 중, 엘리베이터가 갑자기 운행되면서 재해자가 중심을 잃고 지상 2층과 3층 사이 승강로에서 카와 벽체 사이에 끼어 사망한 재해._x000d_"/>
    <s v="화재감지기 설치를 위해 엘리베이터 카 상부에서 작업준비 중 엘리베이터 운행에 의해 카와 벽체 사이에 협착"/>
    <s v="▶ 엘리베이터 승강로내 작업 시 운전정지, 표지판, 잠금장치 등 방호조치 실시_x000a_▶ 작업 전 개인보호구 지급 및 착용상태 관리"/>
  </r>
  <r>
    <n v="5"/>
    <x v="5"/>
    <x v="16"/>
    <x v="23"/>
    <s v="YES"/>
    <x v="6"/>
    <x v="22"/>
    <s v="해당없음"/>
    <s v="해당없음"/>
    <s v="해당없음"/>
    <s v=" 2019년 3월"/>
    <d v="2019-03-01T00:00:00"/>
    <n v="3"/>
    <s v="-"/>
    <x v="2"/>
    <s v=" 2019년 3월경 OO시 OO구 OO동 소재의 OOOO병원 기계식 주차장 설치 공사 하청업체 OOOO(원청 : OOOOOO) 소속 재해자(OOO)가 동료작업자 2명과 함께 기계식 주차장 입구 보강공사 작업을 하던 중에 작업자들이 서 있던 차량 운반대(파렛트)가 뒤로 밀리면서 약 12미터 기계식 주차설비 지하통로 바닥 아래로 떨어져 사망한 재해임_x000d_"/>
    <s v="기계식 주차설비 팔레트 위에서 작업 중 바퀴가 달린 팔레트가 밀리면서 추락"/>
    <s v="▶ 작업용 탑승대를 팔레트로 사용시 안전조치 확인_x000a_   - 팔레트의 고정여부 확인 및 팔레트 단부 안전난간대 설치_x000a_   - 안전난간대 설치가 불가할시 작업자는 안전대를 체결_x000a_▶ 주차설비 내부통로 사용시 안전한 통로를 설치 및 구획_x000a_   - 레일 등 철골위로 승강시 작업자는 안전대 체결"/>
  </r>
  <r>
    <n v="5"/>
    <x v="5"/>
    <x v="16"/>
    <x v="23"/>
    <s v="YES"/>
    <x v="6"/>
    <x v="22"/>
    <s v="해당없음"/>
    <s v="해당없음"/>
    <s v="해당없음"/>
    <s v="2019년 4월경"/>
    <d v="2019-04-01T00:00:00"/>
    <n v="4"/>
    <s v="-"/>
    <x v="1"/>
    <s v="2019년 4월경 OOOO 소속 근로자 재해자 OOOO㈜OO공장 내 Q1공장 P2공정에서 Spandex Pilot 설비용Polymer Filter Housing 철거작업 중 Filter Housing이 넘어지면서 Filter Housing에 깔려 병원 후송 후 치료도중 사망한 재해임."/>
    <s v="Spandex Pilot 설비용 Polymer Filter Housing 철거작업 중 Filter Housing이 넘어지면서 깔림"/>
    <s v="▶ 설비 해체작업시 해체작업 계획서 작성_x000a_   - 해체 구조물에 대한 정보 확인 (도면, 구조검토서 등)_x000a_   - 설비의 해체순서 및 해체방법_x000a_   - 해체시 전도방지 조치 및 보강조치 수립"/>
  </r>
  <r>
    <n v="5"/>
    <x v="5"/>
    <x v="16"/>
    <x v="23"/>
    <s v="YES"/>
    <x v="6"/>
    <x v="22"/>
    <s v="해당없음"/>
    <s v="해당없음"/>
    <s v="해당없음"/>
    <s v="2019년 7월경"/>
    <d v="2019-07-01T00:00:00"/>
    <n v="7"/>
    <s v="혹서기"/>
    <x v="2"/>
    <s v="2019년 7월경 ㈜OOOO에서 시공 중인 OO시 OO구 OO동 소재 근린생활시설 신축공사 현장에서, 재해자가 지하층 기계식 주차설비 내부에 팔레트를 설치하던 중, 레일에 미고정(호이스트에 매달려있는 상태) 된 팔레트를 밟는 순간 팔레트가 뒤집히며 바닥으로 떨어져(H≒7.5m) 사망함."/>
    <s v="기계식 주차설비 내부 팔레트 설치 중 호이스트에 매달려 있는 팔레트를 밟는 순간 팔레트가 뒤집히며 추락"/>
    <s v="▶ 작업용 탑승대를 팔레트로 사용시 안전조치 확인_x000a_   - 팔레트의 고정여부 확인 및 팔레트 단부 안전난간대 설치_x000a_   - 안전난간대 설치가 불가할시 작업자는 안전대를 체결_x000a_▶ 주차설비 내부통로 사용시 안전한 통로를 설치 및 구획_x000a_   - 레일 등 철골위로 승강시 작업자는 안전대 체결"/>
  </r>
  <r>
    <n v="5"/>
    <x v="5"/>
    <x v="16"/>
    <x v="23"/>
    <s v="YES"/>
    <x v="6"/>
    <x v="22"/>
    <s v="해당없음"/>
    <s v="해당없음"/>
    <s v="해당없음"/>
    <s v="2019년 7월경"/>
    <d v="2019-07-01T00:00:00"/>
    <n v="7"/>
    <s v="혹서기"/>
    <x v="2"/>
    <s v="2019년 7월경 OOOO(주)가 시공 중인 OO시 OO구 OO동 소재 OO체육문화센터신축 소방공사 현장에서 소속 근로자가 지하1층 기계실에서 소화배관(100㎜) 용접부위에 광명단을 칠하던 중 추락"/>
    <s v="소화배관 용접부 도장 작업 중 추락"/>
    <s v="▶ 작업용 탑승대를 팔레트로 사용시 안전조치 확인_x000a_   - 팔레트의 고정여부 확인 및 팔레트 단부 안전난간대 설치_x000a_   - 안전난간대 설치가 불가할시 작업자는 안전대를 체결_x000a_▶ 주차설비 내부통로 사용시 안전한 통로를 설치 및 구획_x000a_   - 레일 등 철골위로 승강시 작업자는 안전대 체결"/>
  </r>
  <r>
    <n v="5"/>
    <x v="5"/>
    <x v="16"/>
    <x v="23"/>
    <s v="YES"/>
    <x v="6"/>
    <x v="22"/>
    <s v="해당없음"/>
    <s v="해당없음"/>
    <s v="해당없음"/>
    <s v="2019년 9월경"/>
    <d v="2019-09-01T00:00:00"/>
    <n v="9"/>
    <s v="-"/>
    <x v="2"/>
    <s v="2019년 9월경 OO시 O구 OO동 소재 OOOO 지하 기계식(다층순환식)주차설비 해체 작업장에서 OOOO의 작업자 3명이 주차설비 3단 팔레트 상부에서 해체작업을 하던 중 팔레트가 레일로부터 이탈되면서 팔레트와 함께 약1.7m 아래 2단 파레트로 떨어져 2명이 부상당한 재해임."/>
    <s v="기계식 주차설비 해체 중 팔레트가 레일로부터 이탈되면서 팔레트와 함께 추락"/>
    <s v="▶ 작업용 탑승대를 팔레트로 사용시 안전조치 확인_x000a_   - 팔레트의 고정여부 확인 및 팔레트 단부 안전난간대 설치_x000a_   - 안전난간대 설치가 불가할시 작업자는 안전대를 체결_x000a_▶ 주차설비 내부통로 사용시 안전한 통로를 설치 및 구획_x000a_   - 레일 등 철골위로 승강시 작업자는 안전대 체결"/>
  </r>
  <r>
    <n v="5"/>
    <x v="5"/>
    <x v="16"/>
    <x v="23"/>
    <s v="YES"/>
    <x v="6"/>
    <x v="22"/>
    <s v="해당없음"/>
    <s v="해당없음"/>
    <s v="해당없음"/>
    <s v="2019년 10월"/>
    <d v="2019-10-01T00:00:00"/>
    <n v="10"/>
    <s v="-"/>
    <x v="12"/>
    <s v="2019년 10월경 OOOO(주) OOOO 1,2호기 건설공사 현장에서 하도급업체 ㈜OOOOO 소속 근로자가 아르곤 가스(용접실드가스)가 차있던 Drip Pot배관(직경 84cm, 깊이 2m) 내부에 훼손된 퍼지페이퍼를 복구하기 위해 배관 내부로 들어가 산소결핍으로 사망한 재해임."/>
    <s v="화력발전 건설공사 현장에서 아르곤 가스가 차있던 Drip Pot 배관 내부에 훼손된 퍼지페이퍼를 복구하기 위해 배관 내부로 들어가 산소결핍으로 사망"/>
    <s v="▶ 배관 TIG 용접작업 후, 아르곤 가스 주입으로 인해 산소결핍이 우려되는 배관 내부(밀폐공간)에서 퍼지페이퍼 보수 등의 작업하는 경우, 배관 내부로 진입 전 산소농도를 측정한 후 작업하도록 하며 공기가 적정상태가 유지되도록 작업 시작과 작업 중 강제 급기를 통해 환기를 실시_x000a_▶ 배관 내 아르곤, 헬륨 가스 등을 효율적으로 체류시키기 위해 퍼지페이퍼를 설치하는 경우, 추후에 파손, 찢어짐 등으로 인해 재작업을 해야하는 경우가 없도록 완전시공조치 권고"/>
  </r>
  <r>
    <n v="5"/>
    <x v="5"/>
    <x v="16"/>
    <x v="23"/>
    <s v="YES"/>
    <x v="6"/>
    <x v="22"/>
    <s v="해당없음"/>
    <s v="해당없음"/>
    <s v="해당없음"/>
    <s v="2020년 1월경"/>
    <d v="2020-01-01T00:00:00"/>
    <n v="1"/>
    <s v="혹한기"/>
    <x v="6"/>
    <s v="2020년 1월경 OO시 OO구 소재 OOOO㈜OO공장 내 No.1 EGL 권취(捲取)공정 권취기(1호기, Recoiler)의 유압라인 정비작업을 하던 ㈜OO 소속 근로자가 Belt wrapper를 고정한 섬유제 벨트 슬링이 끊어지며 Tension Reel과 Belt wrapper 사이에 끼여, OO대학교병원으로 이송하였으나 치료도중 사망한 재해임"/>
    <s v="권취(捲取)공정 권취기(Recoiler)의 유압라인 정비작업을 하던 중 Belt wrapper를 고정한 섬유제 벨트 슬링이 끊어지며 Tension Reel과 Belt wrapper 사이에 끼임"/>
    <s v="▶ 인양작업 중 작업범위내 근로자 접근금지 조치_x000a_▶ 중량물 인양작업 전 줄걸이 상태 사전 점검_x000a_   - 슬링벨트 파손유무 확인, 와이어로프 파단여부 확인_x000a_   - 줄걸이 방법에 따른 인양하중 검토"/>
  </r>
  <r>
    <n v="5"/>
    <x v="5"/>
    <x v="16"/>
    <x v="23"/>
    <s v="YES"/>
    <x v="6"/>
    <x v="22"/>
    <s v="해당없음"/>
    <s v="해당없음"/>
    <s v="해당없음"/>
    <s v="2020년 2월경"/>
    <d v="2020-02-01T00:00:00"/>
    <n v="2"/>
    <s v="혹한기"/>
    <x v="7"/>
    <s v="2020년 2월경 OOO도 OO시 OO산단 소재 OOOOOOO(주) 2공장내 OOO(Ⅲ) 이성화 반응기 내부에서 폐촉매를 제거하던 재해자가 경사면에서 흘러내려온 폐촉매에 가슴까지 매몰된 후 119에 구조되어 병원으로 후송하였으나 사망한 재해임._x000d_"/>
    <s v="이성화 반응기 내부에서 폐촉매를 제거하던 중 경사면에서 흘러내려온 폐촉매에 매몰"/>
    <s v="▶ 탱크연결부 등 해체시 탱크를 개방하여 잔류물질을 사전에 제거_x000a_▶ 작업 시작전 잔류물질 측정 (가스농도 측정 등) _x000a_    - 측정시 개인보호구 착용(보호복, 장화 등)_x000a_▶ 탱크내 취급한 유해위험물질에 대한 교육 실시_x000a_    - MSDS교육 및 물질자료 현장 배치_x000a_▶ 유해위험물질 대상 탱크 해체 등 작업시 개인보호구 착용_x000a_▶ 작업구간 유해가스가 체류되지 않도록 환기조치 실시 (상시가동)"/>
  </r>
  <r>
    <n v="5"/>
    <x v="5"/>
    <x v="16"/>
    <x v="23"/>
    <s v="YES"/>
    <x v="6"/>
    <x v="22"/>
    <s v="해당없음"/>
    <s v="해당없음"/>
    <s v="해당없음"/>
    <s v="2020년 2월경"/>
    <d v="2020-02-01T00:00:00"/>
    <n v="2"/>
    <s v="혹한기"/>
    <x v="6"/>
    <s v="2020년 2월경 OO시 OO구 소재 부정형 내화물 생산업체인 OOOO(주)에서 발주한 ‘공정 자동화 설비 공사’ 과정에서  칭량(weight measuring) 자동화 설비가 원활한 작동이 되지 않는 지점에서 설비를 점검하던 중, 칭량대차가 갑자기 재해자 방향으로 이동하면서 재해자 신체(가슴)가 사일로와 칭량대차사이에 끼여 사망한 재해임."/>
    <s v="칭량(weight measuring) 자동화 설비가 원활한 작동이 되지 않는 지점에서 설비를 점검하던 중 칭량대차가 재해자 방향으로 이동하면서 사일로와 칭량대차 사이에 끼임"/>
    <s v="▶ 기계의 정비 및 청소, 수리를 위한 안전조치 준수 (LOTO)_x000a_   - 밸브의 손잡이나 전기스위치 등 자물쇠를 이용하여 전원을 차단 (Lock out)_x000a_   - 잠금장치의 표시를 위해 잠금장치에 꼬리표를 부착 (Tag out)_x000a_▶ 작업자 투입 후 감시인 배치 등 실시"/>
  </r>
  <r>
    <n v="5"/>
    <x v="5"/>
    <x v="16"/>
    <x v="23"/>
    <s v="YES"/>
    <x v="6"/>
    <x v="22"/>
    <s v="해당없음"/>
    <s v="해당없음"/>
    <s v="해당없음"/>
    <s v="2020년 5월경"/>
    <d v="2020-05-01T00:00:00"/>
    <n v="5"/>
    <s v="-"/>
    <x v="2"/>
    <s v="2020년 5월경 OO시 OO군 OO면 소재 (주)OOOOO #1백필터 철거 및 원형사이클론 백필터 제작, 설치공사 현장에서 7.5m 높이의 백필터 상단에서 작업하던 하도급업체 (주)OOOO 소속 재해자 두 명이 백필터 전면부 줄걸이를 연장하고 지면으로 내려오는 과정에서 백필터 지지 기둥의 접속부 연결볼트가 파단되면서 백필터가 전면부로 넘어져 백필터 상단에 설치된 안전난간에 충격 후 콘크리트 바닥으로 떨어져 1명은 사망하고, 1명은 부상한 재해임."/>
    <s v="백필터(여과집진설비) 해체 및 인양을 위해 백필터 상부에서 줄걸이 작업 중 백필터 지지 기둥의 접속부 연결볼트가 파단되고 백필터가 전도되며 바닥으로 추락"/>
    <s v="▶ 백필터 등과 같이 하중이 상부에 쏠려있는 구조물을 해체하는 경우, 체결된 볼트 수, 지지기둥의 길이차이 등의 설치상태를 사전에 검토한 후 작업계획을 수립_x000a_▶ 백필터 등과 같이 하중이 상부에 쏠려있는 구조물을 해체하는 경우, 인양 줄걸이 작업 전, 전도방지를 위해 안전블럭, 안전지지대 등을 설치"/>
  </r>
  <r>
    <n v="5"/>
    <x v="5"/>
    <x v="16"/>
    <x v="23"/>
    <s v="YES"/>
    <x v="6"/>
    <x v="22"/>
    <s v="해당없음"/>
    <s v="해당없음"/>
    <s v="해당없음"/>
    <s v="2020년 11월"/>
    <d v="2020-11-01T00:00:00"/>
    <n v="11"/>
    <s v="-"/>
    <x v="0"/>
    <s v="2020년 11월경 OOOO도 OO시 OO읍 소재 OOOO(주)에서 시공하는 음식물류폐기물공공처리시설 기계설비 철거공사 현장에서 OOOO(주) 소속 재해자가(남, 51)가 혐기성 소화조 탱크 철거(산소 절단) 작업 중 절단된 탱크 벽체 철판과 탱크 내부 MEDIA층이 붕괴되면서 재해자를 덮쳐 사망한 재해임"/>
    <s v="혐기성 소화조 탱크 철거(산소 절단) 작업 중 절단된 탱크 벽체 철판과 탱크 내부 MEDIA층이 붕괴되면서 재해자를 덮침"/>
    <s v="▶ 작업 전 작업장소, 상황 등을 사전조사하여 위험요인 예방조치(위험성평가 등)_x000a_▶ 안전모 등 개인보호구 착용에 대한 관리 철저 "/>
  </r>
  <r>
    <n v="5"/>
    <x v="5"/>
    <x v="16"/>
    <x v="23"/>
    <s v="YES"/>
    <x v="6"/>
    <x v="22"/>
    <s v="해당없음"/>
    <s v="해당없음"/>
    <s v="해당없음"/>
    <s v="2020년 12월"/>
    <d v="2020-12-01T00:00:00"/>
    <n v="12"/>
    <s v="혹한기"/>
    <x v="2"/>
    <s v="2020년 12월경 OOO도 OO군 OO면 소재 『㈜OOOOOO OOOOO공장 덕트 및 전기공사』현장에서, 재해자가 철재전동셔터 셔터박스(Shutter Box) 상부에서 FRP 덕트 설치 작업 중, 약 5m 아래 콘크리트 바닥으로 떨어져 병원 이송 치료 중 18:15경 사망한 재해임"/>
    <s v="철재전동셔터 셔터박스 상부에서 FRP 덕트 설치 작업 중 추락"/>
    <s v="▶ 2m이상의 고소작업시 안전한 작업발판을 설치 후 작업 실시_x000a_   - 비계, 이동식 틀비계, 말비계, 고소작업대(시저형) 사용_x000a_▶ 고소작업시 작업자의 불안전한 행동 금지(작업발판 이외의 장소에서 발을 딛고 작업)_x000a_▶ 작업발판의 설치가 어려울경우 작업자는 안전대를 체결"/>
  </r>
  <r>
    <n v="5"/>
    <x v="5"/>
    <x v="16"/>
    <x v="23"/>
    <s v="YES"/>
    <x v="6"/>
    <x v="22"/>
    <s v="해당없음"/>
    <s v="해당없음"/>
    <s v="해당없음"/>
    <s v="2021년 7월경"/>
    <d v="2021-07-01T00:00:00"/>
    <n v="7"/>
    <s v="혹서기"/>
    <x v="2"/>
    <s v="2021년 7월경 OO시 OO구 소재 OOOOO아파트 지하 1층 물탱크실에서 재해자(용접공)가 배관의 누수 부위 확인 및 보수작업 협의를 위해 물탱크 상부에 올라가 있던 중 2.59m 아래 바닥으로 추락하여 병원으로 이송되었으나 치료 중 사망함."/>
    <s v="전등 스위치박스, 후드캡설치 및 조명배관, 소방배관등 설치 작업중 2m이상의 높이에서 바닥으로 추락"/>
    <s v="▶ 2m이상의 고소작업시 안전한 작업발판을 설치하여 작업(이동식 비계 설치사용)_x000a_▶ 이동식비계 설치 사용시 안전수칙 준수_x000a_   - 이동식비계 상단부 안전난간대 설치_x000a_   - 전도방지를 위한 하단부 아웃트리거 설치(4지점)_x000a_   - 작업발판 상부에서 작업자는 안전대 체결 후 작업실시_x000a_     =&gt; 이동식 틀비계에 안전대를 체결시 안전대의 최하사점을 고려하여 체결_x000a_     =&gt; 이동식 틀비계 1조당 1.8m높이로 2조이상 조립시 틀비계에 안전대를 체결_x000a_   - 이동식비계 조립시 주요 구조부 조립상태 확인(가새재 설치, 승강사다리 디딤대에 작업발판 설치 금지)_x000a_   - 이동식비계 승강시 해치발판을 설치하여 내측으로 승강사다리 사용_x000a_   - 작업자의 불안전한 행동 금지 (안전난간 상단부를 딛고 작업실시)"/>
  </r>
  <r>
    <n v="5"/>
    <x v="5"/>
    <x v="16"/>
    <x v="23"/>
    <s v="YES"/>
    <x v="6"/>
    <x v="22"/>
    <s v="해당없음"/>
    <s v="해당없음"/>
    <s v="해당없음"/>
    <s v="2021년 11월"/>
    <d v="2021-11-01T00:00:00"/>
    <n v="11"/>
    <s v="-"/>
    <x v="2"/>
    <s v="2021년 11월 OOO도 OO시 소재, OO빌딩 뒤 기계식 주차장치 철거작업을 진행하던 (유)OOOO 소속 근로자(3명)가 지붕 패널 해체 후 지상으로 내려오기 위해 주차운반기에 설치된 차판을 타고 내려오는 과정에서 주차리프트의 급하강으로 인해 차판에 탑승한 상태로 약 5.8m 아래 바닥으로 떨어져 부상당한 재해임(3개월이상 요양 2명)_x000d_"/>
    <s v="기계식 주차설비 철거 현장에서 지붕패털 해체 후 카리프트를 타고 내려오던 중 카리프트의 급하강으로 카리프트와 함께 추락"/>
    <s v="▶ 작업용 탑승대를 팔레트로 사용시 안전조치 확인_x000a_   - 팔레트의 고정여부 확인 및 팔레트 단부 안전난간대 설치_x000a_   - 안전난간대 설치가 불가할시 작업자는 안전대를 체결_x000a_▶ 주차설비 내부통로 사용시 안전한 통로를 설치 및 구획_x000a_   - 레일 등 철골위로 승강시 작업자는 안전대 체결"/>
  </r>
  <r>
    <n v="5"/>
    <x v="5"/>
    <x v="16"/>
    <x v="23"/>
    <s v="YES"/>
    <x v="6"/>
    <x v="22"/>
    <s v="해당없음"/>
    <s v="해당없음"/>
    <s v="해당없음"/>
    <s v="OO시 OO동 소"/>
    <s v="X"/>
    <e v="#VALUE!"/>
    <e v="#VALUE!"/>
    <x v="2"/>
    <s v="OO시 OO동 소재 (주)○○○○건설이 시공하는 (주)○○○○ 신축공사 현장에서 협력업체 소속 재해자가 모노레일식 호이스트 작업대 작업발판(철판망) 설치작업을 위해 호이스트 작업대 상부를 이동하던 중 몸의 중심을 잃고 H=11.6 m 아래 지상바닥으로 떨어짐."/>
    <s v="평행왕복식 주차설비 설치작업을 위해 지하 2층 격납레일에 앉아 카드 하부 가이드롤러를 설치하던 중 몸의 중심을 잃고 바닥으로 추락"/>
    <s v="▶ 격납고 및 카트레일 가이드롤러 설치 작업 시, 사다리를 통해 레일 위로 올라가 작업하는 행위를 금지하고 이동식비계를 설치하여 작업하도록 조치_x000a_▶ 격납고 및 카트레일 가이드롤러 설치 작업 시, 이동식비계의 설치가 어려운 경우, 별도의 안전대 부착설비를 설치하거나 안전방망 설치 등 추락방지조치를 실시"/>
  </r>
  <r>
    <n v="5"/>
    <x v="5"/>
    <x v="23"/>
    <x v="47"/>
    <s v="YES"/>
    <x v="6"/>
    <x v="22"/>
    <s v="해당없음"/>
    <s v="해당없음"/>
    <s v="해당없음"/>
    <s v="2016년 7월경"/>
    <d v="2016-07-01T00:00:00"/>
    <n v="7"/>
    <s v="혹서기"/>
    <x v="2"/>
    <s v="2016년 7월경, OO시 OO구 OO동 소재, OOOO(주)이 시공하는 OOOO 신축공사 현장에서 하청업체 (주)OOOO 소속 재해자(기계설비공) 2명이 자동차용 승강기 내부 가설작업대 상부에서 승강기 레일 설치 작업을 위해 윈치로 레일(L형강, 4.65m, 약 110kg)을 인양하던 중 인양중인 레일에 결속된 와이어로프가 풀려 재결속을 위해 벽체 철골보로 이동한 후 OOO가 가설작업대를 하강하던 순간 벽체에 기대져 있던 레일이 전도되며 OOO은 가설작업대 단부에서 지하1층 바닥(H≒28m)으로 추락하여 사망, OOO은 전도되던 레일에 맞아 손가락이 골절 된 재해임."/>
    <s v="승강기 레일 설치작업을 위해 레일을 인양하던 중 레일에 결손된 로프가 풀려 재결속을 위해 벽체 철골보로 이동한 후  가설작업대를 하강하던 순간에 벽체에 기대져 있던 레일이 전도되며 가설작업대 탑승 중인 근로자가 단부에서 바닥으로 추락"/>
    <s v="▶ 자동차용 승강기 레일 설치작업 시, 가설작업대는 개구부가 발생하지 않도록 밀실하게 설치하며 작업대 4면에 모두 상부, 중간 안전 난간대를 설치하도록 조치_x000a_▶ 자동차용 승강기 레일 설치작업 시, 불가피하게 가설작업대를 벗어나야 하는 경우, 안전대를 체결한 후 이동 및 작업하도록 조치_x000a_▶ 자동차용 승강기 레일 설치작업 시, 가설작업대에 레일 등과 같은 자재를 기울여 놓는 경우, 가설작업대의 상하부 이동 시 발생할 수 있는 자재의 전도를 방지하기 위해 자재를 평탄한 발판 위에 올려놓는 등의 전도방지조치를 취한 후 작업 진행_x000a_▶ 근로자 개인보호구 지급 및 착용상태 관리감독"/>
  </r>
  <r>
    <n v="5"/>
    <x v="5"/>
    <x v="23"/>
    <x v="47"/>
    <s v="YES"/>
    <x v="6"/>
    <x v="22"/>
    <s v="해당없음"/>
    <s v="해당없음"/>
    <s v="해당없음"/>
    <s v="2017년 11월"/>
    <d v="2017-11-01T00:00:00"/>
    <n v="11"/>
    <s v="-"/>
    <x v="6"/>
    <s v="2017년 11월경 OO도 OO시 소재 OOOO 승강기 재설치 공사 현장에서 OOO(사망자) 및 동료작업자(4명)들이 철거된 기존 승강기 폐자재를 지하 5층에 세워둔 화물차에 싣는 작업을 하기 위해 신규로 설치된 승강기를 사용하여 폐자재를 운반 후, 1층에 Parking(이하 파킹) 시키려 하던 중, 카가 상승하면서 승강로 내에 있던 OOO(재해자)가 카와 승강장문 사이에 끼여 사망함"/>
    <s v="승강기 카 상부 또는 카 내부에 탑승하여 운반 등의 작업 중 승강장 문이나 승강로 벽체에 근로자 끼임"/>
    <s v="▶ 승강기 카 내부, 상부 등에서 작업 시 단독작업을 금지하고, 스위치 작동 등을 임의 조작하지 못하도록 사전에 운전 정지 또는 전원 차단 등의 조치_x000a_▶ 승강기 탑승 전 상태점검을 실시하여, 방호장치 등에 결함이 발견된 경우, 정비 후 사용 조치_x000a_▶ 승강기 방호장치의 임의 해제 및 사용 중지 등을 금지하도록 근로자 교육"/>
  </r>
  <r>
    <n v="5"/>
    <x v="5"/>
    <x v="23"/>
    <x v="47"/>
    <s v="YES"/>
    <x v="6"/>
    <x v="22"/>
    <s v="해당없음"/>
    <s v="해당없음"/>
    <s v="해당없음"/>
    <s v="2017년 12월"/>
    <d v="2017-12-01T00:00:00"/>
    <n v="12"/>
    <s v="혹한기"/>
    <x v="6"/>
    <s v="2017년 12월경, OOO도 OO시 OO구 소재 OOOOOO(주)  OOOO 신축공사 현장에서 협력업체 OOOO(주) 소속 재해자가 승강기 카(Car)상부에서 카도어를 닫기 위해, 카 상부에 설치되어 있는 안전난간 1단과 2단 사이로 몸을 숙여 카와 승강로 벽체 사이로 팔을 뻗어 카도어를 닫는 순간, 지하1층과 지상1층 중간지점에 있던 카가 지상1층으로 리레벨링(상승)하면서 카와 승강로 벽체 사이에 몸이 협착, 병원으로 후송하였으나 사망한 재해임."/>
    <s v="승강기 카 상부 또는 카 내부에 탑승하여 운반 등의 작업 중 승강장 문이나 승강로 벽체에 근로자 끼임"/>
    <s v="▶ 승강기 카 내부, 상부 등에서 작업 시 단독작업을 금지하고, 스위치 작동 등을 임의 조작하지 못하도록 사전에 운전 정지 또는 전원 차단 등의 조치_x000a_▶ 승강기 탑승 전 상태점검을 실시하여, 방호장치 등에 결함이 발견된 경우, 정비 후 사용 조치_x000a_▶ 승강기 방호장치의 임의 해제 및 사용 중지 등을 금지하도록 근로자 교육"/>
  </r>
  <r>
    <n v="5"/>
    <x v="5"/>
    <x v="23"/>
    <x v="47"/>
    <s v="YES"/>
    <x v="6"/>
    <x v="22"/>
    <s v="해당없음"/>
    <s v="해당없음"/>
    <s v="해당없음"/>
    <s v="2018년 2월경"/>
    <d v="2018-02-01T00:00:00"/>
    <n v="2"/>
    <s v="혹한기"/>
    <x v="6"/>
    <s v="2018년 2월경 OOO시 OO구 소재 OOOO사옥 내 노후 승강기(엘리베이터) 인테리어 공사 중 지하 3층에서 승강기 1호기 카(CAR) 내부 핸드레일을 설치(고정)하기 위해 OOO은 카 내부, 재해자 OOO는 카 우측의 승강로 내부 중간 빔 위에 서서 작업하려던 중 승강기 2호기가 하강하면서 1호기와 2호기 카 사이(60cm)에 신체가 끼어 119에 의해 구조되어 인근 병원에서 치료도중 사망한 재해임"/>
    <s v="엘리베이터 수리 또는 설치 작업 중 갑작스러운 카 작동 등의 원인으로 카와 벽체 또는 승강장 문 사이에 근로자 끼임"/>
    <s v="▶ 승강기 설치, 정비, 보수 등의 작업 시 운전 정지 및 전원 차단 조치_x000a_▶ 작업 지휘자 선임, 관계근로자 외 사람의 출입 금지 등 안전조치 실시_x000a_▶ 근로자 개인보호구 지급 및 착용상태 관리감독"/>
  </r>
  <r>
    <n v="5"/>
    <x v="5"/>
    <x v="23"/>
    <x v="47"/>
    <s v="YES"/>
    <x v="6"/>
    <x v="22"/>
    <s v="해당없음"/>
    <s v="해당없음"/>
    <s v="해당없음"/>
    <s v="2019년 7월경"/>
    <d v="2019-07-01T00:00:00"/>
    <n v="7"/>
    <s v="혹서기"/>
    <x v="6"/>
    <s v="2019년 7월경, OOOO(주)에서 시공 중인 OOOO 신축공사현장 3, 4호 라인의 엘리베이터 도어 소음 및 버튼 불량 A/S작업 중이던 재해자(OOO)가 엘리베이터 승강로 지상 1층과 2층 사이 엘리베이터카와 벽체 사이에 끼여 사망한 재해임."/>
    <s v="엘리베이터 수리 또는 설치 작업 중 갑작스러운 카 작동 등의 원인으로 카와 벽체 또는 승강장 문 사이에 근로자 끼임"/>
    <s v="▶ 승강기 설치, 정비, 보수 등의 작업 시 운전 정지 및 전원 차단 조치_x000a_▶ 작업 지휘자 선임, 관계근로자 외 사람의 출입 금지 등 안전조치 실시_x000a_▶ 근로자 개인보호구 지급 및 착용상태 관리감독"/>
  </r>
  <r>
    <n v="5"/>
    <x v="5"/>
    <x v="23"/>
    <x v="47"/>
    <s v="YES"/>
    <x v="6"/>
    <x v="22"/>
    <s v="해당없음"/>
    <s v="해당없음"/>
    <s v="해당없음"/>
    <s v="2019년 11월"/>
    <d v="2019-11-01T00:00:00"/>
    <n v="11"/>
    <s v="-"/>
    <x v="6"/>
    <s v="2019년 11월경, OO시 OO로 소재, OOOO 아파트 201동 1호기 엘리베이터에서 (유)OOOO 소속 재해자가 엘리베이터 카 상부에서 고장 수리 작업을 하던 중 엘리베이터가 갑자기 상승하여 재해자가 승강장 문턱 아래에 끼이면서 사망한 재해임"/>
    <s v="엘리베이터 수리 또는 설치 작업 중 갑작스러운 카 작동 등의 원인으로 카와 벽체 또는 승강장 문 사이에 근로자 끼임"/>
    <s v="▶ 승강기 설치, 정비, 보수 등의 작업 시 운전 정지 및 전원 차단 조치_x000a_▶ 작업 지휘자 선임, 관계근로자 외 사람의 출입 금지 등 안전조치 실시_x000a_▶ 근로자 개인보호구 지급 및 착용상태 관리감독"/>
  </r>
  <r>
    <n v="5"/>
    <x v="5"/>
    <x v="23"/>
    <x v="47"/>
    <s v="YES"/>
    <x v="6"/>
    <x v="22"/>
    <s v="해당없음"/>
    <s v="해당없음"/>
    <s v="해당없음"/>
    <s v="2020년 12월"/>
    <d v="2020-12-01T00:00:00"/>
    <n v="12"/>
    <s v="혹한기"/>
    <x v="2"/>
    <s v="2020년 12월경 OOOOOO(주) OOOO건물 승강기 교체공사 현장에서 ㈜OOOOOO 소속 재해자가 승강기 내부에서 철거작업 중 기계실에서 승강기를 매달고 있던 체인이 끊어지면서 승강기가 낙하하여 추락(H≒22.9m)하여 사망한 재해임."/>
    <s v="승강기 교체를 위해 기존 승강기 해체 작업 중 승강기를 매달고 있던 체인(줄거리로프 등)이 끊어지면서 승강기와 함께 추락"/>
    <s v="▶ 승강기 해체작업 전 중량물 취급 등의 작업계획서를 검토 및 수립하여 승강기 매달기 구조나 체결 방식을 선정하는 등 안전한 작업방식을 검토_x000a_▶ 중량물을 지지하는 달기구는 충분한 강도를 가지고 목적에 맞는 것을 선정해야 하며, 관리감독자는 와이어로프 등을 매달기 전 로프 등의 상태 및 체결 고정상태 등을 반드시 점검하고 이상 발견 시 즉시 교체를 지시_x000a_▶ 달기 체인은 관리감독자가 작업 전 육안점검을 통해 제조된 때의 길이의 5%를 초과하거나, 링의 단면지름이 제조된 때의 해당 링의 지름의 10%를 초과하여 감소한 것, 심하게 변형된 것은 사용을 금지_x000a_▶ 작업 지휘자 선임, 관계근로자 외 사람의 출입 금지 등 안전조치 실시"/>
  </r>
  <r>
    <n v="5"/>
    <x v="5"/>
    <x v="23"/>
    <x v="47"/>
    <s v="YES"/>
    <x v="6"/>
    <x v="22"/>
    <s v="해당없음"/>
    <s v="해당없음"/>
    <s v="해당없음"/>
    <s v="2021년 1월경"/>
    <d v="2021-01-01T00:00:00"/>
    <n v="1"/>
    <s v="혹한기"/>
    <x v="2"/>
    <s v="2021년 1월경 OO도 OO시 O구 소재 ㈜OOO OOO 승강기 교체공사 현장에서 승강기 교체공사 협력업체 소속의 재해자가 엘리베이터의 승강로 내부에서 임시카를 타고 도어행거(지상 2층) 철거 작업을 하던 중, 임시카를 매달고 있던 줄걸이 로프(슬링벨트)가 파단되면서 약 5미터 아래 PIT바닥으로 임시카와 함께 추락하여 사망한 재해임._x000d_"/>
    <s v="승강기 교체를 위해 기존 승강기 해체 작업 중 승강기를 매달고 있던 체인(줄거리로프 등)이 끊어지면서 승강기와 함께 추락"/>
    <s v="▶ 승강기 해체작업 전 중량물 취급 등의 작업계획서를 검토 및 수립하여 승강기 매달기 구조나 체결 방식을 선정하는 등 안전한 작업방식을 검토_x000a_▶ 중량물을 지지하는 달기구는 충분한 강도를 가지고 목적에 맞는 것을 선정해야 하며, 관리감독자는 와이어로프 등을 매달기 전 로프 등의 상태 및 체결 고정상태 등을 반드시 점검하고 이상 발견 시 즉시 교체를 지시_x000a_▶ 달기 체인은 관리감독자가 작업 전 육안점검을 통해 제조된 때의 길이의 5%를 초과하거나, 링의 단면지름이 제조된 때의 해당 링의 지름의 10%를 초과하여 감소한 것, 심하게 변형된 것은 사용을 금지_x000a_▶ 작업 지휘자 선임, 관계근로자 외 사람의 출입 금지 등 안전조치 실시"/>
  </r>
  <r>
    <n v="5"/>
    <x v="5"/>
    <x v="23"/>
    <x v="48"/>
    <s v="YES"/>
    <x v="6"/>
    <x v="22"/>
    <s v="해당없음"/>
    <s v="해당없음"/>
    <s v="해당없음"/>
    <s v="2016년 1월경"/>
    <d v="2016-01-01T00:00:00"/>
    <n v="1"/>
    <s v="혹한기"/>
    <x v="8"/>
    <s v="2016년 1월경 OO시 OO동 소재 리모델링공사 현장 내 4층 승강로 내부에서 협력업체 소속 재해자가 산소절단기로 덤웨이터(dumbwaiter) 가이드레일 철거작업 중 덤웨이터 균형추를 지지하고 있던 현수로프를 절단하여 덤웨이터 균형추가 떨어지면서 머리를 맞아 사망한 재해임."/>
    <s v="승강로 내부에서 덤 웨이터 가이드레일을 철거하던 중 균형추를 지지하고 있던 로프를 절단하여 떨어지는 균형추와 충돌"/>
    <s v="▶ 덤 웨이터 철거 작업 시, 기계설비상 또는 작업상 발생할 수 있는 위험 요인에 대해 사전 조사를 실시한 후 작업계획서를 수립하여 작업 진행_x000a_▶ 덤 웨이터 철거 작업 시, 덤 웨이터는 별도의 비상정지장치가 없으며 카와 균형추가 현수로프에만 지지된 상태로 운행된다는 사실을 인지하고 현수로프를 먼저 절단하여 카 또는 균형추를 밑으로 내린 후, 레일을 철거하는 등의 안전한 방법으로 작업개선"/>
  </r>
  <r>
    <n v="5"/>
    <x v="5"/>
    <x v="23"/>
    <x v="48"/>
    <s v="YES"/>
    <x v="6"/>
    <x v="22"/>
    <s v="해당없음"/>
    <s v="해당없음"/>
    <s v="해당없음"/>
    <s v="2016년 8월경"/>
    <d v="2016-08-01T00:00:00"/>
    <n v="8"/>
    <s v="혹서기"/>
    <x v="2"/>
    <s v="2016년 8월경 OO시 OO구 소재 OOOO(주)에서 시공하는 OOOO OO빌딩 엘리베이터 교체공사 현장에서 협력업체 ㈜OO 소속 근로자 OOO이 지상14층에 위치한 엘리베이터 카 상부에서 와이어로프, 레일 철거작업중 임시로 엘리베이터를 매달고 있는 호이스트(5톤)의 체인이 파단되어 지하1층 엘리베이터 핏트로 추락 사망한 재해임."/>
    <s v="E/V 카 상부에서 E/V 로프, 레일 등을 철거하던 중 임시 카를 매달고 있는 호이스트의 연결체인 링이 파단되며 카와 함께 PIT 바닥으로 추락"/>
    <s v="▶ 링의 일부분이 절단된 연결체인을 메인체인과 연결하여 사용하지 않도록 관리감독_x000a_▶ 달기 체인은 관리감독자가 작업 전 육안점검을 통해 제조된 때의 길이의 5%를 초과하거나, 링의 단면지름이 제조된 때의 해당 링의 지름의 10%를 초과하여 감소한 것, 심하게 변형된 것은 사용을 금지_x000a_▶ E/V의 설치 및 해체 등 추락할 위험이 있는 작업 시, 안전난간대, 안전대 부착설비 설치 등의 안전방호조치 실시_x000a_▶ 근로자의 개인보호구 착용 및 안전대 체결여부 점검 및 관리감독"/>
  </r>
  <r>
    <n v="5"/>
    <x v="5"/>
    <x v="23"/>
    <x v="48"/>
    <s v="YES"/>
    <x v="6"/>
    <x v="22"/>
    <s v="해당없음"/>
    <s v="해당없음"/>
    <s v="해당없음"/>
    <s v="2016년 9월경"/>
    <d v="2016-09-01T00:00:00"/>
    <n v="9"/>
    <s v="-"/>
    <x v="6"/>
    <s v="2016년 9월경 OO시 OO구 소재 OOOO(주)에서 시공하는 OOO 에스컬레이터 가이드레일 교체공사 현장에서 협력업체(㈜OOOO)소속 재해자가 에스컬레이터 스텝체인 설치 작업 중 스텝체인 전진을 위해 에스컬레이터 구동부 체인 스프로켓 작동 중 전진하던 스텝지지대와 레일지지대 사이에 머리가 끼어 119구조 후 병원으로 후송 치료중 사망한 재해임"/>
    <s v="에스컬레이터 스텝체인 설치작업 중 스텝체인의 전진을 위해 구동부 체인 스프로켓 작동 과정에서 스텝 지지대와 레일 지지대 사이에 근로자 두부 협착"/>
    <s v="▶ 에스컬레이터의 수리 및 교체 시 내부에 작업자가 있는 상태에서 기계의 작동금지 조치_x000a_▶ 에스컬레이터의 스텝체인을 당길 시, 내부가 아닌 외부에서 당김작업을 실시_x000a_▶ 에스컬레이터의 수리 및 교체 시 불가피하게 내부에서 기계를 작동하는 경우, 내부에 있는 작업자가 리모컨으로 기계를 조작할 수 있도록 조치 "/>
  </r>
  <r>
    <n v="5"/>
    <x v="5"/>
    <x v="23"/>
    <x v="48"/>
    <s v="YES"/>
    <x v="6"/>
    <x v="22"/>
    <s v="해당없음"/>
    <s v="해당없음"/>
    <s v="해당없음"/>
    <s v="2016년 11월"/>
    <d v="2016-11-01T00:00:00"/>
    <n v="11"/>
    <s v="-"/>
    <x v="2"/>
    <s v="2016년 11월경 OO도 OO시 OO읍 소재 OOOO(주) OO공장 증축 건설현장 내 자재준비실 화물용 승강기 설치 작업장에서 OOOO(주) 소속 재해자가 승강기 실린더 상하부 도르래에 와이어로프 연결작업을 위해 2층과 3층 사이의 H빔 위에서 와이어로프를 인력으로 끌어올려 도르래에 감던 중, 약 12m 아래 콘크리트 바닥으로 떨어져 사망한 재해임."/>
    <s v="승강기 설치작업 중 승상기 실린더 상하부 도르래에 와이어 로프를 연결하기 위해 H빔 위에서 인력으로 로프를 올리던 중 H빔과 도르래 사이의 개구부를 통해 바닥으로 추락"/>
    <s v="▶ 승강기 설치 공사 중, 도르래에 와이어로프를 설치하는 작업단계에서 H-BEAM에 올라타 작업하는 등의 불안전한 작업방법을 금지하고 이동식비계를 설치하여 작업안전성을 확보한 후 작업 진행하도록 조치_x000a_▶ 승강기 설치 공사 시, 추락의 위험이 있는 작업을 진행할 경우, 철골기둥 승강용 트랩에 안전대를 걸고 작업을 실시_x000a_▶ 근로자의 개인보호구 착용 및 안전대 체결여부 점검 및 관리감독"/>
  </r>
  <r>
    <n v="7"/>
    <x v="9"/>
    <x v="24"/>
    <x v="49"/>
    <s v="YES"/>
    <x v="6"/>
    <x v="22"/>
    <s v="해당없음"/>
    <s v="해당없음"/>
    <s v="해당없음"/>
    <s v="2016년 6월경"/>
    <d v="2016-06-01T00:00:00"/>
    <n v="6"/>
    <s v="혹서기"/>
    <x v="2"/>
    <s v="2016년 6월경 도로 포장공사에서 재해자가 유제살포기가 적재된 차량을 직접 운전하여 이동 후 아스팔트 유제를 충전하기 위해 유제살포기 연결관을 분리하는 순간 압력에 의하여 연결관이 튀어나와 두부 강타, 충격으로 몸의 균형을 잃고 1.2m 아래 바닥으로 추락하여 사망"/>
    <s v="유제를 살포하는 운반차량에서 유제를 보관하는 드럼용기에서 연결관을 분리하는 순간 내부의 잔류공기 압력에 의해 연결관이 튀어나와 근로자와 충돌 후 추락"/>
    <s v="▶ 단순 물질 저장용 드럼용기에 공기압을 주입하여 압력을 가하는 압력용기로 임의 변경하는 용도 외 사용 금지_x000a_▶ 갑작스런 파열 등의 상황에 대비하여 보호구(안전모) 착용"/>
  </r>
  <r>
    <n v="4"/>
    <x v="4"/>
    <x v="10"/>
    <x v="15"/>
    <s v="YES"/>
    <x v="7"/>
    <x v="23"/>
    <s v="해당없음"/>
    <s v="해당없음"/>
    <s v="해당없음"/>
    <s v="2018년 6월경"/>
    <d v="2018-06-01T00:00:00"/>
    <n v="6"/>
    <s v="혹서기"/>
    <x v="0"/>
    <s v="2018년 6월경 OO확장공사에서 베란다 외단열재(스티로폼) 하부에 몰탈 미장 작업을 위한 마감면을 잡기위해 에어타카(air tacker) 장비를 이용하여 보강토 콘크리트 옹벽에 각재(30×30×3,600mm)를 수평으로 고정하던 중 에어타카 몸통 부위가 폭발하면서 실린더 등 부품 파편들에 맞아 사망"/>
    <s v="에어타카를 사용하여 콘크리트 옹벽에 각재를 고정하던 중 에어타카가 폭발하면서 파편에 맞음"/>
    <s v="▶ 작업 전·후 작업 공도구, 기계기구 등 이상여부 및 정상작동여부 점검"/>
  </r>
  <r>
    <n v="4"/>
    <x v="4"/>
    <x v="12"/>
    <x v="17"/>
    <s v="YES"/>
    <x v="7"/>
    <x v="23"/>
    <s v="해당없음"/>
    <s v="해당없음"/>
    <s v="해당없음"/>
    <s v="2015년 12월"/>
    <d v="2015-12-01T00:00:00"/>
    <n v="12"/>
    <s v="혹한기"/>
    <x v="0"/>
    <s v="2015년 12월경 OOO 천연가스 발전소 건설공사 현장에서 재해자와 동료작업자가 컨테이너 접합작업 중 러그 용접부가 탈락하여 긴장되어 있던 체인이 재해자의 두부와 동료작업자의 왼쪽 어깨를 타격하여 재해자 사망"/>
    <s v="컨테이너 접합작업 중 러그 용접부가 용접불량으로 탈락하면서 긴장되어 있던 체인에 맞음"/>
    <s v="▶ 중량물 취급 작업계획서 수립 및 준수, 근로자 내용 주지  _x000a_▶ 중량물 양중작업 시 작업반경 내 접근통제 조치 및 작업지휘자 배치_x000a_▶ 양중작업 전 러그 용접상태 확인 철저"/>
  </r>
  <r>
    <n v="5"/>
    <x v="5"/>
    <x v="23"/>
    <x v="48"/>
    <s v="YES"/>
    <x v="7"/>
    <x v="23"/>
    <s v="해당없음"/>
    <s v="해당없음"/>
    <s v="해당없음"/>
    <s v="2018년 1월경"/>
    <d v="2018-01-01T00:00:00"/>
    <n v="1"/>
    <s v="혹한기"/>
    <x v="6"/>
    <s v="2018년 1월경 OOO도 OO시 소재 OOOO(주) OO공장내에서 OOOO(주) 소속 재해자(OOO)가 동료 작업자 2명과 함께 7층 Panel Lifter 2호기의 Main Seive, Wire, Base Plate 교체 및 방책 재장착 작업을 실시하고 공구 등을 아래로 내리던 중, 1.5m떨어진 Panel Lifter 1호기의 커플링에 재해자의 상체에 착용된 안전대 걸이(2개걸이 방식)가 말려 어깨 및 엉덩이 부위가 절단되어 사망한 재해임."/>
    <s v="Panel Lifter 2호기의 설비 정비 후 공구 등을 아래로 내리던 중 Panel Lifter 1호기의 커플링에 재해자의 안전대 걸이가 말려 들어가 끼임"/>
    <s v="▶ 승강기 설치, 정비, 보수 등의 작업 시 운전 정지 및 전원 차단 조치_x000a_▶ Panel Lifter 상부 방호장치 등을 임의 해제하지 않도록 관리감독_x000a_▶ 작업 지휘자 선임, 관계근로자 외 사람의 출입 금지 등 안전조치 실시_x000a_▶ 근로자 개인보호구 지급 및 착용상태 관리감독"/>
  </r>
  <r>
    <n v="11"/>
    <x v="0"/>
    <x v="0"/>
    <x v="0"/>
    <s v="YES"/>
    <x v="8"/>
    <x v="24"/>
    <s v="해당없음"/>
    <s v="해당없음"/>
    <s v="해당없음"/>
    <s v="2017년 12월"/>
    <d v="2017-12-01T00:00:00"/>
    <n v="12"/>
    <s v="혹한기"/>
    <x v="2"/>
    <s v="2017년 12월경 도로 건설공사에서 재해자가 보강토 옹벽 단부에 안전난간을 체결하던 중 안전난간 기둥이 자중과 재해자의 몸무게를 이기지 못하고 12m 바닥으로 추락하여 사망"/>
    <s v="옹벽 단부의 안전난간 기둥에 안전난간을 체결하던 중 안전난간 기둥이 안전난간 자중과 피재자의 몸무게를 이기지 못하여 안전난간과 함께 지면으로 추락"/>
    <s v="▶ 보강토옹벽에 안전난간 설치 시 기존의 안전난간을 고정하기 어려운 경우, 보강토블록 전용 브라켓 사용하여 안전난간 설치_x000a_▶ 안전난간 기둥, 수평재 등이 완벽하게 고정되지 않은 상태에서 안전난간 기둥에 기대는 행위 금지"/>
  </r>
  <r>
    <n v="11"/>
    <x v="0"/>
    <x v="0"/>
    <x v="0"/>
    <s v="YES"/>
    <x v="8"/>
    <x v="24"/>
    <s v="해당없음"/>
    <s v="해당없음"/>
    <s v="해당없음"/>
    <s v="2018년 9월경"/>
    <d v="2018-09-01T00:00:00"/>
    <n v="9"/>
    <s v="-"/>
    <x v="1"/>
    <s v="2018년 9월경 참숯가마 설치공사에서 보강토옹벽의 배면에서 방수작업을 하던 중 옹벽의 일부(높이 약 2.7m)가 무너지면서 옹벽과 석축사이에 끼어 1명 사망, 떨어지는 옹벽 블록에 맞아 1명 부상"/>
    <s v="보강토 옹벽 공사 중 보강토 옹벽이 붕괴되면서 깔림"/>
    <s v="▶ 옹벽 상부 인근에 중량물 또는 토사적치 금지_x000a_▶ 옹벽, 콘크리트 벽 등의 건설물에 근접한 장소에서 굴착 시 붕괴 위험 요인 보강 또는 이설, 제거 등의 위험 방지 조치 실시_x000a_▶ 충분한 다짐과 뒷채움 작업을 수행하고 무리한 공사진행 금지_x000a_▶ 옹벽작업 주변 지반 사전조사 및 작업계획서 작성"/>
  </r>
  <r>
    <n v="11"/>
    <x v="0"/>
    <x v="0"/>
    <x v="0"/>
    <s v="YES"/>
    <x v="8"/>
    <x v="24"/>
    <s v="해당없음"/>
    <s v="해당없음"/>
    <s v="해당없음"/>
    <s v="2019년 6월경"/>
    <d v="2019-06-01T00:00:00"/>
    <n v="6"/>
    <s v="혹서기"/>
    <x v="6"/>
    <s v="2019년 6월경 도로 확장공사에서 PC옹벽 판넬을 설치하던 중 미고정된 PC판넬이 전도되면서 협착으로 1명 사망, 전도되는 PC판넬을 잡다 1명 부상"/>
    <s v="PC옹벽 판넬 설치 중 미고정된 PC판넬이 전도되면서 근로자가 협착"/>
    <s v="▶ P.C 판넬을 임시 거치하는 경우 고정이 되지 않은 판넬 하부에서 작업을 금지하고거나 가고정하는 등의 전도방지조치 실시_x000a_▶ 안전성이 확보된 시공방법(골재 뒷채움 선행 등) 사용_x000a_▶ 중량물을 운반하여 설치하는 경우 작업계획서를 작성하고 작업계획에 맞게 작업실시"/>
  </r>
  <r>
    <n v="11"/>
    <x v="0"/>
    <x v="0"/>
    <x v="0"/>
    <s v="YES"/>
    <x v="8"/>
    <x v="24"/>
    <s v="해당없음"/>
    <s v="해당없음"/>
    <s v="해당없음"/>
    <s v="2020년 5월경"/>
    <d v="2020-05-01T00:00:00"/>
    <n v="5"/>
    <s v="-"/>
    <x v="1"/>
    <s v="2020년 5월경 골재 생산 신설공사 현장에서 재해자가 보강토 옹벽 공사 중 보강토 옹벽(6단, 높이 3m)이 붕괴되면서 깔려 사망"/>
    <s v="보강토 옹벽 공사 중 보강토 옹벽이 붕괴되면서 깔림"/>
    <s v="▶ 옹벽 상부 인근에 중량물 또는 토사적치 금지_x000a_▶ 옹벽, 콘크리트 벽 등의 건설물에 근접한 장소에서 굴착 시 붕괴 위험 요인 보강 또는 이설, 제거 등의 위험 방지 조치 실시_x000a_▶ 충분한 다짐과 뒷채움 작업을 수행하고 무리한 공사진행 금지_x000a_▶ 옹벽작업 주변 지반 사전조사 및 작업계획서 작성"/>
  </r>
  <r>
    <n v="11"/>
    <x v="0"/>
    <x v="1"/>
    <x v="2"/>
    <s v="YES"/>
    <x v="8"/>
    <x v="24"/>
    <s v="해당없음"/>
    <s v="해당없음"/>
    <s v="해당없음"/>
    <s v="2016년 6월경"/>
    <d v="2016-06-01T00:00:00"/>
    <n v="6"/>
    <s v="혹서기"/>
    <x v="2"/>
    <s v="2016년 6월경 OOO도 OO군 OO읍 소재 OOOOO(주)가 시공하는 OOO유도배수로공사 현장에서 OOOO(주) 현장소장 OOO과 OOOO(주) 전무 OOO이 공사 착공전 기존 수로구조물 내부를 사전조사 하려고 기존 수로 구조물 내부로 들어가 구조물에 고정 설치되어 있던 PP로프(Poly Propylene Rope)를 손으로 잡고 급경사구간(경사도 약 45도)을 내려가다가 OOO은 잡고 있던 PP로프를 놓치면서 경사로(약 20~30m)를 굴러 떨어져 인근병원으로 후송 치료중 사망하였고, OOO은 수로 구조물에 부딪혀 부상을 당한 재해임  "/>
    <s v="기존 관로 구조물 내부 사전조사를 위해 PP로프를 잡고 급경사구간 하강 중 PP로프를 놓쳐 떨어짐"/>
    <s v="▶ 추락위험 장소에 대해 근로자가 임의 출입을 방지하도록 방책 등 설치_x000a_▶ 관로부설 위치로의 이동을 위해 근로자 이동 통로 설치 또는 가설계단 등 안전한 통로 설치"/>
  </r>
  <r>
    <n v="11"/>
    <x v="0"/>
    <x v="1"/>
    <x v="2"/>
    <s v="YES"/>
    <x v="8"/>
    <x v="24"/>
    <s v="해당없음"/>
    <s v="해당없음"/>
    <s v="해당없음"/>
    <s v="2019년 6월경"/>
    <d v="2019-06-01T00:00:00"/>
    <n v="6"/>
    <s v="혹서기"/>
    <x v="8"/>
    <s v="2019년 6월경 OOO도 OO군 소재 OOOO(주)「OOOO도로 개선공사」현장에서 재해자 OOO가 PE이중벽관 설치를 위해 굴착구간에 내려가 있던 중, 굴삭기에 의해 운반되어 온 PE이중벽관에 1차로 맞아 넘어졌고 이에 놀란 굴삭기 기사가 빠르게 PE이중벽관을 굴착저면에 내려놓는 순간 쓰러져 있던 재해자의 머리와 가슴 등에 충격이 가해지고 굴착사면과 관 사이에 끼이며 사망한 재해임."/>
    <s v="관부설 작업을 위해 굴삭기로 관 운반 작업 중 근로자와 충돌"/>
    <s v="▶ 관로를 굴삭기로 굴착하단부에 운반하는 작업을 하는 경우 관로가 회전하거나 슬링벨트에서 빠지는 것을 막기위해 두줄걸이를 시행하고, 관이 회전을 방지하기 위한 조치 실시_x000a_▶ 중량물 취급 시 작업지휘자 및 신호수 배치"/>
  </r>
  <r>
    <n v="11"/>
    <x v="0"/>
    <x v="1"/>
    <x v="2"/>
    <s v="YES"/>
    <x v="8"/>
    <x v="24"/>
    <s v="해당없음"/>
    <s v="해당없음"/>
    <s v="해당없음"/>
    <s v="2019년 6월경"/>
    <d v="2019-06-01T00:00:00"/>
    <n v="6"/>
    <s v="혹서기"/>
    <x v="1"/>
    <s v="2019년 6월경 OOO도 OO군 소재 OOOO(주) OOOO 시설공사 현장에서 개착식 흙막이구간 강관부설 받침작업을 위하여 지상에서 제작한 콘크리트 구조물(2.7×1.9×0.32m, 약 4톤) 인양용 고리(굵은철선※-반생 6번선)에 줄걸이기구(샤클, 섬유벨트)를 체결하여 굴삭기를 이용하여 흙막이 굴착 저면으로 내리는 작업과정에서 인양용 고리(반생 6번선)가 파단되어 하부에서 바닥 평탄작업을 하던 있던 재해자가 콘크리트 구조물에 깔려 사망한 재해임_x000d_"/>
    <s v="사전 제작한 관 기초 콘크리트(2.7×1.9×0.32m, 약 4톤) 양중 작업 중 굵은 철선(6번선)으로 만든 인양용 고리가 파단되어 낙하하여 하부 작업자가 깔림"/>
    <s v="▶ 중량물 인양 시 굴삭기의 정격하중을 준수하여 무리한 중량물 인양 금지_x000a_▶ 차량계 건설기계 사용시 작업 장소 내에 근로자의 출입 통제_x000a_▶ 유도자를 배치하여 차량계 건설기계 유도"/>
  </r>
  <r>
    <n v="12"/>
    <x v="1"/>
    <x v="2"/>
    <x v="3"/>
    <s v="YES"/>
    <x v="8"/>
    <x v="24"/>
    <s v="해당없음"/>
    <s v="해당없음"/>
    <s v="해당없음"/>
    <s v="2016년 3월경"/>
    <d v="2016-03-01T00:00:00"/>
    <n v="3"/>
    <s v="-"/>
    <x v="2"/>
    <s v="2016년 3월경 OO공장동 증축을 위해 재해자가 천장에 설치된 각종 전기설비의 해체작업을 수행하던 중 높이 4.4m 건축구조물에서 츠락하여 사망"/>
    <s v="전기설비 및 계단 등 해체작업을 하던 중 몸의 중심을 잃고 추락"/>
    <s v="▶ 개구부 등 추락단부 안전난간대 설치 등 추락방호조치 실시_x000a_▶ 근로자의 개인보호구, 안전대 체결여부 점검 및 관리감독"/>
  </r>
  <r>
    <n v="12"/>
    <x v="1"/>
    <x v="2"/>
    <x v="3"/>
    <s v="YES"/>
    <x v="8"/>
    <x v="24"/>
    <s v="해당없음"/>
    <s v="해당없음"/>
    <s v="해당없음"/>
    <s v="2016년 8월경"/>
    <d v="2016-08-01T00:00:00"/>
    <n v="8"/>
    <s v="혹서기"/>
    <x v="1"/>
    <s v="2016년 8월경 OO철거현장 지상에서 지하 1층 슬래브 철거작업 비산먼지를 방지하기 위한 살수작업 중이던 재해자가 지하층 철거작업 충격으로 인하여 슬라이딩되는 콘크리트 파쇄물(약 1.5㎥)과 함께 지하 3층으로 추락하여(H≒9.0m) 사망"/>
    <s v="해체작업을 하던 중 충격 또는 폐기물 하중 등으로 슬라브가 붕괴되어 작업자 추락 및 깔림"/>
    <s v="▶ 구조검토를 실시한 후, 그에 맞는 해체방법 및 순서 등 작업계획을 수립_x000a_▶ 작업층 하부에 잭서포트 보강 실시하며 구조상 충분한 잭서포트 개수를 설치 적정 개소에 설치_x000a_▶ 균열, 콘크리트 강도, 철근 배근상태, 노후정도 등과 같은 해당 건물의 안정성 검토 후 해체계획 수립"/>
  </r>
  <r>
    <n v="12"/>
    <x v="1"/>
    <x v="2"/>
    <x v="3"/>
    <s v="YES"/>
    <x v="8"/>
    <x v="24"/>
    <s v="해당없음"/>
    <s v="해당없음"/>
    <s v="해당없음"/>
    <s v="2016년 10월"/>
    <d v="2016-10-01T00:00:00"/>
    <n v="10"/>
    <s v="-"/>
    <x v="0"/>
    <s v="2016년 10월경 OO공사 현장에서 재해자가 레이더 돔 해체작업을 위한 신호를 하던 중 차량탑재형 이동식크레인(카고 크레인)으로 탈거하던 레이더 돔 부재가 재해자를 충격하여, 재해자가 기상대 건물 옥상에서 지상 바닥(H=10.4m)으로 추락하여 사망"/>
    <s v="해체작업을 하던 중 파이프, 조적벽체 등 해체물이 낙하하면서 근로자 맞음"/>
    <s v="▶ 해체 순서 및 지지방법 등의 작업계획 수립 후 관련한 안전교육 실시_x000a_▶ 해체작업 작업구획 표시, 신호수 배치, 접근금지 조치 등과 같은 안전조치 실시"/>
  </r>
  <r>
    <n v="12"/>
    <x v="1"/>
    <x v="2"/>
    <x v="3"/>
    <s v="YES"/>
    <x v="8"/>
    <x v="24"/>
    <s v="해당없음"/>
    <s v="해당없음"/>
    <s v="해당없음"/>
    <s v="2018년 6월경"/>
    <d v="2018-06-01T00:00:00"/>
    <n v="6"/>
    <s v="혹서기"/>
    <x v="0"/>
    <s v="2018년 6월경 ㈜OO 공사현장에서 재해자가 조적벽체 해체작업 중 발생한 해체물을 해체작업장 인근에서 정리하던 중 천장과 접한 벽체 상부 조적벽체가 재해자 상체로 낙하하여 사망"/>
    <s v="해체작업을 하던 중 파이프, 조적벽체 등 해체물이 낙하하면서 근로자 맞음"/>
    <s v="▶ 해체 순서 및 지지방법 등의 작업계획 수립 후 관련한 안전교육 실시_x000a_▶ 해체작업 작업구획 표시, 신호수 배치, 접근금지 조치 등과 같은 안전조치 실시"/>
  </r>
  <r>
    <n v="12"/>
    <x v="1"/>
    <x v="2"/>
    <x v="3"/>
    <s v="YES"/>
    <x v="8"/>
    <x v="24"/>
    <s v="해당없음"/>
    <s v="해당없음"/>
    <s v="해당없음"/>
    <s v="2019년 9월경"/>
    <d v="2019-09-01T00:00:00"/>
    <n v="9"/>
    <s v="-"/>
    <x v="2"/>
    <s v="2019년 9월경 OO건설이 시공중인 OO현장에서 재해자가 지상9층 보 상부에 서서 외부 철제계단 해체작업 중, 몸의 중심을 잃고 지상9층 바닥(H≒5.2m)으로 추락하여 사망"/>
    <s v="전기설비 및 계단 등 해체작업을 하던 중 몸의 중심을 잃고 추락"/>
    <s v="▶ 개구부 등 추락단부 안전난간대 설치 등 추락방호조치 실시_x000a_▶ 근로자의 개인보호구, 안전대 체결여부 점검 및 관리감독"/>
  </r>
  <r>
    <n v="12"/>
    <x v="1"/>
    <x v="2"/>
    <x v="3"/>
    <s v="YES"/>
    <x v="8"/>
    <x v="24"/>
    <s v="해당없음"/>
    <s v="해당없음"/>
    <s v="해당없음"/>
    <s v="2020년 8월경"/>
    <d v="2020-08-01T00:00:00"/>
    <n v="8"/>
    <s v="혹서기"/>
    <x v="0"/>
    <s v="2020년 8월경 OO건설(주) OO현장에서 굴착기로 철근콘크리트 해체물 정리작업 중 굴착기 주변(거리 약 7m)에서 살수작업을 하던 재해자가 해체물(콘크리트 덩어리, 무게 약 50kg)에 가슴을 강타 당하여 사망"/>
    <s v="해체작업을 하던 중 파이프, 조적벽체 등 해체물이 낙하하면서 근로자 맞음"/>
    <s v="▶ 해체 순서 및 지지방법 등의 작업계획 수립 후 관련한 안전교육 실시_x000a_▶ 해체작업 작업구획 표시, 신호수 배치, 접근금지 조치 등과 같은 안전조치 실시"/>
  </r>
  <r>
    <n v="12"/>
    <x v="1"/>
    <x v="2"/>
    <x v="3"/>
    <s v="YES"/>
    <x v="8"/>
    <x v="24"/>
    <s v="해당없음"/>
    <s v="해당없음"/>
    <s v="해당없음"/>
    <s v="2020년 9월경"/>
    <d v="2020-09-01T00:00:00"/>
    <n v="9"/>
    <s v="-"/>
    <x v="1"/>
    <s v="2020년 9월경 OO(주) OO개축공사 현장에서 기존 교량 해체 작업을 진행하던 중 교량슬래브가 붕괴되어 교량 하부에서 철거 부재 와이어로프를 풀고 있던 재해자가 붕괴 구조물에 깔려 사망"/>
    <s v="해체작업을 하던 중 충격 또는 폐기물 하중 등으로 슬라브가 붕괴되어 작업자 추락 및 깔림"/>
    <s v="▶ 구조검토를 실시한 후, 그에 맞는 해체방법 및 순서 등 작업계획을 수립_x000a_▶ 작업층 하부에 잭서포트 보강 실시하며 구조상 충분한 잭서포트 개수를 설치 적정 개소에 설치_x000a_▶ 균열, 콘크리트 강도, 철근 배근상태, 노후정도 등과 같은 해당 건물의 안정성 검토 후 해체계획 수립"/>
  </r>
  <r>
    <n v="12"/>
    <x v="1"/>
    <x v="2"/>
    <x v="3"/>
    <s v="YES"/>
    <x v="8"/>
    <x v="24"/>
    <s v="해당없음"/>
    <s v="해당없음"/>
    <s v="해당없음"/>
    <s v="2020년 12월"/>
    <d v="2020-12-01T00:00:00"/>
    <n v="12"/>
    <s v="혹한기"/>
    <x v="0"/>
    <s v="2020년 12월경 OO이 시공하는 OO 철거공사 현장에서 재해자가 ‘ㄱ’자 형태의 곡관 해수파이프(W≒550kg, L≒7.4m) 위에 걸터 앉아 해수파이프를 절단하던 중 해수파이프가 낙하하면서 지면으로 함께 추락(H≒3.6m) 하여 사망"/>
    <s v="해체작업을 하던 중 파이프, 조적벽체 등 해체물이 낙하하면서 근로자 맞음"/>
    <s v="▶ 해체 순서 및 지지방법 등의 작업계획 수립 후 관련한 안전교육 실시_x000a_▶ 해체작업 작업구획 표시, 신호수 배치, 접근금지 조치 등과 같은 안전조치 실시"/>
  </r>
  <r>
    <n v="12"/>
    <x v="1"/>
    <x v="2"/>
    <x v="3"/>
    <s v="YES"/>
    <x v="8"/>
    <x v="24"/>
    <s v="해당없음"/>
    <s v="해당없음"/>
    <s v="해당없음"/>
    <s v="2021년 4월경"/>
    <d v="2021-04-01T00:00:00"/>
    <n v="4"/>
    <s v="-"/>
    <x v="1"/>
    <s v="2021년 4월경 ㈜OO에서 시공 중인 OO철거공사 현장에서 상부 건축물 철거 후 생성된 폐기물이 쌓여있던 지상 3층 바닥이 붕괴되며, 지상 3층에서 살수작업을 하던 재해자가 매몰되어 사망함."/>
    <s v="해체작업을 하던 중 충격 또는 폐기물 하중 등으로 슬라브가 붕괴되어 작업자 추락 및 깔림"/>
    <s v="▶ 구조검토를 실시한 후, 그에 맞는 해체방법 및 순서 등 작업계획을 수립_x000a_▶ 작업층 하부에 잭서포트 보강 실시하며 구조상 충분한 잭서포트 개수를 설치 적정 개소에 설치_x000a_▶ 균열, 콘크리트 강도, 철근 배근상태, 노후정도 등과 같은 해당 건물의 안정성 검토 후 해체계획 수립"/>
  </r>
  <r>
    <n v="12"/>
    <x v="1"/>
    <x v="3"/>
    <x v="31"/>
    <s v="YES"/>
    <x v="8"/>
    <x v="25"/>
    <s v="해당없음"/>
    <s v="해당없음"/>
    <s v="해당없음"/>
    <s v="2021년 11월"/>
    <d v="2021-11-01T00:00:00"/>
    <n v="11"/>
    <s v="-"/>
    <x v="2"/>
    <s v="2021년 11월경 OO종합건설(주) OO다세대 신축공사 현장에서 재해자가 낙하물방지망을 전용 지지대를 사용하여 재설치하는 작업 중 와이어로프로 결속되어있는 낙하물방지망의 지지대 교체작업 중 아이볼트와 클램프의 결속에서 아이볼트가 풀리면서 탈락되어 추락(H≒5.95m, 비계 5단)하여 사망"/>
    <s v="안전대 미착용한 근로자가 낙하물 방지망 설치 해체를 위해 일부 체결부 해체 작업 중  갑작스런 낙하물방지망 낙하로 몸의 중심을 잃고 추락 "/>
    <s v="▶ 추락 위험이 있는 작업 시, 안전대 부착설비, 추락방호망 등 안전방호조치 실시_x000a_▶ 작업 전 안전보호구(안전대) 지급 및 체결상태 관리_x000a_▶ 낙하물방지망 해체 작업 시 상부로부터 하부로 순차적으로 해체하는 식의 작업방식 준수"/>
  </r>
  <r>
    <n v="12"/>
    <x v="1"/>
    <x v="3"/>
    <x v="31"/>
    <s v="YES"/>
    <x v="8"/>
    <x v="24"/>
    <s v="해당없음"/>
    <s v="해당없음"/>
    <s v="해당없음"/>
    <s v="2021년 12월"/>
    <d v="2021-12-01T00:00:00"/>
    <n v="12"/>
    <s v="혹한기"/>
    <x v="1"/>
    <s v="2021년 12월경 교량개량공사 현장에서 재해자가 차량탑재형 고소작업대에 탑승하여 교량슬래브 하부 낙하물방지망 철거작업 중 기존구조물 일부가 탈락되어 재해자와 함께 떨어지며(높이4.7M), 재해자가 탈락된 기존구조물에 깔려 사망"/>
    <s v="차량탑재형 고소작업대에 탑승하여 교량슬래브 하부 낙하물방지망 철거작업 중 기존구조물 일부가 탈락되어 재해자와 함께 떨어지며 탈락된 구조물에 깔림"/>
    <s v="▶ 사전 조사 및 작업계획서 작성_x000a_▶ 주기적으로 계측을 실시하고 계측 결과에 따른 보강조치 실시"/>
  </r>
  <r>
    <n v="12"/>
    <x v="1"/>
    <x v="37"/>
    <x v="75"/>
    <s v="YES"/>
    <x v="8"/>
    <x v="24"/>
    <s v="해당없음"/>
    <s v="해당없음"/>
    <s v="해당없음"/>
    <s v="2016년 1월경"/>
    <d v="2016-01-01T00:00:00"/>
    <n v="1"/>
    <s v="혹한기"/>
    <x v="2"/>
    <s v="2016년 1월경 OO냉장 사업장에서 재해자가 신규로 설치한 수직반송기 시운전 중 운반구에서 추락하여 사망"/>
    <s v="신규로 설치한 수직반송기 운반구에 탑승하여 시운전 중 운반구에서 떨어져 바닥으로 추락"/>
    <s v="▶ 차량계 건설기계 승차석 외의 탑승금지"/>
  </r>
  <r>
    <n v="12"/>
    <x v="1"/>
    <x v="5"/>
    <x v="6"/>
    <s v="YES"/>
    <x v="8"/>
    <x v="24"/>
    <s v="해당없음"/>
    <s v="해당없음"/>
    <s v="해당없음"/>
    <s v="2017년 9월경"/>
    <d v="2017-09-01T00:00:00"/>
    <n v="9"/>
    <s v="-"/>
    <x v="2"/>
    <s v="2017년 9월경 OO건설(주) OO육교 OO보수공사 현장에서 재해자가 경관시설물 내부 바닥에서 폐자재를 비닐마대에 담는 작업 중 바닥재(1,150mm × 2,500mm, 두께 4mm, 합성패널) 1개가 순간적으로 탈락되면서 6.6m 아래 교대 보호공 바닥으로 추락하여 사망"/>
    <s v="교량 경관시설물 내에서 폐자재 정리 작업 중 바닥재가 순간적으로 탈락되면서 바닥으로 추락"/>
    <s v="▶ 추락위험 장소에는 안전한 통로 및 작업발판 설치"/>
  </r>
  <r>
    <n v="12"/>
    <x v="1"/>
    <x v="5"/>
    <x v="6"/>
    <s v="YES"/>
    <x v="8"/>
    <x v="25"/>
    <s v="해당없음"/>
    <s v="해당없음"/>
    <s v="해당없음"/>
    <s v="2019년 6월경"/>
    <d v="2019-06-01T00:00:00"/>
    <n v="6"/>
    <s v="혹서기"/>
    <x v="2"/>
    <s v="2019년 6월경 OO건설공사 현장에서 재해자 포함 3명이 105동 1·2호 라인 1층 엘리베이터 승강로 내에 상부에서 떨어지는 잔재물 등을 받기 위해 설치해 놓은 가설 경사선반위에서 2명이 청소작업을 하던 중 가설 경사선반을 지지하고 있던 받침목이 무너지면서 재해자 2명이 약 12.0m아래 엘리베이터 pit 층으로 추락하여 사망"/>
    <s v="현장 자재 정리 중 밟고 있던 임시발판이 무너지면서 바닥으로 추락"/>
    <s v="▶ 추락 위험이 있는 장소에 비계조립으로 작업발판 설치_x000a_▶ 작업발판 설치가 곤란할 시 추락방호망 설치_x000a_▶ 안전대 지급 및 체결 _x000a_▶ 바닥에 설치되는 개구부 덮개는 식별이 가능하도록 표시함"/>
  </r>
  <r>
    <n v="12"/>
    <x v="1"/>
    <x v="5"/>
    <x v="6"/>
    <s v="YES"/>
    <x v="8"/>
    <x v="24"/>
    <s v="해당없음"/>
    <s v="해당없음"/>
    <s v="해당없음"/>
    <s v="2019년 7월경"/>
    <d v="2019-07-01T00:00:00"/>
    <n v="7"/>
    <s v="혹서기"/>
    <x v="2"/>
    <s v="2019년 7월경 OO공장에서 그늘천막 설치공사를 위해 재해자가 골조프레임 위에서 그늘천막을 덮는 작업 중, 바닥으로 추락(H≒4.0m)하여 사망"/>
    <s v="골조 프레임 위에서 천막, 망 등을 고정하는 작업을 하다 몸의 균형을 잃고 바닥으로 추락"/>
    <s v="▶ 개구부 등 추락단부 안전난간대 설치 등 추락방호조치 실시_x000a_▶ 근로자의 개인보호구, 안전대 체결여부 점검 및 관리감독"/>
  </r>
  <r>
    <n v="12"/>
    <x v="1"/>
    <x v="5"/>
    <x v="6"/>
    <s v="YES"/>
    <x v="8"/>
    <x v="24"/>
    <s v="해당없음"/>
    <s v="해당없음"/>
    <s v="해당없음"/>
    <s v="2021년 1월경"/>
    <d v="2021-01-01T00:00:00"/>
    <n v="1"/>
    <s v="혹한기"/>
    <x v="2"/>
    <s v="2021년 1월경 OO보수공사 현장에서 재해자가 측면 골프망과 바닥 골프망을 고정하는 작업 중(와이어로프를 밟고 이동하면서 작업)추락(H≒10m)하여 사망"/>
    <s v="골조 프레임 위에서 천막, 망 등을 고정하는 작업을 하다 몸의 균형을 잃고 바닥으로 추락"/>
    <s v="▶ 개구부 등 추락단부 안전난간대 설치 등 추락방호조치 실시_x000a_▶ 근로자의 개인보호구, 안전대 체결여부 점검 및 관리감독"/>
  </r>
  <r>
    <n v="2"/>
    <x v="2"/>
    <x v="8"/>
    <x v="35"/>
    <s v="YES"/>
    <x v="8"/>
    <x v="24"/>
    <s v="해당없음"/>
    <s v="해당없음"/>
    <s v="해당없음"/>
    <s v="2017년 5월경"/>
    <d v="2017-05-01T00:00:00"/>
    <n v="5"/>
    <s v="-"/>
    <x v="6"/>
    <s v="2017년 5월경 OO(주) OO 신축공사 현장에서 OO산업(주) 소속 재해자(PC조립공)가 지하주차장 PC조립과정에서 PC기둥 수직도 조정 작업중 PC기둥이 전도 되면서 협착되어 사망"/>
    <s v="PC기둥 수직도 조정 작업 중 PC기둥 슬리브에 매입 길이가 부족한 철근(약 5mm)이 X열 방향으로 휘면서 PC기둥 하부 피복 콘크리트가 파괴 및 PC기둥이 전도되어 협착 "/>
    <s v="▶ PC기둥 등 중량물을 취급하는 경우 전도 및 협착에 의한 위험 방지를 위해 버팀대 및 지지대 설치_x000a_▶ PC기둥을 조립하는 경우 인양장비에 매단 상태에서 수직도 확인 작업 진행"/>
  </r>
  <r>
    <n v="4"/>
    <x v="4"/>
    <x v="10"/>
    <x v="15"/>
    <s v="YES"/>
    <x v="8"/>
    <x v="24"/>
    <s v="해당없음"/>
    <s v="해당없음"/>
    <s v="해당없음"/>
    <s v="2016년 4월경"/>
    <d v="2016-04-01T00:00:00"/>
    <n v="4"/>
    <s v="-"/>
    <x v="2"/>
    <s v="2016년 4월경 OO미장공사에서 외벽 미장작업 후 발판으로 사용하던 벽돌더미에서 내려오던 중 발을 헛디뎌 약 0.9m 높이에서 추락하여 사망"/>
    <s v="외벽 미장작업 후 발판으로 사용하던 벽돌더미에서 내려오던 중 발을 헛디뎌 떨어짐"/>
    <s v="▶ 작업높이에 적합한 작업발판(비계, 고소작업대 등) 견고하게 설치 및 사용_x000a_▶ 작업장소로 이동하기 위한 작업통로(승강통로) 설치_x000a_▶ 작업발판 설치가 곤란한 경우 근로자에게 안전대를 착용하도록 하고 안전대를 걸어 사용할수 있는 부착설비 등 설치 조치"/>
  </r>
  <r>
    <n v="4"/>
    <x v="4"/>
    <x v="10"/>
    <x v="15"/>
    <s v="YES"/>
    <x v="8"/>
    <x v="24"/>
    <s v="해당없음"/>
    <s v="해당없음"/>
    <s v="해당없음"/>
    <s v="2021년 3월경"/>
    <d v="2021-03-01T00:00:00"/>
    <n v="3"/>
    <s v="-"/>
    <x v="2"/>
    <s v="2021년 3월경 OO방음벽 설치공사에서 교량 하부 암거(BOX,4.0m×4.5m×91.5m) 박스 옹벽 경사배면 상단부 미장작업 중 실족하여 높이 약 3.5m 아래 지상바닥으로 추락하여 사망"/>
    <s v="교량 하부 암거박스 옹벽 경사배면에서 미장작업 중 법면 단부에서 몸의 중심을 잃고 실족하여 바닥으로 추락"/>
    <s v="▶ 작업높이에 적합한 작업발판(비계, 고소작업대 등) 견고하게 설치 및 사용_x000a_▶ 작업장소로 이동하기 위한 작업통로(승강통로) 설치_x000a_▶ 작업발판 설치가 곤란한 경우 근로자에게 안전대를 착용하도록 하고 안전대를 걸어 사용할수 있는 부착설비 등 설치 조치"/>
  </r>
  <r>
    <n v="4"/>
    <x v="4"/>
    <x v="11"/>
    <x v="16"/>
    <s v="YES"/>
    <x v="8"/>
    <x v="24"/>
    <s v="해당없음"/>
    <s v="해당없음"/>
    <s v="해당없음"/>
    <s v="2020년 9월경"/>
    <d v="2020-09-01T00:00:00"/>
    <n v="9"/>
    <s v="-"/>
    <x v="0"/>
    <s v="2020년 9월경 OO타워 누수 하자보수공사 현장에서 재해자가 건물 우측 하부 벽면의 방수시트 제거 및 정리작업 중, 건물 외벽에 부착되었던 간판베이스(110㎝×360㎝)가 넘어지면서 재해자의 머리를 가격하여 사망"/>
    <s v="벽면 하부의 방수시트 제거 및 정리작업 중 발생한 진동에 의해 불안전한 상태로 벽면에 부착(간판 지지대의 파손으로 하부에 돌을 받쳐놓는 등) 되어있던 간판구조물이 넘어지면서 맞음"/>
    <s v="▶ 일부 파손된 각형강관 지지구조의 간판베이스 주변에서 바닥콘크리트 파쇄 등의 작업 시 간판베이스 등이 넘어지지 않도록 재시공 또는 지지대의 설치로 전도방지 조치 실시_x000a_▶ 개인보호구 지급 및 착용"/>
  </r>
  <r>
    <n v="4"/>
    <x v="4"/>
    <x v="21"/>
    <x v="40"/>
    <s v="YES"/>
    <x v="8"/>
    <x v="24"/>
    <s v="해당없음"/>
    <s v="해당없음"/>
    <s v="해당없음"/>
    <s v="2016년 7월경"/>
    <d v="2016-07-01T00:00:00"/>
    <n v="7"/>
    <s v="혹서기"/>
    <x v="2"/>
    <s v="2016년 7월경 OO초등학교 외부도색공사 현장에서 재해자가 현관 출입구 캐노피 위에서 고압세척기로 청소작업 중 약 3m 아래 바닥으로 추락하여 사망"/>
    <s v="추락방지조치 없이 현관 출입구 캐노피 위에서 고압세척기로 청소작업 중 약 3m 아래 바닥으로 떨어짐"/>
    <s v="▶ 추락위험 장소에는 안전난간, 추락방호망 설치 등 추락방지조치 철저_x000a_▶ 안전난간의 설치가 곤란할 경우 안전대 부착설비를 설치하고 안전대 체결 후 작업토록 관리감독"/>
  </r>
  <r>
    <n v="4"/>
    <x v="4"/>
    <x v="21"/>
    <x v="40"/>
    <s v="YES"/>
    <x v="8"/>
    <x v="24"/>
    <s v="해당없음"/>
    <s v="해당없음"/>
    <s v="해당없음"/>
    <s v="2020년 4월경"/>
    <d v="2020-04-01T00:00:00"/>
    <n v="4"/>
    <s v="-"/>
    <x v="2"/>
    <s v="2020년 4월경 건물 외벽 도장공사 현장에서 재해자가 달비계를 이용하여 건물외벽 도장작업을 하던 중 달비계 로프를 고정한 옥상난간(벽돌)이 파손되며 재해자는 작업대에 앉은 채 지상1층 바닥으로 떨어졌고 파손되어 떨어지는 벽돌에 머리를 맞아 사망"/>
    <s v="달비계를 이용하여 건물외벽 도장작업을 하던 중 달비계 로프를 고정한 구조물 등이 파손되며 지상1층 바닥으로 떨어짐"/>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12"/>
    <x v="18"/>
    <s v="YES"/>
    <x v="8"/>
    <x v="24"/>
    <s v="해당없음"/>
    <s v="해당없음"/>
    <s v="해당없음"/>
    <s v="2021년 1월경"/>
    <d v="2021-01-01T00:00:00"/>
    <n v="1"/>
    <s v="혹한기"/>
    <x v="2"/>
    <s v="2021년 1월경 OOOOO 도장공장 주설비 공사현장에서 덕트 설치작업 과정에서 협력업체 소속 재해자가 신호작업을 위하여 BC(Base Coat) 중간 건조로 부스 상부에 올라가 있던 중 공장2층 바닥면(H≒8.4m)으로 추락하여 사망"/>
    <s v="구조물 상부에서 신호작업 중 발을 헛디뎌 안전난간이 설치되지 않은 구조물 단부로 추락"/>
    <s v="▶ 작업자가 추락할 위험이 있는 장소에서 작업 시 충분한 강도를 가진 안전난간 설치 준수_x000a_▶ 안전난간 등 설치하는 것이 곤란한 경우 안전대 부착 설비로 지지로프 등을 설치 "/>
  </r>
  <r>
    <n v="4"/>
    <x v="4"/>
    <x v="13"/>
    <x v="42"/>
    <s v="YES"/>
    <x v="8"/>
    <x v="25"/>
    <s v="해당없음"/>
    <s v="해당없음"/>
    <s v="해당없음"/>
    <s v="2019년 8월경"/>
    <d v="2019-08-01T00:00:00"/>
    <n v="8"/>
    <s v="혹서기"/>
    <x v="2"/>
    <s v="2019년 8월경 OO건설이 시공하는 OO빌라 리모델링 공사 현장에서 재해자(관리감독자)가 2층 배면부 발코니 창에서 철제 난간(3.1m×1.05m)을  손으로 잡고 몸을 내밀면서 밖에 있던 작업자를 부르던 중 콘크리트 벽체에 나사못으로 고정되어 있던 난간이 탈락되면서 난간과 함께 약 3m 아래 아스팔트 콘크리트 바닥으로 떨어져 사망"/>
    <s v="발코니에서 철제난간을 손으로 잡고 창 바깥으로 몸을 내밀어 동료를 부르던 중 노후호된 철제난간의 고정부가 탈락되면서 바닥으로 추락"/>
    <s v="▶ 리모델링 등 공사 시, 작업 전 기존 건물의 노후된 난간, 창틀 등의 설치 상태를 점검_x000a_▶ 작업자의 개인보호구, 안전대 체결여부 점검 및 관리감독"/>
  </r>
  <r>
    <n v="4"/>
    <x v="4"/>
    <x v="14"/>
    <x v="20"/>
    <s v="YES"/>
    <x v="8"/>
    <x v="24"/>
    <s v="해당없음"/>
    <s v="해당없음"/>
    <s v="해당없음"/>
    <s v="2018년 11월"/>
    <d v="2018-11-01T00:00:00"/>
    <n v="11"/>
    <s v="-"/>
    <x v="2"/>
    <s v="2018년 11월경 노화 상가주택 신축공사 현장에서 재해자가 지붕 판넬 설치작업을 한 후 2층 발코니 단부에서 실족하여 약 3.45m 아래 콘크리트 바닥으로 떨어져 사망"/>
    <s v="이동하던 중 발코니 단부에서 발을 헛디뎌 안전난간이 설치되지 않은 단부로 추락"/>
    <s v="▶ 추락 위험장소(슬래브 단부 등)에 근로자 이동 또는 작업 시 외부 비계 조립 등 폭 40cm 이상의 작업발판 설치 및 단부 구간에 안전난간 등 추락방지용 안전시설물을 견고하게 설치_x000a_▶ 안전난간 설치 시 지름 2.7cm 이상의 금속제 파이프나 그 이상 강도의 재료 사용하며 구조적으로 가장 취약한 지점에서 가장 취약한 방향으로 작용하는 100kg 이상의 하중에 견딜 수 있는 구조로 설치_x000a_▶ 슬래브 단부 등에 작업발판 및 안전난간 설치가 곤란한 경우 근로자 추락방지를 위해 추락방지망 설치 또는 안전대 부착설비 설치 및 안전대 체결 관리_x000a_▶ 건물 외측의 작업이 필요한 경우 내측에서 몸을 내밀어 작업하는 방식을 지양하고, 고소작업대 또는 달비계 등을 이용하여 작업하도록 관리감독_x000a_▶ 마감재 해체 작업 시, 패널 등 마감재를 해체한 후 지지대를 해체하는 순서로 작업을 계획하여 불시의 마감재 낙하 등의 사고를 예방"/>
  </r>
  <r>
    <n v="4"/>
    <x v="4"/>
    <x v="14"/>
    <x v="20"/>
    <s v="YES"/>
    <x v="8"/>
    <x v="24"/>
    <s v="해당없음"/>
    <s v="해당없음"/>
    <s v="해당없음"/>
    <s v="2020년 2월경"/>
    <d v="2020-02-01T00:00:00"/>
    <n v="2"/>
    <s v="혹한기"/>
    <x v="2"/>
    <s v="2020년 2월경 ㈜OO 공장 지붕 물받이 설치 현장에서 재해자이 지붕 물받이 설치장소로 이동을 하기위해 옹벽상부 위에서 이동을 하던 중 옹벽상부 마감 블록이 이탈되어 재해자가 몸의 균형을 잃고 약 3m 높이에서 공장동 바닥으로 추락하여 사망"/>
    <s v="옹벽 상부에서 이동하던 중 밟고 있던 옹벽 블록이 이탈되면서 바닥으로 추락"/>
    <s v="▶ 추락 위험장소(슬래브 단부 등)에 근로자 이동 또는 작업 시 외부 비계 조립 등 폭 40cm 이상의 작업발판 설치 및 단부 구간에 안전난간 등 추락방지용 안전시설물을 견고하게 설치_x000a_▶ 안전난간 설치 시 지름 2.7cm 이상의 금속제 파이프나 그 이상 강도의 재료 사용하며 구조적으로 가장 취약한 지점에서 가장 취약한 방향으로 작용하는 100kg 이상의 하중에 견딜 수 있는 구조로 설치_x000a_▶ 슬래브 단부 등에 작업발판 및 안전난간 설치가 곤란한 경우 근로자 추락방지를 위해 추락방지망 설치 또는 안전대 부착설비 설치 및 안전대 체결 관리_x000a_▶ 건물 외측의 작업이 필요한 경우 내측에서 몸을 내밀어 작업하는 방식을 지양하고, 고소작업대 또는 달비계 등을 이용하여 작업하도록 관리감독_x000a_▶ 마감재 해체 작업 시, 패널 등 마감재를 해체한 후 지지대를 해체하는 순서로 작업을 계획하여 불시의 마감재 낙하 등의 사고를 예방"/>
  </r>
  <r>
    <n v="4"/>
    <x v="4"/>
    <x v="14"/>
    <x v="20"/>
    <s v="YES"/>
    <x v="8"/>
    <x v="24"/>
    <s v="해당없음"/>
    <s v="해당없음"/>
    <s v="해당없음"/>
    <s v="2020년 7월경"/>
    <d v="2020-07-01T00:00:00"/>
    <n v="7"/>
    <s v="혹서기"/>
    <x v="2"/>
    <s v="2020년 7월경 재해자가 건물 우측면에서 외벽 금속판넬 줄눈 코킹작업 중 고소작업대(차량탑재형) 작업대를 벗어나 캐노피 상부에서 작업하다 추락(H≒5.2m)하여 사망"/>
    <s v="고소작업대에서 벗어나 캐노피 상부에서 작업하던 중 발을 헛디뎌 바닥으로 추락"/>
    <s v="▶ 추락 위험장소(슬래브 단부 등)에 근로자 이동 또는 작업 시 외부 비계 조립 등 폭 40cm 이상의 작업발판 설치 및 단부 구간에 안전난간 등 추락방지용 안전시설물을 견고하게 설치_x000a_▶ 안전난간 설치 시 지름 2.7cm 이상의 금속제 파이프나 그 이상 강도의 재료 사용하며 구조적으로 가장 취약한 지점에서 가장 취약한 방향으로 작용하는 100kg 이상의 하중에 견딜 수 있는 구조로 설치_x000a_▶ 슬래브 단부 등에 작업발판 및 안전난간 설치가 곤란한 경우 근로자 추락방지를 위해 추락방지망 설치 또는 안전대 부착설비 설치 및 안전대 체결 관리_x000a_▶ 건물 외측의 작업이 필요한 경우 내측에서 몸을 내밀어 작업하는 방식을 지양하고, 고소작업대 또는 달비계 등을 이용하여 작업하도록 관리감독_x000a_▶ 마감재 해체 작업 시, 패널 등 마감재를 해체한 후 지지대를 해체하는 순서로 작업을 계획하여 불시의 마감재 낙하 등의 사고를 예방"/>
  </r>
  <r>
    <n v="5"/>
    <x v="5"/>
    <x v="15"/>
    <x v="45"/>
    <s v="YES"/>
    <x v="8"/>
    <x v="24"/>
    <s v="해당없음"/>
    <s v="해당없음"/>
    <s v="해당없음"/>
    <s v="2020년 12월"/>
    <d v="2020-12-01T00:00:00"/>
    <n v="12"/>
    <s v="혹한기"/>
    <x v="2"/>
    <s v="2020년 12월경 OO공사에서 재해자가 급배기휀 전기 배선작업 중 몸의 중심을 잃고 지상1층 바닥으로 추락하여(H≒3.1m) 사망"/>
    <s v="전등 스위치박스, 후드캡설치 및 조명배관, 소방배관등 설치 작업중 2m이상의 높이에서 바닥으로 추락"/>
    <s v="▶ 2m이상의 고소작업시 안전한 작업발판을 설치하여 작업(이동식 비계 설치사용)_x000a_▶ 이동식비계 설치 사용시 안전수칙 준수_x000a_   - 이동식비계 상단부 안전난간대 설치_x000a_   - 전도방지를 위한 하단부 아웃트리거 설치(4지점)_x000a_   - 작업발판 상부에서 작업자는 안전대 체결 후 작업실시_x000a_     =&gt; 이동식 틀비계에 안전대를 체결시 안전대의 최하사점을 고려하여 체결_x000a_     =&gt; 이동식 틀비계 1조당 1.8m높이로 2조이상 조립시 틀비계에 안전대를 체결_x000a_   - 이동식비계 조립시 주요 구조부 조립상태 확인(가새재 설치, 승강사다리 디딤대에 작업발판 설치 금지)_x000a_   - 이동식비계 승강시 해치발판을 설치하여 내측으로 승강사다리 사용_x000a_   - 작업자의 불안전한 행동 금지 (안전난간 상단부를 딛고 작업실시)"/>
  </r>
  <r>
    <n v="5"/>
    <x v="5"/>
    <x v="15"/>
    <x v="46"/>
    <s v="YES"/>
    <x v="8"/>
    <x v="24"/>
    <s v="해당없음"/>
    <s v="해당없음"/>
    <s v="해당없음"/>
    <s v="2019년 8월경"/>
    <d v="2019-08-01T00:00:00"/>
    <n v="8"/>
    <s v="혹서기"/>
    <x v="2"/>
    <s v="2019년 8월경 OO공사에서 재해자 등이 가로등에 올라가 암(arm) 교체작업을 하던 중 가로등이 지지력을 잃고 넘어지면서 지면으로 추락하여(H≒5m) 2명 부상"/>
    <s v="가로등에 올라가 암(arm) 교체작업을 하던 중 가로등이 지지력을 잃고 넘어지면서 지면으로 추락"/>
    <s v="▶ 노후화된 구조물에 승주하여 작업할 경우, 작업 전 구조물의 균열 및 내부 강선의 상태 등 안전성에 대한 안전성 평가 실시 후 넘어짐 방지 조치 실시"/>
  </r>
  <r>
    <n v="5"/>
    <x v="5"/>
    <x v="15"/>
    <x v="21"/>
    <s v="YES"/>
    <x v="8"/>
    <x v="24"/>
    <s v="해당없음"/>
    <s v="해당없음"/>
    <s v="해당없음"/>
    <s v="2017년 3월경"/>
    <d v="2017-03-01T00:00:00"/>
    <n v="3"/>
    <s v="-"/>
    <x v="2"/>
    <s v="2017년 3월경 OO공사에서 재해자가 철탑 하단 암(Arm)의 현수클램프 등을 설치하고 전력선 위에서 애자련을 통해 하단 암으로 이동 하려고 하던 중 몸의 중심을 잃고 26m 아래 지상 바닥으로 추락하여 사망"/>
    <s v="송전철탑의 상단부에서 피뢰기 설치 및 압축인류크램프, 점퍼소켓 교체작업 등 상단부에서 작업 및 승하강시 실족하여 바닥으로 추락"/>
    <s v="▶ 철탑 세우기전 지상에서 각 부재에 안전대 걸이설비를 사전 부착_x000a_   - 주각 스텝볼트 상태 점검 및 안전로프 설치_x000a_   - 수평재(암) 안전대 걸이설비 설치 등 지상에서 선조립_x000a_▶ 철탑의 승하강 통로 및 수평재(암)상단부 작업자는 안전대를 체결한 상태로 작업실시_x000a_▶ 10m 높이마다 추락방지망(주각 내부) 및 낙하물방지망(주각 외부)을 설치"/>
  </r>
  <r>
    <n v="5"/>
    <x v="5"/>
    <x v="16"/>
    <x v="22"/>
    <s v="YES"/>
    <x v="8"/>
    <x v="24"/>
    <s v="해당없음"/>
    <s v="해당없음"/>
    <s v="해당없음"/>
    <s v="2021년 1월경"/>
    <d v="2021-01-01T00:00:00"/>
    <n v="1"/>
    <s v="혹한기"/>
    <x v="2"/>
    <s v="2021년 1월경 OO 증축공사 현장에서 이동식 크레인으로 인양용 선반(이하‘선반’이라 함)에 적재된 공장 설비인 혼합기를 인양하여 공장 3층 바닥에 선반을 붙이고 흔들리지 않도록 로프 등으로 공장기둥(H-Beam) 등과 연결한 상태에서, 재해자가 선반에 올라 혼합기 고정용 섬유벨트 등을 해체하는 순간 수레에 얹혀진 혼합기의 갑작스러운 이동으로 인한 선반의 흔들림으로 로프가 풀림과 동시에 선반이 바닥에서 이탈하였고, 이로 인해 재해자는 몸의 중심을 잃고 약 13m 아래 콘크리트 바닥으로 떨어짐"/>
    <s v="이동식 크레인으로 인양용 선반(이하‘선반’이라 함)에 적재된 공장 설비인 혼합기를 인양하여 공장 3층 바닥에 선반을 붙이고 흔들리지 않도록 로프 등으로 공장기둥(H-Beam) 등과 연결한 상태에서, 재해자 등 3명이 선반에 올라 혼합기 고정용 섬유벨트 등을 해체하는 순간 수레에 얹혀진 혼합기의 갑작스러운 이동으로 인한 선반의 흔들림으로 로프가 풀림과 동시에 선반이 바닥에서 이탈하였고, 이로 인해 재해자는 몸의 중심을 잃고 아래 콘크리트 바닥으로 추락 "/>
    <s v="▶ 탑승설비가 아닌 곳에 작업자를 임의로 탑승시키는 등의 행위 금지_x000a_▶ 추락 위험이 있는 작업 시 고소작업대 또는 이동식비계를 이용하여 작업실시_x000a_▶ 작업 전 개인보호구(안전모, 안전대) 지급 및 착용상태 관리"/>
  </r>
  <r>
    <n v="5"/>
    <x v="5"/>
    <x v="16"/>
    <x v="23"/>
    <s v="YES"/>
    <x v="8"/>
    <x v="24"/>
    <s v="해당없음"/>
    <s v="해당없음"/>
    <s v="해당없음"/>
    <s v="2016년 4월경"/>
    <d v="2016-04-01T00:00:00"/>
    <n v="4"/>
    <s v="-"/>
    <x v="5"/>
    <s v="2016년 4월경 OO시 OO군 소재 OO면 소재 ㈜OOOOOO / OOO 설치공사 현장에서 철탑조립공인 재해자2명이 OOO의 삼각단면 철제 트러스 (전체 27개중 25개 기설치 완료)조립작업 도중 OOO의 지선(Guy Wire)기초부위 연결부가 탈락되면서 철제트러스 조립작업중이던 재해자 2명과 함께 풍황탑이 넘어져 사망한 재해임"/>
    <s v="풍황탑의 삼각단면 철제 트러스 조립작업 도중 풍황탑의 지선 기초부위 연결부가 탈락되면서 근로자와 함께 풍황탑이 넘어짐"/>
    <s v="▶ 풍화탑의 기초 연결부 조립 기준 준수_x000a_   - 설계도면에 따라 조립기준 준수 (가조립시 시방서에 따라 실시)_x000a_   - 풍화탑의 자립도를 사전 검토 후 필요시 추가 보강조치"/>
  </r>
  <r>
    <n v="5"/>
    <x v="5"/>
    <x v="16"/>
    <x v="23"/>
    <s v="YES"/>
    <x v="8"/>
    <x v="24"/>
    <s v="해당없음"/>
    <s v="해당없음"/>
    <s v="해당없음"/>
    <s v="2017년 2월경"/>
    <d v="2017-02-01T00:00:00"/>
    <n v="2"/>
    <s v="혹한기"/>
    <x v="1"/>
    <s v="2017년 2월경 OOO도 OO시 OO읍 소재 OOOO(주) 내에서 협력업체인 OOOOOO 소속 재해자(OOO)가 장비 분리작업 중 넘어지는 반도체 장비(AVI)에 깔려 병원으로 후송하였으나 사망한 재해임"/>
    <s v="장비 분리작업 중 넘어지는 반도체 장비에 깔림"/>
    <s v="▶ 장비 해체작업시 해체작업 계획서 작성_x000a_   - 해체 구조물에 대한 정보 확인 (도면, 구조검토서 등)_x000a_   - 설비의 해체순서 및 해체방법_x000a_   - 해체시 전도방지 조치 및 보강조치 수립"/>
  </r>
  <r>
    <n v="5"/>
    <x v="5"/>
    <x v="16"/>
    <x v="23"/>
    <s v="YES"/>
    <x v="8"/>
    <x v="24"/>
    <s v="해당없음"/>
    <s v="해당없음"/>
    <s v="해당없음"/>
    <s v="2017년 7월경"/>
    <d v="2017-07-01T00:00:00"/>
    <n v="7"/>
    <s v="혹서기"/>
    <x v="2"/>
    <s v="2017년 7월경 OOO시 OO시 OO면 OO리 소재 (주)OOOOOO이 시공하는 (주)OO OO O사업장(T9동) OO룸 설비공사 현장에서 협력업체 소속 덕트공이 OO룸 천장 마감재인 샌드위치 패널(t=5cm)을 발판삼아 공기정화 덕트(800mm×500mm) 연결부(플랜지)에 보온재 부착 후 덕트 측면에 알루미늄 테이핑 작업을 하던 중 밟고 있던 천장패널 1장(2m×1m)이 꺾이면서 천장틀(T-bar)에서 탈락하여 패널과  함께 약 10m 아래 콘크리트 바닥으로 떨어져 사망한 재해임"/>
    <s v="천장 판넬 상부에서 전기 배선작업 및 덕트 설치작업 중 판넬 자중 및 작업 하중을 견디지 못하고 천장이 붕괴되면서 동반 추락"/>
    <s v="▶ 지붕상부로 이동시 고소작업대(차량탑재형, 시저형) 또는 고정용 수직사다리를 이용하여 안전하게 이동_x000a_   - 고정용 수직사다리를 이용시 작업자는 안전대를 체결_x000a_▶ 지붕상부에서 이동시 60cm이상의 발판을 설치하여 이동통로를 구획(사전작업계획 수립)_x000a_   - 노후화된 천장판넬, 칼라강판, 채광창(썬라이트)상부에 견고한 발판을 설치_x000a_▶ 지붕상부에 자재 과적재 금지_x000a_▶ 지붕 단부에는 안전난간대를 설치하여 단부에서의 추락방지조치 실시_x000a_▶ 지붕작업 전 지붕하단에는 추락방지망을 설치 후 작업실시_x000a_▶ 지붕해체 및 보수 작업자는 안전대를 체결한 상태로 작업실시"/>
  </r>
  <r>
    <n v="5"/>
    <x v="5"/>
    <x v="16"/>
    <x v="23"/>
    <s v="YES"/>
    <x v="8"/>
    <x v="24"/>
    <s v="해당없음"/>
    <s v="해당없음"/>
    <s v="해당없음"/>
    <s v="2018년 3월경"/>
    <d v="2018-03-01T00:00:00"/>
    <n v="3"/>
    <s v="-"/>
    <x v="2"/>
    <s v="2018년 3월경 OO(주)  OO신축공사 현장에서 천장 전기,소방설비 설치공사를 위해 지지레일에 매달아 설치한 이동식 천장 작업대를 다음 장업장소로 수평이동 시키던 중 작업대 이동방향의 우측 레일 이음부가 작업대의 하중을 이기지 못하고 꺽이면서 레일에 결속된 작업대 지지부(Bogie)가 레일에서 이탈되었고 그 여파로 작업대의 나머지 3개 지지부가 파단되면서 작업대 위에 있던 재해자가 작업대와 함께 약 14.6m 아래 지상으로 추락하여 사망"/>
    <s v="이동식 천장작업대 수평이동 중 작업대 지지부의 레일에서의 이탈에 의해 지지부 파단 및 지상으로 추락"/>
    <s v="▶ 제조사에서 정한 이동식 천장 작업대의 사용기준을 준수하여 사용_x000a_▶ 작업대 지지용 레일 설치 시 설계기준 준수"/>
  </r>
  <r>
    <n v="5"/>
    <x v="5"/>
    <x v="16"/>
    <x v="23"/>
    <s v="YES"/>
    <x v="8"/>
    <x v="24"/>
    <s v="해당없음"/>
    <s v="해당없음"/>
    <s v="해당없음"/>
    <s v="2019년 12월"/>
    <d v="2019-12-01T00:00:00"/>
    <n v="12"/>
    <s v="혹한기"/>
    <x v="1"/>
    <s v="2019년 12월경 OOO도 OO시 OO구 소재 ㈜OOO 사업장에서 640톤 절곡기설치를 위하여 이동식크레인으로 절곡기 측판을 옮겨 설치작업중 측판의 줄걸이를제거하는 순간 측판이 넘어져 작업자 2명이 깔려 사망함."/>
    <s v="절곡기 설치를 위하여 이동식크레인으로 절곡기 측판을 옮겨 설치 작업 중 측판의 줄걸이를 제거하는 순간 측판이 넘어져 깔림"/>
    <s v="▶ 장비 설치작업시 작업계획서 작성_x000a_   - 설치 대상에 대한 정보 확인 (도면, 구조검토서 등)_x000a_   - 설비의 설치순서 및 방법_x000a_   - 전도방지 조치 등 보강조치 수립"/>
  </r>
  <r>
    <n v="5"/>
    <x v="5"/>
    <x v="16"/>
    <x v="23"/>
    <s v="YES"/>
    <x v="8"/>
    <x v="24"/>
    <s v="해당없음"/>
    <s v="해당없음"/>
    <s v="해당없음"/>
    <s v="2020년 3월경"/>
    <d v="2020-03-01T00:00:00"/>
    <n v="3"/>
    <s v="-"/>
    <x v="2"/>
    <s v="2020년 3월경 OOO도 OO시 OOO동 소재 OO OOOO OOOO상가 신축사업 현장에서 재하청업체 소속 재해자가 지상 5층 영화관 복도 상부덕트(설치높이 7.2m) 설치를 위해 고소작업대(시저형) 난간대를 밟고 기 설치된 하부덕트(설치높이 6.3m) 위로 올라 타 덕트 행거에 안전대를 걸고 실측 작업을 하던 중 덕트 행거가 파손(전산볼트 탈락)되어 하부덕트가 아래로 쳐지면서 약 6.3m 바닥으로 떨어져 사망한 재해임._x000d_"/>
    <s v="상부덕트 설치를 위해 기설치된 하부덕트 위에 올라타 덕트행거에 안전대를 걸고 실측작업 중 전산볼트 탈락에 의해 덕트행거가 파손되어 하부덕트가 기울어지며 바닥으로 추락"/>
    <s v="▶ 추락 위험이 있는 공조덕트 설치 작업 시 견고한 구조의 작업발판, 고소작업대 등 추락방지조치 실시_x000a_▶ 작업발판 설치가 곤란한 경우 안전대 부착설비 설치 등의 방지조치 실시_x000a_▶ 작업 전 전산볼트의 정상체결 여부 확인을 위한 안전점검 실시"/>
  </r>
  <r>
    <n v="5"/>
    <x v="5"/>
    <x v="16"/>
    <x v="23"/>
    <s v="YES"/>
    <x v="8"/>
    <x v="24"/>
    <s v="해당없음"/>
    <s v="해당없음"/>
    <s v="해당없음"/>
    <s v="2020년 9월경"/>
    <d v="2020-09-01T00:00:00"/>
    <n v="9"/>
    <s v="-"/>
    <x v="2"/>
    <s v="2020년 9월경 OO시 OO읍 OOO OO 소재 OOOO(주) 공장 이전 보수공사 현장에서 OOOO(주) 소속의 재해자(남,직원) 2명이 LCD필름 가공장의 천장 위에서 환기설비(덕트관) 설치작업을 한 후 바닥으로 내려오기 위해 이동하던 중, 샌드위치 패널(EPS, 2,200×1,000×50)이 꺾이며 약 2.8m 아래 콘크리트 바닥으로 떨어져 부상당한 재해임."/>
    <s v="천장 판넬 상부에서 전기 배선작업 및 덕트 설치작업 중 판넬 자중 및 작업 하중을 견디지 못하고 천장이 붕괴되면서 동반 추락"/>
    <s v="▶ 지붕상부로 이동시 고소작업대(차량탑재형, 시저형) 또는 고정용 수직사다리를 이용하여 안전하게 이동_x000a_   - 고정용 수직사다리를 이용시 작업자는 안전대를 체결_x000a_▶ 지붕상부에서 이동시 60cm이상의 발판을 설치하여 이동통로를 구획(사전작업계획 수립)_x000a_   - 노후화된 천장판넬, 칼라강판, 채광창(썬라이트)상부에 견고한 발판을 설치_x000a_▶ 지붕상부에 자재 과적재 금지_x000a_▶ 지붕 단부에는 안전난간대를 설치하여 단부에서의 추락방지조치 실시_x000a_▶ 지붕작업 전 지붕하단에는 추락방지망을 설치 후 작업실시_x000a_▶ 지붕해체 및 보수 작업자는 안전대를 체결한 상태로 작업실시"/>
  </r>
  <r>
    <n v="5"/>
    <x v="5"/>
    <x v="16"/>
    <x v="23"/>
    <s v="YES"/>
    <x v="8"/>
    <x v="25"/>
    <s v="해당없음"/>
    <s v="해당없음"/>
    <s v="해당없음"/>
    <s v="2021년 2월경"/>
    <d v="2021-02-01T00:00:00"/>
    <n v="2"/>
    <s v="혹한기"/>
    <x v="2"/>
    <s v="2021년 2월경 OOO도 OO시에 위치한 OOOOOO 건설현장 내 터빈동에서 ㈜OOOOO 소속 재해자(OOO)가 안전대 훅을 이용하여 2층 바닥에 설치된 그레이팅을 들어 올리던 중 그레이팅과 함께 9.5m 아래로 추락하여 사망한 재해임."/>
    <s v="스틸 그레이팅을 들어 올리던 중 그레이팅과 함께 추락"/>
    <s v="▶ 작업용 탑승대를 팔레트로 사용시 안전조치 확인_x000a_   - 팔레트의 고정여부 확인 및 팔레트 단부 안전난간대 설치_x000a_   - 안전난간대 설치가 불가할시 작업자는 안전대를 체결_x000a_▶ 주차설비 내부통로 사용시 안전한 통로를 설치 및 구획_x000a_   - 레일 등 철골위로 승강시 작업자는 안전대 체결"/>
  </r>
  <r>
    <n v="6"/>
    <x v="6"/>
    <x v="17"/>
    <x v="24"/>
    <s v="YES"/>
    <x v="8"/>
    <x v="24"/>
    <s v="해당없음"/>
    <s v="해당없음"/>
    <s v="해당없음"/>
    <s v="2018년 4월경"/>
    <d v="2018-04-01T00:00:00"/>
    <n v="4"/>
    <s v="-"/>
    <x v="1"/>
    <s v="2018년 4월경 OOO시 OO구 소재 OOOO 주차장 담장 보강공사 현장에서 L형 담장 설치를 위해 터파기한 바닥을 정리하던 재해자가 기존 주택 철거 후 남아있던 조적조 벽체(면적:4.68㎡)가 넘어지면서 하부에 깔려 주변 사람들이 구출하여 병원으로 이송하였으나, 사망한 재해임"/>
    <s v="L형 담장 설치를 위해 터파기한 바닥을 정리하던 중 기존 주택 철거 후 남아있던 조적조 벽체가 넘어지면서 하부에 깔림"/>
    <s v="▶ 굴착작업 중 인접 구조물의 전도위험 방지(견고한 지지대 설치 등) 조치 실시_x000a_▶ 노후된 담장에 근접하여 작업할 경우 진동 및 충격 등에 의한 위험성을 사전조사 실시로 파악"/>
  </r>
  <r>
    <n v="7"/>
    <x v="9"/>
    <x v="24"/>
    <x v="80"/>
    <s v="YES"/>
    <x v="8"/>
    <x v="24"/>
    <s v="해당없음"/>
    <s v="해당없음"/>
    <s v="해당없음"/>
    <s v="2017년 10월"/>
    <d v="2017-10-01T00:00:00"/>
    <n v="10"/>
    <s v="-"/>
    <x v="1"/>
    <s v="2017년 10월경 도로건설공사 현장에서 재해자가 굴착기를 이용하여 화물차 적재함의 PC 방호벽 하자 작업 중 PC 방호벽이 적재함에서 떨어지며 하반신이 깔려 사망"/>
    <s v="굴삭기를 이용한 화물차 하차작업 중 자재가 충격으로 흔들리며 적재함에서 떨어져 근로자 깔림"/>
    <s v="▶ 차량계 하역운반기계 사용할 경우 작업계획서를 작성하고 작업계획에 맞게 작업실시_x000a_▶ 자재인양 등 중량물 취급작업 시 낙하위험 지역에 대해 근로자 출입 통제"/>
  </r>
  <r>
    <n v="7"/>
    <x v="9"/>
    <x v="39"/>
    <x v="81"/>
    <s v="YES"/>
    <x v="8"/>
    <x v="24"/>
    <s v="해당없음"/>
    <s v="해당없음"/>
    <s v="해당없음"/>
    <s v="2019년 5월경"/>
    <d v="2019-05-01T00:00:00"/>
    <n v="5"/>
    <s v="-"/>
    <x v="1"/>
    <s v="2019년 5월경 항만개발 사업현장에서 재해자가 자재 하역하던 중 자재가 적재함 측면 모서리에 걸려 제거하던 중 자재에 깔려 사망"/>
    <s v="연약지반개량 포설용 PET MAT를 반입하여 하역하던 중 PET MAT가 화물자동차의 적재함에 걸려 근로자가 걸린것을 제거 중 PET MAT에 깔림"/>
    <s v="▶ 하역작업 시 끼인 자재를 인력으로 무리하게 제거하는 등의 근로자 단독작업 금지_x000a_▶ 하역작업 시 작업계획서를 작성하여 작업계획에 맞게 하역작업 실시"/>
  </r>
  <r>
    <n v="7"/>
    <x v="9"/>
    <x v="39"/>
    <x v="81"/>
    <s v="YES"/>
    <x v="8"/>
    <x v="25"/>
    <s v="해당없음"/>
    <s v="해당없음"/>
    <s v="해당없음"/>
    <s v="2019년 11월"/>
    <d v="2019-11-01T00:00:00"/>
    <n v="11"/>
    <s v="-"/>
    <x v="2"/>
    <s v="2019년 11월 철도 노반건설공사현장에서 재해자가 이동을 위해 안전난간에 체중을 지지하자 난간기둥이 탈락되면서 6m 아래 농로바닥으로 추락하여 사망"/>
    <s v="안전난간이 체중을 못이겨 난간기둥이 탈락되어 안전난간 자재와 농로 바닥으로 추락"/>
    <s v="▶ 안전모 지급 및 착용관리_x000a_▶ 추락에 의한 위험이 있는 경우 근로자 투입 통제_x000a_▶ 작업전 안전난간 상태 확인 후 튼튼하게 설치"/>
  </r>
  <r>
    <n v="7"/>
    <x v="9"/>
    <x v="39"/>
    <x v="81"/>
    <s v="YES"/>
    <x v="8"/>
    <x v="24"/>
    <s v="해당없음"/>
    <s v="해당없음"/>
    <s v="해당없음"/>
    <s v="2021년 6월경"/>
    <d v="2021-06-01T00:00:00"/>
    <n v="6"/>
    <s v="혹서기"/>
    <x v="7"/>
    <s v="2021년 6월경 다세대주택 신축공사 현장에서 재해자가 담장하부에서 골재 고르던 중 굴착법면 및 상부 담장이 붕괴되어 사망"/>
    <s v="담장 굴착저면 하부에서 골재 고르기 중 굴착법면 및 상부 담장이 붕괴"/>
    <s v="▶ 인근 구조물이 인접한 굴착면의 경우 주기적 계측을 통해 굴착사면 붕괴 관리_x000a_▶ 굴착면 계측 시 특이사항이 발생할 경우 즉시 작업중단 및 인근 사면 보강 및 지보공 설치"/>
  </r>
  <r>
    <n v="8"/>
    <x v="7"/>
    <x v="46"/>
    <x v="98"/>
    <s v="NO"/>
    <x v="8"/>
    <x v="24"/>
    <s v="해당없음"/>
    <s v="해당없음"/>
    <s v="해당없음"/>
    <s v="2020년 11월"/>
    <d v="2020-11-01T00:00:00"/>
    <n v="11"/>
    <s v="-"/>
    <x v="0"/>
    <s v="2020년 11월경 교량 보수공사 현장에서 상부 강연선 긴장작업을 완료하고 재해자가 공구 운반 작업을 도와주는 과정에서 상부 강연선의 정착구가 탈락하면서 두부를 타격하여 사망"/>
    <s v="상부 강연선의 정착구가 탈락하면서 이탈한 장착구 또는 연결된 강봉이 근로자의 두부를 타격함"/>
    <s v="▶ 강연선 긴장력 등 정착구에 부가되는 하중으로 인해 정착구 및 강봉이 탈락할 위험이 있는 경우 강연선 긴장력 증가, 정착구 및 콘크리트 간 접촉면의 마찰력 감소 등 안전성 평가 실시"/>
  </r>
  <r>
    <n v="2"/>
    <x v="2"/>
    <x v="6"/>
    <x v="7"/>
    <s v="YES"/>
    <x v="9"/>
    <x v="26"/>
    <s v="12대 기인물"/>
    <n v="11"/>
    <n v="0.03"/>
    <s v="2017년 9월경"/>
    <d v="2017-09-01T00:00:00"/>
    <n v="9"/>
    <s v="-"/>
    <x v="2"/>
    <s v="2017년 9월경 복합시설 신축 공사 현장에서 형틀목공인 재해자와 동료 근로자 3명이 1층 기둥 거푸집 밴드 설치 작업을 진행하던 중, 높이 3.5m지점에서 콘크리트 바닥으로 추락하여 병원에서 치료 중 사망한 재해임."/>
    <s v="추락 방지조치를 미실시한 상태에서 기둥 거푸집 밴드 설치 작업 중 중심을 잃고 근로자 추락"/>
    <s v="▶ 추락 위험이 있는 작업 시, 안전방망, 안전난간, 안전대 부착설비 등 안전방호조치 실시_x000a_▶ 작업 전 안전대 지급 및 착용, 체결상태 관리감독자 확인 철저"/>
  </r>
  <r>
    <n v="2"/>
    <x v="2"/>
    <x v="6"/>
    <x v="33"/>
    <s v="YES"/>
    <x v="9"/>
    <x v="26"/>
    <s v="12대 기인물"/>
    <n v="11"/>
    <n v="0.03"/>
    <s v="2016년 9월경"/>
    <d v="2016-09-01T00:00:00"/>
    <n v="9"/>
    <s v="-"/>
    <x v="0"/>
    <s v="2016년 9월경 OO건설주식회사 OO프라자 신축공사 현장에서 협력업체 소속 재해자가 지하 1층 자재 인양구(2,000mm×7,400mm) 위 임시 자재 적치대 위에서 거푸집 쌓기 작업을 진행하던 중 지상 3층 바닥보 하부에 설치된 동바리가 자재 인양구를 통해 약 3.9m 아래로 떨어져 재해자의 머리에 맞아 사망"/>
    <s v="낙하물에 의한 위험 방지조치 미실시한 상태에서 자재 인양구 위 임시 자재 적치대 위에서 거푸집 쌓기 작업 중 지상 바닥보 하부에 설치된 동바리가 낙하하여 근로자의 머리 타격"/>
    <s v="▶ 자재 인양용 개구부에 대해 낙하물방지망 등 설치_x000a_▶ 낙하물방지망 등 설치 불가 시 근로자 출입 통체_x000a_▶ 멍에제에 동바리 고정상태 확인 철저"/>
  </r>
  <r>
    <n v="2"/>
    <x v="2"/>
    <x v="6"/>
    <x v="33"/>
    <s v="YES"/>
    <x v="9"/>
    <x v="26"/>
    <s v="12대 기인물"/>
    <n v="11"/>
    <n v="0.03"/>
    <s v="2017년 1월경"/>
    <d v="2017-01-01T00:00:00"/>
    <n v="1"/>
    <s v="혹한기"/>
    <x v="2"/>
    <s v="2017년 1월경 OO건설(주) OO호텔신축공사 현장에서 재해자가 지하1층 기계실 시스템동바리 상부에서 장선재 및 합판거푸집을 설치한 후, 하부로 내려오려던 중 또는 슬래브 거푸집 설치를 위해 이동 중 몸의 중심을 잃고 약 5.0m아래 지하1층 콘크리트 바닥으로 추락하여 사망"/>
    <s v="거푸집 작업구간으로 이동통로 미확보한 상태에서 시스템동바리 상부에서 장선재 및 합판거푸집 설치 작업 후 하부로 내려오던 중 중심을 잃고 추락"/>
    <s v="▶ 추락 위험이 있는 시스템동바리 상부 작업인 경우 이동식사다리 또는 이동식비계 등 안전한 통로를 설치_x000a_▶ 추락 위험이 있는 작업 시, 안전방망, 안전난간, 안전대 부착설비 등 안전방호조치 실시"/>
  </r>
  <r>
    <n v="2"/>
    <x v="2"/>
    <x v="6"/>
    <x v="33"/>
    <s v="YES"/>
    <x v="9"/>
    <x v="26"/>
    <s v="12대 기인물"/>
    <n v="11"/>
    <n v="0.03"/>
    <s v="2017년 3월경"/>
    <d v="2017-03-01T00:00:00"/>
    <n v="3"/>
    <s v="-"/>
    <x v="2"/>
    <s v="2017년 3월경 OO건설㈜ OO하수처리장 설치공사 현장에서 협력업체 소속 재해자가 하수처리장 지상1층 벽체 거푸집 내벽 및 상부 Slab 거푸집 설치작업 중 높이 약 7.35m아래 UMBR조(상향류 생물반응조) 콘크리트 바닥으로 떨어져 사망"/>
    <s v="시스템 동바리 설치작업을 위한 작업발판 설치 불량 및 고정 미실시한 상태에서 하수처리장 지상층 벽체 거푸집 내벽 및 상부 Slab 거푸집 설치작업 중 고정되지 않은 작업발판이 뒤집힘에 따라 근로자 추락"/>
    <s v="▶ 시스템동바리 설치 작업 시 추락방지를 위해 작업발판을 밀실하게 설치_x000a_▶ 작업발판이 뒤집히거나 탈락되지 않도록 2곳 이상 지지물에 고정_x000a_▶ 시스템동바리 설치 작업 시 추락위험이 있을 경우 추락방지망 설치 또는 안전대 부착설비 설치 및 안전대 착용"/>
  </r>
  <r>
    <n v="2"/>
    <x v="2"/>
    <x v="6"/>
    <x v="33"/>
    <s v="YES"/>
    <x v="9"/>
    <x v="26"/>
    <s v="12대 기인물"/>
    <n v="11"/>
    <n v="0.03"/>
    <s v="2018년 7월경"/>
    <d v="2018-07-01T00:00:00"/>
    <n v="7"/>
    <s v="혹서기"/>
    <x v="2"/>
    <s v="2018년 7월경 OO건설(주) OO아파트 건설공사 현장에서, 협력업체 소속 재해자가 시스템동바리 수평재에서 벽체 유로폼에 플랫타이(Flat tie)*와 웨지핀(Wedge pin)**을 고정하는 작업을 하던 중, 지상 바닥(H≒2.0m)으로 추락하여 사망"/>
    <s v="추락방지조치 미실시한 상태에서 시스템동바리 수평재에서 벽체 유로폼에 플랫타이와 웨지핀을 고정하는 작업 중 중심을 잃고 근로자 추락"/>
    <s v="▶ 추락 위험이 있는 시스템동바리 상부 작업인 경우 이동식사다리 또는 이동식비계 등 안전한 통로를 설치_x000a_▶ 추락 위험이 있는 작업 시, 안전방망, 안전난간, 안전대 부착설비 등 안전방호조치 실시"/>
  </r>
  <r>
    <n v="2"/>
    <x v="2"/>
    <x v="6"/>
    <x v="33"/>
    <s v="YES"/>
    <x v="9"/>
    <x v="26"/>
    <s v="12대 기인물"/>
    <n v="11"/>
    <n v="0.03"/>
    <s v="2018년 8월경"/>
    <d v="2018-08-01T00:00:00"/>
    <n v="8"/>
    <s v="혹서기"/>
    <x v="2"/>
    <s v="2018년 8월경 OO동 지하 1층 벽체 거푸집 플랫타이 체결 작업 중 동료작업자가 바닥에 쓰러져 있는 재해자를 발견 후 병원에서 사망"/>
    <s v="시스템동바리 수평재에 올라서서 작업 중 추락"/>
    <s v="▶ 작업장 주변 정리정돈 및 작업에 적합한 작업발판 설치_x000a_▶ 넘어짐 또는 추락방지를 위해 안전대 착용_x000a_▶ 개인보호구 지급 및 착용"/>
  </r>
  <r>
    <n v="2"/>
    <x v="2"/>
    <x v="6"/>
    <x v="33"/>
    <s v="YES"/>
    <x v="9"/>
    <x v="26"/>
    <s v="12대 기인물"/>
    <n v="11"/>
    <n v="0.03"/>
    <s v="2020년 8월경"/>
    <d v="2020-08-01T00:00:00"/>
    <n v="8"/>
    <s v="혹서기"/>
    <x v="2"/>
    <s v="2020년 8월경 OO건설(주) OO신축공사 현장에서 협력업체 소속 재해자가 지하 3층 기계실 벽체거푸집의 마무리 고정 작업을 하기 위해 강관파이프(D=48.6mm, L=4m) 위에서 작업을 하던 중 몸의 균형을 잃고 약 2.5m 아래 콘크리트 바닥으로 떨어져 사망"/>
    <s v="추락방지조치 미실시한 상태에서 시스템동바리 수평재에서 벽체 유로폼에 플랫타이와 웨지핀을 고정하는 작업 중 중심을 잃고 근로자 추락"/>
    <s v="▶ 추락 위험이 있는 시스템동바리 상부 작업인 경우 이동식사다리 또는 이동식비계 등 안전한 통로를 설치_x000a_▶ 추락 위험이 있는 작업 시, 안전방망, 안전난간, 안전대 부착설비 등 안전방호조치 실시"/>
  </r>
  <r>
    <n v="2"/>
    <x v="2"/>
    <x v="6"/>
    <x v="8"/>
    <s v="YES"/>
    <x v="9"/>
    <x v="26"/>
    <s v="12대 기인물"/>
    <n v="11"/>
    <n v="0.03"/>
    <s v="2019년 10월"/>
    <d v="2019-10-01T00:00:00"/>
    <n v="10"/>
    <s v="-"/>
    <x v="2"/>
    <s v="2019년 10월경 OOOO(주)에서 시공하는 OO신축공사 현장에서 지상 10층 1,2구간을 연결하는 통로의 시스템동바리 해체 작업을 실시하던 중 재해자가 약 4M 아래 지상 9층 바닥으로 추락하여 사망"/>
    <s v="작업발판 설치 상태 미흡한 상태에서 보 거푸집 해체 작업 중 각재 상부에 올려놓은 거푸집을 밟는 순간 거푸집이 뒤집어짐에 따라 근로자 추락"/>
    <s v="▶ 추락위험이 있는 구간에는 추락방호망, 안전난간 설치 또는 및 안전대 착용후 작업_x000a_▶ 작업발판 설치시 작업발판이 뒤집어지거나 떨어지지 않도록 견고히 고정"/>
  </r>
  <r>
    <n v="2"/>
    <x v="2"/>
    <x v="27"/>
    <x v="52"/>
    <s v="YES"/>
    <x v="9"/>
    <x v="26"/>
    <s v="12대 기인물"/>
    <n v="11"/>
    <n v="0.03"/>
    <s v="2017년 10월"/>
    <d v="2017-10-01T00:00:00"/>
    <n v="10"/>
    <s v="-"/>
    <x v="2"/>
    <s v="2017년 10월경 (주)OO 다세대 신축공사 현장에서, 지상6층 외벽 거푸집을 해체하고 윈치를 이용하여 옥상 바닥으로 인양하려는 중, 한쪽 윈치 지지대가 균형을 잃고 넘어져 재해자가 지지대에 맞아 1명 사망, 1명 부상"/>
    <s v="변형·부식 및 손상이 발생된 거푸집 재료를 사용한 상태에서 지상층 외벽 거푸집을 윈치에 고정하고 해체하던 중 한쪽 윈치 지지대가 균형을 잃고 전도되어 근로자 가격, 다른 근로자는 가격에 의해 추락"/>
    <s v="▶ 변형·부식 및 손상 발생 거푸집재료 사용 금지_x000a_▶ 작업 전 사용 자재의 변형ㆍ손상 등 확인 후 이상유무 점검 실시_x000a_▶ 추락 위험 장소에서의 작업 시 작업발판 설치 및 추락방호망 설치_x000a_▶ 추락방호망 설치가 곤란한 경우 안전대 부착설비 설치 및 안전대 착용"/>
  </r>
  <r>
    <n v="2"/>
    <x v="2"/>
    <x v="8"/>
    <x v="11"/>
    <s v="YES"/>
    <x v="9"/>
    <x v="26"/>
    <s v="12대 기인물"/>
    <n v="11"/>
    <n v="0.03"/>
    <s v="2020년 10월"/>
    <d v="2020-10-01T00:00:00"/>
    <n v="10"/>
    <s v="-"/>
    <x v="7"/>
    <s v="2020년 10월경 OO㈜ OO현장에서 협력업체 ㈜OO개발 소속 근로자 7명이 B-1시설 슬래브 콘크리트 타설작업 중 시스템 동바리가 자중 및 작업하중 등을 견디지 못하고 붕괴되면서 근로자 7명이 약 11.6m 아래 바닥으로 추락, 매몰되어 부상"/>
    <s v="슬래브 콘크리트 타설작업 중 시스템 동바리가 자중 및 작업하중 등을 견디지 못하고 붕괴되면서 바닥으로 추락, 매몰"/>
    <s v="▶ 구조검토 및 조립도 작성하고 견고한 구조로 조립 및 설치_x000a_▶ 시스템 동바리는 하중에 의한 변위가 발생하지 않도록 가새재 설치 등 상세도 준수"/>
  </r>
  <r>
    <n v="3"/>
    <x v="3"/>
    <x v="9"/>
    <x v="14"/>
    <s v="YES"/>
    <x v="9"/>
    <x v="26"/>
    <s v="12대 기인물"/>
    <n v="11"/>
    <n v="0.03"/>
    <s v="2016년 11월"/>
    <d v="2016-11-01T00:00:00"/>
    <n v="11"/>
    <s v="-"/>
    <x v="3"/>
    <s v="2016년 11월경 OO 물류창고 신축공사 현장에서 재해자(콘크리트 타설공) 등 8명이 3층(H=7.2m) TU-Deck가 깔린 슬래브를 오전에 1차로 보와 골 부위에 콘크리트 타설 후 오후에 2차로 슬래브 및 보 전체에 대하여 콘크리트 타설 중 갑자기 Deck(12m×15m) 플레이트와 하부 시스템 동바리가 붕괴 되어 Deck 플레이트 슬래브가 한꺼번에  TU보에서 탈락되어 무너지면서 콘크리트와 같이 높이 7.2m 아래 2층 바닥으로 떨어져 근로자 8명이 부상"/>
    <s v="슬래브 및 보 전체에 대해 콘크리트 타설 중 데크플레이트와 하부시스템 동바리가 붕괴되어 데크블레이트 슬래브가 보에서 탈락되어 근로자에게 낙하"/>
    <s v="▶ 데크플레이트를 사용시 구조검토 및 조립도 등 작성하고 견고한 구조로 조립 및 설치_x000a_▶ 시스템 동바리는 하중에 의한 변위가 발생하지 않도록 가새재 설치"/>
  </r>
  <r>
    <n v="12"/>
    <x v="1"/>
    <x v="4"/>
    <x v="32"/>
    <s v="YES"/>
    <x v="10"/>
    <x v="27"/>
    <s v="해당없음"/>
    <s v="해당없음"/>
    <s v="해당없음"/>
    <s v="리프트 해체작업을"/>
    <s v="X"/>
    <e v="#VALUE!"/>
    <e v="#VALUE!"/>
    <x v="2"/>
    <s v="리프트 해체작업을 위해 리프트 운반구(Cage) 상부에서 마스트(Mast) 연결볼트를 해체하고 마스트를 운반구 상부에 적재하는 작업을 진행하던 중 리프트 운반구가 연결볼트를 기(旣) 해체완료한 마스트(#15번)로 과상승하여 지지력이 없는 마스트(#15번)와 운반구가 함께 지상으로 떨어져(H=23m) 운반구 상부에서 작업 중이던 재해자 2명이 추락하여 사망"/>
    <s v="건설용 리프트 해체를 위해 운반구에서 작업 중 운반구가 기 적재된 마스트로 과상승 및 낙하하여 추락"/>
    <s v="▶ 리프트 해체작업 시, 근로자의 추락 방지를 위한 안전대 부착설비 설치 및 안전대 착용 및 체결 철저_x000a_▶ 리프트 해체작업 시, 운반구의 과상승 및 이탈 위험 방지를 위해 권과방지장치 설치_x000a_▶ 리프트 사용 및 해체 시, 작업자에게 조작 스위치 작동방법에 관한 교욱실시"/>
  </r>
  <r>
    <n v="12"/>
    <x v="1"/>
    <x v="4"/>
    <x v="97"/>
    <s v="YES"/>
    <x v="10"/>
    <x v="27"/>
    <s v="해당없음"/>
    <s v="해당없음"/>
    <s v="해당없음"/>
    <s v="2017년 2월경"/>
    <d v="2017-02-01T00:00:00"/>
    <n v="2"/>
    <s v="혹한기"/>
    <x v="2"/>
    <s v="2017년 2월경 주상복합 신축공사 현장에서 재해자가 건설작업용 리프트 해체 작업을 위하여 리프트 케이지 상부에서 지상 14층에 설치된 리프트 벽이음(월타이) 해체 작업 중 몸의 중심을 잃고 지상 3층 낙하물 방지망 위로 추락(H≒38.0m)하여 사망"/>
    <s v="건설용 리프트 해체를 위해 케이지 상부에서 작업중 몸의 중심을 잃고 추락"/>
    <s v="▶ 리프트 해체작업 시, 근로자의 추락 방지를 위한 안전대 부착설비 설치 및 안전대 착용 및 체결 철저_x000a_▶ 리프트 해체작업 시, 운반구의 과상승 및 이탈 위험 방지를 위해 권과방지장치 설치_x000a_▶ 리프트 해체작업 시, 케이지 상부 전면에 안전난간 설치"/>
  </r>
  <r>
    <n v="12"/>
    <x v="1"/>
    <x v="4"/>
    <x v="97"/>
    <s v="YES"/>
    <x v="10"/>
    <x v="27"/>
    <s v="해당없음"/>
    <s v="해당없음"/>
    <s v="해당없음"/>
    <s v="2018년 6월경"/>
    <d v="2018-06-01T00:00:00"/>
    <n v="6"/>
    <s v="혹서기"/>
    <x v="2"/>
    <s v="2018년 6월경 OO지역주택조합 아파트 신축공사 현장에서 재해자가 건설용 리프트 운반구 지붕상판을 발판삼아 연장작업 인 월타이(Wall-Tie)＊ 고정용 앵커볼트 천공작업 준비 중 몸의 중심을 잃고 떨어져 14층 월타이에 부딪치고 다시 하부 콘크리트 바닥(H≒45m)으로 떨어져 사망"/>
    <s v="건설용 리프트 연장 설치를 위해 운반구 지붕상판에서 작업 중, 몸의 중심을 잃고 추락"/>
    <s v="▶ 건설용 리프트 연상설치 작업 시 별도의 안전대 부착설비 설치 및 안전대 체결 등 추락방지조치 실시_x000a_▶ 건설용 리프트 연상설치 작업 시, 운반구 지붕상판 전면에 안전난간 설치"/>
  </r>
  <r>
    <n v="12"/>
    <x v="1"/>
    <x v="4"/>
    <x v="97"/>
    <s v="YES"/>
    <x v="10"/>
    <x v="27"/>
    <s v="해당없음"/>
    <s v="해당없음"/>
    <s v="해당없음"/>
    <s v="2019년 1월경"/>
    <d v="2019-01-01T00:00:00"/>
    <n v="1"/>
    <s v="혹한기"/>
    <x v="6"/>
    <s v="2019년 1월경 축사시설 현대화사업 개축공사 현장에서 재해자가 2층 출입용 외부계단 및 돈사내부 칸막이 설치 전 실측을 위해 리프트를 이용하여 2층에서 내린 후 옥상층(3층)으로 계속 상승중인 리프트에 다시 탑승하려고 하다가 리프트 운반구 바닥과 골조로 된 출입구 상부에 가슴이 끼여 사망"/>
    <s v="건설용 리프트를 이용하여 하차 후 계속 상승중인 리프트에 재탑승 하려던 중 운반구과 출입구 상부 골조에 협착"/>
    <s v="▶ 건설용 리프트의 안전인증 실시 여부 파악 및 조치_x000a_▶ 건설용 리프트의 조작 스위치의 명칭 및 관련내용의 표시 여부 확인_x000a_▶ 건설용 리프트 이외의 작업자들이 안전하게 이동할 수 있는 가설 계단 등을 설치"/>
  </r>
  <r>
    <n v="12"/>
    <x v="1"/>
    <x v="4"/>
    <x v="97"/>
    <s v="YES"/>
    <x v="10"/>
    <x v="27"/>
    <s v="해당없음"/>
    <s v="해당없음"/>
    <s v="해당없음"/>
    <s v="2019년 8월경"/>
    <d v="2019-08-01T00:00:00"/>
    <n v="8"/>
    <s v="혹서기"/>
    <x v="7"/>
    <s v="2019년 8월경 OO건설 주상복합 신축공사 현장에서 건설작업용 리프트의 마스트 해체작업 중 마스트 연결볼트의 선해체로 인하여 마스트가 붕괴되면서 지상 22층 높이에 있던 운반구가 마스트와 함께 바닥으로 떨어져 운반구 내부 및 위에서 작업 중이던 재해자 2명이 사망하고 재해자 1명이 부상, 무너져 내린 리프트의 파편으로 인해 지상에 있던 재해자 1명이 사망하고 재해자 2명이 부상"/>
    <s v="건설용 리프트 해체작업 중 마스트 연결볼트 선해체로 인한 붕괴"/>
    <s v="▶ 마스트 해체작업 시, 마스트 연결볼트의 선해체 및 불완전체결 금지_x000a_▶ 추락 방지를 위한 별도의 안전대 부착설비 설치"/>
  </r>
  <r>
    <n v="12"/>
    <x v="1"/>
    <x v="4"/>
    <x v="97"/>
    <s v="YES"/>
    <x v="10"/>
    <x v="27"/>
    <s v="해당없음"/>
    <s v="해당없음"/>
    <s v="해당없음"/>
    <s v="2020년 9월경"/>
    <d v="2020-09-01T00:00:00"/>
    <n v="9"/>
    <s v="-"/>
    <x v="2"/>
    <s v="2020년 9월경 OO건설 아파트 건설공사 현장에서 재해자 2명이 건설작업용 리프트 해체를 위해 지상 6층 높이에 위치해 있던 운반구 상단에서 마스트 연결볼트 해체 후 해체된 마스트를 적재하기 위해 수동조작으로 운반구를 상승시키던 중 운반구 과상승(오조작 추정)으로 인해 기 해체된 마스트와 함께 운반구가 약 18m 하부의 지상 바닥으로 떨어져 2명이 모두 사망"/>
    <s v="리프트 해체작업 후 적재를 위한 운반구 상승 중 운반구 과상승에 의해 기해제된 마스트와 함께 바닥으로 추락"/>
    <s v="▶ 과상승으로 인한 이탈방지를 위한 임시 안전장치 조치 실시_x000a_▶ 추락할 위험이 있는 작업 시, 안전대 부착설비, 안전난간대 등의 안전방호조치 실시"/>
  </r>
  <r>
    <n v="2"/>
    <x v="2"/>
    <x v="6"/>
    <x v="33"/>
    <s v="YES"/>
    <x v="10"/>
    <x v="27"/>
    <s v="해당없음"/>
    <s v="해당없음"/>
    <s v="해당없음"/>
    <s v="2019년 12월"/>
    <d v="2019-12-01T00:00:00"/>
    <n v="12"/>
    <s v="혹한기"/>
    <x v="6"/>
    <s v="2019년 12월경 OO건설(주)에서 시공중인 주상복합 신축공사 현장에서 협력업체 소속 재해자가 지상 4층 배면부의 외부 실외기실(노대) 바닥 방수턱 파손부위 보강작업을 위해 실외기실(노대) 단부 안전난간 틈(상부난간~중간난간 사이)으로 머리를 빼고 작업을 하던 중 내려오는 리프트 운반구와 안전난간 사이에 머리가 끼여 사망"/>
    <s v="출입금지조치 미실시 및 작업지휘자 미배치 상태에서 지상층 배면부의 외부 실외기실 바닥 방수턱 파손부위 보강작업을 위해 실외기실 단부 안전난간 틈(상부난간~중간난간 사이)으로 머리를 빼고 작업을 하던 중 내려오는 리프트 운반구와 안전난간 사이에 머리가 끼임"/>
    <s v="▶ 위험구간 작업시 사용기계 장비 정지 등 위험요소 배제후 작업실시_x000a_▶ 작업지휘자 배치 및 근로자 출입 통제 실시"/>
  </r>
  <r>
    <n v="2"/>
    <x v="2"/>
    <x v="8"/>
    <x v="11"/>
    <s v="YES"/>
    <x v="10"/>
    <x v="27"/>
    <s v="해당없음"/>
    <s v="해당없음"/>
    <s v="해당없음"/>
    <s v="2017년 2월경"/>
    <d v="2017-02-01T00:00:00"/>
    <n v="2"/>
    <s v="혹한기"/>
    <x v="6"/>
    <s v="2017년 2월경 ㈜OO 공동주택 공사 현장에서 ㈜OO건설 소속 재해자(타설공)이 101동 필로티층 난간벽체 콘크리트 타설 후 난간상부 면정리 작업 중 내려오는 건설용리프트 운반구(케이지)와 난간벽체 사이에 끼어 사망"/>
    <s v="필로티층 난간벽체 콘크리트 타설 후 난간상부 면정리 작업 중 내려오는 건설용 리프트 운반구와 난간벽체 사이에 끼임"/>
    <s v="▶ 건설용리프트의 운반구가 오르내려 근로자의 출입 시 위험이 있는 경우 방책 설치 등 출입금지 조치 실시_x000a_▶ 부득이하게 방책 해체 시 건설용리프트의 전원 차단 조치 실시"/>
  </r>
  <r>
    <n v="4"/>
    <x v="4"/>
    <x v="10"/>
    <x v="37"/>
    <s v="YES"/>
    <x v="10"/>
    <x v="27"/>
    <s v="해당없음"/>
    <s v="해당없음"/>
    <s v="해당없음"/>
    <s v="2017년 12월"/>
    <d v="2017-12-01T00:00:00"/>
    <n v="12"/>
    <s v="혹한기"/>
    <x v="6"/>
    <s v="2017년 12월경 OO신축공사에서 카리프트를 이용하여 지상1층에서 습식작업용 자재를 지상2층으로 운반하던 중 상승하는 카리프트의 하부에서 ‘삐’소리가 나자 카리프트 벽면으로 머리를 내밀고 하부를 확인하다가 레일브라켓과 리프트브라켓 사이에 머리가 끼어 사망"/>
    <s v="설치가 완료되지 않은 건설용리프트를 임의로 운전하여 미장 자재를 운반하던 중 이상소음 발생으로 머리를 내밀고 상황을 확인하던 근로자가 움직이는 리프트의 레일브라켓과 리프트브라켓 사이에 끼임"/>
    <s v="▶ 건설용리프트의 설치ㆍ조립ㆍ수리ㆍ해체 작업을 하는 경우 관계자외 출입금지 조치 및 표지판 설치 _x000a_▶ 건설용리프트 출입구 및 조작반(스위치) 잠금장치 설치_x000a_▶ 근로자 내용 주지 및 필요시 전원차단하여 건설용리프트 임의조작 방지 조치"/>
  </r>
  <r>
    <n v="4"/>
    <x v="4"/>
    <x v="10"/>
    <x v="37"/>
    <s v="YES"/>
    <x v="10"/>
    <x v="27"/>
    <s v="해당없음"/>
    <s v="해당없음"/>
    <s v="해당없음"/>
    <s v="2019년 5월경"/>
    <d v="2019-05-01T00:00:00"/>
    <n v="5"/>
    <s v="-"/>
    <x v="2"/>
    <s v="2019년 5월경 OO신축공사에서 조적운반작업 중 지상 8~9층 중간에 멈춘 리프트 운반구에 탑승한 다음 다시 지상 8층 바닥으로 내려오다가 리프트 운반구 하부와 지상 8층 발코니 슬래브 사이 수직 개구부(너비1,300mmX높이1,350mm)로 추락하여(높이≒22.0m) 사망"/>
    <s v="건설용리프트의 고장을 인지하지 못한 채 조적운반 작업을 위해 리프트에 탑승하여 하강하던 중 건설용리프트와 구조물 슬래브 사이 개구부로 추락"/>
    <s v="▶ 건설작업용 리프트 고장시 출입금지조치 철저_x000a_▶ 안전인증기준ㆍ안전검사기준에 적합한 건설작업용 리프트 사용_x000a_▶ 건설작업용 리프트 정비 및 고장 시 대응체계 수립"/>
  </r>
  <r>
    <n v="4"/>
    <x v="4"/>
    <x v="10"/>
    <x v="15"/>
    <s v="YES"/>
    <x v="10"/>
    <x v="27"/>
    <s v="해당없음"/>
    <s v="해당없음"/>
    <s v="해당없음"/>
    <s v="2016년 6월경"/>
    <d v="2016-06-01T00:00:00"/>
    <n v="6"/>
    <s v="혹서기"/>
    <x v="2"/>
    <s v="2016년 6월경 OO신축공사에서 16층 건물 내부의 견출작업 후 정리하고 내려오는 과정에서 지상 14층 건설용 리프트 출입구에서 지상 1층 바닥(H≒36m)으로 추락하여 사망"/>
    <s v="견출작업을 마치고 이동하기 위해 건설용리프트를 탑승하였으나 리프트가 오작동으로 정지하자 안전문의 잠금장치를 해제하는 등 임의로 리프트를 조작하다가 몸의 균형을 잃고 추락"/>
    <s v="▶ 고장 또는 오작동 상태에서의 사용은 사고 위험이 있으므로 운행 금지 조치 시행_x000a_▶ 비상(고장) 시에는 무지한 행동을 금하고 반드시 전문가에 의뢰하여 시행_x000a_▶ 건설용 리프트를 이용하는 작업자를 대상으로, 리프트 방호장치 기능 및 사용, 기계ㆍ기구 특성 및 동작원리, 비상 시 조치사항 등에 대한 특별안전교육을 실시 "/>
  </r>
  <r>
    <n v="4"/>
    <x v="4"/>
    <x v="10"/>
    <x v="15"/>
    <s v="YES"/>
    <x v="10"/>
    <x v="27"/>
    <s v="해당없음"/>
    <s v="해당없음"/>
    <s v="해당없음"/>
    <s v="2017년 1월경"/>
    <d v="2017-01-01T00:00:00"/>
    <n v="1"/>
    <s v="혹한기"/>
    <x v="6"/>
    <s v="2017년 1월경 OO신축공사에서 세대 내부 견출작업을 위해 리프트에 탑승하여 지상5층에서 내리려던 중리프트 운반구가 갑자기 약 60cm아래로 하강하면서 몸의 중심을 잃고 넘어져 리프트 운반구와 구조물 외벽사이에 끼어 사망"/>
    <s v="내부 견출작업을 위해 리프트에 탑승하여 하차하던 중 리프트 운반구가 갑자기 하강하면서 근로자가 몸의 중심을 잃고 넘어져 리프트 운반구와 구조물 외벽사이에 끼임"/>
    <s v="▶ 작업 전 리프트 방호장치 및 브레이크 등의 기능에 대한 정상작동 여부 확인을 위한 안전 점검 실시_x000a_▶ 이상유무 점검 시 이상이 발견 즉시 보수ㆍ수리 후 작업 실시 "/>
  </r>
  <r>
    <n v="4"/>
    <x v="4"/>
    <x v="11"/>
    <x v="16"/>
    <s v="YES"/>
    <x v="10"/>
    <x v="27"/>
    <s v="해당없음"/>
    <s v="해당없음"/>
    <s v="해당없음"/>
    <s v="2018년 11월"/>
    <d v="2018-11-01T00:00:00"/>
    <n v="11"/>
    <s v="-"/>
    <x v="2"/>
    <s v="2018년 11월경 OO아파트 소재 ㈜OO이 시공하는 옥상 배수로 우레탄 방수공사 및 아스팔트 슁글 일부방수 현장에서 ㈜OO 소속 재해자(방수공)이 301동 옥상 배수로 방수를 위하여 동료작업자와 함께 이삿짐운반용 리프트의 운반구에 탑승한 상태로 상승 하는 도중 운반구가 기울면서 약 14m 아래 아파트 동 출입구 상부 구조물 위로 추락하여 사망"/>
    <s v="옥상 배수로 방수를 위해 이삿짐운반용 리프트의 운반구에 탑승한 상태로 상승 도중 운반구가 기울어짐에 따른 근로자 추락"/>
    <s v="▶ 고소작업차량을 작업발판으로 사용할 경우 4면에 안전난간 설치_x000a_▶ 이삿짐운반용 리프트를 사용하여 화물 양중작업 시 운반구에 근로자 탑승 금지_x000a_▶ 추락 위험이 있는 장소에서 작업 시 안전모, 안전대 등 작업조건에 맞는 보호구 지급 및 착용"/>
  </r>
  <r>
    <n v="4"/>
    <x v="4"/>
    <x v="38"/>
    <x v="78"/>
    <s v="YES"/>
    <x v="10"/>
    <x v="27"/>
    <s v="해당없음"/>
    <s v="해당없음"/>
    <s v="해당없음"/>
    <s v="2016년 9월경"/>
    <d v="2016-09-01T00:00:00"/>
    <n v="9"/>
    <s v="-"/>
    <x v="2"/>
    <s v="2016년 9월경 OO건설 아파트 신축공사 현장에서 재해자가 건설작업용 리프트를 타고 이동하던 중 건물과 리프트 사이 개구부로 추락하여(높이 약 15m) 사망"/>
    <s v="리프트 운반구의 출입문이 개방된 상태로 상승하던 중 보조발판이 열리며 건물 외벽과 충돌하였으며 건물외벽과 리프트 사이 발생한 개구부를 통해 바닥으로 추락"/>
    <s v="▶ 건설용 리프트 작업 전 출입문 연동장치(리미트 스위치) 작동 여부 점검_x000a_▶ 건설용 리프트 사용 시, 운반구 출입문이 개방된 상태에서 사용하지 않도록 작업자를 대상으로 리프트 사용관련 특별안전교육을 실시"/>
  </r>
  <r>
    <n v="4"/>
    <x v="4"/>
    <x v="12"/>
    <x v="17"/>
    <s v="YES"/>
    <x v="10"/>
    <x v="27"/>
    <s v="해당없음"/>
    <s v="해당없음"/>
    <s v="해당없음"/>
    <s v="2021년 9월경"/>
    <d v="2021-09-01T00:00:00"/>
    <n v="9"/>
    <s v="-"/>
    <x v="2"/>
    <s v="2021년 9월경 oooo부지 복합개발사업 현장에서 도시가스배관 자재 인양작업에 투입된 재해자가 리프트를 이용하던 중 16층에서 1층 리프트 방호울 내부로 추락하여 사망"/>
    <s v="건설용리프트를 이용하여 자재 운반 중 리프트 고장으로 출입문을 임의 개방하다가 추락"/>
    <s v="▶ 건설용 리프트 사용 시, 수시로 비상정지장치의 작동유무 등 점검을 실시하고 이상발견 시, 필요한 조치 실시_x000a_▶ 건설용 리프트 사용하는 작업자를 대상으로 리프트의 이동순서, 동작원리, 방호장치 기능 및 사용 등을 포함한 특별안전교욱을 실시_x000a_▶ 건설용 리프트 사용 시, 리프트가 층 사이에 정지할 경우, 억지로 문을 열고 건물 내부로 들어가는 행위를 금지하고 리프트 담당 관리자에게 연락하여 적절한 조치를 받을 때까지 대기"/>
  </r>
  <r>
    <n v="4"/>
    <x v="4"/>
    <x v="12"/>
    <x v="18"/>
    <s v="YES"/>
    <x v="10"/>
    <x v="27"/>
    <s v="해당없음"/>
    <s v="해당없음"/>
    <s v="해당없음"/>
    <s v="2017년 9월경"/>
    <d v="2017-09-01T00:00:00"/>
    <n v="9"/>
    <s v="-"/>
    <x v="0"/>
    <s v="2017년 9월경 OOOO 오피스텔 건설현장에서 재해자가 주차타워 내부에서 월 브라켓(Wall Brackets) 용접 작업 중 하강하는 카 리프트 카운터 웨이트(Counter Weight)에 부딪혀 사망"/>
    <s v="기계식 주차장 내부에서 작업 중 승강기가 작동하며 하강하는 균형추에 맞음"/>
    <s v="▶ 승강기 내 또는 근접하여 작업하는 경우 전원 차단 및 조작부 잠금장치 설치 등 승강기 운전을 정지하고 작업지휘자를 배치하여 작업 _x000a_▶ 2개 이상의 건설공사가 같은 장소에서 행해지는 경우 안전보건조정자를 선임하여 배치"/>
  </r>
  <r>
    <n v="4"/>
    <x v="4"/>
    <x v="13"/>
    <x v="19"/>
    <s v="YES"/>
    <x v="10"/>
    <x v="27"/>
    <s v="해당없음"/>
    <s v="해당없음"/>
    <s v="해당없음"/>
    <s v="2018년 1월경"/>
    <d v="2018-01-01T00:00:00"/>
    <n v="1"/>
    <s v="혹한기"/>
    <x v="2"/>
    <s v="2018년 1월경 OO지역주택조합 아파트 신축공사 현장에서 재해자가 17층 세대내 바닥 층간차음재 설치를 위해 건설용 리프트를 타고 올라가던 중 운반구가 11~12층 사이에 갑자기 멈추자 운반구 세대내부쪽 출입문을 열고 11층으로 내려가다 몸의 중심을 잃고 실족하여 약 30m 아래 리프트 방호울내 바닥으로 떨어져 사망"/>
    <s v="운행 중 정지된 건설용 리프트의 안전문을 열고 건물 내부로 이동하던 중 건물과 승강로 사이로 추락"/>
    <s v="▶ 건설용 리프트 사용 시 수시로 비상정지장치의 작동유무 등 점검을 실시하고 이상발견 시, 필요한 조치 실시_x000a_▶ 건설용 리프트 사용하는 작업자를 대상으로 리프트의 이동순서, 동작원리, 방호장치 기능 및 사용 등을 포함한 특별교욱을 실시_x000a_▶ 건설용 리프트 사용 시, 리프트가 층 사이에 정지할 경우, 억지로 문을 열고 건물 내부로 들어가는 행위를 금지하고 리프트 담당 관리자에게 연락하여 적절한 조치를 받을 때까지 대기"/>
  </r>
  <r>
    <n v="4"/>
    <x v="4"/>
    <x v="13"/>
    <x v="19"/>
    <s v="YES"/>
    <x v="10"/>
    <x v="27"/>
    <s v="해당없음"/>
    <s v="해당없음"/>
    <s v="해당없음"/>
    <s v="2018년 3월경"/>
    <d v="2018-03-01T00:00:00"/>
    <n v="3"/>
    <s v="-"/>
    <x v="2"/>
    <s v="2018년 3월경 ㈜OO 아파트 건설공사 1공구 현장내 103동 건설작업용 리프트에서 7~8층 사이에 정지시킨 재해자(일용직)가 103동 7층 발코니로 이동하던 중지면에 떨어져(H≒19m) 사망"/>
    <s v="운행 중 정지된 건설용 리프트의 안전문을 열고 건물 내부로 이동하던 중 건물과 승강로 사이로 추락"/>
    <s v="▶ 건설용 리프트 사용 시 수시로 비상정지장치의 작동유무 등 점검을 실시하고 이상발견 시, 필요한 조치 실시_x000a_▶ 건설용 리프트 사용하는 작업자를 대상으로 리프트의 이동순서, 동작원리, 방호장치 기능 및 사용 등을 포함한 특별교욱을 실시_x000a_▶ 건설용 리프트 사용 시, 리프트가 층 사이에 정지할 경우, 억지로 문을 열고 건물 내부로 들어가는 행위를 금지하고 리프트 담당 관리자에게 연락하여 적절한 조치를 받을 때까지 대기"/>
  </r>
  <r>
    <n v="4"/>
    <x v="4"/>
    <x v="13"/>
    <x v="42"/>
    <s v="YES"/>
    <x v="10"/>
    <x v="27"/>
    <s v="해당없음"/>
    <s v="해당없음"/>
    <s v="해당없음"/>
    <s v="2020년 1월경"/>
    <d v="2020-01-01T00:00:00"/>
    <n v="1"/>
    <s v="혹한기"/>
    <x v="2"/>
    <s v="2020년 1월경 ㈜OO 공동주택 신축공사 현장에서 재해자가 104동 13층에서 건설작업용 리프트를 타던 중 건물과 리프트 사이 개구부로 추락(높이 약 33m)하여 사망"/>
    <s v="건설용리프트 탑승 시 보조발판을 내리지 않은 상태에서 무리하게 탑승하던 중 리프트와 구조물 사이 개구부로 추락 "/>
    <s v="▶ 건설용 리프트 사용하는 작업자를 대상으로 리프트의 이동순서, 동작원리, 방호장치 기능 및 사용 등을 포함한 특별교욱을 실시_x000a_▶ 건설용 리프트와 구조체 사이에는 보조발판을 설치하여 건물 내부로 통행하는 근로자의 추락 방지 조치를 하고 통행 시 보조발판을 내려 이동하도록 근로자에게 교육"/>
  </r>
  <r>
    <n v="5"/>
    <x v="5"/>
    <x v="15"/>
    <x v="44"/>
    <s v="YES"/>
    <x v="10"/>
    <x v="27"/>
    <s v="해당없음"/>
    <s v="해당없음"/>
    <s v="해당없음"/>
    <s v="2017년 4월경"/>
    <d v="2017-04-01T00:00:00"/>
    <n v="4"/>
    <s v="-"/>
    <x v="2"/>
    <s v="2017년 4월경 OO건설에서 시공하는 아파트 전기공사 현장에서 재해자가 18층에서 건설용 리프트로 탑승하려던 과정에서, 운반구가 상부(19층)로 상승된 것을 인지하지 못하고 손수레를 끌며 뒷걸음으로 이동하던 중 18층 바닥 단부에서 리프트 방호선반 위로 떨어져(H≒47.6) 사망"/>
    <s v="건설용 리프트 탑승과정에서 건설용 리프트 방호장치 불량으로 운반구가 상승한 것을 인지하지 못하고 뒷걸음으로 이동하던 도중 바닥으로 추락"/>
    <s v="▶ 작업 전 건설용 리프트의 인터록 장치 안전점검을 통한 정상작동 여부 확인_x000a_▶ 작업 시 건설용 리프트의 사용자 임의조작 금지조치 실시"/>
  </r>
  <r>
    <n v="5"/>
    <x v="5"/>
    <x v="16"/>
    <x v="23"/>
    <s v="YES"/>
    <x v="10"/>
    <x v="27"/>
    <s v="해당없음"/>
    <s v="해당없음"/>
    <s v="해당없음"/>
    <s v="2017년 10월"/>
    <d v="2017-10-01T00:00:00"/>
    <n v="10"/>
    <s v="-"/>
    <x v="2"/>
    <s v="2017년 10월경 OOOOOOOO 소속 재해자가 OO시 OO구 소재 OOOO 내 작업장에 설치된 천장크레인을 이전 및 설치하기 위하여 천장크레인의 주행레일 지지용 H-Beam을 해체하다가 테이블리프트 상판 위에서 약3.5m 아래 작업장 바닥으로 추락하여 사망한 재해임"/>
    <s v="천장크레인 이전을 위하여 테이블리프트 상판 위에서 주행레일 지지용 H-Beam을 해체하다가 몸의 중심을 잃고 추락"/>
    <s v="▶ 작업도구 등의 제조 당시의 목적 외의 용도로 사용금지_x000a_▶ 추락할 위험이 있는 작업 시, 안전대 지급 및 체결상태 관리"/>
  </r>
  <r>
    <n v="5"/>
    <x v="5"/>
    <x v="16"/>
    <x v="23"/>
    <s v="YES"/>
    <x v="10"/>
    <x v="27"/>
    <s v="해당없음"/>
    <s v="해당없음"/>
    <s v="해당없음"/>
    <s v="2018년 8월경"/>
    <d v="2018-08-01T00:00:00"/>
    <n v="8"/>
    <s v="혹서기"/>
    <x v="2"/>
    <s v="2018년 8월경 OO시 OOO구 OO동 소재 OOOOOO(주) 공동주택 신축공사 현장에서 전기 협력업체 ㈜OOOOOO 소속 재해자가 지하2층 소화설비에 전기연결 작업을 위해 기계식 주차설비를 이용하여 이동하던 중 약 2.5m 아래로 추락"/>
    <s v="소화설비 전기연결 작업을 위해 기계식 주차설비를 이용한 이동 중 지면으로 추락"/>
    <s v="▶ 작업도구 등의 제조 당시의 목적 외의 용도로 사용금지_x000a_▶ 추락할 위험이 있는 작업 시, 안전대 지급 및 체결상태 관리"/>
  </r>
  <r>
    <n v="5"/>
    <x v="5"/>
    <x v="16"/>
    <x v="23"/>
    <s v="YES"/>
    <x v="10"/>
    <x v="27"/>
    <s v="해당없음"/>
    <s v="해당없음"/>
    <s v="해당없음"/>
    <s v="2019년 3월경"/>
    <d v="2019-03-01T00:00:00"/>
    <n v="3"/>
    <s v="-"/>
    <x v="6"/>
    <s v="2019년 3월경 OO시 OO구 OO동 소재 ㈜OOOO에서 시공하는 OOO OOO-OOO업무시설 신축공사 중 소방공사 현장에서 재해자가 주차설비 팔레트 1단 배면측 횡방향 소방배관 용접작업을 위하여 배관을 들어올리는 과정에서 운반기를 운전하여 상승과 동시에 균형추(Counter Weight)가 하강하면서 균형추 하부에서 작업 중이던 재해자가 균형추와 철골에 끼여 사망한 재해임."/>
    <s v="소방배관 용접을 위한 배관 운반작업 중 균형추 하강에 의한 철골과 균형추 사이 근로자 협착"/>
    <s v="▶ 기계식 주차설비 운반기 운전 시, 위험 방지조치 및 신호체계 구축_x000a_▶ 기계식 주차설비 운반기 운전시 동시작업 금지 실시"/>
  </r>
  <r>
    <n v="5"/>
    <x v="5"/>
    <x v="16"/>
    <x v="23"/>
    <s v="YES"/>
    <x v="10"/>
    <x v="27"/>
    <s v="해당없음"/>
    <s v="해당없음"/>
    <s v="해당없음"/>
    <s v="2020년 1월경"/>
    <d v="2020-01-01T00:00:00"/>
    <n v="1"/>
    <s v="혹한기"/>
    <x v="2"/>
    <s v="2020년 1월경 OO시 OO구에 소재한 ㈜OOOOOO이 시공 중인 OOO OOO-O 주상복합 신축공사 현장에서 협력업체 ㈜OOOO 소속 근로자인 OOO이 기계식 주차설비 철골 최상단(29단)에서 레일 양중작업 중, 몸의 중심을 잃고 기계식 주차설비 25단 철골거더(추락높이(H≒11m))로 떨어져 사망한 재해임."/>
    <s v="기계식 주차설비 철골 최상단에서 레일 양중작업 중 몸의 중심을 잃고 추락"/>
    <s v="▶ 작업도구 등의 제조 당시의 목적 외의 용도로 사용금지_x000a_▶ 추락할 위험이 있는 작업 시, 안전대 지급 및 체결상태 관리"/>
  </r>
  <r>
    <n v="12"/>
    <x v="1"/>
    <x v="2"/>
    <x v="3"/>
    <s v="YES"/>
    <x v="11"/>
    <x v="28"/>
    <s v="해당없음"/>
    <s v="해당없음"/>
    <s v="해당없음"/>
    <s v="2015년 11월"/>
    <d v="2015-11-01T00:00:00"/>
    <n v="11"/>
    <s v="-"/>
    <x v="2"/>
    <s v="2015년 11월경 OO공장 크린룸 해체·설치공사현장에서 재해자가 크린룸 천장(샌드위치 판넬) 위에 올라가서 에어 덕트 및 환기장치를 해체하던 중 천장이 떨어지면서 2.8m아래 크린룸 바닥으로 추락하여 사망"/>
    <s v="천장 위에 올라가서 덕트 및 환기장치를 해체하던 중 천장이 떨어지면서 바닥으로 추락"/>
    <s v="▶ 해체방법 및 해체 순서도면 등이 포함된 작업계획서 작성"/>
  </r>
  <r>
    <n v="12"/>
    <x v="1"/>
    <x v="2"/>
    <x v="3"/>
    <s v="YES"/>
    <x v="11"/>
    <x v="29"/>
    <s v="12대 기인물"/>
    <n v="3"/>
    <n v="7.0999999999999994E-2"/>
    <s v="2016년 1월경"/>
    <d v="2016-01-01T00:00:00"/>
    <n v="1"/>
    <s v="혹한기"/>
    <x v="2"/>
    <s v="2016년 1월경 OO건설(주) OO철거공사 현장에서 재해자가 정미소 지붕(슬레이트+칼라강판)해체 작업을 하던중 미끄러지면서 슬레이트가 파손되어 높이 약 7.2m 아래 지상 바닥으로 추락하여 사망"/>
    <s v="지붕 철거작업 중 해체 및 해체된 자재 운반 작업하다 밟고 있던 지붕 패널의 손상, 탈락으로 바닥으로 추락"/>
    <s v="▶ 충분한 강도와 규격으로 제작된 지붕사다리 설치_x000a_▶ 안전대 부착설비,  추락방지망 등의 안전방호조치 실시_x000a_▶ 고소작업대, 이동식 비계 등을 사용하는 등 작업 방법 적정성 검토"/>
  </r>
  <r>
    <n v="12"/>
    <x v="1"/>
    <x v="2"/>
    <x v="3"/>
    <s v="YES"/>
    <x v="11"/>
    <x v="28"/>
    <s v="해당없음"/>
    <s v="해당없음"/>
    <s v="해당없음"/>
    <s v="2016년 5월경"/>
    <d v="2016-05-01T00:00:00"/>
    <n v="5"/>
    <s v="-"/>
    <x v="2"/>
    <s v="2016년 5월경 OO리모델링 공사 현장에서 창고동 지붕의 판넬(7.7m×1m, 무게≒80kg) 9개를 해체하고 고소작업대를 사용하여 지상으로 내리는 작업을 하기위해 지붕위에서 재해자가 동료 1명과 함께 분리된 판넬을 인력으로 들고 옮기던 중 발이 미끌어져 판넬 하부의 슬레이트를 밟자 슬레이트가 파단되면서 재해자가 지붕위에서 창고동 바닥으로 추락하여(높이 약 9.1m) 사망"/>
    <s v="지붕 철거작업 중 해체 및 해체된 자재 운반 작업하다 밟고 있던 지붕 패널의 손상, 탈락으로 바닥으로 추락"/>
    <s v="▶ 충분한 강도와 규격으로 제작된 지붕사다리 설치_x000a_▶ 안전대 부착설비,  추락방지망 등의 안전방호조치 실시_x000a_▶ 고소작업대, 이동식 비계 등을 사용하는 등 작업 방법 적정성 검토"/>
  </r>
  <r>
    <n v="12"/>
    <x v="1"/>
    <x v="2"/>
    <x v="3"/>
    <s v="YES"/>
    <x v="11"/>
    <x v="30"/>
    <s v="12대 기인물"/>
    <n v="3"/>
    <n v="7.0999999999999994E-2"/>
    <s v="2016년 5월경"/>
    <d v="2016-05-01T00:00:00"/>
    <n v="5"/>
    <s v="-"/>
    <x v="2"/>
    <s v="2016년 5월경 OO보수공사 현장에서 재해자가 지붕 선라이트 등의 해체작업 중 지상으로 추락하여(H≒7.4m) 사망"/>
    <s v="지붕철거 작업 중 밟고있던 노후화된 선라이트가 파단되면서 바닥으로 추락"/>
    <s v="▶ 노후화되거나 강도가 약한 자재로 덮힌 지붕 위에서 지붕재의 해체 또는 설치 작업을 할 경우, 알루미늄 또는 철재 등 충분한 강도와 규격으로 제작된 지붕사다리 설치, 추락방호망 설치, 안전대 부착설비 설치 등의 안전방호조치 실시_x000a_▶ 지붕 위에서 지붕재의 해체 또는 설치 작업 시, 날씨 또는 지붕재의 노후화 등의 이유로 표면의 마찰력이 없어 미끄러질 위험이 있을 경우, 논슬립 안전화를 착용하도록 조치_x000a_▶ 지붕재의 해체 또는 설치 작업 시, 고소작업대, 타워형 계단 등을 사용하여 지붕 위에서의 작업을 최소화할 수 있는 작업 방법을 검토"/>
  </r>
  <r>
    <n v="12"/>
    <x v="1"/>
    <x v="2"/>
    <x v="3"/>
    <s v="YES"/>
    <x v="11"/>
    <x v="29"/>
    <s v="12대 기인물"/>
    <n v="3"/>
    <n v="7.0999999999999994E-2"/>
    <s v="2016년 6월경"/>
    <d v="2016-06-01T00:00:00"/>
    <n v="6"/>
    <s v="혹서기"/>
    <x v="2"/>
    <s v="2016년 6월경 OO해체공사 현장에서 재해자가 1층 지붕 위에 올라가 지붕판넬 해체작업 중 몸의 중심을 잃고 3.5m 아래 바닥으로 추락하여 사망"/>
    <s v="지붕철거 작업 중 넘어 이동을 하다 중심을 잃고 바닥으로 추락"/>
    <s v="▶ 안전대 부착설비,  추락방지망 등의 안전방호조치 실시_x000a_▶ 근로자 개인보호구, 안전대 체결여부 점검 및 관리감독"/>
  </r>
  <r>
    <n v="12"/>
    <x v="1"/>
    <x v="2"/>
    <x v="3"/>
    <s v="YES"/>
    <x v="11"/>
    <x v="29"/>
    <s v="12대 기인물"/>
    <n v="3"/>
    <n v="7.0999999999999994E-2"/>
    <s v="2016년 9월경"/>
    <d v="2016-09-01T00:00:00"/>
    <n v="9"/>
    <s v="-"/>
    <x v="2"/>
    <s v="2016년 9월경 OO철거공사 현장에서 재해자가 지붕층 철골 보 상부에 설치된 목재트러스 철거작업 중 몸의 중심을 잃고 지상 1층 바닥으로 추락하여(높이 11.4m) 사망"/>
    <s v="지붕층 철골 보 상부에 설치된 목재트러스 철거 작업 중 몸의 중심을 잃고 바닥으로 추락"/>
    <s v="▶ 안전대 부착설비,  추락방지망 등의 안전방호조치 실시_x000a_▶ 근로자 개인보호구, 안전대 체결여부 점검 및 관리감독"/>
  </r>
  <r>
    <n v="12"/>
    <x v="1"/>
    <x v="2"/>
    <x v="3"/>
    <s v="YES"/>
    <x v="11"/>
    <x v="31"/>
    <s v="해당없음"/>
    <s v="해당없음"/>
    <s v="해당없음"/>
    <s v="2017년 3월경"/>
    <d v="2017-03-01T00:00:00"/>
    <n v="3"/>
    <s v="-"/>
    <x v="2"/>
    <s v="2017년 3월경 OO철거공사 현장에서 재해자가 동료작업자 4명과 함께 공장동 지붕 패널을 철거 하는 도중 패널이 아래 방향으로 꺾이면서 약 9.4m 아래 지상 1층 콘크리트 바닥으로 추락하여 사망한 재해임."/>
    <s v="지붕 철거작업 중 해체 및 해체된 자재 운반 작업하다 밟고 있던 지붕 패널의 손상, 탈락으로 바닥으로 추락"/>
    <s v="▶ 충분한 강도와 규격으로 제작된 지붕사다리 설치_x000a_▶ 안전대 부착설비,  추락방지망 등의 안전방호조치 실시_x000a_▶ 고소작업대, 이동식 비계 등을 사용하는 등 작업 방법 적정성 검토"/>
  </r>
  <r>
    <n v="12"/>
    <x v="1"/>
    <x v="2"/>
    <x v="3"/>
    <s v="YES"/>
    <x v="11"/>
    <x v="29"/>
    <s v="12대 기인물"/>
    <n v="3"/>
    <n v="7.0999999999999994E-2"/>
    <s v="2017년 7월경"/>
    <d v="2017-07-01T00:00:00"/>
    <n v="7"/>
    <s v="혹서기"/>
    <x v="2"/>
    <s v="2017년 7월경 OO해체공사 현장에서 철거공인 재해자가 창고 지붕 슬레이트 해체 후 하부 단열재로 사용한 스티로폼을 제거하기위해 지붕 단부 창고벽체와 물받이 위치에서 앉은 상태로 스티로폼을 당기는 작업 중몸의 중심을 잃고 높이 약 6m 아래 창고 콘크리트 바닥으로 추락하여 사망"/>
    <s v="창고 하부 단열재로 사용한 스티로폼을 제거하기 위해 지붕 단부 창고벽체와 물받이 위치에서 앉은 상태로 스티로폼을 당기는 작업 중 몸의 중심을 잃고 바닥으로 추락"/>
    <s v="▶ 안전대 부착설비,  추락방지망 등의 안전방호조치 실시_x000a_▶ 근로자 개인보호구, 안전대 체결여부 점검 및 관리감독_x000a_▶ 고소작업대, 이동식 비계 등을 사용하는 등 작업 방법 적정성 검토"/>
  </r>
  <r>
    <n v="12"/>
    <x v="1"/>
    <x v="2"/>
    <x v="3"/>
    <s v="YES"/>
    <x v="11"/>
    <x v="29"/>
    <s v="12대 기인물"/>
    <n v="3"/>
    <n v="7.0999999999999994E-2"/>
    <s v="2017년 10월"/>
    <d v="2017-10-01T00:00:00"/>
    <n v="10"/>
    <s v="-"/>
    <x v="2"/>
    <s v="2017년 10월경 OO석면해체 공사 현장에서 재해자가 지붕 석면 슬레이트 해체 작업을 하던 중 밟고있던 지붕 슬레이트가 부서지면서 약 5.6m 높이에서 공장동 바닥으로 추락하여 사망"/>
    <s v="지붕 철거작업 중 해체 및 해체된 자재 운반 작업하다 밟고 있던 지붕 패널의 손상, 탈락으로 바닥으로 추락"/>
    <s v="▶ 충분한 강도와 규격으로 제작된 지붕사다리 설치_x000a_▶ 안전대 부착설비,  추락방지망 등의 안전방호조치 실시_x000a_▶ 고소작업대, 이동식 비계 등을 사용하는 등 작업 방법 적정성 검토"/>
  </r>
  <r>
    <n v="12"/>
    <x v="1"/>
    <x v="2"/>
    <x v="3"/>
    <s v="YES"/>
    <x v="11"/>
    <x v="29"/>
    <s v="12대 기인물"/>
    <n v="3"/>
    <n v="7.0999999999999994E-2"/>
    <s v="2017년 11월"/>
    <d v="2017-11-01T00:00:00"/>
    <n v="11"/>
    <s v="-"/>
    <x v="2"/>
    <s v="2017년 11월경 OO철거공사 현장에서 재해자가 노후창고의 지붕재 해체작업 중 지붕마감재인 밤라이트가 파손되면서 높이 약4m 아래 창고 콘크리트 바닥으로 추락하여 사망"/>
    <s v="지붕 철거작업 중 해체 및 해체된 자재 운반 작업하다 밟고 있던 지붕 패널의 손상, 탈락으로 바닥으로 추락"/>
    <s v="▶ 충분한 강도와 규격으로 제작된 지붕사다리 설치_x000a_▶ 안전대 부착설비,  추락방지망 등의 안전방호조치 실시_x000a_▶ 고소작업대, 이동식 비계 등을 사용하는 등 작업 방법 적정성 검토"/>
  </r>
  <r>
    <n v="12"/>
    <x v="1"/>
    <x v="2"/>
    <x v="3"/>
    <s v="YES"/>
    <x v="11"/>
    <x v="28"/>
    <s v="해당없음"/>
    <s v="해당없음"/>
    <s v="해당없음"/>
    <s v="2018년 2월경"/>
    <d v="2018-02-01T00:00:00"/>
    <n v="2"/>
    <s v="혹한기"/>
    <x v="2"/>
    <s v="2018년 2월경 OO대수선 공사 현장에서 재해자가 창고 건물의 경사지붕에서 지붕 판넬 해체 작업 중 돌출된 볼트에 발이 걸리거나 표면이 미끄러운 지붕에서 미끄러지며 지상 시멘트 바닥으로 추락하여(약 3m) 사망"/>
    <s v="지붕판넬 해체 작업 중 돌출된 볼트에 발이 걸리거나 표면이 미끄러운 지붕에서 미끄러지면서 바닥으로 추락"/>
    <s v="▶ 경사지붕 해체작업에 대한 사전조사 및 작업계획 수립"/>
  </r>
  <r>
    <n v="12"/>
    <x v="1"/>
    <x v="2"/>
    <x v="3"/>
    <s v="YES"/>
    <x v="11"/>
    <x v="30"/>
    <s v="12대 기인물"/>
    <n v="3"/>
    <n v="7.0999999999999994E-2"/>
    <s v="2018년 3월경"/>
    <d v="2018-03-01T00:00:00"/>
    <n v="3"/>
    <s v="-"/>
    <x v="2"/>
    <s v="2018년 3월경 OO개량공사 현장에서 재해자가 지붕 철거작업 중 밟고 있던 노후된 썬라이트가 파손되면서 약 3.5m 아래 축사 바닥으로 추락하여 사망"/>
    <s v="지붕철거 작업 중 밟고있던 노후화된 선라이트가 파단되면서 바닥으로 추락"/>
    <s v="▶ 노후화되거나 강도가 약한 자재로 덮힌 지붕 위에서 지붕재의 해체 또는 설치 작업을 할 경우, 알루미늄 또는 철재 등 충분한 강도와 규격으로 제작된 지붕사다리 설치, 추락방호망 설치, 안전대 부착설비 설치 등의 안전방호조치 실시_x000a_▶ 지붕 위에서 지붕재의 해체 또는 설치 작업 시, 날씨 또는 지붕재의 노후화 등의 이유로 표면의 마찰력이 없어 미끄러질 위험이 있을 경우, 논슬립 안전화를 착용하도록 조치_x000a_▶ 지붕재의 해체 또는 설치 작업 시, 고소작업대, 타워형 계단 등을 사용하여 지붕 위에서의 작업을 최소화할 수 있는 작업 방법을 검토"/>
  </r>
  <r>
    <n v="12"/>
    <x v="1"/>
    <x v="2"/>
    <x v="3"/>
    <s v="YES"/>
    <x v="11"/>
    <x v="30"/>
    <s v="12대 기인물"/>
    <n v="3"/>
    <n v="7.0999999999999994E-2"/>
    <s v="2018년 3월경"/>
    <d v="2018-03-01T00:00:00"/>
    <n v="3"/>
    <s v="-"/>
    <x v="2"/>
    <s v="2018년 3월경 OO교체공사 현장에서 재해자가 썬라이트 재질의 축사 지붕위에서 썬라이트 교체 작업 중 밟고 있던 노후된 썬라이트가 파손되며 바닥으로 추락하여(H≒4m) 사망"/>
    <s v="지붕철거 작업 중 밟고있던 노후화된 선라이트가 파단되면서 바닥으로 추락"/>
    <s v="▶ 노후화되거나 강도가 약한 자재로 덮힌 지붕 위에서 지붕재의 해체 또는 설치 작업을 할 경우, 알루미늄 또는 철재 등 충분한 강도와 규격으로 제작된 지붕사다리 설치, 추락방호망 설치, 안전대 부착설비 설치 등의 안전방호조치 실시_x000a_▶ 지붕 위에서 지붕재의 해체 또는 설치 작업 시, 날씨 또는 지붕재의 노후화 등의 이유로 표면의 마찰력이 없어 미끄러질 위험이 있을 경우, 논슬립 안전화를 착용하도록 조치_x000a_▶ 지붕재의 해체 또는 설치 작업 시, 고소작업대, 타워형 계단 등을 사용하여 지붕 위에서의 작업을 최소화할 수 있는 작업 방법을 검토"/>
  </r>
  <r>
    <n v="12"/>
    <x v="1"/>
    <x v="2"/>
    <x v="3"/>
    <s v="YES"/>
    <x v="11"/>
    <x v="29"/>
    <s v="12대 기인물"/>
    <n v="3"/>
    <n v="7.0999999999999994E-2"/>
    <s v="2018년 5월경"/>
    <d v="2018-05-01T00:00:00"/>
    <n v="5"/>
    <s v="-"/>
    <x v="2"/>
    <s v="2018년 5월경 OO증축공사 현장에서 재해자가 기존 퇴비저장소 지붕에서 이동 중 지붕이 파손되면서 지상 1층 바닥으로 추락(H≒7.9m)하여 사망"/>
    <s v="지붕철거 작업 중 밟고있던 노후화된 선라이트가 파단되면서 바닥으로 추락"/>
    <s v="▶ 충분한 강도와 규격으로 제작된 지붕사다리 설치_x000a_▶ 안전대 부착설비,  추락방지망 등의 안전방호조치 실시"/>
  </r>
  <r>
    <n v="12"/>
    <x v="1"/>
    <x v="2"/>
    <x v="3"/>
    <s v="YES"/>
    <x v="11"/>
    <x v="29"/>
    <s v="12대 기인물"/>
    <n v="3"/>
    <n v="7.0999999999999994E-2"/>
    <s v="2018년 8월경"/>
    <d v="2018-08-01T00:00:00"/>
    <n v="8"/>
    <s v="혹서기"/>
    <x v="2"/>
    <s v="2018년 8월경 OO공장 지붕 위에서 작업(이동) 중이던 재해자가 지붕 슬레이트 파손으로 공장내부 지상 1층 콘크리트 바닥으로 추락하여(H≒4.7) 사망"/>
    <s v="지붕 철거작업 중 해체 및 해체된 자재 운반 작업하다 밟고 있던 지붕 패널의 손상, 탈락으로 바닥으로 추락"/>
    <s v="▶ 충분한 강도와 규격으로 제작된 지붕사다리 설치_x000a_▶ 안전대 부착설비,  추락방지망 등의 안전방호조치 실시_x000a_▶ 고소작업대, 이동식 비계 등을 사용하는 등 작업 방법 적정성 검토"/>
  </r>
  <r>
    <n v="12"/>
    <x v="1"/>
    <x v="2"/>
    <x v="3"/>
    <s v="YES"/>
    <x v="11"/>
    <x v="29"/>
    <s v="12대 기인물"/>
    <n v="3"/>
    <n v="7.0999999999999994E-2"/>
    <s v=" 2018년 8월"/>
    <d v="2018-08-01T00:00:00"/>
    <n v="8"/>
    <s v="혹서기"/>
    <x v="2"/>
    <s v=" 2018년 8월경 OO현장에서 지붕판넬 해체작업을 하던 재해자가 이동 중 중심을 잃고 지상 1층 바닥으로 추락(H≒6.2m)하여 사망"/>
    <s v="지붕철거 작업 중 넘어 이동을 하다 중심을 잃고 바닥으로 추락"/>
    <s v="▶ 안전대 부착설비,  추락방지망 등의 안전방호조치 실시_x000a_▶ 근로자 개인보호구, 안전대 체결여부 점검 및 관리감독"/>
  </r>
  <r>
    <n v="12"/>
    <x v="1"/>
    <x v="2"/>
    <x v="3"/>
    <s v="YES"/>
    <x v="11"/>
    <x v="29"/>
    <s v="12대 기인물"/>
    <n v="3"/>
    <n v="7.0999999999999994E-2"/>
    <s v="2019년 2월경"/>
    <d v="2019-02-01T00:00:00"/>
    <n v="2"/>
    <s v="혹한기"/>
    <x v="2"/>
    <s v="2019년 2월경 OO신축공사 현장에서 기존 1층 건물 해체작업을 위해 재해자 2명이 지붕위에 올라가 경사지붕 샌드위치판넬 해체작업 중 판넬이 부러지면서 몸의 중심을 잃고 약 5m 아래 바닥으로 추락하여 3개월 이상의 요양이 필요한 부상"/>
    <s v="지붕 철거작업 중 해체 및 해체된 자재 운반 작업하다 밟고 있던 지붕 패널의 손상, 탈락으로 바닥으로 추락"/>
    <s v="▶ 충분한 강도와 규격으로 제작된 지붕사다리 설치_x000a_▶ 안전대 부착설비,  추락방지망 등의 안전방호조치 실시_x000a_▶ 고소작업대, 이동식 비계 등을 사용하는 등 작업 방법 적정성 검토"/>
  </r>
  <r>
    <n v="12"/>
    <x v="1"/>
    <x v="2"/>
    <x v="3"/>
    <s v="YES"/>
    <x v="11"/>
    <x v="30"/>
    <s v="12대 기인물"/>
    <n v="3"/>
    <n v="7.0999999999999994E-2"/>
    <s v="2019년 2월경"/>
    <d v="2019-02-01T00:00:00"/>
    <n v="2"/>
    <s v="혹한기"/>
    <x v="2"/>
    <s v="2019년 2월경 OO철거공사 현장에서 OO 소속 재해자가 지붕 위에서 철거한 폼판넬을 받아 임시 적재하던 중 노후화된 선라이트(채광창)를 밟아 파단되면서 약 4.7m 아래 축사 콘크리트 바닥으로 추락하여사망"/>
    <s v="지붕철거 작업 중 밟고있던 노후화된 선라이트가 파단되면서 바닥으로 추락"/>
    <s v="▶ 노후화되거나 강도가 약한 자재로 덮힌 지붕 위에서 지붕재의 해체 또는 설치 작업을 할 경우, 알루미늄 또는 철재 등 충분한 강도와 규격으로 제작된 지붕사다리 설치, 추락방호망 설치, 안전대 부착설비 설치 등의 안전방호조치 실시_x000a_▶ 지붕 위에서 지붕재의 해체 또는 설치 작업 시, 날씨 또는 지붕재의 노후화 등의 이유로 표면의 마찰력이 없어 미끄러질 위험이 있을 경우, 논슬립 안전화를 착용하도록 조치_x000a_▶ 지붕재의 해체 또는 설치 작업 시, 고소작업대, 타워형 계단 등을 사용하여 지붕 위에서의 작업을 최소화할 수 있는 작업 방법을 검토"/>
  </r>
  <r>
    <n v="12"/>
    <x v="1"/>
    <x v="2"/>
    <x v="3"/>
    <s v="YES"/>
    <x v="11"/>
    <x v="29"/>
    <s v="12대 기인물"/>
    <n v="3"/>
    <n v="7.0999999999999994E-2"/>
    <s v="2019년 3월경"/>
    <d v="2019-03-01T00:00:00"/>
    <n v="3"/>
    <s v="-"/>
    <x v="2"/>
    <s v="2019년 3월경 OO해체공사 현장에서 철거작업을 하던 재해자가 지붕구조물을 철거하기 위해 콘크리트 옹벽위에 서서 지붕구조물을 크레인에 줄걸이한 상태에서 지붕받침기둥을 절단하여 해체하던 중 줄걸이한 지붕기둥의 용접부위가 떨어지며 지붕구조물이 재해자를 강타하여 몸의 균형을 잃고 콘크리트 바닥(H≒3.6m)으로 추락하여 사망"/>
    <s v="지붕구조물 철거하기 위해 크레인을 이용하여 지붕받침기둥을 절단, 해체하던 중 줄걸이한 지붕기둥의 용접부위가 떨어지며 지붕구조물이 떨어져 재해자 강타, 이후 바닥으로 추락"/>
    <s v="▶ 안전대 부착설비,  추락방지망 등의 안전방호조치 실시_x000a_▶ 근로자 개인보호구, 안전대 체결여부 점검 및 관리감독"/>
  </r>
  <r>
    <n v="12"/>
    <x v="1"/>
    <x v="2"/>
    <x v="3"/>
    <s v="YES"/>
    <x v="11"/>
    <x v="29"/>
    <s v="12대 기인물"/>
    <n v="3"/>
    <n v="7.0999999999999994E-2"/>
    <s v="2019년 10월"/>
    <d v="2019-10-01T00:00:00"/>
    <n v="10"/>
    <s v="-"/>
    <x v="2"/>
    <s v="2019년 10월경 OO철거공사 현장에서 재해자가 창고건물 지붕 위에서 지붕패널 해체 후 고소작업대에 싣기 위해 패널을 들어서 밀던 중 몸의 중심을 잃고 패널이 해체된 지붕 단부 개구부로 추락하여(H≒5.7m) 사망"/>
    <s v="지붕판넬 철거작업 중 경사면에 미끄러지면서 철거된 판넬 개구부를 통해 추락"/>
    <s v="▶ 추락방호망, 안전대 부착설비 설치, 근로자의 안전대 체결 등 안전방호조치 실시_x000a_▶ 근로자의 개인보호구, 안전대 체결여부 점검 및 관리감독"/>
  </r>
  <r>
    <n v="12"/>
    <x v="1"/>
    <x v="2"/>
    <x v="3"/>
    <s v="YES"/>
    <x v="11"/>
    <x v="29"/>
    <s v="12대 기인물"/>
    <n v="3"/>
    <n v="7.0999999999999994E-2"/>
    <s v="2020년 2월경"/>
    <d v="2020-02-01T00:00:00"/>
    <n v="2"/>
    <s v="혹한기"/>
    <x v="2"/>
    <s v="2020년 2월경 OO부분철거 현장에서 재해자 3명이 지붕 패널 상부의 배관 및 부속물을 철거하기 위해 패널을 밟고 작업하던 중, 패널이 무너지면서 콘크리트 바닥으로 추락(H≒3.7m)하여 3개월 이상의 요양이 필요한 부상"/>
    <s v="지붕 철거작업 중 해체 및 해체된 자재 운반 작업하다 밟고 있던 지붕 패널의 손상, 탈락으로 바닥으로 추락"/>
    <s v="▶ 충분한 강도와 규격으로 제작된 지붕사다리 설치_x000a_▶ 안전대 부착설비,  추락방지망 등의 안전방호조치 실시_x000a_▶ 고소작업대, 이동식 비계 등을 사용하는 등 작업 방법 적정성 검토"/>
  </r>
  <r>
    <n v="12"/>
    <x v="1"/>
    <x v="2"/>
    <x v="3"/>
    <s v="YES"/>
    <x v="11"/>
    <x v="31"/>
    <s v="해당없음"/>
    <s v="해당없음"/>
    <s v="해당없음"/>
    <s v="2020년 3월경"/>
    <d v="2020-03-01T00:00:00"/>
    <n v="3"/>
    <s v="-"/>
    <x v="2"/>
    <s v="2020년 3월경 OO보수공사 현장에서 공장동 내부 창고실 해체공사를 위해 재해자가 샌드위치판넬 구조로 된 천장판넬을 발판 삼아 밟고 해체작업을 하던 중 천장판넬이 고정용철물(U-Bar)에서 이탈되면서 재해자와 동료작업자가 함께 높이 약 3m 아래 공장바닥으로 추락하여 사망"/>
    <s v="지붕 철거작업 중 해체 및 해체된 자재 운반 작업하다 밟고 있던 지붕 패널의 손상, 탈락으로 바닥으로 추락"/>
    <s v="▶ 충분한 강도와 규격으로 제작된 지붕사다리 설치_x000a_▶ 안전대 부착설비,  추락방지망 등의 안전방호조치 실시_x000a_▶ 고소작업대, 이동식 비계 등을 사용하는 등 작업 방법 적정성 검토"/>
  </r>
  <r>
    <n v="12"/>
    <x v="1"/>
    <x v="2"/>
    <x v="3"/>
    <s v="YES"/>
    <x v="11"/>
    <x v="29"/>
    <s v="12대 기인물"/>
    <n v="3"/>
    <n v="7.0999999999999994E-2"/>
    <s v="2020년 5월경"/>
    <d v="2020-05-01T00:00:00"/>
    <n v="5"/>
    <s v="-"/>
    <x v="2"/>
    <s v="2020년 5월경 OO해체공사 현장에서 재해자 2명이 가설사무실 천정 샌드위치 판넬 상부에서 C-형강을 해체 하던 중,밟고 있던 샌드위치 판넬이 파단되어 높이 약 2.4m아래 지상 바닥으로 추락하여 3개월 이상의 요양이 필요한 부상"/>
    <s v="지붕 철거작업 중 해체 및 해체된 자재 운반 작업하다 밟고 있던 지붕 패널의 손상, 탈락으로 바닥으로 추락"/>
    <s v="▶ 충분한 강도와 규격으로 제작된 지붕사다리 설치_x000a_▶ 안전대 부착설비,  추락방지망 등의 안전방호조치 실시_x000a_▶ 고소작업대, 이동식 비계 등을 사용하는 등 작업 방법 적정성 검토"/>
  </r>
  <r>
    <n v="12"/>
    <x v="1"/>
    <x v="2"/>
    <x v="3"/>
    <s v="YES"/>
    <x v="11"/>
    <x v="29"/>
    <s v="12대 기인물"/>
    <n v="3"/>
    <n v="7.0999999999999994E-2"/>
    <s v="2020년 5월경"/>
    <d v="2020-05-01T00:00:00"/>
    <n v="5"/>
    <s v="-"/>
    <x v="2"/>
    <s v="2020년 5월경 OO보수공사 현장에서 재해자가 축사 지붕 자재인 성형강판을 철거하던 중 밟고 있던 성형강판 자재가 꺾이면서 약 4.3m 아래 축사 바닥으로 추락하여 사망"/>
    <s v="지붕 철거작업 중 해체 및 해체된 자재 운반 작업하다 밟고 있던 지붕 패널의 손상, 탈락으로 바닥으로 추락"/>
    <s v="▶ 충분한 강도와 규격으로 제작된 지붕사다리 설치_x000a_▶ 안전대 부착설비,  추락방지망 등의 안전방호조치 실시_x000a_▶ 고소작업대, 이동식 비계 등을 사용하는 등 작업 방법 적정성 검토"/>
  </r>
  <r>
    <n v="12"/>
    <x v="1"/>
    <x v="2"/>
    <x v="3"/>
    <s v="YES"/>
    <x v="11"/>
    <x v="29"/>
    <s v="12대 기인물"/>
    <n v="3"/>
    <n v="7.0999999999999994E-2"/>
    <s v="2020년 5월경"/>
    <d v="2020-05-01T00:00:00"/>
    <n v="5"/>
    <s v="-"/>
    <x v="2"/>
    <s v="2020년 5월경 OO보수공사 현장에서 재해자가 지붕 위에서 지붕 해체작업을 하던 중 노후된 슬레이트 밟는 순간 파손되면서 하부 콘크리트 바닥으로 추락(H≒8m)하여 사망"/>
    <s v="지붕 철거작업 중 해체 및 해체된 자재 운반 작업하다 밟고 있던 지붕 패널의 손상, 탈락으로 바닥으로 추락"/>
    <s v="▶ 충분한 강도와 규격으로 제작된 지붕사다리 설치_x000a_▶ 안전대 부착설비,  추락방지망 등의 안전방호조치 실시_x000a_▶ 고소작업대, 이동식 비계 등을 사용하는 등 작업 방법 적정성 검토"/>
  </r>
  <r>
    <n v="12"/>
    <x v="1"/>
    <x v="2"/>
    <x v="3"/>
    <s v="YES"/>
    <x v="11"/>
    <x v="31"/>
    <s v="해당없음"/>
    <s v="해당없음"/>
    <s v="해당없음"/>
    <s v="2020년 5월경"/>
    <d v="2020-05-01T00:00:00"/>
    <n v="5"/>
    <s v="-"/>
    <x v="2"/>
    <s v="2020년 5월경 ㈜OO 창고에서 재해자가 창고 우측 편 천장에 설치된 샌드위치판넬을 해체하기 위해 창고 샌드위치판넬(1,000mmX1,500mmX50mm)위로 올라가 이동하던 중, 판넬이 거치되어있던 각관(75mmX50mm)에서 이탈하여 판넬과 함께 약 2.9m 아래 창고 바닥으로 추락하여 사망"/>
    <s v="지붕 철거작업 중 해체 및 해체된 자재 운반 작업하다 밟고 있던 지붕 패널의 손상, 탈락으로 바닥으로 추락"/>
    <s v="▶ 충분한 강도와 규격으로 제작된 지붕사다리 설치_x000a_▶ 안전대 부착설비,  추락방지망 등의 안전방호조치 실시_x000a_▶ 고소작업대, 이동식 비계 등을 사용하는 등 작업 방법 적정성 검토"/>
  </r>
  <r>
    <n v="12"/>
    <x v="1"/>
    <x v="2"/>
    <x v="3"/>
    <s v="YES"/>
    <x v="11"/>
    <x v="29"/>
    <s v="12대 기인물"/>
    <n v="3"/>
    <n v="7.0999999999999994E-2"/>
    <s v="2020년 10월"/>
    <d v="2020-10-01T00:00:00"/>
    <n v="10"/>
    <s v="-"/>
    <x v="2"/>
    <s v="2020년 10월경 OO철거공사 현장에서 지붕 위에 있던 재해자가 지붕을 철거하기 위한 줄걸이 등을 한 후, 지붕에서 지면으로 내려오기 위해 이동하던 중 지붕강판을 미리 철거한 부위(폭1m, 길이6.8m)를 넘어가는 과정에서 균형을 잃고 2.5m 아래 축사 바닥으로 추락하여 사망"/>
    <s v="지붕철거 작업 중 넘어 이동을 하다 중심을 잃고 바닥으로 추락"/>
    <s v="▶ 안전대 부착설비,  추락방지망 등의 안전방호조치 실시_x000a_▶ 근로자 개인보호구, 안전대 체결여부 점검 및 관리감독"/>
  </r>
  <r>
    <n v="12"/>
    <x v="1"/>
    <x v="2"/>
    <x v="3"/>
    <s v="YES"/>
    <x v="11"/>
    <x v="28"/>
    <s v="해당없음"/>
    <s v="해당없음"/>
    <s v="해당없음"/>
    <s v="2021년 6월경"/>
    <d v="2021-06-01T00:00:00"/>
    <n v="6"/>
    <s v="혹서기"/>
    <x v="2"/>
    <s v="2021년 6월경 OO철거작업를 위해 A형 사다리를 설치하고 해체작업을 하던 중 해체 작업시 패널이 낙하하는 것을 방지하기 위해 1줄로 로프를 걸어 고정하였으나, 패널 고정 볼트를 해체하면서 편하중으로 기울어지며 재해자와 부딪쳐 재해자가 A형 사다리에서 중심을 잃고 지면으로 추락하여 사망"/>
    <s v="사다리 위에서 가건물 해체작업을 하던 중 패널이 낙하하는 것을 방지하기 위해 1줄로프를 걸어 고정하였으나 패널 고정볼트를 해체하면서 편하중 발생으로 패널이 기울어지며 재해자와 부딪혀 중심을 잃고 바닥으로 추락"/>
    <s v="▶ 자재인양 작업시 편하중이 발생하지 않게 2지점 이상 고정_x000a_▶ 이동식 사다리를 사용 시 2인 1조로 작업, 아웃트리거 체결 철저"/>
  </r>
  <r>
    <n v="12"/>
    <x v="1"/>
    <x v="2"/>
    <x v="3"/>
    <s v="YES"/>
    <x v="11"/>
    <x v="29"/>
    <s v="12대 기인물"/>
    <n v="3"/>
    <n v="7.0999999999999994E-2"/>
    <s v="2021년 10월"/>
    <d v="2021-10-01T00:00:00"/>
    <n v="10"/>
    <s v="-"/>
    <x v="2"/>
    <s v="2021년 10월경 OO보수공사 현장에서 지붕개량(철거) 공사를 위해 재해자가 최상부 철물(함석)을 제거한 지붕을 밟고 이동하던 중 지붕구조물이 깨지면서 바닥(H≒11.6m)으로 추락하여 사망"/>
    <s v="지붕 철거작업 중 해체 및 해체된 자재 운반 작업하다 밟고 있던 지붕 패널의 손상, 탈락으로 바닥으로 추락"/>
    <s v="▶ 충분한 강도와 규격으로 제작된 지붕사다리 설치_x000a_▶ 안전대 부착설비,  추락방지망 등의 안전방호조치 실시_x000a_▶ 고소작업대, 이동식 비계 등을 사용하는 등 작업 방법 적정성 검토"/>
  </r>
  <r>
    <n v="12"/>
    <x v="1"/>
    <x v="2"/>
    <x v="3"/>
    <s v="YES"/>
    <x v="11"/>
    <x v="29"/>
    <s v="12대 기인물"/>
    <n v="3"/>
    <n v="7.0999999999999994E-2"/>
    <s v="2021년 11월"/>
    <d v="2021-11-01T00:00:00"/>
    <n v="11"/>
    <s v="-"/>
    <x v="6"/>
    <s v="2021년 11월경 OO철거공사 현장에서 콘크리트 단층 창고의 지붕 슬래브를 잘라내던 중 지붕 슬래브가 무너져 창고 내부에 있던 재해자가 벽과 떨어진 슬래브 사이에 협착되어 사망"/>
    <s v="지붕 슬라브 잘라내던 중 지붕 슬라브가 무너져 창고 내부에 있던 재해자가 벽과 떨어진 슬라브 사이에 흉부가 협착"/>
    <s v="▶ 구조물의 형상, 중량 등을 고려하여 해체의 방법 및 순서 등이 포함된 작업계획서 작성_x000a_▶ 관계 근로자가 외 근로자 출입통제"/>
  </r>
  <r>
    <n v="12"/>
    <x v="1"/>
    <x v="2"/>
    <x v="3"/>
    <s v="YES"/>
    <x v="11"/>
    <x v="30"/>
    <s v="12대 기인물"/>
    <n v="3"/>
    <n v="7.0999999999999994E-2"/>
    <s v="축사 철거 현장에"/>
    <s v="X"/>
    <e v="#VALUE!"/>
    <e v="#VALUE!"/>
    <x v="2"/>
    <s v="축사 철거 현장에서 재해자와 동료근로자 3명이 지붕에 올라가 작업을 진행하던 중, 혼자 전화통화를 하면서 이동하던 재해자가 선라이트를 밟아 파단되면서 6.8m 아래 축사 콘크리트 바닥에 추락하여 사망"/>
    <s v="지붕철거 작업 중 밟고있던 노후화된 선라이트가 파단되면서 바닥으로 추락"/>
    <s v="▶ 노후화되거나 강도가 약한 자재로 덮힌 지붕 위에서 지붕재의 해체 또는 설치 작업을 할 경우, 알루미늄 또는 철재 등 충분한 강도와 규격으로 제작된 지붕사다리 설치, 추락방호망 설치, 안전대 부착설비 설치 등의 안전방호조치 실시_x000a_▶ 지붕 위에서 지붕재의 해체 또는 설치 작업 시, 날씨 또는 지붕재의 노후화 등의 이유로 표면의 마찰력이 없어 미끄러질 위험이 있을 경우, 논슬립 안전화를 착용하도록 조치_x000a_▶ 지붕재의 해체 또는 설치 작업 시, 고소작업대, 타워형 계단 등을 사용하여 지붕 위에서의 작업을 최소화할 수 있는 작업 방법을 검토"/>
  </r>
  <r>
    <n v="12"/>
    <x v="1"/>
    <x v="2"/>
    <x v="3"/>
    <s v="YES"/>
    <x v="11"/>
    <x v="29"/>
    <s v="12대 기인물"/>
    <n v="3"/>
    <n v="7.0999999999999994E-2"/>
    <s v="재해자가 경사 슬"/>
    <s v="X"/>
    <e v="#VALUE!"/>
    <e v="#VALUE!"/>
    <x v="2"/>
    <s v="재해자가 경사 슬레이트 지붕 상부에서 안전시설물을 설치하기 위해 이동 중 실족, 콘크리트 바닥으로 추락(H≒5.4m)하여 사망"/>
    <s v="지붕상부에서 안전대부착설비 설치를 위해 이동 중 실족하여 바닥으로 추락"/>
    <s v="▶ 지상에서 안전대부착설비 설치 후 철골 조립_x000a_▶ 철골 상부에서 이동시 임시로 철골 홈에 안전대 체결 등 관리감독"/>
  </r>
  <r>
    <n v="12"/>
    <x v="1"/>
    <x v="35"/>
    <x v="99"/>
    <s v="YES"/>
    <x v="11"/>
    <x v="28"/>
    <s v="해당없음"/>
    <s v="해당없음"/>
    <s v="해당없음"/>
    <s v="2016년 8월경"/>
    <d v="2016-08-01T00:00:00"/>
    <n v="8"/>
    <s v="혹서기"/>
    <x v="2"/>
    <s v="2016년 8월경 OO공장 내에서 재해자 2명이 사업장 입구에 있는 컨테이너 사무실에 전원선을 연결하기 위해 샌드위치 판넬로 지은 휴게실 지붕위로 올라가 작업 중 약 3m 아래 바닥으로 떨어져 1명 사망, 1명 부상"/>
    <s v="컨테이너 사무실에 전원선을 연결하기 위해 샌드위치 판넬로 지은 휴게실 지붕으로 올라가 3미터 아래로 추락"/>
    <s v="▶ 추락방지를 위한 보조로프, 안전대 부착설비, 고소작업대 등 안전방호조치 실시_x000a_▶ 근로자의 개인보호구, 안전대 체결여부 점검 및 관리감독"/>
  </r>
  <r>
    <n v="12"/>
    <x v="1"/>
    <x v="5"/>
    <x v="6"/>
    <s v="YES"/>
    <x v="11"/>
    <x v="29"/>
    <s v="12대 기인물"/>
    <n v="3"/>
    <n v="7.0999999999999994E-2"/>
    <s v="2015년 1월경"/>
    <d v="2015-01-01T00:00:00"/>
    <n v="1"/>
    <s v="혹한기"/>
    <x v="2"/>
    <s v="2015년 1월경 OO공사 현장에서 재해자가 공장 지붕에서 동료작업자와 함께 폐기물을 담은 마대(약 30kg)를 지상으로 던지던 중 허리에 차고 있던 작업용 공구에 마대가 걸려 함께 지상으로 떨어져 사망"/>
    <s v="지붕에서 폐기물을 담은 마대를 지상으로 던지던 중 작업용 공구가 걸려 마대와 함께 바닥으로 추락"/>
    <s v="▶ 지붕 등 추락단부 안전난간대 설치 등 추락방호조치 실시_x000a_▶ 자재반출시 적재함에 담아 크레인을 이용하여 지상으로 반출하는 등 작업방법 검토"/>
  </r>
  <r>
    <n v="12"/>
    <x v="1"/>
    <x v="5"/>
    <x v="6"/>
    <s v="YES"/>
    <x v="11"/>
    <x v="29"/>
    <s v="12대 기인물"/>
    <n v="3"/>
    <n v="7.0999999999999994E-2"/>
    <s v="2020년 10월"/>
    <d v="2020-10-01T00:00:00"/>
    <n v="10"/>
    <s v="-"/>
    <x v="2"/>
    <s v="2020년 10월경 OO아파트 1005동 지붕층에서 재해자(외벽청소공)가 아파트 외벽 물청소 작업 위해 달비계를 설치한 후 작업도구를 가지러 경사 지붕 또는 지붕 배수로 상에서 이동하던 중 미끄러지며 약 63.3m 아래 지면(화단)으로 추락하여 사망"/>
    <s v="외벽 청소를 위해  달비계를 설치한 후 작업도구를 가지러 경사지붕으로 이동하던 중 미끄러져 바닥으로 추락"/>
    <s v="▶ 옥상층 등 추락하거나 넘어질 위험이 있는 장소에 안전대 착용 등 추락방호조치 실시_x000a_▶ 관리감독자 및 추가 보조 근로자 배치하는 등 관리감독"/>
  </r>
  <r>
    <n v="2"/>
    <x v="2"/>
    <x v="6"/>
    <x v="7"/>
    <s v="YES"/>
    <x v="11"/>
    <x v="29"/>
    <s v="12대 기인물"/>
    <n v="3"/>
    <n v="7.0999999999999994E-2"/>
    <s v="2019년 1월경"/>
    <d v="2019-01-01T00:00:00"/>
    <n v="1"/>
    <s v="혹한기"/>
    <x v="2"/>
    <s v="2019년 1월경 OO단독주택 건설현장 옥탑층 지붕 슬라브 단부에서, 재해자가 옥탑층 방수턱 면 보수작업을 하기 위해 옥상 슬라브에서 동료작업자가 올려주는 거푸집(유로폼 30×120×6.35cm, 약 12.8kg)을 받아 옥탑층 지붕 바닥에 적재 후 몸의 중심을 잃고 약 3.2m 아래 몸의 중심을 잃고 떨어져 사망"/>
    <s v="옥탑층 지붕 슬라브 단부에서 옥탑층 방수턱 면 보수작업을 위해 하부에서 전달된 유로폼을 받아 지붕 바닥에 적재 후 몸의 중심을 잃고 옥탑층 지붕 슬라브 단부로 추락"/>
    <s v="▶ 작업자가 추락할 위험이 있는 장소에서 작업 시, 충분한 강도를 가진 안전난간 설치 준수_x000a_▶ 안전난간 등 설치하는 것이 곤란한 경우 안전대 부착 설비로 지지로프 등을 설치 "/>
  </r>
  <r>
    <n v="2"/>
    <x v="2"/>
    <x v="8"/>
    <x v="11"/>
    <s v="YES"/>
    <x v="11"/>
    <x v="29"/>
    <s v="12대 기인물"/>
    <n v="3"/>
    <n v="7.0999999999999994E-2"/>
    <s v="2017년 5월경"/>
    <d v="2017-05-01T00:00:00"/>
    <n v="5"/>
    <s v="-"/>
    <x v="2"/>
    <s v="2017년 5월경 ㈜OO에서 시공중인 OO신축공사 현장에서 직영근로자인 재해자(콘크리트 타설공)가 지상5층 경사지붕 콘크리트 타설 후 평탄화 작업을 하던 중 몸의 중심을 잃고 지상1층 바닥(H≒13.5m)으로 떨어져 사망"/>
    <s v="안전난간이 미설치된 경사지붕 콘크리트 타설 후 평탄화 작업을 하던 중 근로자가 몸의 중심을 잃고 추락"/>
    <s v="▶ 경사지붕에서 콘크리트 타설 및 평탄화 작업 등 추락위험 장소에는 경사지붕 단부에 안전난간 등 설치_x000a_▶ 안전난간 등 설치가 곤란할 경우 안전방망 설치_x000a_▶ 추락위험이 있는 장소에서 작업 시 안전대 착용 및 안전대 부착설비 설치 "/>
  </r>
  <r>
    <n v="2"/>
    <x v="2"/>
    <x v="8"/>
    <x v="12"/>
    <s v="YES"/>
    <x v="11"/>
    <x v="31"/>
    <s v="해당없음"/>
    <s v="해당없음"/>
    <s v="해당없음"/>
    <s v="2017년 12월"/>
    <d v="2017-12-01T00:00:00"/>
    <n v="12"/>
    <s v="혹한기"/>
    <x v="9"/>
    <s v="2017년 12월경 OO(주)에서 시공중인 OO타워 신축공사 현장에서 일용직 근로자인 재해자가(보통인부)가 지하1층 바닥슬라브에서 콘크리트 보온양생 준비작업 중, 작업반장이 지하1층 바닥의 얼음을 녹이기 위해 휘발유를 뿌리고 점화한 불이 천장의 단열재에 옮겨 붙어 일어난 화재에 미처 대피하지 못하고 지하1층 계단실 입구에서 사망"/>
    <s v="바닥의 얼음을 녹이기 위해 휘발유를 뿌리고 점화한 불이 천장의 단열재에 옮겨 붙어 일어난 화재에 대피하지 못하고 근로자 사망"/>
    <s v="▶ 건축물에서 인화성 유류 등 폭발이나 화재원인물질 취급장소에는 규모, 넓이, 취급물질 종류에 적합한 소화설비 설치_x000a_▶ 난로 등의 화기 사용 후 불티가 남지 않도록 후처리 실시"/>
  </r>
  <r>
    <n v="3"/>
    <x v="3"/>
    <x v="9"/>
    <x v="13"/>
    <s v="YES"/>
    <x v="11"/>
    <x v="29"/>
    <s v="12대 기인물"/>
    <n v="3"/>
    <n v="7.0999999999999994E-2"/>
    <s v="2017년 4월경"/>
    <d v="2017-04-01T00:00:00"/>
    <n v="4"/>
    <s v="-"/>
    <x v="2"/>
    <s v="2017년 4월경 OO(주) 공장 가설건물 신축공사 현장에서 재해자(판넬공) 외 1명이 경량철골 지붕 위에서 지붕판넬(폴리카보네이트, 11m×1.1m)을 설치하기 위해 자재를 운반하던 중, 지붕 위의 재해자가 몸의 중심을 잃고 바닥으로 떨어져(H≒8.7m)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11"/>
    <x v="29"/>
    <s v="12대 기인물"/>
    <n v="3"/>
    <n v="7.0999999999999994E-2"/>
    <s v="2017년 10월"/>
    <d v="2017-10-01T00:00:00"/>
    <n v="10"/>
    <s v="-"/>
    <x v="2"/>
    <s v="2017년 10월경 재해자(용접공)가 우사신축공사 현장에서, 지붕마감용 강판을 부착하기 위하여 지붕강구조물에 부착된 C형강 위에 올라서서 강판을 옮기던 중 균형을 잃고 콘크리트 바닥(높이 : 약5.8M)으로 떨어져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11"/>
    <x v="31"/>
    <s v="해당없음"/>
    <s v="해당없음"/>
    <s v="해당없음"/>
    <s v="2019년 3월경"/>
    <d v="2019-03-01T00:00:00"/>
    <n v="3"/>
    <s v="-"/>
    <x v="9"/>
    <s v="2019년 3월경 OO(주)에서 시공하는 주상복합 신축공사(건축) 현장에서 판매시설 지상4층 천장의 철골보 하부에 구조보강용 부재(T-BAR) 설치를 위해 CO2 용접작업을 하던 중 천장 및 철골보에 도포된 우레탄단열재에 용접불티가 비산되어 화재가 발생해 OO건설(주) 소속 재해자1이 연기 과다흡입 등으로 중상, OOOOO(주) 소속 재해자2를 포함한 11명이 경상"/>
    <s v="천장의 철골보 하부에 구조보강용 부재 설치를 위해 이산화탄소 용접작업 중, 천장 및 철골보에 도포된 우레탄단열재에 용접불티가 비산되어 화재가 발생해 연기 과다흡입으로 사망 "/>
    <s v="▶ 구조보강용 T-BAR에 대하여 웨브와 플렌지가 일체형으로 시공된 후 내화피복과 우레탄단열재 시공_x000a_▶ 화재 위험이 있는 장소에서 용접 작업을 실시 할 때에는 화기 사용 전 사전에 가연물에 대한 정리 제거 실시_x000a_▶ 화재감시자 배치"/>
  </r>
  <r>
    <n v="3"/>
    <x v="3"/>
    <x v="9"/>
    <x v="13"/>
    <s v="YES"/>
    <x v="11"/>
    <x v="29"/>
    <s v="12대 기인물"/>
    <n v="3"/>
    <n v="7.0999999999999994E-2"/>
    <s v=" 2019년 9월"/>
    <d v="2019-09-01T00:00:00"/>
    <n v="9"/>
    <s v="-"/>
    <x v="2"/>
    <s v=" 2019년 9월경 OO이 시공하는 OO 신축공사 현장에서 철골 구조물공사를 하던 협력업체(OOO)소속 재해자(용접공)가 지붕 철골보 위에서 지붕재인 샌드위치패널 고정용 C형강(부재)을 배치하던 중 중심을 잃고 바닥으로 떨어져(H:약5.73미터)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11"/>
    <x v="29"/>
    <s v="12대 기인물"/>
    <n v="3"/>
    <n v="7.0999999999999994E-2"/>
    <s v="2021년 4월경"/>
    <d v="2021-04-01T00:00:00"/>
    <n v="4"/>
    <s v="-"/>
    <x v="2"/>
    <s v="2021년 4월경 OO㈜ OO 아파트 신축공사」 현장에서 협력업체 OO건설(주) 소속 재해자(철골공)가 지하주차장 램프 지붕 위에서 철골 보수작업 중 바닥(H≒5.8m)으로 떨어져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11"/>
    <x v="28"/>
    <s v="해당없음"/>
    <s v="해당없음"/>
    <s v="해당없음"/>
    <s v="2021년 6월경"/>
    <d v="2021-06-01T00:00:00"/>
    <n v="6"/>
    <s v="혹서기"/>
    <x v="2"/>
    <s v="2021년 6월경 공장 신축공사 현장에서 재해자가 높이 약 8미터 철골 보에서 외벽 판넬 설치를 위해 이동 중 중심을 잃자, 안전대를 걸어둔 C형강에 하중이 가해져 C형강의 고정부가 탈락하며 함께 바닥으로 추락하여 사망"/>
    <s v="철골 보에서 외벽 판넬 설치를 위해 이동 중 중심을 잃자, 안전대를 걸어둔 C형강에 하중이 가해져 C형강의 고정부가 탈락하며 바닥으로 추락"/>
    <s v="▶ 추락할 위험이 있는 작업 시, 추락방호망, 안전난간대, 안전대 부착설비 등의 안전방호조치 실시_x000a_▶ 지지로프 등 적절한 안전대 부착설비 설치_x000a_▶ 작업 전 개인보호구 지급 및 착용상태 관리 실시"/>
  </r>
  <r>
    <n v="4"/>
    <x v="4"/>
    <x v="10"/>
    <x v="15"/>
    <s v="YES"/>
    <x v="11"/>
    <x v="29"/>
    <s v="12대 기인물"/>
    <n v="3"/>
    <n v="7.0999999999999994E-2"/>
    <s v="2019년 7월경"/>
    <d v="2019-07-01T00:00:00"/>
    <n v="7"/>
    <s v="혹서기"/>
    <x v="6"/>
    <s v="2019년 7월경 OO도로공사에서 터널 무인관리소(지하1층, 지상1층) 출입구 오른편에서 미장작업중 무너지는 1층 캐노피(2,050*4,800, t=150~135)와 벽체에 끼어 사망"/>
    <s v="무인관리소 출입구 인근에서 미장작업 중 상부 캐노피 구조물(시공불량)이 무너지면서 캐노피와 벽체 사이에 끼임"/>
    <s v="▶ 작업 전 작업장소, 상황 등을 사전조사하여 위험요인 예방조치(위험성평가 등)_x000a_▶ 안전모 등 개인보호구 착용에 대한 관리 철저 "/>
  </r>
  <r>
    <n v="4"/>
    <x v="4"/>
    <x v="11"/>
    <x v="16"/>
    <s v="YES"/>
    <x v="11"/>
    <x v="30"/>
    <s v="12대 기인물"/>
    <n v="3"/>
    <n v="7.0999999999999994E-2"/>
    <s v="2016년 3월경"/>
    <d v="2016-03-01T00:00:00"/>
    <n v="3"/>
    <s v="-"/>
    <x v="2"/>
    <s v="2016년 3월경 OO산업 공장동 지붕 방수공사현장에서 재해자(보통인부)가 공장지붕 위에서 정리작업 중 선라이트를 밟아 파손되며 약 15m 아래 공장바닥으로 떨어져 사망"/>
    <s v="공장지붕 위에서 정리작업 중 별도의 작업발판을 설치하지 않고 이동 중 선라이트를 밟아 파손되며 근로자 추락"/>
    <s v="▶ 선라이트 등 강도가 약한 재료로 덮은 지붕 위에서 작업 시 작업발판 설치 및 안전방망 설치_x000a_▶ 지붕 위에서 작업 시 추락방지를 위해 폭 40cm 이상의 발판 설치_x000a_▶ 높이 2m 이상에서 작업 시 안전대 부착설비 설치 및 안전대 착용"/>
  </r>
  <r>
    <n v="4"/>
    <x v="4"/>
    <x v="11"/>
    <x v="16"/>
    <s v="YES"/>
    <x v="11"/>
    <x v="29"/>
    <s v="12대 기인물"/>
    <n v="3"/>
    <n v="7.0999999999999994E-2"/>
    <s v="2016년 3월경"/>
    <d v="2016-03-01T00:00:00"/>
    <n v="3"/>
    <s v="-"/>
    <x v="2"/>
    <s v="2016년 3월경 다세대 신축공사 현장에서 재해자(코킹공)가 지상 4층 지붕 위에서 지상 5층 벽체(4~5층으로 이루어진 건물임)와 지붕 연결부 코킹작업 중 지붕 끝단에서 하부 약 10.5m 바닥으로 떨어져 사망"/>
    <s v="지붕위에서 별도의 작업발판을 설치하지 않고, 안전대 체결도 하지 않은 상태로 방수 등 작업을 진행 중 미끄러지며 바닥으로 추락"/>
    <s v="▶ 지붕 단부 등 추락위험이 있는 장소에는 안전난간 설치_x000a_▶ 지붕 상부에 안전난간을 설치할 수 없는 경우 지붕 외부에 쌍줄비계를 사용한 형태의 안전난간 설치_x000a_▶ 근로자는 그네식 안전대 착용 및 충분한 강도를 가진 고정지점에 설치된 안전대 걸이용 로프 또는 안전블럭에 안전대 체결"/>
  </r>
  <r>
    <n v="4"/>
    <x v="4"/>
    <x v="11"/>
    <x v="16"/>
    <s v="YES"/>
    <x v="11"/>
    <x v="29"/>
    <s v="12대 기인물"/>
    <n v="3"/>
    <n v="7.0999999999999994E-2"/>
    <s v="2016년 8월경"/>
    <d v="2016-08-01T00:00:00"/>
    <n v="8"/>
    <s v="혹서기"/>
    <x v="2"/>
    <s v="2016년 8월경 OO창고신축공사 현장에서 재해자가 경량철골 상부에서 처마홈통에 선홈통을 설치 후 실리콘으로 실링(방수)작업을 마치고 이동하던 중 약 6m 아래 콘크리트 바닥으로 떨어져 사망"/>
    <s v="추락방지 조치를 하지 않은 상태로 경량철골 상부에서 처마홈통에 선홈통을 설치 후 실리콘으로 실링작업을 마치고 이동하던 중 근로자가 몸의 중심을 잃고 추락"/>
    <s v="▶ 안전대 부착설비, 추락방지망 등 추락방지조치 실시_x000a_▶ 작업방법 변경(차량탑재형 고소작업대 사용 등)"/>
  </r>
  <r>
    <n v="4"/>
    <x v="4"/>
    <x v="11"/>
    <x v="16"/>
    <s v="YES"/>
    <x v="11"/>
    <x v="29"/>
    <s v="12대 기인물"/>
    <n v="3"/>
    <n v="7.0999999999999994E-2"/>
    <s v="2017년 7월경"/>
    <d v="2017-07-01T00:00:00"/>
    <n v="7"/>
    <s v="혹서기"/>
    <x v="2"/>
    <s v="2017년 7월경 OO근린생활시설 신축공사 현장에서, 재해자가 건물 2층 경사지붕 상부에서 지붕 누수 확인 중 몸의 중심을 잃고 지상으로 떨어져(H≒7.8m) 사망"/>
    <s v="지붕위에서 별도의 작업발판을 설치하지 않고, 안전대 체결도 하지 않은 상태로 방수작업을 진행 중 미끄러지며 바닥으로 추락"/>
    <s v="▶ 지붕 단부 등 추락위험이 있는 장소에는 안전난간 설치_x000a_▶ 지붕 상부에 안전난간을 설치할 수 없는 경우 지붕 외부에 쌍줄비계를 사용한 형태의 안전난간 설치_x000a_▶ 근로자는 그네식 안전대 착용 및 충분한 강도를 가진 고정지점에 설치된 안전대 걸이용 로프 또는 안전블럭에 안전대 체결"/>
  </r>
  <r>
    <n v="4"/>
    <x v="4"/>
    <x v="11"/>
    <x v="16"/>
    <s v="YES"/>
    <x v="11"/>
    <x v="29"/>
    <s v="12대 기인물"/>
    <n v="3"/>
    <n v="7.0999999999999994E-2"/>
    <s v="2017년 9월경"/>
    <d v="2017-09-01T00:00:00"/>
    <n v="9"/>
    <s v="-"/>
    <x v="2"/>
    <s v="2017년 9월경 ㈜OO 기숙사 증축고사 현장에서 재해자(판넬공)가 지붕층 단부에서 방수 및 마감작업 중 지상 바닥으로 떨어져(H≒11.4m) 사망"/>
    <s v="지붕위에서 별도의 작업발판을 설치하지 않고, 안전대 체결도 하지 않은 상태로 방수 등 작업을 진행 중 미끄러지며 바닥으로 추락"/>
    <s v="▶ 지붕 단부 등 추락위험이 있는 장소에는 안전난간 설치_x000a_▶ 지붕 상부에 안전난간을 설치할 수 없는 경우 지붕 외부에 쌍줄비계를 사용한 형태의 안전난간 설치_x000a_▶ 근로자는 그네식 안전대 착용 및 충분한 강도를 가진 고정지점에 설치된 안전대 걸이용 로프 또는 안전블럭에 안전대 체결"/>
  </r>
  <r>
    <n v="4"/>
    <x v="4"/>
    <x v="11"/>
    <x v="16"/>
    <s v="YES"/>
    <x v="11"/>
    <x v="29"/>
    <s v="12대 기인물"/>
    <n v="3"/>
    <n v="7.0999999999999994E-2"/>
    <s v="2019년 3월경"/>
    <d v="2019-03-01T00:00:00"/>
    <n v="3"/>
    <s v="-"/>
    <x v="2"/>
    <s v="2019년 3월경 ㈜OO산업 OO 교육관 리모델링 공사 현장에서, 재해자가 교육관 경사지붕에서 방수시트 설치작업 중 지붕 용마루쪽에서 처마쪽으로 미끄러지면서 건물 외부 콘크리트 바닥(H≒4.5m)으로 떨어져 사망"/>
    <s v="지붕위에서 별도의 작업발판을 설치하지 않고, 안전대 체결도 하지 않은 상태로 방수 등 작업을 진행 중 미끄러지며 바닥으로 추락"/>
    <s v="▶ 지붕 단부 등 추락위험이 있는 장소에는 안전난간 설치_x000a_▶ 지붕 상부에 안전난간을 설치할 수 없는 경우 지붕 외부에 쌍줄비계를 사용한 형태의 안전난간 설치_x000a_▶ 근로자는 그네식 안전대 착용 및 충분한 강도를 가진 고정지점에 설치된 안전대 걸이용 로프 또는 안전블럭에 안전대 체결"/>
  </r>
  <r>
    <n v="4"/>
    <x v="4"/>
    <x v="11"/>
    <x v="16"/>
    <s v="YES"/>
    <x v="11"/>
    <x v="31"/>
    <s v="해당없음"/>
    <s v="해당없음"/>
    <s v="해당없음"/>
    <s v="2019년 4월경"/>
    <d v="2019-04-01T00:00:00"/>
    <n v="4"/>
    <s v="-"/>
    <x v="8"/>
    <s v="2019년 4월경 OO(주) 주택재건축 정비사업 현장에서 협력업체 소속 재해자(방수공)이 주차장 상부 콘크리트 바닥면 방수작업을 하기 위하여 작업면에 적재된 단열재를 이동시키는 작업 중 상부에 놓여 있던 단열재가 머리, 목 등으로 떨어져 사망"/>
    <s v="상부 주차장 구간의 방수작업을 위해 바탕정리 중 불안전하게 적재되어 있던 단열재를 단독으로 이동시키다가 적재된 자재가 전도되며 작업자와 충돌"/>
    <s v="▶ 현장 내 자재 적재 시, 단차가 있는 구간 등은 적재 금지 조치_x000a_▶ 중량물 적재작업 중 이탈, 구름 예방을 위한 구름멈춤대, 쐐기 등 설치를 통한 이탈, 구름 방지조치 실시_x000a_▶ 현장 내 무거운 자재를 옮길경우, 근로자의 단독 행동 금지 및 관련한 안전교육 실시"/>
  </r>
  <r>
    <n v="4"/>
    <x v="4"/>
    <x v="11"/>
    <x v="16"/>
    <s v="YES"/>
    <x v="11"/>
    <x v="29"/>
    <s v="12대 기인물"/>
    <n v="3"/>
    <n v="7.0999999999999994E-2"/>
    <s v="2019년 4월경"/>
    <d v="2019-04-01T00:00:00"/>
    <n v="4"/>
    <s v="-"/>
    <x v="2"/>
    <s v="2019년 4월경 아파트 옥상방수공사 현장에서 재해자(방수공)가 박공 형태의 경사지붕 방수작업을 위해 지붕 단부(배수로)에서 액체 방수재를 칠하던 중 단부 턱(약 9.5cm)에 걸려 몸의 중심을 잃고 떨어져(높이 약 41m) 사망"/>
    <s v="지붕위에서 별도의 작업발판을 설치하지 않고, 안전대 체결도 하지 않은 상태로 방수 등 작업을 진행 중 미끄러지며 바닥으로 추락"/>
    <s v="▶ 지붕 단부 등 추락위험이 있는 장소에는 안전난간 설치_x000a_▶ 지붕 상부에 안전난간을 설치할 수 없는 경우 지붕 외부에 쌍줄비계를 사용한 형태의 안전난간 설치_x000a_▶ 근로자는 그네식 안전대 착용 및 충분한 강도를 가진 고정지점에 설치된 안전대 걸이용 로프 또는 안전블럭에 안전대 체결"/>
  </r>
  <r>
    <n v="4"/>
    <x v="4"/>
    <x v="11"/>
    <x v="16"/>
    <s v="YES"/>
    <x v="11"/>
    <x v="29"/>
    <s v="12대 기인물"/>
    <n v="3"/>
    <n v="7.0999999999999994E-2"/>
    <s v="2019년 6월경"/>
    <d v="2019-06-01T00:00:00"/>
    <n v="6"/>
    <s v="혹서기"/>
    <x v="2"/>
    <s v="2019년 6월경 아파트 옥상 방수공사 현장에서 재해자(방수공)가 105동 14층 옥상 경사 지붕에서 방수작업(부직포 설치) 중 몸의 중심을 잃고 지붕 단부에서 약 37m 아래 지상 흙바닥으로 떨어져 사망"/>
    <s v="지붕위에서 별도의 작업발판을 설치하지 않고, 안전대 체결도 하지 않은 상태로 방수 등 작업을 진행 중 미끄러지며 바닥으로 추락"/>
    <s v="▶ 지붕 단부 등 추락위험이 있는 장소에는 안전난간 설치_x000a_▶ 지붕 상부에 안전난간을 설치할 수 없는 경우 지붕 외부에 쌍줄비계를 사용한 형태의 안전난간 설치_x000a_▶ 근로자는 그네식 안전대 착용 및 충분한 강도를 가진 고정지점에 설치된 안전대 걸이용 로프 또는 안전블럭에 안전대 체결"/>
  </r>
  <r>
    <n v="4"/>
    <x v="4"/>
    <x v="11"/>
    <x v="16"/>
    <s v="YES"/>
    <x v="11"/>
    <x v="29"/>
    <s v="12대 기인물"/>
    <n v="3"/>
    <n v="7.0999999999999994E-2"/>
    <s v="2019년 10월"/>
    <d v="2019-10-01T00:00:00"/>
    <n v="10"/>
    <s v="-"/>
    <x v="2"/>
    <s v="2019년 10월경 ㈜OO 창고 지붕 보수공사 현장에서 재해자(지붕보수공)가 가건물인 창고 지붕 위에서 수리 작업 중 높이 약 7.3미터 아래 바닥으로 떨어져 사망"/>
    <s v="재해자가 가건물인 창고 지붕 위에서 수리 작업 중 지붕재질인 플렉스가 피재자의 하중을 견디지 못하고 찢어지면서  높이 약 7.3미터 아래 바닥으로 추락"/>
    <s v="▶ 선라이트 등 강도가 약한 재료로 덮은 지붕 위에서 작업 시 작업발판 설치 및 안전방망 설치_x000a_▶ 지붕 위에서 작업 시 추락방지를 위해 폭 40cm 이상의 발판 설치_x000a_▶ 높이 2m 이상에서 작업 시 안전대 부착설비 설치 및 안전대 착용"/>
  </r>
  <r>
    <n v="4"/>
    <x v="4"/>
    <x v="11"/>
    <x v="16"/>
    <s v="YES"/>
    <x v="11"/>
    <x v="29"/>
    <s v="12대 기인물"/>
    <n v="3"/>
    <n v="7.0999999999999994E-2"/>
    <s v="2020년 5월경"/>
    <d v="2020-05-01T00:00:00"/>
    <n v="5"/>
    <s v="-"/>
    <x v="2"/>
    <s v="2020년 5월경 OO센터 건립공사 관급자재(특수지붕재)구매 현장에서 재해자(단순노무직)가 지붕 상부에서 누수 방지용 방수시트 부착 중 약 31.5m 아래로 추락하여 사망"/>
    <s v="지붕위에서 별도의 작업발판을 설치하지 않고, 안전대 체결도 하지 않은 상태로 방수 등 작업을 진행 중 미끄러지며 바닥으로 추락"/>
    <s v="▶ 지붕 단부 등 추락위험이 있는 장소에는 안전난간 설치_x000a_▶ 지붕 상부에 안전난간을 설치할 수 없는 경우 지붕 외부에 쌍줄비계를 사용한 형태의 안전난간 설치_x000a_▶ 근로자는 그네식 안전대 착용 및 충분한 강도를 가진 고정지점에 설치된 안전대 걸이용 로프 또는 안전블럭에 안전대 체결"/>
  </r>
  <r>
    <n v="4"/>
    <x v="4"/>
    <x v="11"/>
    <x v="16"/>
    <s v="YES"/>
    <x v="11"/>
    <x v="29"/>
    <s v="12대 기인물"/>
    <n v="3"/>
    <n v="7.0999999999999994E-2"/>
    <s v="2020년 9월경"/>
    <d v="2020-09-01T00:00:00"/>
    <n v="9"/>
    <s v="-"/>
    <x v="2"/>
    <s v="2020년 9월경 아파트 균열보수 재도장 및 옥상방수공사 현장에서 재해자(방수공)가 옥상 슬래브 단부에 파라펫(옹벽, 높이 약50cm)이 설치된 105동 옥상에서 우레탄 방수 보수작업을 하던 중 몸의 중심을 잃고 파라펫 너머 약 40m 아래 지상바닥으로 추락하여 사망_x000d_"/>
    <s v="옥상(옥탑) 단부에서 방수작업 중 안전난간이 미 설치된 단부로 근로자가 몸의 중심을 잃고 추락"/>
    <s v="▶ 슬래브의 단부 등 추락위험이 있는 장소에는 안전난간 등 방호조치 실시_x000a_▶ 높이 2m 이상에서 작업 시 추락방지를 위해 안전대 부착설비 설치 및 안전대 착용"/>
  </r>
  <r>
    <n v="4"/>
    <x v="4"/>
    <x v="11"/>
    <x v="16"/>
    <s v="YES"/>
    <x v="11"/>
    <x v="29"/>
    <s v="12대 기인물"/>
    <n v="3"/>
    <n v="7.0999999999999994E-2"/>
    <s v="2020년 9월경"/>
    <d v="2020-09-01T00:00:00"/>
    <n v="9"/>
    <s v="-"/>
    <x v="2"/>
    <s v="2020년 9월경 OO(주)이 시공하는 OO아파트 옥상 슁글지붕 전면보수공사 현장에서 재해자(방수공)가 411동 5, 6라인 옥탑에서 방수작업 중 옥탑의 경사 지붕에서 미끄러져 약 57m 아래 지상 화단으로 떨어져 사망"/>
    <s v="지붕위에서 별도의 작업발판을 설치하지 않고, 안전대 체결도 하지 않은 상태로 방수 등 작업을 진행 중 미끄러지며 바닥으로 추락"/>
    <s v="▶ 지붕 단부 등 추락위험이 있는 장소에는 안전난간 설치_x000a_▶ 지붕 상부에 안전난간을 설치할 수 없는 경우 지붕 외부에 쌍줄비계를 사용한 형태의 안전난간 설치_x000a_▶ 근로자는 그네식 안전대 착용 및 충분한 강도를 가진 고정지점에 설치된 안전대 걸이용 로프 또는 안전블럭에 안전대 체결"/>
  </r>
  <r>
    <n v="4"/>
    <x v="4"/>
    <x v="11"/>
    <x v="16"/>
    <s v="YES"/>
    <x v="11"/>
    <x v="29"/>
    <s v="12대 기인물"/>
    <n v="3"/>
    <n v="7.0999999999999994E-2"/>
    <s v="2020년 11월"/>
    <d v="2020-11-01T00:00:00"/>
    <n v="11"/>
    <s v="-"/>
    <x v="2"/>
    <s v="2020년 11월경 ㈜OO 아파트 내·외부 균열보수 및 재도장·옥상 우레탄 방수공사 현장에서 아파트 옥상지붕의 좌우 배수로 방수작업 중 작업공간을 이동하는 과정에서 구조물(지붕팬, 브라켓) 등에 의해 중심을 잃고 추락(H≒32.4m)하여 사망"/>
    <s v="아파트 옥상지붕의 방수작업 중 작업공간을 이동하는 과정에서 구조물 등에 걸려 중심을 잃고 근로자 추락"/>
    <s v="▶ 지붕 경사로의 통행과 단부에서의 작업 시 추락위험이 있는 장소에서는 단부에 안전난간을 설치하는 등 방호조치 선행 후 작업 실시_x000a_▶ 추락 위험이 있는 높이 2m 이상의 장소에서 작업 시 안전대 부착설비 설치 및 안전대 착용"/>
  </r>
  <r>
    <n v="4"/>
    <x v="4"/>
    <x v="11"/>
    <x v="16"/>
    <s v="YES"/>
    <x v="11"/>
    <x v="29"/>
    <s v="12대 기인물"/>
    <n v="3"/>
    <n v="7.0999999999999994E-2"/>
    <s v="2020년 11월"/>
    <d v="2020-11-01T00:00:00"/>
    <n v="11"/>
    <s v="-"/>
    <x v="2"/>
    <s v="2020년 11월경 아파트 하자보수공사 현장에서 재해자가 101동 아파트(7층) 3, 5라인 경사지붕 배수로 방수작업을 위해 휴대용 송풍기로 지붕 바닥을 청소하던 중 약 23m 아래 지상 화단으로 떨어져 사망"/>
    <s v="지붕위에서 별도의 작업발판을 설치하지 않고, 안전대 체결도 하지 않은 상태로 방수 등 작업을 진행 중 미끄러지며 바닥으로 추락"/>
    <s v="▶ 지붕 단부 등 추락위험이 있는 장소에는 안전난간 설치_x000a_▶ 지붕 상부에 안전난간을 설치할 수 없는 경우 지붕 외부에 쌍줄비계를 사용한 형태의 안전난간 설치_x000a_▶ 근로자는 그네식 안전대 착용 및 충분한 강도를 가진 고정지점에 설치된 안전대 걸이용 로프 또는 안전블럭에 안전대 체결"/>
  </r>
  <r>
    <n v="4"/>
    <x v="4"/>
    <x v="11"/>
    <x v="16"/>
    <s v="YES"/>
    <x v="11"/>
    <x v="29"/>
    <s v="12대 기인물"/>
    <n v="3"/>
    <n v="7.0999999999999994E-2"/>
    <s v="2021년 9월경"/>
    <d v="2021-09-01T00:00:00"/>
    <n v="9"/>
    <s v="-"/>
    <x v="2"/>
    <s v="2021년 9월경 OO식당 지붕방수공사 현장에서 재해자가 경사지붕 단부에서 방수시트 부착 및 이형필름 제거작업을 하던 중 콘크리트 바닥으로 추락(높이 약 6m)하여 사망"/>
    <s v="지붕위에서 별도의 작업발판을 설치하지 않고, 안전대 체결도 하지 않은 상태로 방수 등 작업을 진행 중 미끄러지며 바닥으로 추락"/>
    <s v="▶ 지붕 단부 등 추락위험이 있는 장소에는 안전난간 설치_x000a_▶ 지붕 상부에 안전난간을 설치할 수 없는 경우 지붕 외부에 쌍줄비계를 사용한 형태의 안전난간 설치_x000a_▶ 근로자는 그네식 안전대 착용 및 충분한 강도를 가진 고정지점에 설치된 안전대 걸이용 로프 또는 안전블럭에 안전대 체결"/>
  </r>
  <r>
    <n v="4"/>
    <x v="4"/>
    <x v="38"/>
    <x v="100"/>
    <s v="YES"/>
    <x v="11"/>
    <x v="31"/>
    <s v="해당없음"/>
    <s v="해당없음"/>
    <s v="해당없음"/>
    <s v="2018년 9월경"/>
    <d v="2018-09-01T00:00:00"/>
    <n v="9"/>
    <s v="-"/>
    <x v="2"/>
    <s v="2018년 9월경 OO근린생활 신축 및 단독주택 신축공사 현장에서 재해자가 지상7층 배면 발코니에서 외벽 석재 실리콘 코킹작업을 위하여 오염방지 테이핑 사전 작업 중 몸의 중심을 잃고 발코니 단부로 넘어지며 약 23m 아래 바닥으로 추락하여 사망"/>
    <s v="베란다(발코니) 타일시공을 위해 마닥에 먹매김 작업 후 일어나던 중 몸의 중심을 잃고 안전난간이 해체된 발코니 단부를 통해 바닥으로 추락"/>
    <s v="▶ 추락할 위험이 있는 슬라브 단부에는 안전난간을 견고하게 설치하고 작업여건 상 안전난간 설치가 어려운 경우에는 추락방호망 설치 및 안전대 체결 후 작업_x000a_▶ 외벽마감 등 작업을 위해 안전난간을 일시 해체한 경우 접근통제 조치하고 해당작업이 완료되는 즉시 안전난간 재설치 "/>
  </r>
  <r>
    <n v="4"/>
    <x v="4"/>
    <x v="21"/>
    <x v="92"/>
    <s v="YES"/>
    <x v="11"/>
    <x v="29"/>
    <s v="12대 기인물"/>
    <n v="3"/>
    <n v="7.0999999999999994E-2"/>
    <s v="2020년 8월경"/>
    <d v="2020-08-01T00:00:00"/>
    <n v="8"/>
    <s v="혹서기"/>
    <x v="2"/>
    <s v="2020년 8월경 OO아파트 균열보수, 재도장 및 옥상방수공사 현장에서 외벽 세척작업 하청업체 소속 재해자가 외벽 세척작업을 위해 옥상 경사지붕 단부에서 지상에 있는 외벽 세척작업용 고압호스를  로프를 이용하여 인양하던 중 실족하여 약 27m 아래 지면으로 추락하여 사망"/>
    <s v="외벽 세척작업을 위해 옥상 경사지붕 단부에서 추락방지조치 없이 지상에 있는 외벽 세척작업용 고압호스를  로프를 이용하여 인양하던 중 실족하여 떨어짐"/>
    <s v="▶ 지붕 등 추락위험이 있는 장소에서 작업 시 작업높이에 적합한 안전한 작업발판(비계, 고소작업대 등)을 설치하여 안전하게 작업_x000a_▶ 작업발판을 설치하기 어려운 경우 지붕 처마 하단에 추락방호망을 설치하고 지붕 상부에는 안전대 부착설비를 설치하여 안전대를 체결한 후 작업"/>
  </r>
  <r>
    <n v="4"/>
    <x v="4"/>
    <x v="21"/>
    <x v="40"/>
    <s v="YES"/>
    <x v="11"/>
    <x v="29"/>
    <s v="12대 기인물"/>
    <n v="3"/>
    <n v="7.0999999999999994E-2"/>
    <s v="2017년 5월경"/>
    <d v="2017-05-01T00:00:00"/>
    <n v="5"/>
    <s v="-"/>
    <x v="2"/>
    <s v="2017년 5월경 OO경찰서 방수·도장공사 현장에서 재해자가 가건물 지붕 슬래브에서 방범순찰대 건물 북측면 외벽 도장작업 중, 발을 헛디뎌 지상 바닥으로 추락하여(약 3.4m) 사망"/>
    <s v="안전대 또는 구명줄 미설치 상태에서 지붕(옥상)에서 도장작업을 하던 중 몸의 중심을 잃고 추락"/>
    <s v="▶ 지붕 등 추락위험이 있는 장소에서 작업 시 작업높이에 적합한 안전한 작업발판(비계, 고소작업대 등)을 설치하여 안전하게 작업_x000a_▶ 작업발판을 설치하기 어려운 경우 지붕 처마 하단에 추락방호망을 설치하고 지붕 상부에는 안전대 부착설비를 설치하여 안전대를 체결한 후 작업"/>
  </r>
  <r>
    <n v="4"/>
    <x v="4"/>
    <x v="21"/>
    <x v="40"/>
    <s v="YES"/>
    <x v="11"/>
    <x v="29"/>
    <s v="12대 기인물"/>
    <n v="3"/>
    <n v="7.0999999999999994E-2"/>
    <s v="2017년 10월"/>
    <d v="2017-10-01T00:00:00"/>
    <n v="10"/>
    <s v="-"/>
    <x v="2"/>
    <s v="2017년 10월경 OO보수사업 현장에서, 재해자가 간이 비가림막 지붕 위(H≒2.5m, EPS패널)에 올라가 경로당 경사지붕 처마 도색을 하던 도중 실족하여 지상으로 떨어져 사망"/>
    <s v="지붕 위에서 도장작업을 하던 중 안전난간이 설치되지 않은 구조물 단부로 몸의 중심을 잃고 추락"/>
    <s v="▶ 지붕 등 추락위험이 있는 장소에서 작업 시 안전난간 설치 등 방호조치 실시_x000a_▶ 작업발판을 설치하기 어려운 경우 지붕 처마 하단에 추락방호망을 설치하고 지붕 상부에는 안전대 부착설비를 설치하여 안전대를 체결한 후 작업"/>
  </r>
  <r>
    <n v="4"/>
    <x v="4"/>
    <x v="21"/>
    <x v="40"/>
    <s v="YES"/>
    <x v="11"/>
    <x v="29"/>
    <s v="12대 기인물"/>
    <n v="3"/>
    <n v="7.0999999999999994E-2"/>
    <s v="2018년 4월경"/>
    <d v="2018-04-01T00:00:00"/>
    <n v="4"/>
    <s v="-"/>
    <x v="2"/>
    <s v="2018년 4월경 OO관광호텔 보수공사 현장에서 재해자가 3층 테라스 지붕 위에서(폭 2.4m) 도장작업을 하던 중 몸의 중심을 잃고 3층 테라스 지붕 단부와 건물외부 조형물 사이로 빠져 높이 8.7m 아래 1층 테라스 바닥에 추락하여 사망"/>
    <s v="안전대 또는 구명줄 미설치 상태에서 지붕(옥상)에서 도장작업을 하던 중 몸의 중심을 잃고 추락"/>
    <s v="▶ 지붕 등 추락위험이 있는 장소에서 작업 시 작업높이에 적합한 안전한 작업발판(비계, 고소작업대 등)을 설치하여 안전하게 작업_x000a_▶ 작업발판을 설치하기 어려운 경우 지붕 처마 하단에 추락방호망을 설치하고 지붕 상부에는 안전대 부착설비를 설치하여 안전대를 체결한 후 작업"/>
  </r>
  <r>
    <n v="4"/>
    <x v="4"/>
    <x v="21"/>
    <x v="40"/>
    <s v="YES"/>
    <x v="11"/>
    <x v="29"/>
    <s v="12대 기인물"/>
    <n v="3"/>
    <n v="7.0999999999999994E-2"/>
    <s v="2019년 4월경"/>
    <d v="2019-04-01T00:00:00"/>
    <n v="4"/>
    <s v="-"/>
    <x v="2"/>
    <s v="2019년 4월경 OO아파트 하자보수 공사현장에서 재해자가 아파트 옥상에서 외벽 도장 준비 작업 중 약 56m 아래 지면으로 추락하여 사망"/>
    <s v="안전대 또는 구명줄 미설치 상태에서 지붕(옥상)에서 도장작업을 하던 중 몸의 중심을 잃고 추락"/>
    <s v="▶ 지붕 등 추락위험이 있는 장소에서 작업 시 작업높이에 적합한 안전한 작업발판(비계, 고소작업대 등)을 설치하여 안전하게 작업_x000a_▶ 작업발판을 설치하기 어려운 경우 지붕 처마 하단에 추락방호망을 설치하고 지붕 상부에는 안전대 부착설비를 설치하여 안전대를 체결한 후 작업"/>
  </r>
  <r>
    <n v="4"/>
    <x v="4"/>
    <x v="21"/>
    <x v="40"/>
    <s v="YES"/>
    <x v="11"/>
    <x v="29"/>
    <s v="12대 기인물"/>
    <n v="3"/>
    <n v="7.0999999999999994E-2"/>
    <s v="2020년 10월"/>
    <d v="2020-10-01T00:00:00"/>
    <n v="10"/>
    <s v="-"/>
    <x v="2"/>
    <s v="2020년 10월경 OO아파트 균열보수 및 재도장 등 공사현장에서 일용직 재해자가 옥상층 경사지붕에서 배면부 도장작업이 끝나 외벽 뿜칠 도장작업용 에어리스 호스와 P.P로프를 정리하던 중 몸의 균형을 잃고 약 41m 아래 화단 바닥으로 추락하여 사망"/>
    <s v="안전대 또는 구명줄 미설치 상태에서 지붕(옥상)에서 도장작업을 하던 중 몸의 중심을 잃고 추락"/>
    <s v="▶ 지붕 등 추락위험이 있는 장소에서 작업 시 작업높이에 적합한 안전한 작업발판(비계, 고소작업대 등)을 설치하여 안전하게 작업_x000a_▶ 작업발판을 설치하기 어려운 경우 지붕 처마 하단에 추락방호망을 설치하고 지붕 상부에는 안전대 부착설비를 설치하여 안전대를 체결한 후 작업"/>
  </r>
  <r>
    <n v="4"/>
    <x v="4"/>
    <x v="21"/>
    <x v="40"/>
    <s v="YES"/>
    <x v="11"/>
    <x v="29"/>
    <s v="12대 기인물"/>
    <n v="3"/>
    <n v="7.0999999999999994E-2"/>
    <s v="2021년 1월경"/>
    <d v="2021-01-01T00:00:00"/>
    <n v="1"/>
    <s v="혹한기"/>
    <x v="2"/>
    <s v="2021년 1월경 페인트 도장 보수공사 현장에서 재해자가 지붕슬래브에서 기존 페인트를 벗겨내는 작업 중 높이 약 6.8m 아래 바닥으로 추락하여 사망"/>
    <s v="안전대 또는 구명줄 미설치 상태에서 지붕(옥상)에서 도장작업을 하던 중 몸의 중심을 잃고 추락"/>
    <s v="▶ 지붕 등 추락위험이 있는 장소에서 작업 시 작업높이에 적합한 안전한 작업발판(비계, 고소작업대 등)을 설치하여 안전하게 작업_x000a_▶ 작업발판을 설치하기 어려운 경우 지붕 처마 하단에 추락방호망을 설치하고 지붕 상부에는 안전대 부착설비를 설치하여 안전대를 체결한 후 작업"/>
  </r>
  <r>
    <n v="4"/>
    <x v="4"/>
    <x v="12"/>
    <x v="17"/>
    <s v="YES"/>
    <x v="11"/>
    <x v="30"/>
    <s v="12대 기인물"/>
    <n v="3"/>
    <n v="7.0999999999999994E-2"/>
    <s v="2019년 8월경"/>
    <d v="2019-08-01T00:00:00"/>
    <n v="8"/>
    <s v="혹서기"/>
    <x v="2"/>
    <s v="2019년 8월경 축사 지붕보수공사 현장에서 재해자가 축사 지붕의 용마루 상부 덮개 치수를 재기 위해 지붕으로 올라가 이동하던 중 노후화된 선라이트를 밟아 파손되면서 약 5.7m 아래 콘크리트 바닥으로 추락하여 사망"/>
    <s v="지붕에서 이동하던 중 밟고있던 마감재가 파손되면서 바닥으로 추락"/>
    <s v="▶ 노후화되거나 강도가 약한 자재로 덮힌 지붕위에서 해체 또는 설치 작업을 할 경우, 알루미늄 또는 철재 등 충분한 강도와 규격으로 제작된 지붕사다리 설치, 추락방호망 설치, 안전대 부착설비 설치 등의 안전방호조치 실시_x000a_▶ 지붕재의 해체 또는 설치 작업 시, 고소작업대, 타워형 계단 등을 사용하여 지붕 위에서의 작업을 최소화할 수 있는 작업 방법을 검토"/>
  </r>
  <r>
    <n v="4"/>
    <x v="4"/>
    <x v="12"/>
    <x v="17"/>
    <s v="YES"/>
    <x v="11"/>
    <x v="28"/>
    <s v="해당없음"/>
    <s v="해당없음"/>
    <s v="해당없음"/>
    <s v="2021년 12월"/>
    <d v="2021-12-01T00:00:00"/>
    <n v="12"/>
    <s v="혹한기"/>
    <x v="2"/>
    <s v="2021년 12월경 OO공장 신축공사 현장에서 공장동 내부의 캣워크 설치작업 중이던 재해자가 자재를 운반하던 도중 추락하여 사망"/>
    <s v="작업을 위해 점검통로를 이동하던 중 안전난간이 설치되지 않은 단부로 추락"/>
    <s v="▶ 작업높이에 적합한 안전한 작업발판(비계, 고소작업대 등)을 설치하고 안전대를 체결한 후 안전하게 작업_x000a_▶ 작업발판을 설치하기 어려운 경우에는 추락방호망을 설치하고 안전대를 체결한 후 작업_x000a_▶ 추락할 위험이 있는 장소에서 작업하는 경우 안전모, 안전대 등 개인보호구 착용여부 관리감독 철저"/>
  </r>
  <r>
    <n v="4"/>
    <x v="4"/>
    <x v="12"/>
    <x v="18"/>
    <s v="YES"/>
    <x v="11"/>
    <x v="29"/>
    <s v="12대 기인물"/>
    <n v="3"/>
    <n v="7.0999999999999994E-2"/>
    <s v="2017년 10월"/>
    <d v="2017-10-01T00:00:00"/>
    <n v="10"/>
    <s v="-"/>
    <x v="2"/>
    <s v="2017년 10월경 OO공장 신축공사 현장에서 재해자가 외벽 상부에 지붕 물받이 홈통 설치 작업 중 몸의 중심을 잃고 지상 콘크리트바닥으로 떨어져(H≒5.7m) 추락"/>
    <s v="철골보 상부에서 작업 중 발을 헛디뎌 바닥으로 추락"/>
    <s v="▶ 작업높이에 적합한 안전한 작업발판(비계, 고소작업대 등)을 설치하고 안전대를 체결한 후 안전하게 작업_x000a_▶ 작업발판을 설치하기 어려운 경우에는 추락방호망을 설치하고 안전대를 체결한 후 작업_x000a_▶ 추락할 위험이 있는 장소에서 작업하는 경우 안전모, 안전대 등 개인보호구 착용여부 관리감독 철저"/>
  </r>
  <r>
    <n v="4"/>
    <x v="4"/>
    <x v="12"/>
    <x v="18"/>
    <s v="YES"/>
    <x v="11"/>
    <x v="29"/>
    <s v="12대 기인물"/>
    <n v="3"/>
    <n v="7.0999999999999994E-2"/>
    <s v="2020년 8월경"/>
    <d v="2020-08-01T00:00:00"/>
    <n v="8"/>
    <s v="혹서기"/>
    <x v="2"/>
    <s v="2020년 8월경 OO시장 망 설치공사 현장에서(시장 내 비둘기 접근을 방지하는 시설 설치) 재해자가 시장 출입구 천장 하부 공간에서 각관 설치작업 중 천장 하부 마감재를 밟는 순간 마감재 탈락과 함께 약 10미터 아래 콘크리트 바닥으로 추락"/>
    <s v="고소작업대에서 벗어나 천정 하부 공간으로 이동하던 중 밟고 있던 천정 마감재가 파손되면서 추락"/>
    <s v="▶ 작업높이에 적합한 안전한 작업발판(비계, 고소작업대 등)을 설치하고 안전대를 체결한 후 안전하게 작업_x000a_▶ 작업발판을 설치하기 어려운 경우에는 추락방호망을 설치하고 안전대를 체결한 후 작업_x000a_▶ 추락할 위험이 있는 장소에서 작업하는 경우 안전모, 안전대 등 개인보호구 착용여부 관리감독 철저"/>
  </r>
  <r>
    <n v="4"/>
    <x v="4"/>
    <x v="12"/>
    <x v="18"/>
    <s v="YES"/>
    <x v="11"/>
    <x v="29"/>
    <s v="12대 기인물"/>
    <n v="3"/>
    <n v="7.0999999999999994E-2"/>
    <s v="2021년 11월"/>
    <d v="2021-11-01T00:00:00"/>
    <n v="11"/>
    <s v="-"/>
    <x v="2"/>
    <s v="2021년 11월경 다가구주택 옥상 방수공사 현장에서 재해자가 증축 중이던 경사 지붕 상부에서 지붕 높낮이 발생구간 마감재 설치작업 후 경사 지붕 위에서 옥상 바닥으로 내려오기 위해 옥상 단부 철제 난간을 밟는 순간 약 10m 아래 건물 외부 콘크리트 바닥으로 추락"/>
    <s v="지붕에서 철제난간을 밟고 옥상 바닥으로 내려오던 중 발을 헛디뎌 바닥으로 추락"/>
    <s v="▶ 작업높이에 적합한 안전한 작업발판(비계, 고소작업대 등)을 설치하고 안전대를 체결한 후 안전하게 작업_x000a_▶ 작업장소로 이동하기 위한 작업통로(승강통로) 설치_x000a_▶ 추락할 위험이 있는 장소에서 작업하는 경우 안전모, 안전대 등 개인보호구 착용여부 관리감독 철저"/>
  </r>
  <r>
    <n v="4"/>
    <x v="4"/>
    <x v="13"/>
    <x v="42"/>
    <s v="YES"/>
    <x v="11"/>
    <x v="29"/>
    <s v="12대 기인물"/>
    <n v="3"/>
    <n v="7.0999999999999994E-2"/>
    <s v="2020년 3월경"/>
    <d v="2020-03-01T00:00:00"/>
    <n v="3"/>
    <s v="-"/>
    <x v="2"/>
    <s v="2020년 3월경 공장보수공사 현장에서 재해자(일용직)가 슬레이트 지붕 위에서 실리콘 작업을 하던 중 노후된 슬레이트 일부가 파손되면서 하부 콘크리트 바닥으로 추락(H≒4.5m)하여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43"/>
    <s v="YES"/>
    <x v="11"/>
    <x v="29"/>
    <s v="12대 기인물"/>
    <n v="3"/>
    <n v="7.0999999999999994E-2"/>
    <s v="2016년 4월경"/>
    <d v="2016-04-01T00:00:00"/>
    <n v="4"/>
    <s v="-"/>
    <x v="2"/>
    <s v="2016년 4월경 ㈜OO에서 시공하는 공장동 전기시설 개보수 현장에서 전기공인 재해자 2명이 공장 내 천정(EPS패널:샌드위치 패널) 위에서 자재를 운반하던 중 천정패널이 자재와 작업자의 하중 (약 180kg)을 견디지 못하고 처짐이 발생하면서 천정재와 함께 재해자 2명이 약 6m 아래 공장 내부바닥((콘크리트)으로 떨어져 1명이 사망하고, 1명이 부상"/>
    <s v="지붕에서 자재운반 중 밟고 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43"/>
    <s v="YES"/>
    <x v="11"/>
    <x v="29"/>
    <s v="12대 기인물"/>
    <n v="3"/>
    <n v="7.0999999999999994E-2"/>
    <s v="2016년 5월경"/>
    <d v="2016-05-01T00:00:00"/>
    <n v="5"/>
    <s v="-"/>
    <x v="2"/>
    <s v="2016년 5월경  ㈜OO이 시공하는 공장 지붕판넬 철거작업 중 재해자가 크레인으로 인양되어 적치장소로 운반되는 판넬의 방향을 잡아주기 위해 판넬에 연결된 섬유로프를 잡고 이동 중 밟은 지붕판넬이 내려앉으면서 높이 6.9m아래 콘크리트바닥으로 추락하여 사망"/>
    <s v="지붕에서 작업 중 밟고있던 마감재가 파손되면서 바닥으로 추락"/>
    <s v="▶ 지붕 위에서 지붕재의 해체 또는 설치 작업 시 지붕재가 고정되지 않은 구간에 대해 각별히 유의하여 작업 실시하고, 작업자에게 지정된 안전통로로 이동핟도록 교육 실시_x000a_▶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43"/>
    <s v="YES"/>
    <x v="11"/>
    <x v="31"/>
    <s v="해당없음"/>
    <s v="해당없음"/>
    <s v="해당없음"/>
    <s v="2017년 7월경"/>
    <d v="2017-07-01T00:00:00"/>
    <n v="7"/>
    <s v="혹서기"/>
    <x v="1"/>
    <s v="2017년 7월경 OO(주) OO 다세대주택 신축공사 현장에서 외벽 석재마감 조공인 재해자가 지상2층 외벽마감용 석재판넬  운반작업을 진행하는 과정에서 지상1층 외부비계기둥에 기대어 세워진 석재판넬의 안쪽 9번째 판넬을 꺼내기 위해 나머지 8장의 석재판넬을 재해자 몸쪽으로 당겨 세우던 중 갑자기 석재판넬 8장이 재해자가 서 있는 방향으로 전도되면서 재해자가 석재판넬 8장(583.2kg)에 깔려 사망"/>
    <s v="비계 기둥에 기대어 세워놓은 자재(석재) 중 안쪽 자재를 꺼내기 위해 몸쪽으로 자재를 당기는 순간 전도되어 깔림"/>
    <s v="▶ 석재 판넬 등과 같은 무거운 자재를 인력으로 옮기는 경우, 단독작업을 금지하도록 현장 내 작업자들에게 교육 실시_x000a_▶ 석재 판넬 등과 같은 무거운 자재를 골조, 외부비계 기둥 등에 기대어 적재하는 경우, 자재를 소량으로 나누어 여러 개소에 적재하도록 조치"/>
  </r>
  <r>
    <n v="4"/>
    <x v="4"/>
    <x v="14"/>
    <x v="43"/>
    <s v="YES"/>
    <x v="11"/>
    <x v="29"/>
    <s v="12대 기인물"/>
    <n v="3"/>
    <n v="7.0999999999999994E-2"/>
    <s v="2018년 5월경"/>
    <d v="2018-05-01T00:00:00"/>
    <n v="5"/>
    <s v="-"/>
    <x v="2"/>
    <s v="2018년 5월경 OO개인공사(축사신축공사) 현장에서 축사지붕 마감재인 아연도금강판 다발을 5톤 차량탑재형크레인(카고)에 매달아 축사지붕위로 올리는 작업 중, 축사지붕위에서 재해자(보통인부)가 뒷걸음치면서 수신호를 하다가 콘크리트 바닥으로 떨어져 (h=5.9m) 사망"/>
    <s v="지붕에서 뒷걸음으로 이동하며 양중작업 신호를 하던 중 지붕 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43"/>
    <s v="YES"/>
    <x v="11"/>
    <x v="30"/>
    <s v="12대 기인물"/>
    <n v="3"/>
    <n v="7.0999999999999994E-2"/>
    <s v="2018년 7월경"/>
    <d v="2018-07-01T00:00:00"/>
    <n v="7"/>
    <s v="혹서기"/>
    <x v="2"/>
    <s v="2018년 7월경 OO이 시공하는 ㈜OO 공장 지붕보수공사 현장에서 재해자(판넬조립공)가 지붕판넬 인양작업을 위해 지붕 위에서 이동하던 중 노후화된 선라이트(채광창)를 밟아 파손되면서 약 8M 아래 공장 바닥으로 떨어져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43"/>
    <s v="YES"/>
    <x v="11"/>
    <x v="29"/>
    <s v="12대 기인물"/>
    <n v="3"/>
    <n v="7.0999999999999994E-2"/>
    <s v="2018년 11월"/>
    <d v="2018-11-01T00:00:00"/>
    <n v="11"/>
    <s v="-"/>
    <x v="2"/>
    <s v="2018년 11월경 OO(주) OO사이로 제작공장 토목 및 건축공사 현장에서 재해자가 지붕물받이 설치 작업을 하기위해 지붕에서 자재를 옮기던 중 지붕단부에서 실족하여 높이 약 14.2m 아래 지상 바닥으로 추락하여 사망"/>
    <s v="지붕에서 자재운반 중 발을 헛디뎌 지붕 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43"/>
    <s v="YES"/>
    <x v="11"/>
    <x v="29"/>
    <s v="12대 기인물"/>
    <n v="3"/>
    <n v="7.0999999999999994E-2"/>
    <s v="2018년 11월"/>
    <d v="2018-11-01T00:00:00"/>
    <n v="11"/>
    <s v="-"/>
    <x v="2"/>
    <s v="2018년 11월경 OO건설(주) OO공장 지붕판 덧씌우기 및 환기구 교체공사 현장에서 기존 지붕판넬을 보수하기 위해 지붕 상부에서 재해자 외 2명이 선라이트를 운반 중 재해자가 볼트가 풀려있는 샌드위치 판넬을 밟아 판넬과 함께 약 11m 아래 콘크리트 바닥으로 떨어져 사망"/>
    <s v="지붕에서 자재운반 중 밟고 있던 마감재가 파손되면서 바닥으로 추락"/>
    <s v="▶ 지붕 위에서 지붕재의 해체 또는 설치 작업 시 지붕재가 고정되지 않은 구간에 대해 각별히 유의하여 작업 실시하고, 작업자에게 지정된 안전통로로 이동핟도록 교육 실시_x000a_▶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43"/>
    <s v="YES"/>
    <x v="11"/>
    <x v="30"/>
    <s v="12대 기인물"/>
    <n v="3"/>
    <n v="7.0999999999999994E-2"/>
    <s v=" 2019년 11"/>
    <d v="2019-11-01T00:00:00"/>
    <n v="11"/>
    <s v="-"/>
    <x v="2"/>
    <s v=" 2019년 11월경 OO에서 시공하는 (유)OO 지붕 보수공사 현장에서 재해자(지붕재설치공)가 퇴비공장 B동 지붕위에서 이동하던 중, 채광용 선라이트(sunlight)를 밟아 선라이트가 파단되면서 바닥으로 떨어져(H:약7.3m)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43"/>
    <s v="YES"/>
    <x v="11"/>
    <x v="31"/>
    <s v="해당없음"/>
    <s v="해당없음"/>
    <s v="해당없음"/>
    <s v="2020년 9월경"/>
    <d v="2020-09-01T00:00:00"/>
    <n v="9"/>
    <s v="-"/>
    <x v="2"/>
    <s v="2020년 9월경 (주)OO OO공장 먼지날림방지시설 설치사업 현장에서 철골 경사지붕 상단에 적치해 놓은 지붕 강판 다발(20개, 총무게 880kg)이 자중에 의해  경사면(14.4°)을 따라 지붕 하단으로 흘러 내려, 하단에 적치되어 있던 다른 강판 다발(4개, 총무게 176kg)을 치고, 이어서 지붕 하단 끝부분에서 작업 중이던 재해자(판넬공)를 가격하여, 재해자가 강판과 같이 17m 아래 바닥으로 떨어져 사망"/>
    <s v="지붕 상단에 적재된 자재가 자중에 의해 지붕 경사면을 따라 미끄러지면서 지붕 하단에서 작업 중인 재해자가 자재에 맞은 후 지붕 단부로 추락"/>
    <s v="▶ 경사진 지붕에 자재를 적재할 경우, 자재를 철골부재와 고정하는 등의 미끄럼 방지 조치 실시_x000a_▶ 지붕 위에서 지붕재의 해체 또는 설치 작업을 할 경우, 알루미늄 또는 철재 등 충분한 강도와 규격으로 제작된 지붕사다리 설치, 추락방호망 설치, 안전대 부착설비 설치 등의 안전방호조치 실시_x000a_▶ 근로자 개인보호구 착용 및 안전대 체결여부 관리감독"/>
  </r>
  <r>
    <n v="4"/>
    <x v="4"/>
    <x v="14"/>
    <x v="43"/>
    <s v="YES"/>
    <x v="11"/>
    <x v="29"/>
    <s v="12대 기인물"/>
    <n v="3"/>
    <n v="7.0999999999999994E-2"/>
    <s v="2020년 9월경"/>
    <d v="2020-09-01T00:00:00"/>
    <n v="9"/>
    <s v="-"/>
    <x v="2"/>
    <s v="2020년 9월경 OO(주) OO공장 지붕 외 긴급보수공사 현장에서 재해자(판넬공)가 공장동 지붕 상부에서 파손된 슬래이트(Slate)를 선라이트(Sun Light)로 교체 또는 칼라강판 덧붙임 작업을 위하여 공장동(C동) 슬래이트 지붕 위에서 칼라강판을 작업 장소로 운반하던 중 슬래이트 지붕이 파손되면서 공장동 내부 콘크리트 바닥으로 떨어져(H≒12m) 사망"/>
    <s v="지붕에서 자재운반 중 밟고 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43"/>
    <s v="YES"/>
    <x v="11"/>
    <x v="29"/>
    <s v="12대 기인물"/>
    <n v="3"/>
    <n v="7.0999999999999994E-2"/>
    <s v="2021년 4월경"/>
    <d v="2021-04-01T00:00:00"/>
    <n v="4"/>
    <s v="-"/>
    <x v="2"/>
    <s v="2021년 4월경 OO 개인 신축공사 현장에서 조립식건축 소속 근로자가 신축주택 지붕 패널 설치작업 준비 중 지붕에서 바닥(H≒4.5m)으로 떨어져 사망"/>
    <s v="지붕에서 작업 중 발을 헛디뎌 지붕 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43"/>
    <s v="YES"/>
    <x v="11"/>
    <x v="29"/>
    <s v="12대 기인물"/>
    <n v="3"/>
    <n v="7.0999999999999994E-2"/>
    <s v="2021년 11월"/>
    <d v="2021-11-01T00:00:00"/>
    <n v="11"/>
    <s v="-"/>
    <x v="2"/>
    <s v="2021년 11월경 OO(주)는 ㈜OO 화재복구공사 현장에서 재해자는 고소작업대를 이용하여 지붕단부로 올라가 철골부재를 딛고 이동하면서 빗물받이 홈통을 해체하던중 몸의 균형을 잃고 5m 아래로 떨어져 사망"/>
    <s v="지붕에서 작업 중 발을 헛디뎌 지붕 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5년 5월경"/>
    <d v="2015-05-01T00:00:00"/>
    <n v="5"/>
    <s v="-"/>
    <x v="2"/>
    <s v="2015년 5월경 OO공사에서 재해자가 경량철골조 건물의 지붕판넬을 설치 하던 중 높이 4.5m 하부 1층 콘크리트 바닥으로 추락하여 사망"/>
    <s v="지붕에서 작업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28"/>
    <s v="해당없음"/>
    <s v="해당없음"/>
    <s v="해당없음"/>
    <s v="2015년 12월"/>
    <d v="2015-12-01T00:00:00"/>
    <n v="12"/>
    <s v="혹한기"/>
    <x v="2"/>
    <s v="2015년 12월경 OO공사에서 재해자가 지붕 위에서 판넬 설치 작업 준비 중 몸의 중심을 잃고 지상 1층 콘크리트 바닥으로 추락하여(H≒11m) 사망"/>
    <s v="지붕에서 작업 중 발을 헛디뎌 안전난간이 설치되지 않은 지붕단부로 추락"/>
    <s v="▶ 지붕 또는 천장 단부에서 작업할 경우 비계 설치를 통해 작업발판 및 안전난간을 구성하여 근로자 추락 방지_x000a_▶ 지붕재 또는 천장재의 해체 또는 설치 작업을 할 경우 추락방지망, 안전대 부착설비 설치 등의 안전방호조치 실시하고 근로자 안전대 체결여부 점검 및 관리감독_x000a_▶ 작업발판을 견고하게 설치하고, 미끄럼방지 조치를 하여 근로자 추락 및 미끄러짐을 예방_x000a_▶ 지붕 또는 천장의 마감재 해체 또는 설치 작업 시 고소작업대, 타워형 계단 등을 사용하여 상부에서의 작업을 최소화할 수 있는 작업 방법을 검토"/>
  </r>
  <r>
    <n v="4"/>
    <x v="4"/>
    <x v="14"/>
    <x v="20"/>
    <s v="YES"/>
    <x v="11"/>
    <x v="30"/>
    <s v="12대 기인물"/>
    <n v="3"/>
    <n v="7.0999999999999994E-2"/>
    <s v="2016년 2월경"/>
    <d v="2016-02-01T00:00:00"/>
    <n v="2"/>
    <s v="혹한기"/>
    <x v="2"/>
    <s v="2016년 2월경 OO이 시공하는 OO 지붕보수공사 현장에서 지붕판넬공인 재해자가 공장지붕 상부에서 지붕 보수작업을 하던중 썬라이트가 파손되며 약 11m 아래 공장바닥에 떨어져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6년 3월경"/>
    <d v="2016-03-01T00:00:00"/>
    <n v="3"/>
    <s v="-"/>
    <x v="2"/>
    <s v="2016년 3월경 OO목장 지붕공사 현장에서 재해자가 동료직원 등과 목장지붕 선라이트 교체 작업을 위해 지붕 위에서 이동 중 미끄러지면서 노후 된 선라이트를 밟아 선라이트가 파손되며 목장 바닥(높이: 약 3.5m)으로 떨어져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6년 4월경"/>
    <d v="2016-04-01T00:00:00"/>
    <n v="4"/>
    <s v="-"/>
    <x v="2"/>
    <s v="2016년 4월경 OO공장 보수공사 현장에서, 화재로 인하여 그을린 공장 지붕재 청소를 위해 재해자 A형 사다리를 이용하여 1층 천정재(EPS 패널) 위에 올라가는 순간 천정재와 이를 지지하던 알루미늄 천정틀(T-Bar)이 무너지면서 함께 떨어져(H≒3.5m), 2명 부상"/>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1"/>
    <s v="해당없음"/>
    <s v="해당없음"/>
    <s v="해당없음"/>
    <s v="2016년 5월경"/>
    <d v="2016-05-01T00:00:00"/>
    <n v="5"/>
    <s v="-"/>
    <x v="0"/>
    <s v="2016년 5월경 개인건축업자가 시공하는 OOO 단독주택 신축공사 현장에서 보일러설비공인 재해자1와 보통인부인 재해자2가 판넬절단작업을 하던 중, 이웃 창고의 함석지붕이 강풍에 의해 파손되며 함석지붕과 지붕틀인 목재각재가 날아와 재해자2는 오른쪽 다리를 맞아 부상을 입었으며, 재해자1은 머리를 맞아 두개골 함몰 등 부상을 입어 사망"/>
    <s v="작업 중 이웃 창고의 지붕재가 순간 돌풍에 의해 파손되어 날아오면서 재해자가 맞음"/>
    <s v="▶ 바람 등 기상상태 불안정으로 인하여 근로자가 위험해질 우려가 있는 경우 작업 중지_x000a_▶ 근로자 개인보호구 지급 및 착용상태 관리감독"/>
  </r>
  <r>
    <n v="4"/>
    <x v="4"/>
    <x v="14"/>
    <x v="20"/>
    <s v="YES"/>
    <x v="11"/>
    <x v="29"/>
    <s v="12대 기인물"/>
    <n v="3"/>
    <n v="7.0999999999999994E-2"/>
    <s v="2016년 5월경"/>
    <d v="2016-05-01T00:00:00"/>
    <n v="5"/>
    <s v="-"/>
    <x v="2"/>
    <s v="2016년 5월경 OO공사에서 재해자가 지붕슬레이트의 면적 실측위해 이동 중 슬레이트가 파손되면서 콘크리트 바닥으로 추락하여(H≒7.97m)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6년 5월경"/>
    <d v="2016-05-01T00:00:00"/>
    <n v="5"/>
    <s v="-"/>
    <x v="2"/>
    <s v="2016년 5월경 OO공사에서 재해자가 지붕패널(W≒182kg) 설치작업 중 발을 헛디뎌 지붕 개구부(약 15m×1.2m)에서 콘크리트 바닥으로 추락하여(높이 약 9m) 사망"/>
    <s v="지붕에서 작업 중 개구부를 인지하지 못하고 발을 헛디뎌 바닥으로 추락"/>
    <s v="▶ 지붕 등 바닥 개구부 발생 시 근로자 및 자재 등에 대한 무게의 2배 이상을 견딜 수 있는 구조의 철재 안전덮개(개구부 표시 포함)를 설치하거나, 안전난간 및 추락방지망 설치 등 근로자 추락 방지 조치_x000a_▶ 안전난간 설치 시 지름 2.7cm 이상의 금속제 파이프나 그 이상 강도의 재료 사용하며 구조적으로 가장 취약한 지점에서 가장 취약한 방향으로 작용하는 100kg 이상의 하중에 견딜 수 있는 구조로 설치_x000a_▶ 지붕 위에서 지붕재의 해체 또는 설치 작업 시 지붕재가 미시공된 구간에 대해 각별히 유의하여 작업을 실시하고 작업자들에게 약한 재료의 구간으로 이동하지 않도록 교육 실시_x000a_▶ 지붕재의 해체 또는 설치 작업 시 고소작업대, 타워형 계단 등을 사용하여 지붕 위에서의 작업을 최소화할 수 있는 작업 방법을 검토_x000a_▶ 개구부에 마감 등 작업 진행 시 안전대 부착설비 설치 및 근로자 안전대 체결여부 점검 및 관리감독"/>
  </r>
  <r>
    <n v="4"/>
    <x v="4"/>
    <x v="14"/>
    <x v="20"/>
    <s v="YES"/>
    <x v="11"/>
    <x v="29"/>
    <s v="12대 기인물"/>
    <n v="3"/>
    <n v="7.0999999999999994E-2"/>
    <s v="2016년 5월경"/>
    <d v="2016-05-01T00:00:00"/>
    <n v="5"/>
    <s v="-"/>
    <x v="2"/>
    <s v="2016년 5월경 OO 물류창고 증축공사 현장에서 재해자(판넬조립공)가 외벽 상부에 물받이 홈통을 설치하기 위해 지붕 철골보 위에서 작업 준비 중 몸의 중심을 잃고 지상 1층 콘크리트 바닥으로 떨어져(H≒6.5m) 사망"/>
    <s v="지붕에서 작업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6년 5월경"/>
    <d v="2016-05-01T00:00:00"/>
    <n v="5"/>
    <s v="-"/>
    <x v="2"/>
    <s v="2016년 5월경 우사 지붕보수공사 현장에서 재해자가 지붕 위에서 선라이트 파손부위에 실리콘 보수작업을 완료하고 이동하던 중, 선라이트(채광창, 설치후 약 8년 경과, 두께 약 1㎜)를 밟아 선라이트가 깨지면서 5.8m 아래 우사 콘크리트 바닥으로 떨어져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6년 6월경"/>
    <d v="2016-06-01T00:00:00"/>
    <n v="6"/>
    <s v="혹서기"/>
    <x v="2"/>
    <s v="2016년 6월경 OO공사에서 재해자가 양식장 경사지붕 강판판넬 설치 작업 중 약 5.5m 아래 콘크리트 바닥으로 추락하여 사망"/>
    <s v="지붕에서 작업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6년 6월경"/>
    <d v="2016-06-01T00:00:00"/>
    <n v="6"/>
    <s v="혹서기"/>
    <x v="2"/>
    <s v="2016년 6월경 OO공사에서 재해자가 지붕판넬 위에서 판넬을 설치하기 위해 상부에 있는 판넬을 옮기던중 미끄러지며 지붕 단부로 추락하여 사망"/>
    <s v="지붕에서 작업 중 발이 미끄러지면서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6년 7월경"/>
    <d v="2016-07-01T00:00:00"/>
    <n v="7"/>
    <s v="혹서기"/>
    <x v="2"/>
    <s v="2016년 7월경 축사 보수공사 현장 내 축사 지붕위에서 재해자가 지붕재로 사용한 칼라 강판을 제거하고 폼판넬로 교체하는 작업을 하기위해 축사 지붕 위를 이동 중 선라이트 부분(약 2m*1m)을 밟아 선라이트가 파손되면서 축사바닥으로 떨어져(H:4.9m)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6년 9월경"/>
    <d v="2016-09-01T00:00:00"/>
    <n v="9"/>
    <s v="-"/>
    <x v="2"/>
    <s v="2016년 9월경 OO공사에서 재해자가 자전거보관소 지붕에서 마감판넬 설치 작업 중 몸의 중심을 잃고 지상1층 바닥으로 추락하여(H≒4.3m) 사망"/>
    <s v="지붕에서 작업 중 개구부를 인지하지 못하고 발을 헛디뎌 바닥으로 추락"/>
    <s v="▶ 지붕 등 바닥 개구부 발생 시 근로자 및 자재 등에 대한 무게의 2배 이상을 견딜 수 있는 구조의 철재 안전덮개(개구부 표시 포함)를 설치하거나, 안전난간 및 추락방지망 설치 등 근로자 추락 방지 조치_x000a_▶ 안전난간 설치 시 지름 2.7cm 이상의 금속제 파이프나 그 이상 강도의 재료 사용하며 구조적으로 가장 취약한 지점에서 가장 취약한 방향으로 작용하는 100kg 이상의 하중에 견딜 수 있는 구조로 설치_x000a_▶ 지붕 위에서 지붕재의 해체 또는 설치 작업 시 지붕재가 미시공된 구간에 대해 각별히 유의하여 작업을 실시하고 작업자들에게 약한 재료의 구간으로 이동하지 않도록 교육 실시_x000a_▶ 지붕재의 해체 또는 설치 작업 시 고소작업대, 타워형 계단 등을 사용하여 지붕 위에서의 작업을 최소화할 수 있는 작업 방법을 검토_x000a_▶ 개구부에 마감 등 작업 진행 시 안전대 부착설비 설치 및 근로자 안전대 체결여부 점검 및 관리감독"/>
  </r>
  <r>
    <n v="4"/>
    <x v="4"/>
    <x v="14"/>
    <x v="20"/>
    <s v="YES"/>
    <x v="11"/>
    <x v="29"/>
    <s v="12대 기인물"/>
    <n v="3"/>
    <n v="7.0999999999999994E-2"/>
    <s v="2016년 9월경"/>
    <d v="2016-09-01T00:00:00"/>
    <n v="9"/>
    <s v="-"/>
    <x v="2"/>
    <s v="2016년 9월경 OO공사에서 재해자가 철골지붕 위에서 패널 설치작업 중 선라이트 설치예정인 개구부(약10m×1m)에서 콘크리트 바닥으로 추락하여(H:8.9m) 사망"/>
    <s v="지붕에서 작업 중 개구부를 인지하지 못하고 발을 헛디뎌 바닥으로 추락"/>
    <s v="▶ 지붕 등 바닥 개구부 발생 시 근로자 및 자재 등에 대한 무게의 2배 이상을 견딜 수 있는 구조의 철재 안전덮개(개구부 표시 포함)를 설치하거나, 안전난간 및 추락방지망 설치 등 근로자 추락 방지 조치_x000a_▶ 안전난간 설치 시 지름 2.7cm 이상의 금속제 파이프나 그 이상 강도의 재료 사용하며 구조적으로 가장 취약한 지점에서 가장 취약한 방향으로 작용하는 100kg 이상의 하중에 견딜 수 있는 구조로 설치_x000a_▶ 지붕 위에서 지붕재의 해체 또는 설치 작업 시 지붕재가 미시공된 구간에 대해 각별히 유의하여 작업을 실시하고 작업자들에게 약한 재료의 구간으로 이동하지 않도록 교육 실시_x000a_▶ 지붕재의 해체 또는 설치 작업 시 고소작업대, 타워형 계단 등을 사용하여 지붕 위에서의 작업을 최소화할 수 있는 작업 방법을 검토_x000a_▶ 개구부에 마감 등 작업 진행 시 안전대 부착설비 설치 및 근로자 안전대 체결여부 점검 및 관리감독"/>
  </r>
  <r>
    <n v="4"/>
    <x v="4"/>
    <x v="14"/>
    <x v="20"/>
    <s v="YES"/>
    <x v="11"/>
    <x v="29"/>
    <s v="12대 기인물"/>
    <n v="3"/>
    <n v="7.0999999999999994E-2"/>
    <s v="2016년 10월"/>
    <d v="2016-10-01T00:00:00"/>
    <n v="10"/>
    <s v="-"/>
    <x v="2"/>
    <s v="2016년 10월경 추가공사 현장에서 재해자(판넬공)이 가설임시창고 B동 지붕마감재 위에서 피스 고정작업 중 고정되지 않은 용마루 주변 지붕마감재의 탈락(꺽임 발생)과 함께 실족, 10.7m 아래 CON`C 바닥으로 떨어져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6년 11월"/>
    <d v="2016-11-01T00:00:00"/>
    <n v="11"/>
    <s v="-"/>
    <x v="2"/>
    <s v="2016년 11월경 OO이 시공하는 OO공장 지붕 채광창 교체공사 현장에서, 재해자(패널공)이 2겹으로 설치된 지붕채광창 중 하부채광창 위에 서서 상부채광창을 강판으로 교체하기 위해 나사못 고정부위를 표시하던 중 재해자의 자중등을 버티지 못하고 하부채광창을 고정했던 나사못이 빠지면서 하부 바닥으로 떨어져(H≒8.5m)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6년 12월"/>
    <d v="2016-12-01T00:00:00"/>
    <n v="12"/>
    <s v="혹한기"/>
    <x v="2"/>
    <s v="2016년 12월경 OO에서 시공하는 ㈜OO 1공장 1동 지붕판넬 교체공사 현장에서 재해자(철거공)이 기존 공장의 지붕 마감재인 강판과 글라스울을 해체하는 작업 중 마감재가 기 철거된 부위의 개구부(길이 1.6m×폭 0.9m)를 통해 약 12m 아래의 지상 1층 내부 콘크리트 바닥으로 추락하여 사망"/>
    <s v="지붕에서 작업 중 개구부를 인지하지 못하고 발을 헛디뎌 바닥으로 추락"/>
    <s v="▶ 지붕 등 바닥 개구부 발생 시 근로자 및 자재 등에 대한 무게의 2배 이상을 견딜 수 있는 구조의 철재 안전덮개(개구부 표시 포함)를 설치하거나, 안전난간 및 추락방지망 설치 등 근로자 추락 방지 조치_x000a_▶ 안전난간 설치 시 지름 2.7cm 이상의 금속제 파이프나 그 이상 강도의 재료 사용하며 구조적으로 가장 취약한 지점에서 가장 취약한 방향으로 작용하는 100kg 이상의 하중에 견딜 수 있는 구조로 설치_x000a_▶ 지붕 위에서 지붕재의 해체 또는 설치 작업 시 지붕재가 미시공된 구간에 대해 각별히 유의하여 작업을 실시하고 작업자들에게 약한 재료의 구간으로 이동하지 않도록 교육 실시_x000a_▶ 지붕재의 해체 또는 설치 작업 시 고소작업대, 타워형 계단 등을 사용하여 지붕 위에서의 작업을 최소화할 수 있는 작업 방법을 검토_x000a_▶ 개구부에 마감 등 작업 진행 시 안전대 부착설비 설치 및 근로자 안전대 체결여부 점검 및 관리감독"/>
  </r>
  <r>
    <n v="4"/>
    <x v="4"/>
    <x v="14"/>
    <x v="20"/>
    <s v="YES"/>
    <x v="11"/>
    <x v="29"/>
    <s v="12대 기인물"/>
    <n v="3"/>
    <n v="7.0999999999999994E-2"/>
    <s v="2016년 12월"/>
    <d v="2016-12-01T00:00:00"/>
    <n v="12"/>
    <s v="혹한기"/>
    <x v="2"/>
    <s v="2016년 12월경 OO공사에서 재해자가 지붕위에서 지붕 샌드위치판넬 설치 작업 중 지붕판넬이 붕괴되면서 약 3m 아래 바닥으로 추락하여 부상"/>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7년 2월경"/>
    <d v="2017-02-01T00:00:00"/>
    <n v="2"/>
    <s v="혹한기"/>
    <x v="2"/>
    <s v="2017년 2월경 OO공사에서 재해자가 기존 냉동창고 천정마감 작업을 위해 이동 중 단차(H≒1.4m)가 있는 전실 천장으로 내려가기 위해 앉아 뛰어내리는 순간 전실 천장마감재가 천장틀(T-bar)에서 빠지면서 발생한 개구부 사이로 추락하여(H≒7.0m)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1"/>
    <s v="해당없음"/>
    <s v="해당없음"/>
    <s v="해당없음"/>
    <s v="2017년 2월경"/>
    <d v="2017-02-01T00:00:00"/>
    <n v="2"/>
    <s v="혹한기"/>
    <x v="9"/>
    <s v="2017년 2월경 ㈜OO에서 시공중인 OO중학교 다목적강당 및 급식실증축 공사의 외부 마감재 납품 현장에서 복합판넬 고정철물(하지철물) 용접작업 중 기 설치된 외부 단열재[발포 폴리스티렌(일명 스티로폼), t=100mm)에 용접 불티가 떨어지며 화재가 발생하여 재해자 1명이 사망"/>
    <s v="하지철물 용접작업 중 근접하여 설치된 단열재에 용접 불티가 튀어 화재 발생"/>
    <s v="▶ 화재 위험작업 구간 주변 가연물이 있을 경우, 불티방지포 등을 설치하여 불꽃이 가연물쪽으로 튀는 것을 방지 조치_x000a_▶ 화재 위험작업 근로자에게 작업 전 특별교육을 실시하고, 소화기 비치 및 화재감시자가 배치된 상태에서 작업할 수 있도록 관리감독"/>
  </r>
  <r>
    <n v="4"/>
    <x v="4"/>
    <x v="14"/>
    <x v="20"/>
    <s v="YES"/>
    <x v="11"/>
    <x v="30"/>
    <s v="12대 기인물"/>
    <n v="3"/>
    <n v="7.0999999999999994E-2"/>
    <s v="2017년 3월경"/>
    <d v="2017-03-01T00:00:00"/>
    <n v="3"/>
    <s v="-"/>
    <x v="2"/>
    <s v="2017년 3월경 개인업자가 시공하는 OO공장 지붕 채광창 교체공사 현장에서 재해자(패널공)가 공장동 지붕 채광창(폴리카보네이트, t=1.2mm)을 밟고 지나가던 중 채광창이 파손되면서 공장 내부에 적재되어 있던 각파이프 위로 떨어져(H≒11m)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7년 3월경"/>
    <d v="2017-03-01T00:00:00"/>
    <n v="3"/>
    <s v="-"/>
    <x v="2"/>
    <s v="2017년 3월경 OO현장에서 재해자가 지붕틀 설치작업을 돕기 위해 선라이트(PC: Polycarbonate) 지붕 위에서 이동 중, 약 3m 아래 2층 바닥으로 추락하여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1"/>
    <s v="해당없음"/>
    <s v="해당없음"/>
    <s v="해당없음"/>
    <s v="2017년 3월경"/>
    <d v="2017-03-01T00:00:00"/>
    <n v="3"/>
    <s v="-"/>
    <x v="2"/>
    <s v="2017년 3월경 OO(주) 공장 내 슬라이딩랙 창고 보완 공사현장에서 재해자(판넬설치공)이 창고 지붕 위로 올라가 기존 지붕 샌드위치 판넬의 보수(교체) 대상 여부를 파악하기 위해 판넬 고정용 피스를 해체하여 판넬 내부의 손상 유무를 확인 후 이동하던 중 재해자가 고정용 피스가 해체된 판넬을 밟음과 동시에 지붕 철골구조물에 미고정 상태로 걸쳐있던 판넬이 탈락되면서, 높이 약 6m 아래의 콘크리트 바닥으로 떨어져 사망"/>
    <s v="지붕에서 작업 중 밟고있던 마감재가 파손되면서 바닥으로 추락"/>
    <s v="▶ 노후화 되거나 강도가 약한 재료의 마감재 위에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 또는 천장재의 해체 또는 설치 작업 시, 고소작업대, 타워형 계단 등을 사용하여 위에서의 작업을 최소화할 수 있는 작업 방법을 검토"/>
  </r>
  <r>
    <n v="4"/>
    <x v="4"/>
    <x v="14"/>
    <x v="20"/>
    <s v="YES"/>
    <x v="11"/>
    <x v="30"/>
    <s v="12대 기인물"/>
    <n v="3"/>
    <n v="7.0999999999999994E-2"/>
    <s v="2017년 4월경"/>
    <d v="2017-04-01T00:00:00"/>
    <n v="4"/>
    <s v="-"/>
    <x v="2"/>
    <s v="2017년 4월경 축사 지붕 개보수공사 현장에서 재해자(보통인부)이 자재(고정용 못)를 전달하기 위해 지붕위로 올라가 이동 중 몸의 중심을 잃고 노후 썬라이트를 밟는 순간 썬라이트가 파손되면서 약 5.3m 아래 콘크리트 바닥으로 떨어져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7년 4월경"/>
    <d v="2017-04-01T00:00:00"/>
    <n v="4"/>
    <s v="-"/>
    <x v="2"/>
    <s v="2017년 4월경 OO지붕 천막 설치공사 현장에서 재해자가 지붕 천막 설치 전, 지붕의 기존 환기설비(3개) 해체 작업을 하고 있던 회사대표를 돕기 위해, 지붕으로 올라가 이동 중, 노후된 천막이 찢어지면서 지붕에서 창고 내부 콘크리트 바닥(H≒6.5m)으로 떨어져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7년 5월경"/>
    <d v="2017-05-01T00:00:00"/>
    <n v="5"/>
    <s v="-"/>
    <x v="2"/>
    <s v="2017년 5월경 (주)OO건설에서 시공하는 현장에서, 재해자가 캐노피 지붕 C-형강(h≒7.2m)에 볼트로 고정된 지붕재(칼라강판; 920×6400×0.5mm)를 해체 및 철거 하는 작업 중, 고정볼트를 미리 제거한 칼라강판의 끝부분을 밟으면서 강판 끝부분이 지지점(C-형강)에서 이탈되어 하부로 꺾임과 동시에 재해자가 콘크리트 바닥으로 떨어져(H≒7.2m)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7년 6월경"/>
    <d v="2017-06-01T00:00:00"/>
    <n v="6"/>
    <s v="혹서기"/>
    <x v="2"/>
    <s v="2017년 6월경 축사 증축현장에서, 재해자(패널공) 2명이 축사 부속동 기계실 지붕 EPS 패널(샌드위치 패널) 상부에서 벽체 부속품(U-BAR : 지붕과 벽체 패널 고정용 부속품) 재설치 작업을 위해 이동하던 중, 고정되지 않은 패널이 꺽이면서 약 6.5m 하부 콘크리트 바닥으로 떨어져 부상"/>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7년 7월경"/>
    <d v="2017-07-01T00:00:00"/>
    <n v="7"/>
    <s v="혹서기"/>
    <x v="2"/>
    <s v="2017년 7월경 OO 축사 보수공사 현장의 지붕에서 선라이트를 흑강판으로 교체하는 작업을 하던 재해자(조력공)가 선라이트가 파손되어 콘크리트 바닥(H≒5.1)으로 떨어져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7년 8월경"/>
    <d v="2017-08-01T00:00:00"/>
    <n v="8"/>
    <s v="혹서기"/>
    <x v="2"/>
    <s v="2017년 8월경 OO에서 시공중인 OO 경사지붕 보수공사 현장에서 재해자(잡철공)이 A동 경사지붕 보수공사를 위해 목재를 이용한 바탕작업(헛집짓기) 중, 노후된 슬레이트 지붕이 파단되면서 지상1층 바닥(H≒6.5m)으로 떨어져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8"/>
    <s v="해당없음"/>
    <s v="해당없음"/>
    <s v="해당없음"/>
    <s v="2017년 9월경"/>
    <d v="2017-09-01T00:00:00"/>
    <n v="9"/>
    <s v="-"/>
    <x v="2"/>
    <s v="2017년 9월경 OO공사에서 재해자가 지붕 좌측면 벽체 판넬 설치작업을 위해 지붕 철골 보(Beam) 위에서 기 설치되어 있던 판넬부재를 밟고 이동하던 중 약 7.5m 아래의 지상 콘크리트 바닥으로 추락하여 사망"/>
    <s v="지붕에서 이동하던 중 발을 헛디뎌 안전난간이 설치되지 않은 지붕단부로 추락"/>
    <s v="▶ 지붕 또는 천장 단부에서 작업할 경우 비계 설치를 통해 작업발판 및 안전난간을 구성하여 근로자 추락 방지_x000a_▶ 지붕재 또는 천장재의 해체 또는 설치 작업을 할 경우 추락방지망, 안전대 부착설비 설치 등의 안전방호조치 실시하고 근로자 안전대 체결여부 점검 및 관리감독_x000a_▶ 작업발판을 견고하게 설치하고, 미끄럼방지 조치를 하여 근로자 추락 및 미끄러짐을 예방_x000a_▶ 지붕 또는 천장의 마감재 해체 또는 설치 작업 시 고소작업대, 타워형 계단 등을 사용하여 상부에서의 작업을 최소화할 수 있는 작업 방법을 검토"/>
  </r>
  <r>
    <n v="4"/>
    <x v="4"/>
    <x v="14"/>
    <x v="20"/>
    <s v="YES"/>
    <x v="11"/>
    <x v="30"/>
    <s v="12대 기인물"/>
    <n v="3"/>
    <n v="7.0999999999999994E-2"/>
    <s v="2017년 9월경"/>
    <d v="2017-09-01T00:00:00"/>
    <n v="9"/>
    <s v="-"/>
    <x v="2"/>
    <s v="2017년 9월경 OO창고 지붕공사 현장에서 슬레이트 지붕상부에 칼라강판 덧씌우기 작업 중이던 재해자가 작업에 사용할 드릴을 가져오기 위해 이동하려고 슬레이트 지붕을 밟는 순간 슬레이트가 파단되면서 추락하여 창고 내부에 있던 트랙터(높이 약5m)에 1차로 머리를 부딪힌 후, 콘크리트 바닥(높이 약5.2m)으로 떨어져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7년 9월경"/>
    <d v="2017-09-01T00:00:00"/>
    <n v="9"/>
    <s v="-"/>
    <x v="2"/>
    <s v="2017년 9월경 OO공사에서 재해자가 지붕 후레싱(Flashing) 마감을 위해 핸드그라인더를 사용하여 지붕 패널의 전면부 잔여부분 절단작업 중 몸의 중심을 잃고 지상 바닥으로 추락하여(H≒약 3.5m) 사망"/>
    <s v="지붕에서 작업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7년 10월"/>
    <d v="2017-10-01T00:00:00"/>
    <n v="10"/>
    <s v="-"/>
    <x v="2"/>
    <s v="2017년 10월경 OO이 시공중인 OO아파트 탁구장 증축공사 현장에서 직영 근로자인 재해자(보통인부)이 휘트니스클럽 옥상층에서 퍼린(purlin)을 운반 중 몸의 중심을 잃고 지상2층 바닥(약 3.6m)으로 떨어져 사망"/>
    <s v="지붕에서 자재운반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7년 11월"/>
    <d v="2017-11-01T00:00:00"/>
    <n v="11"/>
    <s v="-"/>
    <x v="2"/>
    <s v="2017년 11월경 축사에서 지붕개량작업을 실시하던 중, 선라이트를 밟고 약 5m 아래 축사 바닥(콘크리트)으로 떨어져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7년 12월"/>
    <d v="2017-12-01T00:00:00"/>
    <n v="12"/>
    <s v="혹한기"/>
    <x v="2"/>
    <s v="2017년 12월경 OO공사에서 재해자가 지붕 위에서 환기구 용마루 후레싱 설치작업을 위해 이동하던 중 작업을 위해 임시 해체한 환기구 판넬(길이2,500㎝×폭1,000㎝×두께50㎜)을 밟으면서 판넬과 함께 약 19.2m 아래의 바닥으로 추락하여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8년 1월경"/>
    <d v="2018-01-01T00:00:00"/>
    <n v="1"/>
    <s v="혹한기"/>
    <x v="2"/>
    <s v="2018년 1월경 OO 센터 내 파렛트 보관창고 지붕 천막철거 및 교체공사현장에서 재해자(보통인부)가 창고지붕 위 노후화 된 천막 철거작업을 위하여 지붕위로 올라가 이동하던 중 밟은 천막이 찢어지면서 높이 8.3m 아래 콘크리트 바닥으로 떨어져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1"/>
    <s v="해당없음"/>
    <s v="해당없음"/>
    <s v="해당없음"/>
    <s v="2018년 1월경"/>
    <d v="2018-01-01T00:00:00"/>
    <n v="1"/>
    <s v="혹한기"/>
    <x v="2"/>
    <s v="2018년 1월경 OO공장 신축공사 현장에서 재해자(판넬공)가 공장동 지붕의 기계 반출입용 개구부 판넬 설치작업 중, 고정되지 않은 판넬을 밟아 뒤집어지며 판넬과 함께 공장동 콘크리트 바닥으로 떨어져(H≒14.2m) 사망"/>
    <s v="지붕에서 작업 중 밟고있던 마감재가 파손되면서 바닥으로 추락"/>
    <s v="▶ 노후화 되거나 강도가 약한 재료의 마감재 위에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 또는 천장재의 해체 또는 설치 작업 시, 고소작업대, 타워형 계단 등을 사용하여 위에서의 작업을 최소화할 수 있는 작업 방법을 검토"/>
  </r>
  <r>
    <n v="4"/>
    <x v="4"/>
    <x v="14"/>
    <x v="20"/>
    <s v="YES"/>
    <x v="11"/>
    <x v="29"/>
    <s v="12대 기인물"/>
    <n v="3"/>
    <n v="7.0999999999999994E-2"/>
    <s v="2018년 2월경"/>
    <d v="2018-02-01T00:00:00"/>
    <n v="2"/>
    <s v="혹한기"/>
    <x v="2"/>
    <s v="2018년 2월경 OO공사에서 재해자가 경사지붕 위에서 지붕판넬 설치작업 중 약 7m 높이 아래 지상 바닥으로 추락하여 사망"/>
    <s v="지붕에서 작업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8년 2월경"/>
    <d v="2018-02-01T00:00:00"/>
    <n v="2"/>
    <s v="혹한기"/>
    <x v="2"/>
    <s v="2018년 2월경 정미기, 건조기총판에서 시공하는 가칭 OO 작업장 지붕 보수공사 현장에서 재해자(강판설치공)가 2동 작업장 지붕 칼라강판 설치 작업을 하던 중 채광창인 선라이트를 밟아 파단되면서 작업장 바닥으로 떨어져(H:6.77m)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8년 3월경"/>
    <d v="2018-03-01T00:00:00"/>
    <n v="3"/>
    <s v="-"/>
    <x v="2"/>
    <s v="2018년 3월경 OO건축 / ㈜OO 선라이트 교체공사 현장에서 재해자(판넬공)가 공장동 지붕마감재인 선라이트 해체작업을 하기위해 지붕 위에서 이동중 지붕에 설치된 노후된 선라이트가 파손되면서 약 8.0m 아래 공장동 바닥으로 떨어져 사망(추정)"/>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8년 3월경"/>
    <d v="2018-03-01T00:00:00"/>
    <n v="3"/>
    <s v="-"/>
    <x v="2"/>
    <s v="2018년 3월경 개인이 시공하는 축사보수공사현장에서 재해자(보통인부)가 축사지붕위에 올라가 선라이트 교체작업 중 낡은 선라이트를 밟아 파손되면서 축사 콘크리트 바닥으로 떨어져 (h=6m)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8년 3월경"/>
    <d v="2018-03-01T00:00:00"/>
    <n v="3"/>
    <s v="-"/>
    <x v="2"/>
    <s v="2018년 3월경 OO공사에서 재해자가 지붕 위에서 FRP채광판 덧씌움 작업을 하던 중 지붕 슬레이트가 파손되면서 약 8.4m 아래 바닥으로 추락하여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8년 4월경"/>
    <d v="2018-04-01T00:00:00"/>
    <n v="4"/>
    <s v="-"/>
    <x v="2"/>
    <s v="2018년 4월경 OO 본사 창고 지붕보수 작업장에서 재해자(배관공)가 동료작업자와 지붕 용마루 보수작업 중 동료작업자가 슬레이트 지붕이 깨지면서 1층 바닥슬라브로 떨어지자 구조하기 위해 지붕에서 승강사다리 방향으로 이동 중 슬레이트 지붕(T=4mm)이 깨지며 1층 바닥슬라브로 떨어져(H≒3.2m)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8년 5월경"/>
    <d v="2018-05-01T00:00:00"/>
    <n v="5"/>
    <s v="-"/>
    <x v="2"/>
    <s v="2018년 5월경 OO공사에서 재해자가 지붕 위에서 지붕마감재(칼라강판) 설치를 위해 이동하던 중 노후화된 슬레이트를 밟는 순간 파손되면서 약 13.2m 아래 바닥으로 추락하여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8년 5월경"/>
    <d v="2018-05-01T00:00:00"/>
    <n v="5"/>
    <s v="-"/>
    <x v="2"/>
    <s v="2018년 5월경 ㈜OO OO공장에서 재해자가 지붕 보수 공사 중 선라이트 판넬이 파손되어 17.5m 아래 정반으로 떨어져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8년 6월경"/>
    <d v="2018-06-01T00:00:00"/>
    <n v="6"/>
    <s v="혹서기"/>
    <x v="2"/>
    <s v="2018년 6월경 OO 축사 현장에서 일용직 재해자이 축사의 일부를 철거작업 과정 중 지붕 건축자재(슬레이트, 선라이트) 해체를 위해 지붕 위에서  이동중 선라이트가 파단되면서 약 4.2m 아래 축사 지면으로 추락하여 사망_x000d_"/>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8년 7월경"/>
    <d v="2018-07-01T00:00:00"/>
    <n v="7"/>
    <s v="혹서기"/>
    <x v="2"/>
    <s v="2018년 7월경 정비공장 지붕교체공사 현장에서 재해자(판넬공)가 동료작업 근로자와 함께 지붕(칼라강판 및 썬라이트) 해체작업을 진행하던 중 썬라이트(폴리카보네이트) 부위를 밟아 파손되면서 약8M 아래 지상 바닥으로 떨어져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1"/>
    <s v="해당없음"/>
    <s v="해당없음"/>
    <s v="해당없음"/>
    <s v="2018년 8월경"/>
    <d v="2018-08-01T00:00:00"/>
    <n v="8"/>
    <s v="혹서기"/>
    <x v="2"/>
    <s v="2018년 8월경 개인 건축업자가 시공하는 OO공장 B동 도장공사 현장에서 도장공 등 3명이 철골보 등의 녹 제거 후 페인트 작업 부분의 습기를 증발하기 위해 차량탑재형 고소작업대에 탑승하여 샌드위치 패널로 설치된 천장을 발판삼아 이동 중 2장의 천장 패널이 동시에 탈락되어 재해자 3명이 콘크리트 바닥(H≒6.4m)으로 떨어져 1명 사망(보통인부), 2명 부상"/>
    <s v="지붕에서 이동하던 중 밟고있던 마감재가 파손되면서 바닥으로 추락"/>
    <s v="▶ 노후화 되거나 강도가 약한 재료의 마감재 위에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 또는 천장재의 해체 또는 설치 작업 시, 고소작업대, 타워형 계단 등을 사용하여 위에서의 작업을 최소화할 수 있는 작업 방법을 검토"/>
  </r>
  <r>
    <n v="4"/>
    <x v="4"/>
    <x v="14"/>
    <x v="20"/>
    <s v="YES"/>
    <x v="11"/>
    <x v="31"/>
    <s v="해당없음"/>
    <s v="해당없음"/>
    <s v="해당없음"/>
    <s v="2018년 9월경"/>
    <d v="2018-09-01T00:00:00"/>
    <n v="9"/>
    <s v="-"/>
    <x v="2"/>
    <s v="2018년 9월경 OO(주)에서 시공중인 OO 단독공장 신축 현장에서 재해자(판넬공)이 지붕 철골 거더(Girder, 보) 위에서 지상2층 외벽 샌드위치 판넬 측면 빗물받이 시설(까치발)설치 작업 중 몸의 중심을 잃고 외벽 샌드위치 판넬(스티로폼 판넬 6,200*960*150)과 같이  지상1층 바닥(H≒14m)으로 떨어져 사망"/>
    <s v="지붕 철골 보 상부에서 작업 중 발을 헛디뎌 바닥으로 추락"/>
    <s v="▶ 지붕 단부에서 작업하는 경우 건물 외부에 쌍줄비계를 설치하고 안전난간대, 작업발판을 마련하여 작업자 추락 방지 조치_x000a_▶ 고소작업대, 타워형 계단 등을 사용하여 지붕 위에서의 작업을 최소화할 수 있는 작업 방법을 검토_x000a_▶ 작업 전 안전대 부착설비를 설치하고, 근로자가 안전대 체결한 상태로 작업할 수 있도록 관리감독"/>
  </r>
  <r>
    <n v="4"/>
    <x v="4"/>
    <x v="14"/>
    <x v="20"/>
    <s v="YES"/>
    <x v="11"/>
    <x v="30"/>
    <s v="12대 기인물"/>
    <n v="3"/>
    <n v="7.0999999999999994E-2"/>
    <s v="2018년 9월경"/>
    <d v="2018-09-01T00:00:00"/>
    <n v="9"/>
    <s v="-"/>
    <x v="2"/>
    <s v="2018년 9월경 한우 축사 지붕보수 공사 현장에서 일용직 재해자가 노후된 축사 지붕재(강판, 선라이트) 철거 작업을 하기 위해 강판과 선라이트가 설치 되어 있는 지붕 위에서 이동하던 중, 선라이트가 파단되면서 약 4.5m 아래 축사 바닥(콘크리트)으로 추락하여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8년 10월"/>
    <d v="2018-10-01T00:00:00"/>
    <n v="10"/>
    <s v="-"/>
    <x v="2"/>
    <s v="2018년 10월경 OO창고에서 공사 책임자가 지붕 위에서 철거작업을 위하여 볼트 해체를 하고 있는데, 이를 도와주려고 일용근로자가 사다리(5미터)를 타고 올라갔다가 지붕(선라이트 재질)이 파손되면서 바닥(높이 약 4.18미터)으로 추락"/>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8"/>
    <s v="해당없음"/>
    <s v="해당없음"/>
    <s v="해당없음"/>
    <s v="2018년 10월"/>
    <d v="2018-10-01T00:00:00"/>
    <n v="10"/>
    <s v="-"/>
    <x v="2"/>
    <s v="2018년 10월경 OO공사에서 재해자가 노후된 빗물받이 교체 작업을 위해 지붕 위에서 지붕재 해체작업을 하던 중 지붕 하부의 알루미늄 천장재를 밟아 천장재가 파단되면서 약 5.2m 아래 바닥(콘크리트)으로 추락하여 사망"/>
    <s v="지붕에서 작업 중 밟고있던 마감재가 파손되면서 바닥으로 추락"/>
    <s v="▶ 노후화 되거나 강도가 약한 재료의 마감재 위에 안전덮개(발판)를 견고하게 설치하여 마감재 파손이나 탈락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고소작업대, 타워형 계단 등을 사용하여 지붕 또는 천장 위에서의 작업을 최소화할 수 있는 작업 방법을 검토"/>
  </r>
  <r>
    <n v="4"/>
    <x v="4"/>
    <x v="14"/>
    <x v="20"/>
    <s v="YES"/>
    <x v="11"/>
    <x v="31"/>
    <s v="해당없음"/>
    <s v="해당없음"/>
    <s v="해당없음"/>
    <s v="2018년 10월"/>
    <d v="2018-10-01T00:00:00"/>
    <n v="10"/>
    <s v="-"/>
    <x v="2"/>
    <s v="2018년 10월경 OO 창고 신축공사에서 지붕재를 교체(선라이트→난연판넬)하는 공사 중, 작업반장이 기존에 설치되어 있던 선라이트 지붕재를 옆으로 운반하기 위해 들어 올리던 순간 돌풍(추정)으로 인해 선라이트가 뒤집히면서 지붕 처마에 서있던 재해자가 선라이트에 충돌 후 약 8.1m 아래 바닥(콘크리트)으로 추락하여 사망"/>
    <s v="지붕에서 작업 중 순간적인 돌풍에 의해 자재가 뒤집히면서 부딪힌 후 지붕단부로 추락"/>
    <s v="▶ 지붕 위에서 지붕재의 해체 또는 설치 작업 시, 지붕 단부에서 작업하는 경우 건물 외부에 쌍줄비계를 설치하고 안전난간대, 작업발판을 마련하여 작업자 추락 방지 조치_x000a_▶ 추락 위험이 있는 구간에는 추락방지망 및 안전대 부착설비를 작업 전에 설치하고, 근로자 개인보호구 착용 및 안전대 체결여부를 관리감독_x000a_▶ 지붕 위에서 지붕재의 해체 또는 설치 작업 시, 지붕재를 인력 및 단독으로 운반하는 행위를 지양하고 크레인을 사용하여 설치 위치로 자재를 운반하도록 계획"/>
  </r>
  <r>
    <n v="4"/>
    <x v="4"/>
    <x v="14"/>
    <x v="20"/>
    <s v="YES"/>
    <x v="11"/>
    <x v="29"/>
    <s v="12대 기인물"/>
    <n v="3"/>
    <n v="7.0999999999999994E-2"/>
    <s v="2018년 12월"/>
    <d v="2018-12-01T00:00:00"/>
    <n v="12"/>
    <s v="혹한기"/>
    <x v="2"/>
    <s v="2018년 12월경 OO사업장 지붕 천막 덧씌우기 작업을 하던 재해자가 천막 위로 올라가 이동하던 중, 노후 열화된 지붕 천막이 찢어지면서 높이 12.3미터 아래 콘크리트 바닥으로 떨어져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8년 12월"/>
    <d v="2018-12-01T00:00:00"/>
    <n v="12"/>
    <s v="혹한기"/>
    <x v="2"/>
    <s v="2018년 12월경 OO공사에서 재해자가 전기실 옥상에서 징크 강판 보호필름 제거 작업 중 몸의 중심을 잃고 지붕 단부 아래 지상 바닥으로 추락하여(H≒8.4m) 사망"/>
    <s v="지붕에서 작업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8년 12월"/>
    <d v="2018-12-01T00:00:00"/>
    <n v="12"/>
    <s v="혹한기"/>
    <x v="2"/>
    <s v="2018년 12월경 I/C 제조라인, 만두 신규라인 메인전선 및 트레이 설치공사 현장에서 재해자가 I/C동 옥상 내 폐자재 반출방법을 검토하기 위하여 자재창고 지붕 위에서 현장소장과 사전 조사 중, 지붕 선라이트를 밟아 파손되면서 약 3.4m 아래 콘크리트 바닥으로 떨어져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9년 2월경"/>
    <d v="2019-02-01T00:00:00"/>
    <n v="2"/>
    <s v="혹한기"/>
    <x v="2"/>
    <s v="2019년 2월경 OO공사에서 재해자가 철골 구조물 위에서 지붕패널 판개작업을 위해 이동 중 패널 묶음(8장)과 함께 약 5.8m 아래 콘크리트 바닥으로 추락하여 사망"/>
    <s v="지붕에서 이동하던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9년 2월경"/>
    <d v="2019-02-01T00:00:00"/>
    <n v="2"/>
    <s v="혹한기"/>
    <x v="2"/>
    <s v="2019년 2월경 OO공사에서 재해자가 지상 5층 건물 옥상의 증축구간인 지붕에서 건축 중 폐자재를 지상으로 내리던 중 몸의 균형을 잃으면서 폐자재와 함께 지상 1층 콘크리트 바닥으로 추락하여(H≒17m) 사망"/>
    <s v="지붕에서 자재운반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9년 2월경"/>
    <d v="2019-02-01T00:00:00"/>
    <n v="2"/>
    <s v="혹한기"/>
    <x v="2"/>
    <s v="2019년 2월경 자동차 부품을 생산하는 ㈜OO공장에서 재해자가 지붕 선라이트 판넬 보수 공사를 위해 이동하던 중 밟고 있던 선라이트가 파손되어 약 15.5m 아래 바닥으로 떨어져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9년 3월경"/>
    <d v="2019-03-01T00:00:00"/>
    <n v="3"/>
    <s v="-"/>
    <x v="2"/>
    <s v="2019년 3월경 OO(주) 내 굴삭기 조립공장에서 재해자(판넬공)이 굴삭기조립공장 지붕 채광판 교체작업을 위해 박공지붕(경사각 27°)을 밟고 작업장소로 이동 중 중심을 잃고 지붕에서 미끄러져 지상1층 바닥(H≒12m)으로 떨어져 사망"/>
    <s v="지붕에서 이동하던 중 발을 헛디뎌 안전난간이 설치되지 않은 지붕단부로 추락"/>
    <s v="▶ 지붕 위에서 작업할 경우 지붕 전용 안전덮개 및 발판을 견고하게 설치하여 근로자 이동 중 발 빠짐, 미끄럼 방지, 추락 등에 대한 안전 조치 실시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9년 3월경"/>
    <d v="2019-03-01T00:00:00"/>
    <n v="3"/>
    <s v="-"/>
    <x v="2"/>
    <s v="2019년 3월경 OO신축공사 현장에서 재해자가 건축물 배면부에 위치한 1층 경사지붕 위에서 2층 외부 벽체합판 부착작업 중 몸의 중심을 잃고 높이 3.1m 아래 보강토옹벽 갓돌 위로 떨어져 사마"/>
    <s v="지붕에서 작업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9년 3월경"/>
    <d v="2019-03-01T00:00:00"/>
    <n v="3"/>
    <s v="-"/>
    <x v="2"/>
    <s v="2019년 3월경 OO(주) 판넬교체 공사 현장에서 재해자(판넬공)가 벽체 판넬 설치작업을 위해 지붕위로 이동하던 중 기존 노후화된 썬라이트(투명 채광판)를 밟는 순간 파손되면서 약 6.8m 아래 공장동 콘크리트 바닥으로 떨어져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1"/>
    <s v="해당없음"/>
    <s v="해당없음"/>
    <s v="해당없음"/>
    <s v="2019년 4월경"/>
    <d v="2019-04-01T00:00:00"/>
    <n v="4"/>
    <s v="-"/>
    <x v="8"/>
    <s v="2019년 4월경 근생 및 오피스텔 신축공사현장에서 재해자 2명(형틀목공)이 컨테이너 지붕 위에서 이동식 크레인을 사용하여 단열재 묶음을 옥상으로 양중하던 중, 슬링벨트가 풀리며 떨어진 단열재 묶음에 맞아 부상"/>
    <s v="이동식 크레인으로 자재를 양중하던 중 체결된 슬링벨트가 풀리며 낙하하는 자재와 충돌"/>
    <s v="▶ 크레인으로 자재 인양 전 슬링벨트, 샤클 또는 훅 해지장치 육안점검 실시_x000a_▶ 사전 크레인 관련 작업계획서 수립을 통해 자재 인양 작업구간 주변 출입 통제 등 조치_x000a_▶ 인양 작업 시 자재와 슬링벨트의 체결상태 점검 및 불량 시 보완 조치"/>
  </r>
  <r>
    <n v="4"/>
    <x v="4"/>
    <x v="14"/>
    <x v="20"/>
    <s v="YES"/>
    <x v="11"/>
    <x v="29"/>
    <s v="12대 기인물"/>
    <n v="3"/>
    <n v="7.0999999999999994E-2"/>
    <s v="2019년 4월경"/>
    <d v="2019-04-01T00:00:00"/>
    <n v="4"/>
    <s v="-"/>
    <x v="2"/>
    <s v="2019년 4월경 OO공사에서 재해자가 철골 구조물 위에서 지붕판넬 위치 이동 중 13m 아래 콘크리트 바닥으로 추락하여 사망"/>
    <s v="지붕에서 이동하던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9년 4월경"/>
    <d v="2019-04-01T00:00:00"/>
    <n v="4"/>
    <s v="-"/>
    <x v="2"/>
    <s v="2019년 4월경 ㈜OO이 시공중인 OO펜션 세탁실 증축공사 현장에서 직영 근로자인 재해자(보통인부)이 지상3층 세탁실 경사지붕의 판넬을 설치하기 위하여 이동 또는 작업 중, 몸의 중심을 잃고 경사지붕 단부에서 지상1층 개울가 바닥(H≒11.3m)으로 떨어져 사망"/>
    <s v="지붕에서 작업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30"/>
    <s v="12대 기인물"/>
    <n v="3"/>
    <n v="7.0999999999999994E-2"/>
    <s v=" 2019년 4월"/>
    <d v="2019-04-01T00:00:00"/>
    <n v="4"/>
    <s v="-"/>
    <x v="2"/>
    <s v=" 2019년 4월경 ㈜OO 공장동 지붕보수공사 현장에서 재해자(판넬공)이 지붕 판넬 C형강 고정작업 중 기존 노후화된 선라이트(투명 채광판)를 밟는 순간 파손되면서 약 9m 아래 공장동 지상 바닥으로 떨어져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9년 4월경"/>
    <d v="2019-04-01T00:00:00"/>
    <n v="4"/>
    <s v="-"/>
    <x v="2"/>
    <s v="2019년 4월경 조립식건물 철거 현장에서 해체공인 재해자가 경사지붕 상부에서 판넬 해체 작업중 선라이트(Sunlight)를 밟아 파단되면서 약 10.4m 아래 콘크리트 바닥으로 추락하여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9년 4월경"/>
    <d v="2019-04-01T00:00:00"/>
    <n v="4"/>
    <s v="-"/>
    <x v="2"/>
    <s v="2019년 4월경 비료제조공장 발효동 지붕 위에서 노후된 천정재(썬라이트) 해체등의 작업 중이던 재해자가 추락방지조치가 되지않은 상태에서 썬라이트를 밟아, 썬라이트가 파손되며 공장바닥으로 추락(h=12.6m)하여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9년 4월경"/>
    <d v="2019-04-01T00:00:00"/>
    <n v="4"/>
    <s v="-"/>
    <x v="2"/>
    <s v="2019년 4월경 OO(주) 지붕보수공사 현장에서 재해자가 슬레이트 지붕 위에서 실리콘 작업 중 노후된 슬레이트 일부가 파손되어 약 10m 아래 공장 바닥으로 추락하여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9년 5월경"/>
    <d v="2019-05-01T00:00:00"/>
    <n v="5"/>
    <s v="-"/>
    <x v="2"/>
    <s v="2019년 5월경 개인이 시공하는 우사 개폐지붕 레일교체공사 현장에서, 재해자(조공)는 우사 지붕위에서 레일교체 작업을 완료한 후, 기존 전동기어 강관파이프에 와이어로프 고정작업을 실시한 뒤, 현장소장 쪽으로 이동하던 중, 채광창(선라이트)를 밟아 약 6.0m 아래 우사 바닥으로 떨어져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9년 5월경"/>
    <d v="2019-05-01T00:00:00"/>
    <n v="5"/>
    <s v="-"/>
    <x v="2"/>
    <s v="2019년 5월경 OO공사에서 재해자가 지붕 샌드위치 패널 철거 작업을 위해 지붕 위에서 이동하던 중 고정되지 않은 패널이 이탈하면서 약 7.5m 아래 바닥으로 추락하여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9년 5월경"/>
    <d v="2019-05-01T00:00:00"/>
    <n v="5"/>
    <s v="-"/>
    <x v="2"/>
    <s v="2019년 5월경 OO공사에서 재해자가 지붕 철골 보 끝단에 걸터앉아 외벽 마감재 지지철물 용접을 위한 준비작업 중 몸의 중심을 잃고 약 9.2m 아래 콘크리트 바닥 슬래브로 추락하여 사망"/>
    <s v="지붕에서 작업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9년 5월경"/>
    <d v="2019-05-01T00:00:00"/>
    <n v="5"/>
    <s v="-"/>
    <x v="2"/>
    <s v="2019년 5월경 OOO 축사 신축공사 현장에서 재해자가 축사 지붕판넬 설치 작업 중 고정되지 않은 지붕판넬(선라이트)을 밟자 선라이트가 꺽이면서 높이 약 5.9m 아래 콘크리트 바닥으로 추락하여 사망"/>
    <s v="지붕에서 작업 중 밟고있던 마감재가 파손되면서 바닥으로 추락"/>
    <s v="▶ 지붕 위에서 마감재의 해체 또는 설치 작업 시 지붕재가 고정되지 않은 구간에 대해 각별히 유의하여 작업 실시하고, 작업자에게 지정된 안전통로로 이동핟도록 교육 실시_x000a_▶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9년 6월경"/>
    <d v="2019-06-01T00:00:00"/>
    <n v="6"/>
    <s v="혹서기"/>
    <x v="2"/>
    <s v="2019년 6월경 일용 근로자인 재해자가 물품보관 창고에서 선라이트 지붕 위 C형강에 컬러강판을 덧씌우기 위해 반대쪽 지붕에 적재된 컬러강판을 가지러 이동하던 중 슬레이트가 파손되며 물품보관창고 콘크리트 바닥으로 떨어져(h=7.3m)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9년 6월경"/>
    <d v="2019-06-01T00:00:00"/>
    <n v="6"/>
    <s v="혹서기"/>
    <x v="2"/>
    <s v="2019년 6월경 OO공사에서 재해자가 지붕에서 이동하던 중 밟고있던 지붕이 부서지면서 약 4.8m 아래 바닥으로 추락하여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9년 6월경"/>
    <d v="2019-06-01T00:00:00"/>
    <n v="6"/>
    <s v="혹서기"/>
    <x v="2"/>
    <s v="2019년 6월경 OO공업사의 슬레이트 지붕 상부에서 칼라강판을 덧씌우기 작업을 위해 재해자가 지붕 위에서 작업 중 슬레이트가 파단되면서 콘크리트 바닥(H≒6m)으로 떨어져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9년 7월경"/>
    <d v="2019-07-01T00:00:00"/>
    <n v="7"/>
    <s v="혹서기"/>
    <x v="2"/>
    <s v="2019년 7월경 OO농장내 OO가 시공하는 퇴비사 지붕교체 현장에서 판넬공인 재해자가 퇴비사 노후 지붕판넬을 밟는 순간 지붕판넬이 깨지면서 6m아래 콘크리트 바닥으로 떨어져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9년 7월경"/>
    <d v="2019-07-01T00:00:00"/>
    <n v="7"/>
    <s v="혹서기"/>
    <x v="2"/>
    <s v="2019년 7월경 OO건설에서 시공하는 지붕재 교체공사 현장에서, 재해자(보통인부)가 동료작업자와 함께 축사 지붕 위에서 노후된 선라이트 및 칼라강판 교체작업을 하던 중 선라이트를 밟아 약 4.6m 아래 콘크리트 바닥으로 떨어져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9년 7월경"/>
    <d v="2019-07-01T00:00:00"/>
    <n v="7"/>
    <s v="혹서기"/>
    <x v="2"/>
    <s v="2019년 7월경 OO공사에서 재해자가 지붕 마감재(썬라이트) 교체를 위해 기존에 설치된 고정용 나사를 풀던 중 밟고있던 노후된 썬라이트가 파손되면서 약 5.2m 아래 바닥으로 추락하여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9년 8월경"/>
    <d v="2019-08-01T00:00:00"/>
    <n v="8"/>
    <s v="혹서기"/>
    <x v="2"/>
    <s v="2019년 8월경 OO공사에서 재해자가 지상3층 주차장 지붕 처마 물받이 설치작업 중 배면의 지상1층 하역장 지붕공사 작업 구간으로 이동하다가 개구부(폭45cm)를 통해 약 13.3m 아래 지하2층 바닥으로 추락하여 사망"/>
    <s v="지붕에서 작업 중 개구부를 인지하지 못하고 발을 헛디뎌 바닥으로 추락"/>
    <s v="▶ 지붕 등 바닥 개구부 발생 시 근로자 및 자재 등에 대한 무게의 2배 이상을 견딜 수 있는 구조의 철재 안전덮개(개구부 표시 포함)를 설치하거나, 안전난간 및 추락방지망 설치 등 근로자 추락 방지 조치_x000a_▶ 안전난간 설치 시 지름 2.7cm 이상의 금속제 파이프나 그 이상 강도의 재료 사용하며 구조적으로 가장 취약한 지점에서 가장 취약한 방향으로 작용하는 100kg 이상의 하중에 견딜 수 있는 구조로 설치_x000a_▶ 지붕 위에서 지붕재의 해체 또는 설치 작업 시 지붕재가 미시공된 구간에 대해 각별히 유의하여 작업을 실시하고 작업자들에게 약한 재료의 구간으로 이동하지 않도록 교육 실시_x000a_▶ 지붕재의 해체 또는 설치 작업 시 고소작업대, 타워형 계단 등을 사용하여 지붕 위에서의 작업을 최소화할 수 있는 작업 방법을 검토_x000a_▶ 개구부에 마감 등 작업 진행 시 안전대 부착설비 설치 및 근로자 안전대 체결여부 점검 및 관리감독"/>
  </r>
  <r>
    <n v="4"/>
    <x v="4"/>
    <x v="14"/>
    <x v="20"/>
    <s v="YES"/>
    <x v="11"/>
    <x v="30"/>
    <s v="12대 기인물"/>
    <n v="3"/>
    <n v="7.0999999999999994E-2"/>
    <s v="2019년 8월경"/>
    <d v="2019-08-01T00:00:00"/>
    <n v="8"/>
    <s v="혹서기"/>
    <x v="2"/>
    <s v="2019년 8월경 OO공장 보수공사 현장에서 재해자(판넬공)가 공장지붕 위에서 보수공사 작업도 중 공장지붕의 채광판이 깨지며 약 8.2m 높이의 공장 내부 1층 바닥으로 떨어져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9년 8월경"/>
    <d v="2019-08-01T00:00:00"/>
    <n v="8"/>
    <s v="혹서기"/>
    <x v="2"/>
    <s v="2019년 8월경 OO공사에서 재해자가 지붕 위에서 지붕판넬 설치작업 중 발을 헛디뎌 바닥으로 추락하여(H≒7.8m)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9년 9월경"/>
    <d v="2019-09-01T00:00:00"/>
    <n v="9"/>
    <s v="-"/>
    <x v="2"/>
    <s v="2019년 9월경 OO공사에서 재해재가 지붕재(유리패널) 설치작업 중 지붕재가 설치되어 있지 않은 개구부에 발을 헛디디면서 콘크리트 바닥으로 추락하여(H=9.5m) 사망"/>
    <s v="지붕에서 작업 중 개구부를 인지하지 못하고 발을 헛디뎌 바닥으로 추락"/>
    <s v="▶ 지붕 등 바닥 개구부 발생 시 근로자 및 자재 등에 대한 무게의 2배 이상을 견딜 수 있는 구조의 철재 안전덮개(개구부 표시 포함)를 설치하거나, 안전난간 및 추락방지망 설치 등 근로자 추락 방지 조치_x000a_▶ 안전난간 설치 시 지름 2.7cm 이상의 금속제 파이프나 그 이상 강도의 재료 사용하며 구조적으로 가장 취약한 지점에서 가장 취약한 방향으로 작용하는 100kg 이상의 하중에 견딜 수 있는 구조로 설치_x000a_▶ 지붕 위에서 지붕재의 해체 또는 설치 작업 시 지붕재가 미시공된 구간에 대해 각별히 유의하여 작업을 실시하고 작업자들에게 약한 재료의 구간으로 이동하지 않도록 교육 실시_x000a_▶ 지붕재의 해체 또는 설치 작업 시 고소작업대, 타워형 계단 등을 사용하여 지붕 위에서의 작업을 최소화할 수 있는 작업 방법을 검토_x000a_▶ 개구부에 마감 등 작업 진행 시 안전대 부착설비 설치 및 근로자 안전대 체결여부 점검 및 관리감독"/>
  </r>
  <r>
    <n v="4"/>
    <x v="4"/>
    <x v="14"/>
    <x v="20"/>
    <s v="YES"/>
    <x v="11"/>
    <x v="29"/>
    <s v="12대 기인물"/>
    <n v="3"/>
    <n v="7.0999999999999994E-2"/>
    <s v="2019년 9월경"/>
    <d v="2019-09-01T00:00:00"/>
    <n v="9"/>
    <s v="-"/>
    <x v="2"/>
    <s v="2019년 9월경 OO공사에서 재해자가 지붕 위에서 지붕패널 고정작업을 하던 중 추락하여 공장 내부 구조물 및 크레인 등에 부딪혀 사망"/>
    <s v="지붕에서 작업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9년 9월경"/>
    <d v="2019-09-01T00:00:00"/>
    <n v="9"/>
    <s v="-"/>
    <x v="2"/>
    <s v="2019년 9월경 노후된 슬레이트 지붕 위에서 지붕 용마루에 앉은자세로 판넬 지지재 용접작업 중이던 재해자가 작업장소를 옮기기 위해 앉은 채로 몸의 방향을 옮기던 중 슬레이트를 밟아 체중을 이기지 못한 슬레이트가 파손되며 콘크리트 공장바닥으로 추락(높이 4.8m) 하여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8"/>
    <s v="해당없음"/>
    <s v="해당없음"/>
    <s v="해당없음"/>
    <s v="2019년 9월경"/>
    <d v="2019-09-01T00:00:00"/>
    <n v="9"/>
    <s v="-"/>
    <x v="2"/>
    <s v="2019년 9월경 OO공사에서 재해자 등이 천장 마감 판넬 지지용으로 슬래브에 설치한 세트앵커볼트 부착상태를 확인하기 위해 휴대용 기구로 어퍼실링 타공 작업 중 인접하여 1.5m 간격으로 설치했던 앵커볼트 두 곳이 추가로 탈락되면서 밟고있던 천장 판넬과 함께 8.35m아래 콘크리트 바닥으로 추락하여 1명 사망 및 3명 부상"/>
    <s v="지붕에서 작업 중 밟고있던 마감재가 파손되면서 바닥으로 추락"/>
    <s v="▶ 노후화 되거나 강도가 약한 재료의 마감재 위에 안전덮개(발판)를 견고하게 설치하여 마감재 파손이나 탈락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고소작업대, 타워형 계단 등을 사용하여 지붕 또는 천장 위에서의 작업을 최소화할 수 있는 작업 방법을 검토"/>
  </r>
  <r>
    <n v="4"/>
    <x v="4"/>
    <x v="14"/>
    <x v="20"/>
    <s v="YES"/>
    <x v="11"/>
    <x v="30"/>
    <s v="12대 기인물"/>
    <n v="3"/>
    <n v="7.0999999999999994E-2"/>
    <s v="   2019년 "/>
    <d v="2019-10-01T00:00:00"/>
    <n v="10"/>
    <s v="-"/>
    <x v="2"/>
    <s v="   2019년 10월경 OO에서 시공하는 OO농장 축사 지붕재 덧씌움 공사현장에서 재해자(보통인부)이 선라이트 및 칼라강판 덧씌움 작업을 위해 축사 지붕 위에서 이동 중, 노후된 선라이트를 밟아 파단되면서 약 6.5m 아래 축사 바닥으로 추락하여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9년 10월"/>
    <d v="2019-10-01T00:00:00"/>
    <n v="10"/>
    <s v="-"/>
    <x v="2"/>
    <s v="2019년 10월경 OO교회 외벽 보수공사 현장에서 재해자가 본당 현관 캐노피 위에서 외벽 보수작업 후 선라이트(차양) 상부에 있는 낙엽 등 이물질을 제거하기 위해 선라이트를 밟으며 이동하던 중 선라이트가 파손되어 현관 바닥(h≒3.5m)으로 추락하여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9년 10월"/>
    <d v="2019-10-01T00:00:00"/>
    <n v="10"/>
    <s v="-"/>
    <x v="2"/>
    <s v="2019년 10월경 OO공사에서 재해자가 지붕위로 이동 중 투명 PC판넬을 밟아 파손되면서 약 8m 아래 콘크리트 바닥으로 추락하여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9년 10월"/>
    <d v="2019-10-01T00:00:00"/>
    <n v="10"/>
    <s v="-"/>
    <x v="2"/>
    <s v="2019년 10월경 OO공사에서 재해자가 지붕 위에서 실리콘 작업 중 지붕처마 단부에서 실족으로 옥상 콘크리트 바닥면으로 추락하여(H≒2.5m) 사망"/>
    <s v="지붕에서 작업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9년 10월"/>
    <d v="2019-10-01T00:00:00"/>
    <n v="10"/>
    <s v="-"/>
    <x v="2"/>
    <s v="2019년 10월경 OO공사에서 재해자가 지붕 위에서 기와설치 작업 후 기와골에 있는 분진 등을 빗자루로 청소하던 중 현관지붕 단부에서 지면으로 추락하여(H≒:3.5m) 사망"/>
    <s v="지붕에서 작업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9년 10월"/>
    <d v="2019-10-01T00:00:00"/>
    <n v="10"/>
    <s v="-"/>
    <x v="2"/>
    <s v="2019년 10월경 OO이 시공하는 OO 우사 개량공사 현장에서, 재해자가 우사 지붕 위에서 패널 설치작업을 하던 중, 썬라이트 지붕재가 파손되며 지상 콘크리트 바닥으로 떨어져(H=4.0m)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9년 10월"/>
    <d v="2019-10-01T00:00:00"/>
    <n v="10"/>
    <s v="-"/>
    <x v="2"/>
    <s v="2019년 10월경 ㈜OO OO농장 퇴비사 보수공사 현장에서 재해자가 퇴비사 지붕 칼라강판 덧씌움 작업을 위해 퇴비사 지붕 위에서 칼라강판 판개 작업 중 선라이트 파손 부위를 통해 약 4.3m 아래 콘크리트 바닥으로 추락하여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9년 11월"/>
    <d v="2019-11-01T00:00:00"/>
    <n v="11"/>
    <s v="-"/>
    <x v="2"/>
    <s v="2019년 11월경 개인 소유 축사 지붕 상부에 설치 완료된 태양광 발전설비의 사용 전 검사를 받기 위해 재해자가 축사 지붕 위에서 이동 중 밟고 있던 선라이트가 깨지면서 약 5.7m아래 축사 바닥으로 추락하여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9년 11월"/>
    <d v="2019-11-01T00:00:00"/>
    <n v="11"/>
    <s v="-"/>
    <x v="2"/>
    <s v="2019년 11월경 OO공사에서 재해자가 경사지붕 위에서 지붕 패널 마감작업을 위한 패널 표면 물기제거 도중 발이 미끄러지면서 약 4m 높이 아래 바닥으로 추락하여 사망"/>
    <s v="지붕에서 작업 중 발이 미끄러지면서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9년 12월"/>
    <d v="2019-12-01T00:00:00"/>
    <n v="12"/>
    <s v="혹한기"/>
    <x v="2"/>
    <s v="2019년 12월경 OO가 시공하는 OO공장 용접반 환기팬 교체 및 설치공사 현장에서 설비보조공인 재해자가 신설 환기팬에 연결할 전기케이블을 찾기 위해 차량탑재형 고소작업대에 탑승하여 지붕 용마루로 올라가 이동 중 노후화된 선라이트(채광창)를 밟는 순간 파손되면서 높이 약 8m 아래 공장바닥으로 떨어져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9년 12월"/>
    <d v="2019-12-01T00:00:00"/>
    <n v="12"/>
    <s v="혹한기"/>
    <x v="2"/>
    <s v="2019년 12월경 재해자가 OO공장 이전 이사 및 청소용역 현장의 공장동 지붕 위에서 회사 간판 시트지 교체작업을 위해 이동하던 중, 지붕재인 선라이트가 파손되면서 약7.3m 아래 공장바닥으로 추락하여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 2019년 12"/>
    <d v="2019-12-01T00:00:00"/>
    <n v="12"/>
    <s v="혹한기"/>
    <x v="2"/>
    <s v=" 2019년 12월경 OO농공단지 내 ㈜OO OO공장 지붕 보수공사현장에서 재해자가 동료 작업자와 함께 지붕 위에서 지붕판넬 운반 중 선라이트가 파손되어 약 11.5m 아래 지상바닥으로 추락하여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1"/>
    <s v="해당없음"/>
    <s v="해당없음"/>
    <s v="해당없음"/>
    <s v="2019년 12월"/>
    <d v="2019-12-01T00:00:00"/>
    <n v="12"/>
    <s v="혹한기"/>
    <x v="2"/>
    <s v="2019년 12월경 OO공장 신축공사 현장에서 협력업체 소속 재해자(패널공)이 철골지붕 위에서 양중한 지붕패널의 고정(볼팅)작업을 하던 중, 이동식크레인(카고크레인,5ton)으로 양중하던 패널에 충돌되어 몸의 균형을 잃고 하부 콘크리트바닥(H≒7m)으로 추락하여 사망"/>
    <s v="지붕에서 작업 중 이동식크레인으로 양중하던 자재에 부딪힌 후 바닥으로 추락"/>
    <s v="▶ 추락 위험 구간에는 추락방지망, 작업발판 설치 등의 안전방호조치 실시_x000a_▶ 작업자의 개인보호구 착용여부 관리감독_x000a_▶ 안전방호조치가 현장 여건 상 어려울 경우, 별도의 안전대 부착설비를 설치하고 근로자 이동 및 작업 시 안전대 체결여부 관리감독_x000a_▶ 양중 작업 시 사고예방을 위한 사전 작업계획서를 수립하고, 그에 준하여 신호수 배치 및 신호체계구축"/>
  </r>
  <r>
    <n v="4"/>
    <x v="4"/>
    <x v="14"/>
    <x v="20"/>
    <s v="YES"/>
    <x v="11"/>
    <x v="31"/>
    <s v="해당없음"/>
    <s v="해당없음"/>
    <s v="해당없음"/>
    <s v="2020년 1월경"/>
    <d v="2020-01-01T00:00:00"/>
    <n v="1"/>
    <s v="혹한기"/>
    <x v="2"/>
    <s v="2020년 1월경 OO축사 신축공사 현장에서 조립중인 지붕판넬(칼라강판)이 돌풍으로 인해 뒤집혀, 지붕판넬 위에서 휴식하던 재해자(지붕공)가 몸에 중심을 잃고 바닥으로 떨어져(H=8.1m) 사망"/>
    <s v="지붕에서 작업 중 순간적인 돌풍에 의해 자재가 뒤집히면서 부딪힌 후 지붕단부로 추락"/>
    <s v="▶ 지붕 위에서 지붕재의 해체 또는 설치 작업 시, 지붕 단부에서 작업하는 경우 건물 외부에 쌍줄비계를 설치하고 안전난간대, 작업발판을 마련하여 작업자 추락 방지 조치_x000a_▶ 추락 위험이 있는 구간에는 추락방지망 및 안전대 부착설비를 작업 전에 설치하고, 근로자 개인보호구 착용 및 안전대 체결여부를 관리감독_x000a_▶ 지붕 위에서 지붕재의 해체 또는 설치 작업 시, 지붕재를 인력 및 단독으로 운반하는 행위를 지양하고 크레인을 사용하여 설치 위치로 자재를 운반하도록 계획"/>
  </r>
  <r>
    <n v="4"/>
    <x v="4"/>
    <x v="14"/>
    <x v="20"/>
    <s v="YES"/>
    <x v="11"/>
    <x v="30"/>
    <s v="12대 기인물"/>
    <n v="3"/>
    <n v="7.0999999999999994E-2"/>
    <s v="2020년 2월경"/>
    <d v="2020-02-01T00:00:00"/>
    <n v="2"/>
    <s v="혹한기"/>
    <x v="2"/>
    <s v="2020년 2월경 ㈜OO이 시공하는 ㈜OO OO공장 신축공사 현장에서 철거 협력업체 소속의 재해자(철거공)가 기존 공장동(B동) 건물 지붕에서 안전대 부착설비 설치작업 중 선라이트(투명 채광판)을 밟아 부서지면서 높이 약 7.5m 아래 공장동 바닥으로 추락하여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20년 2월경"/>
    <d v="2020-02-01T00:00:00"/>
    <n v="2"/>
    <s v="혹한기"/>
    <x v="2"/>
    <s v="2020년 2월경 ㈜OO OO공장 철거 현장에서 재해자가 지붕 철거작업을 위해 지붕 위에서 칼라강판을 들고 옮기던 중 노후화된 썬라이트(투명 채광판)를 밟아 부서지면서약 9.1m 높이에서 공장동 바닥으로 추락하여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20년 3월경"/>
    <d v="2020-03-01T00:00:00"/>
    <n v="3"/>
    <s v="-"/>
    <x v="2"/>
    <s v="2020년 3월경 OOO 축사 지붕 개보수 공사현장에서, 재해자(보통인부)가 노후된 선라이트 교체 및 칼라강판 설치작업을 위해 축사지붕 위를 이동하던 중 선라이트로부터 떨어지면서 약 4.7m 아래 콘크리트 축사바닥에 부딪혀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20년 3월경"/>
    <d v="2020-03-01T00:00:00"/>
    <n v="3"/>
    <s v="-"/>
    <x v="2"/>
    <s v="2020년 3월경 OO공사에서 재해자가 슬레이트 지붕 위에서 칼라강판 정리 중 밟고있던 슬레이트 지붕 일부가 파손되며 약 7.5m 아래 건물 바닥으로 추락하여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20년 3월경"/>
    <d v="2020-03-01T00:00:00"/>
    <n v="3"/>
    <s v="-"/>
    <x v="2"/>
    <s v="2020년 3월경 OO공사에서 재해자가 기존 지붕(석면 슬레이트) 위에 칼라강판(4m×1m, t=0.4mm)을 덮고 고정하는 작업을 하던 중 밟고 있던 지붕(석면 슬레이트)이 깨지면서 몸의 중심을 잃고 약 6m 아래 콘크리트 바닥으로 추락하여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20년 4월경"/>
    <d v="2020-04-01T00:00:00"/>
    <n v="4"/>
    <s v="-"/>
    <x v="2"/>
    <s v="2020년 4월경 OO농장 축산동에서 축사 지붕 썬라이트를 교체하는 작업 중 재해자가 노후된 썬라이트를 밟아 높이 약 6.6m 아래 흙바닥으로 추락하여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20년 5월경"/>
    <d v="2020-05-01T00:00:00"/>
    <n v="5"/>
    <s v="-"/>
    <x v="2"/>
    <s v="2020년 5월경 OO공사에서 재해자가 철골 지붕에서 판넬(칼라강판 및 선라이트) 설치 작업 중 철골 지붕 개구부에서 높이 약 5미터 아래 콘트리트 바닥으로 추락하여 사망"/>
    <s v="지붕에서 작업 중 개구부를 인지하지 못하고 발을 헛디뎌 바닥으로 추락"/>
    <s v="▶ 지붕 등 바닥 개구부 발생 시 근로자 및 자재 등에 대한 무게의 2배 이상을 견딜 수 있는 구조의 철재 안전덮개(개구부 표시 포함)를 설치하거나, 안전난간 및 추락방지망 설치 등 근로자 추락 방지 조치_x000a_▶ 안전난간 설치 시 지름 2.7cm 이상의 금속제 파이프나 그 이상 강도의 재료 사용하며 구조적으로 가장 취약한 지점에서 가장 취약한 방향으로 작용하는 100kg 이상의 하중에 견딜 수 있는 구조로 설치_x000a_▶ 지붕 위에서 지붕재의 해체 또는 설치 작업 시 지붕재가 미시공된 구간에 대해 각별히 유의하여 작업을 실시하고 작업자들에게 약한 재료의 구간으로 이동하지 않도록 교육 실시_x000a_▶ 지붕재의 해체 또는 설치 작업 시 고소작업대, 타워형 계단 등을 사용하여 지붕 위에서의 작업을 최소화할 수 있는 작업 방법을 검토_x000a_▶ 개구부에 마감 등 작업 진행 시 안전대 부착설비 설치 및 근로자 안전대 체결여부 점검 및 관리감독"/>
  </r>
  <r>
    <n v="4"/>
    <x v="4"/>
    <x v="14"/>
    <x v="20"/>
    <s v="YES"/>
    <x v="11"/>
    <x v="29"/>
    <s v="12대 기인물"/>
    <n v="3"/>
    <n v="7.0999999999999994E-2"/>
    <s v="2020년 5월경"/>
    <d v="2020-05-01T00:00:00"/>
    <n v="5"/>
    <s v="-"/>
    <x v="2"/>
    <s v="2020년 5월경 OO공사에서 재해자가 지붕 위에서 샌드위치 패널(길이: 10.46m, 폭: 1m, 중량: 약 233.4㎏)을 설치하던 중 몸의 균형을 잃고 약 9m 아래 지상 4층 콘크리트 바닥으로 추락하여 사망"/>
    <s v="지붕에서 작업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20년 6월경"/>
    <d v="2020-06-01T00:00:00"/>
    <n v="6"/>
    <s v="혹서기"/>
    <x v="2"/>
    <s v="2020년 6월경 OO에 위치한 OO농장 축사지붕 교체작업 현장에서 재해자(일용직)이 노후 지붕교체를 위해 축사 지붕위에 올라가 선라이트 제거작업을 하던 중 노후화된 선라이트를 밟아 파손되면서 축사 콘크리트 바닥(h≒5.2m)으로 떨어져 사망  "/>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8"/>
    <s v="해당없음"/>
    <s v="해당없음"/>
    <s v="해당없음"/>
    <s v="2020년 6월경"/>
    <d v="2020-06-01T00:00:00"/>
    <n v="6"/>
    <s v="혹서기"/>
    <x v="2"/>
    <s v="2020년 6월경 OO공사에서 재해자가 경사지붕 위에서 샌드위치 패널을 설치하던 중 이동하며 발을 디딘 기존 샌드위치 패널의 단부가 아래로 구부러지며 약 13m 아래 지상층으로 추락하여 사망"/>
    <s v="지붕에서 작업 중 밟고있던 마감재가 파손되면서 바닥으로 추락"/>
    <s v="▶ 노후화 되거나 강도가 약한 재료의 마감재 위에 안전덮개(발판)를 견고하게 설치하여 마감재 파손이나 탈락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고소작업대, 타워형 계단 등을 사용하여 지붕 또는 천장 위에서의 작업을 최소화할 수 있는 작업 방법을 검토"/>
  </r>
  <r>
    <n v="4"/>
    <x v="4"/>
    <x v="14"/>
    <x v="20"/>
    <s v="YES"/>
    <x v="11"/>
    <x v="30"/>
    <s v="12대 기인물"/>
    <n v="3"/>
    <n v="7.0999999999999994E-2"/>
    <s v="2020년 7월경"/>
    <d v="2020-07-01T00:00:00"/>
    <n v="7"/>
    <s v="혹서기"/>
    <x v="2"/>
    <s v="2020년 7월경 축사지붕 덧씌우기 보수공사 현장에서 재해자가 축사 지붕 위에서 지붕작업에 필요한 볼트를 운반하던 중, 채광용 선라이트(sunlight)를 밟아 선라이트가 파단되면서 바닥으로 떨어져(H≒6.8m)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8"/>
    <s v="해당없음"/>
    <s v="해당없음"/>
    <s v="해당없음"/>
    <s v="2020년 7월경"/>
    <d v="2020-07-01T00:00:00"/>
    <n v="7"/>
    <s v="혹서기"/>
    <x v="2"/>
    <s v="2020년 7월경 OO공사에서 재해자가 1층에 설치된 조립식 구조물(샌드위치 판넬 구조) 천장 위에서 조명 배선확인 작업 중 조립식 구조물의 천장(샌드위치 판넬)이 탈락하며 1층 바닥으로 추락하여(H≒3m) 부상"/>
    <s v="지붕에서 작업 중 밟고있던 마감재가 파손되면서 바닥으로 추락"/>
    <s v="▶ 노후화 되거나 강도가 약한 재료의 마감재 위에 안전덮개(발판)를 견고하게 설치하여 마감재 파손이나 탈락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고소작업대, 타워형 계단 등을 사용하여 지붕 또는 천장 위에서의 작업을 최소화할 수 있는 작업 방법을 검토"/>
  </r>
  <r>
    <n v="4"/>
    <x v="4"/>
    <x v="14"/>
    <x v="20"/>
    <s v="YES"/>
    <x v="11"/>
    <x v="29"/>
    <s v="12대 기인물"/>
    <n v="3"/>
    <n v="7.0999999999999994E-2"/>
    <s v="2020년 8월경"/>
    <d v="2020-08-01T00:00:00"/>
    <n v="8"/>
    <s v="혹서기"/>
    <x v="2"/>
    <s v="2020년 8월경 OO공사에서 재해자가 지붕 천막을 고정하기 위해 지붕 상부로 올라가서 C형강을 밟고 이동 중 실족으로 높이 약 3.7m 아래 바닥으로 추락하여 사망"/>
    <s v="지붕에서 이동하던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20년 8월경"/>
    <d v="2020-08-01T00:00:00"/>
    <n v="8"/>
    <s v="혹서기"/>
    <x v="2"/>
    <s v="2020년 8월경 OO공사에서 재해자가 지붕 판넬 설치 작업 중 갑작스러운 비를 피해 이동하던 중 지붕 판넬 단부에서 지상1층 콘크리트 바닥으로 추락하여(H=3.5m) 사망"/>
    <s v="지붕에서 작업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20년 8월경"/>
    <d v="2020-08-01T00:00:00"/>
    <n v="8"/>
    <s v="혹서기"/>
    <x v="2"/>
    <s v="2020년 8월경 OOO 축사 신축공사 현장에서 재해자(보통인부)가 지붕판넬을 설치하던 중, 채광창 구간 작은 판넬(하단)이 뒤집히면서 몸에 중심을 잃고 바닥으로 떨어져(H=5.5m)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20년 8월경"/>
    <d v="2020-08-01T00:00:00"/>
    <n v="8"/>
    <s v="혹서기"/>
    <x v="2"/>
    <s v="2020년 8월경 OO 축사 지붕보수작업 현장에서 재해자가 축사 지붕에 올라가 채광창 교체작업 진행중 노후화된 선라이트를밟아 선라이트가 파손되면서 약 3.3m 아래 축사 바닥으로 떨어져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20년 8월경"/>
    <d v="2020-08-01T00:00:00"/>
    <n v="8"/>
    <s v="혹서기"/>
    <x v="13"/>
    <s v="2020년 8월경 OO중 다목적강당 증축 및 기타공사 현장에서, 협력사 소속 재해자(지붕공)이 다목적강당 지붕에서 지붕 마감재(강판) 조립작업으로 클립을 끼우던 중 갑자기 서있던 자리에서 쓰러져 병원으로 이송 후 사망"/>
    <s v="지붕에서 작업 중 원인미상의 이유로 쓰러짐"/>
    <s v="▶ 원인 미상"/>
  </r>
  <r>
    <n v="4"/>
    <x v="4"/>
    <x v="14"/>
    <x v="20"/>
    <s v="YES"/>
    <x v="11"/>
    <x v="30"/>
    <s v="12대 기인물"/>
    <n v="3"/>
    <n v="7.0999999999999994E-2"/>
    <s v="2020년 9월경"/>
    <d v="2020-09-01T00:00:00"/>
    <n v="9"/>
    <s v="-"/>
    <x v="2"/>
    <s v="2020년 9월경 OO기업에서 시공하는 ㈜OO 사무동앞 지붕판 교체 및 물받이 보강공사 현장에서 재해자(지붕보수공)가 공장 지붕에서 이동하던 중 지붕 자재인 선라이트가 파손되면서 바닥으로 추락(H≒8.8m)하여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20년 9월경"/>
    <d v="2020-09-01T00:00:00"/>
    <n v="9"/>
    <s v="-"/>
    <x v="2"/>
    <s v="2020년 9월경 OO의 축사지붕 보수공사 현장에서 재해자(보통인부)가 노후된 슬레이트 환기구 해체 작업을 종료하고 이동 중, 선라이트를 밟고 약 4.7m 아래 콘크리트 바닥으로 추락하여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20년 9월경"/>
    <d v="2020-09-01T00:00:00"/>
    <n v="9"/>
    <s v="-"/>
    <x v="2"/>
    <s v="2020년 9월경 OO공사에서 재해자가 지붕에서 지붕재 보수작업 중 발을 헛디뎌 지상1층으로 추락하여(H≒5.3m) 사망"/>
    <s v="지붕에서 작업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20년 9월경"/>
    <d v="2020-09-01T00:00:00"/>
    <n v="9"/>
    <s v="-"/>
    <x v="2"/>
    <s v="2020년 9월경 OO 축사 지붕 보수공사현장에서 재해자(보통인부)가 노후된 선라이트에 칼라강판을 덧붙이는 작업을 위해 기존에 설치되어 있는 선라이트 고정볼트를 제거하던 중, 선라이트가 파단되어 약 5.5m 아래 콘크리트 바닥으로 추락하여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20년 9월경"/>
    <d v="2020-09-01T00:00:00"/>
    <n v="9"/>
    <s v="-"/>
    <x v="2"/>
    <s v="2020년 9월경 OO(주) 공장동 지붕 및 벽체일부 보수공사 현장에서 재해자(철골공)가 C형강 및 지붕교체 작업을 하던 중 노후화된 지붕 슬레이트를 밟아 부서지면서 약 9.3m 높이에서 공장동에 적재된 원형파이프 자재 상부로 추락하여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20년 10월"/>
    <d v="2020-10-01T00:00:00"/>
    <n v="10"/>
    <s v="-"/>
    <x v="2"/>
    <s v="2020년 10월경 OO공사에서 재해자가 지붕 C형강 위에서 지붕 샌드위치 판넬 판개작업 후 고소작업대로 내려오던 중 약 5.0m 아래 콘크리트 바닥으로 추락하여 사망"/>
    <s v="지붕에서 고소작업대 난간을 밟고 작업대로 내려오던 중 발을 헛디뎌 바닥으로 추락"/>
    <s v="▶ 지붕 위에서 작업완료 후 고소작업대로 내려오는 경우 안전대를 체결한 후 이동_x000a_▶ 지붕 단부 안전난간 설치 또는 추락방지망, 안전대 부착설비 설치 등의 안전방호조치 실시하고 근로자 안전대 체결여부 점검 및 관리감독"/>
  </r>
  <r>
    <n v="4"/>
    <x v="4"/>
    <x v="14"/>
    <x v="20"/>
    <s v="YES"/>
    <x v="11"/>
    <x v="30"/>
    <s v="12대 기인물"/>
    <n v="3"/>
    <n v="7.0999999999999994E-2"/>
    <s v="2020년 11월"/>
    <d v="2020-11-01T00:00:00"/>
    <n v="11"/>
    <s v="-"/>
    <x v="2"/>
    <s v="2020년 11월경 OO(주) G공장동 지붕 누수보수공사 현장에서 개인업자 OOO에 고용된 재해자(판넬공)가  G공장동 지붕 상부에서 모니터와 지붕 판넬 사이 크로샤(Closure) 탈락 부분에 대한 크로샤 설치(삽입, 코킹) 작업을 위하여 G공장동 지붕 위에서 크로샤 탈락 부분을 확인하기 위하여 이동 중 선라이트(Sun light)를 밟으면서 파손되어 G공장동 내부 콘크리트 바닥으로 떨어져(H≒10.6m)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8"/>
    <s v="해당없음"/>
    <s v="해당없음"/>
    <s v="해당없음"/>
    <s v="2020년 11월"/>
    <d v="2020-11-01T00:00:00"/>
    <n v="11"/>
    <s v="-"/>
    <x v="2"/>
    <s v="2020년 11월경 OO공사에서 재해자가 지붕 위에서 판넬 설치작업을 하던 중 약 3.4m 아래 콘크리트 바닥으로 추락하여 사망"/>
    <s v="지붕에서 작업 중 발을 헛디뎌 안전난간이 설치되지 않은 지붕단부로 추락"/>
    <s v="▶ 지붕 또는 천장 단부에서 작업할 경우 비계 설치를 통해 작업발판 및 안전난간을 구성하여 근로자 추락 방지_x000a_▶ 지붕재 또는 천장재의 해체 또는 설치 작업을 할 경우 추락방지망, 안전대 부착설비 설치 등의 안전방호조치 실시하고 근로자 안전대 체결여부 점검 및 관리감독_x000a_▶ 작업발판을 견고하게 설치하고, 미끄럼방지 조치를 하여 근로자 추락 및 미끄러짐을 예방_x000a_▶ 지붕 또는 천장의 마감재 해체 또는 설치 작업 시 고소작업대, 타워형 계단 등을 사용하여 상부에서의 작업을 최소화할 수 있는 작업 방법을 검토"/>
  </r>
  <r>
    <n v="4"/>
    <x v="4"/>
    <x v="14"/>
    <x v="20"/>
    <s v="YES"/>
    <x v="11"/>
    <x v="30"/>
    <s v="12대 기인물"/>
    <n v="3"/>
    <n v="7.0999999999999994E-2"/>
    <s v="2020년 11월"/>
    <d v="2020-11-01T00:00:00"/>
    <n v="11"/>
    <s v="-"/>
    <x v="2"/>
    <s v="2020년 11월경 OO농장 퇴비사 지붕에서 재해자(보통인부)가 선라이트로 덮힌 지붕 위에서 이동식크레인으로 인양한 선라이트(폴리카보네이트, t=1.2mm) 자재를 받던 중 C형강(Purlin, 중도리)이 없는 부분을 밟아 선라이트가 깨지면서 퇴비사 내부 바닥으로 떨어져(H≒7.5m)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1"/>
    <s v="해당없음"/>
    <s v="해당없음"/>
    <s v="해당없음"/>
    <s v="2020년 11월"/>
    <d v="2020-11-01T00:00:00"/>
    <n v="11"/>
    <s v="-"/>
    <x v="2"/>
    <s v="2020년 11월경 OO실내인테리어 현장에서 사업주와 재해자(보통인부)가 침실 돌출 발코니 천정 샌드위치패널 설치 중 바닥 샌드위치패널이 꺾이며, 1층 바닥(H≒7m)으로 함께 추락[사업주(부상), 재해자(사망)]"/>
    <s v="지붕에서 작업 중 밟고있던 마감재가 파손되면서 바닥으로 추락"/>
    <s v="▶ 노후화 되거나 강도가 약한 재료의 마감재 위에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 또는 천장재의 해체 또는 설치 작업 시, 고소작업대, 타워형 계단 등을 사용하여 위에서의 작업을 최소화할 수 있는 작업 방법을 검토"/>
  </r>
  <r>
    <n v="4"/>
    <x v="4"/>
    <x v="14"/>
    <x v="20"/>
    <s v="YES"/>
    <x v="11"/>
    <x v="28"/>
    <s v="해당없음"/>
    <s v="해당없음"/>
    <s v="해당없음"/>
    <s v="2020년 11월"/>
    <d v="2020-11-01T00:00:00"/>
    <n v="11"/>
    <s v="-"/>
    <x v="2"/>
    <s v="2020년 11월경 OO공사에서 재해자가 지붕 위에서 지붕 샌드위치패널(100x480x22Cm) 설치 작업 중 샌드위치패널이 기울어지며 패널과 함께 지상 1층 주차장 바닥으로 추락하여(H≒18m) 사망"/>
    <s v="지붕에서 작업 중 밟고있던 마감재가 파손되면서 바닥으로 추락"/>
    <s v="▶ 노후화 되거나 강도가 약한 재료의 마감재 위에 안전덮개(발판)를 견고하게 설치하여 마감재 파손이나 탈락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고소작업대, 타워형 계단 등을 사용하여 지붕 또는 천장 위에서의 작업을 최소화할 수 있는 작업 방법을 검토"/>
  </r>
  <r>
    <n v="4"/>
    <x v="4"/>
    <x v="14"/>
    <x v="20"/>
    <s v="YES"/>
    <x v="11"/>
    <x v="28"/>
    <s v="해당없음"/>
    <s v="해당없음"/>
    <s v="해당없음"/>
    <s v="2020년 11월"/>
    <d v="2020-11-01T00:00:00"/>
    <n v="11"/>
    <s v="-"/>
    <x v="2"/>
    <s v="2020년 11월경 OO공사에서 재해자가 지붕 위에서 지붕 기울기를 수정하기 위해 해체된 지붕 샌드위치패널을 운반하던 중 밟고 있는 패널이 꺾이면서 약 13.5m 아래 지상 1층 바닥으로 추락하여 사망"/>
    <s v="지붕에서 작업 중 밟고있던 마감재가 파손되면서 바닥으로 추락"/>
    <s v="▶ 노후화 되거나 강도가 약한 재료의 마감재 위에 안전덮개(발판)를 견고하게 설치하여 마감재 파손이나 탈락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고소작업대, 타워형 계단 등을 사용하여 지붕 또는 천장 위에서의 작업을 최소화할 수 있는 작업 방법을 검토"/>
  </r>
  <r>
    <n v="4"/>
    <x v="4"/>
    <x v="14"/>
    <x v="20"/>
    <s v="YES"/>
    <x v="11"/>
    <x v="30"/>
    <s v="12대 기인물"/>
    <n v="3"/>
    <n v="7.0999999999999994E-2"/>
    <s v="2021년 2월경"/>
    <d v="2021-02-01T00:00:00"/>
    <n v="2"/>
    <s v="혹한기"/>
    <x v="2"/>
    <s v="2021년 2월경 OO 축사 지붕 선라이트 교체공사 현장에서 재해자(형틀공)가 기존에 설치된 선라이트 고정용 볼트를 핸드 그라인더로 절단 하던 중 재해자가 밟은 노후 된 선라이트가 파손되면서 축사 바닥으로 떨어져(H≒4.8m)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21년 3월경"/>
    <d v="2021-03-01T00:00:00"/>
    <n v="3"/>
    <s v="-"/>
    <x v="2"/>
    <s v="2021년 3월경 OO가 시공중인「간판 철거 및 석면철거공사 등」 현장에서재해자(철거공)가 지붕 위에서 철거 작업 중 채광판이 깨지며 지상 1층바닥(H≒8.2m)으로 떨어져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21년 4월경"/>
    <d v="2021-04-01T00:00:00"/>
    <n v="4"/>
    <s v="-"/>
    <x v="2"/>
    <s v="2021년 4월경 OO에서 시공 중인 OO시설 철거 및 이전공사 현장에서, 재해자가 지붕 위에서 선라이트(Sunlight, 폴리카보네이트 재질의 지붕재)를 철거하던 중, 지면으로 떨어져(H≒3.9m)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21년 5월경"/>
    <d v="2021-05-01T00:00:00"/>
    <n v="5"/>
    <s v="-"/>
    <x v="2"/>
    <s v="2021년 5월경 OO이 시공 중인 OO목장 지붕 보수공사 현장에서 재해자(판넬공)가 지붕슬래브에서 선라이트(폴리카보나이트 채광판)를 해체하고 이동하는 중 높이 약 5.5m 아래 바닥(퇴비사 바닥 콘크리트면)으로 추락하여 사망(추정)"/>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21년 6월경"/>
    <d v="2021-06-01T00:00:00"/>
    <n v="6"/>
    <s v="혹서기"/>
    <x v="2"/>
    <s v="2021년 6월경 재해자가 ㈜OO OO공장 내 블렌더(Bleneder)공정 건축물 지붕의 채광창 보수작업을 위한 사전 공사개소 확인을 위해 지붕으로 이동하면서 밟은 노후된 샌드위치패널이 파손되면서 약 7.4m 아래 2층바닥으로 추락하여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21년 6월경"/>
    <d v="2021-06-01T00:00:00"/>
    <n v="6"/>
    <s v="혹서기"/>
    <x v="2"/>
    <s v="2021년 6월경 OO공사에서 재해자가 지붕판넬 설치작업 중 실족하면서 추락(H≒10.2m)하여 사망"/>
    <s v="지붕에서 작업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21년 8월경"/>
    <d v="2021-08-01T00:00:00"/>
    <n v="8"/>
    <s v="혹서기"/>
    <x v="2"/>
    <s v="2021년 8월경 노후 정비고 등 보수공사에서, 정비고 지붕 교체작업를 위한 준비작업 과정에 재해자가 지붕 위에서 이동 중 노후된 채광창 일부 탈락과 함께 약 10m 아래 바닥으로 떨어져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21년 9월경"/>
    <d v="2021-09-01T00:00:00"/>
    <n v="9"/>
    <s v="-"/>
    <x v="2"/>
    <s v="2021년 9월경 OO공사에서 재해자가 지붕에서 칼라강판 설치를 위한 먹매김 작업 중 지붕 단부로 이동하다가 3층 하역장 바닥으로 추락하여(H≒21m) 사망"/>
    <s v="지붕에서 이동하던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21년 9월경"/>
    <d v="2021-09-01T00:00:00"/>
    <n v="9"/>
    <s v="-"/>
    <x v="2"/>
    <s v="2021년 9월경 주유소 도색 공사 현장에서, 재해자가 주유소 캐노피 지붕 위에서 철골 도색 작업 중, 캐노피 지붕의 금이 간 유리를 밟고 바닥으로 떨어져(H≒6.6m)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21년 10월"/>
    <d v="2021-10-01T00:00:00"/>
    <n v="10"/>
    <s v="-"/>
    <x v="2"/>
    <s v="2021년 10월경 OO목장 지붕판 교체공사 현장에서 재해자(판넬공)가 축사 지붕위에서 이동 중 선라이트(sunlight) 판넬이 파손되면서 바닥으로 떨어져(H≒5.6m)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21년 10월"/>
    <d v="2021-10-01T00:00:00"/>
    <n v="10"/>
    <s v="-"/>
    <x v="2"/>
    <s v="2021년 10월경 OO공사에서 재해자가 지붕 샌드위치 패널 해체작업 중  하부가 지지되지 않은 패널부위를 밟고 6M 아래로 추락하여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21년 12월"/>
    <d v="2021-12-01T00:00:00"/>
    <n v="12"/>
    <s v="혹한기"/>
    <x v="2"/>
    <s v="2021년 12월경 축사 지붕 교체공사 현장에서 지붕 해체작업 중 재해자가 지붕 위에서 이동하다 선라이트(채광창) 일부가 탈락하며 바닥으로 추락(H≒6m)하여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21년 12월"/>
    <d v="2021-12-01T00:00:00"/>
    <n v="12"/>
    <s v="혹한기"/>
    <x v="2"/>
    <s v="2021년 12월경 OO공사에서 재해재가 지붕 위에서 천막 덧씌우기 작업 중 발을 헛디뎌 기존 노후 천막이 찢어지면서 바닥으로 추락하여(H≒9.8m)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OO축사 철거작업"/>
    <s v="X"/>
    <e v="#VALUE!"/>
    <e v="#VALUE!"/>
    <x v="2"/>
    <s v="OO축사 철거작업 현장에서 재해자가 슬레이트 지붕에서 이동 중, 경사면 슬레이트 일부가 부서지면서 콘크리트 바닥으로 추락(H≒4m)하여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5"/>
    <x v="5"/>
    <x v="15"/>
    <x v="44"/>
    <s v="YES"/>
    <x v="11"/>
    <x v="29"/>
    <s v="12대 기인물"/>
    <n v="3"/>
    <n v="7.0999999999999994E-2"/>
    <s v="2017년 5월경"/>
    <d v="2017-05-01T00:00:00"/>
    <n v="5"/>
    <s v="-"/>
    <x v="2"/>
    <s v="2017년 5월경 OO공사에서 재해자가 캐노피 상부에서 지붕 판넬 해체작업중 판넬 단부에서 실족하여 4.8m아래 지상 바닥으로 추락하여 사망"/>
    <s v="캐노피 상부 지붕 판넬 해체작업 중 판넬 단부 추락"/>
    <s v="▶ 지붕상부로 이동시 고소작업대(차량탑재형, 시저형) 또는 고정용 수직사다리를 이용하여 안전하게 이동_x000a_   - 고정용 수직사다리를 이용시 작업자는 안전대를 체결_x000a_▶ 지붕상부에서 이동시 60cm이상의 발판을 설치하여 이동통로를 구획(사전작업계획 수립)_x000a_   - 채광창(썬라이트)상부에 견고한 발판을 설치_x000a_▶ 지붕상부에 자재 과적재 금지_x000a_▶ 지붕 단부에는 안전난간대를 설치하여 단부에서의 추락방지조치 실시_x000a_▶ 지붕작업 전 지붕하단에는 추락방지망을 설치 후 작업실시_x000a_▶ 지붕해체 및 보수 작업자는 안전대를 체결한 상태로 작업실시"/>
  </r>
  <r>
    <n v="5"/>
    <x v="5"/>
    <x v="15"/>
    <x v="45"/>
    <s v="YES"/>
    <x v="11"/>
    <x v="29"/>
    <s v="12대 기인물"/>
    <n v="3"/>
    <n v="7.0999999999999994E-2"/>
    <s v="2014년 5월경"/>
    <d v="2014-05-01T00:00:00"/>
    <n v="5"/>
    <s v="-"/>
    <x v="2"/>
    <s v="2014년 5월경 OO공사에서 재해자 등이 사무실 지붕(조립식 판넬)에 올라가서 천정 전등 전선관 설치작업 중 미끄러지면서 높이 3.5m아래 콘크리트 바닥으로 추락하여 2명 부상"/>
    <s v="지붕 상부에 올라 천정 전등 전선관 설치작업 중 미끄러지면서 지붕 단부로 추락"/>
    <s v="▶ 지붕상부로 이동시 고소작업대(차량탑재형, 시저형) 또는 고정용 수직사다리를 이용하여 안전하게 이동_x000a_   - 고정용 수직사다리를 이용시 작업자는 안전대를 체결_x000a_▶ 지붕상부에서 이동시 60cm이상의 발판을 설치하여 이동통로를 구획(사전작업계획 수립)_x000a_   - 채광창(썬라이트)상부에 견고한 발판을 설치_x000a_▶ 지붕상부에 자재 과적재 금지_x000a_▶ 지붕 단부에는 안전난간대를 설치하여 단부에서의 추락방지조치 실시_x000a_▶ 지붕작업 전 지붕하단에는 추락방지망을 설치 후 작업실시_x000a_▶ 지붕해체 및 보수 작업자는 안전대를 체결한 상태로 작업실시"/>
  </r>
  <r>
    <n v="5"/>
    <x v="5"/>
    <x v="15"/>
    <x v="45"/>
    <s v="YES"/>
    <x v="11"/>
    <x v="29"/>
    <s v="12대 기인물"/>
    <n v="3"/>
    <n v="7.0999999999999994E-2"/>
    <s v="2016년 6월경"/>
    <d v="2016-06-01T00:00:00"/>
    <n v="6"/>
    <s v="혹서기"/>
    <x v="2"/>
    <s v="2016년 6월경 OO공사에서 재해자 등이 통신배관 포설을 위해 천장 마감재(샌드위치패널, t=5cm)를 밟고 작업하던 중 밟고 있던 마감재가 꺾이면서 천장틀(T-bar)에서 탈락하여 패널과 함께 약 4.7m 아래 콘크리트 바닥으로 추락하여 1명 사망 및 1명 부상"/>
    <s v="천장 마감재(텍스, 석고보드, 샌드위치 판넬 등) 상부에서 작업 중, 마감재가 파단되며 바닥으로 추락"/>
    <s v="▶ 지붕상부로 이동시 고소작업대(차량탑재형, 시저형) 또는 고정용 수직사다리를 이용하여 안전하게 이동_x000a_   - 고정용 수직사다리를 이용시 작업자는 안전대를 체결_x000a_▶ 지붕상부에서 이동시 60cm이상의 발판을 설치하여 이동통로를 구획(사전작업계획 수립)_x000a_   - 채광창(썬라이트)상부에 견고한 발판을 설치_x000a_▶ 지붕상부에 자재 과적재 금지_x000a_▶ 지붕 단부에는 안전난간대를 설치하여 단부에서의 추락방지조치 실시_x000a_▶ 지붕작업 전 지붕하단에는 추락방지망을 설치 후 작업실시_x000a_▶ 지붕해체 및 보수 작업자는 안전대를 체결한 상태로 작업실시"/>
  </r>
  <r>
    <n v="5"/>
    <x v="5"/>
    <x v="15"/>
    <x v="45"/>
    <s v="YES"/>
    <x v="11"/>
    <x v="29"/>
    <s v="12대 기인물"/>
    <n v="3"/>
    <n v="7.0999999999999994E-2"/>
    <s v="2016년 11월"/>
    <d v="2016-11-01T00:00:00"/>
    <n v="11"/>
    <s v="-"/>
    <x v="2"/>
    <s v="2016년 11월경 OO공사에서 재해자가 천장내부에서 전등설치를 위한 전선 배선작업 중 밟고 있던 샌드위치 패널(천장 마감재)이 탈락되면서 바닥으로 추락하여(H≒3.5m) 사망"/>
    <s v="천장 마감재(텍스, 석고보드, 샌드위치 판넬 등) 상부에서 작업 중, 마감재가 파단되며 바닥으로 추락"/>
    <s v="▶ 지붕상부로 이동시 고소작업대(차량탑재형, 시저형) 또는 고정용 수직사다리를 이용하여 안전하게 이동_x000a_   - 고정용 수직사다리를 이용시 작업자는 안전대를 체결_x000a_▶ 지붕상부에서 이동시 60cm이상의 발판을 설치하여 이동통로를 구획(사전작업계획 수립)_x000a_   - 채광창(썬라이트)상부에 견고한 발판을 설치_x000a_▶ 지붕상부에 자재 과적재 금지_x000a_▶ 지붕 단부에는 안전난간대를 설치하여 단부에서의 추락방지조치 실시_x000a_▶ 지붕작업 전 지붕하단에는 추락방지망을 설치 후 작업실시_x000a_▶ 지붕해체 및 보수 작업자는 안전대를 체결한 상태로 작업실시"/>
  </r>
  <r>
    <n v="5"/>
    <x v="5"/>
    <x v="15"/>
    <x v="45"/>
    <s v="YES"/>
    <x v="11"/>
    <x v="28"/>
    <s v="해당없음"/>
    <s v="해당없음"/>
    <s v="해당없음"/>
    <s v="2019년 2월경"/>
    <d v="2019-02-01T00:00:00"/>
    <n v="2"/>
    <s v="혹한기"/>
    <x v="2"/>
    <s v="2019년 2월경 OO공사에서 재해자 등이 천장(샌드위치 판넬 2개, 1,850×1,000×100)위에 올라가 기 설치된 전선 트레이의 위치를 변경하던 중 작업하중(작업자 2명 체중 : 약 150kg)에 의해 천장판넬이 고정부(L형 앵글)에서 탈락되면서 판넬과 함께 4.5M 아래 2층 바닥으로 추락하여 2명 부상"/>
    <s v="천장 판넬 상부에서 전기 배선작업 및 덕트 설치작업 중 판넬 자중 및 작업 하중을 견디지 못하고 천장이 붕괴되면서 동반 추락"/>
    <s v="▶ 지붕상부로 이동시 고소작업대(차량탑재형, 시저형) 또는 고정용 수직사다리를 이용하여 안전하게 이동_x000a_   - 고정용 수직사다리를 이용시 작업자는 안전대를 체결_x000a_▶ 지붕상부에서 이동시 60cm이상의 발판을 설치하여 이동통로를 구획(사전작업계획 수립)_x000a_   - 노후화된 천장판넬, 칼라강판, 채광창(썬라이트)상부에 견고한 발판을 설치_x000a_▶ 지붕상부에 자재 과적재 금지_x000a_▶ 지붕 단부에는 안전난간대를 설치하여 단부에서의 추락방지조치 실시_x000a_▶ 지붕작업 전 지붕하단에는 추락방지망을 설치 후 작업실시_x000a_▶ 지붕해체 및 보수 작업자는 안전대를 체결한 상태로 작업실시"/>
  </r>
  <r>
    <n v="5"/>
    <x v="5"/>
    <x v="15"/>
    <x v="45"/>
    <s v="YES"/>
    <x v="11"/>
    <x v="28"/>
    <s v="해당없음"/>
    <s v="해당없음"/>
    <s v="해당없음"/>
    <s v="2020년 7월경"/>
    <d v="2020-07-01T00:00:00"/>
    <n v="7"/>
    <s v="혹서기"/>
    <x v="2"/>
    <s v="2020년 7월경 OO공사에서 재해자 등이 천장 판넬 상부에서 전기 배선작업 및 덕트 설치작업 중 판넬 자중 및 작업 하중을 견디지 못하고 천장이 붕괴되면서 추락하여 2명 부상"/>
    <s v="천장 판넬 상부에서 전기 배선작업 및 덕트 설치작업 중 판넬 자중 및 작업 하중을 견디지 못하고 천장이 붕괴되면서 동반 추락"/>
    <s v="▶ 지붕상부로 이동시 고소작업대(차량탑재형, 시저형) 또는 고정용 수직사다리를 이용하여 안전하게 이동_x000a_   - 고정용 수직사다리를 이용시 작업자는 안전대를 체결_x000a_▶ 지붕상부에서 이동시 60cm이상의 발판을 설치하여 이동통로를 구획(사전작업계획 수립)_x000a_   - 노후화된 천장판넬, 칼라강판, 채광창(썬라이트)상부에 견고한 발판을 설치_x000a_▶ 지붕상부에 자재 과적재 금지_x000a_▶ 지붕 단부에는 안전난간대를 설치하여 단부에서의 추락방지조치 실시_x000a_▶ 지붕작업 전 지붕하단에는 추락방지망을 설치 후 작업실시_x000a_▶ 지붕해체 및 보수 작업자는 안전대를 체결한 상태로 작업실시"/>
  </r>
  <r>
    <n v="5"/>
    <x v="5"/>
    <x v="15"/>
    <x v="45"/>
    <s v="YES"/>
    <x v="11"/>
    <x v="30"/>
    <s v="12대 기인물"/>
    <n v="3"/>
    <n v="7.0999999999999994E-2"/>
    <s v="2020년 12월"/>
    <d v="2020-12-01T00:00:00"/>
    <n v="12"/>
    <s v="혹한기"/>
    <x v="2"/>
    <s v="2020년 12월경 OO공사에서 재해자가 태양광발전설비 모듈에 전선 결선 작업을 위해 축사 지붕 위를 이동하던 중 썬라이트를 밟고 약 6.4m아래 콘크리트 바닥으로 추락하여 사망"/>
    <s v="태양광발전설비 모듈 설치 및 배선작업, 상태확인을 위해 축사 및 공장동 지붕 위를 이동하던 중 채광창(썬라이트)을 밟고 바닥으로 추락"/>
    <s v="▶ 지붕상부로 이동시 고소작업대(차량탑재형, 시저형) 또는 고정용 수직사다리를 이용하여 안전하게 이동_x000a_   - 고정용 수직사다리를 이용시 안전대걸이설비(안전블럭 등)를 설치하고 승,하강시 안전대를 체결_x000a_▶ 지붕상부에서 이동시 60cm이상의 발판을 설치하여 이동통로를 구획 (사전작업계획 수립)_x000a_   - 노후화된 채광창(썬라이트)상부에 견고한 발판을 설치_x000a_▶ 지붕상부에 자재 과적재 금지_x000a_▶ 지붕 단부에는 안전난간대를 설치하여 단부에서의 추락방지조치 실시_x000a_▶ 지붕하부에는 추락방지망을 설치 후 작업실시_x000a_▶ 지붕해체 및 보수 작업자는 안전대를 체결한 상태로 작업실시"/>
  </r>
  <r>
    <n v="5"/>
    <x v="5"/>
    <x v="15"/>
    <x v="46"/>
    <s v="YES"/>
    <x v="11"/>
    <x v="28"/>
    <s v="해당없음"/>
    <s v="해당없음"/>
    <s v="해당없음"/>
    <s v="2017년 2월경"/>
    <d v="2017-02-01T00:00:00"/>
    <n v="2"/>
    <s v="혹한기"/>
    <x v="2"/>
    <s v="2017년 2월경 OO작업 현장에서 재해자가 천장내부에 들어가 조명기구의 흔들림 방지를 위한 각파이프 용접작업을 준비하던 중 천장 바닥을 밟아 합판이 탈락하면서 약 7.5m 높이의 천장에서 떨어짐"/>
    <s v="천장 판넬 상부에서 전기 배선작업 및 덕트 설치작업 중 판넬 자중 및 작업 하중을 견디지 못하고 천장이 붕괴되면서 동반 추락"/>
    <s v="▶ 지붕상부로 이동시 고소작업대(차량탑재형, 시저형) 또는 고정용 수직사다리를 이용하여 안전하게 이동_x000a_   - 고정용 수직사다리를 이용시 작업자는 안전대를 체결_x000a_▶ 지붕상부에서 이동시 60cm이상의 발판을 설치하여 이동통로를 구획(사전작업계획 수립)_x000a_   - 노후화된 천장판넬, 칼라강판, 채광창(썬라이트)상부에 견고한 발판을 설치_x000a_▶ 지붕상부에 자재 과적재 금지_x000a_▶ 지붕 단부에는 안전난간대를 설치하여 단부에서의 추락방지조치 실시_x000a_▶ 지붕작업 전 지붕하단에는 추락방지망을 설치 후 작업실시_x000a_▶ 지붕해체 및 보수 작업자는 안전대를 체결한 상태로 작업실시"/>
  </r>
  <r>
    <n v="5"/>
    <x v="5"/>
    <x v="15"/>
    <x v="46"/>
    <s v="YES"/>
    <x v="11"/>
    <x v="31"/>
    <s v="해당없음"/>
    <s v="해당없음"/>
    <s v="해당없음"/>
    <s v="2017년 5월경"/>
    <d v="2017-05-01T00:00:00"/>
    <n v="5"/>
    <s v="-"/>
    <x v="2"/>
    <s v="2017년 5월경 OO공사에서 재해자가 지붕 샌드위치판넬(두께 75mm) 위에서 전선 배관 설치 작업 중 지붕 샌드위치판넬이 탈락되면서 동시에 2.9m 아래 바닥으로 추락하여 사망"/>
    <s v="지붕 샌드위치판넬 위에서 전선 배관 설치 작업 중 지붕 샌드위치판넬이 탈락되면서 추락"/>
    <s v="▶ 지붕상부로 이동시 고소작업대(차량탑재형, 시저형) 또는 고정용 수직사다리를 이용하여 안전하게 이동_x000a_   - 고정용 수직사다리를 이용시 작업자는 안전대를 체결_x000a_▶ 지붕상부에서 이동시 60cm이상의 발판을 설치하여 이동통로를 구획(사전작업계획 수립)_x000a_   - 채광창(썬라이트)상부에 견고한 발판을 설치_x000a_▶ 지붕상부에 자재 과적재 금지_x000a_▶ 지붕 단부에는 안전난간대를 설치하여 단부에서의 추락방지조치 실시_x000a_▶ 지붕작업 전 지붕하단에는 추락방지망을 설치 후 작업실시_x000a_▶ 지붕해체 및 보수 작업자는 안전대를 체결한 상태로 작업실시"/>
  </r>
  <r>
    <n v="5"/>
    <x v="5"/>
    <x v="15"/>
    <x v="46"/>
    <s v="YES"/>
    <x v="11"/>
    <x v="29"/>
    <s v="12대 기인물"/>
    <n v="3"/>
    <n v="7.0999999999999994E-2"/>
    <s v="2019년 12월"/>
    <d v="2019-12-01T00:00:00"/>
    <n v="12"/>
    <s v="혹한기"/>
    <x v="2"/>
    <s v="2019년 12월경 OO공장 탈의실 증축현장에서 재해자가 통로의 천장판넬을 발판삼아 밟고 판넬위에 서서 전등 및 전선정리 작업중 밟고 있던 판넬이 탈락되면서 판넬과 함께 3.2m 아래로 떨어짐"/>
    <s v="샌드위치 판넬 천장에 서서 전선입선 및 에어셔터 전선 연결작업, 통신배관 포설 등 작업시 근로자들의 하중에 의해 판넬이 탈락하여 바닥으로 추락함"/>
    <s v="▶ 지붕상부로 이동시 고소작업대(차량탑재형, 시저형) 또는 고정용 수직사다리를 이용하여 안전하게 이동_x000a_   - 고정용 수직사다리를 이용시 작업자는 안전대를 체결_x000a_▶ 지붕상부에서 이동시 60cm이상의 발판을 설치하여 이동통로를 구획(사전작업계획 수립)_x000a_   - 채광창(썬라이트)상부에 견고한 발판을 설치_x000a_▶ 지붕상부에 자재 과적재 금지_x000a_▶ 지붕 단부에는 안전난간대를 설치하여 단부에서의 추락방지조치 실시_x000a_▶ 지붕작업 전 지붕하단에는 추락방지망을 설치 후 작업실시_x000a_▶ 지붕해체 및 보수 작업자는 안전대를 체결한 상태로 작업실시"/>
  </r>
  <r>
    <n v="5"/>
    <x v="5"/>
    <x v="16"/>
    <x v="22"/>
    <s v="YES"/>
    <x v="11"/>
    <x v="29"/>
    <s v="12대 기인물"/>
    <n v="3"/>
    <n v="7.0999999999999994E-2"/>
    <s v="2019년 3월경"/>
    <d v="2019-03-01T00:00:00"/>
    <n v="3"/>
    <s v="-"/>
    <x v="2"/>
    <s v="2019년 3월경 OO 태양광발전소 시설 설치 공사 현장에서 태양광시설모듈 운반 업무를 담당하던 재해자가 지붕 위에서 이동 중, 바닥으로떨어짐(H≒5.6m)"/>
    <s v="태양광시설모듈 운반업무를 담당한 근로자가 지붕 위에서 이동 중, 몸의 중심을 잃고 바닥으로 추락"/>
    <s v="▶ 추락 위험이 있는 작업 시, 안전난간, 추락방호망, 안전대부착설비 등 추락방지조치 준수_x000a_▶ 작업 전 안전보호구(안전모, 안전화, 안전대) 지급 및 착용상태 관리"/>
  </r>
  <r>
    <n v="5"/>
    <x v="5"/>
    <x v="16"/>
    <x v="22"/>
    <s v="YES"/>
    <x v="11"/>
    <x v="30"/>
    <s v="12대 기인물"/>
    <n v="3"/>
    <n v="7.0999999999999994E-2"/>
    <s v="2019년 6월경"/>
    <d v="2019-06-01T00:00:00"/>
    <n v="6"/>
    <s v="혹서기"/>
    <x v="2"/>
    <s v="2019년 6월경 OO 태양광발전소 시스템 구축 현장에서 재해자가 공장 B동 지붕 NO.1~2BL 사이에서 태양광 모듈의 상태를 확인하고 자재가 적재되어 있는 장소로 이동 중 칼라강판 사이에 설치된 선라이트를 밟고 떨어짐(H=22.8m)"/>
    <s v="태양광발전설비 모듈 설치 및 배선작업, 상태확인을 위해 축사 및 공장동 지붕 위를 이동하던 중 채광창(썬라이트)을 밟고 바닥으로 추락"/>
    <s v="▶ 지붕상부로 이동시 고소작업대(차량탑재형, 시저형) 또는 고정용 수직사다리를 이용하여 안전하게 이동_x000a_   - 고정용 수직사다리를 이용시 안전대걸이설비(안전블럭 등)를 설치하고 승,하강시 안전대를 체결_x000a_▶ 지붕상부에서 이동시 60cm이상의 발판을 설치하여 이동통로를 구획 (사전작업계획 수립)_x000a_   - 노후화된 채광창(썬라이트)상부에 견고한 발판을 설치_x000a_▶ 지붕상부에 자재 과적재 금지_x000a_▶ 지붕 단부에는 안전난간대를 설치하여 단부에서의 추락방지조치 실시_x000a_▶ 지붕하부에는 추락방지망을 설치 후 작업실시_x000a_▶ 지붕해체 및 보수 작업자는 안전대를 체결한 상태로 작업실시"/>
  </r>
  <r>
    <n v="5"/>
    <x v="5"/>
    <x v="16"/>
    <x v="22"/>
    <s v="YES"/>
    <x v="11"/>
    <x v="30"/>
    <s v="12대 기인물"/>
    <n v="3"/>
    <n v="7.0999999999999994E-2"/>
    <s v="2021년 10월"/>
    <d v="2021-10-01T00:00:00"/>
    <n v="10"/>
    <s v="-"/>
    <x v="2"/>
    <s v="2021년 10월경 OO 전기설비 유지보수 공사 현장에서 재해자가 사업장내 수전설비의 변압기 오일 교체작업을 하던 중 공장지붕을 이동하다, 공장 지붕(채광창)이 파손되면서 높이 약 8.6m 아래 공장바닥으로 추락"/>
    <s v="수전설비의 변압기 오일 교체작업을 하던 중 공장지붕을 이동하다, 공장 지붕(채광창)이 파손되면서 공장바닥으로 추락"/>
    <s v="▶ 추락할 위험이 있는 작업 시, 추락방호망, 안전난간대, 안전대 부착설비 등의 안전방호조치 실시_x000a_▶ 선라이트 등에서 발이 빠지는 등 위험우려가 있는 경우 폭 30cm 이상의 발판 설치 실시"/>
  </r>
  <r>
    <n v="5"/>
    <x v="5"/>
    <x v="16"/>
    <x v="23"/>
    <s v="YES"/>
    <x v="11"/>
    <x v="29"/>
    <s v="12대 기인물"/>
    <n v="3"/>
    <n v="7.0999999999999994E-2"/>
    <s v="2015년 12월"/>
    <d v="2015-12-01T00:00:00"/>
    <n v="12"/>
    <s v="혹한기"/>
    <x v="2"/>
    <s v="2015년 12월경 OOO도 OO군 OO면 소재 OOOO 축사 태양광 발전 신축공사 현장에서 재해자가 철골 구조물(Beam)과 태양광 모듈을 조립하기 위해 축사 지붕위에서 이동 중 지붕 강판이 파단되어 약 5.9m 바닥으로 떨어져 사망한 재해임"/>
    <s v="공장 지붕 상부 태양광 시설 설치 작업 중 지붕 판넬 파손으로 추락"/>
    <s v="▶ 옥상지붕을 통한 이동금지조치 실시_x000a_▶ 옥상지붕 이동이 불가피한 경우, 안전난간, 추락방호망, 안전대 부착설비를 통한 추락방지조치 실시"/>
  </r>
  <r>
    <n v="5"/>
    <x v="5"/>
    <x v="16"/>
    <x v="23"/>
    <s v="YES"/>
    <x v="11"/>
    <x v="29"/>
    <s v="12대 기인물"/>
    <n v="3"/>
    <n v="7.0999999999999994E-2"/>
    <s v="2016년 11월"/>
    <d v="2016-11-01T00:00:00"/>
    <n v="11"/>
    <s v="-"/>
    <x v="2"/>
    <s v="2016년 11월경 OOO도 OO시 (주)OOOO 공장 소재 『OOOO점검』현장에서,냉연정압기실내 중간밸브에서 LNG 누출이 의심되어 GEAR BOX 해체 중 폭발음과 함께 건물외벽인 판넬에 구멍이 생기면서 LNG가 누출되자, 메인밸브 차단을 위해 가스배관공이 냉연정압기실 지붕(H≒3.2m)으로 올라가서 수직배관에 돌출된 부위에 발을 딛고 손으로 잡고 매달려 메인밸브(H≒6.0m)를 돌리던 중 동료작업자와 작업교대를 하고 경사지붕으로 내려와 서서 동료작업자의 작업상황을 지켜보던 중, 몸의 중심을 잃고 건물 아래 잔디바닥(H≒3.2m)에 떨어져 사망한 재해임."/>
    <s v="밸브에서 가스 누출이 의심되어 GEAR BOX 해체 중 폭발음과 함께 건물외벽인 판넬에 구멍이 생기면서 LNG가 누출되자, 메인밸브 차단을 위해 배관공이 지붕으로 올라가서 밸브를 돌리던 중 경사지붕에서 추락"/>
    <s v="▶ 옥상지붕을 통한 이동금지조치 실시_x000a_▶ 옥상지붕 이동이 불가피한 경우, 안전난간, 추락방호망, 안전대 부착설비를 통한 추락방지조치 실시"/>
  </r>
  <r>
    <n v="5"/>
    <x v="5"/>
    <x v="16"/>
    <x v="23"/>
    <s v="YES"/>
    <x v="11"/>
    <x v="30"/>
    <s v="12대 기인물"/>
    <n v="3"/>
    <n v="7.0999999999999994E-2"/>
    <s v="2017년 7월경"/>
    <d v="2017-07-01T00:00:00"/>
    <n v="7"/>
    <s v="혹서기"/>
    <x v="2"/>
    <s v="2017년 7월경 OOO도 OO시 소재 OOO 태양광 발전소 설치현장의 공장 주2동 지붕에서 재해자 OOO와 동료근로자 3명이 태양광 모듈 고정용 철골조립 작업을 진행하던 중, 인접한 공장동 사이에 설치된 선라이트를  밟고 이동하다 파단되면서 9.6m 아래 콘크리트 바닥에 추락하여 사망한 재해임"/>
    <s v="지붕 위에서 태양광 모듈 고정용 철골조립 작업 진행 중 선라이트 파단에 의해 바닥으로 추락"/>
    <s v="▶ 근로자용 이동통로 설치_x000a_▶ 추락할 위험이 있는 작업 시, 작업발판, 추락방호망 등 안전방호조치 실시_x000a_▶ 작업 전 개인보호구 지급 및 착용상태 관리_x000a_▶ 작업 전 안전대 지급 및 체결상태 관리"/>
  </r>
  <r>
    <n v="5"/>
    <x v="5"/>
    <x v="16"/>
    <x v="23"/>
    <s v="YES"/>
    <x v="11"/>
    <x v="29"/>
    <s v="12대 기인물"/>
    <n v="3"/>
    <n v="7.0999999999999994E-2"/>
    <s v="2017년 8월경"/>
    <d v="2017-08-01T00:00:00"/>
    <n v="8"/>
    <s v="혹서기"/>
    <x v="2"/>
    <s v="2017년 8월경, OOO도 OO군 OO면 소재 OOOOOO(주)에서 시공하는 태양광발전 시설 설치 공사 현장에서 OOOO 근로자 등 6명이 건물 지붕 위에서 태양광 모듈 지지대를 설치하던 중, 지붕 끝 단부에서 재해자가 몸의 중심을 잃고 콘크리트 바닥으로 떨어져H6.2m) 사망한 재해임."/>
    <s v="공장 지붕 상부 태양광 시설 설치 작업 중 지붕 단부로 추락"/>
    <s v="▶ 옥상지붕을 통한 이동금지조치 실시_x000a_▶ 옥상지붕 이동이 불가피한 경우, 안전난간, 추락방호망, 안전대 부착설비를 통한 추락방지조치 실시"/>
  </r>
  <r>
    <n v="5"/>
    <x v="5"/>
    <x v="16"/>
    <x v="23"/>
    <s v="YES"/>
    <x v="11"/>
    <x v="30"/>
    <s v="12대 기인물"/>
    <n v="3"/>
    <n v="7.0999999999999994E-2"/>
    <s v="2018년 8월경"/>
    <d v="2018-08-01T00:00:00"/>
    <n v="8"/>
    <s v="혹서기"/>
    <x v="2"/>
    <s v="2018년 8월경 OOO도 OO군 OO리 소재 OOOOOO(주)에서 시공하는 OOO 태양광 발전소 현장에서 재해자가 축사 지붕위에서 2인 1조로 태양전지 모듈 구조용 C형강을 옮기는 중, 노후화된 선라이트*를 밟아 파손되면서 약 5.4m 아래 축사 바닥으로 떨어져 병원으로 이송·치료 중 사망한 재해임_x000d_"/>
    <s v="태양광발전설비 모듈 설치 및 배선작업, 상태확인을 위해 축사 및 공장동 지붕 위를 이동하던 중 채광창(썬라이트)을 밟고 바닥으로 추락"/>
    <s v="▶ 지붕상부로 이동시 고소작업대(차량탑재형, 시저형) 또는 고정용 수직사다리를 이용하여 안전하게 이동_x000a_   - 고정용 수직사다리를 이용시 안전대걸이설비(안전블럭 등)를 설치하고 승,하강시 안전대를 체결_x000a_▶ 지붕상부에서 이동시 60cm이상의 발판을 설치하여 이동통로를 구획 (사전작업계획 수립)_x000a_   - 노후화된 채광창(썬라이트)상부에 견고한 발판을 설치_x000a_▶ 지붕상부에 자재 과적재 금지_x000a_▶ 지붕 단부에는 안전난간대를 설치하여 단부에서의 추락방지조치 실시_x000a_▶ 지붕하부에는 추락방지망을 설치 후 작업실시_x000a_▶ 지붕해체 및 보수 작업자는 안전대를 체결한 상태로 작업실시"/>
  </r>
  <r>
    <n v="5"/>
    <x v="5"/>
    <x v="16"/>
    <x v="23"/>
    <s v="YES"/>
    <x v="11"/>
    <x v="30"/>
    <s v="12대 기인물"/>
    <n v="3"/>
    <n v="7.0999999999999994E-2"/>
    <s v="2019년 1월경"/>
    <d v="2019-01-01T00:00:00"/>
    <n v="1"/>
    <s v="혹한기"/>
    <x v="2"/>
    <s v="2019년 1월경 OOO도 OO군 OO면 OO로 소재 OOOO(주)에서 발주한 태양광 발전소 건립공사 현장에서 공장동 지붕에 태양광 모듈 지지용 철구조물 설치 작업을 진행하던 재해자가 지붕의 선라이트를 밟아 파손되면서 13.5m 아래 콘크리트 바닥으로 추락하여 병원으로 후송하였으나 사망한 재해임"/>
    <s v="철골기둥 건립작업을 위해 철골기둥의 앵커볼트 가체결 후 철골기둥에 매단 슬링을 제거하는 순간, 철골기둥이 전도되면서 철골 보의 철골기둥에 부딪혀 철골 보 상부에서 이동 중인 근로자가 중심을 잃고 추락"/>
    <s v="▶ 철골 조립 시 철골의 접합부가 충분히 지지되도록 볼트 체결_x000a_▶ 견고한 구조 형성 전 들어올린 철골을 걸이로프 등으로부터 결속 유지_x000a_▶ 철골조립 시 안전대 부착설비 설치 및 안전대 지급"/>
  </r>
  <r>
    <n v="5"/>
    <x v="5"/>
    <x v="16"/>
    <x v="23"/>
    <s v="YES"/>
    <x v="11"/>
    <x v="28"/>
    <s v="해당없음"/>
    <s v="해당없음"/>
    <s v="해당없음"/>
    <s v="  2019년 4"/>
    <d v="2019-04-01T00:00:00"/>
    <n v="4"/>
    <s v="-"/>
    <x v="2"/>
    <s v="  2019년 4월경 OO도 OO시 OO구 소재 OOOOOO에서 재해자가 천장(높이 약 15m) 석고보드 윗 부분에 디퓨져 설치 작업 중, 중심을 잃고 석고보드 위로 넘어짐과 동시에 충격을 받은 석고보드가 부서지면서 재해자가 약 15m 아래 바닥으로 떨어져, 병원 치료 중 재해당일 16:20분경 사망한 재해임."/>
    <s v="천장 마감재(텍스, 석고보드, 샌드위치 판넬 등) 상부에서 작업 중, 마감재가 파단되며 바닥으로 추락"/>
    <s v="▶ 추락할 위험이 있는 작업 시, 추락방호망, 안전난간대, 안전대 부착설비 등의 안전방호조치 실시_x000a_▶ 작업 전 개인보호구 지급 및 착용상태 관리 실시"/>
  </r>
  <r>
    <n v="5"/>
    <x v="5"/>
    <x v="16"/>
    <x v="23"/>
    <s v="YES"/>
    <x v="11"/>
    <x v="30"/>
    <s v="12대 기인물"/>
    <n v="3"/>
    <n v="7.0999999999999994E-2"/>
    <s v="2019년 6월경"/>
    <d v="2019-06-01T00:00:00"/>
    <n v="6"/>
    <s v="혹서기"/>
    <x v="2"/>
    <s v="2019년 6월경 OOO도 OO군 OO면 소재 OO 태양광발전소 건립공사에서 재해자가 퇴비사 지붕 위에서 태양광발전 구조물 하부위치의 기초플레이트 천공 부위 빗물유입 방지 실리콘코킹작업 중 선라이트가 파손되면서 4.8m 아래 콘크리트 바닥으로 떨어져 사망한 재해임"/>
    <s v="지붕 위에서 태양광 모듈 고정용 철골조립 작업 진행 중 선라이트 파단에 의해 바닥으로 추락"/>
    <s v="▶ 근로자용 이동통로 설치_x000a_▶ 추락할 위험이 있는 작업 시, 작업발판, 추락방호망 등 안전방호조치 실시_x000a_▶ 작업 전 개인보호구 지급 및 착용상태 관리_x000a_▶ 작업 전 안전대 지급 및 체결상태 관리"/>
  </r>
  <r>
    <n v="5"/>
    <x v="5"/>
    <x v="16"/>
    <x v="23"/>
    <s v="YES"/>
    <x v="11"/>
    <x v="28"/>
    <s v="해당없음"/>
    <s v="해당없음"/>
    <s v="해당없음"/>
    <s v="2019년 7월경"/>
    <d v="2019-07-01T00:00:00"/>
    <n v="7"/>
    <s v="혹서기"/>
    <x v="2"/>
    <s v="2019년 7월경 OOOOOO(주) 공장 지붕위에서 재해자가 태양광 발전시설을 설치하기 위해 지붕위를 이동 중 지붕 판넬이 파손되면서 높이 8.3m 아래의 공장 바닥으로 추락하여 인근 병원으로 이송하였으나 사망한 재해임._x000d_"/>
    <s v="공장 지붕 상부 태양광 시설 설치 작업 중 지붕 판넬 파손으로 추락"/>
    <s v="▶ 추락할 위험이 있는 작업 시, 추락방호망, 안전난간대, 안전대 부착설비 등의 안전방호조치 실시_x000a_▶ 작업 전 개인보호구 지급 및 착용상태 관리 실시"/>
  </r>
  <r>
    <n v="5"/>
    <x v="5"/>
    <x v="16"/>
    <x v="23"/>
    <s v="YES"/>
    <x v="11"/>
    <x v="28"/>
    <s v="해당없음"/>
    <s v="해당없음"/>
    <s v="해당없음"/>
    <s v="2019년 8월경"/>
    <d v="2019-08-01T00:00:00"/>
    <n v="8"/>
    <s v="혹서기"/>
    <x v="2"/>
    <s v="2019년 8월경 OO도 OO시 OO읍 소재 ㈜OOO OOOO 공장 현장 내 공장동 지상 3층에서 OOOOOO(주) 소속의 재해자 2명이 천장 마감재(샌드위치 패널) 위로 올라가서 스프링클러 설치 작업을 하던 중 천장 마감재 한쪽이 탈락되며 높이 3.3m아래 콘크리트 바닥으로 추락, 2명 모두 부상당한 재해임."/>
    <s v="천장 마감재(샌드위치 패널) 상부에서 스프링쿨러 설치 작업 중 마감재 한쪽이 탈락되며 추락"/>
    <s v="▶ 추락할 위험이 있는 작업 시, 추락방호망, 안전난간대, 안전대 부착설비 등의 안전방호조치 실시_x000a_▶ 작업 전 개인보호구 지급 및 착용상태 관리 실시"/>
  </r>
  <r>
    <n v="5"/>
    <x v="5"/>
    <x v="16"/>
    <x v="23"/>
    <s v="YES"/>
    <x v="11"/>
    <x v="30"/>
    <s v="12대 기인물"/>
    <n v="3"/>
    <n v="7.0999999999999994E-2"/>
    <s v="2019년 9월경"/>
    <d v="2019-09-01T00:00:00"/>
    <n v="9"/>
    <s v="-"/>
    <x v="2"/>
    <s v="2019년 9월경 OOO도 OO시 OO면 소재, OOO 태양광발전소 설치 현장에서 재해자가 축사 지붕에 설치할 태양전지모듈의 지지구조물 설치를 위해 지붕에서 철재부재(C형강)를 옆으로 옮기던 중 열화된 선라이트를 밟아 파손되면서 약 6.2m 아래 축사 내부 콘크리트 바닥으로 떨어져 병원으로 이송, 치료중 사망한 재해임."/>
    <s v="태양광발전설비 모듈 설치 및 배선작업, 상태확인을 위해 축사 및 공장동 지붕 위를 이동하던 중 채광창(썬라이트)을 밟고 바닥으로 추락"/>
    <s v="▶ 지붕상부로 이동시 고소작업대(차량탑재형, 시저형) 또는 고정용 수직사다리를 이용하여 안전하게 이동_x000a_   - 고정용 수직사다리를 이용시 안전대걸이설비(안전블럭 등)를 설치하고 승,하강시 안전대를 체결_x000a_▶ 지붕상부에서 이동시 60cm이상의 발판을 설치하여 이동통로를 구획 (사전작업계획 수립)_x000a_   - 노후화된 채광창(썬라이트)상부에 견고한 발판을 설치_x000a_▶ 지붕상부에 자재 과적재 금지_x000a_▶ 지붕 단부에는 안전난간대를 설치하여 단부에서의 추락방지조치 실시_x000a_▶ 지붕하부에는 추락방지망을 설치 후 작업실시_x000a_▶ 지붕해체 및 보수 작업자는 안전대를 체결한 상태로 작업실시"/>
  </r>
  <r>
    <n v="5"/>
    <x v="5"/>
    <x v="16"/>
    <x v="23"/>
    <s v="YES"/>
    <x v="11"/>
    <x v="29"/>
    <s v="12대 기인물"/>
    <n v="3"/>
    <n v="7.0999999999999994E-2"/>
    <s v="2019년 11월"/>
    <d v="2019-11-01T00:00:00"/>
    <n v="11"/>
    <s v="-"/>
    <x v="2"/>
    <s v="2019년 11월경 OO도 OO시 OO면 OO리 소재 OOOO㈜ OOOO 공장 신축 중 기계제작 설치 현장에서 에어컨 설치  협력업체인 OOOO 대표와 근로자 4명이 공장동 천장 마감재를 밟고 에어컨 및 배관 설치작업을 하던 중 천장 패널 3장이 고정부(T-bar)에서 이탈하며 높이 6m 아래 콘크리트 바닥으로 5명 모두 추락, 모두 부상(중상 2, 경상 3, 대표 포함)한 재해임."/>
    <s v="천장 마감재(텍스, 석고보드, 샌드위치 판넬 등) 상부에서 작업 중, 마감재가 파단되며 바닥으로 추락"/>
    <s v="▶ 옥상지붕을 통한 이동금지조치 실시_x000a_▶ 옥상지붕 이동이 불가피한 경우, 안전난간, 추락방호망, 안전대 부착설비를 통한 추락방지조치 실시"/>
  </r>
  <r>
    <n v="5"/>
    <x v="5"/>
    <x v="16"/>
    <x v="23"/>
    <s v="YES"/>
    <x v="11"/>
    <x v="30"/>
    <s v="12대 기인물"/>
    <n v="3"/>
    <n v="7.0999999999999994E-2"/>
    <s v="2020년 5월경"/>
    <d v="2020-05-01T00:00:00"/>
    <n v="5"/>
    <s v="-"/>
    <x v="2"/>
    <s v="2020년 5월경 OOO도 OO군 OO면 소재 ㈜OOOOO 주택용 태양광 구조물 조립작업 현장에서 재해자가 주택용 태양광 구조물 설치공사 중 축사 지붕 위에서 이동 중 기존 설치된 선라이트를 밟아 깨지면서 약3.1m 아래의 축사 내부 콘크리트 바닥으로 떨어져 병원 후송 후 치료하였으나 사망한 재해임."/>
    <s v="태양광발전설비 모듈 설치 및 배선작업, 상태확인을 위해 축사 및 공장동 지붕 위를 이동하던 중 채광창(썬라이트)을 밟고 바닥으로 추락"/>
    <s v="▶ 지붕상부로 이동시 고소작업대(차량탑재형, 시저형) 또는 고정용 수직사다리를 이용하여 안전하게 이동_x000a_   - 고정용 수직사다리를 이용시 안전대걸이설비(안전블럭 등)를 설치하고 승,하강시 안전대를 체결_x000a_▶ 지붕상부에서 이동시 60cm이상의 발판을 설치하여 이동통로를 구획 (사전작업계획 수립)_x000a_   - 노후화된 채광창(썬라이트)상부에 견고한 발판을 설치_x000a_▶ 지붕상부에 자재 과적재 금지_x000a_▶ 지붕 단부에는 안전난간대를 설치하여 단부에서의 추락방지조치 실시_x000a_▶ 지붕하부에는 추락방지망을 설치 후 작업실시_x000a_▶ 지붕해체 및 보수 작업자는 안전대를 체결한 상태로 작업실시"/>
  </r>
  <r>
    <n v="5"/>
    <x v="5"/>
    <x v="16"/>
    <x v="23"/>
    <s v="YES"/>
    <x v="11"/>
    <x v="30"/>
    <s v="12대 기인물"/>
    <n v="3"/>
    <n v="7.0999999999999994E-2"/>
    <s v="2020년 6월경"/>
    <d v="2020-06-01T00:00:00"/>
    <n v="6"/>
    <s v="혹서기"/>
    <x v="2"/>
    <s v="2020년 6월경 OOO도 OO시 OO면 소재 OOOO 태양광발전소 설치공사 현장에서 협력업체인 OOOOOO(주) 소속 근로자인 재해자가 휴식시간에 음료수를 가지고 이동 중 지붕과 지붕사이의 선라이트를 통해 약 4.5m 아래 바닥으로 떨어져 사망한 재해임."/>
    <s v="지붕 위에서 태양광 모듈 고정용 철골조립 작업 진행 중 선라이트 파단에 의해 바닥으로 추락"/>
    <s v="▶ 근로자용 이동통로 설치_x000a_▶ 추락할 위험이 있는 작업 시, 작업발판, 추락방호망 등 안전방호조치 실시_x000a_▶ 작업 전 개인보호구 지급 및 착용상태 관리_x000a_▶ 작업 전 안전대 지급 및 체결상태 관리"/>
  </r>
  <r>
    <n v="5"/>
    <x v="5"/>
    <x v="16"/>
    <x v="23"/>
    <s v="YES"/>
    <x v="11"/>
    <x v="28"/>
    <s v="해당없음"/>
    <s v="해당없음"/>
    <s v="해당없음"/>
    <s v="2020년 10월"/>
    <d v="2020-10-01T00:00:00"/>
    <n v="10"/>
    <s v="-"/>
    <x v="2"/>
    <s v="2020년 10월경 OO시 OO구 소재 ㈜OOOO, OOO 현장(공장) 천정 텍스  도색, 보수건 공사 현장에서 OOOO 소속의 재해자가 천장 환기 시설물 철거작업을 하기 위해 천정 텍스 내부(안)에서 이동 중 몸의 중심을 잃고 넘어지면서 높이 약 4m 공장 바닥으로 추락하여 인근병원에서 치료중 사망한 재해임."/>
    <s v="천장 마감재(텍스, 석고보드, 샌드위치 판넬 등) 상부에서 작업 중, 마감재가 파단되며 바닥으로 추락"/>
    <s v="▶ 추락할 위험이 있는 작업 시, 추락방호망, 안전난간대, 안전대 부착설비 등의 안전방호조치 실시_x000a_▶ 작업 전 개인보호구 지급 및 착용상태 관리 실시"/>
  </r>
  <r>
    <n v="5"/>
    <x v="5"/>
    <x v="16"/>
    <x v="23"/>
    <s v="YES"/>
    <x v="11"/>
    <x v="30"/>
    <s v="12대 기인물"/>
    <n v="3"/>
    <n v="7.0999999999999994E-2"/>
    <s v="2020년 11월"/>
    <d v="2020-11-01T00:00:00"/>
    <n v="11"/>
    <s v="-"/>
    <x v="2"/>
    <s v="2020년 11월경 OO도 OO시 OO면 소재 ㈜OOOOOO 시공하는 OO발전소 설치공사 현장에서 재해자가 농장 지붕에 태양광발전소 설치를 위해 지붕 상부에서 이동 중 선라이트를 밟아 파손되면서 약 6m 아래 축사 바닥으로 떨어져 병원으로 이송 치료 중 사망한 재해임_x000d_"/>
    <s v="지붕 위에서 태양광 모듈 고정용 철골조립 작업 진행 중 선라이트 파단에 의해 바닥으로 추락"/>
    <s v="▶ 근로자용 이동통로 설치_x000a_▶ 추락할 위험이 있는 작업 시, 작업발판, 추락방호망 등 안전방호조치 실시_x000a_▶ 작업 전 개인보호구 지급 및 착용상태 관리_x000a_▶ 작업 전 안전대 지급 및 체결상태 관리"/>
  </r>
  <r>
    <n v="5"/>
    <x v="5"/>
    <x v="16"/>
    <x v="23"/>
    <s v="YES"/>
    <x v="11"/>
    <x v="30"/>
    <s v="12대 기인물"/>
    <n v="3"/>
    <n v="7.0999999999999994E-2"/>
    <s v="2020년 11월"/>
    <d v="2020-11-01T00:00:00"/>
    <n v="11"/>
    <s v="-"/>
    <x v="2"/>
    <s v="2020년 11월경 OOO도 OO시 OO로 소재 OOOO(주)가 시공하는 OOO O호 태양광 발전설비 건설공사 현장에서 OOOOO(협력업체) 소속의 재해자가 축사 지붕의 태양광 모듈 설치작업을 하던 중 선라이트(Sunlight)를 밟아 높이 약 5.0m 아래 바닥으로 추락하여 사망한 재해임."/>
    <s v="태양광발전설비 모듈 설치 및 배선작업, 상태확인을 위해 축사 및 공장동 지붕 위를 이동하던 중 채광창(썬라이트)을 밟고 바닥으로 추락"/>
    <s v="▶ 지붕상부로 이동시 고소작업대(차량탑재형, 시저형) 또는 고정용 수직사다리를 이용하여 안전하게 이동_x000a_   - 고정용 수직사다리를 이용시 안전대걸이설비(안전블럭 등)를 설치하고 승,하강시 안전대를 체결_x000a_▶ 지붕상부에서 이동시 60cm이상의 발판을 설치하여 이동통로를 구획 (사전작업계획 수립)_x000a_   - 노후화된 채광창(썬라이트)상부에 견고한 발판을 설치_x000a_▶ 지붕상부에 자재 과적재 금지_x000a_▶ 지붕 단부에는 안전난간대를 설치하여 단부에서의 추락방지조치 실시_x000a_▶ 지붕하부에는 추락방지망을 설치 후 작업실시_x000a_▶ 지붕해체 및 보수 작업자는 안전대를 체결한 상태로 작업실시"/>
  </r>
  <r>
    <n v="5"/>
    <x v="5"/>
    <x v="23"/>
    <x v="47"/>
    <s v="YES"/>
    <x v="11"/>
    <x v="29"/>
    <s v="12대 기인물"/>
    <n v="3"/>
    <n v="7.0999999999999994E-2"/>
    <s v="2019년 10월"/>
    <d v="2019-10-01T00:00:00"/>
    <n v="10"/>
    <s v="-"/>
    <x v="2"/>
    <s v="2019년 10월경 OOO시 OO군에 소재한 OOOO이 시공중인  OOOO 공장 엘리베이터 슬래브 해체공사 현장에서 직영 근로자인 OOO이 엘리베이터 슬래브 해체를 위해 절단기를 이용하여 작업하던 중, 데크플레이트가 무게를 버티지 못하고 하부로 꺽이면서 생긴 개구부(1.1m×1.2m)를 통해 재해자가 엘리베이트 피트 바닥(H≒13.4m)으로 떨어져 병원으로 후송 치료 중 사망한 재해임."/>
    <s v="E/V 슬래브 해체를 위해 절단기로 작업하던 중 데크플레이트가 하중을 버티지 못하고 파손되면서 생긴 개구부를 통해 E/V PIT 바닥으로 추락"/>
    <s v="▶ E/V 옥탑 슬래브 해체 공사 시, 옥탑 안전 난간대를 설치하고, 안전블럭 등을 통해 안전대 부착설비 구축 및 작업자 안전대 체결상태 확인 후 작업 실시_x000a_▶ 노후화된 구조체의 경우 해체 전, 사전 검토를 통해 보강이 필요할 경우 지지대 등의 보강재 설치 후 해체 작업 진행_x000a_▶ 작업자의 개인보호구, 안전대 체결여부 점검 및 관리감독"/>
  </r>
  <r>
    <n v="5"/>
    <x v="5"/>
    <x v="23"/>
    <x v="47"/>
    <s v="YES"/>
    <x v="11"/>
    <x v="29"/>
    <s v="12대 기인물"/>
    <n v="3"/>
    <n v="7.0999999999999994E-2"/>
    <s v="2020년 11월"/>
    <d v="2020-11-01T00:00:00"/>
    <n v="11"/>
    <s v="-"/>
    <x v="2"/>
    <s v="2020년 11월경 재해자가 OO동 1~2호라인 승강기(11호기) 점검을 마치고 3~4호라인 승강기(12호기) 점검을 위해 옥상 경사지붕 위로 이동하던 중에 중심을 잃고 바닥으로 추락(H≒14m)하여 사망"/>
    <s v="안전난간이 미설치된 옥상 경사지붕 이동 중 몸의 균형을 잃고 바닥으로 추락"/>
    <s v="▶ 옥상지붕을 통한 이동금지조치 실시_x000a_▶ 옥상지붕 이동이 불가피한 경우, 안전난간, 추락방호망, 안전대 부착설비를 통한 추락방지조치 실시"/>
  </r>
  <r>
    <n v="4"/>
    <x v="4"/>
    <x v="10"/>
    <x v="37"/>
    <s v="YES"/>
    <x v="12"/>
    <x v="32"/>
    <s v="12대 기인물"/>
    <n v="4"/>
    <n v="6.9000000000000006E-2"/>
    <s v="2017년 2월경"/>
    <d v="2017-02-01T00:00:00"/>
    <n v="2"/>
    <s v="혹한기"/>
    <x v="2"/>
    <s v="2017년 2월경 OO신축공사에서 지상 4층 북동쪽 대피소(소형 발코니)에 말비계(높이 약 70㎝)를 두고 그 위에 올라가 바람막이 비닐을 설치하던 중, 비닐을 잡고 있던 동료작업자가 말비계에서 내려가는 순간 뒤로 넘어지며 대피소 슬래브 단부로 떨어져 약 14m 아래 지상 1층 콘크리트 바닥으로 추락하여 사망"/>
    <s v="안전난간이 설치되지 않은 발코니에서 2명의 근로자가 말비계 위에 올라가 바람막이 비닐을 설치하던 중 비닐을 잡고 있던 동료근로자가 말비계에서 내려가는 순간 몸의 균형을 잃고 넘어지며 발코니 단부로 추락 "/>
    <s v="▶ 말비계를 평탄한 바닥면에 견고하게 설치_x000a_▶ 추락위험이 있는 경우 안전대를 착용토록 하고 안전대 부착설비에 안전대를 체결한 후 작업"/>
  </r>
  <r>
    <n v="4"/>
    <x v="4"/>
    <x v="10"/>
    <x v="15"/>
    <s v="YES"/>
    <x v="12"/>
    <x v="32"/>
    <s v="12대 기인물"/>
    <n v="4"/>
    <n v="6.9000000000000006E-2"/>
    <s v="2016년 10월"/>
    <d v="2016-10-01T00:00:00"/>
    <n v="10"/>
    <s v="-"/>
    <x v="2"/>
    <s v="2016년 10월경 OO신축공사에서 말비계위에서 해머드릴을 사용하여 12층 엘리베이터 출입구 상단 콘크리트 할석작업 중 몸의 중심을 잃고 엘리베이터 피트를 통해 지하 1층 바닥(H=38.7m)으로 추락하여 사망"/>
    <s v="추락방지조치 미실시한 상태에서 말비계 위에서 견출 작업 중 몸의 중심을 잃고 추락"/>
    <s v="▶ 말비계를 평탄한 바닥면에 견고하게 설치_x000a_▶ 추락위험이 있는 경우 안전대를 착용토록 하고 안전대 부착설비에 안전대를 체결한 후 작업"/>
  </r>
  <r>
    <n v="4"/>
    <x v="4"/>
    <x v="10"/>
    <x v="15"/>
    <s v="YES"/>
    <x v="12"/>
    <x v="32"/>
    <s v="12대 기인물"/>
    <n v="4"/>
    <n v="6.9000000000000006E-2"/>
    <s v="2017년 8월경"/>
    <d v="2017-08-01T00:00:00"/>
    <n v="8"/>
    <s v="혹서기"/>
    <x v="2"/>
    <s v="2017년 8월경 OO신축공사에서 세대 발코니 천장 견출작업을 위해 말비계 위에서 핸드그라인더로 천장 면정리 작업 중 콘크리트 바닥으로 추락하여(H≒1.1m) 사망"/>
    <s v="추락방지조치 미실시한 상태에서 말비계 위에서 견출 작업 중 몸의 중심을 잃고 추락"/>
    <s v="▶ 말비계를 평탄한 바닥면에 견고하게 설치_x000a_▶ 추락위험이 있는 경우 안전대를 착용토록 하고 안전대 부착설비에 안전대를 체결한 후 작업"/>
  </r>
  <r>
    <n v="4"/>
    <x v="4"/>
    <x v="10"/>
    <x v="15"/>
    <s v="YES"/>
    <x v="12"/>
    <x v="32"/>
    <s v="12대 기인물"/>
    <n v="4"/>
    <n v="6.9000000000000006E-2"/>
    <s v="2017년 10월"/>
    <d v="2017-10-01T00:00:00"/>
    <n v="10"/>
    <s v="-"/>
    <x v="2"/>
    <s v="2017년 10월경 OO리모델링 공사에서 화장실 내부미장 작업 중 말비계(발판높이 75cm)상부에서 몸의 중심을 잃고 넘어지면서 콘크리트 벽에 머리를 부딪혀 사망"/>
    <s v="추락방지조치 미실시한 상태에서 말비계 위에서 견출 작업 중 몸의 중심을 잃고 추락"/>
    <s v="▶ 말비계를 평탄한 바닥면에 견고하게 설치_x000a_▶ 추락위험이 있는 경우 안전대를 착용토록 하고 안전대 부착설비에 안전대를 체결한 후 작업"/>
  </r>
  <r>
    <n v="4"/>
    <x v="4"/>
    <x v="10"/>
    <x v="15"/>
    <s v="YES"/>
    <x v="12"/>
    <x v="32"/>
    <s v="12대 기인물"/>
    <n v="4"/>
    <n v="6.9000000000000006E-2"/>
    <s v="2017년 11월"/>
    <d v="2017-11-01T00:00:00"/>
    <n v="11"/>
    <s v="-"/>
    <x v="2"/>
    <s v="2017년 11월경 OO신축공사에서 1층 비상엘리베이터 앞 복도에서 말비계(높이 1.3m)에 올라 수지미장작업 후 말비계 우측으로 내려오던 중, 말비계 우측 지주부재를 고정하는 보조부재가 이탈되면서 말비계 지주가 미끄러져 몸의 중심을 잃고 뒤로 넘어지면서 콘크리트 바닥에 머리가 부딪혀 사망"/>
    <s v="미장작업을 마치고 말비계 답단을 밟고 내려오던 중 말비계 지주부재를 고정하는 보조부재가 이탈하면서 전도되어 몸의 중심을 잃고 추락"/>
    <s v="▶ 작업 전 말비계 작업발판 훼손여부 및 연결부 고정상태 등 점검 철저 _x000a_▶ 말비계를 조립하여 사용하는 경우 지주부재와 수평면의 기울기를 75도 이하로 설치_x000a_▶ 추락위험이 있는 경우 안전대를 착용토록 하고 안전대 부착설비에 안전대를 체결한 후 작업"/>
  </r>
  <r>
    <n v="4"/>
    <x v="4"/>
    <x v="10"/>
    <x v="15"/>
    <s v="YES"/>
    <x v="12"/>
    <x v="32"/>
    <s v="12대 기인물"/>
    <n v="4"/>
    <n v="6.9000000000000006E-2"/>
    <s v="2018년 1월경"/>
    <d v="2018-01-01T00:00:00"/>
    <n v="1"/>
    <s v="혹한기"/>
    <x v="2"/>
    <s v="2018년 1월경 OO신축공사에서 6층 발코니에 설치된 말비계 상부에서 실내 견출 작업을 진행하던 중 몸의 중심을 잃고 말비계에서 발코니 창호구간 바깥쪽 지상으로 추락하여(H≒17m) 사망"/>
    <s v="추락방지조치 미실시한 상태에서 말비계 위에서 견출 작업 중 몸의 중심을 잃고 추락"/>
    <s v="▶ 말비계를 평탄한 바닥면에 견고하게 설치_x000a_▶ 추락위험이 있는 경우 안전대를 착용토록 하고 안전대 부착설비에 안전대를 체결한 후 작업"/>
  </r>
  <r>
    <n v="4"/>
    <x v="4"/>
    <x v="10"/>
    <x v="15"/>
    <s v="YES"/>
    <x v="12"/>
    <x v="32"/>
    <s v="12대 기인물"/>
    <n v="4"/>
    <n v="6.9000000000000006E-2"/>
    <s v="2018년 5월경"/>
    <d v="2018-05-01T00:00:00"/>
    <n v="5"/>
    <s v="-"/>
    <x v="2"/>
    <s v="2018년 5월경 OO신축공사에서 옥상 단부에 설치 된 말비계 위에서 계단실 옥탑 외벽을 핸드 그라인더로 견출작업(면갈이) 중 지상으로 추락하여(H≒70m) 사망"/>
    <s v="추락방지조치 미실시한 상태에서 말비계 위에서 견출 작업 중 몸의 중심을 잃고 추락"/>
    <s v="▶ 말비계를 평탄한 바닥면에 견고하게 설치_x000a_▶ 추락위험이 있는 경우 안전대를 착용토록 하고 안전대 부착설비에 안전대를 체결한 후 작업"/>
  </r>
  <r>
    <n v="4"/>
    <x v="4"/>
    <x v="10"/>
    <x v="15"/>
    <s v="YES"/>
    <x v="12"/>
    <x v="32"/>
    <s v="12대 기인물"/>
    <n v="4"/>
    <n v="6.9000000000000006E-2"/>
    <s v="2018년 5월경"/>
    <d v="2018-05-01T00:00:00"/>
    <n v="5"/>
    <s v="-"/>
    <x v="2"/>
    <s v="2018년 5월경 OO신축공사에서 4층 전면 발코니에 설치된 말비계 위에서 견출작업 중 말비계에서 건물 외부 지상 1층 바닥으로 추락하여(H≒11.8m) 사망"/>
    <s v="추락방지조치 미실시한 상태에서 말비계 위에서 견출 작업 중 몸의 중심을 잃고 추락"/>
    <s v="▶ 말비계를 평탄한 바닥면에 견고하게 설치_x000a_▶ 추락위험이 있는 경우 안전대를 착용토록 하고 안전대 부착설비에 안전대를 체결한 후 작업"/>
  </r>
  <r>
    <n v="4"/>
    <x v="4"/>
    <x v="10"/>
    <x v="15"/>
    <s v="YES"/>
    <x v="12"/>
    <x v="32"/>
    <s v="12대 기인물"/>
    <n v="4"/>
    <n v="6.9000000000000006E-2"/>
    <s v="2021년 5월경"/>
    <d v="2021-05-01T00:00:00"/>
    <n v="5"/>
    <s v="-"/>
    <x v="2"/>
    <s v="2021년 5월경 OO신축공사에서 5~6층 계단에 설치된 말비계 작업발판위에서 견출작업 중 5층 계단실 바닥(H≒1.8m)으로 추락하여 사망"/>
    <s v="추락방지조치 미실시한 상태에서 말비계 위에서 견출 작업 중 몸의 중심을 잃고 추락"/>
    <s v="▶ 말비계를 평탄한 바닥면에 견고하게 설치_x000a_▶ 추락위험이 있는 경우 안전대를 착용토록 하고 안전대 부착설비에 안전대를 체결한 후 작업"/>
  </r>
  <r>
    <n v="4"/>
    <x v="4"/>
    <x v="10"/>
    <x v="15"/>
    <s v="YES"/>
    <x v="12"/>
    <x v="32"/>
    <s v="12대 기인물"/>
    <n v="4"/>
    <n v="6.9000000000000006E-2"/>
    <s v="2021년 9월경"/>
    <d v="2021-09-01T00:00:00"/>
    <n v="9"/>
    <s v="-"/>
    <x v="2"/>
    <s v="2021년 9월경 OO신축공사에서 8층 승강기 전실 창호 콘크리트면 견출 작업을 하던 중 약 25.5m 아래 지면으로 추락하여 사망"/>
    <s v="추락방지조치 미실시한 상태에서 말비계 위에서 견출 작업 중 몸의 중심을 잃고 추락"/>
    <s v="▶ 말비계를 평탄한 바닥면에 견고하게 설치_x000a_▶ 추락위험이 있는 경우 안전대를 착용토록 하고 안전대 부착설비에 안전대를 체결한 후 작업"/>
  </r>
  <r>
    <n v="4"/>
    <x v="4"/>
    <x v="38"/>
    <x v="100"/>
    <s v="YES"/>
    <x v="12"/>
    <x v="32"/>
    <s v="12대 기인물"/>
    <n v="4"/>
    <n v="6.9000000000000006E-2"/>
    <s v="2017년 8월경"/>
    <d v="2017-08-01T00:00:00"/>
    <n v="8"/>
    <s v="혹서기"/>
    <x v="2"/>
    <s v="2017년 8월경 OO신축공사 현장에서 재해자가 욕실 벽체 타일 줄눈작업을 위해 말비계(H=0.5m) 위로 올라가던 중 말비계가 넘어지면서 뒤로 떨어져 사망"/>
    <s v="욕실 벽체의 타일 줄눈작업을 위해 말비계에 올라가던 중 말비계가 전도되며 뒤로 떨어짐"/>
    <s v="▶ 말비계 첫 단의 높이가 높아 올라가는 과정에서 추락 등의 위험이 있는 경우 계단 또는 사다리 등 안전한 승강통로를 설치하여 사용_x000a_▶ 말비계를 평탄한 바닥면에 견고하게 설치_x000a_▶ 추락위험이 있는 경우 안전대를 착용토록 하고 안전대 부착설비에 안전대를 체결한 후 작업"/>
  </r>
  <r>
    <n v="4"/>
    <x v="4"/>
    <x v="21"/>
    <x v="39"/>
    <s v="YES"/>
    <x v="12"/>
    <x v="32"/>
    <s v="12대 기인물"/>
    <n v="4"/>
    <n v="6.9000000000000006E-2"/>
    <s v="2016년 7월경"/>
    <d v="2016-07-01T00:00:00"/>
    <n v="7"/>
    <s v="혹서기"/>
    <x v="2"/>
    <s v="2016년 7월경 OO공장 신축공사현장에서 재해자가 지상2층 내부 칸막이벽 도장작업 중 말비계(높이:약 73cm)에서 몸의 중심을 잃고 바닥으로 넘어져 사망"/>
    <s v="설치가 불량한 말비계 위에서 내부 칸막이벽 도장작업 중 몸의 중심을 잃고 추락 "/>
    <s v="▶ 말비계를 평탄한 바닥면에 견고하게 설치_x000a_▶ 추락위험이 있는 경우 안전대를 착용토록 하고 안전대 부착설비에 안전대를 체결한 후 작업"/>
  </r>
  <r>
    <n v="4"/>
    <x v="4"/>
    <x v="12"/>
    <x v="18"/>
    <s v="YES"/>
    <x v="12"/>
    <x v="32"/>
    <s v="12대 기인물"/>
    <n v="4"/>
    <n v="6.9000000000000006E-2"/>
    <s v="2016년 7월경"/>
    <d v="2016-07-01T00:00:00"/>
    <n v="7"/>
    <s v="혹서기"/>
    <x v="2"/>
    <s v="2016년 7월경 고온소각시설 제작 및 설치공사 현장에서 보일러 제작·설치공사 협력업체 소속 재해자가 보일러 철골 남측 2단 플랫폼 위 말비계에서 철골 3단 보(Girder)를 설치하기 위해 레버풀러(Lever Puller)를 당기던 중 펑 소리와 함께 몸의 균형을 잃고 외측으로 튕겨 나가며 약 10m 아래 경사면으로 추락하여 사망"/>
    <s v="안전난간을 설치하지 않은 작업발판 위에 말비계, 그 위에 페인트통을 두고 올라서서 작업하던 중 레버풀러를 조작하는 순간 훅이 탈락되며 튕겨져 나오면서 그 충격으로 몸의 균형을 잃고 바닥으로 추락"/>
    <s v="▶ 레버풀러 이용 시 훅이 빠지는 등 튕김방지를 위해 훅을 대상물에 직접 체결하는 것이 아닌 피벗클램프나 러그를 연결하여 사용_x000a_▶ 작업발판 단부의 추락위험이 있는 장소에는 안전난간 설치_x000a_▶ 안전난간 설치가 곤란할 경우 안전대 부착설비 설치 및 안전대 착용"/>
  </r>
  <r>
    <n v="4"/>
    <x v="4"/>
    <x v="13"/>
    <x v="42"/>
    <s v="YES"/>
    <x v="12"/>
    <x v="32"/>
    <s v="12대 기인물"/>
    <n v="4"/>
    <n v="6.9000000000000006E-2"/>
    <s v="2017년 4월경"/>
    <d v="2017-04-01T00:00:00"/>
    <n v="4"/>
    <s v="-"/>
    <x v="2"/>
    <s v="2017년 4월경 OO병원 인테리어 공사현장 진료실에서 재해자(도배공)가 작업발판(말비계) 위에서 벽체 도배작업 중 중심을 잃고 바닥으로 떨어져 사망"/>
    <s v="말비계 위에서 양손을 머리 위로 올린 자세로 작업하던 중 몸의 중심을 잃고 추락"/>
    <s v="▶ 말비계의 높이가 낮아 작업이 어려울 경우, 다른 규격의 말비계로 교체하여 작업하거나 말비계 하부에 작업자를 추가 배치하여 작업자 및 말비계를 잡아주도록 조치 후 작업 진행_x000a_▶ 말비계 작업발판 양 단부에 낙상 경보 장치를 설치하여 근로자 추락 방지_x000a_▶ 말비계를 사용하여 작업 시 개인보호구 착용여부 관리감독"/>
  </r>
  <r>
    <n v="4"/>
    <x v="4"/>
    <x v="13"/>
    <x v="42"/>
    <s v="YES"/>
    <x v="12"/>
    <x v="32"/>
    <s v="12대 기인물"/>
    <n v="4"/>
    <n v="6.9000000000000006E-2"/>
    <s v="2021년 3월경"/>
    <d v="2021-03-01T00:00:00"/>
    <n v="3"/>
    <s v="-"/>
    <x v="2"/>
    <s v="2021년 3월경 OO부대 관사동 도배·장판 인테리어 공사 현장에서 재해자가 거실 천장 도배작업을 위해 말비계(H=0.6m) 위로 올라가 작업 중 중심을 잃고 뒤로 떨어져 뒷편 벽체에 머리를 부딪혀 뇌출혈로 사망"/>
    <s v="말비계 위에서 양손을 머리 위로 올린 자세로 작업하던 중 몸의 중심을 잃고 추락"/>
    <s v="▶ 말비계의 높이가 낮아 작업이 어려울 경우, 다른 규격의 말비계로 교체하여 작업하거나 말비계 하부에 작업자를 추가 배치하여 작업자 및 말비계를 잡아주도록 조치 후 작업 진행_x000a_▶ 말비계 작업발판 양 단부에 낙상 경보 장치를 설치하여 근로자 추락 방지_x000a_▶ 말비계를 사용하여 작업 시 개인보호구 착용여부 관리감독"/>
  </r>
  <r>
    <n v="5"/>
    <x v="5"/>
    <x v="15"/>
    <x v="45"/>
    <s v="YES"/>
    <x v="12"/>
    <x v="32"/>
    <s v="12대 기인물"/>
    <n v="4"/>
    <n v="6.9000000000000006E-2"/>
    <s v="2017년 12월"/>
    <d v="2017-12-01T00:00:00"/>
    <n v="12"/>
    <s v="혹한기"/>
    <x v="2"/>
    <s v="2017년 12월경 OO공사에서 재해자가 말비계를 이용하여 벽체 전선관 배관작업 중 몸의 중심을 잃고 바닥으로 추락하여(H≒1.2m) 사망 "/>
    <s v="말비계를 사용한 전선관 배관작업 중 몸의 중심을 잃고 바닥으로 추락"/>
    <s v="▶ 말비계 안전한 구조의 말비계를 사용_x000a_   - 발판의 폭이 40cm이상의 비계를 사용_x000a_   - 말비계의 4지점이 견고한 구조의 바닥에 지지_x000a_   - 발판의 양 끝지점은 단부의 위치를 알수있도록 표시_x000a_▶ 작업자는 안전모를 올바르게 착용하고 작업을 실시"/>
  </r>
  <r>
    <n v="5"/>
    <x v="5"/>
    <x v="16"/>
    <x v="23"/>
    <s v="YES"/>
    <x v="12"/>
    <x v="32"/>
    <s v="12대 기인물"/>
    <n v="4"/>
    <n v="6.9000000000000006E-2"/>
    <s v="2016년 5월경"/>
    <d v="2016-05-01T00:00:00"/>
    <n v="5"/>
    <s v="-"/>
    <x v="2"/>
    <s v="2016년 5월경 재해자가 말비계(높이 : 0.95m)에서 객실 화장실 상부 환기배관(flexible, 높이 : 2.4m))연결작업을  완료한 후, 불명의 원인에 의하여 말비계에서 떨어지며(추정)두부손상을 입어, 병원으로 후송되어 치료 중 사망한 재해임"/>
    <s v="말비계를 사용한 전선관 배관작업 중 몸의 중심을 잃고 바닥으로 추락"/>
    <s v="▶ 말비계 안전한 구조의 말비계를 사용_x000a_   - 발판의 폭이 40cm이상의 비계를 사용_x000a_   - 말비계의 4지점이 견고한 구조의 바닥에 지지_x000a_   - 발판의 양 끝지점은 단부의 위치를 알수있도록 표시_x000a_▶ 작업자는 안전모를 올바르게 착용하고 작업을 실시"/>
  </r>
  <r>
    <n v="1"/>
    <x v="8"/>
    <x v="19"/>
    <x v="54"/>
    <s v="YES"/>
    <x v="13"/>
    <x v="33"/>
    <s v="해당없음"/>
    <s v="해당없음"/>
    <s v="해당없음"/>
    <s v="2017년 5월경"/>
    <d v="2017-05-01T00:00:00"/>
    <n v="5"/>
    <s v="-"/>
    <x v="0"/>
    <s v="2017년 5월경 OO공사에서 재해자가 용수잠관(L=25.3m,직경=1,000mm)내부에서 용수 잠관 바닥의 퇴적토사 및 오폐물제거 작업 중 용수잠관과 연결된 집수정(수직피트,1.5m×1.5m,H=6.8m)으로 유입되는 용수를 인지 후 대피과정에서 빠져나오지 못하여 익사로 사망"/>
    <s v="용수잠관 바닥의 퇴적토사 및 오폐물제거 작업 중 용수잠관과 연결된 집수정으로 유입되는 용수를 인지하지 못하고 익사"/>
    <s v="▶ 집수정 및 용수잠관 등 밀폐공간 작업 시 통신설비(무전기 등) 구비 및 위험 상황 발생시 즉시 연락_x000a_▶ 집수정 및 용수잠관 등 밀폐공간 작업 시 승강설비 설치방법을 준수하며 안전대나 구명줄을 착용하여 안전하게 이동할 수 있는 설비 설치"/>
  </r>
  <r>
    <n v="10"/>
    <x v="10"/>
    <x v="32"/>
    <x v="65"/>
    <s v="NO"/>
    <x v="13"/>
    <x v="33"/>
    <s v="해당없음"/>
    <s v="해당없음"/>
    <s v="해당없음"/>
    <s v="2016년 3월경"/>
    <d v="2016-03-01T00:00:00"/>
    <n v="3"/>
    <s v="-"/>
    <x v="14"/>
    <s v="2016년 3월경 OO방파제 보수보강공사 현장에서 잠수보조공인 재해자가 잠수자격 취득을 위한 연습 목적(진술에 따른 추정)으로 잠수부가 벗어둔 잠수 슈트를 입고 잠수를 했고 주변에 있던 바지선 선두가 재해자가 잠수한 곳에서 거품이 과다하게 발생하는 이상 징후를 발견하고 재해자를 바지선 위로 끌어올려 심폐소생술을 시도하였으나 사망"/>
    <s v="수중 작업을 하던 중 보호구의 이상 등 이상징후 발생으로 의식을 잃어 익사"/>
    <s v="▶ 수중 작업자 비상 연락용구 지급_x000a_▶ 작업 전 잠수기구 송기관(공기호스) 연결부 점검을 통한 이상유무 확인_x000a_▶ 잠수 작업 시 작업자와의 연락을 담당하는 감시자 배치를 통한 안전방호조치 실시"/>
  </r>
  <r>
    <n v="10"/>
    <x v="10"/>
    <x v="32"/>
    <x v="65"/>
    <s v="NO"/>
    <x v="13"/>
    <x v="33"/>
    <s v="해당없음"/>
    <s v="해당없음"/>
    <s v="해당없음"/>
    <s v="2016년 4월경"/>
    <d v="2016-04-01T00:00:00"/>
    <n v="4"/>
    <s v="-"/>
    <x v="14"/>
    <s v="2016년 4월경 OO면 OO리 남서 약24km 해상 수심 67m에서 모래채취선의 샌드펌프 인양 작업 중 의식을 잃고 사망"/>
    <s v="수중 작업을 하던 중 보호구의 이상 등 이상징후 발생으로 의식을 잃어 익사"/>
    <s v="▶ 수중 작업자 비상 연락용구 지급_x000a_▶ 작업 전 잠수기구 송기관(공기호스) 연결부 점검을 통한 이상유무 확인_x000a_▶ 잠수 작업 시 작업자와의 연락을 담당하는 감시자 배치를 통한 안전방호조치 실시"/>
  </r>
  <r>
    <n v="10"/>
    <x v="10"/>
    <x v="32"/>
    <x v="65"/>
    <s v="NO"/>
    <x v="13"/>
    <x v="33"/>
    <s v="해당없음"/>
    <s v="해당없음"/>
    <s v="해당없음"/>
    <s v="2016년 11월"/>
    <d v="2016-11-01T00:00:00"/>
    <n v="11"/>
    <s v="-"/>
    <x v="14"/>
    <s v="2016년 11월경 OO항 부근의 해저에서 재해자가 수중(수심 약 2m) 이식플레이트 설치 작업 중 호흡곤란으로 의식을 잃어 사망"/>
    <s v="수중 작업을 하던 중 보호구의 이상 등 이상징후 발생으로 의식을 잃어 익사"/>
    <s v="▶ 수중 작업자 비상 연락용구 지급_x000a_▶ 작업 전 잠수기구 송기관(공기호스) 연결부 점검을 통한 이상유무 확인_x000a_▶ 잠수 작업 시 작업자와의 연락을 담당하는 감시자 배치를 통한 안전방호조치 실시"/>
  </r>
  <r>
    <n v="10"/>
    <x v="10"/>
    <x v="32"/>
    <x v="65"/>
    <s v="NO"/>
    <x v="13"/>
    <x v="33"/>
    <s v="해당없음"/>
    <s v="해당없음"/>
    <s v="해당없음"/>
    <s v="2016년 12월"/>
    <d v="2016-12-01T00:00:00"/>
    <n v="12"/>
    <s v="혹한기"/>
    <x v="14"/>
    <s v="2016년 12월경 OO부두에서 선박 수중 검사 현장에서 ㈜OO 소속 재해자가 선박 하부 수중에서 육안 검사 중 의식을 잃고 사망"/>
    <s v="수중 작업을 하던 중 보호구의 이상 등 이상징후 발생으로 의식을 잃어 익사"/>
    <s v="▶ 수중 작업자 비상 연락용구 지급_x000a_▶ 작업 전 잠수기구 송기관(공기호스) 연결부 점검을 통한 이상유무 확인_x000a_▶ 잠수 작업 시 작업자와의 연락을 담당하는 감시자 배치를 통한 안전방호조치 실시"/>
  </r>
  <r>
    <n v="10"/>
    <x v="10"/>
    <x v="32"/>
    <x v="65"/>
    <s v="NO"/>
    <x v="13"/>
    <x v="33"/>
    <s v="해당없음"/>
    <s v="해당없음"/>
    <s v="해당없음"/>
    <s v="2016년 12월"/>
    <d v="2016-12-01T00:00:00"/>
    <n v="12"/>
    <s v="혹한기"/>
    <x v="14"/>
    <s v="2016년 12월경 OO항 먼 바다에서 잠수사인 재해자가 정박 중인 선박(LNG선)의 외판 수중 청소작업을 하던 중 선박 바닥(수심9m)에 있는 것을 긴급 구조하였으나 사망"/>
    <s v="수중 작업을 하던 중 보호구의 이상 등 이상징후 발생으로 의식을 잃어 익사"/>
    <s v="▶ 수중 작업자 비상 연락용구 지급_x000a_▶ 작업 전 잠수기구 송기관(공기호스) 연결부 점검을 통한 이상유무 확인_x000a_▶ 잠수 작업 시 작업자와의 연락을 담당하는 감시자 배치를 통한 안전방호조치 실시"/>
  </r>
  <r>
    <n v="10"/>
    <x v="10"/>
    <x v="32"/>
    <x v="65"/>
    <s v="NO"/>
    <x v="13"/>
    <x v="33"/>
    <s v="해당없음"/>
    <s v="해당없음"/>
    <s v="해당없음"/>
    <s v="2017년 2월경"/>
    <d v="2017-02-01T00:00:00"/>
    <n v="2"/>
    <s v="혹한기"/>
    <x v="14"/>
    <s v="2017년 2월경 OO제거 현장에서 침수된 SEP Barge 인양작업을 하기 위하여 재해자가 수심 23m 지점에서 인양용 체인 줄걸이작업을 하던 중 해수면으로 부상하여 해상크레인 보조후크를 가지고 재입수하였으나 작업위치로 돌아오지 않아 동료잠수사가 입수하여 확인결과 수심 15m 지점 수중 선체에서 의식이 없는 상태로 사망"/>
    <s v="수중 작업을 하던 중 보호구의 이상 등 이상징후 발생으로 의식을 잃어 익사"/>
    <s v="▶ 수중 작업자 비상 연락용구 지급_x000a_▶ 작업 전 잠수기구 송기관(공기호스) 연결부 점검을 통한 이상유무 확인_x000a_▶ 잠수 작업 시 작업자와의 연락을 담당하는 감시자 배치를 통한 안전방호조치 실시"/>
  </r>
  <r>
    <n v="11"/>
    <x v="0"/>
    <x v="1"/>
    <x v="1"/>
    <s v="YES"/>
    <x v="13"/>
    <x v="33"/>
    <s v="해당없음"/>
    <s v="해당없음"/>
    <s v="해당없음"/>
    <s v="2016년 11월"/>
    <d v="2016-11-01T00:00:00"/>
    <n v="11"/>
    <s v="-"/>
    <x v="0"/>
    <s v="2016년 11월 경 OOOO(주)이 시공하는 OO도 OO시 OO면 OOOO 일원의 OOOO 조성사업 현장에서 출렁다리 공사 협력업체인 ㈜OOOO 소속 착암공 4명 및 측량공 3명이 파도가 거세지자 출렁다리 주탑 기초부에서 철수하기 위해 갯바위상으로 이동하던 중, 협곡의 저지대를 통과하던 OOOO이 너울성 파도에 휩쓸려 실종되어 해경 및 119에서 수색, 사고발생지점 인근에서 구조하였으나 사망한 재해임"/>
    <s v="출렁다리 주탑 기초부 공사에서 악천 후 및 강풍 시 작업을 강행하였으나 작업철수시 너울성 파도로 인한 익사"/>
    <s v="▶ 작업 전 기상상태를 파악하여 악천후 또는 강풍이 예상될 경우 작업중지 _x000a_▶ 해상 등에 빠질위험이 있는 경우 구명대 등을 곳곳에 배치하여 익사사고 예방"/>
  </r>
  <r>
    <n v="11"/>
    <x v="0"/>
    <x v="1"/>
    <x v="1"/>
    <s v="YES"/>
    <x v="13"/>
    <x v="33"/>
    <s v="해당없음"/>
    <s v="해당없음"/>
    <s v="해당없음"/>
    <s v="2020년 11월"/>
    <d v="2020-11-01T00:00:00"/>
    <n v="11"/>
    <s v="-"/>
    <x v="2"/>
    <s v="2020년 11월경 OOO시 OO구 소재 OOOO(주)가 시공 중인 「OOOO」현장에서 협력업체 OOOO(주) 소속 재해자가 집수정 설치를 위해 굴착해놓은 피트(우천으로 물이 고인상태)에 빠져있는 것을 동료근로자가 발견 구조하여 병원으로 이송하였으나 당일 사망한 재해임."/>
    <s v="집수정 설치를 위해 굴착해놓은 피트(우천으로 물이 고인상태)에 빠져 익사"/>
    <s v="▶ 후속시공이 연속하여 이어지지 않는 경우, 발생한 개구부(집수정 등)는 개구부 덮개 등을 이용하여 막음조치_x000a_▶ 개구부 부근에서 작업 시 안전난간 설치 등 추락방지조치 실시"/>
  </r>
  <r>
    <n v="11"/>
    <x v="0"/>
    <x v="1"/>
    <x v="2"/>
    <s v="YES"/>
    <x v="13"/>
    <x v="33"/>
    <s v="해당없음"/>
    <s v="해당없음"/>
    <s v="해당없음"/>
    <s v="2020년 5월경"/>
    <d v="2020-05-01T00:00:00"/>
    <n v="5"/>
    <s v="-"/>
    <x v="11"/>
    <s v="2020년 5월경 OOO시 OO구에 소재한 ㈜OOOO이 시공하는 상수도 시설물 정비공사 현장에서 ㈜OOOO 소속 근로자 OOO이 신설된 상수도관(Ø1200㎜, L=5.2m) 내부에서 용접작업을 하던 중 상수도 임시 차단밸브(라인스토퍼)가 파손되며 누수된 수돗물의 압력으로 상수도관 밖으로 밀려나와 물이 차 오른 피트(가로 5.2m * 세로 3.6m * 깊이 2.4m)에서 익사한 재해임."/>
    <s v="상수도관 내부에서 용접작업을 하던 중 상수도 임시 차단밸브가 파손되어 누수된 수돗물의 압력으로 상수도 관 밖으로 밀려나와 물이 차오른 피트에서 근로자가 익사"/>
    <s v="_x000a_▶ 수돗물이 유입되는 것을 막기 위한 시설물 설치 시 수압 등 외력에 의한 파손의 위험에 예방하기 위해 구조검토 실시_x000a_▶ 관리감독자를 두어 기계, 기구 또는 설비의 안전보건점검 및 이상 유무의 확인 실시"/>
  </r>
  <r>
    <n v="11"/>
    <x v="0"/>
    <x v="1"/>
    <x v="2"/>
    <s v="YES"/>
    <x v="13"/>
    <x v="33"/>
    <s v="해당없음"/>
    <s v="해당없음"/>
    <s v="해당없음"/>
    <s v="2020년 9월경"/>
    <d v="2020-09-01T00:00:00"/>
    <n v="9"/>
    <s v="-"/>
    <x v="15"/>
    <s v="2020년 9월경 OOO도 OO시 OO구 소재 (주)OO이 시공하는「OOOO 하수도 준설공사(연간단가)」현장에서 협력업체 소속 보통인부가 원형 콘크리트 오수맨홀 내부 바닥(깊이 4.4m, 직경 1m)에서 토사 및 돌 등으로 막혀 있던 유입관로(PE관, D300mm)를 뚫기 위해  준설차 흡입 호스(D125mm)로 준설작업을 하던 중 갑자기 뚫리면서 관로 내부(약 50m 구간)에 고여 있던 오수가 유입되면서 맨홀 내부에 오수가 순식간에 차올라(발목이 찰 정도에서 약 1.8m로 수위 상승)  익사한 재해임"/>
    <s v="준설작업 중 관로 내부에 고여 있던 오수가 유입되며 오수가 순식간에 차올라 익사"/>
    <s v="▶ 대피용 기구(사다리, 섬유로프, 구조용 삼각대 등) 비치 내부 작업자와 연락을 할 수 있는 무전기 등 통신장비 지급_x000a_▶ 관로 내부에서 작업을 하는 경우 해당 작업장의 지형ㆍ지반, 기상작용에 의한 위험성 등을 사전에 조사하고 그 결과를 고려하여 근로자에게 주지시킬 것 "/>
  </r>
  <r>
    <n v="11"/>
    <x v="0"/>
    <x v="1"/>
    <x v="2"/>
    <s v="YES"/>
    <x v="13"/>
    <x v="33"/>
    <s v="해당없음"/>
    <s v="해당없음"/>
    <s v="해당없음"/>
    <s v="2021년 6월경"/>
    <d v="2021-06-01T00:00:00"/>
    <n v="6"/>
    <s v="혹서기"/>
    <x v="15"/>
    <s v="2021년 6월경 OOO도 OO시 OO구 소재 (주)OOOO 「OOOO 상수도공사」 현장에서 협력업체 OOOO 소속 재해자와 동료작업자 1명이 #7번 작업구를 통해 기존 노후 상수도관(￠500mm) 내부로 들어가서 세관갱생작업 중 갑작스러운 집중호우로 인해 관로 안으로 물이 차오르자 뒤늦게 나오던 재해자가 빠져나오지 못하고 사망한 재해임._x000d_"/>
    <s v="작업구를 통해 기존 노후 상수도관 내부로 들어가서 세관갱생작업 중 갑작스러운 집중호우로 인해 관로 안으로 물이 차오르자 뒤늦게 나오던 재해자가 빠져나오지 못하고 익사"/>
    <s v="▶ 관로 내부에서 작업을 하는 경우 해당 작업장의 지형ㆍ지반, 기상작용에 의한 위험성 등을 사전에 조사하고 그 결과를 고려하여 근로자에게 주지시킬 것 _x000a_▶ 사업주는 산업재해가 발생할 급박한 위험이 있을 경우 즉시 작업 중지 후 근로자를 대피시키는 등 필요한 조치 준수_x000a_▶ 대피용 기구(사다리, 섬유로프, 구조용 삼각대 등) 비치 내부 작업자와 연락을 할 수 있는 무전기 등 통신장비 지급"/>
  </r>
  <r>
    <n v="11"/>
    <x v="0"/>
    <x v="1"/>
    <x v="2"/>
    <s v="YES"/>
    <x v="13"/>
    <x v="33"/>
    <s v="해당없음"/>
    <s v="해당없음"/>
    <s v="해당없음"/>
    <s v="2021년 9월경"/>
    <d v="2021-09-01T00:00:00"/>
    <n v="9"/>
    <s v="-"/>
    <x v="2"/>
    <s v="2021년 9월경, OOO시 OO구 OO동 소재 신축공사 현장에서 OOOO 긴급누수복구공사 연간단가 계약업체인 OOOOO(주) 소속근로자 재해자 OOO이 현장내부 물웅덩이에 빠져 익사한 재해임."/>
    <s v="상수도 긴급누수복구공사 현장에서 현장내부 물웅덩이에 빠져 익사"/>
    <s v="_x000a_▶ 수돗물이 유입되는 것을 막기 위한 시설물 설치 시 수압 등 외력에 의한 파손의 위험에 예방하기 위해 구조검토 실시_x000a_▶ 관리감독자를 두어 기계, 기구 또는 설비의 안전보건점검 및 이상 유무의 확인 실시"/>
  </r>
  <r>
    <n v="12"/>
    <x v="1"/>
    <x v="35"/>
    <x v="99"/>
    <s v="YES"/>
    <x v="13"/>
    <x v="33"/>
    <s v="해당없음"/>
    <s v="해당없음"/>
    <s v="해당없음"/>
    <s v="2019년 7월경"/>
    <d v="2019-07-01T00:00:00"/>
    <n v="7"/>
    <s v="혹서기"/>
    <x v="15"/>
    <s v="2019년 7월경 OO건설 배수시설 및 방재시설 확충공사 현장에서 재해자 2명이 배수터널 내부에서 가설전선 정리 작업을 진행하던 중 기습적인 폭우로 배수 터널과 연결된 기존 우수박스의 수문이 자동 개방되면서 우수가 배수 터널 내부로 유입되어, 비상상황 전파 및 대피유도를 위해 터널 내부로 들어간 원청 직원을 포함하여 재해자 3명이 수몰되어 사망"/>
    <s v="배수터널 내부 가설전선 정리작업 중 기습적 폭우로 인해 우수가 터널 내부로 유입되면서 재해자가 익사"/>
    <s v="▶ 터널 내부작업 시 경보용 설비 설치_x000a_▶ 터널 내부에 비상용 기구 배치 및 상시 점검_x000a_▶ 우기 시 터널 내부 작업 중지"/>
  </r>
  <r>
    <n v="12"/>
    <x v="1"/>
    <x v="5"/>
    <x v="6"/>
    <s v="YES"/>
    <x v="13"/>
    <x v="33"/>
    <s v="해당없음"/>
    <s v="해당없음"/>
    <s v="해당없음"/>
    <s v="2017년 7월경"/>
    <d v="2017-07-01T00:00:00"/>
    <n v="7"/>
    <s v="혹서기"/>
    <x v="15"/>
    <s v="2017년 7월경 OO구조물 보수공사 현장에서 협력업체 소속 재해자가 복개하천 내부에서 벽체 균열 보수작업을 하던 중 국지성호우로 빠르게 늘어난 하천 급류에 휩쓸려 사망"/>
    <s v="보수작업을 하던 중 기상악화(국지성호우 및 태풍)으로 인해 휩쓸려가 익사"/>
    <s v="▶ 악천후로 인해 근로자가 위험해질 우려가 있을 경우 즉시 작업을 중지시키고 근로자를 대피 시키는 등 안전 조치 실시_x000a_▶ 무전기 등 신호체계를 정하여 집중호우 등으로 빗물이 복개구조물 내부로 유입되는 경우 즉시 작업을 중단하고 신속하게 대피 할 수 있도록 조치"/>
  </r>
  <r>
    <n v="12"/>
    <x v="1"/>
    <x v="5"/>
    <x v="6"/>
    <s v="YES"/>
    <x v="13"/>
    <x v="33"/>
    <s v="해당없음"/>
    <s v="해당없음"/>
    <s v="해당없음"/>
    <s v="2017년 10월"/>
    <d v="2017-10-01T00:00:00"/>
    <n v="10"/>
    <s v="-"/>
    <x v="15"/>
    <s v="2017년 10월경 OO 재해대책시설(방파제 축조공사)현장에서 협력업체 소속의 재해자가 태풍의 영향으로 부서진 방파제 단부의 안전난간을 해체하고 재설치하기 위해 일용근로자인 동료작업자와 함께 작업하던 중 풍랑으로 발생이 된 월파가 재해자를 덮쳐 바닷속으로 빠져 익사"/>
    <s v="보수작업을 하던 중 기상악화(국지성호우 및 태풍)으로 인해 휩쓸려가 익사"/>
    <s v="▶ 악천후로 인해 근로자가 위험해질 우려가 있을 경우 즉시 작업을 중지시키고 근로자를 대피 시키는 등 안전 조치 실시_x000a_▶ 무전기 등 신호체계를 정하여 집중호우 등으로 빗물이 복개구조물 내부로 유입되는 경우 즉시 작업을 중단하고 신속하게 대피 할 수 있도록 조치"/>
  </r>
  <r>
    <n v="4"/>
    <x v="4"/>
    <x v="10"/>
    <x v="15"/>
    <s v="YES"/>
    <x v="13"/>
    <x v="33"/>
    <s v="해당없음"/>
    <s v="해당없음"/>
    <s v="해당없음"/>
    <s v="2016년 6월경"/>
    <d v="2016-06-01T00:00:00"/>
    <n v="6"/>
    <s v="혹서기"/>
    <x v="15"/>
    <s v="2016년 6월경 OO보수공사에서 복개구조물 내부(시점+1,260지점)에서 보수작업을 하던 중, 집중호우로 복개구조물 내부에 우수가 빠르게 유입되면서 익사하여 사망"/>
    <s v="복개구조물 내부에서 보수작업 중 집중호우로 복개구조물 내부에 우수가 빠르게 유입되면서 익사"/>
    <s v="▶ 산업재해가 발생할 급박한 위험이 있을 경우 즉시 작업중지 후 근로자대피 등 필요한 조치 준수_x000a_▶ 복개구조물 내부에서 보수작업을 하는 경우 해당 작업장의 지형ㆍ지반, 기상작용에 의한 위험성 등을 사전에 조사하고 그 결과를 고려하여 근로자에게 주지시킬 것 _x000a_▶ 비상상황에 즉시 대처 할 수 있도록 경보운영체계 확립"/>
  </r>
  <r>
    <n v="5"/>
    <x v="5"/>
    <x v="16"/>
    <x v="23"/>
    <s v="YES"/>
    <x v="13"/>
    <x v="33"/>
    <s v="해당없음"/>
    <s v="해당없음"/>
    <s v="해당없음"/>
    <s v="2017년 10월"/>
    <d v="2017-10-01T00:00:00"/>
    <n v="10"/>
    <s v="-"/>
    <x v="2"/>
    <s v="2017년 10월경, OO도 OO시 OO면 소재 「㈜OOOOOO  OOOOO OOOO 태양광 설치공사」 현장에서, 재해자가 저수지 내 수상 부유체의 중심선 표시용 로프를 설치하려 부유체 위를 이동 중 미끄러져 저수지(깊이 약 6m 추정) 물에 빠짐"/>
    <s v="저수지 내 수상 부유체의 중심선 표시용 로프 설치작업을 위한 이동 중 몸의 중심을 잃고 저수지에 빠짐"/>
    <s v="▶ 수상 작업 시 개인 구명조끼 지급 및 착용지도 실시_x000a_▶ 빠질 위험이 있는 작업 시, 안전난간, 안전대 부착설비, 작업발판 등 안전방호조치 실시"/>
  </r>
  <r>
    <n v="5"/>
    <x v="5"/>
    <x v="16"/>
    <x v="23"/>
    <s v="YES"/>
    <x v="13"/>
    <x v="33"/>
    <s v="해당없음"/>
    <s v="해당없음"/>
    <s v="해당없음"/>
    <s v="2019년 4월경"/>
    <d v="2019-04-01T00:00:00"/>
    <n v="4"/>
    <s v="-"/>
    <x v="16"/>
    <s v="2019년 4월경 OO도 OO시 OO구 OO동 소재 OOOOOO 기계실에서 보일러 배관의 안전밸브 교체를 위해 배관 단부에 맹플랜지를 설치하던 중, 스팀 응축수가 일용직 재해자 2명에게 쏟아져 신체 일부에 2도 화상을 입은 재해로 추정됨."/>
    <s v="기계실에서 보일러 배관의 안전밸브 교체를 위해 배관 단부에 맹플랜지를 설치하던 중, 스팀 응축수가 재해자에게 쏟아져 화상"/>
    <s v="▶ 기존 안전밸브 교체 시 내부에 고온의 스팀 등을 제거한 상태에서 교체작업 실시_x000a_▶ 기존 안전밸브 교체 시 내부 물질 확인이 어려울 경우 작업중지"/>
  </r>
  <r>
    <n v="11"/>
    <x v="0"/>
    <x v="1"/>
    <x v="2"/>
    <s v="YES"/>
    <x v="14"/>
    <x v="34"/>
    <s v="해당없음"/>
    <s v="해당없음"/>
    <s v="해당없음"/>
    <s v="2020년 5월경"/>
    <d v="2020-05-01T00:00:00"/>
    <n v="5"/>
    <s v="-"/>
    <x v="2"/>
    <s v="2020년 5월경, OOO도 OO군 OO면 소재 OOOO(주) OOOO 보강개발사업 현장에서 재해자가 저수지 농업용수 토출조 구조물내의 플랩밸브에 연결된 송수관 용접 및 설치작업을 하다가 인근 작업차량에서 물을 마시고 토출조 내부로 돌아오던 중 제방 법면 사석위에서 미끄러져 토출조 내부로 미끄러져 추락 사망한 재해임."/>
    <s v="근로자가 이동 중 제방 법면 사석위에서 저수지 토출조 내부로 미끄러져 추락"/>
    <s v="▶ 작업자가 법면 상부 등으로 불필요한 이동을 금하고 작업자 이동통로 설치_x000a_▶ 근로자가 추락하거나 넘어질 위험이 있는 상부에서 작업 시 안전난간을 설치하고 추락방지조치 실시하고 부득이한 경우 접근방책 등을 설치_x000a_▶ 근로자가 추락하거나 넘어질 위험이 있는 상부에서 작업 시 개인보호구(안전모, 안전대 등) 지급 및 착용"/>
  </r>
  <r>
    <n v="12"/>
    <x v="1"/>
    <x v="2"/>
    <x v="3"/>
    <s v="YES"/>
    <x v="14"/>
    <x v="34"/>
    <s v="해당없음"/>
    <s v="해당없음"/>
    <s v="해당없음"/>
    <s v="2018년 2월경"/>
    <d v="2018-02-01T00:00:00"/>
    <n v="2"/>
    <s v="혹한기"/>
    <x v="2"/>
    <s v="2018년 2월경 ㈜OO에서 시공하는 OO철거공사 현장에서 재해자가 모델하우스 2층 천장 소방용 스프링클러 해체작업을 위해 천장 마감재(합판, t=6mm) 위에서 해체된 자재 운반 및 이동 중 밟고 지나던 천장 마감재가 재해자의 하중을 견디지 못하고 파손되면서 2층 바닥으로 추락하여(H≒4m) 사망"/>
    <s v="지붕 철거작업 중 해체 및 해체된 자재 운반 작업하다 밟고 있던 지붕 패널의 손상, 탈락으로 바닥으로 추락"/>
    <s v="▶ 충분한 강도와 규격으로 제작된 지붕사다리 설치_x000a_▶ 안전대 부착설비,  추락방지망 등의 안전방호조치 실시_x000a_▶ 고소작업대, 이동식 비계 등을 사용하는 등 작업 방법 적정성 검토"/>
  </r>
  <r>
    <n v="2"/>
    <x v="2"/>
    <x v="6"/>
    <x v="33"/>
    <s v="YES"/>
    <x v="14"/>
    <x v="34"/>
    <s v="해당없음"/>
    <s v="해당없음"/>
    <s v="해당없음"/>
    <s v="2020년 12월"/>
    <d v="2020-12-01T00:00:00"/>
    <n v="12"/>
    <s v="혹한기"/>
    <x v="5"/>
    <s v="2020년 12월경 OO건설(주) OO근린생활 신축공사 현장에서 재해자가 지하 1층의 기둥 및 옹벽 콘크리트타설 준비를 위해 지하 1층으로 진입하여 작업 전 확인점검 과정에서 콘크리트 바닥으로 넘어져서 사망"/>
    <s v="작업이동 통로 설치상태 불량한 상태에서 기둥 및 옹벽 콘크리트타설 준비를 위해 거푸집 조립상태를 점검하던 중 중심을 잃고 콘크리트 바닥으로 넘어짐"/>
    <s v="▶ 이동통로 설치시 전도 및 넘어짐 위험조치 실시_x000a_▶ 근로자 이동통로에 자재 등 적치 금지"/>
  </r>
  <r>
    <n v="2"/>
    <x v="2"/>
    <x v="6"/>
    <x v="8"/>
    <s v="YES"/>
    <x v="14"/>
    <x v="34"/>
    <s v="해당없음"/>
    <s v="해당없음"/>
    <s v="해당없음"/>
    <s v="2018년 1월경"/>
    <d v="2018-01-01T00:00:00"/>
    <n v="1"/>
    <s v="혹한기"/>
    <x v="1"/>
    <s v="2018년 1월경 OO인테리어 공사 현장에서 재해자가 지하1층 한증막 황토 슬래브를 지지하고 있던 목재 거푸집동바리를 해체하던 중 붕괴되는 황토 슬래브에 깔려 사망"/>
    <s v="낙하 , 붕괴 등 위험조치 미실시한 상태에서 지하층 한증막 황토 슬래브를 지지하고 있던 목재 거푸집동바리를 해체하던 중 붕괴되는 황토 슬래브에 근로자 깔림"/>
    <s v="▶ 양생기간을 준수하여 거푸집동바리 해체 실시_x000a_▶ 거푸집동바리 해체 작업 시 낙하에 의한 재해를 방지하기 위해 순차적으로 파이프 써포트를 제거하면서 부분적으로 해체_x000a_▶ 해체작업을 하는 장소에는 관계 근로자가 아닌 근로자 출입을 금지 철저"/>
  </r>
  <r>
    <n v="2"/>
    <x v="2"/>
    <x v="7"/>
    <x v="34"/>
    <s v="YES"/>
    <x v="14"/>
    <x v="34"/>
    <s v="해당없음"/>
    <s v="해당없음"/>
    <s v="해당없음"/>
    <s v="2020년 5월경"/>
    <d v="2020-05-01T00:00:00"/>
    <n v="5"/>
    <s v="-"/>
    <x v="4"/>
    <s v="2020년 5월경 (주)OO종합건설에서 시공하는 OO근린생활 신축공사 현장에서 협력업체 소속 재해자와 동료작업자가 지상 1층에서 벽체 철근배근 작업 과정에서 이동 중 화장실 벽체 수직 이음철근의 고정을 위해 바닥 슬래브 상부에 설치된 수평철근에 발이 걸려(H≒100mm) 넘어지면서 앞쪽(약 850mm)에 설치되어있던 수직철근(L≒400mm)에 안면부(우측콧볼옆)가 찔려 사망"/>
    <s v="벽체 철근배근 작업 과정에서 이동 중, 수평철근에 발이 걸려 넘어지면서 수직철근에 근로자의 안면부가 찔림"/>
    <s v="▶ 이동통로 및 작업구간 내 철근 돌출부 보호캡 설치 및 주변 접근통제 조치_x000a_▶ 벽체철근 조립 등의 현장 내의 작업 시 작업장으로 통하는 장소 또는 작업장 내에 안전한 통로 설치"/>
  </r>
  <r>
    <n v="3"/>
    <x v="3"/>
    <x v="9"/>
    <x v="13"/>
    <s v="YES"/>
    <x v="14"/>
    <x v="34"/>
    <s v="해당없음"/>
    <s v="해당없음"/>
    <s v="해당없음"/>
    <s v="2018년 1월경"/>
    <d v="2018-01-01T00:00:00"/>
    <n v="1"/>
    <s v="혹한기"/>
    <x v="1"/>
    <s v="2018년 1월경 OO보강공사 현장에서 OO개발 소속 재해자가 지게차 옆에서 슬래브 보강용 철골부재(H-beam) 운반 작업을 보조하던 중 2층 바닥슬래브(1층 천장)가 무너지면서 슬래브 하부에 깔려 사망"/>
    <s v="잭서포트 미설치 등 적절한 보강조치를 하지 않은 상태에서 슬래브 보강용 철골부재 운반 보조작업 중 2층 바닥슬래브 무너짐으로 슬래브 하부에 근로자 깔림"/>
    <s v="▶ 구조물의 무게 등으로 인해 붕괴 등 위험이 있을 경우 안전성 평가 실시_x000a_▶ 기존 구조물 해체 전 잭서포트 등으로 지지하여 구조적 안정성 확보"/>
  </r>
  <r>
    <n v="4"/>
    <x v="4"/>
    <x v="38"/>
    <x v="91"/>
    <s v="YES"/>
    <x v="14"/>
    <x v="34"/>
    <s v="해당없음"/>
    <s v="해당없음"/>
    <s v="해당없음"/>
    <s v="2020년 5월경"/>
    <d v="2020-05-01T00:00:00"/>
    <n v="5"/>
    <s v="-"/>
    <x v="8"/>
    <s v="2020년 5월경 근린생활시설 대수선공사 현장에서 협력업체 소속 재해자가 건물 좌측 계단실 창문 외측 석재 작업을 위하여 지상 이동 중 넘어져 석재 운반용 간이 손수레에 적재되어 있던 석재(600m×570mm, T=2cm) 모서리에 후두부(뒤통수)를 부딪힌 후 사망"/>
    <s v="계단실 창문 외측에 석재를 설치하기 위해 지상에서 이동 중 넘어지면서 손수레에 적재되어 있던 석재 모서리에 부딪힘"/>
    <s v="▶ 작업장에서 넘어지거나 미끄러지는 등의 위험이 없도록 작업장 바닥을 청결한 상태로 유지 및 정리정돈 철저_x000a_▶ 근로자가 안전하게 이동할 수 있는 작업통로 확보_x000a_▶ 개인보호구 지급 및 착용관리"/>
  </r>
  <r>
    <n v="4"/>
    <x v="4"/>
    <x v="21"/>
    <x v="40"/>
    <s v="YES"/>
    <x v="14"/>
    <x v="34"/>
    <s v="해당없음"/>
    <s v="해당없음"/>
    <s v="해당없음"/>
    <s v="2019년 10월"/>
    <d v="2019-10-01T00:00:00"/>
    <n v="10"/>
    <s v="-"/>
    <x v="2"/>
    <s v="2019년 10월경 도장공사 현장에서 재해자는 당일 작업 마무리 후 정리 작업 중 발판(steel grating)과 함께 약 28m 아래로 추락하여 사망"/>
    <s v="작업 중 고정되지 않은 발판을 밟아 발판과 함께 추락"/>
    <s v="▶ 개구부로서 근로자가 추락할 위험이 있는 장소에는 덮개 등 방호 조치 설치 _x000a_▶ 덮개 설치 시 뒤집히거나 떨어지지 않도록 하며 어두운 장소에서 알아볼 수 있도록 개구부 표시"/>
  </r>
  <r>
    <n v="5"/>
    <x v="5"/>
    <x v="15"/>
    <x v="45"/>
    <s v="YES"/>
    <x v="14"/>
    <x v="34"/>
    <s v="해당없음"/>
    <s v="해당없음"/>
    <s v="해당없음"/>
    <s v="2019년 10월"/>
    <d v="2019-10-01T00:00:00"/>
    <n v="10"/>
    <s v="-"/>
    <x v="4"/>
    <s v="2019년 10월경 OO공사에서 재해자가 Slab 전기배관 설치작업을 하기 위해 철근을 옮기던 중 배근된 Slab 철근 사이로 발이 빠져 몸의 중심을 잃고 주저앉는 순간 철근이음을 위해 높이 60cm로 돌출되어 있던 조립철근에 항문이 찔려 사망"/>
    <s v="말비계 지주 위에 올려놓았던 철근다발에서 철근 1본을 작업위치인 화장실 세대분전함 위치로 옮기던 중, 발을 헛디뎌 몸의 중심을 잃고 주저앉으며 조립된 벽체철근에 항문 관통"/>
    <s v="▶ 슬래브 철근 상부에 실족방지망을 설치하여 이동통로를 구획 및 설치_x000a_▶ 찔림방지용 캡 설치 등을 통한 철근 찔림방지조치 실시"/>
  </r>
  <r>
    <n v="5"/>
    <x v="5"/>
    <x v="16"/>
    <x v="23"/>
    <s v="YES"/>
    <x v="14"/>
    <x v="34"/>
    <s v="해당없음"/>
    <s v="해당없음"/>
    <s v="해당없음"/>
    <s v="형틀공인 재해자가"/>
    <s v="X"/>
    <e v="#VALUE!"/>
    <e v="#VALUE!"/>
    <x v="5"/>
    <s v="형틀공인 재해자가 정화조 시공용 강관파이프를 운반 중, 기초 거푸집 측면 토사 선단부에서 실족(H≒0.9m)하면서 바닥에 삽입된 철근(지름 10mm)에 입 속이 찔려 병원으로 후송하였으나, 내상 및 과다 출혈로 인해 사망한 재해임."/>
    <s v="정화조 시공용 강관파이프 운반 중 기초 거푸집 측면 토사 선단부에서 근로자가 실족하면서 바닥에 삽입된 철근으로 넘어짐"/>
    <s v="▶ 작업장 내 근로자를 위한 안전 통로 설치 및 관리_x000a_▶ 협소한 작업공간에서의 자재 운반 경우 넘어짐 방지를 위한 토사 단차구간 제거 및 부득이 존치할 경우 작업발판을 단차구간 상부에 설치"/>
  </r>
  <r>
    <n v="7"/>
    <x v="9"/>
    <x v="24"/>
    <x v="49"/>
    <s v="YES"/>
    <x v="14"/>
    <x v="34"/>
    <s v="해당없음"/>
    <s v="해당없음"/>
    <s v="해당없음"/>
    <s v="2019년 12월"/>
    <d v="2019-12-01T00:00:00"/>
    <n v="12"/>
    <s v="혹한기"/>
    <x v="7"/>
    <s v="2019년 12월경 지하보도 설치공사 중 재해자가 현장 내 이동 중 보도의 일부가 붕괴되어 2.5m 아래로 추락하여 토사에 묻히며 파단된 상수도에서 쏟아진 유출수에 수몰되어 사망"/>
    <s v="재포장한 보도의 일부가 갑자기 붕괴되어 근로자가 추락하여 토사에 묻힌 후 파단된 상수도에서 쏟아진 유출수로 인해 수몰"/>
    <s v="▶ 작업 전 보도블럭 등 작업구간의 이상여부를 확인하고 특이사항이 있을 경우 작업 즉시 중단_x000a_▶ 상수도관의 노후화에 따른 주기적인 점검을 통해 이상상태 유무 확인"/>
  </r>
  <r>
    <n v="12"/>
    <x v="1"/>
    <x v="3"/>
    <x v="101"/>
    <s v="YES"/>
    <x v="15"/>
    <x v="35"/>
    <s v="해당없음"/>
    <s v="해당없음"/>
    <s v="해당없음"/>
    <s v="2019년 5월경"/>
    <d v="2019-05-01T00:00:00"/>
    <n v="5"/>
    <s v="-"/>
    <x v="2"/>
    <s v="2019년 5월경 OO시설공사(PVF 막구조물 설치공사) 현장에서 재해자가 지붕 트러스구조물에 설치된추락방호망 위에서 같은 추락방호망 해체작업을 하던 중, 지붕 트러스 구조물에 고정해놓은 로프가 끊어진 개구부(높이 : 약14.4m) 아래 관람석 바닥으로 떨어져 사망"/>
    <s v="지붕 트러스구조물에 설치된 추락방호망 해체작업 중 고정로프 파단에 의해 개구부로 추락"/>
    <s v="▶ 추락 위험이 있는 작업 시, 안전대 부착설비, 추락방호망 등 안전방호조치 실시_x000a_▶ 작업 전 클램프 체결상태 안전점검 실시_x000a_▶ 작업 전 안전보호구(안전대) 지급 및 체결상태 관리"/>
  </r>
  <r>
    <n v="12"/>
    <x v="1"/>
    <x v="3"/>
    <x v="101"/>
    <s v="YES"/>
    <x v="15"/>
    <x v="35"/>
    <s v="해당없음"/>
    <s v="해당없음"/>
    <s v="해당없음"/>
    <s v="2019년 5월경"/>
    <d v="2019-05-01T00:00:00"/>
    <n v="5"/>
    <s v="-"/>
    <x v="2"/>
    <s v="2019년 5월경 OO 주상복합 신축공사 현장에서 협력업체 소속 재해자가 추락방호망(낙하물방지망 겸용)에 떨어져 있는 공사잔재물 및 쓰레기를 치우는 작업을 하기 위하여, 지상7층에 위치한 추락방호망 위로 올라가 이동하며 작업하던 중 철선(D:0.86㎜)으로 연결된 추락방호망 구간을 밟는 순간 철선(D:0.86㎜)이 파단되며 약 7.77m 아래 지상5층 바닥으로 추락하여 사망"/>
    <s v="지붕 트러스구조물에 설치된 추락방호망 해체작업 중 고정로프 파단에 의해 개구부로 추락"/>
    <s v="▶ 추락 위험이 있는 작업 시, 안전대 부착설비, 추락방호망 등 안전방호조치 실시_x000a_▶ 작업 전 클램프 체결상태 안전점검 실시_x000a_▶ 작업 전 안전보호구(안전대) 지급 및 체결상태 관리"/>
  </r>
  <r>
    <n v="12"/>
    <x v="1"/>
    <x v="3"/>
    <x v="31"/>
    <s v="YES"/>
    <x v="15"/>
    <x v="35"/>
    <s v="해당없음"/>
    <s v="해당없음"/>
    <s v="해당없음"/>
    <s v="2016년 1월경"/>
    <d v="2016-01-01T00:00:00"/>
    <n v="1"/>
    <s v="혹한기"/>
    <x v="2"/>
    <s v="2016년 1월경 OO산업(주) OO고속도로현장에서, 교량 상부 구조물(Steel Box Girder) 하단에 설치된 낙하물방지공(비계 Pipe+합판) 위로 올라가 비계 Pipe와 합판을 해체하던 비계공 2명이 약 6.9m 아래 지상 도로 바닥면으로 떨어져 부상"/>
    <s v="안전대 미착용한 근로자가 낙하물 방지망 설치 해체를 위해 일부 체결부 해체 작업 중  갑작스런 낙하물방지망 낙하로 몸의 중심을 잃고 추락 "/>
    <s v="▶ 추락 위험이 있는 작업 시, 안전대 부착설비, 추락방호망 등 안전방호조치 실시_x000a_▶ 작업 전 안전보호구(안전대) 지급 및 체결상태 관리_x000a_▶ 낙하물방지망 해체 작업 시 상부로부터 하부로 순차적으로 해체하는 식의 작업방식 준수"/>
  </r>
  <r>
    <n v="12"/>
    <x v="1"/>
    <x v="3"/>
    <x v="31"/>
    <s v="YES"/>
    <x v="15"/>
    <x v="35"/>
    <s v="해당없음"/>
    <s v="해당없음"/>
    <s v="해당없음"/>
    <s v="2016년 4월경"/>
    <d v="2016-04-01T00:00:00"/>
    <n v="4"/>
    <s v="-"/>
    <x v="2"/>
    <s v="2016년 4월경 OO건설(주) OO대학교증축공사 현장에서 재해자가 낙하물방지망을 해체하는 작업 중 낙하물방지망 지지용 사다리를 고정하던 와이어로프가 풀리면서 떨어져 (H≒7.4m)사망"/>
    <s v="안전대 미착용한 근로자가 낙하물 방지망 설치 해체를 위해 일부 체결부 해체 작업 중  갑작스런 낙하물방지망 낙하로 몸의 중심을 잃고 추락 "/>
    <s v="▶ 추락 위험이 있는 작업 시, 안전대 부착설비, 추락방호망 등 안전방호조치 실시_x000a_▶ 작업 전 안전보호구(안전대) 지급 및 체결상태 관리_x000a_▶ 낙하물방지망 해체 작업 시 상부로부터 하부로 순차적으로 해체하는 식의 작업방식 준수"/>
  </r>
  <r>
    <n v="12"/>
    <x v="1"/>
    <x v="3"/>
    <x v="31"/>
    <s v="YES"/>
    <x v="15"/>
    <x v="35"/>
    <s v="해당없음"/>
    <s v="해당없음"/>
    <s v="해당없음"/>
    <s v="2017년 4월경"/>
    <d v="2017-04-01T00:00:00"/>
    <n v="4"/>
    <s v="-"/>
    <x v="2"/>
    <s v="2017년 4월경 OO종합건설㈜ OO신축공사 현장에서 재해자가 3층(높이 약8m) 옆에 설치되어 있던 낙하물방지망을 해체하는 과정에서 낙하물방지망이 탈락 되면서 지상으로 추락하여 사망"/>
    <s v="안전대 미착용한 근로자가 낙하물 방지망 설치 해체를 위해 일부 체결부 해체 작업 중  갑작스런 낙하물방지망 낙하로 몸의 중심을 잃고 추락 "/>
    <s v="▶ 추락 위험이 있는 작업 시, 안전대 부착설비, 추락방호망 등 안전방호조치 실시_x000a_▶ 작업 전 안전보호구(안전대) 지급 및 체결상태 관리_x000a_▶ 낙하물방지망 해체 작업 시 상부로부터 하부로 순차적으로 해체하는 식의 작업방식 준수"/>
  </r>
  <r>
    <n v="12"/>
    <x v="1"/>
    <x v="3"/>
    <x v="31"/>
    <s v="YES"/>
    <x v="15"/>
    <x v="35"/>
    <s v="해당없음"/>
    <s v="해당없음"/>
    <s v="해당없음"/>
    <s v="2017년 6월경"/>
    <d v="2017-06-01T00:00:00"/>
    <n v="6"/>
    <s v="혹서기"/>
    <x v="2"/>
    <s v="2017년 6월경 OO아파트 신축공사 현장에서 재해자가 OO동 낙하물방지망 해체작업 중 상부에서 하강하는 건설작업용 리프트와 낙하물방지망 틀이 충돌하여 낙하물방지망 고정용 와이어로프를 지지하는 볼트가 휘어지면서 와이어로프가 이탈, 약 16m 아래 바닥으로 떨어져 사망"/>
    <s v="안전대 미착용한 근로자가 낙하물 방지망 설치 해체를 위해 일부 체결부 해체 작업 중  갑작스런 낙하물방지망 낙하로 몸의 중심을 잃고 추락 "/>
    <s v="▶ 추락 위험이 있는 작업 시, 안전대 부착설비, 추락방호망 등 안전방호조치 실시_x000a_▶ 작업 전 안전보호구(안전대) 지급 및 체결상태 관리_x000a_▶ 낙하물방지망 해체 작업 시 상부로부터 하부로 순차적으로 해체하는 식의 작업방식 준수"/>
  </r>
  <r>
    <n v="12"/>
    <x v="1"/>
    <x v="3"/>
    <x v="31"/>
    <s v="YES"/>
    <x v="15"/>
    <x v="35"/>
    <s v="해당없음"/>
    <s v="해당없음"/>
    <s v="해당없음"/>
    <s v="2018년 2월경"/>
    <d v="2018-02-01T00:00:00"/>
    <n v="2"/>
    <s v="혹한기"/>
    <x v="2"/>
    <s v="2018년 2월경 OO건설(주) OO호텔 신축공사 현장에서, 협력업체 소속 재해자가 지상 3층 외벽(H=8.5m)의 안전방망(추락/낙하방지망 겸용) 설치 작업 중 몸의 중심을 잃고 지상바닥으로 떨어져 사망"/>
    <s v="외벽의 안전방망 설치 완료 후 안전방망을 인양 고정하던 T/C크레인의 훅을 제거하기 위해 안전방망 사이를 이동하던 중 안전방망 사이로 떨어져 바닥으로 추락"/>
    <s v="▶ 추락 위험이 있는 작업 시 추락방호망, 안전대부착설비 등 추락방호조치 실시_x000a_▶ 추락방호망 설치가 불가피한 경우, 안전대 부착설비 설치 및 이동시 안전대 체결 후 이동조치 실시"/>
  </r>
  <r>
    <n v="12"/>
    <x v="1"/>
    <x v="3"/>
    <x v="31"/>
    <s v="YES"/>
    <x v="15"/>
    <x v="35"/>
    <s v="해당없음"/>
    <s v="해당없음"/>
    <s v="해당없음"/>
    <s v="2018년 8월경"/>
    <d v="2018-08-01T00:00:00"/>
    <n v="8"/>
    <s v="혹서기"/>
    <x v="2"/>
    <s v="2018년 8월경 OO건설(주)에서 시공 중인 OO복구공사 현장에서 하도급업체 소속 재해자가 절개지(높이 20m)에 낙석방지망 와이어로프 설치를 위해 와이어로프를 잡고 있던 중 하단부 동료작업자의 신호를 받고 재해자가 와이어로프를 놓는 순간 와이어로프가 재해자를 타격하여 안전대걸이설비(훅,hook)가 체결되어 있던 낙석방지망의 철망이 풀려 떨어져서 사망"/>
    <s v="낙석방지망 설치 작업 중 지지하는 와이어로프가 근로자를 타격하여 근로자가 몸의 중심을 잃은 충격으로 인해 안전대걸이설비가 체결되어 있던 낙석방지망철망이 파단되어 추락"/>
    <s v="▶ 안전대 부착설비를 설치한 후 안전대 체결하고 작업 실시_x000a_▶ 관리감독자를 배치하여 낙석방지망 설치작업에 대한 위험성 평가를 실시_x000a_▶ 종 와이어로프 이동설치 작업시 와이어로프가 작업자를 타격하여 떨어질 위험이 있어 작업자의 위치는 이동방향 반대에 위치"/>
  </r>
  <r>
    <n v="12"/>
    <x v="1"/>
    <x v="3"/>
    <x v="31"/>
    <s v="YES"/>
    <x v="15"/>
    <x v="35"/>
    <s v="해당없음"/>
    <s v="해당없음"/>
    <s v="해당없음"/>
    <s v="2018년 12월"/>
    <d v="2018-12-01T00:00:00"/>
    <n v="12"/>
    <s v="혹한기"/>
    <x v="2"/>
    <s v="2018년 12월경 (주)O건설에서 시공하는 아파트 신축공사 현장에서 재해자가 지상3층에서 창 밖으로 몸을 내밀어 외부 낙하물 방지망 1단 설치작업 중 몸의 중심을 잃고 지상1층 바닥(H=9m)으로 떨어져 사망"/>
    <s v="안전대 미착용한 근로자가 낙하물 방지망 설치 해체를 위해 일부 체결부 해체 작업 중  갑작스런 낙하물방지망 낙하로 몸의 중심을 잃고 추락 "/>
    <s v="▶ 추락 위험이 있는 작업 시, 안전대 부착설비, 추락방호망 등 안전방호조치 실시_x000a_▶ 작업 전 안전보호구(안전대) 지급 및 체결상태 관리_x000a_▶ 낙하물방지망 해체 작업 시 상부로부터 하부로 순차적으로 해체하는 식의 작업방식 준수"/>
  </r>
  <r>
    <n v="12"/>
    <x v="1"/>
    <x v="3"/>
    <x v="31"/>
    <s v="YES"/>
    <x v="15"/>
    <x v="35"/>
    <s v="해당없음"/>
    <s v="해당없음"/>
    <s v="해당없음"/>
    <s v=" 2018년 12"/>
    <d v="2018-12-01T00:00:00"/>
    <n v="12"/>
    <s v="혹한기"/>
    <x v="2"/>
    <s v=" 2018년 12월경 OO주택 신축공사 현장에서 재해자가 OO동 20층(H=56m) 2호 세대 침실3에서 아파트 외벽에 설치할 낙하물방지망 설치를 위해 외벽 길이 확인 작업을 하던 중 몸의 중심을 잃고 42m 아래 1단 낙하물방지망(H=14m)으로 추락하여 사망"/>
    <s v="안전대 미착용한 상태에서 낙하물방지망 설치 작업을 위해 개구부 밖으로 몸을 내밀고 외벽 길이 확인을 하던 중 몸의 중심을 잃고 추락"/>
    <s v="▶ 추락 위험이 있는 작업 시, 안전대 부착설비, 추락방호망 등 안전방호조치 실시_x000a_▶ 작업 전 안전보호구(안전대) 지급 및 체결상태 관리"/>
  </r>
  <r>
    <n v="12"/>
    <x v="1"/>
    <x v="3"/>
    <x v="31"/>
    <s v="YES"/>
    <x v="15"/>
    <x v="35"/>
    <s v="해당없음"/>
    <s v="해당없음"/>
    <s v="해당없음"/>
    <s v="2019년 1월경"/>
    <d v="2019-01-01T00:00:00"/>
    <n v="1"/>
    <s v="혹한기"/>
    <x v="2"/>
    <s v="2019년 1월경 OO종합건설(주)에서 시공하는 근린생활시설신축공사 현장에서 재해자가 외부 1단 낙하물방지망 설치작업을 하던 중 낙하물방지망 지지대의 경사지지용 와이어로프가 풀리면서 약 7m 아래 콘크리트 바닥으로 떨어져 사망"/>
    <s v="안전대 미착용한 근로자가 낙하물 방지망 설치 해체를 위해 일부 체결부 해체 작업 중  갑작스런 낙하물방지망 낙하로 몸의 중심을 잃고 추락 "/>
    <s v="▶ 추락 위험이 있는 작업 시, 안전대 부착설비, 추락방호망 등 안전방호조치 실시_x000a_▶ 작업 전 안전보호구(안전대) 지급 및 체결상태 관리_x000a_▶ 낙하물방지망 해체 작업 시 상부로부터 하부로 순차적으로 해체하는 식의 작업방식 준수"/>
  </r>
  <r>
    <n v="12"/>
    <x v="1"/>
    <x v="3"/>
    <x v="31"/>
    <s v="YES"/>
    <x v="15"/>
    <x v="35"/>
    <s v="해당없음"/>
    <s v="해당없음"/>
    <s v="해당없음"/>
    <s v="2019년 3월경"/>
    <d v="2019-03-01T00:00:00"/>
    <n v="3"/>
    <s v="-"/>
    <x v="2"/>
    <s v="2019년 3월경 OOOO(주) 공동주택 신축공사 현장에서 재해자가 OO동 건설용리프트 설치구간 낙하물방지망 해체작업 중 건설용리프트 기초로 추락(H≒19.8m)하여 사망"/>
    <s v="안전대 미착용한 근로자가 낙하물 방지망 설치 해체를 위해 일부 체결부 해체 작업 중  갑작스런 낙하물방지망 낙하로 몸의 중심을 잃고 추락 "/>
    <s v="▶ 추락 위험이 있는 작업 시, 안전대 부착설비, 추락방호망 등 안전방호조치 실시_x000a_▶ 작업 전 안전보호구(안전대) 지급 및 체결상태 관리_x000a_▶ 낙하물방지망 해체 작업 시 상부로부터 하부로 순차적으로 해체하는 식의 작업방식 준수"/>
  </r>
  <r>
    <n v="12"/>
    <x v="1"/>
    <x v="3"/>
    <x v="31"/>
    <s v="YES"/>
    <x v="15"/>
    <x v="35"/>
    <s v="해당없음"/>
    <s v="해당없음"/>
    <s v="해당없음"/>
    <s v="2020년 1월경"/>
    <d v="2020-01-01T00:00:00"/>
    <n v="1"/>
    <s v="혹한기"/>
    <x v="2"/>
    <s v="2020년 1월경 OO현장에서 재해자 2명이 높이 약 6m 위에 설치된 매달기형 작업네트(이하 네트) 해체 작업을 위해 네트 위에 올라 네트와 네트를 연결한 U볼트를 풀던 중 네트가 탈락되면서 근로자 2명이 바닥으로 떨어져 부상"/>
    <s v="안전대 미착용한 근로자가 낙하물 방지망 설치 해체를 위해 일부 체결부 해체 작업 중  갑작스런 낙하물방지망 낙하로 몸의 중심을 잃고 추락 "/>
    <s v="▶ 추락 위험이 있는 작업 시, 안전대 부착설비, 추락방호망 등 안전방호조치 실시_x000a_▶ 작업 전 안전보호구(안전대) 지급 및 체결상태 관리_x000a_▶ 낙하물방지망 해체 작업 시 상부로부터 하부로 순차적으로 해체하는 식의 작업방식 준수"/>
  </r>
  <r>
    <n v="12"/>
    <x v="1"/>
    <x v="3"/>
    <x v="31"/>
    <s v="YES"/>
    <x v="15"/>
    <x v="35"/>
    <s v="해당없음"/>
    <s v="해당없음"/>
    <s v="해당없음"/>
    <s v="2020년 8월경"/>
    <d v="2020-08-01T00:00:00"/>
    <n v="8"/>
    <s v="혹서기"/>
    <x v="2"/>
    <s v="2020년 8월경 (주)OO건설  OO중학교 건설현장에서 지상 2층 외부 낙하물방지망 설치작업 중 낙하물방지망 상부지지대와 하부지지대를 체결한 클램프가 풀리면서 재해자가 지상1층 바닥으로 추락(H≒7m)하여 사망"/>
    <s v="안전대 미착용한 근로자가 낙하물 방지망 설치 해체를 위해 일부 체결부 해체 작업 중  갑작스런 낙하물방지망 낙하로 몸의 중심을 잃고 추락 "/>
    <s v="▶ 추락 위험이 있는 작업 시, 안전대 부착설비, 추락방호망 등 안전방호조치 실시_x000a_▶ 작업 전 안전보호구(안전대) 지급 및 체결상태 관리_x000a_▶ 낙하물방지망 해체 작업 시 상부로부터 하부로 순차적으로 해체하는 식의 작업방식 준수"/>
  </r>
  <r>
    <n v="12"/>
    <x v="1"/>
    <x v="3"/>
    <x v="31"/>
    <s v="YES"/>
    <x v="15"/>
    <x v="35"/>
    <s v="해당없음"/>
    <s v="해당없음"/>
    <s v="해당없음"/>
    <s v="2020년 11월"/>
    <d v="2020-11-01T00:00:00"/>
    <n v="11"/>
    <s v="-"/>
    <x v="2"/>
    <s v="2020년 11월경 (주)OO건설에서 시공하는 OO오피스텔 신축공사 현장에서 재해자가 지상 14층 개구부 단부에서 낙하물방지망 설치작업 중 1층 바닥으로 약 47m 추락하여 사망"/>
    <s v="안전대 미착용한 근로자가 낙하물 방지망 설치 해체를 위해 일부 체결부 해체 작업 중  갑작스런 낙하물방지망 낙하로 몸의 중심을 잃고 추락 "/>
    <s v="▶ 추락 위험이 있는 작업 시, 안전대 부착설비, 추락방호망 등 안전방호조치 실시_x000a_▶ 작업 전 안전보호구(안전대) 지급 및 체결상태 관리_x000a_▶ 낙하물방지망 해체 작업 시 상부로부터 하부로 순차적으로 해체하는 식의 작업방식 준수"/>
  </r>
  <r>
    <n v="2"/>
    <x v="2"/>
    <x v="6"/>
    <x v="7"/>
    <s v="YES"/>
    <x v="15"/>
    <x v="35"/>
    <s v="해당없음"/>
    <s v="해당없음"/>
    <s v="해당없음"/>
    <s v="2016년 5월경"/>
    <d v="2016-05-01T00:00:00"/>
    <n v="5"/>
    <s v="-"/>
    <x v="2"/>
    <s v="2016년 5월경 고속도로 건설공사 현장에서 협력업체 재해자 두 명이 접속교 교각4번 부근에 설치 된 교량 상부슬라브 거푸집동바리용 멍에브라켓 등을 운반작업 중, 재해자들이 서있던 STEEL BOX GIRDER 사이의 방호선반(강관파이프+합판)이 무너지며, 지상바닥(H≒16m)으로 추락"/>
    <s v="교각에 설치된 방호선반 위에서 교량 상부슬라브 거푸집동바리용 멍에브라켓 등을 운반작업 중 방호선반이 무너지며 근로자 추락"/>
    <s v="▶ 중량물 취급하는 작업 할 시 작업계획서를 작성하고 작업지휘자를 지정한 후, 계획에 따라 작업 준수_x000a_▶ 추락위험이 있는 장소에서 작업 시 안전대 부착설비 설치 및 안전대 착용"/>
  </r>
  <r>
    <n v="4"/>
    <x v="4"/>
    <x v="11"/>
    <x v="16"/>
    <s v="YES"/>
    <x v="15"/>
    <x v="35"/>
    <s v="해당없음"/>
    <s v="해당없음"/>
    <s v="해당없음"/>
    <s v="2019년 11월"/>
    <d v="2019-11-01T00:00:00"/>
    <n v="11"/>
    <s v="-"/>
    <x v="2"/>
    <s v="2019년 11월경 ㈜OO 주택재건축 정비공사 현장에서 협력업체 소속 재해자(창호공)이 세대 내 안방 발코니 창호틀 코킹(caulking) 작업을 위해 창호 단부에 설치된 수직형 추락방망에 기대어 작업하던 중 수직형 추락방망의 고정 스크류 앵커가 빠지며 약 65m 아래 콘크리트 바닥으로 추락하여 사망"/>
    <s v="안방 발코니 창호틀 코킹 작업을 위해 창호 단부에 설치된 수직형 추락방망에 기대어 작업하던 중 수직형 추락방망의 고정 스크류 앵커가 빠지며 근로자 추락"/>
    <s v="▶ 창호 단부와 같이 추락의 위험이 있는 장소에는 안전난간, 수직형 추락방망 등 방호 조치 실시_x000a_▶ 근로자는 추락방망에 기대어 작업하지 않아야 하며, 작업 반경 내 안전대 부착설비 설치 및 안전대 착용ㆍ사용토록 하는 등 추락방호조치 실시한 상태에서 작업 실시"/>
  </r>
  <r>
    <n v="11"/>
    <x v="0"/>
    <x v="1"/>
    <x v="1"/>
    <s v="YES"/>
    <x v="16"/>
    <x v="36"/>
    <s v="해당없음"/>
    <s v="해당없음"/>
    <s v="해당없음"/>
    <s v=" 2018년 5월"/>
    <d v="2018-05-01T00:00:00"/>
    <n v="5"/>
    <s v="-"/>
    <x v="1"/>
    <s v=" 2018년 5월경 OOO도 OO시 OOO읍 소재 OOOO 현장에서 OOOO 소속 재해자가 동료작업자 1명과 함께 기존에 설치했던 관로를 수정하기 위해 터파기 하부에서 흄관(D=800mm)을 새로 부설하던 중, 경사면 상부에 적치해 놓았던 흄관이 미끄러지면서 재해자가 깔려 사망한 재해임."/>
    <s v="크레인으로 인양된 강관파이프를 차량에 적재하던 중, 3단으로 불안정하게 적재된 강관파이프가 붕괴되어 강관파이프에 깔림"/>
    <s v="▶ 자재를 야적하는 경우 평탄한 곳에 적재하며 구름방지조치 실시_x000a_▶ 경사면에서 흄관을 고정하기 위해 쐐기 등을 이용_x000a_▶ 강관파이프를 3단이상 등 과도하게 적재 금지"/>
  </r>
  <r>
    <n v="11"/>
    <x v="0"/>
    <x v="1"/>
    <x v="2"/>
    <s v="YES"/>
    <x v="16"/>
    <x v="36"/>
    <s v="해당없음"/>
    <s v="해당없음"/>
    <s v="해당없음"/>
    <s v="2018년 5월경"/>
    <d v="2018-05-01T00:00:00"/>
    <n v="5"/>
    <s v="-"/>
    <x v="8"/>
    <s v="2018년 5월경 OOOO(주) OO시 관내 국도대체 우회도로 현장에서 직영근로자인 재해자가 우수관 배치작업 중 마지막 우수관을 굴삭기로 당겨 끼워넣던 중 순간적으로 우수관이 빠지면서 회전하는 우수관과 토사면 사이에 재해자의 가슴이 끼여 치료 중 사망한 재해임"/>
    <s v="굴삭기로 관부설 작업 중 관이 이탈하며 근로자와 충돌"/>
    <s v="▶ 관로를 굴삭기로 굴착하단부에 운반하는 작업을 하는 경우 관로가 회전하거나 슬링벨트에서 빠지는 것을 막기위해 두줄걸이를 시행하고, 관이 회전을 방지하기 위한 조치 실시_x000a_▶ 중량물 취급 시 작업지휘자 및 신호수 배치"/>
  </r>
  <r>
    <n v="11"/>
    <x v="0"/>
    <x v="1"/>
    <x v="2"/>
    <s v="YES"/>
    <x v="16"/>
    <x v="36"/>
    <s v="해당없음"/>
    <s v="해당없음"/>
    <s v="해당없음"/>
    <s v="2018년 6월경"/>
    <d v="2018-06-01T00:00:00"/>
    <n v="6"/>
    <s v="혹서기"/>
    <x v="4"/>
    <s v="2018년 6월경 OO시 OO군 소재 (주) OOOO/OOOO 심정공사 현장에서 협력사 소속 재해자가 천공이 완료된 심정의 공벽 붕괴 방지를 위해 PVC수도관 설치 작업을 실시하던 중 PVC관을 매달아 지지하던 와이어로프가 파단되면서 재해자의 오른쪽 다리를 절단하여 병원으로 이송하여 치료  중, 사망한 재해임."/>
    <s v="PVC수도관 설치 작업 중 PVC관을 매달던 와이어로프가 손상(변형) 및 파단되어 근로자 베임"/>
    <s v="▶ 작업 전 와이어로프의 손상여부를 확인하고, 작업 중 와이어로프 손상 시 즉시교체 후 작업 실시_x000a_▶ 자재 등 중량물 운반 중 작업자의 불필요한 접촉 금지"/>
  </r>
  <r>
    <n v="11"/>
    <x v="0"/>
    <x v="1"/>
    <x v="2"/>
    <s v="YES"/>
    <x v="16"/>
    <x v="36"/>
    <s v="해당없음"/>
    <s v="해당없음"/>
    <s v="해당없음"/>
    <s v="2018년 12월"/>
    <d v="2018-12-01T00:00:00"/>
    <n v="12"/>
    <s v="혹한기"/>
    <x v="8"/>
    <s v="2018년 12월경 OOO도 OO군 OO면 소재 OOOO보완사업 현장에서, 우수유도용 배수관(플륨관,400×400mm,L=2m,430kg)을 백호(06LC)로 양중하던 중, 플륨관이 낙하되면서 재해자 머리를 강타하여 사망한 것으로 추정되는 재해임."/>
    <s v="관부설 작업을 위해 굴삭기로 관 운반 작업 중 근로자와 충돌"/>
    <s v="▶ 관로를 굴삭기로 굴착하단부에 운반하는 작업을 하는 경우 관로가 회전하거나 슬링벨트에서 빠지는 것을 막기위해 두줄걸이를 시행하고, 관이 회전을 방지하기 위한 조치 실시_x000a_▶ 중량물 취급 시 작업지휘자 및 신호수 배치"/>
  </r>
  <r>
    <n v="11"/>
    <x v="0"/>
    <x v="1"/>
    <x v="2"/>
    <s v="YES"/>
    <x v="16"/>
    <x v="36"/>
    <s v="해당없음"/>
    <s v="해당없음"/>
    <s v="해당없음"/>
    <s v="2020년 4월경"/>
    <d v="2020-04-01T00:00:00"/>
    <n v="4"/>
    <s v="-"/>
    <x v="8"/>
    <s v="2020년 4월경 OOO도 OO시 OO면 소재 『OOOO 토목건축기계공사』현장에서, 재해자가 이동식 크레인(7톤, 카고크레인) 적재함에 적재되어 있는 강관(직경 700mm, 길이 6m)을 떨어지지 않도록 섬유벨트(폭 50mm, 슬링벨트)로 거는 작업 중, 강관이 재해자 방향으로 굴러 떨어지면서 재해자의 얼굴 및 가슴을 덮쳐 사망한 재해임."/>
    <s v="카고크레인 적재함에 있는 강관 하역 중 강관이 굴러 떨어지면서 충돌"/>
    <s v="▶ 관로를 굴삭기로 굴착하단부에 운반하는 작업을 하는 경우 관로가 회전하거나 슬링벨트에서 빠지는 것을 막기위해 두줄걸이를 시행하고, 관이 회전을 방지하기 위한 조치 실시_x000a_▶ 중량물 취급 시 작업지휘자 및 신호수 배치"/>
  </r>
  <r>
    <n v="11"/>
    <x v="0"/>
    <x v="1"/>
    <x v="2"/>
    <s v="YES"/>
    <x v="16"/>
    <x v="36"/>
    <s v="해당없음"/>
    <s v="해당없음"/>
    <s v="해당없음"/>
    <s v="2020년 7월경"/>
    <d v="2020-07-01T00:00:00"/>
    <n v="7"/>
    <s v="혹서기"/>
    <x v="11"/>
    <s v="2020년 7월경 OOO도 OO시 OO읍 소재 OOOO(주) OOOO상수관로 유지사업 구간 내 5번 이토밸브실(깊이:4.8m) 내부에서 재해자가 전일 설치한 제수밸브의 밀림방지용 임시 지지대를 교체하기 위하여 임시 지지대(강관파이프: D48.6㎜) 4개 중 1개를 제거하는 순간, 밸브 반대편 주철관(이토관, D400㎜) 접합부가 벌어지며(이탈방지압륜이 관에서 이탈) 물이 터져 나왔고, 이로 인한 수압으로 재해자가 지상으로 튀어나와 이토밸브실로부터 약 4m 떨어진 위치에 떨어져 사망한 재해임."/>
    <s v="상수도관 이토변실 내부에서 제수밸브 교체 작업 중 주철관 접합부가 벌어지며 물이 터져 나와 수압으로 이토변실 밖으로 튕겨져 약 4m 떨어진 위치에 떨어져 사망"/>
    <s v="▶ 관리감독자를 두어 기계, 기구 또는 설비의 안전점검 및 이상 유무의 확인 실시_x000a_▶ 관로 내부 가압중 갑작스러운 파단 등에 대비하기 위한 상황에 맞는 개인보호구 지급 및 착용"/>
  </r>
  <r>
    <n v="12"/>
    <x v="1"/>
    <x v="2"/>
    <x v="3"/>
    <s v="YES"/>
    <x v="16"/>
    <x v="36"/>
    <s v="해당없음"/>
    <s v="해당없음"/>
    <s v="해당없음"/>
    <s v="2018년 1월경"/>
    <d v="2018-01-01T00:00:00"/>
    <n v="1"/>
    <s v="혹한기"/>
    <x v="0"/>
    <s v="2018년 1월경 OO철거공사 현장에서 재해자가 덕트에 배선된 전선의 상태를 확인하기 위해 덕트 철거 작업장소을 지나가다가 떨어지는(h=3.5m) 덕트와 바닥 슬래브에 협착되어 사망"/>
    <s v="배관, 덕트 등 해체작업 중 배관이 바닥으로 떨어지며 근로자 맞음"/>
    <s v="▶ 해체작업시 주변 근로자 통제"/>
  </r>
  <r>
    <n v="12"/>
    <x v="1"/>
    <x v="2"/>
    <x v="3"/>
    <s v="YES"/>
    <x v="16"/>
    <x v="36"/>
    <s v="해당없음"/>
    <s v="해당없음"/>
    <s v="해당없음"/>
    <s v="2018년 4월경"/>
    <d v="2018-04-01T00:00:00"/>
    <n v="4"/>
    <s v="-"/>
    <x v="1"/>
    <s v="2018년 4월경 OO(주)에서 시공중인 OO철거공사 현장에서 재해자가 빔 절단기를 장착한 굴삭기를 이용하여 철골조 건축물을 철거하는 작업에서 분진발생을 억제하기 위하여 살수기를 이용하여 살수작업을 하던 중 건물외벽에 설치된 빗물배관(L≒17.8m)이 쓰러지며 재해자의 머리에 맞아 사망"/>
    <s v="해체작업을 하던 중 방음벽 및 배관 등 해체물이 재해자쪽으로 전도되어 맞음, 깔림"/>
    <s v="▶ 해체물, 자재 등 현장 내 존치할 경우 전도방지조치 실시_x000a_▶ 건축물의 해체 작업시 작업반경 내 작업자의 출입 금지조치"/>
  </r>
  <r>
    <n v="12"/>
    <x v="1"/>
    <x v="2"/>
    <x v="3"/>
    <s v="YES"/>
    <x v="16"/>
    <x v="36"/>
    <s v="해당없음"/>
    <s v="해당없음"/>
    <s v="해당없음"/>
    <s v=" 2018년 12"/>
    <d v="2018-12-01T00:00:00"/>
    <n v="12"/>
    <s v="혹한기"/>
    <x v="0"/>
    <s v=" 2018년 12월경 OO철거 현장에서 굴삭기(압쇄기 부착)를 사용하여 탱크(Overflow Tank) 상부에 설치된 플랫폼 등을 해제하던 중 파단된 소방 스프링쿨러 배관(3.5m)이 바닥으로 떨어진 후 인접 건물(공기압축기실) 내부로 튕겨 작업 중이던 재해자의 안전모에 맞아 사망"/>
    <s v="배관, 덕트 등 해체작업 중 배관이 바닥으로 떨어지며 근로자 맞음"/>
    <s v="▶ 해체작업시 주변 근로자 통제"/>
  </r>
  <r>
    <n v="12"/>
    <x v="1"/>
    <x v="5"/>
    <x v="6"/>
    <s v="YES"/>
    <x v="16"/>
    <x v="36"/>
    <s v="해당없음"/>
    <s v="해당없음"/>
    <s v="해당없음"/>
    <s v="2016년 10월"/>
    <d v="2016-10-01T00:00:00"/>
    <n v="10"/>
    <s v="-"/>
    <x v="0"/>
    <s v="2016년 10월경 OO건설(주) OO신축공사 현장에서 재해자가 지하2층 냉각수 배관(Ø500) 수압시험 중 냉각수 배관을 지지하던 세트앵커(M12)가 천장에서 뽑히면서 떨어지는 냉각수 배관에 깔려 사망"/>
    <s v="상부설치된 배관 및 기계설비 체인 등이 노후화로 인해 떨어지고 끊기면서 하부에 작업하던 재해자 깔림 및 강타"/>
    <s v="▶ 위험구간내 근로자 배치 및 작업지휘자 미배치_x000a_▶ 작업내용에 맞게 사용 체인의 충분한 인장강도 확보 후 작업 실시 "/>
  </r>
  <r>
    <n v="5"/>
    <x v="5"/>
    <x v="16"/>
    <x v="22"/>
    <s v="YES"/>
    <x v="16"/>
    <x v="36"/>
    <s v="해당없음"/>
    <s v="해당없음"/>
    <s v="해당없음"/>
    <s v="2016년 3월경"/>
    <d v="2016-03-01T00:00:00"/>
    <n v="3"/>
    <s v="-"/>
    <x v="1"/>
    <s v="2016년 3월경 공사자재 야적장에서 재해자가 화물차에 적재된 가스관을 동료작업자와 함께 하역하는 작업 중 가스관 묶음 줄이 끊어지면서 재해자가 가스관과 함께 높이 약2.5m아래 바닥으로 떨어지는 과정에서 가스관(2본)이 재해자의 골반을 덮침"/>
    <s v="화물차에 적재된 가스관 하역작업 중 가스관 묶음 줄(나일론) 파단에 의해 근로자가 가스관과 함께 2.5m 아래 바닥으로 추락 및 가스관에 깔림"/>
    <s v="▶ 가스관 등 길이가 긴 자재 인양 시 외줄달기 지양 및 중량물취급 안전작업방법(두줄걸이) 준수"/>
  </r>
  <r>
    <n v="5"/>
    <x v="5"/>
    <x v="16"/>
    <x v="22"/>
    <s v="YES"/>
    <x v="16"/>
    <x v="36"/>
    <s v="해당없음"/>
    <s v="해당없음"/>
    <s v="해당없음"/>
    <s v="2020년 9월경"/>
    <d v="2020-09-01T00:00:00"/>
    <n v="9"/>
    <s v="-"/>
    <x v="1"/>
    <s v="2020년 9월경 OO 스팀튜브 교체 공사장에서, 스팀튜브 제작 완료 후 적재되어 있던 스팀튜브 일부가 이탈·전도되면서 재해자가 깔림"/>
    <s v="적재되어 있던 스팀튜브 일부가 이탈, 전도되면서 근로자 깔림"/>
    <s v="▶ 적재물과 이격된 거리의 근로자 작업구역 설정을 통한 깔림방지조치 실시_x000a_▶ 근로자 작업구역 설정이 불가피한 경우, 중량물 적재작업 중 이탈, 구름 예방을 위한 구름멈춤대, 쐐기 등 설치를 통한 이탈, 구름 방지조치 실시"/>
  </r>
  <r>
    <n v="5"/>
    <x v="5"/>
    <x v="16"/>
    <x v="23"/>
    <s v="YES"/>
    <x v="16"/>
    <x v="36"/>
    <s v="해당없음"/>
    <s v="해당없음"/>
    <s v="해당없음"/>
    <s v="2016년 7월경"/>
    <d v="2016-07-01T00:00:00"/>
    <n v="7"/>
    <s v="혹서기"/>
    <x v="2"/>
    <s v="2016년 7월경 OO시 OO군 OO읍 소재 OOOO 배관 교체공사 현장에서 재해자 OOO이 기존 냉각수 배관철거 작업을 하기 위하여, 배관 연결 플랜지 볼트 해체작업을 하던 중, 몸의 중심을 잃고 지상으로 추락(H≒4m)하여 사망한 재해임."/>
    <s v="TSC공정 냉각수 배관 교체를 위해 볼트 해체작업 중 배관이 아래로 처지면서 몸의 중심을 잃고 바닥으로 추락"/>
    <s v="▶ 추락의 위험이 있는 작업 시 비계 조립 등에 의한 작업발판 설치 후 작업실시_x000a_▶ 추락하거나 넘어질 위험이 있는 작업 시 안전대 부착설비 설치를 통한 추락방지조치 준수"/>
  </r>
  <r>
    <n v="5"/>
    <x v="5"/>
    <x v="16"/>
    <x v="23"/>
    <s v="YES"/>
    <x v="16"/>
    <x v="36"/>
    <s v="해당없음"/>
    <s v="해당없음"/>
    <s v="해당없음"/>
    <s v="2017년 7월경"/>
    <d v="2017-07-01T00:00:00"/>
    <n v="7"/>
    <s v="혹서기"/>
    <x v="2"/>
    <s v="2017년 7월경 ㈜OOO, 우수관 세정공사 현장에서 지하2층 주차램프 인근 구간에서 재해자 OOO가 공중에 설치된 우수관의 막힘 여부를 확인하기 위해 배관 조인트 부위를 분해하던 중, 배관이 탈락되면서 약 5m 아래 바닥으로 추락하여 사망한 재해임"/>
    <s v="빌딩 우수관 세정공사 현장에서 주차램프 인근에서 상부 배관 분해 중 배관이 탈락되면서 주차램프 주변 개부부로 추락"/>
    <s v="▶ 추락의 위험이 있는 작업 시 비계 조립 등에 의한 작업발판 설치 후 작업실시_x000a_▶ 추락하거나 넘어질 위험이 있는 작업 시 안전대 부착설비 설치를 통한 추락방지조치 준수"/>
  </r>
  <r>
    <n v="5"/>
    <x v="5"/>
    <x v="16"/>
    <x v="23"/>
    <s v="YES"/>
    <x v="16"/>
    <x v="36"/>
    <s v="해당없음"/>
    <s v="해당없음"/>
    <s v="해당없음"/>
    <s v="2017년 9월경"/>
    <d v="2017-09-01T00:00:00"/>
    <n v="9"/>
    <s v="-"/>
    <x v="2"/>
    <s v="2017년 9월경, OOO도 OO시 소재 OOOOOO(주)가 시공하는 OOOO 신축공사 현장에서 자재납품업체 소속 재해자가 지하2층 PIT구간에 설치 된 이동식비계 2단 작업발판에서 PVC덕트 설치작업 중 임시로 고정해 놓은 덕트가 탈락되면서 재해자를 덮쳐, 콘크리트 바닥(H=3.4m)으로 떨어졌고 병원으로 이송, 치료 중 사망한 재해임."/>
    <s v="이동식비계 2단 작업발판에서 PVC덕트 설치작업 중 임시로 고정해 놓은 덕트가 탈락되면서 맞은 후 콘크리트 바닥으로 추락"/>
    <s v="▶ 배관행거등 소방배관 고정철물은 앙카볼트 및 달대 시공시 충분한 깊이로 시공_x000a_    - 배관행거 등에 안전를 체결한 상태로 작업금지_x000a_    - 배관을 올라타서 작업하는 등 불안전한 행동 금지 "/>
  </r>
  <r>
    <n v="5"/>
    <x v="5"/>
    <x v="16"/>
    <x v="23"/>
    <s v="YES"/>
    <x v="16"/>
    <x v="36"/>
    <s v="해당없음"/>
    <s v="해당없음"/>
    <s v="해당없음"/>
    <s v="2018년 12월"/>
    <d v="2018-12-01T00:00:00"/>
    <n v="12"/>
    <s v="혹한기"/>
    <x v="2"/>
    <s v="2018년 12월경, OO시 OO구 OO동 소재, OOOOOO(주)에서 시공하는 OOO 신축공사현장에서 OOOO(주) 소속 재해자가 정화조 기계실에 들어가 급기 덕트(PVC배관) 내부로 들어간 골재를 제거하려고 작업준비를 하던 중, 정화조 기계실 바닥 개구부에서 떨어져(H=3m) 사망(12. 31일)한 재해 임"/>
    <s v="아파트 정화조 기계실 내부 골재 제거 작업 중 기계실 바닥 개구부로 추락"/>
    <s v="▶ 설비덕트(제연덕트, 배기덕트 등)의 개구부 덮개는 충분한 강도를 가진 재료로 덮개를 설치_x000a_▶ 개구부 덮개 상단에는 경고표지를 부착_x000a_▶ 개구부 주변 안전난간대 설치 (추가적인 추락위험 조치)"/>
  </r>
  <r>
    <n v="5"/>
    <x v="5"/>
    <x v="16"/>
    <x v="23"/>
    <s v="YES"/>
    <x v="16"/>
    <x v="36"/>
    <s v="해당없음"/>
    <s v="해당없음"/>
    <s v="해당없음"/>
    <s v="2019년 11월"/>
    <d v="2019-11-01T00:00:00"/>
    <n v="11"/>
    <s v="-"/>
    <x v="0"/>
    <s v="2019년 11월경 (주)OOOOO에서 시공중인 OO시 OO면 OO리 OOO-O 창고시설 신축공사의 설비전기 협력업체인 OOOOO 소속 재해자가 4층 공기 흡입 감지기 시공 작업을 마치고 지게차 출입구로 이동하던 중, 근처 시저형 고소작업대에서 배관공(OOO)이 용접이음작업중이던 천장 소방배관(아연도금강관 배관 길이 7m, 무게 약 32kg)이 행거에서 이탈, 바닥에 떨어져 튕겨나와 재해자를 타격하여 쓰러져, 병원 후송 치료 중 사망한 재해"/>
    <s v="근처 고소작업대에서 용접 이음작업중이던 천장 소방배관의 이탈에 의한 낙하 및 근로자 타격"/>
    <s v="▶ 배관행거등 소방배관 고정철물은 앙카볼트 및 달대 시공시 충분한 깊이로 시공_x000a_    - 배관행거 등에 안전를 체결한 상태로 작업금지_x000a_    - 배관을 올라타서 작업하는 등 불안전한 행동 금지 "/>
  </r>
  <r>
    <n v="5"/>
    <x v="5"/>
    <x v="16"/>
    <x v="23"/>
    <s v="YES"/>
    <x v="16"/>
    <x v="36"/>
    <s v="해당없음"/>
    <s v="해당없음"/>
    <s v="해당없음"/>
    <s v="2020년 11월"/>
    <d v="2020-11-01T00:00:00"/>
    <n v="11"/>
    <s v="-"/>
    <x v="0"/>
    <s v="2020년 11월경 OO시 OO구 OO동 소재 ㈜OOOOO이 시공 중인 「OOO공사」현장에서 협력업체 ㈜OOOO 소속 재해자가 소방배관작업 중 압력테스트로 인하여 압력이 걸려 있는 배관 끝단부 캡의 연결부 볼트를 해체하던 중 배관 내부에 남아있던 압력에 의해 이탈되어 날아가는 캡에 안면부를 맞아 사망한 재해임"/>
    <s v="소방배관작업 중 배관 끝단부 캡의 연결부 볼트를 해체하던 중 잔여압력에 의해 캡이 이탈되어 안면부 강타"/>
    <s v="▶ 압력 배관 작업 시 압력을 확인할 수 있는 압력계 필히 설치할 것_x000a_▶ 압력 배관 작업 시 배관의 압력 제거에 대한 기준 선정 및 근로자에게 교육조치 실시"/>
  </r>
  <r>
    <n v="1"/>
    <x v="8"/>
    <x v="19"/>
    <x v="27"/>
    <s v="YES"/>
    <x v="17"/>
    <x v="37"/>
    <s v="해당없음"/>
    <s v="해당없음"/>
    <s v="해당없음"/>
    <s v="2015년 7월경"/>
    <d v="2015-07-01T00:00:00"/>
    <n v="7"/>
    <s v="혹서기"/>
    <x v="0"/>
    <s v="2015년 7월경 OO공사에서 재해자 등이 급수관 교체 작업을 위해 굴착저면에서 바닥 평탄화 작업을 하던 중 인접해 있는 주택의 조적벽이 굴착부 방향으로 전도되면서 깔려 2명 부상"/>
    <s v="굴착저면 평탄화 작업 중 인접해 있는 주택 조적벽이 굴착부 방향으로 전도되면서 재해자를 덮침"/>
    <s v="▶ 해당 작업장 주변의 지형∙지반 및 지층 상태 등에 대한 사전조사 실시_x000a_▶ 해당작업장 지반의 침하방지, 주변 건물의 전도방지 등의 조치 실시"/>
  </r>
  <r>
    <n v="11"/>
    <x v="0"/>
    <x v="1"/>
    <x v="1"/>
    <s v="YES"/>
    <x v="17"/>
    <x v="37"/>
    <s v="해당없음"/>
    <s v="해당없음"/>
    <s v="해당없음"/>
    <s v="2017년 10월"/>
    <d v="2017-10-01T00:00:00"/>
    <n v="10"/>
    <s v="-"/>
    <x v="7"/>
    <s v="2017년 10월경 OO시 OO구 OO동 소재 OOOO(주)에서 시공하는 OOOO개선사업 현장에서 배수관로(PVC, Φ450) 설치를 위한 굴착작업 중 굴착부와 인접해 있는 주택의 노후된 담장이 굴착부 방향으로 전도되면서 굴착부 저면의 평탄 및 정리작업 중이던 재해자(관로공)을 덮쳐 병원으로 후송, 치료하였으나 1명은 사망, 1명은 부상당한 재해임 "/>
    <s v="관로 부설을 위한 굴착 중 굴착사면과 옹벽(담장)이 무너지면서 근로자 매몰"/>
    <s v="▶ 굴착작업 중 인접 구조물의 전도위험 방지(견고한 지지대 설치 등) 조치 실시_x000a_▶ 기존 구조물 등이 근접해있는 경우 진동 및 충격 등에 의한 사전 안전성평가 실시_x000a_▶ 굴착면의 기울기 기준 준수 및 간이 흙막이 등 설치 _x000a_▶ 굴착작업 주변 지반 사전조사 및 작업계획서 작성"/>
  </r>
  <r>
    <n v="11"/>
    <x v="0"/>
    <x v="1"/>
    <x v="1"/>
    <s v="YES"/>
    <x v="17"/>
    <x v="37"/>
    <s v="해당없음"/>
    <s v="해당없음"/>
    <s v="해당없음"/>
    <s v="2018년 5월경"/>
    <d v="2018-05-01T00:00:00"/>
    <n v="5"/>
    <s v="-"/>
    <x v="7"/>
    <s v="2018년 5월경, OOO도 OO군 소재 OOOO 중앙처리구역(10분구) 하수관로 정비사업 현장에서 협력업체 소속 관로공인 재해자가 굴착저면(폭1.1m, 깊이1.6m)에서 스타프(Staff)를 들고 레벨 측량을 마치고 나오던 중 굴착 사면과 굴착사면 상부의 주차장 옹벽(조적조, 높이 약 1.6m)이 무너지면서 매몰되어 동료 작업자들에 의해 구조, 병원으로 이송하였으나 사망한 재해임."/>
    <s v="관로 부설을 위한 굴착 중 굴착사면과 옹벽(담장)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1"/>
    <s v="YES"/>
    <x v="17"/>
    <x v="37"/>
    <s v="해당없음"/>
    <s v="해당없음"/>
    <s v="해당없음"/>
    <s v="2019년 5월경"/>
    <d v="2019-05-01T00:00:00"/>
    <n v="5"/>
    <s v="-"/>
    <x v="7"/>
    <s v="2019년 5월경 OOOO(주)이 시공중인 OO시 OO군 소재  OOOO 개보수공사 현장에서 직영 근로자인 OOO이 지상1층 바닥에 기 설치된 상수도 계량기 이전 설치를 위하여 약 0.8m 굴착작업 중 근처에 있던 담장의 일부(1.8m×1.6m, w≒1,457kg)가 재해자 방향으로 쓰러지며, 지면과 쓰러진 담장사이에 협착되어 병원으로 후송 치료 중 재해발생당일 사망한 재해임."/>
    <s v="관로 부설을 위한 굴착 중 굴착사면과 옹벽(담장)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1"/>
    <s v="YES"/>
    <x v="17"/>
    <x v="37"/>
    <s v="해당없음"/>
    <s v="해당없음"/>
    <s v="해당없음"/>
    <s v="2020년 4월경"/>
    <d v="2020-04-01T00:00:00"/>
    <n v="4"/>
    <s v="-"/>
    <x v="7"/>
    <s v="2020년 4월경 OOO시 OO구 OO동 소재 OOOO정비사업 현장에서 직영 근로자인 재해자가 굴착구간 하부(H=1.6m)에서 관로 접합 작업 중 작업구간에 인접한 노후된 담장(H=2.0m, L=13m)이 무너지며 재해자가 이를 피하지 못하고 깔려 병원으로 이송 중 사망함."/>
    <s v="관로 부설을 위한 굴착 중 굴착사면과 옹벽(담장)이 무너지면서 근로자 매몰"/>
    <s v="▶ 굴착작업 중 인접 구조물의 전도위험 방지(견고한 지지대 설치 등) 조치 실시_x000a_▶ 기존 구조물 등이 근접해있는 경우 진동 및 충격 등에 의한 사전 안전성평가 실시_x000a_▶ 굴착면의 기울기 기준 준수 및 간이 흙막이 등 설치 _x000a_▶ 굴착작업 주변 지반 사전조사 및 작업계획서 작성"/>
  </r>
  <r>
    <n v="12"/>
    <x v="1"/>
    <x v="2"/>
    <x v="3"/>
    <s v="YES"/>
    <x v="17"/>
    <x v="37"/>
    <s v="해당없음"/>
    <s v="해당없음"/>
    <s v="해당없음"/>
    <s v="2016년 3월경"/>
    <d v="2016-03-01T00:00:00"/>
    <n v="3"/>
    <s v="-"/>
    <x v="1"/>
    <s v="2016년 3월경 OO인테리어 공사 현장에서 조적벽체 철거작업 중 조적벽체가 재해자 측으로 전도되면서 머리를 부딪혀 사망"/>
    <s v="벽체철거 작업 중 조적벽체가 전도되어 깔림"/>
    <s v="▶ 부재와 기 고정된 구조물(벽체 등)을 사전에 파악_x000a_▶ 작업반경 내에 작업자의 출입을 금지_x000a_▶ 순차적으로 상부에서 하부로 파쇄하며 작업을 실시"/>
  </r>
  <r>
    <n v="12"/>
    <x v="1"/>
    <x v="2"/>
    <x v="3"/>
    <s v="YES"/>
    <x v="17"/>
    <x v="37"/>
    <s v="해당없음"/>
    <s v="해당없음"/>
    <s v="해당없음"/>
    <s v="2016년 5월경"/>
    <d v="2016-05-01T00:00:00"/>
    <n v="5"/>
    <s v="-"/>
    <x v="1"/>
    <s v="2016년 5월경 OO리모델링공사 현장에서 재해자가 지상 3층 기존 병실의 조적벽체(시멘트 벽돌, 가로×세로=1.2m×1.4m)를 해체하기 위해 3층 바닥에서 약 1.0m 높이로 벽체 하부를 한꺼번에 핸드브레이커로 파쇄하던 중 조적벽체가 균형을 잃고 앞쪽으로 넘어지면서 재해자를 강타하여 사망"/>
    <s v="벽체철거 작업 중 조적벽체가 전도되어 깔림"/>
    <s v="▶ 부재와 기 고정된 구조물(벽체 등)을 사전에 파악_x000a_▶ 작업반경 내에 작업자의 출입을 금지_x000a_▶ 순차적으로 상부에서 하부로 파쇄하며 작업을 실시"/>
  </r>
  <r>
    <n v="12"/>
    <x v="1"/>
    <x v="2"/>
    <x v="3"/>
    <s v="YES"/>
    <x v="17"/>
    <x v="37"/>
    <s v="해당없음"/>
    <s v="해당없음"/>
    <s v="해당없음"/>
    <s v="2016년 7월경"/>
    <d v="2016-07-01T00:00:00"/>
    <n v="7"/>
    <s v="혹서기"/>
    <x v="1"/>
    <s v="2016년 7월경 OO리모델링 공사 현장에서 재해자가 지상1층에서 후속 작업을 위해 미니 굴삭기(0.17㎥)의 브레이커를 버켓으로 교체하려고 브레이커를 해체 후 지상 1층 출입구 쪽으로 이동 중 건물이 무너져 내려 매몰되어 사망"/>
    <s v="해체작업을 하던 중 충격 또는 폐기물 하중 등으로 슬라브가 붕괴되어 작업자 추락 및 깔림"/>
    <s v="▶ 구조검토를 실시한 후, 그에 맞는 해체방법 및 순서 등 작업계획을 수립_x000a_▶ 작업층 하부에 잭서포트 보강 실시하며 구조상 충분한 잭서포트 개수를 설치 적정 개소에 설치_x000a_▶ 균열, 콘크리트 강도, 철근 배근상태, 노후정도 등과 같은 해당 건물의 안정성 검토 후 해체계획 수립"/>
  </r>
  <r>
    <n v="12"/>
    <x v="1"/>
    <x v="2"/>
    <x v="3"/>
    <s v="YES"/>
    <x v="17"/>
    <x v="37"/>
    <s v="해당없음"/>
    <s v="해당없음"/>
    <s v="해당없음"/>
    <s v="2016년 8월경"/>
    <d v="2016-08-01T00:00:00"/>
    <n v="8"/>
    <s v="혹서기"/>
    <x v="1"/>
    <s v="2016년 8월경 OO철거 작업장에서 재해자가 해체된 샌드위치 패널을 폐기물 처리를 위하여 정리하던 중 조적벽(높이 3.5m, 폭 18m)이 붕괴되며 재해자를 덮쳐 사망"/>
    <s v="벽체철거 작업 중 조적벽체가 전도되어 깔림"/>
    <s v="▶ 부재와 기 고정된 구조물(벽체 등)을 사전에 파악_x000a_▶ 작업반경 내에 작업자의 출입을 금지_x000a_▶ 순차적으로 상부에서 하부로 파쇄하며 작업을 실시"/>
  </r>
  <r>
    <n v="12"/>
    <x v="1"/>
    <x v="2"/>
    <x v="3"/>
    <s v="YES"/>
    <x v="17"/>
    <x v="37"/>
    <s v="해당없음"/>
    <s v="해당없음"/>
    <s v="해당없음"/>
    <s v="2016년 8월경"/>
    <d v="2016-08-01T00:00:00"/>
    <n v="8"/>
    <s v="혹서기"/>
    <x v="1"/>
    <s v="2016년 8월경 OO리모델링공사 현장에서 재해자가 건물 3층 내부벽체 일부를 해체하기 위해 해머로 타격하여 작업하던 중 지붕슬래브가 무너지며 매몰되어 사망"/>
    <s v="해체작업을 하던 중 충격 또는 폐기물 하중 등으로 슬라브가 붕괴되어 작업자 추락 및 깔림"/>
    <s v="▶ 구조검토를 실시한 후, 그에 맞는 해체방법 및 순서 등 작업계획을 수립_x000a_▶ 작업층 하부에 잭서포트 보강 실시하며 구조상 충분한 잭서포트 개수를 설치 적정 개소에 설치_x000a_▶ 균열, 콘크리트 강도, 철근 배근상태, 노후정도 등과 같은 해당 건물의 안정성 검토 후 해체계획 수립"/>
  </r>
  <r>
    <n v="12"/>
    <x v="1"/>
    <x v="2"/>
    <x v="3"/>
    <s v="YES"/>
    <x v="17"/>
    <x v="37"/>
    <s v="해당없음"/>
    <s v="해당없음"/>
    <s v="해당없음"/>
    <s v="2017년 5월경"/>
    <d v="2017-05-01T00:00:00"/>
    <n v="5"/>
    <s v="-"/>
    <x v="1"/>
    <s v="2017년 5월경 OO철거공사 현장에서 재해자가 주택 2층 거실 창호틀을 떼어내던 중 창호틀과 맞닿아 있던 조적벽(콘크리트블록, 너비 0.4m*높이 2.3m)이 재해자 쪽으로 넘어지면서 깔려 사망"/>
    <s v="벽체철거 작업 중 조적벽체가 전도되어 깔림"/>
    <s v="▶ 부재와 기 고정된 구조물(벽체 등)을 사전에 파악_x000a_▶ 작업반경 내에 작업자의 출입을 금지_x000a_▶ 순차적으로 상부에서 하부로 파쇄하며 작업을 실시"/>
  </r>
  <r>
    <n v="12"/>
    <x v="1"/>
    <x v="2"/>
    <x v="3"/>
    <s v="YES"/>
    <x v="17"/>
    <x v="37"/>
    <s v="해당없음"/>
    <s v="해당없음"/>
    <s v="해당없음"/>
    <s v="2017년 5월경"/>
    <d v="2017-05-01T00:00:00"/>
    <n v="5"/>
    <s v="-"/>
    <x v="1"/>
    <s v="2017년 5월경 OO리모델링 공사현장에서 재해자가 지하 1층 안방 내부 샤워실 벽체(폭2.2m × 높이2.5m × 두께 0.12m)를 핸드 브레이커를 사용하여 해체하던 중 벽체(벽돌조적)의 일부가 넘어지면서 재해자를 덮쳐 벽체에 협착되어 사망"/>
    <s v="벽체철거 작업 중 조적벽체가 전도되어 깔림"/>
    <s v="▶ 부재와 기 고정된 구조물(벽체 등)을 사전에 파악_x000a_▶ 작업반경 내에 작업자의 출입을 금지_x000a_▶ 순차적으로 상부에서 하부로 파쇄하며 작업을 실시"/>
  </r>
  <r>
    <n v="12"/>
    <x v="1"/>
    <x v="2"/>
    <x v="3"/>
    <s v="YES"/>
    <x v="17"/>
    <x v="37"/>
    <s v="해당없음"/>
    <s v="해당없음"/>
    <s v="해당없음"/>
    <s v="2019년 7월경"/>
    <d v="2019-07-01T00:00:00"/>
    <n v="7"/>
    <s v="혹서기"/>
    <x v="1"/>
    <s v="2019년 7월경 OO철거공사 현장에서 재해자가 해머드릴로 샤워실 칸막이벽(시멘트블록 벽체) 철거작업 중 넘어지는 벽체(넓이 : 3?, 높이 : 2?, 중량 : 약1,404kg)에 맞아 사망"/>
    <s v="벽체철거 작업 중 조적벽체가 전도되어 깔림"/>
    <s v="▶ 부재와 기 고정된 구조물(벽체 등)을 사전에 파악_x000a_▶ 작업반경 내에 작업자의 출입을 금지_x000a_▶ 순차적으로 상부에서 하부로 파쇄하며 작업을 실시"/>
  </r>
  <r>
    <n v="12"/>
    <x v="1"/>
    <x v="2"/>
    <x v="3"/>
    <s v="YES"/>
    <x v="17"/>
    <x v="37"/>
    <s v="해당없음"/>
    <s v="해당없음"/>
    <s v="해당없음"/>
    <s v="2019년 11월"/>
    <d v="2019-11-01T00:00:00"/>
    <n v="11"/>
    <s v="-"/>
    <x v="1"/>
    <s v="2019년 11월경 OO리모델링 공사 현장에서 재해자가 내부 조적벽체 해체작업 중 핸드브레이커로 중간부분을 컷팅하여 하부벽체를 먼저 철거하고 상부벽체를 철거하기 위해 망치로 두드리는 순간 상부에 남아있던 조적벽체가 떨어지며 깔려 사망"/>
    <s v="벽체철거 작업 중 조적벽체가 전도되어 깔림"/>
    <s v="▶ 부재와 기 고정된 구조물(벽체 등)을 사전에 파악_x000a_▶ 작업반경 내에 작업자의 출입을 금지_x000a_▶ 순차적으로 상부에서 하부로 파쇄하며 작업을 실시"/>
  </r>
  <r>
    <n v="12"/>
    <x v="1"/>
    <x v="2"/>
    <x v="3"/>
    <s v="YES"/>
    <x v="17"/>
    <x v="37"/>
    <s v="해당없음"/>
    <s v="해당없음"/>
    <s v="해당없음"/>
    <s v="2020년 2월경"/>
    <d v="2020-02-01T00:00:00"/>
    <n v="2"/>
    <s v="혹한기"/>
    <x v="1"/>
    <s v="2020년 2월경 OO 용도변경공사 현장에서 지상 1층 용도변경을 위한 내부 작업 중 주택이 붕괴되면서 재해자가 매몰되어 사망"/>
    <s v="해체작업을 하던 중 충격 또는 폐기물 하중 등으로 슬라브가 붕괴되어 작업자 추락 및 깔림"/>
    <s v="▶ 구조검토를 실시한 후, 그에 맞는 해체방법 및 순서 등 작업계획을 수립_x000a_▶ 작업층 하부에 잭서포트 보강 실시하며 구조상 충분한 잭서포트 개수를 설치 적정 개소에 설치_x000a_▶ 균열, 콘크리트 강도, 철근 배근상태, 노후정도 등과 같은 해당 건물의 안정성 검토 후 해체계획 수립"/>
  </r>
  <r>
    <n v="12"/>
    <x v="1"/>
    <x v="2"/>
    <x v="3"/>
    <s v="YES"/>
    <x v="17"/>
    <x v="37"/>
    <s v="해당없음"/>
    <s v="해당없음"/>
    <s v="해당없음"/>
    <s v="2020년 7월경"/>
    <d v="2020-07-01T00:00:00"/>
    <n v="7"/>
    <s v="혹서기"/>
    <x v="1"/>
    <s v="2020년 7월경 OO철거공사 현장에서 굴착기(06W) 운전자가 지붕 해체 작업을 위해 붐대를 조작하던 중 외벽(약 2.6m×2.5m, 2.5ton, 조적벽)을 버켓으로 강타, 외벽 근처에서 잔재물 정리를 하고 있던 재해자가 전도 및 붕괴되는 외벽에 깔려 사망"/>
    <s v="해체작업을 하던 중 충격 또는 폐기물 하중 등으로 슬라브가 붕괴되어 작업자 추락 및 깔림"/>
    <s v="▶ 구조검토를 실시한 후, 그에 맞는 해체방법 및 순서 등 작업계획을 수립_x000a_▶ 작업층 하부에 잭서포트 보강 실시하며 구조상 충분한 잭서포트 개수를 설치 적정 개소에 설치_x000a_▶ 균열, 콘크리트 강도, 철근 배근상태, 노후정도 등과 같은 해당 건물의 안정성 검토 후 해체계획 수립"/>
  </r>
  <r>
    <n v="12"/>
    <x v="1"/>
    <x v="2"/>
    <x v="3"/>
    <s v="YES"/>
    <x v="17"/>
    <x v="37"/>
    <s v="해당없음"/>
    <s v="해당없음"/>
    <s v="해당없음"/>
    <s v="2020년 8월경"/>
    <d v="2020-08-01T00:00:00"/>
    <n v="8"/>
    <s v="혹서기"/>
    <x v="1"/>
    <s v="2020년 8월경 OO건설(주)에서 시공 중인 OO개선공사 현장에서 조적벽체 철거 작업 중 재해자는 내실에서 철거작업 중인 동료작업자들의 반대편 공간(외실, 복도)으로 이동하였으며 파쇄 작업 중인 조적벽체가 재해자 쪽으로 넘어지면서 깔려 사망"/>
    <s v="벽체철거 작업 중 조적벽체가 전도되어 깔림"/>
    <s v="▶ 부재와 기 고정된 구조물(벽체 등)을 사전에 파악_x000a_▶ 작업반경 내에 작업자의 출입을 금지_x000a_▶ 순차적으로 상부에서 하부로 파쇄하며 작업을 실시"/>
  </r>
  <r>
    <n v="12"/>
    <x v="1"/>
    <x v="2"/>
    <x v="3"/>
    <s v="YES"/>
    <x v="17"/>
    <x v="37"/>
    <s v="해당없음"/>
    <s v="해당없음"/>
    <s v="해당없음"/>
    <s v="2020년 10월"/>
    <d v="2020-10-01T00:00:00"/>
    <n v="10"/>
    <s v="-"/>
    <x v="1"/>
    <s v="2020년 10월경 OO건설(주)가 시공하는 OO리모델링공사 현장에서 재해자가 지상2층 용도변경을 위한 내부 칸막이 (조적)벽체 해체작업 중 조적벽체 하부를 해체한 상태에서 상부에 남아있던 벽체 더미 일부가 아래로 떨어져 재해자를 강타하여 사망"/>
    <s v="벽체철거 작업 중 조적벽체가 전도되어 깔림"/>
    <s v="▶ 부재와 기 고정된 구조물(벽체 등)을 사전에 파악_x000a_▶ 작업반경 내에 작업자의 출입을 금지_x000a_▶ 순차적으로 상부에서 하부로 파쇄하며 작업을 실시"/>
  </r>
  <r>
    <n v="12"/>
    <x v="1"/>
    <x v="2"/>
    <x v="3"/>
    <s v="YES"/>
    <x v="17"/>
    <x v="37"/>
    <s v="해당없음"/>
    <s v="해당없음"/>
    <s v="해당없음"/>
    <s v="2020년 10월"/>
    <d v="2020-10-01T00:00:00"/>
    <n v="10"/>
    <s v="-"/>
    <x v="1"/>
    <s v="2020년 10월경 OO용도변경공사 현장에서 재해자가 지상 1층 내부 조적벽체(4.9m×3.6m) 해체작업 중 전도되는 조적기둥에 부딪혀 사망"/>
    <s v="벽체철거 작업 중 조적벽체가 전도되어 깔림"/>
    <s v="▶ 부재와 기 고정된 구조물(벽체 등)을 사전에 파악_x000a_▶ 작업반경 내에 작업자의 출입을 금지_x000a_▶ 순차적으로 상부에서 하부로 파쇄하며 작업을 실시"/>
  </r>
  <r>
    <n v="12"/>
    <x v="1"/>
    <x v="2"/>
    <x v="3"/>
    <s v="YES"/>
    <x v="17"/>
    <x v="37"/>
    <s v="해당없음"/>
    <s v="해당없음"/>
    <s v="해당없음"/>
    <s v="2020년 11월"/>
    <d v="2020-11-01T00:00:00"/>
    <n v="11"/>
    <s v="-"/>
    <x v="1"/>
    <s v="2020년 11월경 OO철거공사 현장에서 재해자가 블록 조적벽 철거 폐기물을 정리하는 과정에서 동료근로자가 해머로 철거중이던 블록 조적벽이 재해자 쪽으로 쓰러져 전신이 협착되어 사망"/>
    <s v="벽체철거 작업 중 조적벽체가 전도되어 깔림"/>
    <s v="▶ 부재와 기 고정된 구조물(벽체 등)을 사전에 파악_x000a_▶ 작업반경 내에 작업자의 출입을 금지_x000a_▶ 순차적으로 상부에서 하부로 파쇄하며 작업을 실시"/>
  </r>
  <r>
    <n v="12"/>
    <x v="1"/>
    <x v="2"/>
    <x v="3"/>
    <s v="YES"/>
    <x v="17"/>
    <x v="37"/>
    <s v="해당없음"/>
    <s v="해당없음"/>
    <s v="해당없음"/>
    <s v="2021년 9월경"/>
    <d v="2021-09-01T00:00:00"/>
    <n v="9"/>
    <s v="-"/>
    <x v="1"/>
    <s v="2021년 9월경 OO철거공사 현장에서 굴삭기로 건물을 철거하던 중 남아있던 조적 벽체의 상단 일부가 재해자 쪽으로 넘어지면서 벽체에 깔려 사망"/>
    <s v="벽체철거 작업 중 조적벽체가 전도되어 깔림"/>
    <s v="▶ 부재와 기 고정된 구조물(벽체 등)을 사전에 파악_x000a_▶ 작업반경 내에 작업자의 출입을 금지_x000a_▶ 순차적으로 상부에서 하부로 파쇄하며 작업을 실시"/>
  </r>
  <r>
    <n v="2"/>
    <x v="2"/>
    <x v="6"/>
    <x v="8"/>
    <s v="YES"/>
    <x v="17"/>
    <x v="37"/>
    <s v="해당없음"/>
    <s v="해당없음"/>
    <s v="해당없음"/>
    <s v="2016년 11월"/>
    <d v="2016-11-01T00:00:00"/>
    <n v="11"/>
    <s v="-"/>
    <x v="1"/>
    <s v="2016년 11월경 OO다세대주택 신축공사 현장에서 재해자가 정화조 보호구조물 벽체 거푸집 해체작업 중 붕괴된 콘크리트 벽체와 토사에 깔려 사망"/>
    <s v="콘크리트 양생기간 미준수한 상태에서 거푸집동바리 해체작업 중 무너져 내려 깔림"/>
    <s v="▶ 콘크리트 타설 후 양생기간을 준수하여 거푸집동바리 해체 실시_x000a_▶ 거푸집동바리 해체 작업 시 낙하에 의한 재해를 방지하기 위해 순차적으로 파이프 써포트를 제거하면서 부분적으로 해체_x000a_▶ 해체작업을 하는 장소에는 관계 근로자가 아닌 근로자 출입을 금지 철저"/>
  </r>
  <r>
    <n v="2"/>
    <x v="2"/>
    <x v="6"/>
    <x v="8"/>
    <s v="YES"/>
    <x v="17"/>
    <x v="37"/>
    <s v="해당없음"/>
    <s v="해당없음"/>
    <s v="해당없음"/>
    <s v="2017년 10월"/>
    <d v="2017-10-01T00:00:00"/>
    <n v="10"/>
    <s v="-"/>
    <x v="1"/>
    <s v="2017년 10월경 (주)OO건설 OO개선사업 현장에서 재해자가 콘크리트 벽체 거푸집 해체작업 중 넘어지는 콘크리트 벽체 구조물(중량 약 6.8톤)에 깔려 사망"/>
    <s v="콘크리트 양생기간 미준수한 상태에서 거푸집동바리 해체작업 중 무너져 내려 깔림"/>
    <s v="▶ 콘크리트 타설 후 양생기간을 준수하여 거푸집동바리 해체 실시_x000a_▶ 거푸집동바리 해체 작업 시 낙하에 의한 재해를 방지하기 위해 순차적으로 파이프 써포트를 제거하면서 부분적으로 해체_x000a_▶ 해체작업을 하는 장소에는 관계 근로자가 아닌 근로자 출입을 금지 철저"/>
  </r>
  <r>
    <n v="2"/>
    <x v="2"/>
    <x v="7"/>
    <x v="34"/>
    <s v="YES"/>
    <x v="17"/>
    <x v="37"/>
    <s v="해당없음"/>
    <s v="해당없음"/>
    <s v="해당없음"/>
    <s v="2016년 11월"/>
    <d v="2016-11-01T00:00:00"/>
    <n v="11"/>
    <s v="-"/>
    <x v="1"/>
    <s v="2016년 11월경 (주)OO에서 시공 중인 OO물류센터 신축공사 현장에서 재해자가 맨홀 내부 토사를 청소하기 위해 맨홀 상부에서 작업하던 중 절토사면에 설치한 대형축조블럭(1000x500x750mm, 410kg)이 무너져 깔리면서 사망"/>
    <s v="맨홀 내부 토사 청소를 위해 근로자가 맨홀 상부에서 작업하던 중 절토사면에 설치한 대형축조블럭이 무너져 깔림"/>
    <s v="▶ 대형축조블럭 시공 시 기초콘크리트(900x500mm)를 시공한 후 블록을 쌓음_x000a_▶ 대형축조블럭 시공 시 입도가 양호한 40mm 이하의 굵은 골재로 뒷채움하며 속채움을 밀실하게 진행_x000a_▶ 대형축조블럭 시공 후 블록 최상단에 천단콘크리트(400x100mm)를 시공"/>
  </r>
  <r>
    <n v="3"/>
    <x v="3"/>
    <x v="9"/>
    <x v="13"/>
    <s v="YES"/>
    <x v="17"/>
    <x v="37"/>
    <s v="해당없음"/>
    <s v="해당없음"/>
    <s v="해당없음"/>
    <s v="2017년 5월경"/>
    <d v="2017-05-01T00:00:00"/>
    <n v="5"/>
    <s v="-"/>
    <x v="2"/>
    <s v="2017년 5월경 OO(주) OO고속도로 방음시설 설치공사 현장에서 재해자(방음벽공)이 상부 방음PC판 설치작업 중 7.7m 아래 도로 바닥으로 떨어져 사망"/>
    <s v="방음시설 설치공사 현장에서 근로자가 상부 방음 PC판 설치작업 중 추락방지망 미설치구간의 도로 바닥으로 떨어짐"/>
    <s v="▶ 근로자가 추락할 위험이 있는 장소에서 작업시 적업발판 또는 안전방망 등 추락방지조치 실시"/>
  </r>
  <r>
    <n v="4"/>
    <x v="4"/>
    <x v="10"/>
    <x v="38"/>
    <s v="YES"/>
    <x v="17"/>
    <x v="37"/>
    <s v="해당없음"/>
    <s v="해당없음"/>
    <s v="해당없음"/>
    <s v="2017년 6월경"/>
    <d v="2017-06-01T00:00:00"/>
    <n v="6"/>
    <s v="혹서기"/>
    <x v="2"/>
    <s v="2017년 6월경 OO신축공사에서 2층 캐노피 상부의 단차가 있는 바닥에 적재된 ALC(경량기포콘크리트)블록 운반작업 중, 파렛트 위에 ALC블록이 수평을 유지하지 못하고 옆으로 무너지며, 재해자를 가격하여 지상바닥(H≒4.5m)으로 추락하여 사망"/>
    <s v="지게차를 이용한 ALC자재 운반작업 중 단차가 있는 바닥면에 전도방지조치 없이 적재한 자재가 무너지면서 충돌 후 안전난간이 설치되지 않은 캐노피 단부로 추락"/>
    <s v="▶ 자재 하역 시 단차가 있는 바닥에 하역 금지 및 받침대 설치 등 전도방지조치 준수_x000a_▶ 추락의 위험이 있는 장소에 안전난간대 및 안전대 부착설비 설치 등 추락방지조치"/>
  </r>
  <r>
    <n v="4"/>
    <x v="4"/>
    <x v="10"/>
    <x v="38"/>
    <s v="YES"/>
    <x v="17"/>
    <x v="37"/>
    <s v="해당없음"/>
    <s v="해당없음"/>
    <s v="해당없음"/>
    <s v="2020년 7월경"/>
    <d v="2020-07-01T00:00:00"/>
    <n v="7"/>
    <s v="혹서기"/>
    <x v="2"/>
    <s v="2020년 7월경 OO신축공사에서 이동식비계를 이용하여 조적벽체 해체작업 중 벽체 일부가 이동식비계 상부에서 작업 중인 재해자 방향으로 넘어지면서 맞아 사망"/>
    <s v="이동식비계 위에서 핸드브레이커를 이용하여 조적벽체 해체작업 중 벽체 일부가 비계 방향으로 넘어지면서 맞고 추락"/>
    <s v="▶ 벽체 철거 작업 시, 이동식 비계 등을 이용하여 작업발판에 서서 벽체 상부에서부터 작은 면적 단위로 분할하여 순차적으로 철거작업 실시 _x000a_▶ 해체작업 시 구조, 주변상황 등 사전조사 결과를 바탕으로 해체방법, 해체순서 등 작업계획을 수립하고 준수하여 작업"/>
  </r>
  <r>
    <n v="4"/>
    <x v="4"/>
    <x v="10"/>
    <x v="15"/>
    <s v="YES"/>
    <x v="17"/>
    <x v="37"/>
    <s v="해당없음"/>
    <s v="해당없음"/>
    <s v="해당없음"/>
    <s v="2017년 12월"/>
    <d v="2017-12-01T00:00:00"/>
    <n v="12"/>
    <s v="혹한기"/>
    <x v="2"/>
    <s v="2017년 12월경 OO신축공사에서 누름 콘크리트 바닥 미장작업을 하면서 작업구간을 넘어 이동하기 위해 옥상 난간벽 위로 올라가려던 중 발을 헛디뎌 지상 바닥으로 추락하여(H≒19.1m) 사망"/>
    <s v="바닥 미장작업을 위해 장소이동 중 작업통로가 여의치 않아 옥상 난간벽 위로 올라가던 중 발을 헛디뎌 추락 "/>
    <s v="▶ 편리하고 안전하게 통행할 수 있는 작업통로를 설치하고 이용하도록 근로자 주지 철저_x000a_▶ 추락할 위험이 있는 장소에서 작업 또는 이동 시 안전대 부착설비를 설치하고 안전대를 체결 후 작업토록 관리감독"/>
  </r>
  <r>
    <n v="4"/>
    <x v="4"/>
    <x v="10"/>
    <x v="15"/>
    <s v="YES"/>
    <x v="17"/>
    <x v="37"/>
    <s v="해당없음"/>
    <s v="해당없음"/>
    <s v="해당없음"/>
    <s v="2019년 11월"/>
    <d v="2019-11-01T00:00:00"/>
    <n v="11"/>
    <s v="-"/>
    <x v="2"/>
    <s v="2019년 11월경 OO시설공사에서 자동원형주조기 기초 구조물 벽체 미장작업을 위해 벽체 2단(기초 상부)에서 벽체 1단으로 내려온(H≒0.7m) 후 몸의 중심을 잃고 기초바닥으로 추락하여(H≒2.2m) 사망"/>
    <s v="벽체 1단 상부에 안전난간대 및 측면 개구부에 개구부 덮개(통로발판) 등 추락방지시설을 설치 하지 않은 상태에서 몸의 중심을 잃고 추락"/>
    <s v="▶ 편리하고 안전하게 통행할 수 있는 작업통로를 설치하고 이용하도록 근로자 주지 철저_x000a_▶ 추락할 위험이 있는 장소에서 작업 또는 이동 시 안전대 부착설비를 설치하고 안전대를 체결 후 작업토록 관리감독"/>
  </r>
  <r>
    <n v="4"/>
    <x v="4"/>
    <x v="22"/>
    <x v="41"/>
    <s v="YES"/>
    <x v="17"/>
    <x v="37"/>
    <s v="해당없음"/>
    <s v="해당없음"/>
    <s v="해당없음"/>
    <s v="2016년 11월"/>
    <d v="2016-11-01T00:00:00"/>
    <n v="11"/>
    <s v="-"/>
    <x v="2"/>
    <s v="2016년 11월경 협력업체 소속 재해자가 기숙사동 지상5층 실외기실의 창호(9,450mm×2400mm)를 설치하기 위한 사전작업(청소 등) 중, 후면에 설치된 블록벽(5,460mm×1,800mm, 2,016kg)이 재해자가 위치한 실외기실 내부로 넘어지며 재해자를 밀어 지상1층 바닥(H≒17.6m)으로 추락"/>
    <s v="슬래브 단부에서 작업을 준비하던 중 후면에 시공된 블록벽이 전도되면서 맞고 바닥으로 추락"/>
    <s v="▶ 블록벽체 등 벽체 시공 시, 시공구간에 단차가 생긴 경우, 벽돌 등을 이용하여 보강조치 실시_x000a_▶ 추락의 위험이 있는 개구부 근처에서 작업할 경우, 안전 난간대 설치, 안전대 부착설비 설치, 안전망 설치 등과 같은 안전방호조치 실시"/>
  </r>
  <r>
    <n v="4"/>
    <x v="4"/>
    <x v="22"/>
    <x v="41"/>
    <s v="YES"/>
    <x v="17"/>
    <x v="37"/>
    <s v="해당없음"/>
    <s v="해당없음"/>
    <s v="해당없음"/>
    <s v="2017년 3월경"/>
    <d v="2017-03-01T00:00:00"/>
    <n v="3"/>
    <s v="-"/>
    <x v="2"/>
    <s v="2017년 3월경 공동주택 신축공사 현장에서, 협력업체 소속 재해자가 계단 연창에서 창호 내 유리 고정용 철물 설치작업 중 기 설치된 수직형 추락방망을 일부 해체하고 창호의 상부 쪽에 철물을 설치하던 중 몸의 중심을 잃고 지상으로 추락(H≒50m)"/>
    <s v="작업을 위해 수직형 추락방망을 일시 해체 후 몸을 구조물 외부로 내민 자세에서 창호 부속철물을 설치하던 중 몸의 중심을 잃고 추락"/>
    <s v="▶ 작업높이에 적합한 안전한 작업발판(비계, 고소작업대 등)을 설치하고 안전대를 체결한 후 안전하게 작업_x000a_▶ 작업발판을 설치하기 어려운 경우에는 추락방호망을 설치하고 안전대를 체결한 후 작업_x000a_▶ 추락할 위험이 있는 장소에서 작업하는 경우 안전모, 안전대 등 개인보호구 착용여부 관리감독 철저"/>
  </r>
  <r>
    <n v="4"/>
    <x v="4"/>
    <x v="22"/>
    <x v="41"/>
    <s v="YES"/>
    <x v="17"/>
    <x v="37"/>
    <s v="해당없음"/>
    <s v="해당없음"/>
    <s v="해당없음"/>
    <s v="2017년 7월경"/>
    <d v="2017-07-01T00:00:00"/>
    <n v="7"/>
    <s v="혹서기"/>
    <x v="2"/>
    <s v="2017년 7월경 OO초등학교 외부창호교체 공사 현장에서 재해자가 창틀 하부에 올라서서 외벽에서 분리된 상부 창틀 해체(절단) 중 몸의 중심을 잃고 창밖 바닥으로 떨어짐(H≒7.4m)"/>
    <s v="외벽 창틀 하부에 올라서서 창틀 해체작업 중 양손으로 해체물을 떼어내는 과정에서 몸의 중심을 잃고 안전난간이 설치되지 않은 단부로 추락"/>
    <s v="▶ 작업높이에 적합한 안전한 작업발판(비계, 고소작업대 등)을 설치하고 안전대를 체결한 후 안전하게 작업_x000a_▶ 작업발판을 설치하기 어려운 경우에는 추락방호망을 설치하고 안전대를 체결한 후 작업_x000a_▶ 추락할 위험이 있는 장소에서 작업하는 경우 안전모, 안전대 등 개인보호구 착용여부 관리감독 철저"/>
  </r>
  <r>
    <n v="4"/>
    <x v="4"/>
    <x v="22"/>
    <x v="41"/>
    <s v="YES"/>
    <x v="17"/>
    <x v="37"/>
    <s v="해당없음"/>
    <s v="해당없음"/>
    <s v="해당없음"/>
    <s v="2017년 11월"/>
    <d v="2017-11-01T00:00:00"/>
    <n v="11"/>
    <s v="-"/>
    <x v="2"/>
    <s v="2017년 11월경 공동주택 신축공사 현장에서 협력업체 소속 재해자가 지상4층 발코니에서 창틀에 창문을 설치하기 위해 자재를 옮기다가 몸의 중심을 잃고 발코니 외측 단부에서 추락하여 지상에 있던 고소작업대의 전도방지대(아웃트리거)에 목과 가슴을 부딪힘"/>
    <s v="운반작업의 편의를 위해 발코니 단부에 안전난간을 설치하지 않은 상태에서 고소작업대를 이용해 자재를 옮기던 중 발을 헛디뎌 발코니 단부로 추락"/>
    <s v="▶ 고소작업대를 사용하여 발코니 등 단부를 통해 자재를 운반할 시, 운반의 편의성을 이유로 안전난간대를 해체하는 행위를 금지하며 고소작업대를 안전난간대 위로 상승시켜 자재를 운반하도록 조치_x000a_▶ 고소작업대를 사용하여 발코니 등 단부를 통해 자재를 운반할 시, 안전대 부착설비 설치하고 안전대를 체결한 후 작업하도록 조치"/>
  </r>
  <r>
    <n v="4"/>
    <x v="4"/>
    <x v="13"/>
    <x v="42"/>
    <s v="YES"/>
    <x v="17"/>
    <x v="37"/>
    <s v="해당없음"/>
    <s v="해당없음"/>
    <s v="해당없음"/>
    <s v="2017년 6월 "/>
    <d v="2017-06-01T00:00:00"/>
    <n v="6"/>
    <s v="혹서기"/>
    <x v="2"/>
    <s v="2017년 6월 OOO 소재 개인(OOO)이 시공중인 주택 개축공사 현장에서 재해자(내장공)이 지붕층 창고 벽체 단열재 설치작업 중, 몸의 중심을 잃고 약 2.7m 아래 지상1층 바닥으로 떨어져 사망"/>
    <s v="천정 구조물 위에 고정없이 올려둔 각재 위에서 작업하던 중 밟고 있던 각재가 움직이면서 몸의 중심을 잃고 바닥으로 추락"/>
    <s v="▶ 고소작업 시 추락 위험이 있는 구간에 비계 등 작업발판 및 안전난간을 설치한 후 작업을 진행_x000a_▶ 작업발판 및 안전난간 설치가 어려울 경우, 추락방지망을 설치하고, 안전대 부착설비 설치 및 근로자 안전대 지급, 체결 후 작업할 수 있도록 관리감독"/>
  </r>
  <r>
    <n v="4"/>
    <x v="4"/>
    <x v="14"/>
    <x v="20"/>
    <s v="YES"/>
    <x v="17"/>
    <x v="37"/>
    <s v="해당없음"/>
    <s v="해당없음"/>
    <s v="해당없음"/>
    <s v="2017년 11월"/>
    <d v="2017-11-01T00:00:00"/>
    <n v="11"/>
    <s v="-"/>
    <x v="2"/>
    <s v="2017년 11월경 ㈜OO에서 시공중인 ㈜OO 공장신축 공사 현장에서 협력업체 소속 재해자(판넬공)가 3층 바닥슬라브에서 카리프트 방향으로 차량통행용 개구부를 만들기 위해, 벽체 판넬을 절단하여 제거하는 작업 중 절단된 판넬을 앞뒤로 흔들어 제거하다 몸의 중심을 잃고 판넬과 함께 3층 바닥슬라브에서 1층 카리프트 피트로 떨어져(H≒13m) 사망"/>
    <s v="슬래브 단부에서 작업 중 절단한 구조물을 흔들어 제거하던 중 몸의 중심을 잃고 단부로 추락"/>
    <s v="▶ 추락 위험장소(슬래브 단부 등)에 근로자 이동 또는 작업 시 외부 비계 조립 등 폭 40cm 이상의 작업발판 설치 및 단부 구간에 안전난간 등 추락방지용 안전시설물을 견고하게 설치_x000a_▶ 안전난간 설치 시 지름 2.7cm 이상의 금속제 파이프나 그 이상 강도의 재료 사용하며 구조적으로 가장 취약한 지점에서 가장 취약한 방향으로 작용하는 100kg 이상의 하중에 견딜 수 있는 구조로 설치_x000a_▶ 슬래브 단부 등에 작업발판 및 안전난간 설치가 곤란한 경우 근로자 추락방지를 위해 추락방지망 설치 또는 안전대 부착설비 설치 및 안전대 체결 관리_x000a_▶ 건물 외측의 작업이 필요한 경우 내측에서 몸을 내밀어 작업하는 방식을 지양하고, 고소작업대 또는 달비계 등을 이용하여 작업하도록 관리감독_x000a_▶ 마감재 해체 작업 시, 패널 등 마감재를 해체한 후 지지대를 해체하는 순서로 작업을 계획하여 불시의 마감재 낙하 등의 사고를 예방"/>
  </r>
  <r>
    <n v="4"/>
    <x v="4"/>
    <x v="14"/>
    <x v="20"/>
    <s v="YES"/>
    <x v="17"/>
    <x v="37"/>
    <s v="해당없음"/>
    <s v="해당없음"/>
    <s v="해당없음"/>
    <s v="2017년 개인이"/>
    <s v="X"/>
    <e v="#VALUE!"/>
    <e v="#VALUE!"/>
    <x v="2"/>
    <s v="2017년 개인이 시공하는 근생 및 다가구주택 신축공사 현장에서 재해자가 지상 2층 발코니에서 지붕 샌드위치 판넬을 해체하던 중, 몸의 중심을 잃고 약 3.5m 아래 지상 바닥으로 떨어져 사망"/>
    <s v="발코니 단부에서 작업 중 발을 헛디뎌 안전난간이 설치되지 않은 단부로 추락"/>
    <s v="▶ 추락 위험장소(슬래브 단부 등)에 근로자 이동 또는 작업 시 외부 비계 조립 등 폭 40cm 이상의 작업발판 설치 및 단부 구간에 안전난간 등 추락방지용 안전시설물을 견고하게 설치_x000a_▶ 안전난간 설치 시 지름 2.7cm 이상의 금속제 파이프나 그 이상 강도의 재료 사용하며 구조적으로 가장 취약한 지점에서 가장 취약한 방향으로 작용하는 100kg 이상의 하중에 견딜 수 있는 구조로 설치_x000a_▶ 슬래브 단부 등에 작업발판 및 안전난간 설치가 곤란한 경우 근로자 추락방지를 위해 추락방지망 설치 또는 안전대 부착설비 설치 및 안전대 체결 관리_x000a_▶ 건물 외측의 작업이 필요한 경우 내측에서 몸을 내밀어 작업하는 방식을 지양하고, 고소작업대 또는 달비계 등을 이용하여 작업하도록 관리감독_x000a_▶ 마감재 해체 작업 시, 패널 등 마감재를 해체한 후 지지대를 해체하는 순서로 작업을 계획하여 불시의 마감재 낙하 등의 사고를 예방"/>
  </r>
  <r>
    <n v="6"/>
    <x v="6"/>
    <x v="17"/>
    <x v="79"/>
    <s v="YES"/>
    <x v="17"/>
    <x v="37"/>
    <s v="해당없음"/>
    <s v="해당없음"/>
    <s v="해당없음"/>
    <s v="2018년 2월경"/>
    <d v="2018-02-01T00:00:00"/>
    <n v="2"/>
    <s v="혹한기"/>
    <x v="1"/>
    <s v="2018년 2월경 조경공사에서 재해자가 콘크리트 벽체 배면에서 자연석쌓기 작업을 진행하던 중 콘크리트 벽체가 넘어지며 깔려 사망"/>
    <s v="콘크리트 벽체 배면에 자연석쌓기 작업을 진행하던 중 콘크리트 벽체가 자연석 쌓기 작업 반대방향으로 넘어지며 벽체 뒷면에 위치한 근로자가 깔림"/>
    <s v="▶ 기존 구조물과 인접하여 조경 작업 등을 하는 경우 인접 구조물의 전도위험 방지(견고한 지지대 설치 등) 조치 실시_x000a_▶ 기존 구조물 등이 근접해있는 경우 진동 및 충격 등에 의한 사전 안전성평가 실시"/>
  </r>
  <r>
    <n v="6"/>
    <x v="6"/>
    <x v="17"/>
    <x v="79"/>
    <s v="YES"/>
    <x v="17"/>
    <x v="37"/>
    <s v="해당없음"/>
    <s v="해당없음"/>
    <s v="해당없음"/>
    <s v="2019년 11월"/>
    <d v="2019-11-01T00:00:00"/>
    <n v="11"/>
    <s v="-"/>
    <x v="2"/>
    <s v="2019년 11월경 담장설치공사에서 재해자가 옹벽 위를 이동하던 중 몸의 균형을 잃고 2.3m 아래 바닥으로 추락하여 사망"/>
    <s v="옹벽 위를 이동하던 중 콘크리트 바닥으로 추락"/>
    <s v="▶ 추락 위험이 있는 장소에서 안전방망 또는 안전대 착용 등 추락방지조치 실시_x000a_▶ 안전모 및 안전대 착용"/>
  </r>
  <r>
    <n v="1"/>
    <x v="8"/>
    <x v="20"/>
    <x v="59"/>
    <s v="YES"/>
    <x v="18"/>
    <x v="38"/>
    <s v="해당없음"/>
    <s v="해당없음"/>
    <s v="해당없음"/>
    <s v="2018년 8월경"/>
    <d v="2018-08-01T00:00:00"/>
    <n v="8"/>
    <s v="혹서기"/>
    <x v="13"/>
    <s v="2018년 8월경 산업단지 조성공사 현장에서 재해자가 시트파일 인발 보조작업 및 삽을 이용한 개흙(뻘) 제거작업과 흙막이용 띠장설치 보조작업을 하는 중 작업장소에서 약 20m 떨어진 휴식장소로 자력으로 이동하여 휴식 중 갑자기 경련을 일으키는 것을 동료작업자가 발견하고 인근에 있던 가시설팀장이 응급조치 후 응급실로 이송 후 치료 중 사망 (사망진단서 상 사망원인 : 열사병)"/>
    <s v="시트파일 인발 보조 및 삽을 이용한 뻘 제거, 흙막이용 띠장설치 보조작업을 하는 중 휴식장소로 이동하여 휴식 중 갑작스런 경련"/>
    <s v="▶ 원인 미상"/>
  </r>
  <r>
    <n v="1"/>
    <x v="8"/>
    <x v="29"/>
    <x v="61"/>
    <s v="YES"/>
    <x v="18"/>
    <x v="38"/>
    <s v="해당없음"/>
    <s v="해당없음"/>
    <s v="해당없음"/>
    <s v="2021년 2월경"/>
    <d v="2021-02-01T00:00:00"/>
    <n v="2"/>
    <s v="혹한기"/>
    <x v="13"/>
    <s v="2021년 2월경 다세대주택 신축공사현장에서 일용직 근로자인 재해자가 미상의 사유로 현장내 실내 계단실 1~2층 계단참에서 쓰러져 사망"/>
    <s v="외부 주차장 토사 평탄화 작업 중 미상의 사유로 현장내 계단참에서 쓰러진 채 발견"/>
    <s v="▶ 근로자가 현장 투입시 건강검진 소견 결과 확인 등_x000a_   - 배치전 건강검진 결과 확인_x000a_   - 의사 유소견자는 구분하여 관리 (주기적 상담 등)_x000a_▶ 오전 일일 TBM시 근로자 건강상태 확인"/>
  </r>
  <r>
    <n v="11"/>
    <x v="0"/>
    <x v="0"/>
    <x v="0"/>
    <s v="YES"/>
    <x v="18"/>
    <x v="38"/>
    <s v="해당없음"/>
    <s v="해당없음"/>
    <s v="해당없음"/>
    <s v="2017년 7월경"/>
    <d v="2017-07-01T00:00:00"/>
    <n v="7"/>
    <s v="혹서기"/>
    <x v="13"/>
    <s v="2017년 7월경 공공주택지구 조경공사에서 재해자가 자재 전달 작업을 하던 중 이상증세를 보여 쉬던 중 쓰러져 사망"/>
    <s v="옹벽 거푸집 공사를 위해 사면에 걸쳐있는 무늬목을 형틀공에게 전달하는 작업 중 몸을 가누지 못하는 등 이상증세를 보여 들고 있던 무늬목을 놓고 앉은 상태에서 바로 쓰러짐"/>
    <s v="▶ 원인 미상"/>
  </r>
  <r>
    <n v="11"/>
    <x v="0"/>
    <x v="0"/>
    <x v="0"/>
    <s v="YES"/>
    <x v="19"/>
    <x v="39"/>
    <s v="해당없음"/>
    <s v="해당없음"/>
    <s v="해당없음"/>
    <s v="2017년 12월"/>
    <d v="2017-12-01T00:00:00"/>
    <n v="12"/>
    <s v="혹한기"/>
    <x v="2"/>
    <s v="2017년 12월경 산사태 개량공사 현장에서 재해자가 절토사면 상부 60m 지점에서 낙석방지용 고정 와이어로프 설치작업 중 50m 아래 절토사면으로 추락하여 사망"/>
    <s v="안전대를 착용하지 않고 낙석방지망 고정용 와이어로프 설치작업 중 절토사면으로 추락"/>
    <s v="▶ 추락 위험이 있는 작업 시 안전대 부착설비 설치를 통한 추락방호조치 실시_x000a_▶ 작업 전 안전대 지급 및 체결상태 관리"/>
  </r>
  <r>
    <n v="11"/>
    <x v="0"/>
    <x v="47"/>
    <x v="102"/>
    <s v="NO"/>
    <x v="19"/>
    <x v="39"/>
    <s v="해당없음"/>
    <s v="해당없음"/>
    <s v="해당없음"/>
    <s v="2018년 6월경"/>
    <d v="2018-06-01T00:00:00"/>
    <n v="6"/>
    <s v="혹서기"/>
    <x v="6"/>
    <s v="2018년 6월경 OO소류지에서 재해자가 잠수상태(수심 9~10m)로 수문밸브 확인 작업 중 왼쪽다리가 배수구(직경 약 40㎝)에 빨려 들어가익사"/>
    <s v="잠수상태로 배수구 수문 및 권양기 상태 확인 및 보수작업 중 왼쪽다리가 배수구에 빨려 들어가 고립됨"/>
    <s v="▶ 스쿠버 잠수작업 시 비상기체통, 수중시계, 수중압력계 등 구비 등 안전조치 철저_x000a_▶ 배수구 입구에 접근 시 철망 또는 그물망 등을 설치하여 방호 조치"/>
  </r>
  <r>
    <n v="12"/>
    <x v="1"/>
    <x v="4"/>
    <x v="74"/>
    <s v="YES"/>
    <x v="3"/>
    <x v="12"/>
    <s v="해당없음"/>
    <s v="해당없음"/>
    <s v="해당없음"/>
    <s v="2018년 6월경"/>
    <d v="2018-06-01T00:00:00"/>
    <n v="6"/>
    <s v="혹서기"/>
    <x v="1"/>
    <s v="2018년 6월경 OO의 Rail 보수공사 현장에서 재해자가 6 Block 컨테이너 야드에서 점심시간에 휴식을 취하고 컨테이너 적재 야드 내부로 이동하는 과정에서 야드 크레인으로 인양중이던 컨테이너를 미쳐 발견하지 못하고 컨테이너 하부에 깔리며 사망"/>
    <s v="컨테이너 야적장 내부로 이동하는 과정에서 크레인으로 인양중이던 컨테이너를 발견하지 못하고 컨테이너 하부에 깔림"/>
    <s v="▶ 자재인양 등 중량물 취급작업 시 낙하위험 지역에 대해 근로자 출입 통제_x000a_▶ 하역작업 등 장비 사각지대 발생가능성이 높은 작업 시 근로자 출입금지 및 유도자 배치"/>
  </r>
  <r>
    <n v="12"/>
    <x v="1"/>
    <x v="5"/>
    <x v="6"/>
    <s v="YES"/>
    <x v="20"/>
    <x v="40"/>
    <s v="해당없음"/>
    <s v="해당없음"/>
    <s v="해당없음"/>
    <s v="2016년 8월경"/>
    <d v="2016-08-01T00:00:00"/>
    <n v="8"/>
    <s v="혹서기"/>
    <x v="17"/>
    <s v="2016년 8월경 OO구조물제작 설치공사현장에서 각관(가로보)을 2인1조로 작업장소로 운반하는 작업을 하고 휴식을 취하는 도중 재해자가 쓰러져 사망"/>
    <s v="폭염 속 자재 운반 및 정리 등 작업을 하던 중 의식을 잃고 쓰러짐"/>
    <s v="▶ 열사병 예방 3대 기본수칙(물/그늘/휴식) 준수_x000a_▶ 적절한 휴게시설 설치, 휴게시간 부여"/>
  </r>
  <r>
    <n v="12"/>
    <x v="1"/>
    <x v="5"/>
    <x v="6"/>
    <s v="YES"/>
    <x v="19"/>
    <x v="39"/>
    <s v="해당없음"/>
    <s v="해당없음"/>
    <s v="해당없음"/>
    <s v="2017년 2월경"/>
    <d v="2017-02-01T00:00:00"/>
    <n v="2"/>
    <s v="혹한기"/>
    <x v="2"/>
    <s v="2017년 2월경 OO보수작업 현장에서 재해자가 OO냉각시설 입구에 합판과 함께 원인미상으로 쓰러져 사망"/>
    <s v="높이 2미터 이상되는 곳에서 작업 또는 이동을 하다 추락"/>
    <s v="▶ 추락단부 등 추락위험구간에 안전난간대 설치 등 추락방호조치 실시_x000a_▶ 사다리 넘어짐을 방지하기 위해 2인 1조로 작업 투입"/>
  </r>
  <r>
    <n v="12"/>
    <x v="1"/>
    <x v="5"/>
    <x v="6"/>
    <s v="YES"/>
    <x v="18"/>
    <x v="38"/>
    <s v="해당없음"/>
    <s v="해당없음"/>
    <s v="해당없음"/>
    <s v="2017년 8월경"/>
    <d v="2017-08-01T00:00:00"/>
    <n v="8"/>
    <s v="혹서기"/>
    <x v="13"/>
    <s v="2017년 8월경 OO사옥 신축공사 현장에서 OO건설(주) 소속 재해자가 강당동 2층 복도에 의식을 잃고 쓰러져 사망"/>
    <s v="원인미상의 사유로 쓰러진 재해자를 발견, 병원으로 이송 후 사망"/>
    <s v="▶ 원인 미상"/>
  </r>
  <r>
    <n v="12"/>
    <x v="1"/>
    <x v="5"/>
    <x v="6"/>
    <s v="YES"/>
    <x v="1"/>
    <x v="2"/>
    <s v="12대 기인물"/>
    <s v="해당없음"/>
    <s v="해당없음"/>
    <s v="2017년 10월"/>
    <d v="2017-10-01T00:00:00"/>
    <n v="10"/>
    <s v="-"/>
    <x v="2"/>
    <s v="2017년 10월경 OO건설(주)에서 시공하는 OO아파트 신축공사 현장에서 재해자가 안전순찰 업무 중 아파트 세대내(상세위치 불명) 발코니 개구부를 통해 지상 1층 외부 리프트 지붕 위로 추락하여 사망"/>
    <s v="높이 2미터 이상되는 곳에서 작업 또는 이동을 하다 추락"/>
    <s v="▶ 추락단부 등 추락위험구간에 안전난간대 설치 등 추락방호조치 실시_x000a_▶ 사다리 넘어짐을 방지하기 위해 2인 1조로 작업 투입"/>
  </r>
  <r>
    <n v="12"/>
    <x v="1"/>
    <x v="5"/>
    <x v="6"/>
    <s v="YES"/>
    <x v="19"/>
    <x v="39"/>
    <s v="해당없음"/>
    <s v="해당없음"/>
    <s v="해당없음"/>
    <s v="2018년 1월경"/>
    <d v="2018-01-01T00:00:00"/>
    <n v="1"/>
    <s v="혹한기"/>
    <x v="2"/>
    <s v="2018년 1월경 OO 교체 및 OO 개선공사 현장에서 재해자가 청소차 적재함(암롤박스) 상부의 해체된 폐기물 정리작업 후 지상으로 내려오던 중 추락하여(H≒1.7m) 사망"/>
    <s v="높이 2미터 이상되는 곳에서 작업 또는 이동을 하다 추락"/>
    <s v="▶ 추락단부 등 추락위험구간에 안전난간대 설치 등 추락방호조치 실시_x000a_▶ 사다리 넘어짐을 방지하기 위해 2인 1조로 작업 투입"/>
  </r>
  <r>
    <n v="12"/>
    <x v="1"/>
    <x v="5"/>
    <x v="6"/>
    <s v="YES"/>
    <x v="18"/>
    <x v="38"/>
    <s v="해당없음"/>
    <s v="해당없음"/>
    <s v="해당없음"/>
    <s v="2018년 4월경"/>
    <d v="2018-04-01T00:00:00"/>
    <n v="4"/>
    <s v="-"/>
    <x v="13"/>
    <s v="2018년 4월경 OO에서 시공하는 2층 단독주택 도장공사 현장에서 재해자가 단독주택 2층 북·서향쪽 벽체의 표면 및 바탕처리 작업을 진행하던 중 계단(주택2층↔옥상용)옆에 엎드려 쓰러져 사망"/>
    <s v="원인미상의 사유로 쓰러진 재해자를 발견, 병원으로 이송 후 사망"/>
    <s v="▶ 원인 미상"/>
  </r>
  <r>
    <n v="12"/>
    <x v="1"/>
    <x v="5"/>
    <x v="6"/>
    <s v="YES"/>
    <x v="20"/>
    <x v="40"/>
    <s v="해당없음"/>
    <s v="해당없음"/>
    <s v="해당없음"/>
    <s v="2018년 7월경"/>
    <d v="2018-07-01T00:00:00"/>
    <n v="7"/>
    <s v="혹서기"/>
    <x v="17"/>
    <s v="2018년 7월경 OO도로조성공사 현장에서 재해자가 폭염 속에서 화단정리, 청소 등의 작업을 수행하던 중 휴식을 취하기 위하여 주변건물로 이동한후 열사병으로 쓰러져 사망"/>
    <s v="폭염 속 자재 운반 및 정리 등 작업을 하던 중 의식을 잃고 쓰러짐"/>
    <s v="▶ 열사병 예방 3대 기본수칙(물/그늘/휴식) 준수_x000a_▶ 적절한 휴게시설 설치, 휴게시간 부여"/>
  </r>
  <r>
    <n v="12"/>
    <x v="1"/>
    <x v="5"/>
    <x v="6"/>
    <s v="YES"/>
    <x v="20"/>
    <x v="40"/>
    <s v="해당없음"/>
    <s v="해당없음"/>
    <s v="해당없음"/>
    <s v="2018년 8월경"/>
    <d v="2018-08-01T00:00:00"/>
    <n v="8"/>
    <s v="혹서기"/>
    <x v="17"/>
    <s v="2018년 8월경 OO유지관리 현장에서 재해자가 제초작업 시 발생한 부산물을 차량에 적재하기 위해 정해놓은 임시적재장소로 손수레를 이용하여 옮기는 작업을 하는 중 작업장소에서 약 300m 떨어진 공원에서 쓰러져 사망"/>
    <s v="제초작업 부산물의 차량적재를 위한 운반작업 중 열사병으로 쓰러짐"/>
    <s v="▶ 근로자의 지속적 일사 노출방지를 위한 휴게시설 설치_x000a_▶ 폭염주의보 발령시 적절한 휴식시간 부여"/>
  </r>
  <r>
    <n v="12"/>
    <x v="1"/>
    <x v="5"/>
    <x v="6"/>
    <s v="YES"/>
    <x v="19"/>
    <x v="39"/>
    <s v="해당없음"/>
    <s v="해당없음"/>
    <s v="해당없음"/>
    <s v="2018년 8월경"/>
    <d v="2018-08-01T00:00:00"/>
    <n v="8"/>
    <s v="혹서기"/>
    <x v="9"/>
    <s v="2018년 8월경 OO탱크코팅공사 현장에서 재해자가 지하 유류저장탱크 내부 보수공사 중 탱크 내부에서 발생한 원인미상의 화재에 의해 전신에 화상을 입고 사망"/>
    <s v="지하 유류저장탱크 내부 보수공사 중 탱크 내부에서 발생한 원인미상의 화재발생"/>
    <s v="▶ 탱크 내부 작업 시 작업 전, 후로 수시 통풍 및 환기 조치_x000a_▶ 화재위험작업 시 작업구간 불티 비산방지조치 실시"/>
  </r>
  <r>
    <n v="12"/>
    <x v="1"/>
    <x v="5"/>
    <x v="6"/>
    <s v="YES"/>
    <x v="20"/>
    <x v="40"/>
    <s v="해당없음"/>
    <s v="해당없음"/>
    <s v="해당없음"/>
    <s v="2018년 8월경"/>
    <d v="2018-08-01T00:00:00"/>
    <n v="8"/>
    <s v="혹서기"/>
    <x v="17"/>
    <s v="2018년 8월경 OO현장에서 퇴근 시 재해자가 출구방향이 아닌 반대편으로 이동 중 비탈면에서 넘어진 후 OO현장 밖에서 열사병으로 사망"/>
    <s v="폭염 속 자재 운반 및 정리 등 작업을 하던 중 의식을 잃고 쓰러짐"/>
    <s v="▶ 열사병 예방 3대 기본수칙(물/그늘/휴식) 준수_x000a_▶ 적절한 휴게시설 설치, 휴게시간 부여"/>
  </r>
  <r>
    <n v="12"/>
    <x v="1"/>
    <x v="5"/>
    <x v="6"/>
    <s v="YES"/>
    <x v="19"/>
    <x v="39"/>
    <s v="해당없음"/>
    <s v="해당없음"/>
    <s v="해당없음"/>
    <s v="2019년 3월경"/>
    <d v="2019-03-01T00:00:00"/>
    <n v="3"/>
    <s v="-"/>
    <x v="2"/>
    <s v="2019년 3월경 OO건설(주)가 시공하는 OO근린생활시설 신축공사 현장에서 재해자가 5층 베란다 바닥에 쓰러져 사망"/>
    <s v="높이 2미터 이상되는 곳에서 작업 또는 이동을 하다 추락"/>
    <s v="▶ 추락단부 등 추락위험구간에 안전난간대 설치 등 추락방호조치 실시_x000a_▶ 사다리 넘어짐을 방지하기 위해 2인 1조로 작업 투입"/>
  </r>
  <r>
    <n v="12"/>
    <x v="1"/>
    <x v="5"/>
    <x v="6"/>
    <s v="YES"/>
    <x v="18"/>
    <x v="38"/>
    <s v="해당없음"/>
    <s v="해당없음"/>
    <s v="해당없음"/>
    <s v="2019년 5월경"/>
    <d v="2019-05-01T00:00:00"/>
    <n v="5"/>
    <s v="-"/>
    <x v="13"/>
    <s v="2019년 5월경 ○○프라자 지하4층 보일러실에서 재해자가 LED 전등 교체 및 누전 수리 작업 중 연락이 두절된 후 2일 뒤 ○○사우나 보일러실 천장쪽 공조 덕트 위에서 사망"/>
    <s v="원인미상의 사유로 쓰러진 재해자를 발견, 병원으로 이송 후 사망"/>
    <s v="▶ 원인 미상"/>
  </r>
  <r>
    <n v="12"/>
    <x v="1"/>
    <x v="5"/>
    <x v="6"/>
    <s v="YES"/>
    <x v="18"/>
    <x v="38"/>
    <s v="해당없음"/>
    <s v="해당없음"/>
    <s v="해당없음"/>
    <s v="2019년 9월경"/>
    <d v="2019-09-01T00:00:00"/>
    <n v="9"/>
    <s v="-"/>
    <x v="13"/>
    <s v="2019년 9월경 OO인테리어공사 현장에서 재해자가 넘어져 사망"/>
    <s v="원인미상의 사유로 쓰러진 재해자를 발견, 병원으로 이송 후 사망"/>
    <s v="▶ 원인 미상"/>
  </r>
  <r>
    <n v="12"/>
    <x v="1"/>
    <x v="5"/>
    <x v="6"/>
    <s v="YES"/>
    <x v="20"/>
    <x v="40"/>
    <s v="해당없음"/>
    <s v="해당없음"/>
    <s v="해당없음"/>
    <s v="2020년 8월경"/>
    <d v="2020-08-01T00:00:00"/>
    <n v="8"/>
    <s v="혹서기"/>
    <x v="17"/>
    <s v="2020년 8월경 OO지장관로 이설공사 현장에서 현장 쓰레기 청소 등 정리정돈 작업 중 재해자가 더위에 탈진하여 현장에서 의식을 잃고 쓰러져 사망"/>
    <s v="폭염 속 자재 운반 및 정리 등 작업을 하던 중 의식을 잃고 쓰러짐"/>
    <s v="▶ 열사병 예방 3대 기본수칙(물/그늘/휴식) 준수_x000a_▶ 적절한 휴게시설 설치, 휴게시간 부여"/>
  </r>
  <r>
    <n v="12"/>
    <x v="1"/>
    <x v="5"/>
    <x v="6"/>
    <s v="YES"/>
    <x v="19"/>
    <x v="39"/>
    <s v="해당없음"/>
    <s v="해당없음"/>
    <s v="해당없음"/>
    <s v="2020년 10월"/>
    <d v="2020-10-01T00:00:00"/>
    <n v="10"/>
    <s v="-"/>
    <x v="8"/>
    <s v="2020년 10월경 OO터널 내에서 탈선한 선로다짐기 복구 후 손상부분 정비에 필요한 부품이 있는 궤도안정기(1.14km)까지 자갈정리기로 이동 중 정지 상태의 궤도안정기를 추돌하여 사망"/>
    <s v="자갈정리기로 운전하여 현장 내 이동하던 중 정지상태의 궤도안정기와 충돌"/>
    <s v="▶ 현장 내 차량계 건설기계장비 운행시 제한속도 준수"/>
  </r>
  <r>
    <n v="12"/>
    <x v="1"/>
    <x v="5"/>
    <x v="6"/>
    <s v="YES"/>
    <x v="19"/>
    <x v="39"/>
    <s v="해당없음"/>
    <s v="해당없음"/>
    <s v="해당없음"/>
    <s v="2021년 2월경"/>
    <d v="2021-02-01T00:00:00"/>
    <n v="2"/>
    <s v="혹한기"/>
    <x v="2"/>
    <s v="2021년 2월경 OO신축공사 현장에서 재해자가가 점심식사 후 13:10경 현장 인근 약 4.9m 옹벽 하부로 떨어져 사망"/>
    <s v="높이 2미터 이상되는 곳에서 작업 또는 이동을 하다 추락"/>
    <s v="▶ 추락단부 등 추락위험구간에 안전난간대 설치 등 추락방호조치 실시_x000a_▶ 사다리 넘어짐을 방지하기 위해 2인 1조로 작업 투입"/>
  </r>
  <r>
    <n v="12"/>
    <x v="1"/>
    <x v="5"/>
    <x v="6"/>
    <s v="YES"/>
    <x v="20"/>
    <x v="40"/>
    <s v="해당없음"/>
    <s v="해당없음"/>
    <s v="해당없음"/>
    <s v="2021년 7월경"/>
    <d v="2021-07-01T00:00:00"/>
    <n v="7"/>
    <s v="혹서기"/>
    <x v="17"/>
    <s v="2021년 7월경 OO매장 원상복구 공사 현장에서 재해자가 지상 2층에서 해체한 내장재(석고보드, 합판 등)를 롤테이너에 적재하여 지상 1층 정문에 주차된 화물자동차(1ton)로 운반하는 작업 중 현장에서 약 500m 떨어진 옥외 주차장 바닥에 쓰러져 사망"/>
    <s v="폭염 속 자재 운반 및 정리 등 작업을 하던 중 의식을 잃고 쓰러짐"/>
    <s v="▶ 열사병 예방 3대 기본수칙(물/그늘/휴식) 준수_x000a_▶ 적절한 휴게시설 설치, 휴게시간 부여"/>
  </r>
  <r>
    <n v="2"/>
    <x v="2"/>
    <x v="6"/>
    <x v="7"/>
    <s v="YES"/>
    <x v="20"/>
    <x v="40"/>
    <s v="해당없음"/>
    <s v="해당없음"/>
    <s v="해당없음"/>
    <s v="2017년 7월경"/>
    <d v="2017-07-01T00:00:00"/>
    <n v="7"/>
    <s v="혹서기"/>
    <x v="17"/>
    <s v="2017년 7월경 ㈜OO건설이 시공하는 OO신축공사 현장에서, 협력업체 소속 재해자가 O동 3호라인 3층의 계단실 알루미늄 폼 설치작업을 수행하던 중 지하1층 엘리베이트홀 앞에서 쓰러진 채 발견되어 사망"/>
    <s v="폭염 속 계단실에서 알폼 설치작업 중 지하 E/V 전면 계단실에 쓰러져 있는 채로 발견"/>
    <s v="▶ 폭염특보 발령 시, 1시간 주기로 10~15분 이상 규칙적으로 휴식시간을 부여하여 과도한 작업수행을 금지_x000a_▶ 하절기 작업 시, 폭염에 대비하여 부대시설, 임시 천막 등 현장 곳곳에 휴게공간을 마련하여 작업자들이 그늘진 곳에서 쉴 수 있도록 조치_x000a_▶ 하절기 작업 시, 작업자들에게 주기적으로 수분과 식염을 섭취할 것을 주지"/>
  </r>
  <r>
    <n v="2"/>
    <x v="2"/>
    <x v="6"/>
    <x v="33"/>
    <s v="YES"/>
    <x v="18"/>
    <x v="38"/>
    <s v="해당없음"/>
    <s v="해당없음"/>
    <s v="해당없음"/>
    <s v="2017년 1월경"/>
    <d v="2017-01-01T00:00:00"/>
    <n v="1"/>
    <s v="혹한기"/>
    <x v="13"/>
    <s v="2017년 1월경, (주)OO건설 00아파트 신축공사 신축현장에서 협력업체  소속 재해자가 1층 계단실에서 바닥에 수평목을 설치하던 중 쓰러져 사망"/>
    <s v="계단실에서 바닥에 수평목을 설치하던 중 알수없는 이유로 근로자 쓰러짐"/>
    <s v="▶ 원인 미상"/>
  </r>
  <r>
    <n v="2"/>
    <x v="2"/>
    <x v="6"/>
    <x v="33"/>
    <s v="YES"/>
    <x v="18"/>
    <x v="38"/>
    <s v="해당없음"/>
    <s v="해당없음"/>
    <s v="해당없음"/>
    <s v="2021년 1월경"/>
    <d v="2021-01-01T00:00:00"/>
    <n v="1"/>
    <s v="혹한기"/>
    <x v="13"/>
    <s v="2021년 1월경 (주)OO건설에서 시공 중인 OO정비사업 현장에서, 재해자 가 지상 1층과 지하 1층을 연결하는 계단참 바닥 거푸집 설치 작업 중 알 수 없는 이유로 쓰러져 사망"/>
    <s v="지상층과 지하층을 연결하는 계단참 바닥 거푸집 설치 작업 중 알 수 없는 이유로 쓰러짐"/>
    <s v="▶ 원인 미상"/>
  </r>
  <r>
    <n v="2"/>
    <x v="2"/>
    <x v="6"/>
    <x v="8"/>
    <s v="YES"/>
    <x v="19"/>
    <x v="39"/>
    <s v="해당없음"/>
    <s v="해당없음"/>
    <s v="해당없음"/>
    <s v="2017년 10월"/>
    <d v="2017-10-01T00:00:00"/>
    <n v="10"/>
    <s v="-"/>
    <x v="0"/>
    <s v="2017년 10월경 OO건설(주)가 시공하는 OO근린생활시설 신축공사 현장에서, 9층(H≒33.0m)의 거푸집동바리 정리 및 운반작업 중 거푸집동바리 각재가 낙하·비래하여 낙하물방지망 3단 끝부분에 튕긴 후 현장 건너편 약 10m 떨어진 인도와 도로 사이의 경계석에 걸터앉아 휴식중이던 재해자의 머리를 강타하여 사망"/>
    <s v="낙하·비래방지조치 미흡한 상태에서 지상층 거푸집동바리 정리 및 운반작업 중 거푸집동바리 각재가 낙하 및 비래하여 낙하물방지망 끝부분에 튕긴 후 현장 건너편 인도와 도로사이 경계석에 앉아있던 근로자 가격"/>
    <s v="▶ 낙하물에 의한 위험의 방지조치 기준을 철저히 준수하여 낙하물 방지망 설치_x000a_( 내민길이는 최소 2m이상으로 설치하되 가급적 3m 이상으로 설치)_x000a_▶ 낙하ㆍ비래 위험이 있는 현장주변에서 근로자가 휴식ㆍ이동ㆍ작업 중에는 반드시 안전모를 착용토록 관리 감독 철저 "/>
  </r>
  <r>
    <n v="2"/>
    <x v="2"/>
    <x v="7"/>
    <x v="34"/>
    <s v="YES"/>
    <x v="19"/>
    <x v="39"/>
    <s v="해당없음"/>
    <s v="해당없음"/>
    <s v="해당없음"/>
    <s v="2019년 3월경"/>
    <d v="2019-03-01T00:00:00"/>
    <n v="3"/>
    <s v="-"/>
    <x v="4"/>
    <s v="2019년 3월경 OO종합건설(주) OO기초공사 현장에서, 재해자가 공장 내 기계 기초(COOLING PART) 피트 벽체철근조립을 위해 피트 바닥(깊이 약 2.4m)으로 내려가기 위해 굴착면 단차 부위(깊이 0.9m, 폭 0.6m)를 밟는 순간, 몸의 중심을 잃고 약 1.5m 아래 콘크리트 바닥으로 떨어지면서 벽체 수직철근 이음을 위해 미리 시공한 바닥 슬래브 수직철근(돌출길이≒21cm)에 머리가 찔려 사망"/>
    <s v="피트 바닥으로 내려가기 위해 굴착면 단차 부위를 밟는 순간, 몸의 중심을 잃고 콘크리트 바닥으로 추락하면서 벽체 수직철근 이음을 위해 미리 시공한 바닥 슬래브 수직철근에 머리가 찔림"/>
    <s v="▶ 찔림위험이 있는 경우 조립철근이 없는 방향에서의 작업 통로 설치_x000a_▶ 철근 돌출로 인해 찔림위험이 있는 경우 철근 돌출부에 보호캡 설치 "/>
  </r>
  <r>
    <n v="2"/>
    <x v="2"/>
    <x v="7"/>
    <x v="34"/>
    <s v="YES"/>
    <x v="20"/>
    <x v="40"/>
    <s v="해당없음"/>
    <s v="해당없음"/>
    <s v="해당없음"/>
    <s v="2020년 8월경"/>
    <d v="2020-08-01T00:00:00"/>
    <n v="8"/>
    <s v="혹서기"/>
    <x v="17"/>
    <s v="2020년 8월경 (주)OO에서 시공하는 주택재개발 정비사업 현장에서 협력업체 소속 재해자가 작업을 마친 후 화장실 세면대 앞에서 쓰러져있는 것을 경비반장이 발견하여 119신고 후 병원으로 이송하여 치료 중 사망"/>
    <s v="작업을 마친 후 화장실 세면대 앞에서 열사병으로 인한 다기관부전으로 쓰러진 후 발견"/>
    <s v="▶ 폭염에 노출되는 옥외 골조작업 시 근로자 모두를 수용할 수 있는 적절한 휴게시설 설치_x000a_▶ 햇볕을 완전히 차단할 수 있는 재질의 그늘막 활용 및 방음벽 인근 형성된 자연그늘에 의자나 돗자리, 음료수대 등 비품 비치하여 근로자들의 휴식 운영 실시_x000a_▶ 폭염특보의 종류에 따라 폭염주의보(33℃) 발령 시 매 시간당 10분씩, 폭염경보(35℃) 발령 시 15분씩 휴식 권장"/>
  </r>
  <r>
    <n v="2"/>
    <x v="2"/>
    <x v="8"/>
    <x v="35"/>
    <s v="YES"/>
    <x v="20"/>
    <x v="40"/>
    <s v="해당없음"/>
    <s v="해당없음"/>
    <s v="해당없음"/>
    <s v="2021년 7월경"/>
    <d v="2021-07-01T00:00:00"/>
    <n v="7"/>
    <s v="혹서기"/>
    <x v="17"/>
    <s v="2021년 7월경 ㈜OO이 시공중인 재개발 정비사업 현장에서 재해자(보통인부)가 콘크리트 타설 예정인 110동 15층 슬래브 청소 작업을 하던 중 바닥에 쓰러진 상태로 발견되어 병원으로 이송하여 치료 중 사망(추정)"/>
    <s v="혹서기 콘크리트 타설 예정인 슬래브 청소 작업을 하던 중 바닥에 쓰러진 상태로 발견됨"/>
    <s v="▶ 폭염에 노출되는 옥외 골조작업 시 근로자 모두를 수용할 수 있는 적절한 휴게시설 설치_x000a_▶ 햇볕을 완전히 차단할 수 있는 재질의 그늘막 활용 및 방음벽 인근 형성된 자연그늘에 의자나 돗자리, 음료수대 등 비품 비치하여 근로자들의 휴식 운영 실시_x000a_▶ 폭염특보의 종류에 따라 폭염주의보(33℃) 발령 시 매 시간당 10분씩, 폭염경보(35℃) 발령 시 15분씩 휴식 권장"/>
  </r>
  <r>
    <n v="2"/>
    <x v="2"/>
    <x v="8"/>
    <x v="11"/>
    <s v="YES"/>
    <x v="18"/>
    <x v="39"/>
    <s v="해당없음"/>
    <s v="해당없음"/>
    <s v="해당없음"/>
    <s v="2018년 7월경"/>
    <d v="2018-07-01T00:00:00"/>
    <n v="7"/>
    <s v="혹서기"/>
    <x v="13"/>
    <s v="2018년 7월경 OO(주) OO신축공사 현장 101동 27층 바닥 슬라브 콘크리트 타설 마무리 작업을 하던 재해자(타설공)가 갑자기 쓰러져, 작업반장 및 동료작업자가 재해자를 그늘로(26층 내부) 옮겨서 응급조치중, 도착한 119구조대에 의해 병원으로 후송되었으나 사망_x000d_"/>
    <s v="폭염 속 바닥 슬라브 콘크리트 타설 후, 심장질환을 갖고 있던 작업자가 콘크리트 면 마감 작업 중 정신을 잃고 쓰러짐"/>
    <s v="▶ 하절기 작업 시, 현장 내 출입한 작업자를 대상으로 기 질환보유여부를 파악하여 필요시 해당 일에 작업을 제하는 등의 조치 실시_x000a_▶ 하절기 타설 작업 시, 파라솔 다수 개를 여러 개소에 설치하여 작업자들이 언제든 그늘에서 쉴 수 있도록 조치"/>
  </r>
  <r>
    <n v="2"/>
    <x v="2"/>
    <x v="8"/>
    <x v="12"/>
    <s v="YES"/>
    <x v="18"/>
    <x v="38"/>
    <s v="해당없음"/>
    <s v="해당없음"/>
    <s v="해당없음"/>
    <s v="2020년 8월경"/>
    <d v="2020-08-01T00:00:00"/>
    <n v="8"/>
    <s v="혹서기"/>
    <x v="13"/>
    <s v="2020년 8월경 OO(주)이 시공하는 OO 공장동 건축공사 현장에서, 재해자(미장공)이 공장동 1층 콘크리트 타설구간 내 기계미장(휘니셔) 작업을 하던 중 갑자기 쓰러져 병원으로 이송 후 사망"/>
    <s v="콘크리트 타설구간 내 기계미장 작업을 하던 중 갑자기 쓰러져 근로자 사망"/>
    <s v="▶ 고열에 의한 건강장해 예방 조치 _x000a_▶ 적절한 휴게시설 운영_x000a_▶ 적절한 휴게시간 제공 및 관리"/>
  </r>
  <r>
    <n v="4"/>
    <x v="4"/>
    <x v="11"/>
    <x v="16"/>
    <s v="YES"/>
    <x v="18"/>
    <x v="38"/>
    <s v="해당없음"/>
    <s v="해당없음"/>
    <s v="해당없음"/>
    <s v="2020년 2월경"/>
    <d v="2020-02-01T00:00:00"/>
    <n v="2"/>
    <s v="혹한기"/>
    <x v="13"/>
    <s v="2020년 2월경 OO(주) OO 아파트 건설공사 1공구 현장에서 협력업체 소속 재해자가 공동구 방수작업을 위해 핸드그라인더를 사용하여 면정리 작업을 하던 중 집수정(물 웅덩이)에 쓰러져 사망"/>
    <s v="공동구 방수작업을 위해 핸드그라인더를 사용하여 면정리 작업을 하던 중 원인미상으로 집수정에 쓰러짐"/>
    <s v="▶ 물기가 있는 곳에서 핸드그라인더 등 감전위험이 있는 기구의 사용 시 피복의 손상부 및 콘센트의 접지 상태 확인 및 보호_x000a_▶ 집수정 부근 등 감전위험이 있는 장소에서 작업 시 방수형 플러그 및 콘센트 사용_x000a_▶ 인체가 물에 젖어있는 상태에서 전기를 사용하는 장소에 콘센트를 시설하는 경우 인체감전보호용 누전차단기로 보호된 전로에 접속"/>
  </r>
  <r>
    <n v="4"/>
    <x v="4"/>
    <x v="21"/>
    <x v="39"/>
    <s v="YES"/>
    <x v="19"/>
    <x v="39"/>
    <s v="해당없음"/>
    <s v="해당없음"/>
    <s v="해당없음"/>
    <s v="2017년 12월"/>
    <d v="2017-12-01T00:00:00"/>
    <n v="12"/>
    <s v="혹한기"/>
    <x v="2"/>
    <s v="2017년 12월경 OO신축공사 현장에서 재해자가 계단실 내부의 균열보수 작업을 하기위해 계단답단에 말통을 세워 위에서 작업하던 중 중심을 잃고 계단참 아래로 넘어져 추락하여 사망"/>
    <s v="계단실 내부의 균열보수 작업을 위해 계단 답단에 작업발판 없이 말통을 세워 작업하던 중 몸의 중심을 잃고 추락 "/>
    <s v="▶ 작업높이에 적합한 작업발판(비계, 말비계 등)을 설치하여 안전하게 작업_x000a_▶ 작업발판 단부 등 추락위험이 있는 장소에는 안전난간을 설치하고 안전난간 설치가 어려운 경우 추락방호망을 설치하고 안전대 체결 후 작업"/>
  </r>
  <r>
    <n v="4"/>
    <x v="4"/>
    <x v="13"/>
    <x v="19"/>
    <s v="YES"/>
    <x v="19"/>
    <x v="39"/>
    <s v="해당없음"/>
    <s v="해당없음"/>
    <s v="해당없음"/>
    <s v="2020년 1월경"/>
    <d v="2020-01-01T00:00:00"/>
    <n v="1"/>
    <s v="혹한기"/>
    <x v="2"/>
    <s v="2020년 1월경 OO냉동창고 신축공사에서 협력업체 소속 재해자(보통인부)가 냉동창고 내벽에 설치된 시스템비계 작업발판(12단) 끝부분의 상부와 중간 안전난간대 사이로 몸을 내밀어 우레탄 발포 호스(W≒98.8kg, L≒90m)를 아래 작업발판(11단)에 위치한 동료근로자에게 인력으로 내리던 중 재해자가 몸의 중심을 잃고 1층 바닥으로 떨어져(H=23.15m) 사망"/>
    <s v="시스템비계에서 상부 및 중간 난간대 사이로 몸을 내밀어 자재를 아래로 내리던 중 무게중심이 앞쪽으로 쏠리면서 추락"/>
    <s v="▶ 외부비계에서 작업 시, 상하부 작업자 간 공구 등을 던지는 등 불안전한 행위를 금지_x000a_▶ 외부비계 조립 시, 작업통로 작업발판을 밀실하게 설치하며 내, 외측에 안전난간대(2단) 설치 철저_x000a_▶ 비계 외측으로 몸을 내밀어 자재, 공구 등을 운반하는 행위를 지양하고, 윈치를 사용하여 내리는 등 안전한 방법으로 작업 개선_x000a_▶ 외부비계에서 작업 및 이동 시 안전대를 체결하도록 조치"/>
  </r>
  <r>
    <n v="4"/>
    <x v="4"/>
    <x v="13"/>
    <x v="42"/>
    <s v="YES"/>
    <x v="19"/>
    <x v="39"/>
    <s v="해당없음"/>
    <s v="해당없음"/>
    <s v="해당없음"/>
    <s v="2017년 8월경"/>
    <d v="2017-08-01T00:00:00"/>
    <n v="8"/>
    <s v="혹서기"/>
    <x v="9"/>
    <s v="2017년 8월경 ㈜OO에서 시공하는 원예작물 배수개선사업 토목건축공사 현장에서, 재해자가 현장숙소(조립식 샌드위치 판넬)에서 쉬고 있던 중 원인 불명의 화재가 발생하여 숙소를 빠져나온 후 중증 화상으로 사망"/>
    <s v="현장 숙소(조립식 샌드위치 판넬)에 누워서 쉬던 중 원인불명의 화재 발생으로 화상을 입고 사망"/>
    <s v="▶ 현장 내 샌드위치 판넬 등 화재에 취약한 자재로 마감된 숙소 및 사무실 등에 규격에 맞는 소화설비를 갖추도록 조치_x000a_▶ 발생한 재해와 관련하여 화재 원인을 발견할 수 없어 추가적인 대책수립이 불가함"/>
  </r>
  <r>
    <n v="4"/>
    <x v="4"/>
    <x v="14"/>
    <x v="20"/>
    <s v="YES"/>
    <x v="19"/>
    <x v="39"/>
    <s v="해당없음"/>
    <s v="해당없음"/>
    <s v="해당없음"/>
    <s v="2019년 10월"/>
    <d v="2019-10-01T00:00:00"/>
    <n v="10"/>
    <s v="-"/>
    <x v="10"/>
    <s v="2019년 10월경 OO빌라 지붕아스팔트싱글 설치공사 현장에서 재해자(지붕설치공)가 고소작업대를 타고 지붕아스팔트싱글 설치 작업 중 인근전선케이블이 고소작업대 붐대에 걸리자, 걸린 전선을 제거하기 위하여 고소작업대 작업대에서 붐대로 내려와 케이블을 제거하던 중 감전으로 사망"/>
    <s v="고소작업대에 탑승하여 작업 중 인근 전선케이블이 붐에 걸려 전선을 제거하던 중 감전"/>
    <s v="▶ 사전 조사를 통해 작업계획서를 수립하여, 차량계 하역운반기계 배치 계획 등을 준수_x000a_▶ 전선케이블을 다뤄야 하는 작업이 있을 경우, 관계기관에 조치 요청_x000a_▶ 근로자에 절연보호구 등 개인보호구 지급 및 착용에 대한 관리감독"/>
  </r>
  <r>
    <n v="5"/>
    <x v="5"/>
    <x v="15"/>
    <x v="45"/>
    <s v="YES"/>
    <x v="18"/>
    <x v="38"/>
    <s v="해당없음"/>
    <s v="해당없음"/>
    <s v="해당없음"/>
    <s v="2019년 11월"/>
    <d v="2019-11-01T00:00:00"/>
    <n v="11"/>
    <s v="-"/>
    <x v="13"/>
    <s v="2019년 11월경 OO공사에서 재해자가 케이블(전선) 포설작업 중 후속작업을 위해 이동하다가 의식을 잃고 쓰러져 사망"/>
    <s v="포설작업 진행 후 이동 중 의식을 잃고 쓰러짐"/>
    <s v="▶ 근로자가 현장 투입시 건강검진 소견 결과 확인 등_x000a_   - 배치전 건강검진 결과 확인_x000a_   - 의사 유소견자는 구분하여 관리 (주기적 상담 등)_x000a_▶ 오전 일일 TBM시 근로자 건강상태 확인"/>
  </r>
  <r>
    <n v="5"/>
    <x v="5"/>
    <x v="16"/>
    <x v="23"/>
    <s v="YES"/>
    <x v="19"/>
    <x v="39"/>
    <s v="해당없음"/>
    <s v="해당없음"/>
    <s v="해당없음"/>
    <s v="2020년 6월경"/>
    <d v="2020-06-01T00:00:00"/>
    <n v="6"/>
    <s v="혹서기"/>
    <x v="18"/>
    <s v="2020년 6월경 OOOO O층(식당가 아래층)에서 엔진구동식 고압세척기로 배관세척 작업 후 건물 밖의 지상 1층 분수광장 벤치에서 휴식을 취하던 중, 재해자 OOO이 앉은 채 의식이 없는 것을 동료 작업자들이 확인하여 병원으로 이송하였으나 사망한 재해임._x000d_"/>
    <s v="엔진구동식 고압세척기로 배관세척 작업 후 건물 밖에서 휴식을 취하던 중 의식이 없는 상태로 발견"/>
    <s v="▶ 근로자가 현장 투입시 건강검진 소견 결과 확인 등_x000a_   - 배치전 건강검진 결과 확인_x000a_   - 의사 유소견자는 구분하여 관리 (주기적 상담 등)_x000a_▶ 오전 일일 TBM시 근로자 건강상태 확인"/>
  </r>
  <r>
    <n v="5"/>
    <x v="5"/>
    <x v="23"/>
    <x v="47"/>
    <s v="YES"/>
    <x v="19"/>
    <x v="39"/>
    <s v="해당없음"/>
    <s v="해당없음"/>
    <s v="해당없음"/>
    <s v="2017년 7월경"/>
    <d v="2017-07-01T00:00:00"/>
    <n v="7"/>
    <s v="혹서기"/>
    <x v="2"/>
    <s v="2017년 7월경 공장 장비 교체공사 현장에서 재해자가 노후된 버켓엘리베이터(H≒4.5m) 해체작업을 하던 중, 산소절단 작업 시 발생되는 연기(흄)를 제거하기 위해 설치한 송풍기를 드는 순간 감전되어 약 2m아래의 작업발판으로 떨어져 사망"/>
    <s v="산소절단 작업 중 발생하는 연기를 제거하기 위해 송풍기를 트는 순간 감전되어 바닥으로 추락"/>
    <s v="▶ 전기기계 및 기구의 사용 시, 임시분전함 외함접지 실시, 접지극이 있는 코드 및 플러그 사용, 접지극에 접지선을 연결, 누전차단기 설치 등과 같은 감전재해 예방조치 실시 _x000a_▶ 기계장치 상부 등 추락위험이 있는 작업장소에 안전난간, 안전대 부착설비를 설치하여 작업자가 안전대를 체결한 상태로 작업 및 이동할 수 있도록 조치"/>
  </r>
  <r>
    <n v="6"/>
    <x v="6"/>
    <x v="17"/>
    <x v="79"/>
    <s v="YES"/>
    <x v="19"/>
    <x v="39"/>
    <s v="해당없음"/>
    <s v="해당없음"/>
    <s v="해당없음"/>
    <s v="2017년 11월"/>
    <d v="2017-11-01T00:00:00"/>
    <n v="11"/>
    <s v="-"/>
    <x v="9"/>
    <s v="2017년 11월경 소나무 이식공사현장에서 재해자가 난로 앞에서 대기하던 중 착용한 작업복에 불이 옮겨 붙어 화상당하여 사망"/>
    <s v="임시화구(난로) 앞에서 대기 중 작업자가 착용한 일회용 포켓형 작업복에 불이 옮겨 붙어 화상"/>
    <s v="▶ 화기사용 장소의 화재방지 설비 조치_x000a_▶ 현장내 대기 시 폴리에스터 스펀본드 등 화재에 취약한 작업복을 착용한 채로 임시화구 및 열이 작용하는 곳에서 대기 금지_x000a_▶ 현장내 소화기 등 소화설비 상시 배치"/>
  </r>
  <r>
    <n v="11"/>
    <x v="0"/>
    <x v="0"/>
    <x v="0"/>
    <s v="YES"/>
    <x v="12"/>
    <x v="41"/>
    <s v="12대 기인물"/>
    <n v="4"/>
    <n v="6.9000000000000006E-2"/>
    <s v="2016년 4월경"/>
    <d v="2016-04-01T00:00:00"/>
    <n v="4"/>
    <s v="-"/>
    <x v="2"/>
    <s v="2016년 4월경 근린생활시설 증축공사에서 재해자가 지상 2층 바닥위치의 외부비계에서 도장작업을 하던 중 몸의 중심을 잃고 지상 1층(높이 3.7m)으로 추락하여 사망"/>
    <s v="외부비계 위에서 옥상 외벽 도장작업 중 몸의 중심을 잃고 안전난간이 설치되지 않은 작업발판 단부로 추락"/>
    <s v="▶ 비계 내·외측에 안전난간 2단으로 견고하게 설치_x000a_▶ 외벽 마감작업을 위해 비계 내측 안전난간을 임의 해체하는 경우 구조물과 비계 작업발판 사이에 추락방지망 설치하고 안전대를 체결한 후 작업토록 관리감독"/>
  </r>
  <r>
    <n v="12"/>
    <x v="1"/>
    <x v="2"/>
    <x v="3"/>
    <s v="YES"/>
    <x v="12"/>
    <x v="41"/>
    <s v="12대 기인물"/>
    <n v="4"/>
    <n v="6.9000000000000006E-2"/>
    <s v="2020년 5월경"/>
    <d v="2020-05-01T00:00:00"/>
    <n v="5"/>
    <s v="-"/>
    <x v="2"/>
    <s v="2020년 5월경 OO(주)이 시공 중인 OO철거현장에서 재해자가 가림막을 비계에 묶어 고정하기 위하여 약 4.5M~6M 높이의 강관비계 수평재 위에서 작업 중 몸의 중심을 잃고 추락하여 사망"/>
    <s v="철거현장에서 가림막을 비계에 묶어 고정하기 위해 강관비계 수평재 위에서 작업 중 몸의 중심을 잃고 바닥으로 추락"/>
    <s v="▶ 근로자의 개인보호구, 안전대 체결여부 점검 및 관리감독"/>
  </r>
  <r>
    <n v="12"/>
    <x v="1"/>
    <x v="3"/>
    <x v="87"/>
    <s v="YES"/>
    <x v="12"/>
    <x v="41"/>
    <s v="12대 기인물"/>
    <n v="4"/>
    <n v="6.9000000000000006E-2"/>
    <s v="2019년 7월경"/>
    <d v="2019-07-01T00:00:00"/>
    <n v="7"/>
    <s v="혹서기"/>
    <x v="2"/>
    <s v="2019년 7월경, OO 공장부지 조성 공사현장에서 재해자가 현장 구획을 위한 가림막 설치용 가설구조물의 중간 수평부재(강관파이프)위에서 가림막 설치작업 후 이동 중 몸의 균형을 잃고 지면(H≒2.5m)으로 추락"/>
    <s v="현장 구획을 위한 가림막 설치용 가설구조물의 중간 수평부재(강관파이프)위에서 가림막 설치작업 후 이동 중 몸의 균형을 잃고 지면으로 추락"/>
    <s v="▶ 추락 위험이 있는 장소에서 작업 시, 작업발판을 설치 후 작업 진행_x000a_▶ 개인보호구 지급 및 착용 관리 철저_x000a_▶ 작업에 적합한 안전통로 설치 "/>
  </r>
  <r>
    <n v="12"/>
    <x v="1"/>
    <x v="3"/>
    <x v="30"/>
    <s v="YES"/>
    <x v="12"/>
    <x v="41"/>
    <s v="12대 기인물"/>
    <n v="4"/>
    <n v="6.9000000000000006E-2"/>
    <s v="2018년 09월"/>
    <d v="2018-09-01T00:00:00"/>
    <n v="9"/>
    <s v="-"/>
    <x v="7"/>
    <s v="2018년 09월경 부두 보수공사 현장에서 재해자 2명과 동료 작업자 1명이 부두 철골구조물의 도장공사를 위한 작업발판을 설치하던 중, 파이프서포트와 와이어로프로 연결된 작업발판이 무게(약 897.32kg)를 버티지 못하고 붕괴되며 동료 작업자는 안전대에 매달려 구조되고, 재해자 2명은 바다로 빠져 사망"/>
    <s v="규격에 밎지않은 작업발판을 임의로 설치 중 하중에 의해 붕괴"/>
    <s v="▶ 작업도구 등의 목적 외 사용금지 준수_x000a_▶ 추락 위험이 있는 작업 시 안전대 부착설비 등 추락방호조치 준수_x000a_▶ 작업발판 내 최대적재하중 준수 "/>
  </r>
  <r>
    <n v="12"/>
    <x v="1"/>
    <x v="3"/>
    <x v="30"/>
    <s v="YES"/>
    <x v="12"/>
    <x v="41"/>
    <s v="12대 기인물"/>
    <n v="4"/>
    <n v="6.9000000000000006E-2"/>
    <s v="2020년 3월경"/>
    <d v="2020-03-01T00:00:00"/>
    <n v="3"/>
    <s v="-"/>
    <x v="2"/>
    <s v="2020년 3월경 다가구주택 신축공사 현장에서 재해자가 다가구주택 외부작업용 시스템비계의 작업발판 (우측면)에서 치장벽돌을 묶었던 노끈을 줍는 작업 중 작업발판(2∼6단 추정) 외측 단부에서 약 3.8∼11.4.m 아래 지상 흙바닥으로 추락하여 사망"/>
    <s v="안전난간이 미설치된 작업발판 외측 단부에서 근로자가 몸의 중심을 잃고 추락 "/>
    <s v="▶ 작업발판 단부에 안전난간이 설치된 상태에서 자재를 작업발판으로 인양하기 위해 여건 상 임시로 안전난간 해체 시 해당작업 완료 후 즉시 안전난간 재설치_x000a_▶ 안전난간의 설치가 곤란할 경우 작업발판 하부에 추락방호망 설치_x000a_▶ 2m 이상 높이에서 작업 시 안전대 부착설비 설치 및 안전대 착용"/>
  </r>
  <r>
    <n v="12"/>
    <x v="1"/>
    <x v="3"/>
    <x v="4"/>
    <s v="YES"/>
    <x v="12"/>
    <x v="41"/>
    <s v="12대 기인물"/>
    <n v="4"/>
    <n v="6.9000000000000006E-2"/>
    <s v="2015년 2월경"/>
    <d v="2015-02-01T00:00:00"/>
    <n v="2"/>
    <s v="혹한기"/>
    <x v="2"/>
    <s v="2015년 2월경 OO건설이 시공하는 공장 신축공사 현장에서 재해자가 신축공장 사무동 외부쌍줄 비계 작업을 하던 중 지상높이 약 12.5m 작업발판에서 몸의 중심을 잃고 지상바닥으로 떨어져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6년 4월경"/>
    <d v="2016-04-01T00:00:00"/>
    <n v="4"/>
    <s v="-"/>
    <x v="2"/>
    <s v="2016년 4월경 OO건설에서 시공 중인 공동주택 신축공사 현장에서 재해자가 건물 5층 높이 외부 비계발판 위에서 바람에 날아갈 우려가 있는 합판조각 등 폐목재를 정리하던 중 비계 외부 안전난간이 설치되지 않은 구간으로 떨어져(H : 13.7m) 사망"/>
    <s v="안전난간이 미설치된 비계 작업발판, 가설계단 위에서 이동 또는 작업 중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6년 4월경"/>
    <d v="2016-04-01T00:00:00"/>
    <n v="4"/>
    <s v="-"/>
    <x v="2"/>
    <s v="2016년 4월경 OO빌딩 신축공사 현장에서 재해자가 건물 옥상 파라펫 상부에서 외부 강관비계 해체작업 중 몸의 중심을 잃어 22m 아래 콘크리트 바닥으로 떨어져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6년 5월경"/>
    <d v="2016-05-01T00:00:00"/>
    <n v="5"/>
    <s v="-"/>
    <x v="2"/>
    <s v="2016년 5월경 OO건설이 시공하는 국도건설공사 현장에서 재해자가 승강용 가설 비계 해체작업 중 약 19.1m 아래 콘크리트 바닥으로 떨어져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6년 5월경"/>
    <d v="2016-05-01T00:00:00"/>
    <n v="5"/>
    <s v="-"/>
    <x v="2"/>
    <s v="2016년 5월경 OO건설이 시공중인 OO대교 보수공사 현장에서 재해자가 대교 상류측 교각 사이 공중비계 해체작업을 하고 작업 마무리를 위하여 교각 상단 점검통로로 이동하던 중 약 10m 아래 한강 수면으로 떨어져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6년 9월경"/>
    <d v="2016-09-01T00:00:00"/>
    <n v="9"/>
    <s v="-"/>
    <x v="2"/>
    <s v="2016년 9월경 ㈜OO 지하철 고가 및 교량구조물 내진 보강공사 현장에서 재해자가 철교 박스 거더 하부에 설치되었던 이동 통로용 비계 해체 중 실족하여 약 11.0m 아래 중랑천으로 떨어져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6년 10월"/>
    <d v="2016-10-01T00:00:00"/>
    <n v="10"/>
    <s v="-"/>
    <x v="2"/>
    <s v="2016년 10월경 OO건설이 시공하는 업무시설 신축공사 현장에서 재해자가 건축물 외부에 설치된 외부 강관비계의 9단(높이 약 16m)에서 비계 띠장(수평재) 위에 발을 딛고 수평강관파이프 부재(띠장, 길이 6m)의 비계기둥에 붙어있던 클램프를 제거하여 비계띠장(수평재)해체 작업을 하던 중 비계기둥강관파이프(길이 3.66m)가 연결핀에서 탈락하여 수평강관파이프 및 비계기둥강관파이프와 함께 16.2m 바닥으로 떨어져 콘크리트 흄관에 부딪쳐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6년 12월"/>
    <d v="2016-12-01T00:00:00"/>
    <n v="12"/>
    <s v="혹한기"/>
    <x v="2"/>
    <s v="2016년 12월경 OO(주)에서 시공 중인 공장 증축공사 중 철거공사 현장에서 재해자가 철거공사 현장 외부에 설치된 비계(비산먼지 방지를 위한 분진막) 해체작업(7단 수평부재 위에 올라서서 8단 수평부재 해체) 중 몸의 중심을 잃고 지면으로 떨어져(H≒12m)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6년 12월"/>
    <d v="2016-12-01T00:00:00"/>
    <n v="12"/>
    <s v="혹한기"/>
    <x v="2"/>
    <s v="2016년 12월경 다세대주택 신축공사 현장에서 재해자가 외부 강관비계 해체 중 몸의 중심을 잃고 지상1층 바닥으로 떨어져(H≒3.4m)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7년 1월경"/>
    <d v="2017-01-01T00:00:00"/>
    <n v="1"/>
    <s v="혹한기"/>
    <x v="2"/>
    <s v="2017년 1월경 OO건설 공사현장에서 재해자가 지하1층 계단실에 설치된 강관비계를 해체하던 중 비계에서 실족하여 높이 약 6m 아래 계단참으로 추락하여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7년 4월경"/>
    <d v="2017-04-01T00:00:00"/>
    <n v="4"/>
    <s v="-"/>
    <x v="2"/>
    <s v="2017년 4월경 ㈜OO 사무실 증축공사 현장에서 재해자가 건물의 우측면 외부 강관비계를 해체하던 중 중심을 잃고 3m 아래 지상 바닥으로 떨어져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7년 6월경"/>
    <d v="2017-06-01T00:00:00"/>
    <n v="6"/>
    <s v="혹서기"/>
    <x v="2"/>
    <s v="2017년 6월경 단독주택 신축공사 현장에서 재해자가 외부 강관비계(좌측-정면 코너부) 3단에서 비계 해체작업 중, 몸의 중심을 잃고 약 5.4m 아래 지상1층 바닥으로 떨어져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7년 7월경"/>
    <d v="2017-07-01T00:00:00"/>
    <n v="7"/>
    <s v="혹서기"/>
    <x v="4"/>
    <s v="2017년 7월경 OO(주) 주택 재개발 정비사업 현장에서 재해자가 동 우측 외부에 설치된 쌍줄비계 4단 작업발판 상에서 비계 넘어짐 방지용 사재를 설치하던 중, 몸의 중심을 잃고 높이 7.4M 아래로 추락 및 바닥 돌출철근에 머리가 찔려 사망"/>
    <s v="쌍줄비계 작업발판 위 비계 넘어짐 방지용 사재 설치 중 몸의 중심을 잃고 바닥으로 추락, 바닥 슬래브에 적치된 유로폼 더미에 1차 충돌 후 튕겨져 나오면서 바닥 슬래브에 돌출된 철근에 머리 관통"/>
    <s v="▶ 작업 전 안전모 지급 및 착용상태, 턱끈 체결상태 관리_x000a_▶ 쌍줄비계 보강시 5m마타 벽이음 및 버팀 설치를 해야하며, 창틀의 부착 또는 벽면의 완성 등 작업의 필요상 부득이한 경우 비계기둥 또는 띠장에 사재를 설치하여야 함_x000a_▶ 추락 위험이 있는 작업 시 작업발판, 안전난간 설치를 통한 추락방호조치 실시_x000a_▶ 부득이한 경우, 안전대 부착설비 설치를 통한 추락방호조치 실시"/>
  </r>
  <r>
    <n v="12"/>
    <x v="1"/>
    <x v="3"/>
    <x v="4"/>
    <s v="YES"/>
    <x v="12"/>
    <x v="41"/>
    <s v="12대 기인물"/>
    <n v="4"/>
    <n v="6.9000000000000006E-2"/>
    <s v="2017년 8월경"/>
    <d v="2017-08-01T00:00:00"/>
    <n v="8"/>
    <s v="혹서기"/>
    <x v="2"/>
    <s v="2017년 8월경 OO중학교 신축공사 현장에서 재해자 등 2명은 교사동 앞 지상에서 작업을 하던중 교사동 전면에 설치된 높이 약 16.6m의 비계가 전도되면서 하부에 깔려 1명은 사망, 1명은 부상"/>
    <s v="기준에 맞지 않게 설치된 비계 위에서 작업 중 비계가 붕괴되어 비계 위 작업자가 추락"/>
    <s v="▶ 비계 조립시 비계기둥 및 띠장 간격, 벽이음 간격, 교차가새 설치 등 설치 기준을 준수하여 설치"/>
  </r>
  <r>
    <n v="12"/>
    <x v="1"/>
    <x v="3"/>
    <x v="4"/>
    <s v="YES"/>
    <x v="12"/>
    <x v="41"/>
    <s v="12대 기인물"/>
    <n v="4"/>
    <n v="6.9000000000000006E-2"/>
    <s v="2017년 8월경"/>
    <d v="2017-08-01T00:00:00"/>
    <n v="8"/>
    <s v="혹서기"/>
    <x v="2"/>
    <s v="2017년 8월경 OO신축공사 현장에서 재해자가 외부비계(작업발판)를 해체하던 중 지상바닥으로 떨어져(H≒8.9m)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7년 8월경"/>
    <d v="2017-08-01T00:00:00"/>
    <n v="8"/>
    <s v="혹서기"/>
    <x v="2"/>
    <s v="2017년 8월경 OO건축 교회 사택 리모델링 공사 현장에서 재해자가 외부비계 작업발판 위에서 비계해체작업을 진행하던 중 비계기둥이 기울어지면서 몸의 중심을 잃고 약 2.5m아래 지면으로 추락하여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7년 8월경"/>
    <d v="2017-08-01T00:00:00"/>
    <n v="8"/>
    <s v="혹서기"/>
    <x v="2"/>
    <s v="2017년 8월경 OO건설 다세대주택 신축공사 현장에서 재해자가 지상3층 높이의 외부비계 작업발판 위에서 비계 외부에 부직포망 설치작업을 진행하던 중 몸의 균형을 잃고 약 2.4m아래 지상2층 콘크리트 바닥으로 추락하여 사망"/>
    <s v="외부비계의 작업발판 단부에 안전난간을 설치하려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8년 1월경"/>
    <d v="2018-01-01T00:00:00"/>
    <n v="1"/>
    <s v="혹한기"/>
    <x v="2"/>
    <s v="2018년 1월경 OO건설(주) 신축공사 현장에서 재해자가 외부 강관비계 해체 작업 중 몸의 중심을 잃고 지상 1층 바닥(H≒20m)으로 떨어져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8년 1월경"/>
    <d v="2018-01-01T00:00:00"/>
    <n v="1"/>
    <s v="혹한기"/>
    <x v="2"/>
    <s v="2018년 1월경 OO 신축공사 현장에서 재해자가 동 외부비계 해체작업을 위해 작업발판 11단에서 10단으로 이동 중 몸의 중심을 잃고 자재 인양구 측 지상 바닥으로 떨어져(H≒21.2m) 사망"/>
    <s v="외부비계의 작업발판 단부에 안전난간을 설치하려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8년 5월경"/>
    <d v="2018-05-01T00:00:00"/>
    <n v="5"/>
    <s v="-"/>
    <x v="2"/>
    <s v="2018년 5월경 다가구주택 신축공사 현장에서 건물 배면 외부 강관비계의 4단 작업발판 단부에 안전난간을 설치하려던 재해자가 몸의 중심을 잃고 지상 약 9.4m 높이에서 떨어져 사망"/>
    <s v="외부비계의 작업발판 단부에 안전난간을 설치하려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8년 6월경"/>
    <d v="2018-06-01T00:00:00"/>
    <n v="6"/>
    <s v="혹서기"/>
    <x v="2"/>
    <s v="2018년 6월경 OO근린생활시설 신축공사 현장에서 외부 비계 해체작업 중 재해자가 해체한 작업발판을 지면으로 던지다가 작업발판 고리가 장갑에 걸리며 작업발판과 함께 지면(H=5.7m)으로 떨어져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8년 6월경"/>
    <d v="2018-06-01T00:00:00"/>
    <n v="6"/>
    <s v="혹서기"/>
    <x v="2"/>
    <s v="2018년 6월경 주택 리모델링 공사현장에서 재해자가 3단 띠장에서 비계 조립작업을 위해 이동 중 떨어져(H≒6m)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8년 8월경"/>
    <d v="2018-08-01T00:00:00"/>
    <n v="8"/>
    <s v="혹서기"/>
    <x v="2"/>
    <s v="2018년 8월경 OO오피스텔 신축공사 현장에서 재해자가 주차타워 내부에 설치된 시스템비계 해체작업 중 시스템비계에 설치되어 있던 수직·수평재를 해체하는 과정에서 몸의 중심을 잃고 약 16미터 아래 지하5층 주차타워 바닥으로 떨어져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9년 1월경"/>
    <d v="2019-01-01T00:00:00"/>
    <n v="1"/>
    <s v="혹한기"/>
    <x v="2"/>
    <s v="2019년 1월경 축사(돈사) 토목공사 현장에서 재해자가 외부비계 작업발판(4단) 위에서 단부 안전난간 밖으로 몸을 내밀어서 상부에서 해체한 작업발판을 받아서 지상으로 던지던 중 몸에 중심을 잃고 지면으로 떨어져(H=7.35m) 사망"/>
    <s v="비계 안전난간 밖으로 과도하게 몸을 내밀어서 작업 중 몸의 중심을 잃고 추락"/>
    <s v="▶ 자재 반입 및 인양 등의 이유로 외부비계의 안전난간을 해체하는 행위 절대 금지 조치_x000a_▶ 외부 비계의 안전난간 보수, 설치 등 안전시설물의 보수작업을 진행하는 경우, 개인보호구를 착용하며 추락에 대비하여 안전대를 반드시 체결한 후 작업을 실시"/>
  </r>
  <r>
    <n v="12"/>
    <x v="1"/>
    <x v="3"/>
    <x v="4"/>
    <s v="YES"/>
    <x v="12"/>
    <x v="41"/>
    <s v="12대 기인물"/>
    <n v="4"/>
    <n v="6.9000000000000006E-2"/>
    <s v="2019년 1월경"/>
    <d v="2019-01-01T00:00:00"/>
    <n v="1"/>
    <s v="혹한기"/>
    <x v="2"/>
    <s v="2019년 1월경 OO건설에서 시공하는 공동주택 및 오피스텔 신축공사 현장에서 재해자가 지상10층, 외부비계 작업발판 17단 위치에서 비계 설치를 위하여 자재를 인양하여 들어올리는 과정에서 몸의 중심을 잃고 외부비계 아래 지상 바닥(높이 약 32m)으로 떨어져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9년 1월경"/>
    <d v="2019-01-01T00:00:00"/>
    <n v="1"/>
    <s v="혹한기"/>
    <x v="2"/>
    <s v="2019년 1월경 OO건설에서 시공하는 주상복합 신축공사 현장에서 재해자가 지하 4층 주차장 합벽거푸집 콘크리트 타설용 강관비계 위에서 작업발판을 해체하던 중 약 3.6m 아래 콘크리트 바닥으로 떨어져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9년 3월경"/>
    <d v="2019-03-01T00:00:00"/>
    <n v="3"/>
    <s v="-"/>
    <x v="2"/>
    <s v="2019년 3월경 OO건설에서 시공하는 건물 철거공사 현장에서 외부 비산방지시설 지지용 외줄비계 해체 작업 중이던, 재해자가 기설치 되어 있던 수직강관파이프를 해체 하던 중 약 9m 높이에서 지상바닥으로 추락하여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9년 4월경"/>
    <d v="2019-04-01T00:00:00"/>
    <n v="4"/>
    <s v="-"/>
    <x v="2"/>
    <s v="2019년 4월경 OO건설에서 시공하는 공동주택 신축공사 현장에서 재해자가 외부 시스템비계 설치 작업 중, 완전히 고정되지 않는 상부 안전난간용 수평재가 분리되면서 약 13.5m 아래 아스팔트 바닥으로 추락하여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9년 6월경"/>
    <d v="2019-06-01T00:00:00"/>
    <n v="6"/>
    <s v="혹서기"/>
    <x v="2"/>
    <s v="2019년 6월경 OO건설 근린생활 및 공동주택 신축공사 현장에서 재해자가 외부비계 해체작업을 위해 허리에 해체작업용 공구 주머니를 차고 비계 위를 올라가던 중 1층 바닥으로 떨어져(높이≒12m)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9년 6월경"/>
    <d v="2019-06-01T00:00:00"/>
    <n v="6"/>
    <s v="혹서기"/>
    <x v="2"/>
    <s v="2019년 6월경 ㈜OO에서 시공하는 OO사옥 업무시설 신축공사 현장에서 재해자가 지하3층에 설치되어 있던 작업발판단부 가설안전난간대를 설치하기 위하여 작업발판 위를 이동하던 중 작업발판을 지지하고 있던 비계기둥 연결부가 이탈되면서 약12m아래 지하6층 바닥으로 추락하여 사망"/>
    <s v="외부비계의 작업발판 단부에 안전난간을 설치하려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9년 7월경"/>
    <d v="2019-07-01T00:00:00"/>
    <n v="7"/>
    <s v="혹서기"/>
    <x v="2"/>
    <s v="2019년 7월경 교회 증축공사 현장에서 재해자가 건물우측 외부비계 4단 띠장(H≒7.4m) 작업발판 위에서 5단 장선 조립 작업 중 발을 헛디뎌 7.4m 아래 콘크리트 바닥으로 떨어져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9년 10월"/>
    <d v="2019-10-01T00:00:00"/>
    <n v="10"/>
    <s v="-"/>
    <x v="2"/>
    <s v="2019년 10월경 OO건설에서 시공하는 아파트 신축공사 현장에서 재해자가 중력식 옹벽의 외부비계의 수직사다리를 타고 내려오던 중 몸의 균형을 잃고 바닥면으로 떨어져(H≒3.8m) 사망"/>
    <s v="비계 바깥면으로 설치된 수직 사다리를 이용하여 승하강 이동 중 몸의 균형을 잃고 추락"/>
    <s v="▶ 비계 작업발판 상하단 승하강 이동통로는 비계 내부에 설치하는 등 안전한 구조로 설치_x000a_▶ 비계 외부로 승하강 사다리를 설치하는 경우 안전대 부착설비를 설치하고 안전대를 반드시 체결한 후 작업을 실시"/>
  </r>
  <r>
    <n v="12"/>
    <x v="1"/>
    <x v="3"/>
    <x v="4"/>
    <s v="YES"/>
    <x v="12"/>
    <x v="41"/>
    <s v="12대 기인물"/>
    <n v="4"/>
    <n v="6.9000000000000006E-2"/>
    <s v="2019년 11월"/>
    <d v="2019-11-01T00:00:00"/>
    <n v="11"/>
    <s v="-"/>
    <x v="2"/>
    <s v="2019년 11월경 축사 신축공사 현장에서 재해자가 건물 외부의 강관비계 위에서 비계 설치작업을 하던 중, 몸의 중심을 잃고 지상으로 떨어져(H=7.6m)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9년 12월"/>
    <d v="2019-12-01T00:00:00"/>
    <n v="12"/>
    <s v="혹한기"/>
    <x v="2"/>
    <s v="2019년 12월경 OO건설이 시공하는 다세대주택 신축공사 현장에서 재해자가 건물의 좌측면 비계 3단(높이: 6.1m)에서 비계 자재(강관 파이프)를 지상으로 내리는 도중 실족하여 건물 밖 도로 위로 추락하여 사망"/>
    <s v="안전대를 미착용하고 외부비계 작업발판을 설치해체하던 중 몸의 중심을 잃고 바닥으로 추락"/>
    <s v="▶ 추락 위험이 있는 비계 해체작업 시 작업발판 설치, 안전대 부착설비 등 추락방호조치 실시_x000a_▶ 작업 전 안전대 지급 및 체결상태 관리"/>
  </r>
  <r>
    <n v="12"/>
    <x v="1"/>
    <x v="3"/>
    <x v="4"/>
    <s v="YES"/>
    <x v="12"/>
    <x v="41"/>
    <s v="12대 기인물"/>
    <n v="4"/>
    <n v="6.9000000000000006E-2"/>
    <s v="2020년 2월경"/>
    <d v="2020-02-01T00:00:00"/>
    <n v="2"/>
    <s v="혹한기"/>
    <x v="2"/>
    <s v="2020년 2월경 OO건설 오피스텔 신축공사 현장에서 재해자가 지상7층 높이 외부비계 위에서 시스템비계 분진망 설치 작업 중 발판 단부에서 실족, 높이 20.3m 아래 지상으로 추락하여 사망"/>
    <s v="외부비계의 작업발판 단부에 안전난간을 설치하려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20년 6월경"/>
    <d v="2020-06-01T00:00:00"/>
    <n v="6"/>
    <s v="혹서기"/>
    <x v="2"/>
    <s v="2020년 6월경 단독주택 신축공사 현장에서 재해자가 건물 동측면에 설치된 강관비계 2단 작업발판 해체작업 중 약 1.8m아래 콘크리트 바닥으로 떨어져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21년 2월경"/>
    <d v="2021-02-01T00:00:00"/>
    <n v="2"/>
    <s v="혹한기"/>
    <x v="2"/>
    <s v="2021년 2월경 OO건립공사 현장에서 지상 1층 주출입구 앞 벽체 마감 작업을 위한 작업발판 설치 작업 중 재해자가 1단 작업발판 위에서 바닥으로 추락하여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21년 4월경"/>
    <d v="2021-04-01T00:00:00"/>
    <n v="4"/>
    <s v="-"/>
    <x v="2"/>
    <s v="2021년 4월경 OO건설 다가구주택 신축공사에서 재해자가 외부비계 해체 작업 중 3단위치 작업발판에서 해체된 비계부재(원형강관, 직경 48.6mm, 길이6.0m)를 아래로 던지는 과정에 몸의 중심을 잃고 추락(H≒4.6m)하여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21년 6월경"/>
    <d v="2021-06-01T00:00:00"/>
    <n v="6"/>
    <s v="혹서기"/>
    <x v="2"/>
    <s v="2021년 6월경 실내 천정 및 철 구조물 도장공사 현장에서 재해자가 강관비계의 기둥을 연결하는 작업 중 재해자가 잡고 있던 강관 파이프가 자중에 의해 옆으로 쓰러지며 강관의 단부가 재해자의 얼굴을 가격하여, 재해자의 안전모가 벗겨진 채로 높이 약 3.3M 아래 수영장 바닥으로 추락하여 사망"/>
    <s v="강관비계의 기둥을 연결하는 작업 중 강관 파이프가 자중에 의해 옆으로 쓰러지며 강관의 단부에 얼굴을 맞아 수영장 바닥으로 추락"/>
    <s v="▶ 강관비계 설치 작업 시 강관을 가조립 하는 등 임시로 연결할 경우 전도방지조치 실시_x000a_▶ 안전모, 작업대 등 개인보호구 착용에 대한 관리 철저"/>
  </r>
  <r>
    <n v="12"/>
    <x v="1"/>
    <x v="3"/>
    <x v="4"/>
    <s v="YES"/>
    <x v="12"/>
    <x v="41"/>
    <s v="12대 기인물"/>
    <n v="4"/>
    <n v="6.9000000000000006E-2"/>
    <s v="2021년 8월경"/>
    <d v="2021-08-01T00:00:00"/>
    <n v="8"/>
    <s v="혹서기"/>
    <x v="2"/>
    <s v="2021년 8월경 OO건축에서 시공하는 교회 신축공사 중 인테리어공사 현장에서 재해자가 대예배실 내 기(旣)설치 되어있던 강관비계를 일부 철거 후 재설치를 위해 강관비계 2단 발판 위에서 작업 중 약 6m 아래 바닥으로 추락 후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21년 8월경"/>
    <d v="2021-08-01T00:00:00"/>
    <n v="8"/>
    <s v="혹서기"/>
    <x v="2"/>
    <s v="2021년 8월경 OO건설 상가주택 신축공사 현장에서 재해자는 구조물 외부 시스템비계 4단 계단부위 상부에서 안전대 등 보호구를 착용하지 않고 비계 해체작업 중 8.3m 바닥으로 떨어져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21년 9월경"/>
    <d v="2021-09-01T00:00:00"/>
    <n v="9"/>
    <s v="-"/>
    <x v="2"/>
    <s v="2021년 9월경 단독주택 신축공사 현장에서 강관비계 철거 작업 중, 2단 작업발판 위에서 수평재를 잡고 있던 재해자가 발을 헛디디며 높이 약 3m 아래 바닥으로 추락하여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21년 9월경"/>
    <d v="2021-09-01T00:00:00"/>
    <n v="9"/>
    <s v="-"/>
    <x v="2"/>
    <s v="2021년 9월경 OO건설의 외벽 및 화장실 리모델링 공사 현장에서 비계 해체 작업 중인 재해자가 건물 외부 강관비계 작업발판에서 약 6m 바닥으로 떨어져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OO건설(주) 소"/>
    <s v="X"/>
    <e v="#VALUE!"/>
    <e v="#VALUE!"/>
    <x v="2"/>
    <s v="OO건설(주) 소속 재해자가 지하주차장 램프 출입구 석공사 작업용 강관비계 설치작업 중 시스템 비계 2단에서 “쿵”소리와 함께 약 4m 아래 콘크리트 바닥으로 추락하여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103"/>
    <s v="YES"/>
    <x v="12"/>
    <x v="41"/>
    <s v="12대 기인물"/>
    <n v="4"/>
    <n v="6.9000000000000006E-2"/>
    <s v="2016년 4월경"/>
    <d v="2016-04-01T00:00:00"/>
    <n v="4"/>
    <s v="-"/>
    <x v="2"/>
    <s v="2016년 4월경 OO교 내진보강공사 현장에서 재해자가 교각 코핑구조물에서 달대비계 해체작업 중, 지지 수직 현수재(와이어로프)가 풀리면서 작업발판이 기울어져 재해자가 강으로 떨어져(H=13.6m)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103"/>
    <s v="YES"/>
    <x v="12"/>
    <x v="42"/>
    <s v="12대 기인물"/>
    <n v="8"/>
    <n v="3.6999999999999998E-2"/>
    <s v="2017년 9월경"/>
    <d v="2017-09-01T00:00:00"/>
    <n v="9"/>
    <s v="-"/>
    <x v="2"/>
    <s v="2017년 9월경 OO건물 신축공사 현장에서 재해자가 달비계를 이용하여 건물 전면부 외벽 준공 청소를 진행 중 작업용 로프(∮20mm, P.P로프)가 파단되면서 약 10m 하부 바닥면으로 추락하여 사망"/>
    <s v="달비계를 이용한 외벽 준공 청소 중 작업용 로프의 파단으로 근로자가 추락"/>
    <s v="▶ 달비계 작업 시 구명줄 설치 및 안전대(추락방지대)를 걸고 작업 실시_x000a_▶ 작업용 로프의 상태 확인 후 노후되었을 시 교체 실시"/>
  </r>
  <r>
    <n v="12"/>
    <x v="1"/>
    <x v="3"/>
    <x v="103"/>
    <s v="YES"/>
    <x v="12"/>
    <x v="42"/>
    <s v="12대 기인물"/>
    <n v="8"/>
    <n v="3.6999999999999998E-2"/>
    <s v="2018년 9월경"/>
    <d v="2018-09-01T00:00:00"/>
    <n v="9"/>
    <s v="-"/>
    <x v="2"/>
    <s v="2018년 9월경 OO(주)에서 시공하는 내·외부 균열보수 및 재도장 공사에서 단지 내 외벽 재도장공사 중 외벽 달비계 작업자 3명을 보조하는 재해자가 로프 재설치를 위해 옥상에서 이동 중(추정) 약 45m 아래 지상 1층 바닥으로 추락하여 사망"/>
    <s v="로프 재설치를 위해 옥상에서 이동 중, 근로자가 몸의 균형을 잃고 추락"/>
    <s v="▶ 작업발판 및 통로의 끝이나 개구부로서 근로자가 추락할 위험이 있는 장소에는 안전난간 등 방호조치 실시_x000a_▶ 안전난간 설치가 곤란한 경우 안전대 부착설비 설치 실시"/>
  </r>
  <r>
    <n v="12"/>
    <x v="1"/>
    <x v="3"/>
    <x v="101"/>
    <s v="YES"/>
    <x v="12"/>
    <x v="41"/>
    <s v="12대 기인물"/>
    <n v="4"/>
    <n v="6.9000000000000006E-2"/>
    <s v="2017년 5월경"/>
    <d v="2017-05-01T00:00:00"/>
    <n v="5"/>
    <s v="-"/>
    <x v="2"/>
    <s v="2017년 5월경 ㈜OO에서 시공중인 공장 철거공사 현장에서 하청 소속 근로자 재해자가 좌측 외줄비계 4단에서 분진망 해체작업 중, 몸의 중심을 잃고 약 4.8m 아래 바닥으로 떨어져 사망"/>
    <s v="지붕 트러스구조물에 설치된 추락방호망 해체작업 중 고정로프 파단에 의해 개구부로 추락"/>
    <s v="▶ 추락 위험이 있는 작업 시, 안전대 부착설비, 추락방호망 등 안전방호조치 실시_x000a_▶ 작업 전 클램프 체결상태 안전점검 실시_x000a_▶ 작업 전 안전보호구(안전대) 지급 및 체결상태 관리"/>
  </r>
  <r>
    <n v="12"/>
    <x v="1"/>
    <x v="3"/>
    <x v="104"/>
    <s v="YES"/>
    <x v="12"/>
    <x v="41"/>
    <s v="12대 기인물"/>
    <n v="4"/>
    <n v="6.9000000000000006E-2"/>
    <s v="2018년 7월경"/>
    <d v="2018-07-01T00:00:00"/>
    <n v="7"/>
    <s v="혹서기"/>
    <x v="2"/>
    <s v="2018년 7월경 OO건설 교량 이설공사 현장에서 재해자가 교량 슬래브 하부 방호선반 해체작업을 하다가 발판을 지지하는 브라켓이 꺽이면서 발판과 함께 약 20m 아래의 바닥으로 추락"/>
    <s v="현장 구획을 위한 가림막 설치용 가설구조물의 중간 수평부재(강관파이프)위에서 가림막 설치작업 후 이동 중 몸의 균형을 잃고 지면으로 추락"/>
    <s v="▶ 추락 위험이 있는 장소에서 작업 시, 작업발판을 설치 후 작업 진행_x000a_▶ 개인보호구 지급 및 착용 관리 철저_x000a_▶ 작업에 적합한 안전통로 설치 "/>
  </r>
  <r>
    <n v="12"/>
    <x v="1"/>
    <x v="5"/>
    <x v="6"/>
    <s v="YES"/>
    <x v="12"/>
    <x v="41"/>
    <s v="12대 기인물"/>
    <n v="4"/>
    <n v="6.9000000000000006E-2"/>
    <s v="2017년 9월경"/>
    <d v="2017-09-01T00:00:00"/>
    <n v="9"/>
    <s v="-"/>
    <x v="2"/>
    <s v="2017년 9월경 OO다가구주택 신축공사 현장에서 재해자가 청소를 위해 계단으로 이동중 계단참 단부에서 실족 외부비계와 건물 사이 이격공간으로 추락하여 사망"/>
    <s v="계단실 창호를 통해 외부비계에서 내부 계단으로 이동하다 실족하여 외부비계와 건물사이 이격공간으로 추락"/>
    <s v="▶ 비계와 구조물간의 이격공간에 추락방망 설치"/>
  </r>
  <r>
    <n v="12"/>
    <x v="1"/>
    <x v="5"/>
    <x v="6"/>
    <s v="YES"/>
    <x v="12"/>
    <x v="41"/>
    <s v="12대 기인물"/>
    <n v="4"/>
    <n v="6.9000000000000006E-2"/>
    <s v="2018년 2월경"/>
    <d v="2018-02-01T00:00:00"/>
    <n v="2"/>
    <s v="혹한기"/>
    <x v="2"/>
    <s v="2018년 2월경 OO건설(주) OO증축공사 현장에서 재해자가 학교 건물 5층 외부비계 작업발판 위를 이동하던 중 고정되지 않은 작업발판이 탈락되면서   몸의 중심을 잃고 지상 1층 바닥으로 떨어져(H≒17m) 사망"/>
    <s v="외부비계 작업발판 위 이동하던 중 고정되지 않은 작업발판이 탈락되면서 바닥으로 추락"/>
    <s v="▶ 작업발판 설치시 2지점 이상 고정 철저"/>
  </r>
  <r>
    <n v="12"/>
    <x v="1"/>
    <x v="5"/>
    <x v="6"/>
    <s v="YES"/>
    <x v="12"/>
    <x v="41"/>
    <s v="12대 기인물"/>
    <n v="4"/>
    <n v="6.9000000000000006E-2"/>
    <s v="2021년 6월경"/>
    <d v="2021-06-01T00:00:00"/>
    <n v="6"/>
    <s v="혹서기"/>
    <x v="2"/>
    <s v="2021년 6월경 OO신축공사 현장에서 재해자가 상가주택 외부 작업용 강관비계의 작업발판 (1단, 1.8m)에서 건물 전면 버스승강장 상부 물청소 중 작업발판(1단) 내측 끝부분에서 1.8M 아래 건물 상가 안쪽 바닥으로 떨어져 사망"/>
    <s v="안전난간이 미설치된 외부비계에서 바깥으로 몸을 내밀어 작업하다 바닥으로 떨어짐"/>
    <s v="▶ 안전난간 설치 철저, 작업을 위해 안전난간을 해체하는 경우 안전대 체결 철저_x000a_▶ 작업자의 개인보호구, 안전대 체결여부 점검 및 관리감독"/>
  </r>
  <r>
    <n v="2"/>
    <x v="2"/>
    <x v="6"/>
    <x v="7"/>
    <s v="YES"/>
    <x v="12"/>
    <x v="41"/>
    <s v="12대 기인물"/>
    <n v="4"/>
    <n v="6.9000000000000006E-2"/>
    <s v="2017년 7월경"/>
    <d v="2017-07-01T00:00:00"/>
    <n v="7"/>
    <s v="혹서기"/>
    <x v="2"/>
    <s v="2017년 7월경 OO건설(주) 공동주택 신축공사 현장에서 재해자가 동 배면 4층 외부 거푸집 설치상태를 점검하면서 이동하던 중, 외부 쌍줄비계 단부에 설치되어 있는 작업발판을 밟는 순간, 작업발판 반대편이 들리면서 재해자가 지면으로 떨어져(H≒10m) 사망"/>
    <s v="고정이 불량한 외부비계 작업발판의 들림으로 근로자 추락"/>
    <s v="▶ 외부비계 등 2m 이상의 추락위험장소에 설치되는 작업발판에 대해  둘 이상의 지지물에 고정 및 양단 걸림고리 체결 확인_x000a_▶ 외부비계 위에서 이동·작업 시 추락방지조치 실시"/>
  </r>
  <r>
    <n v="2"/>
    <x v="2"/>
    <x v="6"/>
    <x v="7"/>
    <s v="YES"/>
    <x v="12"/>
    <x v="41"/>
    <s v="12대 기인물"/>
    <n v="4"/>
    <n v="6.9000000000000006E-2"/>
    <s v="2017년 11월"/>
    <d v="2017-11-01T00:00:00"/>
    <n v="11"/>
    <s v="-"/>
    <x v="2"/>
    <s v="2017년 11월경 OO건설㈜이 시공하는 OOO토건공사현장 내 공조기실에서, 협력업체 소속 재해자가 거푸집동바리(System Supprt)에 설치된 작업발판(800×400mm)에서 콘크리트 타설 시 보(Beam) 터짐 방지작업에 필요한 철선을 가져오기 위해 시스템동바리 부재 등을 밟고 바닥(H≒5.6m)으로 내려가던 중, 몸의 균형을 잃고 공조기실 콘크리트 바닥으로 떨어져 사망"/>
    <s v="근로자 이동통로 설치 불량에 따른 작업발판에서 콘크리트 타설 시 보 거푸집 터짐 방지작업에 필요한 철선을 가져 오기 위해 시스템동바리 부재를 밟고 바닥으로 내려가던 중, 근로자가 몸의 중심을 잃고 추락"/>
    <s v="▶ 거푸집동바리 등의 가설재 내부에서 이동가능한 승·하강설비 설치_x000a_▶ 고소작업 장소에서 이동 및 작업 중 추락방지를 위해  추락방지망 설치_x000a_▶ 2m 이상의 추락위험이 있는 장소에서 작업 시 안전대 부착설비 설치 및 안전대 착용"/>
  </r>
  <r>
    <n v="2"/>
    <x v="2"/>
    <x v="6"/>
    <x v="7"/>
    <s v="YES"/>
    <x v="12"/>
    <x v="41"/>
    <s v="12대 기인물"/>
    <n v="4"/>
    <n v="6.9000000000000006E-2"/>
    <s v="2018년 7월경"/>
    <d v="2018-07-01T00:00:00"/>
    <n v="7"/>
    <s v="혹서기"/>
    <x v="2"/>
    <s v="2018년 7월경 OO다가구 신축공사 현장에서 재해자가 외부비계 3단 작업발판 위에서 상하부 근로자간에 형틀자재(강관파이프, 합판류)를 인상하려고 준비하던 중 몸의 중심을 잃고 외부비계 바깥쪽 약 5.4m아래 지면으로 추락하여 사망"/>
    <s v="개구부, 작업발판 단부 등 추락방지조치 미실시한 상태에서 상부층으로 거푸집 자재를 옮기기 위해 외부 비계에서 근로자가 받아치기 방법으로 작업 중 거푸집 편심 또는 실족으로 몸의 중심을 잃고 슬래브 단부와 비계 사이 개구부로 추락"/>
    <s v="▶ 거푸집 자재 양중 시 자재에 따라 알맞은 결속과 도르래 및 양중장비를 사용하여 작업_x000a_▶ 추락위험이 있는 장소에서 작업 시 단부에 안전난간 설치 등 추락방호조치 실시"/>
  </r>
  <r>
    <n v="2"/>
    <x v="2"/>
    <x v="6"/>
    <x v="7"/>
    <s v="YES"/>
    <x v="12"/>
    <x v="41"/>
    <s v="12대 기인물"/>
    <n v="4"/>
    <n v="6.9000000000000006E-2"/>
    <s v="2018년 9월경"/>
    <d v="2018-09-01T00:00:00"/>
    <n v="9"/>
    <s v="-"/>
    <x v="2"/>
    <s v="2018년 9월경 OO건설(주) OO공장 신축공사 현장에서 골조공사 협력업체 (주)OO산업 소속 재해자가 동료작업자 2명과 함께 지상 3층에서 지상 4층으로 합판, 나무각재 등 거푸집 자재를 옮기기 위해 외부 강관비계에서 작업자 3명이 받아치기 방법으로 자재를 순차적으로 올리던 작업을 진행하던 중, 재해자가 지상 4층 슬래브 단부와 강관비계 띠장 사이 개구부(폭=60cm)에서 지상 3층 슬래브로 추락(H=5.7m)하여 사망"/>
    <s v="개구부, 작업발판 단부 등 추락방지조치 미실시한 상태에서 상부층으로 거푸집 자재를 옮기기 위해 외부 비계에서 근로자가 받아치기 방법으로 작업 중 거푸집 편심 또는 실족으로 몸의 중심을 잃고 슬래브 단부와 비계 사이 개구부로 추락"/>
    <s v="▶ 거푸집 자재 양중 시 자재에 따라 알맞은 결속과 도르래 및 양중장비를 사용하여 작업_x000a_▶ 추락위험이 있는 장소에서 작업 시 단부에 안전난간 설치 등 추락방호조치 실시"/>
  </r>
  <r>
    <n v="2"/>
    <x v="2"/>
    <x v="6"/>
    <x v="7"/>
    <s v="YES"/>
    <x v="12"/>
    <x v="41"/>
    <s v="12대 기인물"/>
    <n v="4"/>
    <n v="6.9000000000000006E-2"/>
    <s v="2019년 1월경"/>
    <d v="2019-01-01T00:00:00"/>
    <n v="1"/>
    <s v="혹한기"/>
    <x v="2"/>
    <s v="2019년 1월경 ㈜OO 신축 현장에서 재해자가 의약품동 내부 시스템비계 6단에서 상부에 해체된 거푸집(유로폼) 정리작업 완료 후 시스템비계 외부를 통하여 지상으로 내려오던 중, 몸의 중심을 잃고 지상1층 바닥(H≒8m)으로 떨여져 사망"/>
    <s v="승강통로가 미설치된 상태에서 외부비계 바깥으로 이동 중 실족하여 추락"/>
    <s v="▶ 비계 상하단 작업발판 사이에는 사다리, 계단 등의 승하강 통로 설치_x000a_▶ 추락 위험이 있는 작업발판, 통로 끝 및 개구부에는 안전난간 또는 덮개 등 설치_x000a_▶ 개구부 덮개 설치 시 개구부임을 표기하여 추락 위험 방지"/>
  </r>
  <r>
    <n v="2"/>
    <x v="2"/>
    <x v="6"/>
    <x v="33"/>
    <s v="YES"/>
    <x v="12"/>
    <x v="41"/>
    <s v="12대 기인물"/>
    <n v="4"/>
    <n v="6.9000000000000006E-2"/>
    <s v="2016년 6월경"/>
    <d v="2016-06-01T00:00:00"/>
    <n v="6"/>
    <s v="혹서기"/>
    <x v="2"/>
    <s v="2016년 6월경 OO개발(주)이 시공하는 OO단독주택신축공사 현장에서 OO개발(주) 소속 재해자가 외부 쌍줄비계 최상단(3단) 작업발판에서 3층 벽체 외부 거푸집 조립(또는 이동) 중 작업발판 외측 단부로 떨어져(H=5.0m) 사망"/>
    <s v="떨어짐 방지조치 미실시한 상태에서 지상층 외부 강관쌍줄비계 작업발판 상부에서 외벽 벽체거푸집 핀 고정 작업 후 외부 비계상부 작업발판 이동 중 실족하여 중심을 잃고 콘크리트 벽체와 강관쌍줄비계 사이 개구부로 근로자 추락"/>
    <s v="▶ 비계와 구조물 사이 추락위험이 있는 구간에는 추락방호망 설치_x000a_▶ 추락 위험이 있는 작업 시 안전난간 설치 또는 안전대 부착설비 등 안전방호조치 실시"/>
  </r>
  <r>
    <n v="2"/>
    <x v="2"/>
    <x v="6"/>
    <x v="33"/>
    <s v="YES"/>
    <x v="12"/>
    <x v="41"/>
    <s v="12대 기인물"/>
    <n v="4"/>
    <n v="6.9000000000000006E-2"/>
    <s v="2016년 08월"/>
    <d v="2016-08-01T00:00:00"/>
    <n v="8"/>
    <s v="혹서기"/>
    <x v="2"/>
    <s v="2016년 08월경 (주)OO건설 근린생활시설 신축공사현장에서 재해자가 지상 5층 외부 강관쌍줄비계 작업발판 상부에서 옥탑층 외부 벽체거푸집에 폼타이핀과 웨지핀 고정 작업을 하다가 이동(외부 비계상부 작업발판 11단→12단 상부) 중 발을 헛 딛어 콘크리트벽체와 강관쌍줄비계 사이(0.5m) 개구부로 떨어져(높이:약 27m) 사망"/>
    <s v="떨어짐 방지조치 미실시한 상태에서 지상층 외부 강관쌍줄비계 작업발판 상부에서 외벽 벽체거푸집 핀 고정 작업 후 외부 비계상부 작업발판 이동 중 실족하여 중심을 잃고 콘크리트 벽체와 강관쌍줄비계 사이 개구부로 근로자 추락"/>
    <s v="▶ 비계와 구조물 사이 추락위험이 있는 구간에는 추락방호망 설치_x000a_▶ 추락 위험이 있는 작업 시 안전난간 설치 또는 안전대 부착설비 등 안전방호조치 실시"/>
  </r>
  <r>
    <n v="2"/>
    <x v="2"/>
    <x v="6"/>
    <x v="33"/>
    <s v="YES"/>
    <x v="12"/>
    <x v="41"/>
    <s v="12대 기인물"/>
    <n v="4"/>
    <n v="6.9000000000000006E-2"/>
    <s v="2016년 10월"/>
    <d v="2016-10-01T00:00:00"/>
    <n v="10"/>
    <s v="-"/>
    <x v="2"/>
    <s v="2016년 10월경 근생 및 다가구주택 신축공사 현장에서 재해자가 외부 쌍줄비계 작업발판(5단) 위에서 지상 3층 벽체 거푸집 조립작업을 실시하던 중 작업발판이 탈락되면서 약 9m 아래로 떨어져 사망"/>
    <s v="작업발판 미고정한 상태에서 외부 쌍줄비계 작업발판 위에서 지상층 벽체 거푸집 조립작업 중 작업발판의 탈락으로 근로자 추락"/>
    <s v="▶ 비계에 설치된 작업발판은 뒤집히거나 떨어지지 않도록 둘 이상의 지지물에 고정(직교 클램프 등)_x000a_▶ 추락위험이 있는 구간에는 추락방호망, 안전난간 설치 또는 및 안전대 착용후 작업"/>
  </r>
  <r>
    <n v="2"/>
    <x v="2"/>
    <x v="6"/>
    <x v="33"/>
    <s v="YES"/>
    <x v="12"/>
    <x v="41"/>
    <s v="12대 기인물"/>
    <n v="4"/>
    <n v="6.9000000000000006E-2"/>
    <s v="2019년 6월경"/>
    <d v="2019-06-01T00:00:00"/>
    <n v="6"/>
    <s v="혹서기"/>
    <x v="2"/>
    <s v="2019년 6월경 OO아파트 외부도장공사 현장에서 재해자가 균열보수작업을 위해 달비계 작업대에 탑승하여 작업을 준비하던 중, 달비계의 작업용 로프가 고정용 앵커에서 이탈하면서 달비계와 함께 약 37m 아래 지상 바닥으로 떨어져 사망"/>
    <s v="달비계 작업 시 수직구명줄 미설치한 상태에서 균열보수작업을 위해 달비계 작업대에 탑승하여 작업 준비 중 달비계의 작업용 로프가 고정용 앵커에서 이탈하면서 달비계와 함께 근로자 추락"/>
    <s v="▶ 달비계 작업 시 로프고정용 고리의 이탈방지조치 및 앵커 설치_x000a_▶ 달비계 작업 시 수직구명줄 설치 및 추락방지대를 수직구명줄에 체결"/>
  </r>
  <r>
    <n v="2"/>
    <x v="2"/>
    <x v="6"/>
    <x v="33"/>
    <s v="YES"/>
    <x v="12"/>
    <x v="41"/>
    <s v="12대 기인물"/>
    <n v="4"/>
    <n v="6.9000000000000006E-2"/>
    <s v="2019년 7월경"/>
    <d v="2019-07-01T00:00:00"/>
    <n v="7"/>
    <s v="혹서기"/>
    <x v="2"/>
    <s v="2019년 7월경 (주)OOOO에서 시공하는 OO아파트 신축공사현장에서 협력업체 소속 재해자가 시스템비계 작업발판 위에서 거푸집 조립작업을 하던 중 시스템비계 작업발판단부 안전난간대가 이탈하면서 약5m아래 지상 콘크리트 바닥으로 떨어져 사망"/>
    <s v="시스템비계 작업발판 단부 가설안전난간대 설치불량한 상태에서 시스템비계 작업발판 위에서 거푸집 조립작업 중 시스템비계 작업발판단부 안전난간대의 이탈로 근로자 추락"/>
    <s v="▶ 시스템비계 작업발판 단부 등 추락위험이 있는 장소에서 작업 시 안전난간대을 견고히 설치_x000a_▶ 안전난간의 설치가 곤란할 경우 안전대 부착설비 및 안전대 착용"/>
  </r>
  <r>
    <n v="2"/>
    <x v="2"/>
    <x v="6"/>
    <x v="33"/>
    <s v="YES"/>
    <x v="12"/>
    <x v="43"/>
    <s v="12대 기인물"/>
    <n v="4"/>
    <n v="6.9000000000000006E-2"/>
    <s v="2020년 1월경"/>
    <d v="2020-01-01T00:00:00"/>
    <n v="1"/>
    <s v="혹한기"/>
    <x v="2"/>
    <s v="2020년 1월경 OOOO(주)가 시공 중인 OO신축공사 현장에서 협력업체 소속 재해자가 OO동 지상5층 슬라브에서 타워크레인으로 인양된 테이블서포트(거푸집동바리)의 슬링벨트 해제를 위해 지상5층 슬라브 외곽부에 설치된 케이지(작업발판)에 올라 테이블서포트 쪽으로 이동 중 슬라브에서 케이지가 탈락되며 케이지와 함께 지상1층 바닥으로(H≒21m)로 떨어져 사망"/>
    <s v="중량물 취급작업 계획서 미작성 및 작업지휘자 미지정한 상태에서 지상층 슬라브에서 타워크레인으로 인양된 거푸집동바리의 슬링벨트 해제를 위해 같은층 슬라브 외각부에 설치된 작업발판에 올라 이동 중 작업발판 탈락에 의한 근로자 추락"/>
    <s v="▶ 작업발판 설치시 탈락방지를 위해 견고히 설치 및 설치 상태 관리감독자 확인_x000a_▶ 중량물 취급시 작업계획서를 사전에 작성하고 관리감독자를 배치하여 작업계획서에 맞게 작업행"/>
  </r>
  <r>
    <n v="2"/>
    <x v="2"/>
    <x v="6"/>
    <x v="33"/>
    <s v="YES"/>
    <x v="12"/>
    <x v="41"/>
    <s v="12대 기인물"/>
    <n v="4"/>
    <n v="6.9000000000000006E-2"/>
    <s v="2021년 2월경"/>
    <d v="2021-02-01T00:00:00"/>
    <n v="2"/>
    <s v="혹한기"/>
    <x v="2"/>
    <s v="2021년 2월경 OO건설(주) OO신축공사현장 8층에서 하청업체 소속 재해자(형틀공)가 시스템동바리 멍에재 이어받기 작업 위치로 이동하기 위해 램프 바닥에서 비계 외측으로 이동하여 작업발판이 있는 내측으로 진입하는 과정에 몸의 중심을 잃고 2층 바닥(높이≒ 23.4미터)으로 추락하여 사망"/>
    <s v="떨어짐 방지조치 미실시한 상태에서 지상층 외부 강관쌍줄비계 작업발판 상부에서 외벽 벽체거푸집 핀 고정 작업 후 외부 비계상부 작업발판 이동 중 실족하여 중심을 잃고 콘크리트 벽체와 강관쌍줄비계 사이 개구부로 근로자 추락"/>
    <s v="▶ 비계와 구조물 사이 추락위험이 있는 구간에는 추락방호망 설치_x000a_▶ 추락 위험이 있는 작업 시 안전난간 설치 또는 안전대 부착설비 등 안전방호조치 실시"/>
  </r>
  <r>
    <n v="2"/>
    <x v="2"/>
    <x v="6"/>
    <x v="33"/>
    <s v="YES"/>
    <x v="12"/>
    <x v="41"/>
    <s v="12대 기인물"/>
    <n v="4"/>
    <n v="6.9000000000000006E-2"/>
    <s v="2021년 5월경"/>
    <d v="2021-05-01T00:00:00"/>
    <n v="5"/>
    <s v="-"/>
    <x v="2"/>
    <s v="2021년 5월경 OO신축공사 현장 3층 정면 외부 시스템비계 작업발판에서 1층 바닥(H=7.7m)으로 떨어져 사망"/>
    <s v="떨어짐 방지조치 미실시한 상태에서 지상층 외부 강관쌍줄비계 작업발판 상부에서 외벽 벽체거푸집 핀 고정 작업 후 외부 비계상부 작업발판 이동 중 실족하여 중심을 잃고 콘크리트 벽체와 강관쌍줄비계 사이 개구부로 근로자 추락"/>
    <s v="▶ 비계와 구조물 사이 추락위험이 있는 구간에는 추락방호망 설치_x000a_▶ 추락 위험이 있는 작업 시 안전난간 설치 또는 안전대 부착설비 등 안전방호조치 실시"/>
  </r>
  <r>
    <n v="2"/>
    <x v="2"/>
    <x v="6"/>
    <x v="33"/>
    <s v="YES"/>
    <x v="12"/>
    <x v="41"/>
    <s v="12대 기인물"/>
    <n v="4"/>
    <n v="6.9000000000000006E-2"/>
    <s v="2021년 5월경"/>
    <d v="2021-05-01T00:00:00"/>
    <n v="5"/>
    <s v="-"/>
    <x v="2"/>
    <s v="2021년 5월경 OO건설(주) OO근린생활시설 신축공사 현장에서 재해자가 구조물 지상 3층 외벽 거푸집 조립을 위해 외부비계상에서 작업중 작업발판상에서 실족하여 높이 11.3m 지상 바닥 아래로 추락하여 사망"/>
    <s v="떨어짐 방지조치 미실시한 상태에서 지상층 외부 강관쌍줄비계 작업발판 상부에서 외벽 벽체거푸집 핀 고정 작업 후 외부 비계상부 작업발판 이동 중 실족하여 중심을 잃고 콘크리트 벽체와 강관쌍줄비계 사이 개구부로 근로자 추락"/>
    <s v="▶ 비계와 구조물 사이 추락위험이 있는 구간에는 추락방호망 설치_x000a_▶ 추락 위험이 있는 작업 시 안전난간 설치 또는 안전대 부착설비 등 안전방호조치 실시"/>
  </r>
  <r>
    <n v="2"/>
    <x v="2"/>
    <x v="6"/>
    <x v="8"/>
    <s v="YES"/>
    <x v="12"/>
    <x v="41"/>
    <s v="12대 기인물"/>
    <n v="4"/>
    <n v="6.9000000000000006E-2"/>
    <s v="2016년 9월경"/>
    <d v="2016-09-01T00:00:00"/>
    <n v="9"/>
    <s v="-"/>
    <x v="2"/>
    <s v="2016년 9월경 OO건설(주) OO신축공사 현장에서 협력업체 소속의 재해자가 외부비계 위 작업발판에서 지상 3층 외벽 거푸집을 해체하던 중, 건물 외벽과 비계 사이의 개구부(길이1,700㎜ x 폭800㎜)를 통해 약 5.4m 아래의 지상 1층 콘크리트 바닥으로 추락하여 사망"/>
    <s v="추락방지조치 미실시한 상태에서 외부비계 위 작업발판에서 지상층 외벽 거푸집 해체작업 중 건물 외벽과 비계 사이 개구부로 근로자 추락"/>
    <s v="▶ 비계와 구조물 사이 추락위험이 있는 구간에는 추락방호망 설치_x000a_▶ 추락 위험이 있는 작업 시 안전난간 설치 또는 안전대 부착설비 등 안전방호조치 실시"/>
  </r>
  <r>
    <n v="2"/>
    <x v="2"/>
    <x v="6"/>
    <x v="8"/>
    <s v="YES"/>
    <x v="12"/>
    <x v="41"/>
    <s v="12대 기인물"/>
    <n v="4"/>
    <n v="6.9000000000000006E-2"/>
    <s v="2016년 9월경"/>
    <d v="2016-09-01T00:00:00"/>
    <n v="9"/>
    <s v="-"/>
    <x v="2"/>
    <s v="2016년 9월경 OO근생 및 다가구 주택 신축공사 현장에서 재해자가 지상 4층 높이에 설치된 외부 강관비계 작업발판 위에서 거푸집 해체 작업 중 바닥(H≒9.6)으로 떨어져 사망"/>
    <s v="추락방지조치 미실시한 상태에서 외부비계 위 작업발판에서 지상층 외벽 거푸집 해체작업 중 건물 외벽과 비계 사이 개구부로 근로자 추락"/>
    <s v="▶ 비계와 구조물 사이 추락위험이 있는 구간에는 추락방호망 설치_x000a_▶ 추락 위험이 있는 작업 시 안전난간 설치 또는 안전대 부착설비 등 안전방호조치 실시"/>
  </r>
  <r>
    <n v="2"/>
    <x v="2"/>
    <x v="6"/>
    <x v="8"/>
    <s v="YES"/>
    <x v="12"/>
    <x v="41"/>
    <s v="12대 기인물"/>
    <n v="4"/>
    <n v="6.9000000000000006E-2"/>
    <s v="2016년 12월"/>
    <d v="2016-12-01T00:00:00"/>
    <n v="12"/>
    <s v="혹한기"/>
    <x v="2"/>
    <s v="2016년 12월경 OO산업(주) OO신축사업 현장에서 협력업체 소속 재해자가 아파트 정문의 비계 위에서 동바리 자재 정리 작업을 하던 중, 안전난간이 해체된 작업발판에서 약 6m 아래 지상 바닥으로 떨어져 사망"/>
    <s v="안전난간이 해체된 비계 작업발판 상부에서 동바리 자재 정리작업 중 근로자 추락"/>
    <s v="▶ 작업발판 단부로 근로자 추락 위험이 있는 장소에 대해 안전난간대 설치 _x000a_▶ 안전난간대 설치가 곤란할 경우 작업면으로부터 설치지점까지의 수직거리는 10m 이내에 추락방지망 설치"/>
  </r>
  <r>
    <n v="2"/>
    <x v="2"/>
    <x v="6"/>
    <x v="8"/>
    <s v="YES"/>
    <x v="12"/>
    <x v="41"/>
    <s v="12대 기인물"/>
    <n v="4"/>
    <n v="6.9000000000000006E-2"/>
    <s v="2019년 2월경"/>
    <d v="2019-02-01T00:00:00"/>
    <n v="2"/>
    <s v="혹한기"/>
    <x v="2"/>
    <s v="2019년 2월경 OOOO㈜ OO공장 신축공사 현장에서 협력업체 소속 재해자가 외부 강관쌍줄비계 작업발판(2단) 상부에서 건물 벽체 거푸집(유로폼) 해체 작업 중 몸의 중심을 잃고 약 4.7m 아래 콘크리트 바닥으로 떨어져 사망"/>
    <s v="추락방지조치 미실시한 상태에서 외부비계 위 작업발판에서 지상층 외벽 거푸집 해체작업 중 건물 외벽과 비계 사이 개구부로 근로자 추락"/>
    <s v="▶ 비계와 구조물 사이 추락위험이 있는 구간에는 추락방호망 설치_x000a_▶ 추락 위험이 있는 작업 시 안전난간 설치 또는 안전대 부착설비 등 안전방호조치 실시"/>
  </r>
  <r>
    <n v="2"/>
    <x v="2"/>
    <x v="6"/>
    <x v="8"/>
    <s v="YES"/>
    <x v="12"/>
    <x v="41"/>
    <s v="12대 기인물"/>
    <n v="4"/>
    <n v="6.9000000000000006E-2"/>
    <s v="2020년 8월경"/>
    <d v="2020-08-01T00:00:00"/>
    <n v="8"/>
    <s v="혹서기"/>
    <x v="2"/>
    <s v="2020년 8월경 (주)OO이 시공하는 근생시설신축공사 현장에서 재해자가 지상 7층 옥탑 E/V Pit 외벽 거푸집 해체 및 정리작업을 하던 중, 동료작업자의 요청으로 지상1층으로 자재(못)를 가지러 옥탑 E/V Pit 외부의 시스템비계(H≒3.8m)에서 내려가려다 몸의 중심을 잃고 옥탑층 Con‘c 바닥으로 추락하여 사망"/>
    <s v="근로자가 안전하게 통행할 수 통로표시를 하여야 하나 미실시한 상태에서 옥탑 엘리베이터 내부 외벽 거푸집 해체 및 정리작업 중 엘리베이터실 외부의 시스템 비계를 통해 지상층으로 내려가다 중심을 잃고 근로자 추락"/>
    <s v="▶ 통로의 주요 부분에 통로 표시 및 작업장 내 모든 근로자들이 이를 인지하고 사용하도록 지시_x000a_▶ 추락위험이 높은 장소에 가설통로 설치 시 단부에 안전난간 설치_x000a_▶ 단부 및 개구부 등 추락위험이 있는 장소에서 작업 시 안전대 부착설비 설치 및 안전대 착용"/>
  </r>
  <r>
    <n v="2"/>
    <x v="2"/>
    <x v="6"/>
    <x v="9"/>
    <s v="YES"/>
    <x v="12"/>
    <x v="41"/>
    <s v="12대 기인물"/>
    <n v="4"/>
    <n v="6.9000000000000006E-2"/>
    <s v="2016년 8월경"/>
    <d v="2016-08-01T00:00:00"/>
    <n v="8"/>
    <s v="혹서기"/>
    <x v="2"/>
    <s v="2016년 8월경 OO근생신축공사 현장에서 협력업체 소속 재해자(사망자)외 4명은 3층 외벽에 설치된 대형 거푸집을 해체하여 4층에 조립하기 위하여 크레인으로 인양하던 도중 거푸집에 걸어두었던 슬링벨트가 탈락하면서 그 충격으로 건물 3층 높이의 외부 비계에서 작업하던 재해자가 약 15m아래 인근현장으로 추락하여 1명 사망, 1명 부상"/>
    <s v="대형폼 등 중량물 취급 작업계획서 미작성한 상태에서 지상층 외벽에 설치된 대형 거푸집 해체 후 다른층 조립을 위해 인양 중 거푸집에 걸어두었던 슬링벨트 탈락 시의 충격으로 외부 비계에서 작업하던 근로자 추락"/>
    <s v="▶ 대형폼 등 중량물 취급 작업 시 올바른 줄걸이 방법(수직/수평부재를 함께 엮어 매듭을 짓는 방법 등) 실시_x000a_▶ 건물 외부 비계 위와 같은 추락 위험 장소에서 작업 시 작업구간으로부터 가까운 지점에 작업발판 설치_x000a_▶ 작업발판 설치가 곤란한 경우 안전대 부착설비 설치 및 안전대 착용"/>
  </r>
  <r>
    <n v="2"/>
    <x v="2"/>
    <x v="27"/>
    <x v="105"/>
    <s v="YES"/>
    <x v="12"/>
    <x v="41"/>
    <s v="12대 기인물"/>
    <n v="4"/>
    <n v="6.9000000000000006E-2"/>
    <s v="2016년 10월"/>
    <d v="2016-10-01T00:00:00"/>
    <n v="10"/>
    <s v="-"/>
    <x v="2"/>
    <s v="2016년 10월경 OO개발(주) 주상복합빌딩 신축공사 현장에서 재해자가 지상6층 갱폼 모서리 벌어진 구간 철선으로 조이는 작업후 갱폼 수직재(각파이프)를 잡고 내려오는 중 지상으로 약22m 바닥으로 떨어져 사망"/>
    <s v="추락 방지조치 미실시한 상태에서 지상층 외벽 모서리 갱폼 연결부위의 벌어진 틈을 철선으로 조이는 작업 이후 갱폼 수직재(각파이프)를 잡고 내려오는 중 떨어짐"/>
    <s v="▶ 통로의 주요 부분에 통로 표시 및 작업장 내 모든 근로자들이 이를 인지하고 사용하도록 지시_x000a_▶ 추락위험이 높은 장소에 가설통로 설치 시 단부에 안전난간 설치"/>
  </r>
  <r>
    <n v="2"/>
    <x v="2"/>
    <x v="27"/>
    <x v="52"/>
    <s v="YES"/>
    <x v="12"/>
    <x v="43"/>
    <s v="12대 기인물"/>
    <n v="4"/>
    <n v="6.9000000000000006E-2"/>
    <s v="2016년 10월"/>
    <d v="2016-10-01T00:00:00"/>
    <n v="10"/>
    <s v="-"/>
    <x v="2"/>
    <s v="2016년 10월경 OO건설(주)가 시공하는 OO지구 신축공사 현장에서 재해자 3명이 아파트 402동 지상 12층 계단실 갱폼(대형판넬폼) 인양작업을 위해 옥탑층으로 인양된 또 다른 갱폼 작업발판용 케이지로 이동하여 대기하던 중 갱폼이 벽체로부터 이탈되면서 낙하하여 재해자가 갱폼과 함께 지상 1층 외부 바닥으로 떨어져(높이≒35m) 2명 사망, 1명 부상"/>
    <s v="갱폼의 안전조치 미실시한 상태에서 갱폼 인양작업을 위해 이동 중 갱폼 작업발판용 케이지가 벽체로부터 이탈되면서 근로자 추락"/>
    <s v="▶ 갱폼을 인양 직후 최하부 전단볼트 9개소 모두 체결하고, 매입볼트와 전단볼트 연결부가 완전하게 체결될 수 있도록 고정_x000a_▶ 갱폼 조립도는 인양 시 고정볼트 위치, 부재의 이음 방법 등을 명시하여 근로자가 식별 가능하도록 작성 준수_x000a_▶ 갱폼 인양 후 와이어로프는 2개소 이상 지지하여 편심 발생 방지 및 수직도를 유지할 수 있도록 작업 준수"/>
  </r>
  <r>
    <n v="2"/>
    <x v="2"/>
    <x v="27"/>
    <x v="52"/>
    <s v="YES"/>
    <x v="12"/>
    <x v="43"/>
    <s v="12대 기인물"/>
    <n v="4"/>
    <n v="6.9000000000000006E-2"/>
    <s v="2016년 11월"/>
    <d v="2016-11-01T00:00:00"/>
    <n v="11"/>
    <s v="-"/>
    <x v="2"/>
    <s v="2016년 11월경 OO건설(주) OO공동주택 신축공사 현장에서 갱폼설치공사 협력업체 소속의 재해자가 아파트 OO동 갱폼 하부케이지의 작업발판 설치작업 중 미고정된 발판이 탈락되어 낙하하면서 발판과 함께 약 14m아래의 지하3층 콘크리트 바닥으로 추락하여 사망"/>
    <s v="갱폼 하부 케이지 작업발판 설치작업 중 미고정된 발판의 탈락으로 근로자 추락 "/>
    <s v="▶ 갱폼 하부케이지 설치 높이 준수 (지하층 되메우기 선행)_x000a_▶ 케이지 설치 시 별도의 작업발판 설치_x000a_▶ 별도 작업발판 설치 불가 시 철선 등의 사용으로 발판 고정 및 구명줄 또는 안전대를 갱폼에 부착하여 이동ㆍ작업 실시"/>
  </r>
  <r>
    <n v="2"/>
    <x v="2"/>
    <x v="27"/>
    <x v="52"/>
    <s v="YES"/>
    <x v="12"/>
    <x v="43"/>
    <s v="12대 기인물"/>
    <n v="4"/>
    <n v="6.9000000000000006E-2"/>
    <s v="2016년 12월"/>
    <d v="2016-12-01T00:00:00"/>
    <n v="12"/>
    <s v="혹한기"/>
    <x v="2"/>
    <s v="2016년 12월경 OOOO(주) OO블럭 아파트 신축공사 현장에서 협력업체 소속 재해자가 OO동 20층 갱폼의 인양작업을 위하여 갱폼간의 연결핀 제거 후 갱폼 작업발판에서 대기하던 중 갱폼이 외벽으로부터 이탈되어 재해자가 갱폼과 함께 약 56m 아래 지상 바닥으로 떨어져 사망"/>
    <s v="갱폼의 안전조치 미실시한 상태에서 지상층 갱폼 인양작업을 위해 갱폼간의 연결 핀 제거 후 갱폼 작업발판에서 대기 중 갱폼이 외벽으로부터 이탈됨에 따라 근로자 추락"/>
    <s v="▶ 갱폼을 해체·인양 작업 시 갱폼을 인양장비에 매단 후 작업 실시_x000a_▶ 인양장비에 매달기 전 지지 또는 고정철물 우선 해체 금지"/>
  </r>
  <r>
    <n v="2"/>
    <x v="2"/>
    <x v="27"/>
    <x v="52"/>
    <s v="YES"/>
    <x v="12"/>
    <x v="43"/>
    <s v="12대 기인물"/>
    <n v="4"/>
    <n v="6.9000000000000006E-2"/>
    <s v="2017년 6월경"/>
    <d v="2017-06-01T00:00:00"/>
    <n v="6"/>
    <s v="혹서기"/>
    <x v="2"/>
    <s v="2017년 6월경 공동주택 신축공사 현장에서 재해자가 세대에서 갱폼을 통해 3호 세대로 넘어가던 중, 미고정 되어있던 갱폼의 작업발판을 밟자 작업발판이 탈락되면서 바닥으로 떨어져(H≒6.3m) 사망"/>
    <s v="갱폼 하부 케이지 작업발판 설치작업 중 미고정된 발판의 탈락으로 근로자 추락 "/>
    <s v="▶ 갱폼 하부케이지 설치 높이 준수 (지하층 되메우기 선행)_x000a_▶ 케이지 설치 시 별도의 작업발판 설치_x000a_▶ 별도 작업발판 설치 불가 시 철선 등의 사용으로 발판 고정 및 구명줄 또는 안전대를 갱폼에 부착하여 이동ㆍ작업 실시"/>
  </r>
  <r>
    <n v="2"/>
    <x v="2"/>
    <x v="27"/>
    <x v="106"/>
    <s v="YES"/>
    <x v="12"/>
    <x v="43"/>
    <s v="12대 기인물"/>
    <n v="4"/>
    <n v="6.9000000000000006E-2"/>
    <s v="2016년 8월경"/>
    <d v="2016-08-01T00:00:00"/>
    <n v="8"/>
    <s v="혹서기"/>
    <x v="2"/>
    <s v="2016년 8월경 OO건설(주) OO주택재개발 아파트 신축공사 현장에서 협력업체 소속 재해자가 아파트 21층에 설치된  측벽갱폼(10m*3.1m, 무게 약 3톤)을 T/C에 매단 상태에서 최하부 앵커볼트 해체후 발코니 쪽 갱폼 (400*3,100,무게 약 125kg)과 연결된 웨지핀(7개)을 해체하는 순간 발코니 쪽 갱폼과 같이 약67m 지상층 바닥으로 떨어져 사망"/>
    <s v="갱폼의 안전조치 미실시한 상태에서 지상층에 설치된 측벽갱폼을 해체하기 위해 타워크레인에 매단 상태에서 최하부 고정앵커볼트 해체 후 측벽 갱폼에 연결된 발코니 쪽 갱폼의 웨지핀을 해체하는 순간 발코니 쪽 갱폼과 같이 근로자 추락"/>
    <s v="▶ 2개 이상으로 분리된 갱폼을 조립하거나 해체하는 경우 분리된 갱폼 각각의 갱폼을 타워크레인 등 인양장비에 매단 후 연결볼트, 웨지핀 등 고정철물을 해체하도록 함_x000a_▶ 조립ㆍ해체 등의 범위 및 작업절차를 미리 그 작업에 종사하는 근로자에게 주지 시켜야 함"/>
  </r>
  <r>
    <n v="2"/>
    <x v="2"/>
    <x v="27"/>
    <x v="106"/>
    <s v="YES"/>
    <x v="12"/>
    <x v="43"/>
    <s v="12대 기인물"/>
    <n v="4"/>
    <n v="6.9000000000000006E-2"/>
    <s v="2016년 10월"/>
    <d v="2016-10-01T00:00:00"/>
    <n v="10"/>
    <s v="-"/>
    <x v="2"/>
    <s v="2016년 10월경 OO산업(주) OO신축공사 현장에서 협력업체 소속 재해자가 아파트 OO동 28층 외벽에 설치되어 있던 갱폼 작업발판 위에서 갱폼을 해체·상승시키기 위해 연결철물을 해체하던 중 재해자가 서 있던 갱폼이 탈락되어 낙하하면서 갱폼과 함께 약 78미터 아래의 지상 1층 콘크리트 바닥으로 추락, 사망"/>
    <s v="갱폼의 안전조치 미실시한 상태에서 아파트 외벽 갱폼 해체∙상승을 위한 연결철물 해체 중 갱폼 작업발판의 탈락으로 근로자 추락"/>
    <s v="▶ 갱폼의 지지 또는 고정철물의 이상 유무를 항시 점검하고 이상이 발견될 경우 교체 또는 보완 조치_x000a_▶ 갱폼을 인양장비에 매단 후 작업 실시, 인양장비 매달기 전에 지지 또는 고정철물을 미리 해체하지 않도록 준수 _x000a_▶ 앵커의 내력을 고려한 구조검토를 실시하여 추락방지장치를 통해 제어 해야 하는 고정볼트 개수를 결정 후 작업 실시"/>
  </r>
  <r>
    <n v="2"/>
    <x v="2"/>
    <x v="27"/>
    <x v="106"/>
    <s v="YES"/>
    <x v="12"/>
    <x v="43"/>
    <s v="12대 기인물"/>
    <n v="4"/>
    <n v="6.9000000000000006E-2"/>
    <s v="2016년 11월"/>
    <d v="2016-11-01T00:00:00"/>
    <n v="11"/>
    <s v="-"/>
    <x v="2"/>
    <s v="2016년 11월경 (주)OO건설이 시공중인 공동주택 신축공사 현장에서 재해자가 지상 11층 갱폼 2단 작업발판 위에서 타이볼트 해체작업을 마치고 이동 중 타워크레인 고정용 월 브레싱과 간섭되어 일부 절단한 갱폼 작업발판(약 500mm×700mm)이 탈락(용접부위)되면서 발판과 함께 약 25m 아래의 지상2층 바닥으로 떨어져 사망"/>
    <s v="갱폼의 안전조치 미실시한 상태에서 지상층 갱폼 작업발판 위에서 타이볼트 해체작업 후 이동 중 타워크레인 고정용 월 브레싱과의 간선으로 일부 절단한 갱폼 작업발판 탈락에 의해 근로자 추락"/>
    <s v="▶ 타워크레인 월 브레싱에 걸리는 갱폼의 작업발판 일부를 제거하여 개구부가 발생한 경우 갱폼 인상이 끝나는 즉시 덮개 설치 및 개구부 표기_x000a_▶ 추락 위험이 있는 2m 높이 이상의 장소에서 작업 시 작업발판을 둘 이상의 지지물에 고정"/>
  </r>
  <r>
    <n v="2"/>
    <x v="2"/>
    <x v="27"/>
    <x v="106"/>
    <s v="YES"/>
    <x v="12"/>
    <x v="41"/>
    <s v="12대 기인물"/>
    <n v="4"/>
    <n v="6.9000000000000006E-2"/>
    <s v="2017년 1월경"/>
    <d v="2017-01-01T00:00:00"/>
    <n v="1"/>
    <s v="혹한기"/>
    <x v="2"/>
    <s v="2017년 1월경 (주)OO OO재건축정비사업현장에서 협력업체 소속 재해자가 아파트 OO동 4호세대 14층 옥상 전면부 발코니에 설치되어 있던 갱폼(작업발판일체형 거푸집)을 해체하기 위해 타워크레인에 매달기를 하지 않은 채, 갱폼 작업발판에 올라가서 갱폼을 지지하고 있는 하부 고정볼트를 해체하던 중 갱폼과 함께 약 45m 아래 지상바닥으로 떨어져 사망"/>
    <s v="추락 방지조치 미실시한 상태에서 옥상 전면부 발코니에 설치되어 있던 갱폼을 해체하기 위해 갱폼 작업발판에 올라가서 하부 고정볼트를 해체하던 중 갱폼과 함께 근로자 추락"/>
    <s v="▶ 갱폼해체작업 시 전도방지를 위해 갱폼을 타워크레인에 매단 후 실시_x000a_▶ 추락 위험 장소에서의 작업 시 작업발판 설치 및 추락방호망 설치_x000a_▶ 추락방호망 설치가 곤란한 경우 안전대 부착설비 설치 및 안전대 착용"/>
  </r>
  <r>
    <n v="2"/>
    <x v="2"/>
    <x v="27"/>
    <x v="106"/>
    <s v="YES"/>
    <x v="12"/>
    <x v="43"/>
    <s v="12대 기인물"/>
    <n v="4"/>
    <n v="6.9000000000000006E-2"/>
    <s v="2017년 11월"/>
    <d v="2017-11-01T00:00:00"/>
    <n v="11"/>
    <s v="-"/>
    <x v="2"/>
    <s v="2017년 11월경 OOOO(주)이 시공는 OO아파트 현장에서 협력업체 소속 재해자가 OO동 29층의 갱폼을 옥탑층으로 인양하기 위한 해체작업 중, 인접갱폼으로 이동하여 인양하려던 갱폼과의 연결핀을 해체하는 순간, 재해자가 탑승한 갱폼이 탈락하며 낙하하여 약 3m 아래 건설작업용 리프트의 벽지지대에 걸리고 재해자는 약 80m 아래 지상으로 추락하여 사망"/>
    <s v="갱폼의 안전조치 미실시한 상태에서 지상층에 설치된 측벽갱폼을 해체하기 위해 타워크레인에 매단 상태에서 최하부 고정앵커볼트 해체 후 측벽 갱폼에 연결된 발코니 쪽 갱폼의 웨지핀을 해체하는 순간 발코니 쪽 갱폼과 같이 근로자 추락"/>
    <s v="▶ 2개 이상으로 분리된 갱폼을 조립하거나 해체하는 경우 분리된 갱폼 각각의 갱폼을 타워크레인 등 인양장비에 매단 후 연결볼트, 웨지핀 등 고정철물을 해체하도록 함_x000a_▶ 조립ㆍ해체 등의 범위 및 작업절차를 미리 그 작업에 종사하는 근로자에게 주지 시켜야 함"/>
  </r>
  <r>
    <n v="2"/>
    <x v="2"/>
    <x v="7"/>
    <x v="10"/>
    <s v="YES"/>
    <x v="12"/>
    <x v="41"/>
    <s v="12대 기인물"/>
    <n v="4"/>
    <n v="6.9000000000000006E-2"/>
    <s v="2016년 11월"/>
    <d v="2016-11-01T00:00:00"/>
    <n v="11"/>
    <s v="-"/>
    <x v="2"/>
    <s v="2016년 11월경 OO상가 신축 현장에서 재해자가 건물 3층으로 자재(철근) 수직 운반 작업 중 몸의 중심을 잃고 약 8.6m 높이 외부비계 밖으로 떨어져 사망"/>
    <s v="철근 운반중 안전난간이 미 설치된 외부비계에서 중심을 잃고 추락"/>
    <s v="▶ 외부비계 작업발판 등 근로자 추락 위험 장소에 대해 상부, 중간 안전난간대 설치_x000a_▶ 추락위험이 있는 장소에서 작업 시 안전대 부착설비 설치 및 안전대 착용_x000a_▶ 개인보호구 지급 및 착용"/>
  </r>
  <r>
    <n v="2"/>
    <x v="2"/>
    <x v="7"/>
    <x v="10"/>
    <s v="YES"/>
    <x v="12"/>
    <x v="41"/>
    <s v="12대 기인물"/>
    <n v="4"/>
    <n v="6.9000000000000006E-2"/>
    <s v="2021년 5월경"/>
    <d v="2021-05-01T00:00:00"/>
    <n v="5"/>
    <s v="-"/>
    <x v="2"/>
    <s v="2021년 5월경 OO산업(주) OO센터신축공사 현장에서 협력업체 소속 재해자가 시스템비계(높이3.8m)에서 지상1층 바닥으로 추락하여 사망"/>
    <s v="철근 운반중 안전난간이 미 설치된 외부비계에서 중심을 잃고 추락"/>
    <s v="▶ 외부비계 작업발판 등 근로자 추락 위험 장소에 대해 상부, 중간 안전난간대 설치_x000a_▶ 추락위험이 있는 장소에서 작업 시 안전대 부착설비 설치 및 안전대 착용_x000a_▶ 개인보호구 지급 및 착용"/>
  </r>
  <r>
    <n v="2"/>
    <x v="2"/>
    <x v="7"/>
    <x v="34"/>
    <s v="YES"/>
    <x v="12"/>
    <x v="41"/>
    <s v="12대 기인물"/>
    <n v="4"/>
    <n v="6.9000000000000006E-2"/>
    <s v="2016년 4월경"/>
    <d v="2016-04-01T00:00:00"/>
    <n v="4"/>
    <s v="-"/>
    <x v="2"/>
    <s v="2016년 4월경 (주)OO건설 OO신축공사 현장에서 재해자가 지상 6층 외부비계에서 조립 중인 벽체 철근 및 창호 형틀을 밟고 건물 내부로 내려오다 몸의 중심을 잃고 실족하여 6층 콘크리트 바닥으로 떨어져(H≒1.2m) 사망"/>
    <s v="외부비계에서 이동 중 조립 중인 벽체 철근 및 창호 형틀을 밟고 건물 내부로 내려오다 몸의 중심을 잃어 근로자 추락"/>
    <s v="▶ 추락위험이 높은 건물과 외부비계 사이에 경사로, 가설계단, 사다리 등 안전기준에 적합한 구조의 안전통로 설치_x000a_▶ 추락위험이 있는 장소에서 작업 시 안전대 부착설비 설치 및 안전대 착용_x000a_▶ 개인보호구 지급 및 착용"/>
  </r>
  <r>
    <n v="2"/>
    <x v="2"/>
    <x v="7"/>
    <x v="34"/>
    <s v="YES"/>
    <x v="12"/>
    <x v="41"/>
    <s v="12대 기인물"/>
    <n v="4"/>
    <n v="6.9000000000000006E-2"/>
    <s v="2017년 2월경"/>
    <d v="2017-02-01T00:00:00"/>
    <n v="2"/>
    <s v="혹한기"/>
    <x v="2"/>
    <s v="2017년 2월경, 도로 건설공사 현장에서 재해자가 수로암거 중앙부 벽체 철근조립을 위해 불안전한 강관틀비계 2단 발판 상부에 올라가 철근 조립 중, 발판 단부에서 지상 콘크리트 바닥으로 떨어져(H≒3.4m) 사망"/>
    <s v="수로암거 중앙부 벽체 철근조립을 위해 가새재 및 수평재가 설치되지 않은 강관틀비계 발판 상부에 올라가 철근 조립작업 중, 몸의 중심을 잃고 근로자 추락"/>
    <s v="▶ 작업발판 설치 시 폭 40cm 이상, 2개 이상의 지지물에 체결하여 설치_x000a_▶ 발판 상부에 중량물 적재를 수반하는 경우 주틀 간격을 1.8m 이하로 설치_x000a_▶ 비계의 유동 방지를 위해 가새제, 수평재, 벽이음을 누락없이 설치_x000a_▶ 작업발판 단부 등 추락위험 장소에는 안전난간 설치"/>
  </r>
  <r>
    <n v="2"/>
    <x v="2"/>
    <x v="7"/>
    <x v="34"/>
    <s v="YES"/>
    <x v="12"/>
    <x v="41"/>
    <s v="12대 기인물"/>
    <n v="4"/>
    <n v="6.9000000000000006E-2"/>
    <s v="2018년 10월"/>
    <d v="2018-10-01T00:00:00"/>
    <n v="10"/>
    <s v="-"/>
    <x v="2"/>
    <s v="2018년 10월경 OO(주) OO토목건축공사 현장에서 재해자가 외부비계 위에서 철근배근(이음) 작업 중 비계 외측의 상부난간대와 작업발판 사이로 떨어져(H≒5.7m) 사망"/>
    <s v="외부비계 위에서 철근배근 작업 중, 근로자가 몸의 균형을 잃어 비계 외측의 상부난간대와 작업발판 사이로 추락"/>
    <s v="▶ 외부비계 상에서 작업 시 작업구간 전체에 걸쳐 작업발판 및 안전난간을 밀실하고 견고하게 설치 후 작업 실시_x000a_▶ 작업발판 및 안전난간 설치가 곤란한 경우 안전대 걸 수 있는 안전대 부착설비 설치_x000a_▶ 추락할 위험이 있는 장소에서 작업 시 개인보호구 착용 철저"/>
  </r>
  <r>
    <n v="2"/>
    <x v="2"/>
    <x v="7"/>
    <x v="34"/>
    <s v="YES"/>
    <x v="12"/>
    <x v="41"/>
    <s v="12대 기인물"/>
    <n v="4"/>
    <n v="6.9000000000000006E-2"/>
    <s v="2020년 12월"/>
    <d v="2020-12-01T00:00:00"/>
    <n v="12"/>
    <s v="혹한기"/>
    <x v="2"/>
    <s v="2020년 12월 (주)OO건설이 시공 중인 OO시설공사 현장에서 철근콘크리트 공사 협력업체 소속의 재해자가 건물 후면 시스템 비계 3단 작업발판 위에서 벽체 철근 조립 작업을 하던 중, 뒤로 넘어지며 높이 5.3m아래 토사 바닥으로 추락하여 사망"/>
    <s v="안전난간이 설치되지 않은 시스템 비계 작업발판 위에서 벽체 철근 조립 작업을 하던 중, 중심을 잃고 뒤로 넘어지며 바닥으로 근로자 추락"/>
    <s v="▶ 근로자가 작업 또는 이동 중 추락할 위험이 있는 장소에서 작업 시 안전난간 설치하여 추락방지 조치 실시_x000a_▶ 작업발판 및 안전난간 설치가 곤란한 경우 안전대를 걸 수 있는 안전대 부착설비 설치 _x000a_▶ 근로자 개인보호구 착용 철저 및 관리감독자 업무 수행 철저 "/>
  </r>
  <r>
    <n v="2"/>
    <x v="2"/>
    <x v="8"/>
    <x v="11"/>
    <s v="YES"/>
    <x v="12"/>
    <x v="43"/>
    <s v="12대 기인물"/>
    <n v="4"/>
    <n v="6.9000000000000006E-2"/>
    <s v="2017년 10월"/>
    <d v="2017-10-01T00:00:00"/>
    <n v="10"/>
    <s v="-"/>
    <x v="2"/>
    <s v="2017년 10월경 OO건설이 시공하는 OO타워 신축공사 현장에서 재해자가 알루미늄 시트판넬에 묻은 시멘트 페이스트를 닦기 위해 시스템비계에서 물청소를 하던 중 비계 작업발판 2단에서 1단으로 내려오다가 계단에서 미끄러졌거나, 발판 단부에서 떨어져 사망"/>
    <s v="흘러내린 시멘트 페이스트를 닦기 위해 시스템비계에서 물청소를 하던 중 가설계단에서 내려오다가 물기에 미끄러져 근로자 추락 "/>
    <s v="▶ 비계 승강계단의 개방 측면 및 상부 작업발판 미설치 구간 등의 개구부에는 안전난간 설치 및 수직형 추락방망 설치_x000a_▶ 추락위험이 있는 장소에서 작업 시 안전대 부착설비 설치 및 안전대 착용"/>
  </r>
  <r>
    <n v="2"/>
    <x v="2"/>
    <x v="8"/>
    <x v="11"/>
    <s v="YES"/>
    <x v="12"/>
    <x v="41"/>
    <s v="12대 기인물"/>
    <n v="4"/>
    <n v="6.9000000000000006E-2"/>
    <s v="2021년 11월"/>
    <d v="2021-11-01T00:00:00"/>
    <n v="11"/>
    <s v="-"/>
    <x v="2"/>
    <s v="2021년 11월경 근린생활시설 및 업무시설 신축공사 현장에서 재해자(타설공)가 9층 바닥 콘크리트 타설 중 기계식 주차타워 내부 비계에서 타설위치로 이동중(추정) 기계식 주차타워 내부 비계와 벽체사이로 추락하여 사망"/>
    <s v="당일 콘크리트 타설한 슬라브 바닥을 밟지 않고 이동하기 위해 기계식 주차타워 내부 비계를 통해 이동하다가 기계식 주차타워 내부 비계와 벽체사이로 추락"/>
    <s v="▶ 비계 상에서 작업 시 작업구간 전체에 걸쳐 작업발판 및 안전난간(상부, 중간난간대)을 견고하게 설치 후 작업 실시_x000a_▶ 작업발판 및 안전난간 설치가 곤란한 경우 안전대를 걸 수 있는 안전대 부착설비 설치_x000a_▶ 근로자가 추락할 위험이 있는 장소에서 작업 시 개인보호구 착용 철저 및 확인 감독 실시"/>
  </r>
  <r>
    <n v="3"/>
    <x v="3"/>
    <x v="9"/>
    <x v="13"/>
    <s v="YES"/>
    <x v="12"/>
    <x v="43"/>
    <s v="12대 기인물"/>
    <n v="4"/>
    <n v="6.9000000000000006E-2"/>
    <s v="2016년 1월경"/>
    <d v="2016-01-01T00:00:00"/>
    <n v="1"/>
    <s v="혹한기"/>
    <x v="2"/>
    <s v="2016년 1월경 OO건설(주)가 시공하는 OO아파트 현장 102동에서 협력업체 소속 재해자(형틀목공)가 102동 계단실외벽 1번 갱폼을 인양하기 위해 인근 2번 갱폼발판에서 대기하던 중 인양 중인 1번 갱폼이 재해자가 있던 2번 갱폼에 부딪히는 충격에 의해 31m 아래 바닥으로 떨어져 사망"/>
    <s v="계단실 외벽 1번 갱폼을 인양하기 위해 인근 2번 갱폼발판에서 대기 중 인양 중인 1번 갱폼이 2번 갱폼에 부딪히는 충격에 의해 안전대 미착용한 근로자 추락"/>
    <s v="▶ 갱폼 인양작업관련 근로자 출입금지조치_x000a_▶ 작업발판 일체형 거푸집의 경우 인양장비에 매달기 전 지지 또는 고정철물 해체 금지"/>
  </r>
  <r>
    <n v="4"/>
    <x v="4"/>
    <x v="10"/>
    <x v="37"/>
    <s v="YES"/>
    <x v="12"/>
    <x v="41"/>
    <s v="12대 기인물"/>
    <n v="4"/>
    <n v="6.9000000000000006E-2"/>
    <s v="2016년 8월경"/>
    <d v="2016-08-01T00:00:00"/>
    <n v="8"/>
    <s v="혹서기"/>
    <x v="2"/>
    <s v="2016년 8월경 OO신축공사에서 지상 2층 외벽 미장(띠장 2단 위치 : 높이 3.6m~3.8m) 작업 중 자재가 들어있는 통을 지상 바닥으로 내리다가 몸의 중심을 잃고 지상 1층 바닥으로 추락하여(약 3.7m) 사망"/>
    <s v="외부 비계에서 외벽 미장작업 중 승하강 통로가 확보되지 않아 비계 파이프를 밟고 이동하다가 몸의 중심을 잃고 추락"/>
    <s v="▶ 비계 내 승하강을 위한 안전한 구조의 작업통로(승하강통로) 확보_x000a_▶ 작업통로 이외의 장소로 이동하지 않도록 근로자 주지"/>
  </r>
  <r>
    <n v="4"/>
    <x v="4"/>
    <x v="10"/>
    <x v="37"/>
    <s v="YES"/>
    <x v="12"/>
    <x v="42"/>
    <s v="12대 기인물"/>
    <n v="8"/>
    <n v="3.6999999999999998E-2"/>
    <s v="2016년 11월"/>
    <d v="2016-11-01T00:00:00"/>
    <n v="11"/>
    <s v="-"/>
    <x v="2"/>
    <s v="2016년 11월경 OO신축공사에서 옥탑층 북측 외벽 견출작업 후 지상으로 내려오던 중 6층(h≒18m) 높이에서 지상바닥으로 추락하여 사망"/>
    <s v="달비계를 이용해 외벽 견출작업 중 로프길이 부적합(짧음) 및 보조로프 고정상태 불량 등으로 추락"/>
    <s v="▶ 달비계 로프는 콘크리트에 매립된 고리, 건축물의 콘크리트 또는 철재 구조물 등 2개 이상의 견고한 고정점에 풀리지 않도록 결속_x000a_▶ 작업 전 로프 길이(바닥까지) 및 훼손여부, 작업대 파손 등 달비계 도구상태 점검"/>
  </r>
  <r>
    <n v="4"/>
    <x v="4"/>
    <x v="10"/>
    <x v="38"/>
    <s v="YES"/>
    <x v="12"/>
    <x v="41"/>
    <s v="12대 기인물"/>
    <n v="4"/>
    <n v="6.9000000000000006E-2"/>
    <s v="2016년 6월경"/>
    <d v="2016-06-01T00:00:00"/>
    <n v="6"/>
    <s v="혹서기"/>
    <x v="2"/>
    <s v="2016년 6월경 OO리모델링 공사에서 옥상에 설치되어 있는 빗물막이에 쌓인 흙을 제거하기 위하여 시스템 비계를 4단까지 설치하고, 비계의 흔들림을 방지하기 위해, 기존 건물 벽면에 앵커를 고정한 후, 철선으로 앵커와 비계를 연결하기 위해 작업발판 위의 철선을 잡으려고 고개를 숙이던 중, 무게중심을 잃고 바닥으로 추락하여(H≒6.5m) 사망"/>
    <s v="비계의 흔들림을 방지하기 위해 기존 건물 벽면에 앵커를 고정한 후 철선으로 앵커와 비계를 연결하기 위해 작업발판 위의 철선을 잡으려고 고개를 숙이던 중 안전난간 미설치 구간에서 무게중심을 잃고 바닥으로 떨어짐"/>
    <s v="▶ 비계 내·외측에 안전난간 2단으로 견고하게 설치하고 작업여건 상 안전난간을 설치할 수 없는 경우에는 추락방호망 설치_x000a_▶ 안전난간 또는 추락방호망 설치가 곤란한 경우 안전대 부착설비를 설치하고 안전대를 체결 후 작업토록 관리감독"/>
  </r>
  <r>
    <n v="4"/>
    <x v="4"/>
    <x v="10"/>
    <x v="38"/>
    <s v="YES"/>
    <x v="12"/>
    <x v="41"/>
    <s v="12대 기인물"/>
    <n v="4"/>
    <n v="6.9000000000000006E-2"/>
    <s v="2017년 1월경"/>
    <d v="2017-01-01T00:00:00"/>
    <n v="1"/>
    <s v="혹한기"/>
    <x v="2"/>
    <s v="2017년 1월경 OO시설 공사에서 지상4층 외부 쌍줄비계에서 조적작업 준비중 몸의 중심을 잃고 약 10m 아래 건물 외측 1층 바닥으로 추락하여 사망"/>
    <s v="비계 작업발판에서 조적 작업 중 몸의 중심을 잃고 안전난간이 미설치된 작업발판 단부로 추락"/>
    <s v="▶ 비계 내·외측에 안전난간 2단으로 견고하게 설치하고 작업여건 상 안전난간을 설치할 수 없는 경우에는 추락방호망 설치_x000a_▶ 안전난간 또는 추락방호망 설치가 곤란한 경우 안전대 부착설비를 설치하고 안전대를 체결 후 작업토록 관리감독"/>
  </r>
  <r>
    <n v="4"/>
    <x v="4"/>
    <x v="10"/>
    <x v="38"/>
    <s v="YES"/>
    <x v="12"/>
    <x v="41"/>
    <s v="12대 기인물"/>
    <n v="4"/>
    <n v="6.9000000000000006E-2"/>
    <s v="2019년 10월"/>
    <d v="2019-10-01T00:00:00"/>
    <n v="10"/>
    <s v="-"/>
    <x v="2"/>
    <s v="2019년 10월경 OO신축공사에서 외부 마감공사인 치장벽돌 쌓기 작업 중 외부비계 4단 작업발판(지상 3층)에서 각재(8cm x 8cm x 350cm, 벽돌 등 조적자재 받침용)를 비계 외측을 통해 5단 작업발판으로 올리는 작업을 진행하다 중간난간대가 해체된 작업발판 외측 단부에서 몸의 중심을 잃고 약 7.2m 아래 지상바닥으로 추락하여 사망"/>
    <s v="비계 작업발판에서 조적 작업 중 몸의 중심을 잃고 안전난간이 미설치된 작업발판 단부로 추락"/>
    <s v="▶ 비계 내·외측에 안전난간 2단으로 견고하게 설치하고 작업여건 상 안전난간을 설치할 수 없는 경우에는 추락방호망 설치_x000a_▶ 안전난간 또는 추락방호망 설치가 곤란한 경우 안전대 부착설비를 설치하고 안전대를 체결 후 작업토록 관리감독"/>
  </r>
  <r>
    <n v="4"/>
    <x v="4"/>
    <x v="10"/>
    <x v="38"/>
    <s v="YES"/>
    <x v="12"/>
    <x v="41"/>
    <s v="12대 기인물"/>
    <n v="4"/>
    <n v="6.9000000000000006E-2"/>
    <s v="2020년 11월"/>
    <d v="2020-11-01T00:00:00"/>
    <n v="11"/>
    <s v="-"/>
    <x v="2"/>
    <s v="2020년 11월경 OO현대화 공사에서 외벽 마감 작업을 위해 비계 벽이음을 해체하고 조적 작업을 진행하던 중 비계가 전도되면서 재해자 3명이 지상으로 추락하여(H≒3.8m) 부상"/>
    <s v="작업 간섭으로 인해 비계 벽이음을 해체하고 외벽 마감작업을 하던 중 비계가 전도되면서 바닥으로 추락"/>
    <s v="▶ 비계 해체 시 까지 벽이음 임의 해체 금지_x000a_▶ 외벽마감 작업으로 인해 벽이음 해체가 부득이한 경우 비계 외측에 경사지지대(버팀대)를 설치하여 전도방지조치 준수"/>
  </r>
  <r>
    <n v="4"/>
    <x v="4"/>
    <x v="10"/>
    <x v="15"/>
    <s v="YES"/>
    <x v="12"/>
    <x v="41"/>
    <s v="12대 기인물"/>
    <n v="4"/>
    <n v="6.9000000000000006E-2"/>
    <s v="2016년 12월"/>
    <d v="2016-12-01T00:00:00"/>
    <n v="12"/>
    <s v="혹한기"/>
    <x v="2"/>
    <s v="2016년 12월경 OO이설공사에서 4층 탈의실 외벽부위 외부비계 위에서 옥상층 조적턱 하부 면처리 작업을 하던 중 외벽과 비계와의 사이로 공간으로 추락하여(H:약13.0m) 사망"/>
    <s v="추락방호망, 안전대 미설치 상태에서 외부 비계에서 외벽 견출작업을 하던 중 몸의 중심을 잃고 구조물 외벽과 비계 사이의 개구부로 추락"/>
    <s v="▶ 건물외벽과 비계사이의 개구부로 추락할 위험이 있을 경우 하단에 추락방호망을 설치하거나 추가 작업발판을 설치_x000a_▶ 비계 조립 시 외벽 마감재 시공을 고려하여 구조물로부터 적정거리를 이격하여 조립_x000a_▶ 외벽 마감작업을 위해 비계 내측 안전난간을 임의 해체하는 경우 구조물과 비계 작업발판 사이에 추락방지망 설치하고 안전대를 체결한 후 작업토록 관리감독"/>
  </r>
  <r>
    <n v="4"/>
    <x v="4"/>
    <x v="10"/>
    <x v="15"/>
    <s v="YES"/>
    <x v="12"/>
    <x v="41"/>
    <s v="12대 기인물"/>
    <n v="4"/>
    <n v="6.9000000000000006E-2"/>
    <s v="2017년 2월경"/>
    <d v="2017-02-01T00:00:00"/>
    <n v="2"/>
    <s v="혹한기"/>
    <x v="2"/>
    <s v="2017년 2월경 OO신축공사에서 지하2층에 설치된 내부비계 작업발판 위에서 북측 내부벽체 창틀주변 작업을 진행 또는 작업을 위해 이동하던 중, 몸의 중심을 잃고 비계밖 지하 2층 슬래브 바닥(높이 3.8m)으로 추락하여 사망"/>
    <s v="외부 비계에서 외벽 미장작업 중 승하강 통로가 확보되지 않아 비계 파이프를 밟고 이동하다가 몸의 중심을 잃고 추락"/>
    <s v="▶ 비계 내 승하강을 위한 안전한 구조의 작업통로(승하강통로) 확보_x000a_▶ 작업통로 이외의 장소로 이동하지 않도록 근로자 주지"/>
  </r>
  <r>
    <n v="4"/>
    <x v="4"/>
    <x v="10"/>
    <x v="15"/>
    <s v="YES"/>
    <x v="12"/>
    <x v="41"/>
    <s v="12대 기인물"/>
    <n v="4"/>
    <n v="6.9000000000000006E-2"/>
    <s v="2017년 6월경"/>
    <d v="2017-06-01T00:00:00"/>
    <n v="6"/>
    <s v="혹서기"/>
    <x v="2"/>
    <s v="2017년 6월경 OO신축공사에서 외벽 마감작업(드라이비트)을 위해 지붕층 벽면의 거푸집고정용 핀(타이핀)을 제거하는 작업 중 지붕층 치장벽의 보와 외부비계의 안전발판 사이 틈(L≒0.6m)으로 빠져, 5층 치장벽의 보에 추락하여(H≒4.1m) 사망"/>
    <s v="추락방호망, 안전대 미설치 상태에서 외부 비계에서 외벽 견출작업을 하던 중 몸의 중심을 잃고 구조물 외벽과 비계 사이의 개구부로 추락"/>
    <s v="▶ 건물외벽과 비계사이의 개구부로 추락할 위험이 있을 경우 하단에 추락방호망을 설치하거나 추가 작업발판을 설치_x000a_▶ 비계 조립 시 외벽 마감재 시공을 고려하여 구조물로부터 적정거리를 이격하여 조립_x000a_▶ 외벽 마감작업을 위해 비계 내측 안전난간을 임의 해체하는 경우 구조물과 비계 작업발판 사이에 추락방지망 설치하고 안전대를 체결한 후 작업토록 관리감독"/>
  </r>
  <r>
    <n v="4"/>
    <x v="4"/>
    <x v="10"/>
    <x v="15"/>
    <s v="YES"/>
    <x v="12"/>
    <x v="42"/>
    <s v="12대 기인물"/>
    <n v="8"/>
    <n v="3.6999999999999998E-2"/>
    <s v="2018년 3월경"/>
    <d v="2018-03-01T00:00:00"/>
    <n v="3"/>
    <s v="-"/>
    <x v="2"/>
    <s v="2018년 3월경 OO재개발공사에서 외벽의 견출작업을 하기 위하여 옥상 청소고리 등에 주 로프를 묶어서 고정하고 달비계로 내려가던 중 주 로프 및 달비계와 함께 지상으로 추락하여(H=65m) 사망"/>
    <s v="달비계를 이용해 외벽 견출작업 중 고정상태가 불량한 주로프가 풀어지면서 바닥으로 추락"/>
    <s v="▶ 달비계 로프는 콘크리트에 매립된 고리, 건축물의 콘크리트 또는 철재 구조물 등 2개 이상의 견고한 고정점에 풀리지 않도록 결속_x000a_▶ 작업 전 로프 길이(바닥까지) 및 훼손여부, 작업대 파손 등 달비계 도구상태 점검"/>
  </r>
  <r>
    <n v="4"/>
    <x v="4"/>
    <x v="10"/>
    <x v="15"/>
    <s v="YES"/>
    <x v="12"/>
    <x v="41"/>
    <s v="12대 기인물"/>
    <n v="4"/>
    <n v="6.9000000000000006E-2"/>
    <s v="2018년 4월경"/>
    <d v="2018-04-01T00:00:00"/>
    <n v="4"/>
    <s v="-"/>
    <x v="2"/>
    <s v="2018년 4월경 OO신축공사에서  5층 기둥 외측 견출작업을 진행 하던 중 몸의 중심을 잃고 외벽과 외부비계 작업발판 사이로 추락하여(H=17m) 사망"/>
    <s v="추락방호망, 안전대 미설치 상태에서 외부 비계에서 외벽 견출작업을 하던 중 몸의 중심을 잃고 구조물 외벽과 비계 사이의 개구부로 추락"/>
    <s v="▶ 건물외벽과 비계사이의 개구부로 추락할 위험이 있을 경우 하단에 추락방호망을 설치하거나 추가 작업발판을 설치_x000a_▶ 비계 조립 시 외벽 마감재 시공을 고려하여 구조물로부터 적정거리를 이격하여 조립_x000a_▶ 외벽 마감작업을 위해 비계 내측 안전난간을 임의 해체하는 경우 구조물과 비계 작업발판 사이에 추락방지망 설치하고 안전대를 체결한 후 작업토록 관리감독"/>
  </r>
  <r>
    <n v="4"/>
    <x v="4"/>
    <x v="10"/>
    <x v="15"/>
    <s v="YES"/>
    <x v="12"/>
    <x v="41"/>
    <s v="12대 기인물"/>
    <n v="4"/>
    <n v="6.9000000000000006E-2"/>
    <s v="2018년 9월경"/>
    <d v="2018-09-01T00:00:00"/>
    <n v="9"/>
    <s v="-"/>
    <x v="2"/>
    <s v="2018년 9월경 OO공사에서 외부비계에서 건물 외벽 견출 작업을 하던 중 작업발판(높이 약 3.7m)에서 지상1층 바닥으로 추락하여 사망"/>
    <s v="추락방호망, 안전대 미설치 상태에서 외부 비계에서 외벽 견출작업을 하던 중 몸의 중심을 잃고 구조물 외벽과 비계 사이의 개구부로 추락"/>
    <s v="▶ 건물외벽과 비계사이의 개구부로 추락할 위험이 있을 경우 하단에 추락방호망을 설치하거나 추가 작업발판을 설치_x000a_▶ 비계 조립 시 외벽 마감재 시공을 고려하여 구조물로부터 적정거리를 이격하여 조립_x000a_▶ 외벽 마감작업을 위해 비계 내측 안전난간을 임의 해체하는 경우 구조물과 비계 작업발판 사이에 추락방지망 설치하고 안전대를 체결한 후 작업토록 관리감독"/>
  </r>
  <r>
    <n v="4"/>
    <x v="4"/>
    <x v="10"/>
    <x v="15"/>
    <s v="YES"/>
    <x v="12"/>
    <x v="41"/>
    <s v="12대 기인물"/>
    <n v="4"/>
    <n v="6.9000000000000006E-2"/>
    <s v="2018년 11월"/>
    <d v="2018-11-01T00:00:00"/>
    <n v="11"/>
    <s v="-"/>
    <x v="2"/>
    <s v="2018년 11월경 OO보수공사에서 교각에 설치된 강관비계 작업발판에서 면처리 작업 중 난간이 미설치된 작업발판 단부에서 몸의 중심을 잃고 추락하여(H≒10m) 사망"/>
    <s v="비계 작업발판에서 견출 작업 중 몸의 중심을 잃고 안전난간이 미설치된 작업발판 단부로 추락"/>
    <s v="▶ 비계 내·외측에 안전난간 2단으로 견고하게 설치하고 작업여건 상 안전난간을 설치할 수 없는 경우에는 추락방호망 설치_x000a_▶ 안전난간 또는 추락방호망 설치가 곤란한 경우 안전대 부착설비를 설치하고 안전대를 체결 후 작업토록 관리감독"/>
  </r>
  <r>
    <n v="4"/>
    <x v="4"/>
    <x v="10"/>
    <x v="15"/>
    <s v="YES"/>
    <x v="12"/>
    <x v="41"/>
    <s v="12대 기인물"/>
    <n v="4"/>
    <n v="6.9000000000000006E-2"/>
    <s v="2019년 11월"/>
    <d v="2019-11-01T00:00:00"/>
    <n v="11"/>
    <s v="-"/>
    <x v="2"/>
    <s v="2019년 11월경 OO신축공사에서 비계 최상단에서 외벽 메시 미장 작업을 준비하던 중 약 11m 아래 지상 바닥으로 추락하여 사망"/>
    <s v="비계 작업발판에서 견출 작업 중 몸의 중심을 잃고 안전난간이 미설치된 작업발판 단부로 추락"/>
    <s v="▶ 비계 내·외측에 안전난간 2단으로 견고하게 설치하고 작업여건 상 안전난간을 설치할 수 없는 경우에는 추락방호망 설치_x000a_▶ 안전난간 또는 추락방호망 설치가 곤란한 경우 안전대 부착설비를 설치하고 안전대를 체결 후 작업토록 관리감독"/>
  </r>
  <r>
    <n v="4"/>
    <x v="4"/>
    <x v="11"/>
    <x v="16"/>
    <s v="YES"/>
    <x v="12"/>
    <x v="41"/>
    <s v="12대 기인물"/>
    <n v="4"/>
    <n v="6.9000000000000006E-2"/>
    <s v="2016년 11월"/>
    <d v="2016-11-01T00:00:00"/>
    <n v="11"/>
    <s v="-"/>
    <x v="2"/>
    <s v="2016년 11월경 ㈜OO 주거복합 신축공사 현장에서 재해자가 옥상 방수작업을 위해 방수자재를 운반하는 작업을 하던 중 쌍줄비계에 설치된 작업발판 바깥쪽으로 몸의 중심을 잃고 떨어져(약 12.6m) 두부 등 부상을 입고 사망"/>
    <s v="옥상 방수작업을 위해 창호에서 외부 비계 작업발판을 통해 방수자재를 운반하던 중 작업발판과 중간난간대 사이로 근로자가 몸의 중심을 잃고 추락"/>
    <s v="▶ 추락 위험이 있는 외부비계에서 작업 시 안전난간 등 보호조치 설치_x000a_▶ 안전난간 설치가 곤란할 경우 안전방망 설치 또는 안전대 부착설비 설치 및 안전대 착용_x000a_▶ 개인보호구 지급 및 착용"/>
  </r>
  <r>
    <n v="4"/>
    <x v="4"/>
    <x v="11"/>
    <x v="16"/>
    <s v="YES"/>
    <x v="12"/>
    <x v="41"/>
    <s v="12대 기인물"/>
    <n v="4"/>
    <n v="6.9000000000000006E-2"/>
    <s v="2017년 10월"/>
    <d v="2017-10-01T00:00:00"/>
    <n v="10"/>
    <s v="-"/>
    <x v="2"/>
    <s v="2017년 10월경 OO(주) 근생 및 업무시설 신축공사 현장에서 재해자(방수공)가 외부 쌍줄비계에 설치된 작업발판(5단) 위에서 스프레이 건을 사용하여 방수 작업 중 중간난간대가 미설치된 곳을 통해 약 9m 아래 지상 바닥(보도블럭)으로 추락하여 사망"/>
    <s v="외부 쌍줄비계에 설치된 작업발판 위에서 스프레이 건을 사용하여 방수 작업 중 중간난간대가 미설치된 곳을 통해 근로자 추락 "/>
    <s v="▶ 비계 상부 작업발판 측면에 상부, 중간 안전난간대 설치_x000a_▶ 안전모 지급 및 착용 철저 _x000a_▶ 관리감독자 업무수행 철저 "/>
  </r>
  <r>
    <n v="4"/>
    <x v="4"/>
    <x v="11"/>
    <x v="16"/>
    <s v="YES"/>
    <x v="12"/>
    <x v="42"/>
    <s v="12대 기인물"/>
    <n v="8"/>
    <n v="3.6999999999999998E-2"/>
    <s v="2019년 11월"/>
    <d v="2019-11-01T00:00:00"/>
    <n v="11"/>
    <s v="-"/>
    <x v="2"/>
    <s v="2019년 11월경 OO아파트 하자보수 현장에서 재해자(방수공)와 동료작업자가 달비계를 타고 아파트 외벽에서 크랙으로 인한 세대 방수 하자 보수작업을 마치고 내려오던 중 작업용 로프가 짧아 달비계와 함께 지상으로 떨어져(H≒20m) 사망"/>
    <s v="달비계를 타고 아파트 외벽에서 크랙으로 인한 세대 방수 하자 보수작업을 마치고 내려오던 중 작업용 로프가 짧아 달비계와 함께 근로자 추락"/>
    <s v="▶ 달비계 작업 시 로프 길이 등 설치상태 점검_x000a_▶ 안전모, 안전대 및 추락방지대 등 착용 확인"/>
  </r>
  <r>
    <n v="4"/>
    <x v="4"/>
    <x v="11"/>
    <x v="16"/>
    <s v="YES"/>
    <x v="12"/>
    <x v="42"/>
    <s v="12대 기인물"/>
    <n v="8"/>
    <n v="3.6999999999999998E-2"/>
    <s v="2021년 4월경"/>
    <d v="2021-04-01T00:00:00"/>
    <n v="4"/>
    <s v="-"/>
    <x v="2"/>
    <s v="2021년 4월경 ㈜OO가 시공하는 OO아파트 하자보수공사 현장에서 ㈜OO 소속 재해자가 달비계 작업대(일명 젠다이)에 탑승하여 아파트 외부 창호 방수(실리콘 코킹) 작업 중 달비계 작업용 로프의 매듭이 풀려 떨어지면서 동 출입구 캐노피위에 부딪친 후 지상 바닥으로 떨어져(H≒60m) 사망"/>
    <s v="달비계 작업대에 탑승하여 아파트 외부 창호 방수(실리콘 코킹) 작업 중 달비계 작업용 로프의 매듭이 풀려 떨어지면서 동 출입구 캐노피위에 부딪친 후 지상 바닥으로 추락"/>
    <s v="▶달비계 작업시 작업용 주로프와 안전대 체결로프를 각각 다른 청소용 고리등에 줄이 풀리지 않도록 견고히 고정 후 작업_x000a_▶ 달비계를 이용하여 외부 방수작업 시 작업용 주로프를 청소용 고리인 앵커에 견고하게 묶여 있는지 확인_x000a_▶ 달비계 작업 시 추락 위험을 방지하기 위해 달줄이 풀리지 않도록 견고히 고정 후 안전대 걸이시설에 안전대를 걸고 작업"/>
  </r>
  <r>
    <n v="4"/>
    <x v="4"/>
    <x v="38"/>
    <x v="78"/>
    <s v="YES"/>
    <x v="12"/>
    <x v="41"/>
    <s v="12대 기인물"/>
    <n v="4"/>
    <n v="6.9000000000000006E-2"/>
    <s v="2015년 10월"/>
    <d v="2015-10-01T00:00:00"/>
    <n v="10"/>
    <s v="-"/>
    <x v="2"/>
    <s v="2015년 10월경 개인 직영 주택 신축공사 현장에서, 석재 보조공인 재해자가 외부비계 작업발판 위에서 석재판넬을 운반하던 중, 몸의 중심을 잃고 약 4.0m 아래 지상으로 추락하여 사망"/>
    <s v="외부비계에서 석재작업 등 실시 중 몸의 중심을 잃고 안전난간이 설치되지 않은 비계 작업발판 단부로 추락"/>
    <s v="▶ 비계 내·외측에 안전난간 2단으로 견고하게 설치하고 작업여건 상 안전난간을 설치할 수 없는 경우에는 추락방호망 설치_x000a_▶ 안전난간 또는 추락방호망 설치가 곤란한 경우 안전대 부착설비를 설치하고 안전대를 체결 후 작업토록 관리감독"/>
  </r>
  <r>
    <n v="4"/>
    <x v="4"/>
    <x v="38"/>
    <x v="78"/>
    <s v="YES"/>
    <x v="12"/>
    <x v="41"/>
    <s v="12대 기인물"/>
    <n v="4"/>
    <n v="6.9000000000000006E-2"/>
    <s v="2016년 1월경"/>
    <d v="2016-01-01T00:00:00"/>
    <n v="1"/>
    <s v="혹한기"/>
    <x v="0"/>
    <s v="2016년 1월경 OO상가 신축공사 현장에서 직영 근로자인 석공이 현장 배면부 지상에서 외부 마감용 화강석을 지상 4층 외부 쌍줄비계 작업발판으로 인양 작업 중 먼저 인양되어 작업발판 비계 외측기둥에 가로로 기대 놓았던 화강석(90*57.5*3cm, 40kg/장) 2장(80kg)이 균형을 잃고 비계 외측 약 12.6m 아래로 낙하하여 재해자가 맞아 사망"/>
    <s v="외부비계 위에서 석재 인양작업 중 먼저 인양하여 비계기둥에 기대어 세워둔 석재가 비계 외측으로 떨어지면서 맞음"/>
    <s v="▶ 비계에서 낙하물 발생에 의한 위험을 방지하기 위해 낙하물 방지망, 수직 보호망 설치 등 낙하물방호조치 준수_x000a_▶ 비계 작업발판 위에 불가피하게 자재를 적치하는 경우 자재가 낙하하지 않도록 눕혀 적치하는 등 낙하방지조치 실시_x000a_▶ 비계 작업발판 위에서 윈치를 사용하여 석재 및 마감자재를 인양하는 경우 인양물의 불시낙하에 의한 사고를 방지하기 위해 낙하 위험 구간 내 작업자의 출입을 금지_x000a_▶ 비계 조립 시 상부, 중간 난간대 설치 철저"/>
  </r>
  <r>
    <n v="4"/>
    <x v="4"/>
    <x v="38"/>
    <x v="78"/>
    <s v="YES"/>
    <x v="12"/>
    <x v="41"/>
    <s v="12대 기인물"/>
    <n v="4"/>
    <n v="6.9000000000000006E-2"/>
    <s v="2016년 11월"/>
    <d v="2016-11-01T00:00:00"/>
    <n v="11"/>
    <s v="-"/>
    <x v="2"/>
    <s v="2016년 11월경 OO종합건설에서 시공하는 파출소 신축공사 현장에서 협력업체 소속 재해자가 비계 작업발판에서 석재를 받아 올리던 중 몸의 중심을 잃고 실족하여 지상 1층 바닥으로 추락(높이 약 1.98m)하여 사망"/>
    <s v="외부비계에서 석재작업 등 실시 중 몸의 중심을 잃고 안전난간이 설치되지 않은 비계 작업발판 단부로 추락"/>
    <s v="▶ 비계 내·외측에 안전난간 2단으로 견고하게 설치하고 작업여건 상 안전난간을 설치할 수 없는 경우에는 추락방호망 설치_x000a_▶ 안전난간 또는 추락방호망 설치가 곤란한 경우 안전대 부착설비를 설치하고 안전대를 체결 후 작업토록 관리감독"/>
  </r>
  <r>
    <n v="4"/>
    <x v="4"/>
    <x v="38"/>
    <x v="78"/>
    <s v="YES"/>
    <x v="12"/>
    <x v="41"/>
    <s v="12대 기인물"/>
    <n v="4"/>
    <n v="6.9000000000000006E-2"/>
    <s v="2018년 3월경"/>
    <d v="2018-03-01T00:00:00"/>
    <n v="3"/>
    <s v="-"/>
    <x v="2"/>
    <s v="2018년 3월경 도시형 생활주택 신축공사 현장에서 재해자가 102동 건물 지상 5층 외부비계 작업발판(6단) 위에서 작업에 사용하고 남아있던 파벽돌 타일 자재 등을 정리하는 작업 중 몸의 중심을 잃고 약 11.5m 아래 지상바닥으로 추락하여 사망"/>
    <s v="외부비계에서 석재작업 등 실시 중 몸의 중심을 잃고 안전난간이 설치되지 않은 비계 작업발판 단부로 추락"/>
    <s v="▶ 비계 내·외측에 안전난간 2단으로 견고하게 설치하고 작업여건 상 안전난간을 설치할 수 없는 경우에는 추락방호망 설치_x000a_▶ 안전난간 또는 추락방호망 설치가 곤란한 경우 안전대 부착설비를 설치하고 안전대를 체결 후 작업토록 관리감독"/>
  </r>
  <r>
    <n v="4"/>
    <x v="4"/>
    <x v="38"/>
    <x v="91"/>
    <s v="YES"/>
    <x v="12"/>
    <x v="41"/>
    <s v="12대 기인물"/>
    <n v="4"/>
    <n v="6.9000000000000006E-2"/>
    <s v="2016년 3월경"/>
    <d v="2016-03-01T00:00:00"/>
    <n v="3"/>
    <s v="-"/>
    <x v="2"/>
    <s v="2016년 3월경 OO근린생활시설 빌딩 외부 리모델링 공사 현장에서 재해자가 건물 후면의 외부 쌍줄비계위에서 마감 작업 된 돌(대리석) 표면의 먼지를 닦던 중 몸의 중심을 잃고 비계에서 지상 바닥으로 추락하여(H≒2.2m) 사망"/>
    <s v="안전난간 미설치한 건물 후면의 외부 쌍줄비계위에서 마감 작업 된 돌(대리석) 표면의 먼지를 닦던 중 비계에서 지상 바닥으로 떨어짐"/>
    <s v="▶ 비계 내·외측에 안전난간 2단으로 견고하게 설치하고 작업여건 상 안전난간을 설치할 수 없는 경우에는 추락방호망 설치_x000a_▶ 안전난간 또는 추락방호망 설치가 곤란한 경우 안전대 부착설비를 설치하고 안전대를 체결 후 작업토록 관리감독"/>
  </r>
  <r>
    <n v="4"/>
    <x v="4"/>
    <x v="38"/>
    <x v="91"/>
    <s v="YES"/>
    <x v="12"/>
    <x v="41"/>
    <s v="12대 기인물"/>
    <n v="4"/>
    <n v="6.9000000000000006E-2"/>
    <s v="2016년 3월경"/>
    <d v="2016-03-01T00:00:00"/>
    <n v="3"/>
    <s v="-"/>
    <x v="2"/>
    <s v="2016년 3월경 개인이 시공하는 근생 및 다가구 신축공사 현장에서 재해자가 동료작업자 1명과 함께 지상 3층 외부 비계 상 작업발판에서 석공(돌붙임) 작업 중 지상바닥(콘크리트)으로 추락하여(H= 약 9.8m) 사망"/>
    <s v="외부비계에서 돌붙임 작업 중 작업높이가 맞지 않아 작업발판 위에 스티로폼을 놓고 작업하던 중 몸의 중심을 잃고 비계 외측으로 추락"/>
    <s v="▶ 비계 작업발판 위에 가설 작업대의 설치는 원칙적으로 금지하며, 작업높이가 맞지 않아 부득이하게 작업발판을 추가 설치해야 하는 경우에는 흔들림이 발생하지 않는 견고한 부재를 사용하여 비계에 고정 설치하고 발판높이에 맞는 안전난간을 추가 설치하거나 안전대를 체결하고 작업하는 등 안전한 방법으로 개선_x000a_▶ 작업자의 개인보호구, 안전대 체결여부 점검 및 관리감독"/>
  </r>
  <r>
    <n v="4"/>
    <x v="4"/>
    <x v="38"/>
    <x v="91"/>
    <s v="YES"/>
    <x v="12"/>
    <x v="41"/>
    <s v="12대 기인물"/>
    <n v="4"/>
    <n v="6.9000000000000006E-2"/>
    <s v="2016년 5월경"/>
    <d v="2016-05-01T00:00:00"/>
    <n v="5"/>
    <s v="-"/>
    <x v="2"/>
    <s v="2016년 5월경 OO단독주택 신축공사 현장에서 재해자가 지상2층 벽체 돌붙임 작업을 위하여, 2층 테라스에서 비계기둥에 부착된 클램프를 밟고 약4.7m 높이의 비계위로 올라가던 중 추락하여 사망"/>
    <s v="외벽 돌붙임 작업을 위해 이동통로를 이용하지 않고 비계 클램프를 밟고 비계 위로 올라가던 중 몸의 중심을 잃고 추락"/>
    <s v="▶ 비계 내 승하강을 위한 안전한 구조의 작업통로(승하강통로) 확보_x000a_▶ 작업통로 이외의 장소로 이동하지 않도록 근로자 주지"/>
  </r>
  <r>
    <n v="4"/>
    <x v="4"/>
    <x v="38"/>
    <x v="91"/>
    <s v="YES"/>
    <x v="12"/>
    <x v="41"/>
    <s v="12대 기인물"/>
    <n v="4"/>
    <n v="6.9000000000000006E-2"/>
    <s v="2016년 5월경"/>
    <d v="2016-05-01T00:00:00"/>
    <n v="5"/>
    <s v="-"/>
    <x v="2"/>
    <s v="2016년 5월경 OO오피스텔 신축현장에서 석공사 협력업체 소속 재해자 2명이 오피스텔 10층 외벽 시스템 비계 기둥(내측)과 구조물 벽체 사이에 수평재 2개를 연장 설치하여 작업발판을 추가 설치한 상태에서 석재 붙이기 작업 중 수평재가 탈락되어 작업발판과 함께 약 30m 아래의 지상 콘크리트 바닥으로 추락"/>
    <s v="외벽 석재마감 작업구간의 구조물과 비계 사이의 간격이 넓어 수평재 및 작업발판을 연장 설치하여 작업하던 중 수평재가 탈락하면서 작업발판과 함께 추락"/>
    <s v="▶ 비계 조립 시 수직재‧수평재‧가새재‧작업발판 등 각 부재를 견고하게 조립_x000a_▶ 비계 조립 시 외벽 마감재 시공을 고려하여 구조물로부터 적정거리를 이격하여 조립_x000a_▶ 외벽 마감작업을 위해 비계 내측 안전난간을 임의 해체하는 경우 구조물과 비계 작업발판 사이에 추락방지망 설치하고 안전대를 체결한 후 작업토록 관리감독"/>
  </r>
  <r>
    <n v="4"/>
    <x v="4"/>
    <x v="38"/>
    <x v="91"/>
    <s v="YES"/>
    <x v="12"/>
    <x v="41"/>
    <s v="12대 기인물"/>
    <n v="4"/>
    <n v="6.9000000000000006E-2"/>
    <s v="2016년 6월경"/>
    <d v="2016-06-01T00:00:00"/>
    <n v="6"/>
    <s v="혹서기"/>
    <x v="2"/>
    <s v="2016년 6월경 개인 근린생활 신축공사 현장에서 재해자가 동료작업자 1명과 함께 지상 2층 외부 비계 작업발판에서 돌붙임 작업을 위한 준비 중 지상(콘크리트)으로 추락하여(H= 약 4.5m) 사망"/>
    <s v="외부비계에서 돌붙임 작업 중 몸의 중심을 잃고 안전난간이 설치되지 않은 비계 작업발판 단부로 추락"/>
    <s v="▶ 비계 내·외측에 안전난간 2단으로 견고하게 설치하고 작업여건 상 안전난간을 설치할 수 없는 경우에는 추락방호망 설치_x000a_▶ 안전난간 또는 추락방호망 설치가 곤란한 경우 안전대 부착설비를 설치하고 안전대를 체결 후 작업토록 관리감독"/>
  </r>
  <r>
    <n v="4"/>
    <x v="4"/>
    <x v="38"/>
    <x v="91"/>
    <s v="YES"/>
    <x v="12"/>
    <x v="41"/>
    <s v="12대 기인물"/>
    <n v="4"/>
    <n v="6.9000000000000006E-2"/>
    <s v="2016년 9월경"/>
    <d v="2016-09-01T00:00:00"/>
    <n v="9"/>
    <s v="-"/>
    <x v="2"/>
    <s v="2016년 9월경 OO다가구주택 신축공사 현장에서 협력업체 소속 재해자가 지상4층 외벽마감(타일) 작업을 위해 테라스에 설치된 외부비계 작업발판을 이용하여 작업 중, 몸의 중심을 잃고 지상4층 바닥(H≒1.29m)으로 추락하여 사망"/>
    <s v="외부비계에서 돌붙임 작업 중 몸의 중심을 잃고 안전난간이 설치되지 않은 비계 작업발판 단부로 추락"/>
    <s v="▶ 비계 내·외측에 안전난간 2단으로 견고하게 설치하고 작업여건 상 안전난간을 설치할 수 없는 경우에는 추락방호망 설치_x000a_▶ 안전난간 또는 추락방호망 설치가 곤란한 경우 안전대 부착설비를 설치하고 안전대를 체결 후 작업토록 관리감독"/>
  </r>
  <r>
    <n v="4"/>
    <x v="4"/>
    <x v="38"/>
    <x v="91"/>
    <s v="YES"/>
    <x v="12"/>
    <x v="41"/>
    <s v="12대 기인물"/>
    <n v="4"/>
    <n v="6.9000000000000006E-2"/>
    <s v="2019년 6월경"/>
    <d v="2019-06-01T00:00:00"/>
    <n v="6"/>
    <s v="혹서기"/>
    <x v="2"/>
    <s v="2019년 6월경 OO근린생활시설 및 다가구주택 신축공사 현장에서, 재해자가 계단참 바닥 측벽 창호 개구부 단부에서 옥탑외벽 석재 마감공사에 사용할 전동공구(해머드릴)의 전선을 정리하던 중, 몸의 중심을 잃고 지상 바닥으로 추락하여 사망"/>
    <s v="계단참 바닥 측벽 창호 개구부 단부에서 전동공구(해머드릴)의 전선을 정리하던 중 몸의 중심을 잃고 지상 바닥으로 추락"/>
    <s v="▶ 비계 내·외측에 안전난간 2단으로 견고하게 설치하고 작업여건 상 안전난간을 설치할 수 없는 경우에는 추락방호망 설치_x000a_▶ 안전난간 또는 추락방호망 설치가 곤란한 경우 안전대 부착설비를 설치하고 안전대를 체결 후 작업토록 관리감독"/>
  </r>
  <r>
    <n v="4"/>
    <x v="4"/>
    <x v="38"/>
    <x v="91"/>
    <s v="YES"/>
    <x v="12"/>
    <x v="41"/>
    <s v="12대 기인물"/>
    <n v="4"/>
    <n v="6.9000000000000006E-2"/>
    <s v="2020년 4월경"/>
    <d v="2020-04-01T00:00:00"/>
    <n v="4"/>
    <s v="-"/>
    <x v="2"/>
    <s v="2020년 4월경 OO유치원 리모델링 현장에서 협력업체 소속 재해자가 건물 주출입구 상부 캐노피(트러스형 덮개 철재구조물) 구조물 주변에서 벽면 돌붙임 작업을 하던 중, 캐노피 철재구조물 상단 또는 강관비계에서 몸의 중심을 잃고 약 4.5m 아래 지상 콘크리트 바닥으로 추락하여 사망     "/>
    <s v="외부비계에서 돌붙임 작업 중 몸의 중심을 잃고 안전난간이 설치되지 않은 비계 작업발판 단부로 추락"/>
    <s v="▶ 비계 내·외측에 안전난간 2단으로 견고하게 설치하고 작업여건 상 안전난간을 설치할 수 없는 경우에는 추락방호망 설치_x000a_▶ 안전난간 또는 추락방호망 설치가 곤란한 경우 안전대 부착설비를 설치하고 안전대를 체결 후 작업토록 관리감독"/>
  </r>
  <r>
    <n v="4"/>
    <x v="4"/>
    <x v="38"/>
    <x v="91"/>
    <s v="YES"/>
    <x v="12"/>
    <x v="41"/>
    <s v="12대 기인물"/>
    <n v="4"/>
    <n v="6.9000000000000006E-2"/>
    <s v="2021년 5월경"/>
    <d v="2021-05-01T00:00:00"/>
    <n v="5"/>
    <s v="-"/>
    <x v="2"/>
    <s v="2021년 5월경 OO숙박시설 신축현장에서 재해자가 외부 강관비계 작업발판 2단에서 외벽석재 마감을 위한 하지철물 설치 작업을 하던 중, 약 2.9m 아래 지상 1층 콘크리트 바닥으로 추락하여 사망"/>
    <s v="외부비계에서 돌붙임 작업 중 몸의 중심을 잃고 안전난간이 설치되지 않은 비계 작업발판 단부로 추락"/>
    <s v="▶ 비계 내·외측에 안전난간 2단으로 견고하게 설치하고 작업여건 상 안전난간을 설치할 수 없는 경우에는 추락방호망 설치_x000a_▶ 안전난간 또는 추락방호망 설치가 곤란한 경우 안전대 부착설비를 설치하고 안전대를 체결 후 작업토록 관리감독"/>
  </r>
  <r>
    <n v="4"/>
    <x v="4"/>
    <x v="38"/>
    <x v="91"/>
    <s v="YES"/>
    <x v="12"/>
    <x v="41"/>
    <s v="12대 기인물"/>
    <n v="4"/>
    <n v="6.9000000000000006E-2"/>
    <s v="공동주택 신축공사"/>
    <s v="X"/>
    <e v="#VALUE!"/>
    <e v="#VALUE!"/>
    <x v="2"/>
    <s v="공동주택 신축공사 현장에서 석공인 재해자가 지상 7층 외벽 실외기 슬래브 상부에서 보강 앵커철물 작업 중 실족, 비계 외측으로 추락(H≒18.0m)하여 사망"/>
    <s v="추락방지조치 없이 외벽 실외기 슬래브 상부에서 보강 앵커철물 작업 중 실족하여 비계 외측으로 추락"/>
    <s v="▶ 비계 내·외측에 안전난간 2단으로 견고하게 설치하고 작업여건 상 안전난간을 설치할 수 없는 경우에는 추락방호망 설치_x000a_▶ 안전난간 또는 추락방호망 설치가 곤란한 경우 안전대 부착설비를 설치하고 안전대를 체결 후 작업토록 관리감독"/>
  </r>
  <r>
    <n v="4"/>
    <x v="4"/>
    <x v="38"/>
    <x v="100"/>
    <s v="YES"/>
    <x v="12"/>
    <x v="41"/>
    <s v="12대 기인물"/>
    <n v="4"/>
    <n v="6.9000000000000006E-2"/>
    <s v="2016년 3월경"/>
    <d v="2016-03-01T00:00:00"/>
    <n v="3"/>
    <s v="-"/>
    <x v="2"/>
    <s v="2016년 3월경 OO병원 증축공사 현장에서 재하청업체인 소속 재해자가 로비동 옥상 외부비계에서 건물 외벽 석재 긴결재 고정 작업 중 높이 2.6m 아래 로비동 옥상 콘크리트 바닥에 추락하여 사망"/>
    <s v="석재 긴결재 고정작업을 위해 외부비계에서 이동하던 중 가설계단과 비계 작업발판간 단차로 인해 발생한 개구부에서 몸의 중심을 잃고 추락"/>
    <s v="▶ 비계 조립 시, 비계 작업발판과 가설계단의 단차가 발생하지 않도록 가설계단의 길이를 확장하여 설치_x000a_▶ 비계 상 개구부 발생 부위는 덮개를 견고하게 설치하고 표지판을 부착_x000a_▶ 단차 또는 개구부에 추락방호조치가 곤란한 경우 안전대 부착설비를 설치하고 안전대를 체결 후 작업토록 관리감독"/>
  </r>
  <r>
    <n v="4"/>
    <x v="4"/>
    <x v="38"/>
    <x v="100"/>
    <s v="YES"/>
    <x v="12"/>
    <x v="42"/>
    <s v="12대 기인물"/>
    <n v="8"/>
    <n v="3.6999999999999998E-2"/>
    <s v="2016년 4월경"/>
    <d v="2016-04-01T00:00:00"/>
    <n v="4"/>
    <s v="-"/>
    <x v="2"/>
    <s v="2016년 4월경 OO신축공사 현장에서 재해자가 달비계를 사용하여 건물 외벽 석재 코킹작업을 하던 중 달비계를 지지하는 로프가 파단 되며 약 15m 아래 지상 1층 바닥으로 추락하여 사망"/>
    <s v="달비계를 사용하여 외벽 석재 코킹작업 중 달비계 로프가 파단되며 바닥으로 추락"/>
    <s v="▶ 달비계를 사용하여 작업 시, 지지용 로프의 손상‧부식 상태 등을 점검_x000a_▶ 달비계를 사용하여 작업 시, 지지용 로프 이외의 별도의 수직구명줄 설치"/>
  </r>
  <r>
    <n v="4"/>
    <x v="4"/>
    <x v="38"/>
    <x v="100"/>
    <s v="YES"/>
    <x v="12"/>
    <x v="41"/>
    <s v="12대 기인물"/>
    <n v="4"/>
    <n v="6.9000000000000006E-2"/>
    <s v="2017년 5월경"/>
    <d v="2017-05-01T00:00:00"/>
    <n v="5"/>
    <s v="-"/>
    <x v="2"/>
    <s v="2017년 5월경 생활형 숙박시설 신축공사 현장에서 재해자가 지상 8층 외부비계 작업발판 위에서 건물우측 외벽 및 옥상에 설치된 마감재인 석재의 틈새에 줄눈작업(백업재 설치) 중 약 23미터 아래의 지상 바닥으로 추락하여 사망"/>
    <s v="외부비계에서 줄눈 시공 작업 중 몸의 중심을 잃고 안전난간이 설치되지 않은 비계 작업발판 단부로 추락"/>
    <s v="▶ 비계 내·외측에 안전난간 2단으로 견고하게 설치하고 작업여건 상 안전난간을 설치할 수 없는 경우에는 추락방호망 설치_x000a_▶ 안전난간 또는 추락방호망 설치가 곤란한 경우 안전대 부착설비를 설치하고 안전대를 체결 후 작업토록 관리감독"/>
  </r>
  <r>
    <n v="4"/>
    <x v="4"/>
    <x v="38"/>
    <x v="100"/>
    <s v="YES"/>
    <x v="12"/>
    <x v="41"/>
    <s v="12대 기인물"/>
    <n v="4"/>
    <n v="6.9000000000000006E-2"/>
    <s v="2017년 10월"/>
    <d v="2017-10-01T00:00:00"/>
    <n v="10"/>
    <s v="-"/>
    <x v="2"/>
    <s v="2017년 10월경 다가구주택 신축공사 현장의 지상 2층 높이 외부비계 작업발판 위에서 외부석재 줄눈작업 중 재해자가 동료작업자 뒤를 지나가던 중 균형을 잃고 추락하면서 동료작업자를 잡아 함께 떨어져(H=3.4m) 사망"/>
    <s v="외벽 석재마감 작업구간의 구조물과 비계 사이의 간격이 넓어 수평재 및 작업발판을 연장 설치하여 작업하던 중 수평재가 탈락하면서 작업발판과 함께 추락"/>
    <s v="▶ 비계 조립 시 수직재‧수평재‧가새재‧작업발판 등 각 부재를 견고하게 조립_x000a_▶ 비계 조립 시 외벽 마감재 시공을 고려하여 구조물로부터 적정거리를 이격하여 조립_x000a_▶ 외벽 마감작업을 위해 비계 내측 안전난간을 임의 해체하는 경우 구조물과 비계 작업발판 사이에 추락방지망 설치하고 안전대를 체결한 후 작업토록 관리감독"/>
  </r>
  <r>
    <n v="4"/>
    <x v="4"/>
    <x v="38"/>
    <x v="100"/>
    <s v="YES"/>
    <x v="12"/>
    <x v="41"/>
    <s v="12대 기인물"/>
    <n v="4"/>
    <n v="6.9000000000000006E-2"/>
    <s v="2018년 4월경"/>
    <d v="2018-04-01T00:00:00"/>
    <n v="4"/>
    <s v="-"/>
    <x v="2"/>
    <s v="2018년 4월경 OO다가구 및 근생 신축공사 현장에서 재해자가 옥상층 외벽 줄눈 시공을 위하여 외부비계에서 작업 중 몸의 중심을 잃고 지상 1층 바닥(9m)으로 추락하여 사망"/>
    <s v="외부비계에서 줄눈 시공 작업 중 몸의 중심을 잃고 안전난간이 설치되지 않은 비계 작업발판 단부로 추락"/>
    <s v="▶ 비계 내·외측에 안전난간 2단으로 견고하게 설치하고 작업여건 상 안전난간을 설치할 수 없는 경우에는 추락방호망 설치_x000a_▶ 안전난간 또는 추락방호망 설치가 곤란한 경우 안전대 부착설비를 설치하고 안전대를 체결 후 작업토록 관리감독"/>
  </r>
  <r>
    <n v="4"/>
    <x v="4"/>
    <x v="38"/>
    <x v="100"/>
    <s v="YES"/>
    <x v="12"/>
    <x v="41"/>
    <s v="12대 기인물"/>
    <n v="4"/>
    <n v="6.9000000000000006E-2"/>
    <s v="2019년 1월경"/>
    <d v="2019-01-01T00:00:00"/>
    <n v="1"/>
    <s v="혹한기"/>
    <x v="2"/>
    <s v="2019년 1월경 OO교회 신축공사 현장, 우측면 비계 위에서 석재 및 유리 코킹작업을 하던 중 갑작스러운 강풍으로 인해 비계가 좌굴되면서 도괴하자 재해자 2명이 3층 발코니로 뛰어내려 부상"/>
    <s v="외벽 마감을 위해 벽이음 철물을 해체한 외부비계에서 석재 및 유리 코킹작업 중 갑작스러운 강품으로 인해 비계가 좌굴하면서 추락"/>
    <s v="▶ 외벽마감 간섭 등에 의해 비계의 벽이음 철물을 제거하는 경우 비계 외측에 경사버팀대 등을 설치하여 전도방지조치_x000a_▶ 개인보호구 지급 및 착용관리"/>
  </r>
  <r>
    <n v="4"/>
    <x v="4"/>
    <x v="21"/>
    <x v="92"/>
    <s v="YES"/>
    <x v="12"/>
    <x v="42"/>
    <s v="12대 기인물"/>
    <n v="8"/>
    <n v="3.6999999999999998E-2"/>
    <s v="2017년 7월경"/>
    <d v="2017-07-01T00:00:00"/>
    <n v="7"/>
    <s v="혹서기"/>
    <x v="2"/>
    <s v="2017년 7월경 OO학교 외벽 도색 공사 현장에서 재해자가 외벽 도장작업을 위해 옥상에서 달비계에 탑승하여 작업을 실시하려는 순간 달비계와 함께 추락하여(H≒18m) 사망"/>
    <s v="달비계에 탑승하여 외벽 도장작업 중 청소용 고리(고정점)의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92"/>
    <s v="YES"/>
    <x v="12"/>
    <x v="42"/>
    <s v="12대 기인물"/>
    <n v="8"/>
    <n v="3.6999999999999998E-2"/>
    <s v="2018년 11월"/>
    <d v="2018-11-01T00:00:00"/>
    <n v="11"/>
    <s v="-"/>
    <x v="2"/>
    <s v="2018년 11월경 다세대주택 하자보수 현장에서 재해자가 달비계에 탑승하여 지상 5층 외벽 코킹 작업 중 추락하여 사망"/>
    <s v="재해자가 구명줄을 별도로 설치하지 않고, 안전대를 미착용한 상태에서 달비계에 탑승을 시도하는 중에 실족하여 추락"/>
    <s v="▶ 달비계 작업 시 주로프 외 보조로프(수직구명줄)를 설치하고 안전대를 체결한 후 작업_x000a_▶ 달비계 로프는 콘크리트에 매립된 고리, 건축물의 콘크리트 또는 철재 구조물 등 2개 이상의 견고한 고정점에 풀리지 않도록 결속_x000a_▶ 개인보호구 지급 및 착용"/>
  </r>
  <r>
    <n v="4"/>
    <x v="4"/>
    <x v="21"/>
    <x v="92"/>
    <s v="YES"/>
    <x v="12"/>
    <x v="42"/>
    <s v="12대 기인물"/>
    <n v="8"/>
    <n v="3.6999999999999998E-2"/>
    <s v="2019년 8월경"/>
    <d v="2019-08-01T00:00:00"/>
    <n v="8"/>
    <s v="혹서기"/>
    <x v="2"/>
    <s v="2019년 8월경 OO아파트 내·외부 균열보수 및 재도장 공사현장에서 재해자가 달비계를 타고 외벽균열보수(퍼티) 작업 중, 아파트 외벽 모서리에 접촉되어있던 달비계 작업로프가 마찰에 의해 파단 되어 지상1층 바닥(높이≒23m)으로 추락하여 사망"/>
    <s v="달비계를 사용하여 외벽 균열보수(퍼티) 작업 중 작업로프가 파단되면서 추락"/>
    <s v="▶ 달비계 작업 전 로프 및 작업대 손상여부 확인 점검 철저_x000a_▶ 달줄이 구조물과 면하는 모서리부는 마모되지 않도록 보호패드 설치_x000a_▶ 달비계 작업 시 주로프 외 보조로프(수직구명줄)를 설치하고 안전대를 체결한 후 작업"/>
  </r>
  <r>
    <n v="4"/>
    <x v="4"/>
    <x v="21"/>
    <x v="92"/>
    <s v="YES"/>
    <x v="12"/>
    <x v="42"/>
    <s v="12대 기인물"/>
    <n v="8"/>
    <n v="3.6999999999999998E-2"/>
    <s v="2019년 9월경"/>
    <d v="2019-09-01T00:00:00"/>
    <n v="9"/>
    <s v="-"/>
    <x v="2"/>
    <s v="2019년 9월경 OO아파트 균열보수 및 재도장공사 현장에서, 재해자가 달비계를 타고 고압세척기로 엘리베이터실 외벽의 먼지, 페인트 균열 등을 제거하는 작업을 하던 중 옥탑의 달비계 로프가 한쪽으로 기울어지며 무게중심을 잃어, 작업대 지지로프(Ø18mm 섬유로프)를 놓치면서 작업대와 함께 지상 바닥으로 추락하여 사망"/>
    <s v="엘리베이터실 외벽의 먼지, 페인트 균열 등을 제거하는 작업을 하던 중 옥탑의 달비계 로프 체결 불량으로 한쪽으로 기울어지며 무게중심을 잃어 작업대와 함께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1"/>
    <s v="12대 기인물"/>
    <n v="4"/>
    <n v="6.9000000000000006E-2"/>
    <s v="2015년 2월경"/>
    <d v="2015-02-01T00:00:00"/>
    <n v="2"/>
    <s v="혹한기"/>
    <x v="2"/>
    <s v="2015년 2월경 공동주택공사 현장에서 옥상 외벽 테두리면 도장작업을 위해 쌍줄비계 위에서 도장작업 중 몸의 중심을 잃고 약15.5m 지상1층 바닥으로 추락하여 사망"/>
    <s v="외부비계 위에서 옥상 외벽 도장작업 중 몸의 중심을 잃고 안전난간이 설치되지 않은 작업발판 단부로 추락"/>
    <s v="▶ 비계 내·외측에 안전난간 2단으로 견고하게 설치_x000a_▶ 외벽 마감작업을 위해 비계 내측 안전난간을 임의 해체하는 경우 구조물과 비계 작업발판 사이에 추락방지망 설치하고 안전대를 체결한 후 작업토록 관리감독"/>
  </r>
  <r>
    <n v="4"/>
    <x v="4"/>
    <x v="21"/>
    <x v="40"/>
    <s v="YES"/>
    <x v="12"/>
    <x v="42"/>
    <s v="12대 기인물"/>
    <n v="8"/>
    <n v="3.6999999999999998E-2"/>
    <s v="2016년 2월경"/>
    <d v="2016-02-01T00:00:00"/>
    <n v="2"/>
    <s v="혹한기"/>
    <x v="2"/>
    <s v="2016년 2월경 OO아파트 신축공사 현장에서 협력업체 소속 재해자가 외벽 견출작업을 위해 달비계 작업발판에 탑승하던 중 몸의 중심을 잃고 약 53m 아래 지상바닥으로 추락하여 사망"/>
    <s v="안전대를 체결하지 않은 상태에서 달비계에 탑승하던 중 실족 또는 몸의 중심을 잃고 추락"/>
    <s v="▶ 달비계 작업 시 주로프 외 보조로프(수직구명줄)를 설치하고 안전대를 체결한 후 작업_x000a_▶ 달비계 로프는 콘크리트에 매립된 고리, 건축물의 콘크리트 또는 철재 구조물 등 2개 이상의 견고한 고정점에 풀리지 않도록 결속_x000a_▶ 개인보호구 지급 및 착용"/>
  </r>
  <r>
    <n v="4"/>
    <x v="4"/>
    <x v="21"/>
    <x v="40"/>
    <s v="YES"/>
    <x v="12"/>
    <x v="42"/>
    <s v="12대 기인물"/>
    <n v="8"/>
    <n v="3.6999999999999998E-2"/>
    <s v="2016년 3월경"/>
    <d v="2016-03-01T00:00:00"/>
    <n v="3"/>
    <s v="-"/>
    <x v="2"/>
    <s v="2016년 3월경 OO건설에서 시공하는 하자보수 종료공사 현장에서 재해자가 달비계를 이용하여 아파트 외벽 도장작업을 하다가 달비계를 지지하는 로프가 파단되며 10층(약 23m)높이에서 지상 바닥(화단)으로 떨어져 사망"/>
    <s v="달비계를 사용하여 외벽 도장작업 중 작업로프가 파단되면서 추락"/>
    <s v="▶ 달비계 작업 전 로프 및 작업대 손상여부 확인 점검 철저_x000a_▶ 달줄이 구조물과 면하는 모서리부는 마모되지 않도록 보호패드 설치_x000a_▶ 달비계 작업 시 주로프 외 보조로프(수직구명줄)를 설치하고 안전대를 체결한 후 작업"/>
  </r>
  <r>
    <n v="4"/>
    <x v="4"/>
    <x v="21"/>
    <x v="40"/>
    <s v="YES"/>
    <x v="12"/>
    <x v="42"/>
    <s v="12대 기인물"/>
    <n v="8"/>
    <n v="3.6999999999999998E-2"/>
    <s v="2016년 4월경"/>
    <d v="2016-04-01T00:00:00"/>
    <n v="4"/>
    <s v="-"/>
    <x v="2"/>
    <s v="2016년 4월경 OO아파트 크랙(균열)보수 및 재도장공사 현장에서 재해자가 달비계를 사용하여 건물 외벽의 균열 보수작업을 하던 중, 옥탑 기계실 계단에 결속하였던 달비계 지지용 로프가 이탈하면서 약 18m 아래 지상 1층 바닥으로 추락하여 사망"/>
    <s v="달비계에 탑승하여 외벽 도장작업 중 고정점에 결속한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6년 4월경"/>
    <d v="2016-04-01T00:00:00"/>
    <n v="4"/>
    <s v="-"/>
    <x v="2"/>
    <s v="2016년 4월경 ㈜OO에서 시공 중인 아파트 내·외부 균열보수 및 도색공사 현장에서 재해자가 아파트 외부 벽체 도장작업을 위해 옥상(16층)에서 달비계에 탑승 하던 중 철근고리에 고정했던 주로프가 풀리면서 지상바닥(H≒48m)으로 떨어져 사망"/>
    <s v="달비계에 탑승하여 외벽 도장작업 중 청소용 고리(고정점)의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6년 4월경"/>
    <d v="2016-04-01T00:00:00"/>
    <n v="4"/>
    <s v="-"/>
    <x v="2"/>
    <s v="2016년 4월경 OO아파트 외부 도장보수공사 현장에서 재해자가 아파트 외부측벽에서 달비계를 이용 도장초벌 작업도중 달비계의 지지로프와 보조로프가 끊어지면서 5층(높이 약14m)에서 지상으로 추락하여 사망"/>
    <s v="안전대를 미착용하고 구명줄을 미설치한 상태에서 달비계를 사용하여 외벽 도장작업 중 작업로프가 파단되면서 추락"/>
    <s v="▶ 달비계 작업 전 로프 및 작업대 손상여부 확인 점검 철저_x000a_▶ 달줄이 구조물과 면하는 모서리부는 마모되지 않도록 보호패드 설치_x000a_▶ 달비계 작업 시 주로프 외 보조로프(수직구명줄)를 설치하고 안전대를 체결한 후 작업"/>
  </r>
  <r>
    <n v="4"/>
    <x v="4"/>
    <x v="21"/>
    <x v="40"/>
    <s v="YES"/>
    <x v="12"/>
    <x v="42"/>
    <s v="12대 기인물"/>
    <n v="8"/>
    <n v="3.6999999999999998E-2"/>
    <s v="2016년 7월경"/>
    <d v="2016-07-01T00:00:00"/>
    <n v="7"/>
    <s v="혹서기"/>
    <x v="2"/>
    <s v="2016년 7월경 아파트 신축현장에서 재해자 옥상층에서 외벽견출작업용 달비계를 타는 순간 달비계 지지용고리매듭이 빠지면서 높이 72m 아래 바닥으로 추락하여 사망"/>
    <s v="달비계에 탑승하여 외벽 도장작업 중 고정점에 결속한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6년 7월경"/>
    <d v="2016-07-01T00:00:00"/>
    <n v="7"/>
    <s v="혹서기"/>
    <x v="2"/>
    <s v="2016년 7월경 OO아파트 하자보수공사 현장에서 재해자가 아파트 외벽의 로고 도장작업중 달비계용 로프를 고정한 청소 고리가 파단되면서 로프가 풀려 달비계와 함께 지상1층 바닥으로 추락(H≒50m)하여 사망"/>
    <s v="달비계에 탑승하여 외벽 도장작업 중 청소용 고리(고정점)의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6년 8월경"/>
    <d v="2016-08-01T00:00:00"/>
    <n v="8"/>
    <s v="혹서기"/>
    <x v="2"/>
    <s v="2016년 8월경 OO빌딩 방수 도장공사 현장에서 재해자가 빌딩 서측 외벽 도장 작업을 위해 달비계 작업대에 탑승하여 도장작업을 진행하던 중 달비계 지지용 로프가 풀려 약 23.8m 아래 지상 1층 콘크리트 바닥에 추락하여 사망"/>
    <s v="달비계에 탑승하여 외벽 도장작업 중 고정점에 결속한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6년 10월"/>
    <d v="2016-10-01T00:00:00"/>
    <n v="10"/>
    <s v="-"/>
    <x v="2"/>
    <s v="2016년 10월경 아파트 발코니 외측에서 재해자가 발코니 창틀 실리콘 작업을 위해 달비계 로프를 타고 작업중 달비계를 고정한 로프가 풀리면서 3층 정원으로 추락하여 사망"/>
    <s v="달비계에 탑승하여 외벽 도장작업 중 고정점에 결속한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6년 10월"/>
    <d v="2016-10-01T00:00:00"/>
    <n v="10"/>
    <s v="-"/>
    <x v="2"/>
    <s v="2016년 10월경 OO건설에서 시공 중인 건물 내외부 균열보수 및 재도장 공사 현장에서 재해자는 건물의 좌측 창문을 청소하기 위해 달비계를 타고 15층 외벽을 따라 하부로 내려가면서 청소하던 중 옥상층 환풍기 기초 콘크리트에 결속해 놓았던 달비계 보조로프(pp로프, 16mm)가 풀리면서 지상 1층 베란다 바닥으로 추락(H≒38m)하여 사망"/>
    <s v="달비계에 탑승하여 외벽 도장작업 중 청소용 고리(고정점)의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6년 10월"/>
    <d v="2016-10-01T00:00:00"/>
    <n v="10"/>
    <s v="-"/>
    <x v="2"/>
    <s v="2016년 10월경 4층 건물(1층 상가, 2층 ~ 4층 주택)에서 재해자가 동료 작업자와 함께 건물 외벽 도장 작업 중 건물 2층 높이(약 6미터)에서 추락하여 사망"/>
    <s v="안전대를 미착용하고 구명줄을 미설치한 상태에서 달비계를 사용하여 외벽 도장작업 중 작업로프가 파단되면서 추락"/>
    <s v="▶ 달비계 작업 전 로프 및 작업대 손상여부 확인 점검 철저_x000a_▶ 달줄이 구조물과 면하는 모서리부는 마모되지 않도록 보호패드 설치_x000a_▶ 달비계 작업 시 주로프 외 보조로프(수직구명줄)를 설치하고 안전대를 체결한 후 작업"/>
  </r>
  <r>
    <n v="4"/>
    <x v="4"/>
    <x v="21"/>
    <x v="40"/>
    <s v="YES"/>
    <x v="12"/>
    <x v="42"/>
    <s v="12대 기인물"/>
    <n v="8"/>
    <n v="3.6999999999999998E-2"/>
    <s v="2016년 10월"/>
    <d v="2016-10-01T00:00:00"/>
    <n v="10"/>
    <s v="-"/>
    <x v="2"/>
    <s v="2016년 10월경 OO아파트 균열 및 재도장공사 현장에서 재해자가 아파트 외벽 도장작업을 위해 옥탑 지붕에서 달비계에 탑승하던 중 실족하여 54m 아래 지상바닥으로 추락하여 사망"/>
    <s v="안전대를 체결하지 않은 상태에서 달비계에 탑승하던 중 실족 또는 몸의 중심을 잃고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6년 11월"/>
    <d v="2016-11-01T00:00:00"/>
    <n v="11"/>
    <s v="-"/>
    <x v="2"/>
    <s v="2016년 11월경 OO건설 OO아파트의 재도장공사에서 재해자가 달비계(외부로프작업)를 사용하여 지상과 트인 지하주차장 벽체의 도장작업을 실시하기 위한 균열 보수작업 중, 지상 주차차량이 지하주차장(개구부)으로 떨어지지 않기 위해 설치된 상단 난간에 수직구명줄 없이 달비계 지지용 로프만 결속한 상태로 작업대에 탑승하는 중에 로프가 풀리면서 작업대와 함께 추락하여 지하 3층 콘크리트 바닥면(11.45m)으로 떨어져 사망"/>
    <s v="달비계에 탑승하여 외벽 도장작업 중 청소용 고리(고정점)의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7년 5월경"/>
    <d v="2017-05-01T00:00:00"/>
    <n v="5"/>
    <s v="-"/>
    <x v="2"/>
    <s v="2017년 5월경 외벽균열보수 및 옥상방수공사 현장에서 원청업체 소속 재해자가 APT 외벽도장작업을 마치고 달비계에 탑승하여 내려오던 중 작업줄 연결지지물이 옥상 콘크리트 바닥으로부터 이탈되면서 재해자가 지상 바닥으로 추락(H≒20m)하여 사망"/>
    <s v="달비계에 탑승하여 내려오던 중 작업줄을 체결했던 철재지지물이 작업하중을 견디지 못하고 이탈되어 근로자 추락"/>
    <s v="▶ 달비계 작업 시작 전 로프의 부착상태 및 매단장치의 흔들림 상태 등 점검 및 보수_x000a_▶ 외벽 도장작업을 위해 달비계 작업 시 수직구명줄 별도 설치 및 안전대 착용"/>
  </r>
  <r>
    <n v="4"/>
    <x v="4"/>
    <x v="21"/>
    <x v="40"/>
    <s v="YES"/>
    <x v="12"/>
    <x v="42"/>
    <s v="12대 기인물"/>
    <n v="8"/>
    <n v="3.6999999999999998E-2"/>
    <s v="2017년 5월경"/>
    <d v="2017-05-01T00:00:00"/>
    <n v="5"/>
    <s v="-"/>
    <x v="2"/>
    <s v="2017년 5월경 OO아파트 도색공사 현장에서 재해자가 건물 4층 외벽 균열보수작업을 마치고, 4층 베란다에서 달비계 작업대에 탑승하던 중 몸의 중심을 잃고 지상 1층(약 10m) 바닥으로 추락하여 사망"/>
    <s v="안전대를 체결하지 않은 상태에서 달비계에 탑승하던 중 실족 또는 몸의 중심을 잃고 추락"/>
    <s v="▶ 달비계 작업 시 주로프 외 보조로프(수직구명줄)를 설치하고 안전대를 체결한 후 작업_x000a_▶ 달비계 로프는 콘크리트에 매립된 고리, 건축물의 콘크리트 또는 철재 구조물 등 2개 이상의 견고한 고정점에 풀리지 않도록 결속_x000a_▶ 개인보호구 지급 및 착용"/>
  </r>
  <r>
    <n v="4"/>
    <x v="4"/>
    <x v="21"/>
    <x v="40"/>
    <s v="YES"/>
    <x v="12"/>
    <x v="42"/>
    <s v="12대 기인물"/>
    <n v="8"/>
    <n v="3.6999999999999998E-2"/>
    <s v="2017년 6월경"/>
    <d v="2017-06-01T00:00:00"/>
    <n v="6"/>
    <s v="혹서기"/>
    <x v="2"/>
    <s v="2017년 6월경 APT 내외벽체 재도장공사 현장에서 직영 인부인 재해자가 작업용 로프에 매달린 달비계를 타고 외부 벽체 도장작업 중 작업용 로프에 매달린 달비계가 갑자기 하강하면서 약 7m 아래 지상 바닥으로 추락하여 사망"/>
    <s v="달비계에 탑승하여 외벽 도장작업 중 고정점에 결속한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7년 8월경"/>
    <d v="2017-08-01T00:00:00"/>
    <n v="8"/>
    <s v="혹서기"/>
    <x v="2"/>
    <s v="2017년 8월경 OO주택재개발 정비사업 현장에서 협력업체 소속 재해자가 달비계를 타고 아파트 외벽 동표시 상부구간(약 28층 높이) 도장 작업을 하다가 우천으로 인하여 작업을 중단하고 내려오던 중 달비계 작업용 로프가 짧게 설치되어 달비계와 함께 지상으로 추락하여 사망"/>
    <s v="달비계에 탑승하여 외벽 도장작업 도중 우천으로 작업을 중단하고 하강하는 과정에서 로프길이가 짧게 설치된 것을 인지하지 못하고 달비계와 함께 바닥으로 추락 "/>
    <s v="▶ 달비계 설치 시 지면까지 닿는 적정길이의 로프 사용_x000a_▶ 달비계 작업 시 주로프 외 보조로프(수직구명줄)를 설치하고 안전대를 체결한 후 작업_x000a_▶ 달비계 로프는 콘크리트에 매립된 고리, 건축물의 콘크리트 또는 철재 구조물 등 2개 이상의 견고한 고정점에 풀리지 않도록 결속"/>
  </r>
  <r>
    <n v="4"/>
    <x v="4"/>
    <x v="21"/>
    <x v="40"/>
    <s v="YES"/>
    <x v="12"/>
    <x v="42"/>
    <s v="12대 기인물"/>
    <n v="8"/>
    <n v="3.6999999999999998E-2"/>
    <s v="2017년 9월경"/>
    <d v="2017-09-01T00:00:00"/>
    <n v="9"/>
    <s v="-"/>
    <x v="2"/>
    <s v="2017년 9월경 아파트 내,외부 균열보수 및 재도장공사 현장에서, 재해자가 도장작업을 하기 위해 달비계에 탑승하여 작업용 주로프를 조절하여 작업준비를 하는 순간 청소용 고리인 앵커에 묶었던 로프가 풀리면서 39.1m 아래 바닥으로 추락하여 사망"/>
    <s v="달비계에 탑승하여 외벽 도장작업 중 고정점에 결속한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7년 9월경"/>
    <d v="2017-09-01T00:00:00"/>
    <n v="9"/>
    <s v="-"/>
    <x v="2"/>
    <s v="2017년 9월경 OO아파트 방수·도장공사 현장에서 재해자가 달비계를 타고 외벽 퍼티작업 중, 달비계를 고정한 달줄이 풀리면서 지상 바닥으로 추락하여(약 28.4m) 사망"/>
    <s v="달비계에 탑승하여 외벽 도장작업 중 고정점에 결속한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7년 10월"/>
    <d v="2017-10-01T00:00:00"/>
    <n v="10"/>
    <s v="-"/>
    <x v="2"/>
    <s v="2017년 10월경 OO모텔 외벽 재도장 공사 현장에서, 모텔 우측면 벽체 도장작업을 하던 재해자가 옥상 비 가림막용 간이 지붕 기둥에 고정되어있던 달비계 로프가 빠지면서 4m 아래 바닥으로 추락하여 사망"/>
    <s v="달비계에 탑승하여 외벽 도장작업 중 고정점에 결속한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7년 10월"/>
    <d v="2017-10-01T00:00:00"/>
    <n v="10"/>
    <s v="-"/>
    <x v="2"/>
    <s v="2017년 10월경 OO유치원 외벽 균열보수 및 도장공사 현장에서 달비계를 이용하여 외벽 균열보수 작업을 진행하던 재해자가 1층 지붕 처마(높이 약4.8m)에서 바닥으로 추락하여 사망"/>
    <s v="안전대 및 구명줄을 체결하지 않고 달비계에서 작업 중 몸의 중심을 잃고 추락"/>
    <s v="▶ 달비계 작업 시 주로프 외 보조로프(수직구명줄)를 설치하고 안전대를 체결한 후 작업_x000a_▶ 달비계 로프는 콘크리트에 매립된 고리, 건축물의 콘크리트 또는 철재 구조물 등 2개 이상의 견고한 고정점에 풀리지 않도록 결속_x000a_▶ 개인보호구 지급 및 착용"/>
  </r>
  <r>
    <n v="4"/>
    <x v="4"/>
    <x v="21"/>
    <x v="40"/>
    <s v="YES"/>
    <x v="12"/>
    <x v="42"/>
    <s v="12대 기인물"/>
    <n v="8"/>
    <n v="3.6999999999999998E-2"/>
    <s v="2017년 11월"/>
    <d v="2017-11-01T00:00:00"/>
    <n v="11"/>
    <s v="-"/>
    <x v="2"/>
    <s v="2017년 11월경 OO건설에서 시공하는 OO중학교 본관 및 신관동 외벽도장공사 현장에서 재해자가 달비계 작업대에 탑승하여 도장작업 중 옥상난간의 브라켓(철재지지물)에 묶은 작업용 로프가 풀리면서 약 19m 아래 콘크리트 바닥으로 떨어져 사망"/>
    <s v="달비계에 탑승하여 외벽 도장작업 중 청소용 고리(고정점)의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7년 11월"/>
    <d v="2017-11-01T00:00:00"/>
    <n v="11"/>
    <s v="-"/>
    <x v="2"/>
    <s v="2017년 11월경 OO건설에서 시공하는 아파트 신축공사 현장에서 재해자가 달비계에 탑승하여 도장작업 중 옥상조형물(콘크리트 가로보)에 고정 된 작업용 로프가 풀리면서 약 52m 아래로 떨어져 사망"/>
    <s v="달비계에 탑승하여 외벽 도장작업 중 청소용 고리(고정점)의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8년 6월경"/>
    <d v="2018-06-01T00:00:00"/>
    <n v="6"/>
    <s v="혹서기"/>
    <x v="2"/>
    <s v="2018년 6월경 OO건설에서 시공중인 아파트 및 오피스텔 신축공사 현장에서 재해자가 외벽 마감을 위해 달비계를 이용하여 외벽 크랙보수 작업 중 옥상에 체결된 달비계의 작업용 로프가 풀려 지상1층 바닥(H≒39.2m)으로 떨어져 사망"/>
    <s v="달비계에 탑승하여 외벽 도장작업 중 청소용 고리(고정점)의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8년 7월경"/>
    <d v="2018-07-01T00:00:00"/>
    <n v="7"/>
    <s v="혹서기"/>
    <x v="2"/>
    <s v="2018년 7월경 OO아파트 균열보수 및 재도장공사 현장에서 재해자가 옥상에서 균열보수 작업을 위하여 달비계 작업대에 탑승하는 과정에서 실족하여 지상 1층 바닥(H≒45m, 석축 및 화단)에 추락하여 사망"/>
    <s v="안전대를 체결하지 않은 상태에서 달비계에 탑승하던 중 실족 또는 몸의 중심을 잃고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8년 8월경"/>
    <d v="2018-08-01T00:00:00"/>
    <n v="8"/>
    <s v="혹서기"/>
    <x v="2"/>
    <s v="2018년 8월경 OO(주)에서 시공중인 아파트 균열보수 및 재도장공사 현장에서 재해자가 외벽 도장작업을 위해 간이달비계를 이용하여 도장작업 중 옥상의 구조물에 체결된 달비계 작업용 로프가 풀리면서 지상1층 바닥(H≒30m)으로 떨어져 사망"/>
    <s v="달비계에 탑승하여 외벽 도장작업 중 청소용 고리(고정점)의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8년 11월"/>
    <d v="2018-11-01T00:00:00"/>
    <n v="11"/>
    <s v="-"/>
    <x v="2"/>
    <s v="2018년 11월경 균열보수 및 재도장 공사 현장에서 재해자가 아파트 지상 15층 옥상에서 외벽 도장 작업을 위해 달비계 작업대에 탑승하는 과정 중에 지상 바닥으로 추락(H≒45m)하여 사망"/>
    <s v="도장작업을 위해 달비계에 탑승하는 과정에서 몸의 중심을 잃고 추락"/>
    <s v="▶ 달비계 작업 시 주로프 외 보조로프(수직구명줄)를 설치하고 안전대를 체결한 후 작업_x000a_▶ 달비계 로프는 콘크리트에 매립된 고리, 건축물의 콘크리트 또는 철재 구조물 등 2개 이상의 견고한 고정점에 풀리지 않도록 결속_x000a_▶ 개인보호구 지급 및 착용"/>
  </r>
  <r>
    <n v="4"/>
    <x v="4"/>
    <x v="21"/>
    <x v="40"/>
    <s v="YES"/>
    <x v="12"/>
    <x v="42"/>
    <s v="12대 기인물"/>
    <n v="8"/>
    <n v="3.6999999999999998E-2"/>
    <s v="2019년 3월경"/>
    <d v="2019-03-01T00:00:00"/>
    <n v="3"/>
    <s v="-"/>
    <x v="2"/>
    <s v="2019년 3월경 OO아파트 배면의 벽면 퍼티작업을 위해 재해자가 달비계를 이용하여 옥상에서부터 내려오며 작업도중 지상 8층 높이에서 달비계의 작업대가 주로프에서 이탈하여 작업대와 함께 약 21M 아래 지면으로 추락하여 사망"/>
    <s v="달비계를 이용하여 옥상에서부터 내려오며 작업도중 달비계의 작업대가 주로프에서 이탈하여 작업대와 함께 떨어짐"/>
    <s v="▶ 작업로프와 달비계 연결부(샤클) 견고하게 결속하고 탑승 전 결속상태 확인점검_x000a_▶ 달비계 작업 시 주로프 외 보조로프(수직구명줄)를 설치하고 안전대를 체결한 후 작업_x000a_▶ 개인보호구 지급 및 착용"/>
  </r>
  <r>
    <n v="4"/>
    <x v="4"/>
    <x v="21"/>
    <x v="40"/>
    <s v="YES"/>
    <x v="12"/>
    <x v="42"/>
    <s v="12대 기인물"/>
    <n v="8"/>
    <n v="3.6999999999999998E-2"/>
    <s v="2019년 6월경"/>
    <d v="2019-06-01T00:00:00"/>
    <n v="6"/>
    <s v="혹서기"/>
    <x v="2"/>
    <s v="2019년 6월경 OO아파트 외부도장공사 현장에서 재해자가 균열보수작업을 위해 달비계 작업대에 탑승하여 작업을 준비하던 중, 달비계의 작업용 로프가 고정용 앵커에서 이탈하면서 달비계와 함께 약 37m 아래 지상 바닥으로 추락하여 사망"/>
    <s v="달비계에 탑승하여 외벽 도장작업 중 고정점에 결속한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9년 7월경"/>
    <d v="2019-07-01T00:00:00"/>
    <n v="7"/>
    <s v="혹서기"/>
    <x v="2"/>
    <s v="2019년 7월경 OO아파트 균열보수 및 도장 공사현장에서 재해자가 아파트 3호라인 건물 외벽 균열보수(Putty) 작업을 위해 건물 옥상의 설치된 배관 서포트에 섬유로프를 체결 후 달비계 작업대에 탑승하여 지상 8층 외벽(높이≒21m)에서 작업 중 섬유로프를 체결한 서포트가 이탈하면서 지상1층으로 추락하여 사망"/>
    <s v="달비계를 이용하여 건물외벽 도장작업을 하던 중 달비계 로프를 고정한 구조물 등이 파손되며 지상1층 바닥으로 떨어짐"/>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9년 7월경"/>
    <d v="2019-07-01T00:00:00"/>
    <n v="7"/>
    <s v="혹서기"/>
    <x v="2"/>
    <s v="2019년 7월경 OO아파트 외벽 균열 보수 및 재도장 공사 현장에서, 재해자가 달비계에 탑승하여 아파트 외벽 도장 작업 중, 달비계 지지로프의 매듭이 풀리면서 지상 1층에 있는 관리사무실 옥상 바닥으로 추락하여(H≒30m) 사망"/>
    <s v="달비계에 탑승하여 외벽 도장작업 중 고정점에 결속한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9년 8월경"/>
    <d v="2019-08-01T00:00:00"/>
    <n v="8"/>
    <s v="혹서기"/>
    <x v="2"/>
    <s v="2019년 8월경 주택재건축 정비사업 현장에서, 협력업체 소속 재해자가 22층 측벽에서 달비계를 타고 퍼티(Putty)작업을 하던 중 달비계를 고정한 지지용 로프가 풀리면서 달비계와 함께 약 60m 하부 지상 바닥으로 추락하여 사망"/>
    <s v="달비계에 탑승하여 외벽 도장작업 중 고정점에 결속한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9년 11월"/>
    <d v="2019-11-01T00:00:00"/>
    <n v="11"/>
    <s v="-"/>
    <x v="2"/>
    <s v="2019년 11월경, OO아파트 하자보수 공사현장에서 협력업체 소속 재해자가 아파트 외벽의 도장작업을 위해 옥상 단부에서 달비계에 탑승하는 순간, 달비계 지지용 로프가 풀려 달비계와 함께 옥상 단부 아래 약 4m정도 떨어지다가 로프가 걸렸으나 재해자가 달비계 발판에서 이탈하여 약 30m 아래 지상 바닥으로 추락하여 사망"/>
    <s v="달비계에 탑승하여 외벽 도장작업 중 고정점에 결속한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9년 11월"/>
    <d v="2019-11-01T00:00:00"/>
    <n v="11"/>
    <s v="-"/>
    <x v="2"/>
    <s v="2019년 11월경 아파트 외부도장 작업을 위해 옥상 환풍기 기둥에 작업로프를 결속시키고 작업 중, 주로프가 풀리면서 1층 화단으로 추락(H≒40m)하여 사망"/>
    <s v="달비계에 탑승하여 외벽 도장작업 중 고정점에 결속한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20년 2월경"/>
    <d v="2020-02-01T00:00:00"/>
    <n v="2"/>
    <s v="혹한기"/>
    <x v="2"/>
    <s v="2020년 2월경 개인 상가 건물(2층) 외벽 도장 공사 현장에서 재해자가 외벽에서 도장 작업을 하던 중 달비계 작업대를 고정하는 로프가 풀려 콘크리트 바닥(H≒5.7m)으로 추락하여 사망"/>
    <s v="달비계에 탑승하여 외벽 도장작업 중 고정점에 결속한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20년 5월경"/>
    <d v="2020-05-01T00:00:00"/>
    <n v="5"/>
    <s v="-"/>
    <x v="2"/>
    <s v="2020년 5월경 OO아파트 내외벽 균열 보수 및 재도장 공사 현장에서, 재해자가 외벽 도장 작업을 위해 옥상에서 달비계 작업대에 탑승하여 작업을 준비하던 중, 주 로프를 고정한 제연덕트 기둥철물의 하단이 바닥방수재로부터 탈락하여 달비계와 함께 지상 1층 화단으로 추락하여(높이 약62m) 사망"/>
    <s v="달비계를 이용하여 건물외벽 도장작업을 하던 중 달비계 로프를 고정한 구조물 등이 파손되며 지상1층 바닥으로 떨어짐"/>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20년 5월경"/>
    <d v="2020-05-01T00:00:00"/>
    <n v="5"/>
    <s v="-"/>
    <x v="2"/>
    <s v="2020년 5월경 OO아파트 내외부 균열보수 및 재도장공사 현장에서 재해자가 외벽 재도장을 위해 달비계 작업 중 작업 위치를 고정하기 위한 보조 로프와의 매듭이 갑자기 풀리면서, 그 충격에 의해 지상 바닥으로 추락하여(H≒45.2m) 사망"/>
    <s v="달비계에 탑승하여 외벽 도장작업 중 고정점에 결속한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20년 5월경"/>
    <d v="2020-05-01T00:00:00"/>
    <n v="5"/>
    <s v="-"/>
    <x v="2"/>
    <s v="2020년 5월경 OO아파트 외벽크랙 보수공사현장에서 재해자가 달비계를 사용하여 아파트 외벽 균열 보수작업 후 내려오던 중 옥상 수도배관 브라켓(받침대)에 고정된 섬유로프(φ18mm)가 빠지면서 달비계 좌대와 함께 화단으로 추락하여(h≒10m) 사망"/>
    <s v="달비계에 탑승하여 외벽 도장작업 중 고정점에 결속한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20년 5월경"/>
    <d v="2020-05-01T00:00:00"/>
    <n v="5"/>
    <s v="-"/>
    <x v="2"/>
    <s v="2020년 5월경 OO학교 본관동 외부 도장 공사현장에서 재해자가 지상 4층 본관동 외부에서 달비계를 사용하여 도장작업 중, 작업의자의 연결로프가 파단되어 지상 1층 출입구 상부 차양 슬래브로 추락(H≒9m)하여 사망"/>
    <s v="안전대를 미착용하고 구명줄을 미설치한 상태에서 달비계를 사용하여 외벽 도장작업 중 작업로프가 파단되면서 추락"/>
    <s v="▶ 달비계 작업 전 로프 및 작업대 손상여부 확인 점검 철저_x000a_▶ 달줄이 구조물과 면하는 모서리부는 마모되지 않도록 보호패드 설치_x000a_▶ 달비계 작업 시 주로프 외 보조로프(수직구명줄)를 설치하고 안전대를 체결한 후 작업"/>
  </r>
  <r>
    <n v="4"/>
    <x v="4"/>
    <x v="21"/>
    <x v="40"/>
    <s v="YES"/>
    <x v="12"/>
    <x v="42"/>
    <s v="12대 기인물"/>
    <n v="8"/>
    <n v="3.6999999999999998E-2"/>
    <s v="2020년 8월경"/>
    <d v="2020-08-01T00:00:00"/>
    <n v="8"/>
    <s v="혹서기"/>
    <x v="2"/>
    <s v="2020년 8월경 OO아파트 균열보수 및 재 도장 공사 현장에서 재해자가 아파트 외부 측벽 도장 보수 공사를 하기위해 달비계 작업대에서 작업도중 옥상외부 측벽 부위에 설치되어 있던 장식용 구조물 일부가 탈락 및 파손되면서 아래로 낙하되어 작업대에서 작업중이던 재해자를 타격함과 동시에 추락하여 사망"/>
    <s v="달비계에 탑승하여 외벽 도장작업 중 옥상 외부측벽에 설치된 장식용 구조물 일부가 파손되어 낙하하면서 낙하물에 맞은 후 달비계에서 추락"/>
    <s v="▶ 달비계 작업 시 주로프 외 보조로프(수직구명줄)를 설치하고 안전대를 체결한 후 작업_x000a_▶ 달비계 작업구간에 낙하물 위험여부를 사전 점검하여 덮개 설치 등 조치"/>
  </r>
  <r>
    <n v="4"/>
    <x v="4"/>
    <x v="21"/>
    <x v="40"/>
    <s v="YES"/>
    <x v="12"/>
    <x v="42"/>
    <s v="12대 기인물"/>
    <n v="8"/>
    <n v="3.6999999999999998E-2"/>
    <s v="2020년 9월경"/>
    <d v="2020-09-01T00:00:00"/>
    <n v="9"/>
    <s v="-"/>
    <x v="2"/>
    <s v="2020년 9월경 아파트 균열보수 및 재도장 공사 현장에서 재해자가 아파트 외벽 도장작업을 위해 달비계에 탑승하여 하강하던 중 추락(H≒60m)하여 사망"/>
    <s v="안전대 및 구명줄을 체결하지 않고 달비계에서 작업 중 몸의 중심을 잃고 추락"/>
    <s v="▶ 달비계 작업 시 주로프 외 보조로프(수직구명줄)를 설치하고 안전대를 체결한 후 작업_x000a_▶ 달비계 로프는 콘크리트에 매립된 고리, 건축물의 콘크리트 또는 철재 구조물 등 2개 이상의 견고한 고정점에 풀리지 않도록 결속_x000a_▶ 개인보호구 지급 및 착용"/>
  </r>
  <r>
    <n v="4"/>
    <x v="4"/>
    <x v="21"/>
    <x v="40"/>
    <s v="YES"/>
    <x v="12"/>
    <x v="42"/>
    <s v="12대 기인물"/>
    <n v="8"/>
    <n v="3.6999999999999998E-2"/>
    <s v="2020년 11월"/>
    <d v="2020-11-01T00:00:00"/>
    <n v="11"/>
    <s v="-"/>
    <x v="2"/>
    <s v="2020년 11월경, OO아파트 균열보수 및 재도장 및 기타 보수공사 현장에서, 재해자가 옥탑에서 외벽도장작업(스프레이건)을 위해 달비계에 탑승하는 순간, 청소용 고리에 결속한 지지용 로프가 풀리면서 달비계와 함께 약 73m 아래 지상 바닥으로 추락하여 사망"/>
    <s v="달비계에 탑승하여 외벽 도장작업 중 고정점에 결속한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20년 11월"/>
    <d v="2020-11-01T00:00:00"/>
    <n v="11"/>
    <s v="-"/>
    <x v="2"/>
    <s v="2020년 11월경 OO아파트 균열보수 및 도장공사 현장에서 재해자가 지상 27층 아파트 옥상에서 외벽 도장작업을 하기 위해 달비계 작업대를 탑승하고 지상25층으로 내려가던 중 몸의 중심을 잃고 지상 바닥으로 추락(H≒70m)하여 사망"/>
    <s v="안전대 및 구명줄을 체결하지 않고 달비계에서 작업 중 몸의 중심을 잃고 추락"/>
    <s v="▶ 달비계 작업 시 주로프 외 보조로프(수직구명줄)를 설치하고 안전대를 체결한 후 작업_x000a_▶ 달비계 로프는 콘크리트에 매립된 고리, 건축물의 콘크리트 또는 철재 구조물 등 2개 이상의 견고한 고정점에 풀리지 않도록 결속_x000a_▶ 개인보호구 지급 및 착용"/>
  </r>
  <r>
    <n v="4"/>
    <x v="4"/>
    <x v="21"/>
    <x v="40"/>
    <s v="YES"/>
    <x v="12"/>
    <x v="42"/>
    <s v="12대 기인물"/>
    <n v="8"/>
    <n v="3.6999999999999998E-2"/>
    <s v="2020년 11월"/>
    <d v="2020-11-01T00:00:00"/>
    <n v="11"/>
    <s v="-"/>
    <x v="2"/>
    <s v="2020년 11월경 OO아파트 하자보수(재도장) 현장에서 재해자가 5층 아파트 외벽 균열보수작업을 하기 위하여 옥상에서 달비계 작업대에 탑승하던 중 몸의 중심을 잃고 지상 1층(약 19.5m) 바닥으로 추락하여 사망"/>
    <s v="안전대를 체결하지 않은 상태에서 달비계에 탑승하던 중 실족 또는 몸의 중심을 잃고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20년 12월"/>
    <d v="2020-12-01T00:00:00"/>
    <n v="12"/>
    <s v="혹한기"/>
    <x v="2"/>
    <s v="2020년 12월경 OO아파트 외부 재도장 공사현장에서 재해자가 지상 14층 외부에서 달비계를 사용하여 도장작업 중 작업용 로프가 절단되어 약 31m 아래 지상 5층 위치의 파라펫 바닥으로 추락하여 사망"/>
    <s v="안전대를 미착용하고 구명줄을 미설치한 상태에서 달비계를 사용하여 외벽 도장작업 중 작업로프가 파단되면서 추락"/>
    <s v="▶ 달비계 작업 전 로프 및 작업대 손상여부 확인 점검 철저_x000a_▶ 달줄이 구조물과 면하는 모서리부는 마모되지 않도록 보호패드 설치_x000a_▶ 달비계 작업 시 주로프 외 보조로프(수직구명줄)를 설치하고 안전대를 체결한 후 작업"/>
  </r>
  <r>
    <n v="4"/>
    <x v="4"/>
    <x v="21"/>
    <x v="40"/>
    <s v="YES"/>
    <x v="12"/>
    <x v="42"/>
    <s v="12대 기인물"/>
    <n v="8"/>
    <n v="3.6999999999999998E-2"/>
    <s v="2020년 12월"/>
    <d v="2020-12-01T00:00:00"/>
    <n v="12"/>
    <s v="혹한기"/>
    <x v="2"/>
    <s v="2020년 12월경 OO아파트 균열보수 및 재도장공사 현장에서 재해자가 아파트 외벽 도장작업을 하기 위하여 지붕층 단부에 설치한 달비계에 앉아서 달비계 연결 로프를 조절하던 중 달비계 연결부(샤클)의 매듭이 풀리며 높이 약 44m 아래 지면(화단)으로 추락하여 사망"/>
    <s v="외벽 도장작업을 위해 지붕층 단부에 설치한 달비계 작업대에 앉아 달비계 연결로프를 조절하던 중 작업대와 로프의 연결부(샤클) 매듭이 풀리며 바닥으로 추락"/>
    <s v="▶ 작업로프와 달비계 연결부(샤클) 견고하게 결속하고 탑승 전 결속상태 확인점검_x000a_▶ 달비계 작업 시 주로프 외 보조로프(수직구명줄)를 설치하고 안전대를 체결한 후 작업_x000a_▶ 개인보호구 지급 및 착용"/>
  </r>
  <r>
    <n v="4"/>
    <x v="4"/>
    <x v="21"/>
    <x v="40"/>
    <s v="YES"/>
    <x v="12"/>
    <x v="42"/>
    <s v="12대 기인물"/>
    <n v="8"/>
    <n v="3.6999999999999998E-2"/>
    <s v="2021년 3월경"/>
    <d v="2021-03-01T00:00:00"/>
    <n v="3"/>
    <s v="-"/>
    <x v="2"/>
    <s v="2021년 3월경 OO아파트 2동 3-4라인 지상 20층 높이에서 재해자가 달비계를 이용해 외벽작업을 하던 중, 20층 발코니 돌출부위(유리천장) 상부 모서리에 접촉되어있던 달비계 작업대용 로프가 마찰에 의해 파단되어 약 53m아래 지상으로 추락하여 사망"/>
    <s v="달비계를 이용하여 외벽작업을 하던 중 작업로프가 끊어지면서 바닥으로 추락"/>
    <s v="▶ 작업용 로프 파단이 발생하지 않도록 모서리 구간 덧댐"/>
  </r>
  <r>
    <n v="4"/>
    <x v="4"/>
    <x v="21"/>
    <x v="40"/>
    <s v="YES"/>
    <x v="12"/>
    <x v="42"/>
    <s v="12대 기인물"/>
    <n v="8"/>
    <n v="3.6999999999999998E-2"/>
    <s v="2021년 3월경"/>
    <d v="2021-03-01T00:00:00"/>
    <n v="3"/>
    <s v="-"/>
    <x v="2"/>
    <s v="2021년 3월경 OO아파트 균열보수 및 재도장공사 현장에서, 재해자가 아파트 외벽 도장작업을 위하여 달비계(작업의자)에 앉은 후, 아파트 외벽 도장 작업을 하던 중 달비계 작업용 로프 매듭이 풀리며 지면으로 추락하여 사망"/>
    <s v="달비계에 탑승하여 외벽 도장작업 중 고정점에 결속한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21년 9월경"/>
    <d v="2021-09-01T00:00:00"/>
    <n v="9"/>
    <s v="-"/>
    <x v="2"/>
    <s v="2021년 9월경 OO아파트 외벽 도장공사 현장에서 재해자는 협소한 승강기 기계실 상부로 혼자 올라가서 옥탑층에 있는 현장팀장의 보조 하에 분무형 페인트 호스 교체 등 달비계 작업을 준비하던 중 승강기 기계실 상부(H≒97m)에서 지상으로 추락하여 사망"/>
    <s v="구조물 단부에서 안전대를 착용하지 않고 작업 준비 중 구조물 단부로 추락"/>
    <s v="▶ 달비계 작업 시 주로프 외 보조로프(수직구명줄)를 설치하고 안전대를 체결한 후 작업_x000a_▶ 달비계 로프는 콘크리트에 매립된 고리, 건축물의 콘크리트 또는 철재 구조물 등 2개 이상의 견고한 고정점에 풀리지 않도록 결속_x000a_▶ 개인보호구 지급 및 착용"/>
  </r>
  <r>
    <n v="4"/>
    <x v="4"/>
    <x v="21"/>
    <x v="40"/>
    <s v="YES"/>
    <x v="12"/>
    <x v="42"/>
    <s v="12대 기인물"/>
    <n v="8"/>
    <n v="3.6999999999999998E-2"/>
    <s v="2021년 9월경"/>
    <d v="2021-09-01T00:00:00"/>
    <n v="9"/>
    <s v="-"/>
    <x v="2"/>
    <s v="2021년 9월경 OO아파트 내·외부 재도장 공사현장에서 재해자(달비계공, 남)가 달비계를 이용하여 아파트 20층 외부창문 물청소 작업을 하던 중 달비계 작업로프가 끊어지면서 화단으로 추락하여 사망"/>
    <s v="달비계를 이용하여 외벽작업을 하던 중 작업로프가 끊어지면서 바닥으로 추락"/>
    <s v="▶ 작업용 로프 파단이 발생하지 않도록 모서리 구간 덧댐"/>
  </r>
  <r>
    <n v="4"/>
    <x v="4"/>
    <x v="21"/>
    <x v="40"/>
    <s v="YES"/>
    <x v="12"/>
    <x v="42"/>
    <s v="12대 기인물"/>
    <n v="8"/>
    <n v="3.6999999999999998E-2"/>
    <s v="2021년 11월"/>
    <d v="2021-11-01T00:00:00"/>
    <n v="11"/>
    <s v="-"/>
    <x v="2"/>
    <s v="2021년 11월경 OO복지관 방수방음공사 현장에서, 재해자가 옥상 난간 위에 올라 달비계 위치를 조절하거나, 달비계 탑승준비 중 바닥으로 추락하여(H≒22m) 사망"/>
    <s v="안전대를 체결하지 않은 상태에서 달비계에 탑승하던 중 실족 또는 몸의 중심을 잃고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2"/>
    <x v="88"/>
    <s v="YES"/>
    <x v="12"/>
    <x v="41"/>
    <s v="12대 기인물"/>
    <n v="4"/>
    <n v="6.9000000000000006E-2"/>
    <s v="2017년 3월경"/>
    <d v="2017-03-01T00:00:00"/>
    <n v="3"/>
    <s v="-"/>
    <x v="0"/>
    <s v="2017년 3월경 OO오피스텔 및 도시형 생활주택 현장에서 재해자가 지상1층 외부 쌍줄비계와 건물외벽 사이에서 철제 창틀를 로프로 묶어주고 동료작업자가 건물내부 계단실에 설치된 윈치를 이용하여 계단실 창틀을 인양하는 작업 중 창틀이 외부 쌍줄비계의 돌출된 비계파이프(장선)에 부딪쳐 분해되면서 떨어져(약13m) 재해자를 강타"/>
    <s v="외부비계와 건물 외벽 사이에서 윈치를 이용하여 철제 창틀을 인양하던 중 창틀이 돌출물에 걸려 낙하하면서 맞음"/>
    <s v="▶ 개구가 있는 창틀 등을 외부비계에서 인양할 시, 자재가 돌출물에 걸리지 않도록 돌출물이 없는 방향(비계의 외측)에서 인양작업을 하거나 자재의 개구부를 덮개로 덮은 후 인양작업 실시_x000a_▶ 양중작업 시 작업반경 내 접근통제 조치 및 작업지휘자 배치"/>
  </r>
  <r>
    <n v="4"/>
    <x v="4"/>
    <x v="22"/>
    <x v="41"/>
    <s v="YES"/>
    <x v="12"/>
    <x v="41"/>
    <s v="12대 기인물"/>
    <n v="4"/>
    <n v="6.9000000000000006E-2"/>
    <s v="2016년 9월경"/>
    <d v="2016-09-01T00:00:00"/>
    <n v="9"/>
    <s v="-"/>
    <x v="2"/>
    <s v="2016년 9월경 근생 및 다가구 신축공사 현장에서 재해자가 지상 2층 구간 외벽창호 설치작업을 위해 비계 발판 위로 이동 중 실족하여 지상 1층 바닥으로 떨어져(높이 약 3.7m) 사망"/>
    <s v="비계 발판 위에서 이동 중 작업발판이 설치되지 않은 개구부에서 실족하여 추락"/>
    <s v="▶ 외부비계 조립 시, 작업통로 작업발판을 밀실하게 설치하며 상하부 안전난간 설치 철저_x000a_▶ 추락의 위험이 있는 작업 시, 안전대 부착설비 설치 등 안전방호조치 실시_x000a_▶ 작업자의 개인보호구, 안전대 체결여부 점검 및 관리감독"/>
  </r>
  <r>
    <n v="4"/>
    <x v="4"/>
    <x v="22"/>
    <x v="41"/>
    <s v="YES"/>
    <x v="12"/>
    <x v="42"/>
    <s v="12대 기인물"/>
    <n v="8"/>
    <n v="3.6999999999999998E-2"/>
    <s v="2019년 8월경"/>
    <d v="2019-08-01T00:00:00"/>
    <n v="8"/>
    <s v="혹서기"/>
    <x v="2"/>
    <s v="2019년 8월경 상가주택 외벽 방수공사 현장에서 재해자가 달비계를 이용하여 경사지붕 하부 창틀 코킹작업 중 옥상 청소용 걸이와 지붕 피뢰침에 묶인 지지로프가 풀리면서 지상 바닥(높이 약16m)으로 추락"/>
    <s v="달비계 작업 중 고정점의 지지로프가 풀리면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2"/>
    <x v="41"/>
    <s v="YES"/>
    <x v="12"/>
    <x v="42"/>
    <s v="12대 기인물"/>
    <n v="8"/>
    <n v="3.6999999999999998E-2"/>
    <s v="2020년 11월"/>
    <d v="2020-11-01T00:00:00"/>
    <n v="11"/>
    <s v="-"/>
    <x v="2"/>
    <s v="2020년 11월경 재해자가 아파트 발코니 창틀 외부 코킹작업을 위해 옥상에서 달비계에 탑승하는 순간 달비계 로프 고정점이 파손되어 지상으로 추락 (H≒40m)"/>
    <s v="달비계에 탑승하던 중 로프의 고정점이 파손되어 추락"/>
    <s v="▶ 달비계 로프는 콘크리트에 매립된 고리, 건축물의 콘크리트 또는 철재 구조물 등 2개 이상의 견고한 고정점에 풀리지 않도록 결속_x000a_▶ 근로자의 하중을 견딜 수 있는 충분한 강도를 가진 로프, 구명줄 및 고정점 사용"/>
  </r>
  <r>
    <n v="4"/>
    <x v="4"/>
    <x v="22"/>
    <x v="41"/>
    <s v="YES"/>
    <x v="12"/>
    <x v="42"/>
    <s v="12대 기인물"/>
    <n v="8"/>
    <n v="3.6999999999999998E-2"/>
    <s v="2021년 3월경"/>
    <d v="2021-03-01T00:00:00"/>
    <n v="3"/>
    <s v="-"/>
    <x v="2"/>
    <s v="2021년 3월경 OO건설 코킹공사 현장에서 하청업체 소속 재해자가 아파트 옥상에서 유리창 코킹작업을 하기 위해 달비계 작업대를 탑승하여 동료작업자에게 자재를 건네받은 직후 메인로프가 풀리면서 지상 바닥으로 추락(H≒70m)하여 사망"/>
    <s v="달비계 작업 중 지지로프가 풀리면서 지상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13"/>
    <x v="42"/>
    <s v="YES"/>
    <x v="12"/>
    <x v="41"/>
    <s v="12대 기인물"/>
    <n v="4"/>
    <n v="6.9000000000000006E-2"/>
    <s v="2016년 9월경"/>
    <d v="2016-09-01T00:00:00"/>
    <n v="9"/>
    <s v="-"/>
    <x v="2"/>
    <s v="2016년 9월경 OO건설에서 시공중인 OO교회 예배당 신축공사 현장에서 재해자가 옥상 패러핏에 단열용 스티로폼을 설치하다가 지상 3층 외부 비계 작업발판으로 이동하여 옥상 패러핏 설치 위치 등을 확인 중 작업발판 단부에서 실족하여 지상 1층 외부 바닥으로 떨어져(높이≒10.5m) 사망"/>
    <s v="안전난간이 미설치된 외부비계에서 바깥으로 몸을 내밀어 작업하다 바닥으로 떨어짐"/>
    <s v="▶ 외부비계 조립 시, 작업통로 작업발판을 밀실하게 설치하며 내, 외측에 안전난간대(2단) 설치 철저_x000a_▶ 안전난간이 미설치된 외부비계에서 작업 및 이동 시 안전대를 체결하도록 조치"/>
  </r>
  <r>
    <n v="4"/>
    <x v="4"/>
    <x v="13"/>
    <x v="42"/>
    <s v="YES"/>
    <x v="12"/>
    <x v="41"/>
    <s v="12대 기인물"/>
    <n v="4"/>
    <n v="6.9000000000000006E-2"/>
    <s v="2017년 8월경"/>
    <d v="2017-08-01T00:00:00"/>
    <n v="8"/>
    <s v="혹서기"/>
    <x v="2"/>
    <s v="2017년 8월경 다가구주택 신축공사 현장에서 재해자(보통인부)가 건물 외부 비계 위에서 외벽 마감작업(합판 설치작업)을 하던 중, 작업발판 단부에 설치되어 있던 상부 안전난간(강관pipe)를 잡고 힘을 주는 순간, 강관파이프를 고정하던 클램프가 파단되면서 재해자가 안전난간대와 함께 지상으로 떨어져 사망"/>
    <s v="비계에서 작업 중 구조물과 비계 사이의 작업공간 확보를 위해 비계 안전난간을 외측으로 밀어내는 과정에서 난간을 고정한 클램프가 파단되어 안전난간과 함께 바닥으로 추락"/>
    <s v="▶ 비계 내, 외측의 추락 위험구간에는 안전난간을 상부, 중간 난간대로 구성하여 설치하고, 전용 연결 핀 또는 클램프 등을 사용하여 견고하게 고정_x000a_▶ 안전난간은 구조적으로 가장 취약한 지점에서 가장 취약한 방향으로 작용하는 100kg 이상의 하중에 견딜 수 있는 구조로 설치_x000a_▶ 안전난간 재료로 사용되는 파이프, 클램프 등은 안전인증품으로 사용_x000a_▶ 비계의 안전난간 해체는 원칙적으로 금지하고, 벽체 마감재 시공을 위해 부득이하게 해체해야할 경우 사전에 안전성을 고려하여 발판과 벽체 사이 간격을 최소한으로 검토하여 설치하거나, 근로자 안전대 지급 및 안전대 착용한 상태로 이동 및 작업할 수 있도록 관리감독_x000a_▶ 비계 작업발판 설치 시, 견고하게 고정하며 별도의 개구부가 발생하지 않도록 설치_x000a_▶ 작업자의 개인보호구 착용, 안전대 체결여부 점검 및 관리감독"/>
  </r>
  <r>
    <n v="4"/>
    <x v="4"/>
    <x v="13"/>
    <x v="42"/>
    <s v="YES"/>
    <x v="12"/>
    <x v="42"/>
    <s v="12대 기인물"/>
    <n v="8"/>
    <n v="3.6999999999999998E-2"/>
    <s v="2020년 9월경"/>
    <d v="2020-09-01T00:00:00"/>
    <n v="9"/>
    <s v="-"/>
    <x v="2"/>
    <s v="2020년 9월경 OO(주) OO공동주택 건설현장의 118동 지상28층 외부 발코니에서 재해자가 아파트 외부 환기구 캡 설치작업 중 달비계 작업용 로프가 파단되어 지상1층 흙바닥으로 추락(H≒78m) 사망"/>
    <s v="달비계 작업 중 옥상 구조물 모서리 부위에서 로프가 파단되어 추락"/>
    <s v="▶ 주 로프, 보조 로프는 작업 전 육안 점검을 실시하고 부적격 섬유로프 사용 금지_x000a_▶ 달비계 로프 사용 시 옥상 구조물 모서리 등에 보호패드를 설치_x000a_▶ 로프는 옥상 구조물(철골, 콘크리트 등) 2개소 이상에 견고하게 고정_x000a_▶ 추락방지대 선 체결 후 달비계 작업 실시_x000a_▶ 근로자 개인보호구 착용 등 관리감독 철저"/>
  </r>
  <r>
    <n v="4"/>
    <x v="4"/>
    <x v="13"/>
    <x v="42"/>
    <s v="YES"/>
    <x v="12"/>
    <x v="41"/>
    <s v="12대 기인물"/>
    <n v="4"/>
    <n v="6.9000000000000006E-2"/>
    <s v="2021년 2월경"/>
    <d v="2021-02-01T00:00:00"/>
    <n v="2"/>
    <s v="혹한기"/>
    <x v="2"/>
    <s v="2021년 2월경 OO(주) 타운하우스 신축공사 현장에서, 외부 벽체 단열공사 협력업체 소속의 재해자(단열공)가 지상 2층 에어컨배관 매립부에 단열재 마감작업(메쉬미장)을 하기 위해, 외부 강관비계의 외측 안전난간대 밖으로 나가, 작업발판 3단에서 2단으로 이동(추정)하던 중 높이 약 5.7m 아래의 바닥으로 추락하여 사망"/>
    <s v="작업통로가 아닌 비계 외측으로 난간을 밟고 이동하던 중 발을 헛디뎌 바닥으로 추락"/>
    <s v="▶ 비계 내측에 근로자가 상, 하로 이동할 수 있는 계단식 구조의 발판을 설치하고 개방된 양 측면에는 안전난간을 2단으로 구성하여 전용 이동통로를 이용하도록 관리감독_x000a_▶ 계단형 발판을 설치할 수 없을 경우, 해치형 작업발판 및 사다리 이동통로를 구성하여 근로자가 비계 외측으로 이동하는 것을 금지 조치"/>
  </r>
  <r>
    <n v="4"/>
    <x v="4"/>
    <x v="14"/>
    <x v="20"/>
    <s v="YES"/>
    <x v="12"/>
    <x v="42"/>
    <s v="12대 기인물"/>
    <n v="8"/>
    <n v="3.6999999999999998E-2"/>
    <s v="2016년 12월"/>
    <d v="2016-12-01T00:00:00"/>
    <n v="12"/>
    <s v="혹한기"/>
    <x v="2"/>
    <s v="2016년 12월경 ㈜OO에서 시공하는 ㈜OO 공장 증축공사 현장에서 공장 판넬 및 창호 설치를 담당하는 하청업체 소속 재해자가 4층 바닥 높이 외부에서 줄에 매달려 그라스울판넬 고정 및 볼팅작업을 하고 휴식을 위하여 건물 창호등에 걸친채로 추락방지대를 해체하려던중 몸의 중심을 잃고 11m 높이에서 떨어져 사망"/>
    <s v="달비계 작업 중 구조물 내부로 이동하기 위해 창틀에 걸터앉은 자세로 추락방지대를 해체하던 중 몸의 중심을 잃고 추락"/>
    <s v="▶ 고소 작업 시 현장 내 안전을 고려하여 가능한 가장 안전한 시설(고소작업대, 시스템비계 등)을 사용하여 작업 진행_x000a_▶ 수직 구명줄에 매달려 작업하는 경우, 추락방지대의 해체는 건물 내부로 완전히 진입 후 추락 위험이 없을 때 실시하도록 근로자 교육"/>
  </r>
  <r>
    <n v="4"/>
    <x v="4"/>
    <x v="14"/>
    <x v="20"/>
    <s v="YES"/>
    <x v="12"/>
    <x v="41"/>
    <s v="12대 기인물"/>
    <n v="4"/>
    <n v="6.9000000000000006E-2"/>
    <s v="2018년 6월경"/>
    <d v="2018-06-01T00:00:00"/>
    <n v="6"/>
    <s v="혹서기"/>
    <x v="2"/>
    <s v="2018년 6월경 단독주택신축공사 현장에서 재해자가 외부 강관비계 1단 작업발판 상에서 주택지붕 자재(샌드위치 판넬)의 설치작업을 하던중 실족하여 높이 약 1.95m 아래 지상바닥으로 추락하여 사망"/>
    <s v="안전난간이 미설치된 비계 작업발판, 가설계단 위에서 이동 또는 작업 중 추락"/>
    <s v="▶ 비계 내, 외측의 추락 위험구간에는 안전난간을 상부, 중간 난간대로 구성하여 설치하고, 전용 연결 핀 또는 클램프 등을 사용하여 견고하게 고정_x000a_▶ 안전난간은 구조적으로 가장 취약한 지점에서 가장 취약한 방향으로 작용하는 100kg 이상의 하중에 견딜 수 있는 구조로 설치_x000a_▶ 안전난간 재료로 사용되는 파이프, 클램프 등은 안전인증품으로 사용_x000a_▶ 비계의 안전난간 해체는 원칙적으로 금지하고, 벽체 마감재 시공을 위해 부득이하게 해체해야할 경우 사전에 안전성을 고려하여 발판과 벽체 사이 간격을 최소한으로 검토하여 설치하거나, 근로자 안전대 지급 및 안전대 착용한 상태로 이동 및 작업할 수 있도록 관리감독_x000a_▶ 비계 작업발판 설치 시, 견고하게 고정하며 별도의 개구부가 발생하지 않도록 설치_x000a_▶ 작업자의 개인보호구 착용, 안전대 체결여부 점검 및 관리감독"/>
  </r>
  <r>
    <n v="4"/>
    <x v="4"/>
    <x v="14"/>
    <x v="20"/>
    <s v="YES"/>
    <x v="12"/>
    <x v="42"/>
    <s v="12대 기인물"/>
    <n v="8"/>
    <n v="3.6999999999999998E-2"/>
    <s v="2018년 12월"/>
    <d v="2018-12-01T00:00:00"/>
    <n v="12"/>
    <s v="혹한기"/>
    <x v="2"/>
    <s v="2018년 12월경 근린생활시설 신축공사(개인) 현장에서 재해자가 달비계에 탑승하여 건물 외벽 선홈통 설치 작업 중 달비계 로프(ø16mm, P.P로프)가 파단되며 지상으로 떨어져(H≒14.3m) 사망"/>
    <s v="달비계 작업 중 옥상 구조물 모서리 부위에서 로프가 파단되어 추락"/>
    <s v="▶ 주 로프, 보조 로프는 작업 전 육안 점검을 실시하고 부적격 섬유로프 사용 금지_x000a_▶ 달비계 로프 사용 시 옥상 구조물 모서리 등에 보호패드를 설치_x000a_▶ 로프는 옥상 구조물(철골, 콘크리트 등) 2개소 이상에 견고하게 고정_x000a_▶ 추락방지대 선 체결 후 달비계 작업 실시_x000a_▶ 근로자 개인보호구 착용 등 관리감독 철저"/>
  </r>
  <r>
    <n v="4"/>
    <x v="4"/>
    <x v="14"/>
    <x v="20"/>
    <s v="YES"/>
    <x v="12"/>
    <x v="41"/>
    <s v="12대 기인물"/>
    <n v="4"/>
    <n v="6.9000000000000006E-2"/>
    <s v="2020년 3월경"/>
    <d v="2020-03-01T00:00:00"/>
    <n v="3"/>
    <s v="-"/>
    <x v="2"/>
    <s v="2020년 3월경 OO(주) 구조물 설치 및 지붕공사 현장에서, 재해자(내장목공) 지붕의 처마 마감작업을 하기 위해 외부쌍줄비계에 각재(폭 16cm)로 발판을 설치하고 그 위에서 처마마감재(처마널) 설치작업 중 몸의 중심을 잃고 하부 콘크리트 바닥(H≒4.7m)으로 떨어져 사망"/>
    <s v="비계에서 작업 중 발을 헛디뎌 안전난간이 설치되지 않은 작업발판 단부로 추락"/>
    <s v="▶ 비계 내, 외측의 추락 위험구간에는 안전난간을 상부, 중간 난간대로 구성하여 설치하고, 전용 연결 핀 또는 클램프 등을 사용하여 견고하게 고정_x000a_▶ 안전난간은 구조적으로 가장 취약한 지점에서 가장 취약한 방향으로 작용하는 100kg 이상의 하중에 견딜 수 있는 구조로 설치_x000a_▶ 안전난간 재료로 사용되는 파이프, 클램프 등은 안전인증품으로 사용_x000a_▶ 비계의 안전난간 해체는 원칙적으로 금지하고, 벽체 마감재 시공을 위해 부득이하게 해체해야할 경우 사전에 안전성을 고려하여 발판과 벽체 사이 간격을 최소한으로 검토하여 설치하거나, 근로자 안전대 지급 및 안전대 착용한 상태로 이동 및 작업할 수 있도록 관리감독_x000a_▶ 비계 작업발판 설치 시, 견고하게 고정하며 별도의 개구부가 발생하지 않도록 설치_x000a_▶ 작업자의 개인보호구 착용, 안전대 체결여부 점검 및 관리감독"/>
  </r>
  <r>
    <n v="4"/>
    <x v="4"/>
    <x v="14"/>
    <x v="20"/>
    <s v="YES"/>
    <x v="12"/>
    <x v="41"/>
    <s v="12대 기인물"/>
    <n v="4"/>
    <n v="6.9000000000000006E-2"/>
    <s v="2020년 5월경"/>
    <d v="2020-05-01T00:00:00"/>
    <n v="5"/>
    <s v="-"/>
    <x v="2"/>
    <s v="2020년 5월경 ㈜OO이 시공하는 OO 복합개발사업 현장에서 협력업체 소속 재해자(석공)이 102동 상가 외부비계에서 돌붙임용 하지철물 설치작업 중 외부비계와 상가건물 사이(40cm)로 떨어져(H≒4.8m) 사망"/>
    <s v="비계에서 작업 중 발을 헛디뎌 안전난간이 설치되지 않은 작업발판 단부로 추락"/>
    <s v="▶ 비계 내, 외측의 추락 위험구간에는 안전난간을 상부, 중간 난간대로 구성하여 설치하고, 전용 연결 핀 또는 클램프 등을 사용하여 견고하게 고정_x000a_▶ 안전난간은 구조적으로 가장 취약한 지점에서 가장 취약한 방향으로 작용하는 100kg 이상의 하중에 견딜 수 있는 구조로 설치_x000a_▶ 안전난간 재료로 사용되는 파이프, 클램프 등은 안전인증품으로 사용_x000a_▶ 비계의 안전난간 해체는 원칙적으로 금지하고, 벽체 마감재 시공을 위해 부득이하게 해체해야할 경우 사전에 안전성을 고려하여 발판과 벽체 사이 간격을 최소한으로 검토하여 설치하거나, 근로자 안전대 지급 및 안전대 착용한 상태로 이동 및 작업할 수 있도록 관리감독_x000a_▶ 비계 작업발판 설치 시, 견고하게 고정하며 별도의 개구부가 발생하지 않도록 설치_x000a_▶ 작업자의 개인보호구 착용, 안전대 체결여부 점검 및 관리감독"/>
  </r>
  <r>
    <n v="4"/>
    <x v="4"/>
    <x v="14"/>
    <x v="20"/>
    <s v="YES"/>
    <x v="12"/>
    <x v="41"/>
    <s v="12대 기인물"/>
    <n v="4"/>
    <n v="6.9000000000000006E-2"/>
    <s v="2020년 8월경"/>
    <d v="2020-08-01T00:00:00"/>
    <n v="8"/>
    <s v="혹서기"/>
    <x v="2"/>
    <s v="2020년 8월경 ㈜OO이 시공하는 OO변전소 외벽교체 및 기타공사 현장에서 일용직 재해자(판넬공)가 시스템비계 3단 작업발판 위에서 건물 정면부 외벽 판넬 설치작업 중 건물 외벽과 작업발판 끝 사이 개구부로 몸의 중심을 잃고 약 5m 아래 환기구 덮개(스틸 그레이팅) 위로 떨어져 사망"/>
    <s v="비계에서 작업 중 발을 헛디뎌 안전난간이 설치되지 않은 작업발판 단부로 추락"/>
    <s v="▶ 비계 내, 외측의 추락 위험구간에는 안전난간을 상부, 중간 난간대로 구성하여 설치하고, 전용 연결 핀 또는 클램프 등을 사용하여 견고하게 고정_x000a_▶ 안전난간은 구조적으로 가장 취약한 지점에서 가장 취약한 방향으로 작용하는 100kg 이상의 하중에 견딜 수 있는 구조로 설치_x000a_▶ 안전난간 재료로 사용되는 파이프, 클램프 등은 안전인증품으로 사용_x000a_▶ 비계의 안전난간 해체는 원칙적으로 금지하고, 벽체 마감재 시공을 위해 부득이하게 해체해야할 경우 사전에 안전성을 고려하여 발판과 벽체 사이 간격을 최소한으로 검토하여 설치하거나, 근로자 안전대 지급 및 안전대 착용한 상태로 이동 및 작업할 수 있도록 관리감독_x000a_▶ 비계 작업발판 설치 시, 견고하게 고정하며 별도의 개구부가 발생하지 않도록 설치_x000a_▶ 작업자의 개인보호구 착용, 안전대 체결여부 점검 및 관리감독"/>
  </r>
  <r>
    <n v="5"/>
    <x v="5"/>
    <x v="15"/>
    <x v="46"/>
    <s v="YES"/>
    <x v="12"/>
    <x v="41"/>
    <s v="12대 기인물"/>
    <n v="4"/>
    <n v="6.9000000000000006E-2"/>
    <s v="2016년 6월경"/>
    <d v="2016-06-01T00:00:00"/>
    <n v="6"/>
    <s v="혹서기"/>
    <x v="2"/>
    <s v="2016년 6월경 ㈜OO 백필터 증설 및 개선공사(집진기 증축공사) 현장에서 재해자가 외부비계 작업발판 위에서 보온재 케이싱 고정용 너트커버 설치 작업 중 중심을 잃어 약 6.4m 아래 인도로 추락하여 사망"/>
    <s v="안전난간이 미설치된 외부비계 작업발판에서 작업 중 비계 외부로 추락"/>
    <s v="▶ 외부 강관비계 설치 및 사용시 안전사항 준수_x000a_   - 비계 작업발판은 틈새가 없도록 설치_x000a_   - 비계의 안전난간은 내,외측 둘다 설치를 하고 작업_x000a_   - 마감작업 등으로 인해 내측 난간대를 해체시, 작업자는 안전대를 체결_x000a_   - 승강로 설치(2열 작업발판 : 가설계단 설치, 1열 작업발판 : 수직사다리+해치형 발판)"/>
  </r>
  <r>
    <n v="5"/>
    <x v="5"/>
    <x v="15"/>
    <x v="21"/>
    <s v="YES"/>
    <x v="12"/>
    <x v="41"/>
    <s v="12대 기인물"/>
    <n v="4"/>
    <n v="6.9000000000000006E-2"/>
    <s v="2016년 5월경"/>
    <d v="2016-05-01T00:00:00"/>
    <n v="5"/>
    <s v="-"/>
    <x v="2"/>
    <s v="2016년 5월경 OO동 업무시설 및 공동주택 신축공사 현장에서 재해자가 건물 3층 높이(5.8m) 외부 비계발판 위에서 활선 작업(전신주에서 분기한 전선을 건물로 인입하는 작업)중 추락"/>
    <s v="외부 비계발판 위에서 활선 작업(전신주에서 분기한 전선을 건물로 인입하는 작업) 중 추락"/>
    <s v="▶ 외부 강관비계 설치 및 사용시 안전사항 준수_x000a_   - 비계 작업발판은 틈새가 없도록 설치_x000a_   - 비계의 안전난간은 내,외측 둘다 설치를 하고 작업_x000a_   - 마감작업 등으로 인해 내측 난간대를 해체시, 작업자는 안전대를 체결_x000a_   - 승강로 설치(2열 작업발판 : 가설계단 설치, 1열 작업발판 : 수직사다리+해치형 발판)"/>
  </r>
  <r>
    <n v="5"/>
    <x v="5"/>
    <x v="16"/>
    <x v="23"/>
    <s v="YES"/>
    <x v="12"/>
    <x v="42"/>
    <s v="12대 기인물"/>
    <n v="8"/>
    <n v="3.6999999999999998E-2"/>
    <s v="2016년 8월경"/>
    <d v="2016-08-01T00:00:00"/>
    <n v="8"/>
    <s v="혹서기"/>
    <x v="2"/>
    <s v="2016년 8월경 OOOOO건물보수공사 현장에서 재해자가 건물외벽에 환풍기 후드캡을 설치하기 위하여 (옥상층 수직 파라펫에 고정거치대로 고정한)달비계를 타고 내려가던 중거치대가 이탈되면서 높이25m 아래 바닥으로 떨어져 사망한 재해임. "/>
    <s v="달비계를 타고 외벽 환풍기후드캡 설치 작업 중 로프를 고정한 청소용고리가 이탈되며 추락"/>
    <s v="▶ 작업 전 달비계의 상태(마모, 파단 등) 및 기능점검 준수_x000a_▶ 작업 전 개인보호구 지급 및 착용상태 관리"/>
  </r>
  <r>
    <n v="5"/>
    <x v="5"/>
    <x v="16"/>
    <x v="23"/>
    <s v="YES"/>
    <x v="12"/>
    <x v="42"/>
    <s v="12대 기인물"/>
    <n v="8"/>
    <n v="3.6999999999999998E-2"/>
    <s v="2019년 10월"/>
    <d v="2019-10-01T00:00:00"/>
    <n v="10"/>
    <s v="-"/>
    <x v="2"/>
    <s v="2019년 10월경, OO시 OO구 OO소재 음식점의 인테리어 및 덕트설치가 진행중인 현장에서 외벽에 달비계 작업으로 덕트배관의 고정용 앵커를 4단을 설치하는 작업을 진행하는 과정에서 재해자가 최하단부 앵커설치를 위해 하강작업 중 로프의 중간부분이 갑자기 끊어지며 4층 외벽에서 지상바닥으로 떨어져(H≒13.3m) 병원으로 이동하여 치료 중 사망한 재해임"/>
    <s v="달비계를 타고 외벽 덕트배관 고정용 앵커설치 작업 중 달비계 로프 파단에 의한 추락"/>
    <s v="▶ 작업 전 달비계의 상태(마모, 파단 등) 및 기능점검 준수_x000a_▶ 작업 전 개인보호구 지급 및 착용상태 관리"/>
  </r>
  <r>
    <n v="8"/>
    <x v="7"/>
    <x v="26"/>
    <x v="51"/>
    <s v="NO"/>
    <x v="12"/>
    <x v="41"/>
    <s v="12대 기인물"/>
    <n v="4"/>
    <n v="6.9000000000000006E-2"/>
    <s v="2017년 5월경"/>
    <d v="2017-05-01T00:00:00"/>
    <n v="5"/>
    <s v="-"/>
    <x v="2"/>
    <s v="2017년 5월경 고속도로 시설개량공사 현장에서 재해자가 강교거더 걸침비계 해체를 위해 비계파이프 상부에 합판을 깔고 이동하면서 클램프를 해체하던 중 13m 아래 바닥으로 추락하여 사망"/>
    <s v="비계파이프 상부에 합판을 깔고 이동하면서 클램프 해체작업 중 합판이 이탈되어 합판과 함께 교량 하부 바닥으로 추락"/>
    <s v="▶ 추락 위험이 있는 작업 시, 견고한 작업발판 설치 또는 안전대 부착설비를 통한 추락방호조치 실시_x000a_▶ 교량 작업 전문 장비인 굴절스카이 사용을 통한 거더 하부 작업 실시"/>
  </r>
  <r>
    <n v="12"/>
    <x v="1"/>
    <x v="2"/>
    <x v="3"/>
    <s v="YES"/>
    <x v="21"/>
    <x v="44"/>
    <s v="12대 기인물"/>
    <n v="4"/>
    <n v="6.9000000000000006E-2"/>
    <s v="2018년 3월경"/>
    <d v="2018-03-01T00:00:00"/>
    <n v="3"/>
    <s v="-"/>
    <x v="2"/>
    <s v="2018년 3월경 OO인테리어공사 현장에서 재해자가 식당 외부벽체를 해체하려고 사다리(LS형)에 올라가 샌드위치 판넬을 절단하던 중 몸의 중심을 잃고 바닥으로 추락하여(H=1.5m) 사망"/>
    <s v="외부벽체를 해체하려고 사다리에 올라가 샌드위치 판넬을 절단하던 중 몸의 중심을 잃고 바닥으로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12"/>
    <x v="1"/>
    <x v="3"/>
    <x v="87"/>
    <s v="YES"/>
    <x v="21"/>
    <x v="44"/>
    <s v="12대 기인물"/>
    <n v="4"/>
    <n v="6.9000000000000006E-2"/>
    <s v="2018년 7월경"/>
    <d v="2018-07-01T00:00:00"/>
    <n v="7"/>
    <s v="혹서기"/>
    <x v="0"/>
    <s v="2018년 7월경 OO 철거공사 현장에서 재해자가 사다리에서 분진망 설치용 가설울타리를 설치하던 중 높이 3m에서 사다리와 함께 넘어지면서 가설울타리의 2단 띠장(강관 파이프)에 흉부를 부딪쳐 사망"/>
    <s v="분진망 설치용 가설울타리의 3~4단 띠장(강관 파이프) 설치 중 사다리와 함께 넘어지면서 가설울타리의 2단 띠장(강관 파이프)에 흉부 강타"/>
    <s v="▶ 추락 위험이 있는 고소 작업 시, 작업발판 설치, 이동식비계 조립 등 추락방지조치 실시_x000a_▶ 전도 위험이 있는 사다리 작업 시, 아웃트리거 부착을 통한 전도방지조치 실시_x000a_▶ 작업 전 안전대 지급 및 착용, 체결상태 관리"/>
  </r>
  <r>
    <n v="12"/>
    <x v="1"/>
    <x v="3"/>
    <x v="107"/>
    <s v="YES"/>
    <x v="21"/>
    <x v="44"/>
    <s v="12대 기인물"/>
    <n v="4"/>
    <n v="6.9000000000000006E-2"/>
    <s v="2017년 8월경"/>
    <d v="2017-08-01T00:00:00"/>
    <n v="8"/>
    <s v="혹서기"/>
    <x v="2"/>
    <s v="2017년 8월경 OO건설이 시공하는 국도 보수공사현장에서 재해자가 교각에 안전난간을 설치하기 위해 교량위에서 점검용 수직통로(사다리)를 타고 내려가, 수직통로 끝단부에서 교각으로 이동하려다 하천 바닥으로 떨어져(h=7m) 사망"/>
    <s v="수직통로(사다리) 끝단부에서 구조물으로 이동 중 실족하여 추락함"/>
    <s v="▶ 수직통로(사다리) 설치 및 교각 단부에 안전난간 설치_x000a_▶ 추락 방지를 위한 비계 조립 시 작업발판 설치 또는 고소작업대 사용_x000a_▶ 수작통로(사다리) 끝단부 통로(그레이팅)에서 이동 시 안전대 착용"/>
  </r>
  <r>
    <n v="12"/>
    <x v="1"/>
    <x v="3"/>
    <x v="107"/>
    <s v="YES"/>
    <x v="21"/>
    <x v="44"/>
    <s v="12대 기인물"/>
    <n v="4"/>
    <n v="6.9000000000000006E-2"/>
    <s v="2018년 7월경"/>
    <d v="2018-07-01T00:00:00"/>
    <n v="7"/>
    <s v="혹서기"/>
    <x v="2"/>
    <s v="2018년 7월경 OO공원 내 현장설비보수작업장에서 재해자가 집진시설에 고정된 승강용 사다리를 시설과 5cm 추가 이격하여 재설치하는 작업 중 집진시설에서 분리해 놓은 사다리를 밟고 집진시설(H=2M) 상단에 올라가기 위해서 집진시설 상단의 안전난간을 잡고 오르다 안전난간이 집진시설로부터 탈락되며 재해자가 건물 밖 서측 외부 바닥으로 떨어짐(H≒11.8m)"/>
    <s v="수직통로(사다리) 끝단부에서 구조물으로 이동 중 실족하여 추락함"/>
    <s v="▶ 수직통로(사다리) 설치 및 교각 단부에 안전난간 설치_x000a_▶ 추락 방지를 위한 비계 조립 시 작업발판 설치 또는 고소작업대 사용_x000a_▶ 수작통로(사다리) 끝단부 통로(그레이팅)에서 이동 시 안전대 착용"/>
  </r>
  <r>
    <n v="12"/>
    <x v="1"/>
    <x v="35"/>
    <x v="94"/>
    <s v="YES"/>
    <x v="21"/>
    <x v="44"/>
    <s v="12대 기인물"/>
    <n v="4"/>
    <n v="6.9000000000000006E-2"/>
    <s v="2018년 10월"/>
    <d v="2018-10-01T00:00:00"/>
    <n v="10"/>
    <s v="-"/>
    <x v="2"/>
    <s v="2018년 10월경 인테리어 공사 현장에서 재해자가 건물 2층 발코니 하부 전등 교체작업을 위해 이동식 사다리(A형) 위에서 작업을 하던 중, 사다리가 넘어지면서 높이 2.9m 아래 바닥(석재타일)으로 떨어져 사망"/>
    <s v="A형 사다리가 넘어지면서 추락"/>
    <s v="▶ 이동식 사다리를 사용 시 2인 1조로 작업, 아웃트리거 체결 철저_x000a_▶ 근로자의 개인보호구, 안전대 체결여부 점검 및 관리감독"/>
  </r>
  <r>
    <n v="12"/>
    <x v="1"/>
    <x v="5"/>
    <x v="6"/>
    <s v="YES"/>
    <x v="21"/>
    <x v="44"/>
    <s v="12대 기인물"/>
    <n v="4"/>
    <n v="6.9000000000000006E-2"/>
    <s v="2016년 1월경"/>
    <d v="2016-01-01T00:00:00"/>
    <n v="1"/>
    <s v="혹한기"/>
    <x v="2"/>
    <s v="2016년 1월경 재해자가 OO백화점 지하1층 입구 상단부에 현수막(가로 5M, 세로 0.9M)을 설치하기 위해, 한손에 현수막을 들고 계단식(A형)사다리 위(높이 약 2.5M)로 올라가 현수막을 설치하려 하였으나, 사다리 높이가 낮아 현수막을 설치하지 못하고 내려오려다 바닥으로 떨어져 사망"/>
    <s v="사다리를 이용하여 내려오던 중 중 몸의 균형을 잃고 바닥으로 추락"/>
    <s v="▶ 이동식 사다리를 사용 시 2인 1조로 작업, 아웃트리거 체결 철저_x000a_▶ 작업 전 개인보호구 지급 및 착용상태 관리"/>
  </r>
  <r>
    <n v="12"/>
    <x v="1"/>
    <x v="5"/>
    <x v="6"/>
    <s v="YES"/>
    <x v="21"/>
    <x v="44"/>
    <s v="12대 기인물"/>
    <n v="4"/>
    <n v="6.9000000000000006E-2"/>
    <s v="2019년 2월경"/>
    <d v="2019-02-01T00:00:00"/>
    <n v="2"/>
    <s v="혹한기"/>
    <x v="2"/>
    <s v="2019년 2월경 OO비닐 설치작업 후 재해자가 천장 비닐 보수작업을 위해 이동식비계 위에 사다리를 올리고 작업을 하던 중 사다리와 함께 떨어져 사망"/>
    <s v="사다리 위에서 시트지 제거 작업을 하던 중 몸의 중심을 잃고 바닥으로 추락"/>
    <s v="▶ 사다리 보다 상대적으로 작업 안정성이 뛰어난 고소작업대, 이동식 비계 등을 사용하여 작업"/>
  </r>
  <r>
    <n v="12"/>
    <x v="1"/>
    <x v="5"/>
    <x v="6"/>
    <s v="YES"/>
    <x v="21"/>
    <x v="44"/>
    <s v="12대 기인물"/>
    <n v="4"/>
    <n v="6.9000000000000006E-2"/>
    <s v="2020년 8월경"/>
    <d v="2020-08-01T00:00:00"/>
    <n v="8"/>
    <s v="혹서기"/>
    <x v="2"/>
    <s v="2020년 8월경 OO인테리어 공사 현장에서 재해자가 외부 간판에 부착된 시트지 제거작업을 위해 A형 사다리에 올라가서 해당 시트지를 잡아당겨 제거하던 중 중심을 잃고 콘크리트 바닥으로 떨어져(추정높이 2.1~2.4m) 사망"/>
    <s v="사다리 위에서 시트지 제거 작업을 하던 중 몸의 중심을 잃고 바닥으로 추락"/>
    <s v="▶ 사다리 보다 상대적으로 작업 안정성이 뛰어난 고소작업대, 이동식 비계 등을 사용하여 작업"/>
  </r>
  <r>
    <n v="12"/>
    <x v="1"/>
    <x v="5"/>
    <x v="6"/>
    <s v="YES"/>
    <x v="21"/>
    <x v="44"/>
    <s v="12대 기인물"/>
    <n v="4"/>
    <n v="6.9000000000000006E-2"/>
    <s v="2020년 9월경"/>
    <d v="2020-09-01T00:00:00"/>
    <n v="9"/>
    <s v="-"/>
    <x v="2"/>
    <s v="2020년 9월경  재해자가 순시업무를 수행 중 부인과 전화 및 문자 연락이 되지 않아 부인이 실종신고를 하였고 경찰이 OO에 위치한 전신주 옆 배수로에서 사망한 재해자를 발견"/>
    <s v="사다리를 이용하여 이동하던 중 사다리가 미끄러져 바닥으로 추락"/>
    <s v="▶ 이동식 사다리를 사용 시 2인 1조로 작업, 아웃트리거 체결 철저"/>
  </r>
  <r>
    <n v="12"/>
    <x v="1"/>
    <x v="5"/>
    <x v="6"/>
    <s v="YES"/>
    <x v="21"/>
    <x v="44"/>
    <s v="12대 기인물"/>
    <n v="4"/>
    <n v="6.9000000000000006E-2"/>
    <s v="2020년 11월"/>
    <d v="2020-11-01T00:00:00"/>
    <n v="11"/>
    <s v="-"/>
    <x v="2"/>
    <s v="2020년 11월경 OO사업장에서 재해자가 사무실 지붕 위로 병풍을 옮기기 위해 사다리(현장제작,철재)를 이용하여 사무실 지붕 위로 이동하던 중 사다리가 미끄러지면서 떨어져(높이≒1.42m) 사망"/>
    <s v="사다리를 이용하여 이동하던 중 사다리가 미끄러져 바닥으로 추락"/>
    <s v="▶ 이동식 사다리를 사용 시 2인 1조로 작업, 아웃트리거 체결 철저"/>
  </r>
  <r>
    <n v="12"/>
    <x v="1"/>
    <x v="5"/>
    <x v="6"/>
    <s v="YES"/>
    <x v="21"/>
    <x v="44"/>
    <s v="12대 기인물"/>
    <n v="4"/>
    <n v="6.9000000000000006E-2"/>
    <s v="2020년 12월"/>
    <d v="2020-12-01T00:00:00"/>
    <n v="12"/>
    <s v="혹한기"/>
    <x v="2"/>
    <s v="2020년 12월경 OO산업(주) OO신축공사 현장에서 재해자가 가설 울타리 상부에 설치되어있던 현수막 해체 작업 중, 벽에 기대어 설치한 이동식사다리에서 내려오다가 약 80cm 아래 바닥으로 떨어지며, 차수공사를 위해 주변에 설치되어 있던 H-빔에 머리가 부딪힌 후 사망"/>
    <s v="사다리를 이용하여 내려오던 중 중 몸의 균형을 잃고 바닥으로 추락"/>
    <s v="▶ 이동식 사다리를 사용 시 2인 1조로 작업, 아웃트리거 체결 철저_x000a_▶ 작업 전 개인보호구 지급 및 착용상태 관리"/>
  </r>
  <r>
    <n v="2"/>
    <x v="2"/>
    <x v="6"/>
    <x v="33"/>
    <s v="YES"/>
    <x v="21"/>
    <x v="44"/>
    <s v="12대 기인물"/>
    <n v="4"/>
    <n v="6.9000000000000006E-2"/>
    <s v="2021년 2월경"/>
    <d v="2021-02-01T00:00:00"/>
    <n v="2"/>
    <s v="혹한기"/>
    <x v="2"/>
    <s v="2021년 2월경 OO건설(주)에서 시공하는 OO신축공사 현장에서 협력업체  소속 재해자가 사다리에 올라가 지하1층 보 측면 거푸집에 못 고정작업을 마치고 내려오던 중(추정) 약 1.5~2m 아래 콘크리트 바닥으로 떨어져 사망"/>
    <s v="추락 방지조치 미실시한 상태에서 사다리에 올라가 지하층 보 측면 거푸집에 못 고정작업을 마치고 내려오던 중 추락"/>
    <s v="▶ 추락 위험이 있는 장소에서의 작업 시 비계 조립 등의 방법으로 작업발판과 작업발판 단부에 안전난간 설치_x000a_▶ 이동식 사다리를 작업에 사용 시 경작업에만 A형 사다리의 형태로 사용하고, 일자로 핀 경우 이동통로만으로 사용 _x000a_▶ 사다리 작업지침 준수"/>
  </r>
  <r>
    <n v="2"/>
    <x v="2"/>
    <x v="6"/>
    <x v="8"/>
    <s v="YES"/>
    <x v="21"/>
    <x v="44"/>
    <s v="12대 기인물"/>
    <n v="4"/>
    <n v="6.9000000000000006E-2"/>
    <s v=" 2019년 11"/>
    <d v="2019-11-01T00:00:00"/>
    <n v="11"/>
    <s v="-"/>
    <x v="2"/>
    <s v=" 2019년 11월경 OO건설 OO주택신축 공사 현장에서 재해자가 이동식 사다리 위에서 천장에 있던 합판 거푸집 해체 작업을 하던 중 몸의 중심을 잃고 약 2m 아래 콘크리트 바닥으로 떨어져 사망"/>
    <s v="작업발판 미설치한 상태에서 이동식 사다리 위에서 천장에 있던 합판 거푸집 해체 작업 중 중심을 잃고 근로자 추락"/>
    <s v="▶ 추락 위험이 있는 장소에서의 작업 시 비계 조립 등의 방법으로 작업발판과 작업발판 단부에 안전난간 설치_x000a_▶ 이동식 사다리를 작업에 사용 시 경작업에만 A형 사다리의 형태로 사용하고, 일자로 핀 경우 이동통로만으로 사용 "/>
  </r>
  <r>
    <n v="2"/>
    <x v="2"/>
    <x v="7"/>
    <x v="34"/>
    <s v="YES"/>
    <x v="21"/>
    <x v="44"/>
    <s v="12대 기인물"/>
    <n v="4"/>
    <n v="6.9000000000000006E-2"/>
    <s v="2016년 10월"/>
    <d v="2016-10-01T00:00:00"/>
    <n v="10"/>
    <s v="-"/>
    <x v="2"/>
    <s v="2016년 10월경 OO건설(주)이 시공하는 근린생활시설 신축공사 현장에서 재해자가 지하층 철근조립 작업 중 점심을 먹기 위해 흙막이지보공 1단 띠장에 걸쳐진 일자형 알루미늄 사다리(길이 5.1m, 폭 40cm)를 밟고 지하 1층에서 지상으로 올라오던 중 사다리 중간(약 2m 높이)에서 오른손을 헛짚어 몸이 오른쪽으로 돌아갔고 사다리를 잡고 있던 왼손을 놓치면서 사다리 우측 콘크리트 바닥으로 떨어져 사망"/>
    <s v="일자형 알루미늄 사다리를 밟고 올라오던 중, 사다리 중간에서 균형을 잃고 근로자가 추락"/>
    <s v="▶ 가설통로로 사다리 사용 시 유동이 없는 견고한 구조로 설치_x000a_▶ 사다리 설치 시에도 안전대 부착설비 설치 및 안전대 착용_x000a_▶ 깊이 2m를 초과하는 가설통로는 가설계단 등의 승강설비 설치"/>
  </r>
  <r>
    <n v="2"/>
    <x v="2"/>
    <x v="7"/>
    <x v="34"/>
    <s v="YES"/>
    <x v="21"/>
    <x v="44"/>
    <s v="12대 기인물"/>
    <n v="4"/>
    <n v="6.9000000000000006E-2"/>
    <s v="2017년 5월경"/>
    <d v="2017-05-01T00:00:00"/>
    <n v="5"/>
    <s v="-"/>
    <x v="2"/>
    <s v="2017년 5월경 단독주택 건축공사 현장에서 재해자가 지상 2층 바닥 슬라브 철근 배근 작업 후, 거실 벽면에 설치된 목재 사다리로 지상 1층으로 내려오던 중 목재 사다리 3단 디딤대가 탈락하면서 약 1.1m 높이에서 추락"/>
    <s v="사다리를 사용하여 이동 중 사다리 부재의 탈락으로 근로자가 추락"/>
    <s v="▶ 가설통로로 사다리 사용 시 유동이 없는 견고한 구조로 설치_x000a_▶ 사다리 설치 시에도 안전대 부착설비 설치 및 안전대 착용_x000a_▶ 깊이 2m를 초과하는 가설통로는 가설계단 등의 승강설비 설치"/>
  </r>
  <r>
    <n v="3"/>
    <x v="3"/>
    <x v="9"/>
    <x v="13"/>
    <s v="YES"/>
    <x v="21"/>
    <x v="44"/>
    <s v="12대 기인물"/>
    <n v="4"/>
    <n v="6.9000000000000006E-2"/>
    <s v="2017년 6월경"/>
    <d v="2017-06-01T00:00:00"/>
    <n v="6"/>
    <s v="혹서기"/>
    <x v="2"/>
    <s v="2017년 6월경 OO(주)에서 시공하는 OO창고 신축공사 현장에서 재해자(도장공)가 철골 도장작업을 위해 사다리(L=6.9m)를 철골보에 걸쳐놓고 사다리를 발판삼아 올라서서 도장 작업을 하던 중 사다리가 전도되면서 사다리와 함께 지상에 떨어져(H≒5m) 사망"/>
    <s v="철골 도장작업을 위해 사다리를 철골보에 걸쳐 놓고 사다리를 발판삼아 올라서서 도장 작업을 하던 중 사다리가 전도되면서 근로자 추락"/>
    <s v="▶ 철골 도장 작업 시 추락위험이 있는 경우 사다리 사용은 지양하고 비계 조립등의 방법으로 작업발판 설치_x000a_▶ 부득이 사다리를 작업발판으로 사용 시 상부는 철골보에 고정 및 하부는 아웃트리거 설치"/>
  </r>
  <r>
    <n v="3"/>
    <x v="3"/>
    <x v="9"/>
    <x v="13"/>
    <s v="YES"/>
    <x v="21"/>
    <x v="44"/>
    <s v="12대 기인물"/>
    <n v="4"/>
    <n v="6.9000000000000006E-2"/>
    <s v="2020년 6월경"/>
    <d v="2020-06-01T00:00:00"/>
    <n v="6"/>
    <s v="혹서기"/>
    <x v="2"/>
    <s v="2020년 6월경 OO건설㈜이 시공하는 ㈜OO 방음벽 공사 현장에서 OO건설(주) 소속의 재해자(용접공)가 집진기 주변에 방음벽을 설치하기 위하여 사다리 상부에서 방음벽 철골구조물 용접작업을 하던 중 높이 약 2m 아래 바닥으로 추락하여 사망"/>
    <s v="집진기 주변에 방음벽 설치를 위해 사다리 상부에서 방음벽 철골구조물 용접작업 중 근로자 추락"/>
    <s v="▶ 추락위험이 있는 장소에서 작업시 비계를 설치하여 작업 _x000a_▶ 구조물의 간섭 등으로 작업발판 설치가 곤란할 경우 고소작업대 활용_x000a_▶ 안전대 부착설비 설치 및 안전대 착용"/>
  </r>
  <r>
    <n v="3"/>
    <x v="3"/>
    <x v="9"/>
    <x v="13"/>
    <s v="YES"/>
    <x v="21"/>
    <x v="44"/>
    <s v="12대 기인물"/>
    <n v="4"/>
    <n v="6.9000000000000006E-2"/>
    <s v="2020년 10월"/>
    <d v="2020-10-01T00:00:00"/>
    <n v="10"/>
    <s v="-"/>
    <x v="2"/>
    <s v="2020년 10월경 OO태양광발전소 설치공사현장에서 재해자 2명을 포함한 총 3명이 공장 칼라강판 지붕 위에 올라가 사다리를 사용하여 철골보 조립 작업을 하던 중, 몸의 중심을 잃고 사다리에서 지붕 위(h=1.1m)로 떨어져 1명 사망, 1명 부상  "/>
    <s v="안전대를 미착용한 상태에서 공장 칼라강판 지붕 위에 올라가 사다리를 사용하여 철골보 조립 작업 중 중심을 잃고 근로자 추락"/>
    <s v="▶ 경사지붕 위에서 안정적인 자세로 작업이 불가한 높이에서 작업 시 이동식 비계 등 작업여건에 적절한 작업발판 설치_x000a_▶ 개인보호구 지급 및 착용"/>
  </r>
  <r>
    <n v="3"/>
    <x v="3"/>
    <x v="9"/>
    <x v="13"/>
    <s v="YES"/>
    <x v="21"/>
    <x v="44"/>
    <s v="12대 기인물"/>
    <n v="4"/>
    <n v="6.9000000000000006E-2"/>
    <s v="2021년 11월"/>
    <d v="2021-11-01T00:00:00"/>
    <n v="11"/>
    <s v="-"/>
    <x v="2"/>
    <s v="2021년 11월경 교회 첨탑 철거공사 현장에서 재해자가 첨탑 철거 완료 후 옥상으로 사다리를 이용하여 내려오던 중 2.1~2.4m 높이에서 떨어져 사망"/>
    <s v="첨탑 철거 완료 후 옥상으로 고정되지 않은 사다리를 이용하여 내려오던 중 바닥으로 추락"/>
    <s v="▶ 작업을 위해 이동할 경우 계단 등 가설통로 설치_x000a_▶ 사다리 설치 시 사다리의 상단이 걸쳐놓은 지점으로부터 60cm 이상 올라가도록 하며, 아웃트리거 또는 밀림방지판 설치_x000a_▶ 개인보호구 지급 및 착용"/>
  </r>
  <r>
    <n v="4"/>
    <x v="4"/>
    <x v="10"/>
    <x v="37"/>
    <s v="YES"/>
    <x v="21"/>
    <x v="44"/>
    <s v="12대 기인물"/>
    <n v="4"/>
    <n v="6.9000000000000006E-2"/>
    <s v="2019년 5월경"/>
    <d v="2019-05-01T00:00:00"/>
    <n v="5"/>
    <s v="-"/>
    <x v="2"/>
    <s v="2019년 5월경 OO신축공사에서 지하3층 스파기계실 출입구 상부벽체 배관구역 조적 설치작업을 위하여 이동식 사다리 상부에서 레미탈을 작업구역으로 올릴 수 있는 도르래 설치 구역 확인 중 추락(약 1.75M)하여 사망"/>
    <s v="추락방지조치 없이 이동식 사다리 상부에서 조적작업 장소를 확인하던 중 몸의 중심을 잃고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10"/>
    <x v="38"/>
    <s v="YES"/>
    <x v="21"/>
    <x v="44"/>
    <s v="12대 기인물"/>
    <n v="4"/>
    <n v="6.9000000000000006E-2"/>
    <s v="2018년 6월경"/>
    <d v="2018-06-01T00:00:00"/>
    <n v="6"/>
    <s v="혹서기"/>
    <x v="2"/>
    <s v="2018년 6월경 OO신축공사에서 지상 1층 작업발판 위에서 조적작업 준비를 위한 먹줄 작업 중 바닥으로 추락하여(H≒2.8m) 사망"/>
    <s v="작업발판 위에서 조적작업 준비를 위한 먹줄 작업 중 몸의 중심을 잃고 안전난간이 설치되지 않은 작업발판 단부로 추락 "/>
    <s v="▶ 근로자가 추락할 위험이 없도록 안전난간 설치, 안전대를 착용하는 등 추락방지조치 철저_x000a_▶ 사다리를 이용하여 오르내릴 때는 사다리가 넘어지지 않도록 견고히 고정 후 작업 실시_x000a_▶ 추락할 위험이 있는 경우 안전대 및 개인보호구 착용 철저 "/>
  </r>
  <r>
    <n v="4"/>
    <x v="4"/>
    <x v="10"/>
    <x v="15"/>
    <s v="YES"/>
    <x v="21"/>
    <x v="44"/>
    <s v="12대 기인물"/>
    <n v="4"/>
    <n v="6.9000000000000006E-2"/>
    <s v="2016년 12월"/>
    <d v="2016-12-01T00:00:00"/>
    <n v="12"/>
    <s v="혹한기"/>
    <x v="2"/>
    <s v="2016년 12월경 OO보수공사에서 접이식 A형 알루미늄 사다리를 펼쳐 만든  일자형 수직 사다리통로에서 이동중 중앙 연결부가 젖혀지면서 높이 약 3.5m 바닥으로 추락하여 사망"/>
    <s v="접이식 A형 알루미늄 사다리를 펼쳐 만든 일자형 수직 사다리 통로를 통해 이동하던 중 사다리의 중앙 연결부가 젖혀지면서 바닥으로 추락"/>
    <s v="▶ 이동통로로 사용되는 사다리는 심한 손상과 부식이 없고 용접흔적 및 부재파단 등 구조상의 불안전함이 없는 견고한 구조 사용_x000a_▶ 사다리식 통로의 기울기는 75° 이하로 설치하여 넘어짐 등에 대한 안전성 확보_x000a_▶ 사다리 상단은 걸쳐놓은 지점으로부터 60cm 이상 올라가도록 설치"/>
  </r>
  <r>
    <n v="4"/>
    <x v="4"/>
    <x v="10"/>
    <x v="15"/>
    <s v="YES"/>
    <x v="21"/>
    <x v="44"/>
    <s v="12대 기인물"/>
    <n v="4"/>
    <n v="6.9000000000000006E-2"/>
    <s v="2018년 1월경"/>
    <d v="2018-01-01T00:00:00"/>
    <n v="1"/>
    <s v="혹한기"/>
    <x v="2"/>
    <s v="2018년 1월경 하천환경정비사업 현장에서 재해자가 A형 사다리 위에서 교각 면정리 작업 중 기초 콘크리트 바닥으로 떨어짐"/>
    <s v="이동식 사다리 상부에서 작업 중 사다리의 흔들림으로 인해 몸의 중심을 잃고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10"/>
    <x v="15"/>
    <s v="YES"/>
    <x v="21"/>
    <x v="44"/>
    <s v="12대 기인물"/>
    <n v="4"/>
    <n v="6.9000000000000006E-2"/>
    <s v="2018년 6월경"/>
    <d v="2018-06-01T00:00:00"/>
    <n v="6"/>
    <s v="혹서기"/>
    <x v="2"/>
    <s v="2018년 6월경 OO타워 내부 인테리어 공사 현장에서 재해자가 이동식 사다리를 사용하여 세대 내 벽체 미장작업을 하던 중 추락"/>
    <s v="이동식 사다리 상부에서 작업 중 사다리의 흔들림으로 인해 몸의 중심을 잃고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11"/>
    <x v="16"/>
    <s v="YES"/>
    <x v="21"/>
    <x v="44"/>
    <s v="12대 기인물"/>
    <n v="4"/>
    <n v="6.9000000000000006E-2"/>
    <s v="2016년 9월경"/>
    <d v="2016-09-01T00:00:00"/>
    <n v="9"/>
    <s v="-"/>
    <x v="2"/>
    <s v="2016년 9월경 근린생활시설 신축공사 현장에서 재해자가 옥탑 바닥 방수작업 후 이동식 사다리로 내려오던 중 사다리가 미끄러지면서 재해자가 사다리와 함께 옥상바닥으로 넘어짐"/>
    <s v="지붕 방수공사를 위해 사다리로 이동중 미고정 사다리가 쓰러지며 근로자 추락"/>
    <s v="▶ 작업을 위해 위로 이동할 경우 계단 등 가설통로 설치_x000a_▶ 사다리 설치 시 사다리의 상단이 걸쳐놓은 지점으로부터 60cm 이상 올라가도록 하며, 아웃트리거 또는 밀림방지판 설치_x000a_▶ 개인보호구 지급 및 착용"/>
  </r>
  <r>
    <n v="4"/>
    <x v="4"/>
    <x v="11"/>
    <x v="16"/>
    <s v="YES"/>
    <x v="21"/>
    <x v="44"/>
    <s v="12대 기인물"/>
    <n v="4"/>
    <n v="6.9000000000000006E-2"/>
    <s v="2020년 2월경"/>
    <d v="2020-02-01T00:00:00"/>
    <n v="2"/>
    <s v="혹한기"/>
    <x v="2"/>
    <s v="2020년 2월경 OO(주)에서 시공하는 청년주택 신축공사 현장에서 협력업체 소속 재해자가 지하 2층 정화조 방수작업 후 이동식사다리를 통해 올라오던 중 손으로 짚은 최상층 답단의 한쪽이 탈락되면서 몸의 중심을 잃고 정화조 바닥으로 떨어져(H≒3.42m) 사망"/>
    <s v="지하 정화조 방수작업 후 이동사다리를 통해 올라오던 중 손으로 짚은 최상층 답단의 한쪽이 탈락되면서 근로자가 몸의 중심을 잃고 추락"/>
    <s v="▶ 이동통로로 사용되는 사다리는 심한 손상과 부식이 없고 용접흔적 및 부재파단 등 구조상의 불안전함이 없는 견고한 구조 사용_x000a_▶ 사다리식 통로의 기울기는 75° 이하로 설치하여 안전성 확보_x000a_▶ 사다리 상단은 걸쳐놓은 지점으로부터 60cm 이상 올라가도록 설치"/>
  </r>
  <r>
    <n v="4"/>
    <x v="4"/>
    <x v="11"/>
    <x v="16"/>
    <s v="YES"/>
    <x v="21"/>
    <x v="44"/>
    <s v="12대 기인물"/>
    <n v="4"/>
    <n v="6.9000000000000006E-2"/>
    <s v="2020년 4월경"/>
    <d v="2020-04-01T00:00:00"/>
    <n v="4"/>
    <s v="-"/>
    <x v="2"/>
    <s v="2020년 4월경 OO 청사 신축공사 현장에서 협력업체 소속 재해자(방수공)이 당일 08:00 경, 1차 도포한 방수제(그린코팅#200A,B)의 건조 상태를 확인하기위해 깊이 약 3.35m 소화용수조 바닥으로 2연식 일자형 로프사다리(H≒3.8m)를 사용하여 내려가던 중, 사다리 하부 고정철물이 바닥에서 미끄러지면서 이동중이던 재해자가 사다리의 좌측으로 추락(H≒2.5m)하여 사망"/>
    <s v="지붕 방수공사를 위해 사다리로 이동중 미고정 사다리가 쓰러지며 근로자 추락"/>
    <s v="▶ 작업을 위해 위로 이동할 경우 계단 등 가설통로 설치_x000a_▶ 사다리 설치 시 사다리의 상단이 걸쳐놓은 지점으로부터 60cm 이상 올라가도록 하며, 아웃트리거 또는 밀림방지판 설치_x000a_▶ 개인보호구 지급 및 착용"/>
  </r>
  <r>
    <n v="4"/>
    <x v="4"/>
    <x v="11"/>
    <x v="16"/>
    <s v="YES"/>
    <x v="21"/>
    <x v="44"/>
    <s v="12대 기인물"/>
    <n v="4"/>
    <n v="6.9000000000000006E-2"/>
    <s v="2020년 9월경"/>
    <d v="2020-09-01T00:00:00"/>
    <n v="9"/>
    <s v="-"/>
    <x v="2"/>
    <s v="2020년 9월경 OO가 시공하는 개인주택 천장보수공사 현장에서 재해자(방수공)가 기존 건물 2층 경사지붕(폼강판, t=0.5mm) 누수부위 확인 및 실리콘 방수 작업을 위하여 일자형 사다리(L=3.3m)를 타고 이동하던 중 미고정 상태의 사다리가 쓰러지면서 사다리와 함께 옆집 지상으로 떨어져(H≒7m) 사망"/>
    <s v="지붕 방수공사를 위해 사다리로 이동중 미고정 사다리가 쓰러지며 근로자 추락"/>
    <s v="▶ 작업을 위해 위로 이동할 경우 계단 등 가설통로 설치_x000a_▶ 사다리 설치 시 사다리의 상단이 걸쳐놓은 지점으로부터 60cm 이상 올라가도록 하며, 아웃트리거 또는 밀림방지판 설치_x000a_▶ 개인보호구 지급 및 착용"/>
  </r>
  <r>
    <n v="4"/>
    <x v="4"/>
    <x v="11"/>
    <x v="16"/>
    <s v="YES"/>
    <x v="21"/>
    <x v="44"/>
    <s v="12대 기인물"/>
    <n v="4"/>
    <n v="6.9000000000000006E-2"/>
    <s v="2020년 12월"/>
    <d v="2020-12-01T00:00:00"/>
    <n v="12"/>
    <s v="혹한기"/>
    <x v="2"/>
    <s v="2020년 12월경 ㈜OO이 시공 중인 OO 신축공사 현장에서 재해자(방수공)가 옥탑 지붕 방수공사를 위해 사다리를 오르던 중, 캐노피에 걸쳐놓은 사다리가 미끄러지며 약 3m 아래 옥상 바닥으로 추락하여 사망"/>
    <s v="지붕 방수공사를 위해 사다리로 이동중 미고정 사다리가 쓰러지며 근로자 추락"/>
    <s v="▶ 작업을 위해 위로 이동할 경우 계단 등 가설통로 설치_x000a_▶ 사다리 설치 시 사다리의 상단이 걸쳐놓은 지점으로부터 60cm 이상 올라가도록 하며, 아웃트리거 또는 밀림방지판 설치_x000a_▶ 개인보호구 지급 및 착용"/>
  </r>
  <r>
    <n v="4"/>
    <x v="4"/>
    <x v="38"/>
    <x v="100"/>
    <s v="YES"/>
    <x v="21"/>
    <x v="44"/>
    <s v="12대 기인물"/>
    <n v="4"/>
    <n v="6.9000000000000006E-2"/>
    <s v="2019년 1워경"/>
    <d v="2019-01-01T00:00:00"/>
    <n v="1"/>
    <s v="혹한기"/>
    <x v="2"/>
    <s v="2019년 1워경 OO학교 외부 창호 개선공사 현장에서 하청업체 소속 재해자가 지상 4층 외부 발코니 A형사다리 위에서 외부 창호 상단부 코킹작업 중 몸의 중심을 잃고 지상 1층(H≒9.5m) 램프 측벽 상부로 추락하여 사망"/>
    <s v="창호 외부 발코니에서 이동식사다리를 이용하여 창호코킹 작업을 하던 중 몸의 중심을 잃고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21"/>
    <x v="92"/>
    <s v="YES"/>
    <x v="21"/>
    <x v="44"/>
    <s v="12대 기인물"/>
    <n v="4"/>
    <n v="6.9000000000000006E-2"/>
    <s v="2020년 10월"/>
    <d v="2020-10-01T00:00:00"/>
    <n v="10"/>
    <s v="-"/>
    <x v="2"/>
    <s v="2020년 10월경 OO아파트 균열보수 및 재도장공사 현장에서 재해자가 벽면 균열보수를 위해 지하주차장 벽면(H=2m) 퍼티작업(면처리 &amp; 석고바름) 중 넘어져 사망"/>
    <s v="이동식 사다리를 이용하여 벽면 균열보수 작업 중 몸의 중심을 잃고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21"/>
    <x v="39"/>
    <s v="YES"/>
    <x v="21"/>
    <x v="44"/>
    <s v="12대 기인물"/>
    <n v="4"/>
    <n v="6.9000000000000006E-2"/>
    <s v="2017년 1월경"/>
    <d v="2017-01-01T00:00:00"/>
    <n v="1"/>
    <s v="혹한기"/>
    <x v="2"/>
    <s v="2017년 1월경 개인 직영공사 현장에서 재해자가 지상 2층과 3층 사이 내부 계단참에서 A형 이동식 사다리 위에서 벽체 퍼티작업을 하던 중 지상 2층과 3층으로 사이 계단참으로 추락(H≒1.5m)하여 사망"/>
    <s v="추락방지조치 없이 이동식 사다리에서 도장작업 등 진행 중 몸의 중심을 잃고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21"/>
    <x v="39"/>
    <s v="YES"/>
    <x v="21"/>
    <x v="44"/>
    <s v="12대 기인물"/>
    <n v="4"/>
    <n v="6.9000000000000006E-2"/>
    <s v="2017년 9월경"/>
    <d v="2017-09-01T00:00:00"/>
    <n v="9"/>
    <s v="-"/>
    <x v="2"/>
    <s v="2017년 9월경 A형 사다리에서 건물 2층 내부벽체 도장작업 중, 사다리가 넘어지며 바닥으로 추락하여(높이 : 약 2.2m) 사망"/>
    <s v="추락방지조치 없이 이동식 사다리에서 도장작업 등 진행 중 몸의 중심을 잃고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21"/>
    <x v="39"/>
    <s v="YES"/>
    <x v="21"/>
    <x v="44"/>
    <s v="12대 기인물"/>
    <n v="4"/>
    <n v="6.9000000000000006E-2"/>
    <s v="2018년 12월"/>
    <d v="2018-12-01T00:00:00"/>
    <n v="12"/>
    <s v="혹한기"/>
    <x v="2"/>
    <s v="2018년 12월경 근린생활시설 및 다세대주택 2층과 3층 사이 계단참에서 재해자가 계단실 천장 도장작업을 위한 보양작업 중(도장 미실시 부위 오염방지를 위한 비닐덮기 등) 벽체 상단 비닐붙이기 작업을 위해 설치한 이동식사다리(A형)에서 몸의 중심을 잃고 바닥으로 추락하여(H≒1,950mm) 사망"/>
    <s v="추락방지조치 없이 이동식 사다리에서 도장작업 등 진행 중 몸의 중심을 잃고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21"/>
    <x v="39"/>
    <s v="YES"/>
    <x v="21"/>
    <x v="44"/>
    <s v="12대 기인물"/>
    <n v="4"/>
    <n v="6.9000000000000006E-2"/>
    <s v="2019년 11월"/>
    <d v="2019-11-01T00:00:00"/>
    <n v="11"/>
    <s v="-"/>
    <x v="5"/>
    <s v="2019년 11월경 OO신축공사 현장에서 일용직인 재해자가 계단참(지상3층~4층) 직하부 아래 답단 계단에서 동료작업자가 작업하는 계단참 천장 도장작업의 보조업무를 수행 하던 중 몸의 중심을 잃고 지상3층 계단 바닥으로 굴러 넘어져 사망"/>
    <s v="계단참에서 계단참 천장 도장작업의 보조업무를 수행 하던 중 동요작업자의 사다리가 전도되면서 동료작업자는 사다리와 함께 계단부 쪽으로 넘어졌고, 재해자는 사다리가 전되되는 것을 보고 몸의 무게중심을 잃고 하부 계단 바닥으로 굴러 넘어짐"/>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21"/>
    <x v="39"/>
    <s v="YES"/>
    <x v="21"/>
    <x v="44"/>
    <s v="12대 기인물"/>
    <n v="4"/>
    <n v="6.9000000000000006E-2"/>
    <s v="2020년 6월경"/>
    <d v="2020-06-01T00:00:00"/>
    <n v="6"/>
    <s v="혹서기"/>
    <x v="2"/>
    <s v="2020년 6월경 OO 리모델링 현장에서 재해자가 이동식(A형) 사다리 위에서 벽면 퍼티 작업 중, 사다리가 넘어지며 바닥으로 추락하여(H≒1.2m) 사망"/>
    <s v="이동식 사다리를 이용하여 벽면 퍼티 작업 중 사다리가 넘어지며 바닥으로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21"/>
    <x v="39"/>
    <s v="YES"/>
    <x v="21"/>
    <x v="44"/>
    <s v="12대 기인물"/>
    <n v="4"/>
    <n v="6.9000000000000006E-2"/>
    <s v="2층 휴게공간 조"/>
    <s v="X"/>
    <e v="#VALUE!"/>
    <e v="#VALUE!"/>
    <x v="2"/>
    <s v="2층 휴게공간 조성공사 현장에서 재해자가 A형 사다리 상부에서 천장면 도장작업을 위한 비닐 보양을 하는 중 실족하여 바닥으로 추락(H≒2.0m)하여 사망"/>
    <s v="추락방지조치 없이 이동식 사다리에서 도장작업 등 진행 중 몸의 중심을 잃고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21"/>
    <x v="40"/>
    <s v="YES"/>
    <x v="21"/>
    <x v="44"/>
    <s v="12대 기인물"/>
    <n v="4"/>
    <n v="6.9000000000000006E-2"/>
    <s v="2016년 2월경"/>
    <d v="2016-02-01T00:00:00"/>
    <n v="2"/>
    <s v="혹한기"/>
    <x v="2"/>
    <s v="2016년 2월경 도장공인 재해자가 건물 1층 출입구 우측 기둥 도장을 위해 출입구 우측 기둥 측면 사다리 위에서 도장 작업중 사다리가 미끄러지면서 바닥으로 추락하여 사망"/>
    <s v="이동식 사다리를 이용하여 벽면 퍼티 작업 중 사다리가 넘어지며 바닥으로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21"/>
    <x v="40"/>
    <s v="YES"/>
    <x v="21"/>
    <x v="44"/>
    <s v="12대 기인물"/>
    <n v="4"/>
    <n v="6.9000000000000006E-2"/>
    <s v="2017년 1월경"/>
    <d v="2017-01-01T00:00:00"/>
    <n v="1"/>
    <s v="혹한기"/>
    <x v="2"/>
    <s v="2017년 1월경 OO주유소 사무실 외벽 및 주차라인 도장공사 현장에서 재해자가 주유소 사무동 배면 도장작업 중 지붕 처마 부위에 걸쳐진 인터넷 케이블 전선을 지붕 위로 넘기기 위해 계단식 사다리(A형, 알루미늄)를 밟고 올라서서 작업 중 몸의 중심을 잃고 약 H=1.5m 아래 지상 바닥으로 추락하여 사망"/>
    <s v="추락방지조치 없이 이동식 사다리를 이용하여 벽면 균열보수 작업 중 몸의 중심을 잃고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21"/>
    <x v="40"/>
    <s v="YES"/>
    <x v="21"/>
    <x v="44"/>
    <s v="12대 기인물"/>
    <n v="4"/>
    <n v="6.9000000000000006E-2"/>
    <s v="2017년 7월경"/>
    <d v="2017-07-01T00:00:00"/>
    <n v="7"/>
    <s v="혹서기"/>
    <x v="2"/>
    <s v="2017년 7월경 OOOO 공동주택 신축공사 현장에서 재해자가 지하1층 휀룸 소방배관 도색작업 준비 중 A형 사다리(약 1.7m)에서 추락하여 사망"/>
    <s v="추락방지조치 없이 이동식 사다리를 이용하여 벽면 균열보수 작업 중 몸의 중심을 잃고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21"/>
    <x v="40"/>
    <s v="YES"/>
    <x v="21"/>
    <x v="44"/>
    <s v="12대 기인물"/>
    <n v="4"/>
    <n v="6.9000000000000006E-2"/>
    <s v="2017년 8월경"/>
    <d v="2017-08-01T00:00:00"/>
    <n v="8"/>
    <s v="혹서기"/>
    <x v="2"/>
    <s v="2017년 8월경 아파트 신축공사 현장에서 도장 협력업체 소속 재해자가 1층 필로티 구간 천정 도장을 위한 비닐보양 작업중 접이식 사다리 위에서 미끄러져 바닥으로 추락"/>
    <s v="사다리 위에서 작업 중 고정이 되지 않은 사다리가 넘어지며 추락"/>
    <s v="▶ 추락에 의한 위험방지 조치 철저 _x000a_▶ 추락 위험이 있는 장소에서 작업 시, 비계 등을 이용하여 작업발판 설치_x000a_▶ 비계설치가 곤란한 경우 고소작업대 등을 사용하여 작업 진행 "/>
  </r>
  <r>
    <n v="4"/>
    <x v="4"/>
    <x v="12"/>
    <x v="17"/>
    <s v="YES"/>
    <x v="21"/>
    <x v="44"/>
    <s v="12대 기인물"/>
    <n v="4"/>
    <n v="6.9000000000000006E-2"/>
    <s v="2016년 5월경"/>
    <d v="2016-05-01T00:00:00"/>
    <n v="5"/>
    <s v="-"/>
    <x v="2"/>
    <s v="2016년 5월경 협력업체 소속 재해자가 지상2층 슬라브 단열재 철거를 위해 안전모의 턱끈을 조이지 않은 상태에서 이동식 사다리를 이용하여 작업 중, 몸의 중심을 잃고 지상2층 바닥으로(높이 약2m) 추락"/>
    <s v="사다리 위에서 작업 중 고정이 되지 않은 사다리가 넘어지며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12"/>
    <x v="18"/>
    <s v="YES"/>
    <x v="21"/>
    <x v="44"/>
    <s v="12대 기인물"/>
    <n v="4"/>
    <n v="6.9000000000000006E-2"/>
    <s v="2016년 4월경"/>
    <d v="2016-04-01T00:00:00"/>
    <n v="4"/>
    <s v="-"/>
    <x v="2"/>
    <s v="2016년 4월경 전시장 내 전시장치공사 현장에서 재해자가 사다리에 올라가 전시부스 상부 싸인물을 설치하고 내려오려던 중 몸의 중심을 잃고 지상 1층 콘크리트 바닥으로 떨어짐(높이 약 2.2m)"/>
    <s v="사다리 위에서 작업 중 고정이 되지 않은 사다리가 넘어지며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12"/>
    <x v="18"/>
    <s v="YES"/>
    <x v="21"/>
    <x v="44"/>
    <s v="12대 기인물"/>
    <n v="4"/>
    <n v="6.9000000000000006E-2"/>
    <s v="2017년 5월경"/>
    <d v="2017-05-01T00:00:00"/>
    <n v="5"/>
    <s v="-"/>
    <x v="2"/>
    <s v="2017년 5월경 마트 인테리어공사 현장에서 재해자가 지상1층 농산물 코너 천장 삼각형 등박스 설치 작업을 위해 A형 사다리에 올라서서 경량천장틀(M-bar)에 팔을 기댄 채 사각파이프 설치 중 경량천장틀 고정부가 탈락되면서 몸의 중심을 잃고 A형 사다리와 함께 약 2.2m 아래 바닥으로 추락하여 사망"/>
    <s v="이동식사다리에서 작업 중 몸을 기대고 있던 천정틀 고정부가 탈락되면서 몸의 중심을 잃고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12"/>
    <x v="18"/>
    <s v="YES"/>
    <x v="21"/>
    <x v="44"/>
    <s v="12대 기인물"/>
    <n v="4"/>
    <n v="6.9000000000000006E-2"/>
    <s v="2017년 8월경"/>
    <d v="2017-08-01T00:00:00"/>
    <n v="8"/>
    <s v="혹서기"/>
    <x v="2"/>
    <s v="2017년 8월경 하우스 보수공사(양어장) 현장에서 재해자가 기존에 설치된 차광막을 걷어내고 철선을 상부 파이프에 고정하는 작업을 하던 중 발을 헛딛어 떨어(H:3.5m)지면서 이동통로인 콘크리트 바닥에 1차로 부딪친(H≒1.7m) 후 2차로 양어장 수조바닥(H≒1.8m)으로 추락하여 사망"/>
    <s v="지붕에서 작업 중 발을 헛디뎌 안전난간이 설치되지 않은 지붕단부로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12"/>
    <x v="18"/>
    <s v="YES"/>
    <x v="21"/>
    <x v="44"/>
    <s v="12대 기인물"/>
    <n v="4"/>
    <n v="6.9000000000000006E-2"/>
    <s v="2018년 9월경"/>
    <d v="2018-09-01T00:00:00"/>
    <n v="9"/>
    <s v="-"/>
    <x v="2"/>
    <s v="2018년 9월경 공동주택 신축공사 현장에서 지하주차장 램프(ramp) 지붕(비가림시설) 설치 작업 중이던 협력업체 소속 재해자가 램프 벽체 위에서 이동식 사다리를 통해 내려오던 중 지붕 기둥에 걸고 있던 안전대를 푸는 순간 몸의 중심을 잃고 지상 2m 아래 콘크리트 바닥으로 추락하여 사망"/>
    <s v="이동식사다리에서 내려오던 중 지붕 기둥에 체결한 안전대 고리를 푸는 순간 몸의 중심을 잃고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12"/>
    <x v="18"/>
    <s v="YES"/>
    <x v="21"/>
    <x v="44"/>
    <s v="12대 기인물"/>
    <n v="4"/>
    <n v="6.9000000000000006E-2"/>
    <s v="2018년 10월"/>
    <d v="2018-10-01T00:00:00"/>
    <n v="10"/>
    <s v="-"/>
    <x v="2"/>
    <s v="2018년 10월경 OOOOO 신축공사 현장에서 일용직 근로자가 이동식사다리 위에 올라서서 방화셔터 설치작업을 보조하던 중 몸의 중심을 잃고 약 2.3m 아래 바닥(콘크리트)으로 추락하여 사망"/>
    <s v="이동식사다리에서 양손으로 부재를 들어올려 받치던 중 몸의 중심을 잃고 바다으로 추락 "/>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12"/>
    <x v="18"/>
    <s v="YES"/>
    <x v="21"/>
    <x v="44"/>
    <s v="12대 기인물"/>
    <n v="4"/>
    <n v="6.9000000000000006E-2"/>
    <s v="2019년 4월경"/>
    <d v="2019-04-01T00:00:00"/>
    <n v="4"/>
    <s v="-"/>
    <x v="2"/>
    <s v="2019년 4월경 간이리프트용 구조물(기둥, 화물적재함 등)을 공장 제작 후 현장 반입하여 조립, 설치작업(하부 기초 앙카 및 벽체 고정용 앙카 설치 등)을 하는 과정에서 재해자가 A형 사다리를 일자형으로 펼쳐 벽체에 걸친 후 사다리를 올라가 상부 구조물 설치상태 등을 확인하던 중 몸의 중심을 잃고 약 3m 아스팔트 바닥으로 추락하여 사망"/>
    <s v="이동식사다리를 일자형으로 펼쳐 벽체에 걸쳐놓은 상태에서 사다리에 올라가 작업상황을 확인하던 중 발을 헛디뎌 바닥으로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12"/>
    <x v="18"/>
    <s v="YES"/>
    <x v="21"/>
    <x v="44"/>
    <s v="12대 기인물"/>
    <n v="4"/>
    <n v="6.9000000000000006E-2"/>
    <s v="2020년 9월경"/>
    <d v="2020-09-01T00:00:00"/>
    <n v="9"/>
    <s v="-"/>
    <x v="2"/>
    <s v="2020년 9월경 OO공사 현장에서 협력업체 소속 재해자가 2층에서 계단 모듈 접합 준비 작업 후 이동식 사다리를 사용하여 아래로 내려오던 중 걸쳐 있던 사다리가 미끄러지며 재해자가 통로 개구부를 통해 약 3.5m 아래 지상 1층 바닥으로 추락하여 사망"/>
    <s v="이동식사다리를 일자형으로 펼쳐 구조물에 걸쳐놓은 상태에서 사다리에서 내려가던 중 사다리가 미끄러져 전도되면서 주변 개구부로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12"/>
    <x v="18"/>
    <s v="YES"/>
    <x v="21"/>
    <x v="44"/>
    <s v="12대 기인물"/>
    <n v="4"/>
    <n v="6.9000000000000006E-2"/>
    <s v="2021년 4월경"/>
    <d v="2021-04-01T00:00:00"/>
    <n v="4"/>
    <s v="-"/>
    <x v="2"/>
    <s v="2021년 4월경 공장 신축현장 인근에서 직영근로자가 사다리를 사용하여 철재구조물 망 해체작업 중 약 2.1m 아래 콘크리트 수로 바닥으로 추락하여 사망"/>
    <s v="디딤대 폭이 좁은(80mm) 사다리에서 작업 중 발을 헛디뎌 바닥으로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22"/>
    <x v="41"/>
    <s v="YES"/>
    <x v="21"/>
    <x v="44"/>
    <s v="12대 기인물"/>
    <n v="4"/>
    <n v="6.9000000000000006E-2"/>
    <s v="2017년 8월경"/>
    <d v="2017-08-01T00:00:00"/>
    <n v="8"/>
    <s v="혹서기"/>
    <x v="2"/>
    <s v="2017년 8월경 아파트 신축공사 현장에서 재해자가 A형사다리 위에 서서 세대내부 대피공간 외측 피난창호 보양테이프를 제거하던 중, 창호 개구부를 통해 외부(H:8.0m)로 추락"/>
    <s v="이동식사다리에서 작업 중 발을 헛디뎌 주변 개구부로 추락"/>
    <s v="▶ 건물 외부의 창호 보양테이프 시공 및 제거 작업 시, 창호 개구부를 통해 내부에서 외부로 몸을 내밀어 작업하는 등 불안전한 작업방식을 금지하며 고소작업대 또는 달비계 등을 사용하여 작업하도록 조치_x000a_▶ 작업자의 개인보호구, 안전대 체결여부 점검 및 관리감독"/>
  </r>
  <r>
    <n v="4"/>
    <x v="4"/>
    <x v="22"/>
    <x v="41"/>
    <s v="YES"/>
    <x v="21"/>
    <x v="44"/>
    <s v="12대 기인물"/>
    <n v="4"/>
    <n v="6.9000000000000006E-2"/>
    <s v="2020년 8월경"/>
    <d v="2020-08-01T00:00:00"/>
    <n v="8"/>
    <s v="혹서기"/>
    <x v="2"/>
    <s v="2020년 8월경 근린생활시설 신축공사 현장에서 재해자가 지상 2층에서 창호 상부에 L형 앵글을 설치하던 중 콘센트의 전선피복 손상부에 오른팔 손목 하부가 접촉·감전되어 A형 사다리에서 추락(H=2.0m)"/>
    <s v="이동식사다리에서 작업 중 콘센트의 전선피복 손상부에 손목이 접촉되어 감전 후 추락"/>
    <s v="▶ 현장 내 작업 시작 전, 당일 작업 공종을 대상으로 공도구 점검조치_x000a_▶ A형 사다리를 통해 고소작업 시, 하단부 미끄럼 방지패드, 아웃트리거 설치 등의 전도방지조치 실시"/>
  </r>
  <r>
    <n v="4"/>
    <x v="4"/>
    <x v="13"/>
    <x v="42"/>
    <s v="YES"/>
    <x v="21"/>
    <x v="44"/>
    <s v="12대 기인물"/>
    <n v="4"/>
    <n v="6.9000000000000006E-2"/>
    <s v="2016년 4월경"/>
    <d v="2016-04-01T00:00:00"/>
    <n v="4"/>
    <s v="-"/>
    <x v="2"/>
    <s v="2016년 4월경 인테리어 공사 현장에서 OO인테리어 소속 내장목공인 재해자가 내부벽체 칸막이 설치를 위해 A형 사다리 위에 올라서서 천장에 먹줄을 치는 작업 중 몸의 중심을 잃고 콘크리트 바닥(높이 210㎝)으로 떨어져 사망"/>
    <s v="이동식사다리에서 작업 중 발을 헛디뎌 바닥으로 추락"/>
    <s v="▶ 사다리를 사용하여 고소작업을 하는 경우, 하부 아웃트리거 설치, 미끄럼방지패드 설치 등 전도방지조치를 실시하며 사다리 하부를 잡아줄 수 있도록 근로자 추가 배치하여 2인 1조 작업 실시_x000a_▶ 가능한 사다리 사용을 지양하고 비교적 안전성이 높은 이동식 비계, 고소작업대 등의 사용을 권고_x000a_▶ 접이식 사다리 기둥은 사용 시 접히거나 펼쳐지지 않도록 철물 등을 사용하여 견고하게 고정_x000a_▶ 사다리가 아닌 별도의 위치에 안전대 부착설비를 설치하고 안전대를 체결한 상태로 작업할 수 있도록 관리감독 _x000a_▶ 작업자의 개인보호구 착용상태 점검"/>
  </r>
  <r>
    <n v="4"/>
    <x v="4"/>
    <x v="13"/>
    <x v="42"/>
    <s v="YES"/>
    <x v="21"/>
    <x v="44"/>
    <s v="12대 기인물"/>
    <n v="4"/>
    <n v="6.9000000000000006E-2"/>
    <s v="2017년 5월경"/>
    <d v="2017-05-01T00:00:00"/>
    <n v="5"/>
    <s v="-"/>
    <x v="2"/>
    <s v="2017년 5월경 ㈜OO 인테리어공사 현장에서 재해자가 이동식 사다리에 올라가 천정 가설전등 설치를 위한 소켓에 전선을 연결하는 작업 중 사다리가 전도되면서 바닥으로 떨어져 사망"/>
    <s v="아웃트리거 없이 설치한 이동식사다리 위에서 양손을 머리 위로 올려 전등 설치작업 중 작업하중 등에 의해 사다리가 전도되어 추락"/>
    <s v="▶ 사다리를 사용하여 고소작업을 하는 경우, 하부 아웃트리거 설치, 미끄럼방지패드 설치 등 전도방지조치를 실시하며 사다리 하부를 잡아줄 수 있도록 근로자 추가 배치하여 2인 1조 작업 실시_x000a_▶ 물기가 있는 바닥에 사다리를 설치할 경우, 바닥의 물기를 설치 전에 제거하여 미끄러짐을 방지 조치_x000a_▶ 가능한 사다리 사용을 지양하고 비교적 안전성이 높은 이동식 비계, 고소작업대 등의 사용을 권고_x000a_▶ 접이식 사다리 기둥은 사용 시 접히거나 펼쳐지지 않도록 철물 등을 사용하여 견고하게 고정_x000a_▶ 사다리가 아닌 별도의 위치에 안전대 부착설비를 설치하고 안전대를 체결한 상태로 작업할 수 있도록 관리감독 _x000a_▶ 작업자의 개인보호구 착용상태 점검"/>
  </r>
  <r>
    <n v="4"/>
    <x v="4"/>
    <x v="13"/>
    <x v="42"/>
    <s v="YES"/>
    <x v="21"/>
    <x v="44"/>
    <s v="12대 기인물"/>
    <n v="4"/>
    <n v="6.9000000000000006E-2"/>
    <s v="2018년 6월경"/>
    <d v="2018-06-01T00:00:00"/>
    <n v="6"/>
    <s v="혹서기"/>
    <x v="2"/>
    <s v="2018년 6월경 OO빌딩 신축공사 현장 13층 계단참에서 재해자가 A형 사다리 위에서 천정부에 비닐 보양작업을 하던 중, 몸의 중심을 잃고 높이 약 2.3m 아래 계단참 바닥으로 떨어짐"/>
    <s v="A형 사다리에 탑승하여 작업 중 몸의 균형을 잃고 근로자 추락"/>
    <s v="▶ 사다리를 사용하여 고소작업을 하는 경우, 하부 아웃트리거 설치, 미끄럼방지패드 설치 등 전도방지조치를 실시하며 사다리 하부를 잡아줄 수 있도록 근로자 추가 배치하여 2인 1조 작업 실시_x000a_▶ 가능한 사다리 사용을 지양하고 비교적 안전성이 높은 이동식 비계, 고소작업대 등의 사용을 권고_x000a_▶ 접이식 사다리 기둥은 사용 시 접히거나 펼쳐지지 않도록 철물 등을 사용하여 견고하게 고정_x000a_▶ 사다리가 아닌 별도의 위치에 안전대 부착설비를 설치하고 안전대를 체결한 상태로 작업할 수 있도록 관리감독 _x000a_▶ 작업자의 개인보호구 착용상태 점검"/>
  </r>
  <r>
    <n v="4"/>
    <x v="4"/>
    <x v="13"/>
    <x v="42"/>
    <s v="YES"/>
    <x v="21"/>
    <x v="44"/>
    <s v="12대 기인물"/>
    <n v="4"/>
    <n v="6.9000000000000006E-2"/>
    <s v="2018년 11월"/>
    <d v="2018-11-01T00:00:00"/>
    <n v="11"/>
    <s v="-"/>
    <x v="2"/>
    <s v="2018년 11월경 OO건설(주) OO신사옥 신축공사 현장에서 재해자가 사다리 위에서 소음 차단용 흡음천을 천정에 고정하는 작업을 하던 중, 약 1.4m아래 바닥으로 떨어져 사망"/>
    <s v="A형 사다리에 탑승하여 작업 중 몸의 균형을 잃고 근로자 추락"/>
    <s v="▶ 사다리를 사용하여 고소작업을 하는 경우, 하부 아웃트리거 설치, 미끄럼방지패드 설치 등 전도방지조치를 실시하며 사다리 하부를 잡아줄 수 있도록 근로자 추가 배치하여 2인 1조 작업 실시_x000a_▶ 가능한 사다리 사용을 지양하고 비교적 안전성이 높은 이동식 비계, 고소작업대 등의 사용을 권고_x000a_▶ 접이식 사다리 기둥은 사용 시 접히거나 펼쳐지지 않도록 철물 등을 사용하여 견고하게 고정_x000a_▶ 사다리가 아닌 별도의 위치에 안전대 부착설비를 설치하고 안전대를 체결한 상태로 작업할 수 있도록 관리감독 _x000a_▶ 작업자의 개인보호구 착용상태 점검"/>
  </r>
  <r>
    <n v="4"/>
    <x v="4"/>
    <x v="13"/>
    <x v="42"/>
    <s v="YES"/>
    <x v="21"/>
    <x v="44"/>
    <s v="12대 기인물"/>
    <n v="4"/>
    <n v="6.9000000000000006E-2"/>
    <s v="2019년 3월경"/>
    <d v="2019-03-01T00:00:00"/>
    <n v="3"/>
    <s v="-"/>
    <x v="2"/>
    <s v="2019년 3월경 OO건설에서 시공중인 OO 단독주택 신축공사 현장에서 재해자가 A형 사다리를 사용하여 1층 창고 천장 마감재인 석고보드 설치작업 중 몸의 중심을 잃고 떨어져(H ≒ 1.15m) 사망"/>
    <s v="이동식사다리에서 작업 중 발을 헛디뎌 바닥으로 추락"/>
    <s v="▶ 사다리를 사용하여 고소작업을 하는 경우, 하부 아웃트리거 설치, 미끄럼방지패드 설치 등 전도방지조치를 실시하며 사다리 하부를 잡아줄 수 있도록 근로자 추가 배치하여 2인 1조 작업 실시_x000a_▶ 가능한 사다리 사용을 지양하고 비교적 안전성이 높은 이동식 비계, 고소작업대 등의 사용을 권고_x000a_▶ 접이식 사다리 기둥은 사용 시 접히거나 펼쳐지지 않도록 철물 등을 사용하여 견고하게 고정_x000a_▶ 사다리가 아닌 별도의 위치에 안전대 부착설비를 설치하고 안전대를 체결한 상태로 작업할 수 있도록 관리감독 _x000a_▶ 작업자의 개인보호구 착용상태 점검"/>
  </r>
  <r>
    <n v="4"/>
    <x v="4"/>
    <x v="13"/>
    <x v="42"/>
    <s v="YES"/>
    <x v="21"/>
    <x v="44"/>
    <s v="12대 기인물"/>
    <n v="4"/>
    <n v="6.9000000000000006E-2"/>
    <s v="2019년 4월경"/>
    <d v="2019-04-01T00:00:00"/>
    <n v="4"/>
    <s v="-"/>
    <x v="2"/>
    <s v="2019년 4월경 상가건물(준공전) 1층 내에서 인테리어 작업(가벽설치) 중 재해자가 A형 사다리위에서 몸의 균형을 잃고 바닥으로 추락하여 사망"/>
    <s v="작업높이를 맞추기 위해 이동식사다리를 최대한 세워 벌어짐 방지장치(locking)가 체결되지 않은 상태에서 벽체설치 작업을 하던 중 발을 헛디뎌 사다리 전도와 함께 추락 "/>
    <s v="▶ 가능한 사다리 사용을 지양하고 비교적 안전성이 높은 이동식 비계, 고소작업대 등의 사용을 권고_x000a_▶ 접이식 사다리 기둥은 사용 시 접히거나 펼쳐지지 않도록 철물 등을 사용하여 견고하게 고정_x000a_▶ 사다리가 아닌 별도의 위치에 안전대 부착설비를 설치하고 안전대를 체결한 상태로 작업할 수 있도록 관리감독 _x000a_▶ 작업자의 개인보호구 착용상태 점검"/>
  </r>
  <r>
    <n v="4"/>
    <x v="4"/>
    <x v="13"/>
    <x v="42"/>
    <s v="YES"/>
    <x v="21"/>
    <x v="44"/>
    <s v="12대 기인물"/>
    <n v="4"/>
    <n v="6.9000000000000006E-2"/>
    <s v="2020년 3월경"/>
    <d v="2020-03-01T00:00:00"/>
    <n v="3"/>
    <s v="-"/>
    <x v="2"/>
    <s v="2020년 3월경 커피전문점 실내 인테리어 (목공)공사 현장에서 재해자(목공)이 벽체 석고보드 위 몰딩 설치를 위한 먹선 표시 작업 중 A형 사다리 첫 번째 발판에서 바닥(H≒30cm)으로 떨어진 후 사망"/>
    <s v="이동식사다리에서 내려오던 중 발을 헛디뎌 바닥으로 추락"/>
    <s v="▶ 사다리를 사용하여 고소작업을 하는 경우, 하부 아웃트리거 설치, 미끄럼방지패드 설치 등 전도방지조치를 실시하며 사다리 하부를 잡아줄 수 있도록 근로자 추가 배치하여 2인 1조 작업 실시_x000a_▶ 가능한 사다리 사용을 지양하고 비교적 안전성이 높은 이동식 비계, 고소작업대 등의 사용을 권고_x000a_▶ 접이식 사다리 기둥은 사용 시 접히거나 펼쳐지지 않도록 철물 등을 사용하여 견고하게 고정_x000a_▶ 사다리가 아닌 별도의 위치에 안전대 부착설비를 설치하고 안전대를 체결한 상태로 작업할 수 있도록 관리감독 _x000a_▶ 작업자의 개인보호구 착용상태 점검"/>
  </r>
  <r>
    <n v="4"/>
    <x v="4"/>
    <x v="13"/>
    <x v="42"/>
    <s v="YES"/>
    <x v="21"/>
    <x v="44"/>
    <s v="12대 기인물"/>
    <n v="4"/>
    <n v="6.9000000000000006E-2"/>
    <s v="2020년 8월경"/>
    <d v="2020-08-01T00:00:00"/>
    <n v="8"/>
    <s v="혹서기"/>
    <x v="2"/>
    <s v="2020년 8월경 OO건설㈜에서 시공 완료한 OO 신축공사 현장 지하 1층 주차장에서 ㈜OO 소속의 재해자(하자보수공)가 접이식 사다리를 사용하여 지하주차장 벽체 배수판 상부 몰딩 보수작업을 하던 중 사다리 하부가 바닥에서 미끄러지며 높이 약 4.5m 아래 주차장 바닥으로 추락하여 사망"/>
    <s v="아웃트리거 없이 이동식사다리를 일자로 펼쳐 벽체에 기대어 설치한 사다리 상부에서 작업 중 작업하중 등에 의해 사다리 하부가 미끄러지면서 전도되어 추락 "/>
    <s v="▶ 사다리를 사용하여 고소작업을 하는 경우, 하부 아웃트리거 설치, 미끄럼방지패드 설치 등 전도방지조치를 실시하며 사다리 하부를 잡아줄 수 있도록 근로자 추가 배치하여 2인 1조 작업 실시_x000a_▶ 물기가 있는 바닥에 사다리를 설치할 경우, 바닥의 물기를 설치 전에 제거하여 미끄러짐을 방지 조치_x000a_▶ 가능한 사다리 사용을 지양하고 비교적 안전성이 높은 이동식 비계, 고소작업대 등의 사용을 권고_x000a_▶ 접이식 사다리 기둥은 사용 시 접히거나 펼쳐지지 않도록 철물 등을 사용하여 견고하게 고정_x000a_▶ 사다리가 아닌 별도의 위치에 안전대 부착설비를 설치하고 안전대를 체결한 상태로 작업할 수 있도록 관리감독 _x000a_▶ 작업자의 개인보호구 착용상태 점검"/>
  </r>
  <r>
    <n v="4"/>
    <x v="4"/>
    <x v="13"/>
    <x v="42"/>
    <s v="YES"/>
    <x v="21"/>
    <x v="44"/>
    <s v="12대 기인물"/>
    <n v="4"/>
    <n v="6.9000000000000006E-2"/>
    <s v="2021년 9월경"/>
    <d v="2021-09-01T00:00:00"/>
    <n v="9"/>
    <s v="-"/>
    <x v="2"/>
    <s v="2021년 9월경 OO공장 건축공사 현장에서, 2동(공장) 내부벽체 판넬 설치 후 마감작업(L-Bar 설치) 중이던 재해자가 작업발판으로 사용하던 A형 이동식사다리가 전도되며 하부 바닥(H≒2.6m)으로 떨어져 사망"/>
    <s v="작업 편의상 다리 양쪽의 길이를 서로 다르게 조정하고 아웃트리거 없이 설치한 이동식사다리에서 최상부 답단을 밟고 작업하던 중 작업하중 등에 의해 사다리가 전도되어 추락"/>
    <s v="▶ 사다리를 사용하여 고소작업을 하는 경우, 하부 아웃트리거 설치, 미끄럼방지패드 설치 등 전도방지조치를 실시하며 사다리 하부를 잡아줄 수 있도록 근로자 추가 배치하여 2인 1조 작업 실시_x000a_▶ 물기가 있는 바닥에 사다리를 설치할 경우, 바닥의 물기를 설치 전에 제거하여 미끄러짐을 방지 조치_x000a_▶ 가능한 사다리 사용을 지양하고 비교적 안전성이 높은 이동식 비계, 고소작업대 등의 사용을 권고_x000a_▶ 접이식 사다리 기둥은 사용 시 접히거나 펼쳐지지 않도록 철물 등을 사용하여 견고하게 고정_x000a_▶ 사다리가 아닌 별도의 위치에 안전대 부착설비를 설치하고 안전대를 체결한 상태로 작업할 수 있도록 관리감독 _x000a_▶ 작업자의 개인보호구 착용상태 점검"/>
  </r>
  <r>
    <n v="4"/>
    <x v="4"/>
    <x v="14"/>
    <x v="43"/>
    <s v="YES"/>
    <x v="21"/>
    <x v="44"/>
    <s v="12대 기인물"/>
    <n v="4"/>
    <n v="6.9000000000000006E-2"/>
    <s v="2019년 3월경"/>
    <d v="2019-03-01T00:00:00"/>
    <n v="3"/>
    <s v="-"/>
    <x v="2"/>
    <s v="2019년 3월경 OO에서 시공하는 OO 근생시설 용도변경 및 증축공사 현장에서 재해자가 지상1층 실내 바닥의 지붕 판넬(panel) 자재를 이동식비계에 올려 놓고 A형 사다리위에서 판넬을 지붕으로 올려주는 과정에서 몸의 중심을 잃고 A형 사다리에서 바닥으로 떨어져(H≒ 1.2m) 사망"/>
    <s v="이동식사다리에서 자재를 운반 하던 중 발을 헛디뎌 추락"/>
    <s v="▶ 사다리를 사용하여 고소작업을 하는 경우, 하부 아웃트리거 설치, 미끄럼방지패드 설치 등 전도방지조치를 실시하며 사다리 하부를 잡아줄 수 있도록 근로자 추가 배치하여 2인 1조 작업 실시_x000a_▶ 가능한 사다리 사용을 지양하고 비교적 안전성이 높은 이동식 비계, 고소작업대 등의 사용을 권고_x000a_▶ 접이식 사다리 기둥은 사용 시 접히거나 펼쳐지지 않도록 철물 등을 사용하여 견고하게 고정_x000a_▶ 사다리가 아닌 별도의 위치에 안전대 부착설비를 설치하고 안전대를 체결한 상태로 작업할 수 있도록 관리감독 _x000a_▶ 작업자의 개인보호구 착용상태 점검"/>
  </r>
  <r>
    <n v="4"/>
    <x v="4"/>
    <x v="14"/>
    <x v="20"/>
    <s v="YES"/>
    <x v="21"/>
    <x v="44"/>
    <s v="12대 기인물"/>
    <n v="4"/>
    <n v="6.9000000000000006E-2"/>
    <s v="2016년 9월경"/>
    <d v="2016-09-01T00:00:00"/>
    <n v="9"/>
    <s v="-"/>
    <x v="2"/>
    <s v="2016년 9월경 창고판넬 설치공사 현장에서 재해자가이 1층 공장 외벽 판넬 설치 작업 후 사다리를 통해 하부로 내려오던 중 높이 약 3m 지점에서 몸의 중심을 잃고 지상 바닥으로 떨어짐"/>
    <s v="고정상태가 불량한 사다리를 이용하여 이동 및 작업 중 근로자 추락"/>
    <s v="▶ 사다리를 사용하여 고소작업을 하는 경우, 하부 아웃트리거 설치, 미끄럼방지패드 설치 등 전도방지조치를 실시하며 사다리 하부를 잡아줄 수 있도록 근로자 추가 배치하여 2인 1조 작업 실시_x000a_▶ 가능한 사다리 사용을 지양하고 비교적 안전성이 높은 이동식 비계, 고소작업대 등의 사용을 권고_x000a_▶ 사다리가 아닌 별도의 위치에 안전대 부착설비를 설치하고 안전대를 체결한 상태로 작업할 수 있도록 관리감독_x000a_▶ 일자형 사다리를 통로로 사용하는 경우, 미끄러지는 것을 방지하기 위한 조치를 취하고 상단은 걸쳐놓은 지점으로부터 60cm 이상 올라가도록 설치할 것_x000a_▶ 작업자의 개인보호구 착용상태 점검"/>
  </r>
  <r>
    <n v="4"/>
    <x v="4"/>
    <x v="14"/>
    <x v="20"/>
    <s v="YES"/>
    <x v="21"/>
    <x v="44"/>
    <s v="12대 기인물"/>
    <n v="4"/>
    <n v="6.9000000000000006E-2"/>
    <s v="2016년 12월"/>
    <d v="2016-12-01T00:00:00"/>
    <n v="12"/>
    <s v="혹한기"/>
    <x v="2"/>
    <s v="2016년 12월경 OO(주)에서 시공하는 근린생활시설 신축공사 현장에서, 재해자가 사다리를 밟고 올라가 건물 2층 벽체판넬 고정용 C-형강(100cm×100cm×6,500cm)을 벽체 판넬과 기둥사이 틈에 끼우고 내려오려던 중, 사다리에서 미끄러지면서 C-형강을 잡았으나, 고정되지 않은 C-형강과 함께 지상으로 떨어져(h≒6.0m) 사망"/>
    <s v="이동식사다리에서 내려오던 중 발이 미끄러지며 바닥으로 추락"/>
    <s v="▶ 사다리를 사용하여 고소작업을 하는 경우, 하부 아웃트리거 설치, 미끄럼방지패드 설치 등 전도방지조치를 실시하며 사다리 하부를 잡아줄 수 있도록 근로자 추가 배치하여 2인 1조 작업 실시_x000a_▶ 가능한 사다리 사용을 지양하고 비교적 안전성이 높은 이동식 비계, 고소작업대 등의 사용을 권고_x000a_▶ 사다리가 아닌 별도의 위치에 안전대 부착설비를 설치하고 안전대를 체결한 상태로 작업할 수 있도록 관리감독_x000a_▶ 일자형 사다리를 통로로 사용하는 경우, 미끄러지는 것을 방지하기 위한 조치를 취하고 상단은 걸쳐놓은 지점으로부터 60cm 이상 올라가도록 설치할 것_x000a_▶ 작업자의 개인보호구 착용상태 점검"/>
  </r>
  <r>
    <n v="4"/>
    <x v="4"/>
    <x v="14"/>
    <x v="20"/>
    <s v="YES"/>
    <x v="21"/>
    <x v="44"/>
    <s v="12대 기인물"/>
    <n v="4"/>
    <n v="6.9000000000000006E-2"/>
    <s v="2017년 6월경"/>
    <d v="2017-06-01T00:00:00"/>
    <n v="6"/>
    <s v="혹서기"/>
    <x v="2"/>
    <s v="2017년 6월경 OO 단독주택 신축공사 현장에서 직영근로자인 재해자가 경량철골 지붕 상부에서 샌드위치 판넬 설치 작업 중 콘크리트 벽체(높이 5m) 위에서 이동 중, 지상 1층 콘크리트 바닥으로 추락하여 사망"/>
    <s v="벽체 상부에서 이동하던 중 발을 헛디뎌 바닥으로 추락"/>
    <s v="▶ 작업높이에 적합한 안전한 작업발판(비계, 고소작업대 등)을 설치하고 안전대를 체결한 후 안전하게 작업_x000a_▶ 작업발판을 설치하기 어려운 경우에는 추락방호망을 설치하고 안전대를 체결한 후 작업_x000a_▶ 추락할 위험이 있는 장소에서 작업하는 경우 안전모, 안전대 등 개인보호구 착용여부 관리감독 철저"/>
  </r>
  <r>
    <n v="4"/>
    <x v="4"/>
    <x v="14"/>
    <x v="20"/>
    <s v="YES"/>
    <x v="21"/>
    <x v="44"/>
    <s v="12대 기인물"/>
    <n v="4"/>
    <n v="6.9000000000000006E-2"/>
    <s v=" 2017년 11"/>
    <d v="2017-11-01T00:00:00"/>
    <n v="11"/>
    <s v="-"/>
    <x v="2"/>
    <s v=" 2017년 11월경 OO건물 해체공사 현장에서 재해자(해체공)가 지하 1층 건물 내부에서 사다리에 올라서서 냉동창고 내부단열 마감재인 우레탄 샌드위치 판넬을 해체하는 작업 중 몸의 중심을 잃고 바닥으로 떨어져 사망"/>
    <s v="이동식사다리에서 작업하던 중 발을 헛디뎌 바닥으로 추락"/>
    <s v="▶ 사다리를 사용하여 고소작업을 하는 경우, 하부 아웃트리거 설치, 미끄럼방지패드 설치 등 전도방지조치를 실시하며 사다리 하부를 잡아줄 수 있도록 근로자 추가 배치하여 2인 1조 작업 실시_x000a_▶ 가능한 사다리 사용을 지양하고 비교적 안전성이 높은 이동식 비계, 고소작업대 등의 사용을 권고_x000a_▶ 사다리가 아닌 별도의 위치에 안전대 부착설비를 설치하고 안전대를 체결한 상태로 작업할 수 있도록 관리감독_x000a_▶ 일자형 사다리를 통로로 사용하는 경우, 미끄러지는 것을 방지하기 위한 조치를 취하고 상단은 걸쳐놓은 지점으로부터 60cm 이상 올라가도록 설치할 것_x000a_▶ 작업자의 개인보호구 착용상태 점검"/>
  </r>
  <r>
    <n v="4"/>
    <x v="4"/>
    <x v="14"/>
    <x v="20"/>
    <s v="YES"/>
    <x v="21"/>
    <x v="44"/>
    <s v="12대 기인물"/>
    <n v="4"/>
    <n v="6.9000000000000006E-2"/>
    <s v="2017년 12월"/>
    <d v="2017-12-01T00:00:00"/>
    <n v="12"/>
    <s v="혹한기"/>
    <x v="2"/>
    <s v="2017년 12월경 OO 근린생활시설 신축공사 현장에서 협력업체 소속 재해자(판넬공)가 사다리에서 외벽 샌드위치 판넬 플래싱 설치 작업 중 미끄러지며 지상 바닥으로 떨어져(H≒6.0m) 사망"/>
    <s v="이동식사다리에서 작업하던 중 발이 미끄러지며 바닥으로 추락"/>
    <s v="▶ 사다리를 사용하여 고소작업을 하는 경우, 하부 아웃트리거 설치, 미끄럼방지패드 설치 등 전도방지조치를 실시하며 사다리 하부를 잡아줄 수 있도록 근로자 추가 배치하여 2인 1조 작업 실시_x000a_▶ 가능한 사다리 사용을 지양하고 비교적 안전성이 높은 이동식 비계, 고소작업대 등의 사용을 권고_x000a_▶ 사다리가 아닌 별도의 위치에 안전대 부착설비를 설치하고 안전대를 체결한 상태로 작업할 수 있도록 관리감독_x000a_▶ 일자형 사다리를 통로로 사용하는 경우, 미끄러지는 것을 방지하기 위한 조치를 취하고 상단은 걸쳐놓은 지점으로부터 60cm 이상 올라가도록 설치할 것_x000a_▶ 작업자의 개인보호구 착용상태 점검"/>
  </r>
  <r>
    <n v="4"/>
    <x v="4"/>
    <x v="14"/>
    <x v="20"/>
    <s v="YES"/>
    <x v="21"/>
    <x v="44"/>
    <s v="12대 기인물"/>
    <n v="4"/>
    <n v="6.9000000000000006E-2"/>
    <s v="2018년 3월경"/>
    <d v="2018-03-01T00:00:00"/>
    <n v="3"/>
    <s v="-"/>
    <x v="2"/>
    <s v="2018년 3월경 OO 단독주택 신축공사 현장에서 재해자가 단독주택 경사지붕에 기와 설치작업을 마치고 사다리를 사용하여 내려오던 중 실족하여 테라스 콘크리트 바닥으로 떨어져(H≒3m) 사망"/>
    <s v="이동식사다리에서 내려오던 중 발을 헛디뎌 바닥으로 추락"/>
    <s v="▶ 사다리를 사용하여 고소작업을 하는 경우, 하부 아웃트리거 설치, 미끄럼방지패드 설치 등 전도방지조치를 실시하며 사다리 하부를 잡아줄 수 있도록 근로자 추가 배치하여 2인 1조 작업 실시_x000a_▶ 가능한 사다리 사용을 지양하고 비교적 안전성이 높은 이동식 비계, 고소작업대 등의 사용을 권고_x000a_▶ 사다리가 아닌 별도의 위치에 안전대 부착설비를 설치하고 안전대를 체결한 상태로 작업할 수 있도록 관리감독_x000a_▶ 일자형 사다리를 통로로 사용하는 경우, 미끄러지는 것을 방지하기 위한 조치를 취하고 상단은 걸쳐놓은 지점으로부터 60cm 이상 올라가도록 설치할 것_x000a_▶ 작업자의 개인보호구 착용상태 점검"/>
  </r>
  <r>
    <n v="4"/>
    <x v="4"/>
    <x v="14"/>
    <x v="20"/>
    <s v="YES"/>
    <x v="21"/>
    <x v="44"/>
    <s v="12대 기인물"/>
    <n v="4"/>
    <n v="6.9000000000000006E-2"/>
    <s v="2018년 8월경"/>
    <d v="2018-08-01T00:00:00"/>
    <n v="8"/>
    <s v="혹서기"/>
    <x v="2"/>
    <s v="2018년 8월경 OO교회 냉각탑실 방음벽 설치공사 현장에서 재해자가 샌드위치 판넬을 설치하기 위하여 A형 사다리 위에서 냉각탑실 방음벽 지붕 판넬 설치 작업중, 약 2.0m 아래 콘크리트 바닥으로 추락"/>
    <s v="고정상태가 불량한 사다리를 이용하여 이동 및 작업 중 근로자 추락"/>
    <s v="▶ 사다리를 사용하여 고소작업을 하는 경우, 하부 아웃트리거 설치, 미끄럼방지패드 설치 등 전도방지조치를 실시하며 사다리 하부를 잡아줄 수 있도록 근로자 추가 배치하여 2인 1조 작업 실시_x000a_▶ 가능한 사다리 사용을 지양하고 비교적 안전성이 높은 이동식 비계, 고소작업대 등의 사용을 권고_x000a_▶ 사다리가 아닌 별도의 위치에 안전대 부착설비를 설치하고 안전대를 체결한 상태로 작업할 수 있도록 관리감독_x000a_▶ 일자형 사다리를 통로로 사용하는 경우, 미끄러지는 것을 방지하기 위한 조치를 취하고 상단은 걸쳐놓은 지점으로부터 60cm 이상 올라가도록 설치할 것_x000a_▶ 작업자의 개인보호구 착용상태 점검"/>
  </r>
  <r>
    <n v="4"/>
    <x v="4"/>
    <x v="14"/>
    <x v="20"/>
    <s v="YES"/>
    <x v="21"/>
    <x v="44"/>
    <s v="12대 기인물"/>
    <n v="4"/>
    <n v="6.9000000000000006E-2"/>
    <s v="2018년 12월"/>
    <d v="2018-12-01T00:00:00"/>
    <n v="12"/>
    <s v="혹한기"/>
    <x v="2"/>
    <s v="2018년 12월경 OO건설(주)이 시공중인 OO오피스텔 신축공사 현장에서 협력업체 소속 재해자가 지상14층 1401호 발코니의 정자 지붕 마감재 설치작업 후 일자형으로 펼친 A형사다리를 이용하여 발코니 바닥으로 내려오던 중, 몸의 중심을 잃고 발코니 바닥(H≒2.7m)으로 떨어져 사망"/>
    <s v="고정상태가 불량한 사다리를 이용하여 이동 및 작업 중 근로자 추락"/>
    <s v="▶ 사다리를 사용하여 고소작업을 하는 경우, 하부 아웃트리거 설치, 미끄럼방지패드 설치 등 전도방지조치를 실시하며 사다리 하부를 잡아줄 수 있도록 근로자 추가 배치하여 2인 1조 작업 실시_x000a_▶ 가능한 사다리 사용을 지양하고 비교적 안전성이 높은 이동식 비계, 고소작업대 등의 사용을 권고_x000a_▶ 사다리가 아닌 별도의 위치에 안전대 부착설비를 설치하고 안전대를 체결한 상태로 작업할 수 있도록 관리감독_x000a_▶ 일자형 사다리를 통로로 사용하는 경우, 미끄러지는 것을 방지하기 위한 조치를 취하고 상단은 걸쳐놓은 지점으로부터 60cm 이상 올라가도록 설치할 것_x000a_▶ 작업자의 개인보호구 착용상태 점검"/>
  </r>
  <r>
    <n v="4"/>
    <x v="4"/>
    <x v="14"/>
    <x v="20"/>
    <s v="YES"/>
    <x v="21"/>
    <x v="44"/>
    <s v="12대 기인물"/>
    <n v="4"/>
    <n v="6.9000000000000006E-2"/>
    <s v="2019년 5월경"/>
    <d v="2019-05-01T00:00:00"/>
    <n v="5"/>
    <s v="-"/>
    <x v="2"/>
    <s v="2019년 5월경 개인이 직영으로 시공하는 OO 단독주택 신축공사 현장에서 주택 지붕재인 샌드위치패널을 인력으로 지붕에 올리던 재해자(보조공)가 접이식 사다리에 오르던 중 바닥으로 떨어져(H:약1.4m) 사망"/>
    <s v="이동식사다리를 올라가던 중 발을 헛디뎌 바닥으로 추락"/>
    <s v="▶ 사다리를 사용하여 고소작업을 하는 경우, 하부 아웃트리거 설치, 미끄럼방지패드 설치 등 전도방지조치를 실시하며 사다리 하부를 잡아줄 수 있도록 근로자 추가 배치하여 2인 1조 작업 실시_x000a_▶ 가능한 사다리 사용을 지양하고 비교적 안전성이 높은 이동식 비계, 고소작업대 등의 사용을 권고_x000a_▶ 접이식 사다리 기둥은 사용 시 접히거나 펼쳐지지 않도록 철물 등을 사용하여 견고하게 고정_x000a_▶ 사다리가 아닌 별도의 위치에 안전대 부착설비를 설치하고 안전대를 체결한 상태로 작업할 수 있도록 관리감독 _x000a_▶ 작업자의 개인보호구 착용상태 점검"/>
  </r>
  <r>
    <n v="4"/>
    <x v="4"/>
    <x v="14"/>
    <x v="20"/>
    <s v="YES"/>
    <x v="21"/>
    <x v="44"/>
    <s v="12대 기인물"/>
    <n v="4"/>
    <n v="6.9000000000000006E-2"/>
    <s v="2019년 6월경"/>
    <d v="2019-06-01T00:00:00"/>
    <n v="6"/>
    <s v="혹서기"/>
    <x v="2"/>
    <s v="2019년 6월경 단독주택 신축공사 현장에서, 재해자가 건물 지붕 위에서 작업진행상황을 확인 후 A형 사다리로 지상으로 내려오던 중, A형 사다리가 넘어가면서 재해자가 콘크리트 바닥으로 떨어짐(H=2.5m)"/>
    <s v="고정상태가 불량한 사다리를 이용하여 이동 및 작업 중 근로자 추락"/>
    <s v="▶ 사다리를 사용하여 고소작업을 하는 경우, 하부 아웃트리거 설치, 미끄럼방지패드 설치 등 전도방지조치를 실시하며 사다리 하부를 잡아줄 수 있도록 근로자 추가 배치하여 2인 1조 작업 실시_x000a_▶ 가능한 사다리 사용을 지양하고 비교적 안전성이 높은 이동식 비계, 고소작업대 등의 사용을 권고_x000a_▶ 사다리가 아닌 별도의 위치에 안전대 부착설비를 설치하고 안전대를 체결한 상태로 작업할 수 있도록 관리감독_x000a_▶ 일자형 사다리를 통로로 사용하는 경우, 미끄러지는 것을 방지하기 위한 조치를 취하고 상단은 걸쳐놓은 지점으로부터 60cm 이상 올라가도록 설치할 것_x000a_▶ 작업자의 개인보호구 착용상태 점검"/>
  </r>
  <r>
    <n v="4"/>
    <x v="4"/>
    <x v="14"/>
    <x v="20"/>
    <s v="YES"/>
    <x v="21"/>
    <x v="44"/>
    <s v="12대 기인물"/>
    <n v="4"/>
    <n v="6.9000000000000006E-2"/>
    <s v="2019년 7월경"/>
    <d v="2019-07-01T00:00:00"/>
    <n v="7"/>
    <s v="혹서기"/>
    <x v="2"/>
    <s v="2019년 7월경 OO교회내 OO이 시공하는 지붕 판넬 보수공사 현장에서 재해자(판넬공)이 사다리를 이용하여 상부지붕에서 하부지붕으로 이동하던 중 사다리가 미끄러지며 6m 아래 콘크리트 바닥으로 떨어져 사망"/>
    <s v="상부지붕과 하부지붕 사이에 걸쳐 세워둔 사다리에서 내려오던 중 사다리가 미끄러지면서 사다리와 함께 바닥으로 추락"/>
    <s v="▶ 사다리를 사용하여 고소작업을 하는 경우, 하부 아웃트리거 설치, 미끄럼방지패드 설치 등 전도방지조치를 실시하며 사다리 하부를 잡아줄 수 있도록 근로자 추가 배치하여 2인 1조 작업 실시_x000a_▶ 가능한 사다리 사용을 지양하고 비교적 안전성이 높은 이동식 비계, 고소작업대 등의 사용을 권고_x000a_▶ 사다리가 아닌 별도의 위치에 안전대 부착설비를 설치하고 안전대를 체결한 상태로 작업할 수 있도록 관리감독_x000a_▶ 일자형 사다리를 통로로 사용하는 경우, 미끄러지는 것을 방지하기 위한 조치를 취하고 상단은 걸쳐놓은 지점으로부터 60cm 이상 올라가도록 설치할 것_x000a_▶ 작업자의 개인보호구 착용상태 점검"/>
  </r>
  <r>
    <n v="5"/>
    <x v="5"/>
    <x v="15"/>
    <x v="44"/>
    <s v="YES"/>
    <x v="21"/>
    <x v="44"/>
    <s v="12대 기인물"/>
    <n v="4"/>
    <n v="6.9000000000000006E-2"/>
    <s v="2017년 9월경"/>
    <d v="2017-09-01T00:00:00"/>
    <n v="9"/>
    <s v="-"/>
    <x v="2"/>
    <s v="2017년 9월경 OO공사에서 재해자가 사다리 위에서 케이블트레이 인출 위치의 벽체(샌드위치패널) 구멍 상태 확인 중 콘크리트 바닥으로 추락하여(H≒2.6m) 사망"/>
    <s v="이동식 사다리 위에서 벽체 전기 작업 중 추락"/>
    <s v="▶ A형사다리 최상단 답단에서 작업 금지 (불안전한 작업상태)_x000a_▶ A형사다리 전도방지조치를 위한 아웃트리거 설치_x000a_▶ A형사다리 벌어짐 방지조치 (힌지타입, 걸쇠타입의 걸쇠철물 설치 사용)_x000a_▶ 2인1조 작업으로 사다리의 전도방지조치 실시"/>
  </r>
  <r>
    <n v="5"/>
    <x v="5"/>
    <x v="15"/>
    <x v="45"/>
    <s v="YES"/>
    <x v="21"/>
    <x v="44"/>
    <s v="12대 기인물"/>
    <n v="4"/>
    <n v="6.9000000000000006E-2"/>
    <s v="2017년 5월경"/>
    <d v="2017-05-01T00:00:00"/>
    <n v="5"/>
    <s v="-"/>
    <x v="2"/>
    <s v="2017년 5월경 OO관광호텔 신축공사 현장에서 재해자가 A형 사다리를 이용해 CCTV 입선 작업 중 작업을 마치고 내려오다가 약 1.4m 아래 콘크리트 바닥으로 떨어짐"/>
    <s v="A형 사다리에 탑승하여 작업 중 몸의 균형을 잃고 근로자 추락"/>
    <s v="▶ 이동식 비계 등 설치가 불가한 작업여건시 A형사다리를 사용 (경작업용)_x000a_▶ A형 사다리 사용 작업시 사다리 작업 안전지침 준수_x000a_   - A형사다리 최상단 답단에서 작업 금지 (불안전한 작업상태)_x000a_   - A형사다리 전도방지조치를 위한 아웃트리거 설치_x000a_   - A형사다리 벌어짐 방지조치 (힌지타입, 걸쇠타입의 걸쇠철물 설치 사용)_x000a_   - 2인1조 작업으로 사다리의 전도방지조치 실시"/>
  </r>
  <r>
    <n v="5"/>
    <x v="5"/>
    <x v="15"/>
    <x v="45"/>
    <s v="YES"/>
    <x v="21"/>
    <x v="44"/>
    <s v="12대 기인물"/>
    <n v="4"/>
    <n v="6.9000000000000006E-2"/>
    <s v="2017년 7월경"/>
    <d v="2017-07-01T00:00:00"/>
    <n v="7"/>
    <s v="혹서기"/>
    <x v="10"/>
    <s v="2017년 7월경 OO공사에서 재해자가 철제전신주에 알루미늄 사다리를 걸쳐놓고 올라가 가로등 전원선 연결 작업 중 활선상태인 전선에 접촉되어 감전으로 사망 "/>
    <s v="가로등 보수공사 현장에서 철제전신주에 이동식 사다리를 걸쳐놓고 올라가 가로등 전원선 연결 작업 중 활선상태인 전선에 접촉되어 감전"/>
    <s v="▶ 감전 위험이 있는 작업 시 해당 전로 차단 실시_x000a_▶ 작업 전 절연보호구 지급 및 착용상태 관리_x000a_▶ 추락 위험이 있는 작업 시 안전대 부착설비 설치를 통한 안전방호조치 실시"/>
  </r>
  <r>
    <n v="5"/>
    <x v="5"/>
    <x v="15"/>
    <x v="45"/>
    <s v="YES"/>
    <x v="21"/>
    <x v="44"/>
    <s v="12대 기인물"/>
    <n v="4"/>
    <n v="6.9000000000000006E-2"/>
    <s v="2018년 12월"/>
    <d v="2018-12-01T00:00:00"/>
    <n v="12"/>
    <s v="혹한기"/>
    <x v="2"/>
    <s v="2018년 12월경 OO공사에서 재해자가 일자형 사다리 위에서 전기 인입작업 중 얼어붇은 경사 바닥면에 설치한 사다리가 뒤로 미끄러지면서 재해자가 몸의 중심을 잃고 콘크리트 바닥으로 추락하여(H≒3.5m) 사망"/>
    <s v="얼어있는 경사 바닥면 위에 이동식 사다리를 설치하고 그 위에서 전기 인입 작업 중 사다리가 밀리면서 추락 "/>
    <s v="▶ A형사다리 최상단 답단에서 작업 금지 (불안전한 작업상태)_x000a_▶ A형사다리 전도방지조치를 위한 아웃트리거 설치_x000a_▶ A형사다리 벌어짐 방지조치 (힌지타입, 걸쇠타입의 걸쇠철물 설치 사용)_x000a_▶ 2인1조 작업으로 사다리의 전도방지조치 실시"/>
  </r>
  <r>
    <n v="5"/>
    <x v="5"/>
    <x v="15"/>
    <x v="45"/>
    <s v="YES"/>
    <x v="21"/>
    <x v="44"/>
    <s v="12대 기인물"/>
    <n v="4"/>
    <n v="6.9000000000000006E-2"/>
    <s v="2019년 6월경"/>
    <d v="2019-06-01T00:00:00"/>
    <n v="6"/>
    <s v="혹서기"/>
    <x v="2"/>
    <s v="2019년 6월경 OO공사에서 재해자가 천장 전등배관의 전기 입선작업 후 이동식 사다리에서 내려오던 중 몸의 중심을 잃고 바닥으로 추락하여(H≒1.95m) 사망"/>
    <s v="전기배선 작업 후 A형 사다리(이동식 사다리)에서 이동중 몸의 중심을 잃고 추락"/>
    <s v="▶ 이동식 비계 등 설치가 불가한 작업여건시 A형사다리를 사용 (경작업용)_x000a_▶ A형 사다리 사용 작업시 사다리 작업 안전지침 준수_x000a_   - A형사다리 최상단 답단에서 작업 금지 (불안전한 작업상태)_x000a_   - A형사다리 전도방지조치를 위한 아웃트리거 설치_x000a_   - A형사다리 벌어짐 방지조치 (힌지타입, 걸쇠타입의 걸쇠철물 설치 사용)_x000a_   - 2인1조 작업으로 사다리의 전도방지조치 실시"/>
  </r>
  <r>
    <n v="5"/>
    <x v="5"/>
    <x v="15"/>
    <x v="45"/>
    <s v="YES"/>
    <x v="21"/>
    <x v="44"/>
    <s v="12대 기인물"/>
    <n v="4"/>
    <n v="6.9000000000000006E-2"/>
    <s v="2019년 7월경"/>
    <d v="2019-07-01T00:00:00"/>
    <n v="7"/>
    <s v="혹서기"/>
    <x v="2"/>
    <s v="2019년 7월경 OO공사에서 재해자가 전기선 교체를 위한 사전작업 중 우천으로 인해 이동식 사다리에서 지상으로 내려오던 중 몸의 중심을 잃고 약 3m 아스팔트 바닥으로 추락하여 사망"/>
    <s v="전기배선 작업 후 A형 사다리(이동식 사다리)에서 이동중 몸의 중심을 잃고 추락"/>
    <s v="▶ 이동식 비계 등 설치가 불가한 작업여건시 A형사다리를 사용 (경작업용)_x000a_▶ A형 사다리 사용 작업시 사다리 작업 안전지침 준수_x000a_   - A형사다리 최상단 답단에서 작업 금지 (불안전한 작업상태)_x000a_   - A형사다리 전도방지조치를 위한 아웃트리거 설치_x000a_   - A형사다리 벌어짐 방지조치 (힌지타입, 걸쇠타입의 걸쇠철물 설치 사용)_x000a_   - 2인1조 작업으로 사다리의 전도방지조치 실시"/>
  </r>
  <r>
    <n v="5"/>
    <x v="5"/>
    <x v="15"/>
    <x v="45"/>
    <s v="YES"/>
    <x v="21"/>
    <x v="44"/>
    <s v="12대 기인물"/>
    <n v="4"/>
    <n v="6.9000000000000006E-2"/>
    <s v="2019년 11월"/>
    <d v="2019-11-01T00:00:00"/>
    <n v="11"/>
    <s v="-"/>
    <x v="2"/>
    <s v="2019년 11월경 OO공사에서 재해자가 전기실 배전반 상부에서 케이블 포설 작업 후 A형 사다리를 이용하여 내려오던 중 몸의 중심을 잃고 약 1.6m 아래 콘크리트 바닥으로 추락하여 사망"/>
    <s v="전기배선 작업 후 A형 사다리(이동식 사다리)에서 이동중 몸의 중심을 잃고 추락"/>
    <s v="▶ 이동식 비계 등 설치가 불가한 작업여건시 A형사다리를 사용 (경작업용)_x000a_▶ A형 사다리 사용 작업시 사다리 작업 안전지침 준수_x000a_   - A형사다리 최상단 답단에서 작업 금지 (불안전한 작업상태)_x000a_   - A형사다리 전도방지조치를 위한 아웃트리거 설치_x000a_   - A형사다리 벌어짐 방지조치 (힌지타입, 걸쇠타입의 걸쇠철물 설치 사용)_x000a_   - 2인1조 작업으로 사다리의 전도방지조치 실시"/>
  </r>
  <r>
    <n v="5"/>
    <x v="5"/>
    <x v="15"/>
    <x v="45"/>
    <s v="YES"/>
    <x v="21"/>
    <x v="44"/>
    <s v="12대 기인물"/>
    <n v="4"/>
    <n v="6.9000000000000006E-2"/>
    <s v="2021년 1월경"/>
    <d v="2021-01-01T00:00:00"/>
    <n v="1"/>
    <s v="혹한기"/>
    <x v="2"/>
    <s v="2021년 1월경 OO공사에서 재해자가 전주에 가공케이블을 가설하기 위해 사다리 위에서 발판볼트를 체결하던 중 약 2.9m 아래 바닥으로 추락하여 사망"/>
    <s v="A형 사다리(이동식 사다리)에서 전기배선 작업 중 몸의 중심을 잃고 추락"/>
    <s v="▶ 이동식 비계 등 설치가 불가한 작업여건시 A형사다리를 사용 (경작업용)_x000a_▶ A형 사다리 사용 작업시 사다리 작업 안전지침 준수_x000a_   - A형사다리 최상단 답단에서 작업 금지 (불안전한 작업상태)_x000a_   - A형사다리 전도방지조치를 위한 아웃트리거 설치_x000a_   - A형사다리 벌어짐 방지조치 (힌지타입, 걸쇠타입의 걸쇠철물 설치 사용)_x000a_   - 2인1조 작업으로 사다리의 전도방지조치 실시"/>
  </r>
  <r>
    <n v="5"/>
    <x v="5"/>
    <x v="15"/>
    <x v="46"/>
    <s v="YES"/>
    <x v="21"/>
    <x v="44"/>
    <s v="12대 기인물"/>
    <n v="4"/>
    <n v="6.9000000000000006E-2"/>
    <s v="2016년 2월경"/>
    <d v="2016-02-01T00:00:00"/>
    <n v="2"/>
    <s v="혹한기"/>
    <x v="2"/>
    <s v="2016년 2월경 재해자가 통신주 위에서 광케이블 가설작업 완료 후 사다리를 이용 내려오던 중 아스팔트 바닥으로 떨어짐(h≒4m)"/>
    <s v="사다리를 통해 내려오던 중 사다리 전도에 의해 바닥으로 추락"/>
    <s v="▶ 지지각재, 로프 등 사다리 상〮하부 고정을 통한 사다리 전도방지 조치 실시_x000a_▶ 고소작업대, 3종 안전대 체결 등을 통한 추락방지조치 실시"/>
  </r>
  <r>
    <n v="5"/>
    <x v="5"/>
    <x v="15"/>
    <x v="46"/>
    <s v="YES"/>
    <x v="21"/>
    <x v="44"/>
    <s v="12대 기인물"/>
    <n v="4"/>
    <n v="6.9000000000000006E-2"/>
    <s v="2017년 6월경"/>
    <d v="2017-06-01T00:00:00"/>
    <n v="6"/>
    <s v="혹서기"/>
    <x v="2"/>
    <s v="2017년 6월경 OO공사에서 재해자가 접이식사다리(높이 약3.0m) 위에서 등기구 설치 작업 중 갑자기 작업장 전체가 정전되면서 재해자가 몸의 중심을 잃고 바닥으로 추락하여 사망"/>
    <s v="A형 사다리(이동식 사다리)에서 전기배선 작업 중 몸의 중심을 잃고 추락"/>
    <s v="▶ 이동식 비계 등 설치가 불가한 작업여건시 A형사다리를 사용 (경작업용)_x000a_▶ A형 사다리 사용 작업시 사다리 작업 안전지침 준수_x000a_   - A형사다리 최상단 답단에서 작업 금지 (불안전한 작업상태)_x000a_   - A형사다리 전도방지조치를 위한 아웃트리거 설치_x000a_   - A형사다리 벌어짐 방지조치 (힌지타입, 걸쇠타입의 걸쇠철물 설치 사용)_x000a_   - 2인1조 작업으로 사다리의 전도방지조치 실시"/>
  </r>
  <r>
    <n v="5"/>
    <x v="5"/>
    <x v="15"/>
    <x v="46"/>
    <s v="YES"/>
    <x v="21"/>
    <x v="44"/>
    <s v="12대 기인물"/>
    <n v="4"/>
    <n v="6.9000000000000006E-2"/>
    <s v="2017년 9월경"/>
    <d v="2017-09-01T00:00:00"/>
    <n v="9"/>
    <s v="-"/>
    <x v="2"/>
    <s v="2017년 9월경 OO공사에서 재해자가 등표의 두표, 피뢰침 및 피뢰침 지지대를 교체한 후 등표에 고정되어 있는 수직사다리를 이용 내려오려다 몸의 균형을 잃고 추락하여(높이 : 7m) 사망 "/>
    <s v="등표의 두표, 피뢰침 및 피뢰침 지지대 교체작업 완료 후 등표 최상단에서 등표에 고정된 수직사다리를 이용하여 내려오려다 몸의 균형을 잃고 등표 1층으로 추락"/>
    <s v="▶ 일자형 사다리를 통로로 사용시 상단부 걸침길이 확보 (60cm 이상)_x000a_▶ 사다리 상, 하부는 움직이지 않도록 고정조치_x000a_▶ 디딤대 상단에는 미끄럼방지 조치 실시(논슬립 등 설치)_x000a_▶ 2인1조 작업으로 사다리의 전도방지조치 실시"/>
  </r>
  <r>
    <n v="5"/>
    <x v="5"/>
    <x v="15"/>
    <x v="46"/>
    <s v="YES"/>
    <x v="21"/>
    <x v="44"/>
    <s v="12대 기인물"/>
    <n v="4"/>
    <n v="6.9000000000000006E-2"/>
    <s v="2017년 10월"/>
    <d v="2017-10-01T00:00:00"/>
    <n v="10"/>
    <s v="-"/>
    <x v="2"/>
    <s v="2017년 10월경 OO공사에서 재해자가 A형 사다리(높이 3m) 위에서 투광등(높이 약 4.6m) 배선작업 중 몸의 중심을 잃고 지상 콘크리트 바닥으로 추락하여 사망"/>
    <s v="A형 사다리(이동식 사다리)에서 전기배선 작업 중 몸의 중심을 잃고 추락"/>
    <s v="▶ 이동식 비계 등 설치가 불가한 작업여건시 A형사다리를 사용 (경작업용)_x000a_▶ A형 사다리 사용 작업시 사다리 작업 안전지침 준수_x000a_   - A형사다리 최상단 답단에서 작업 금지 (불안전한 작업상태)_x000a_   - A형사다리 전도방지조치를 위한 아웃트리거 설치_x000a_   - A형사다리 벌어짐 방지조치 (힌지타입, 걸쇠타입의 걸쇠철물 설치 사용)_x000a_   - 2인1조 작업으로 사다리의 전도방지조치 실시"/>
  </r>
  <r>
    <n v="5"/>
    <x v="5"/>
    <x v="15"/>
    <x v="46"/>
    <s v="YES"/>
    <x v="21"/>
    <x v="44"/>
    <s v="12대 기인물"/>
    <n v="4"/>
    <n v="6.9000000000000006E-2"/>
    <s v="2018년 1월경"/>
    <d v="2018-01-01T00:00:00"/>
    <n v="1"/>
    <s v="혹한기"/>
    <x v="2"/>
    <s v="2018년 1월경 OO공사에서 재해자가 강관파이프 용접용 용접기를 들고 사다리를 올라가던 중 지해자가 약 1.7m 높이의 사다리 발판에서 지면으로 추락하여 사망"/>
    <s v="용접용 용접기를 들고 사다리를 오르던 근로자가 약 1.7m 높이의 사다리 발판에서 지면으로 떨어짐"/>
    <s v="▶ 이동식 비계 등 설치가 불가한 작업여건시 A형사다리를 사용 (경작업용)_x000a_▶ A형 사다리 사용 작업시 사다리 작업 안전지침 준수_x000a_   - A형사다리 최상단 답단에서 작업 금지 (불안전한 작업상태)_x000a_   - A형사다리 전도방지조치를 위한 아웃트리거 설치_x000a_   - A형사다리 벌어짐 방지조치 (힌지타입, 걸쇠타입의 걸쇠철물 설치 사용)_x000a_   - 2인1조 작업으로 사다리의 전도방지조치 실시"/>
  </r>
  <r>
    <n v="5"/>
    <x v="5"/>
    <x v="15"/>
    <x v="46"/>
    <s v="YES"/>
    <x v="21"/>
    <x v="44"/>
    <s v="12대 기인물"/>
    <n v="4"/>
    <n v="6.9000000000000006E-2"/>
    <s v="2018년 12월"/>
    <d v="2018-12-01T00:00:00"/>
    <n v="12"/>
    <s v="혹한기"/>
    <x v="2"/>
    <s v="2018년 12월경 창고칸막이 공사 현장에서 재해자가 A형 사다리 상부에서 천장에 고정된 전기트레이를 해체하는 중 실족(H≒2.0m), 떨어져 사망"/>
    <s v="A형 사다리에 탑승하여 작업 중 몸의 균형을 잃고 근로자 추락"/>
    <s v="▶ 이동식 비계 등 설치가 불가한 작업여건시 A형사다리를 사용 (경작업용)_x000a_▶ A형 사다리 사용 작업시 사다리 작업 안전지침 준수_x000a_   - A형사다리 최상단 답단에서 작업 금지 (불안전한 작업상태)_x000a_   - A형사다리 전도방지조치를 위한 아웃트리거 설치_x000a_   - A형사다리 벌어짐 방지조치 (힌지타입, 걸쇠타입의 걸쇠철물 설치 사용)_x000a_   - 2인1조 작업으로 사다리의 전도방지조치 실시"/>
  </r>
  <r>
    <n v="5"/>
    <x v="5"/>
    <x v="15"/>
    <x v="46"/>
    <s v="YES"/>
    <x v="21"/>
    <x v="44"/>
    <s v="12대 기인물"/>
    <n v="4"/>
    <n v="6.9000000000000006E-2"/>
    <s v=" 2019년 2월"/>
    <d v="2019-02-01T00:00:00"/>
    <n v="2"/>
    <s v="혹한기"/>
    <x v="2"/>
    <s v=" 2019년 2월경 OO도 OO시 OO동 소재 ㈜OOOO이 시공하는 OOO 신축공사 현장에서 재해자가 발코니 천장에 소방감지기 입선작업 중 이동식사다리(높이 약 80cm)를 밟고 전선을 밀어넣는 작업을 하다 떨어져 사망한 재해로 추정됨"/>
    <s v="A형 사다리(이동식 사다리)에서 전기배선 작업 중 몸의 중심을 잃고 추락"/>
    <s v="▶ 이동식 비계 등 설치가 불가한 작업여건시 A형사다리를 사용 (경작업용)_x000a_▶ A형 사다리 사용 작업시 사다리 작업 안전지침 준수_x000a_   - A형사다리 최상단 답단에서 작업 금지 (불안전한 작업상태)_x000a_   - A형사다리 전도방지조치를 위한 아웃트리거 설치_x000a_   - A형사다리 벌어짐 방지조치 (힌지타입, 걸쇠타입의 걸쇠철물 설치 사용)_x000a_   - 2인1조 작업으로 사다리의 전도방지조치 실시"/>
  </r>
  <r>
    <n v="5"/>
    <x v="5"/>
    <x v="15"/>
    <x v="46"/>
    <s v="YES"/>
    <x v="21"/>
    <x v="44"/>
    <s v="12대 기인물"/>
    <n v="4"/>
    <n v="6.9000000000000006E-2"/>
    <s v="2019년 2월경"/>
    <d v="2019-02-01T00:00:00"/>
    <n v="2"/>
    <s v="혹한기"/>
    <x v="2"/>
    <s v="2019년 2월경 OO공사에서 재해자 등이 A형 사다리 위에서 전등 교체 작업 중 사다리가 전도되면서 바닥으로 추락하여 2명 부상"/>
    <s v="A형 사다리(이동식 사다리)에서 전기배선 작업 중 사다리가 전도되어 추락"/>
    <s v="▶ 이동식 비계 등 설치가 불가한 작업여건시 A형사다리를 사용 (경작업용)_x000a_▶ A형 사다리 사용 작업시 사다리 작업 안전지침 준수_x000a_   - A형사다리 최상단 답단에서 작업 금지 (불안전한 작업상태)_x000a_   - A형사다리 전도방지조치를 위한 아웃트리거 설치_x000a_   - A형사다리 벌어짐 방지조치 (힌지타입, 걸쇠타입의 걸쇠철물 설치 사용)_x000a_   - 2인1조 작업으로 사다리의 전도방지조치 실시"/>
  </r>
  <r>
    <n v="5"/>
    <x v="5"/>
    <x v="15"/>
    <x v="46"/>
    <s v="YES"/>
    <x v="21"/>
    <x v="44"/>
    <s v="12대 기인물"/>
    <n v="4"/>
    <n v="6.9000000000000006E-2"/>
    <s v="2019년 10월"/>
    <d v="2019-10-01T00:00:00"/>
    <n v="10"/>
    <s v="-"/>
    <x v="2"/>
    <s v="2019년 10월경 OO공사에서 재해자가 천정 등기구 먹매김 작업을 하기 위하여 한손에 먹매김 핀을 들고 이동식 사다리를 올라가던 중 몸의 중심을 잃고 바닥으로 추락하여(H≒2m) 사망"/>
    <s v="전기배선 작업 후 A형 사다리(이동식 사다리)에서 이동중 몸의 중심을 잃고 추락"/>
    <s v="▶ 이동식 비계 등 설치가 불가한 작업여건시 A형사다리를 사용 (경작업용)_x000a_▶ A형 사다리 사용 작업시 사다리 작업 안전지침 준수_x000a_   - A형사다리 최상단 답단에서 작업 금지 (불안전한 작업상태)_x000a_   - A형사다리 전도방지조치를 위한 아웃트리거 설치_x000a_   - A형사다리 벌어짐 방지조치 (힌지타입, 걸쇠타입의 걸쇠철물 설치 사용)_x000a_   - 2인1조 작업으로 사다리의 전도방지조치 실시"/>
  </r>
  <r>
    <n v="5"/>
    <x v="5"/>
    <x v="15"/>
    <x v="46"/>
    <s v="YES"/>
    <x v="21"/>
    <x v="44"/>
    <s v="12대 기인물"/>
    <n v="4"/>
    <n v="6.9000000000000006E-2"/>
    <s v="2021년 7월경"/>
    <d v="2021-07-01T00:00:00"/>
    <n v="7"/>
    <s v="혹서기"/>
    <x v="2"/>
    <s v="2021년 7월경 OO공사에서 재해자가 A형 사다리에서 건물 좌측 외벽 전등 설치 작업 중 콘크리트 바닥으로 추락하여(H≒1.8m) 사망"/>
    <s v="A형 사다리(이동식 사다리)에서 전기배선 작업 중 몸의 중심을 잃고 추락"/>
    <s v="▶ 이동식 비계 등 설치가 불가한 작업여건시 A형사다리를 사용 (경작업용)_x000a_▶ A형 사다리 사용 작업시 사다리 작업 안전지침 준수_x000a_   - A형사다리 최상단 답단에서 작업 금지 (불안전한 작업상태)_x000a_   - A형사다리 전도방지조치를 위한 아웃트리거 설치_x000a_   - A형사다리 벌어짐 방지조치 (힌지타입, 걸쇠타입의 걸쇠철물 설치 사용)_x000a_   - 2인1조 작업으로 사다리의 전도방지조치 실시"/>
  </r>
  <r>
    <n v="5"/>
    <x v="5"/>
    <x v="16"/>
    <x v="22"/>
    <s v="YES"/>
    <x v="21"/>
    <x v="44"/>
    <s v="12대 기인물"/>
    <n v="4"/>
    <n v="6.9000000000000006E-2"/>
    <s v="2016년 11월"/>
    <d v="2016-11-01T00:00:00"/>
    <n v="11"/>
    <s v="-"/>
    <x v="2"/>
    <s v="2016년 11월경 아파트 신축공사 현장에서 협력업체 소속 재해자가 지하1층 기계실에서 양수작업을 위해 설치한 고압호스(직경 5cm) 제거를 위해 사다리(길이 5.1M)를 옹벽에 기대고 올라가 3.2M 높이에 서서 가위로 고압호스를 자르던 중 떨어지는 호스를 잡으려다 몸의 중심을 잃고 3.2M 아래 콘크리트 바닥에 추락"/>
    <s v="사다리 위에서 작업 중 고정이 되지 않은 사다리가 넘어지며 추락"/>
    <s v="▶ 고소작업 시, 사다리보다 상대적으로 작업 안전성이 뛰어난 고소작업대, 이동식 비계 등을 사용하여 작업_x000a_▶ 사다리를 사용하여 고소작업 시, 별도의 안전대 부착설비를 설치하고 안전대를 체결한 후 작업하도록 조치"/>
  </r>
  <r>
    <n v="5"/>
    <x v="5"/>
    <x v="16"/>
    <x v="22"/>
    <s v="YES"/>
    <x v="21"/>
    <x v="44"/>
    <s v="12대 기인물"/>
    <n v="4"/>
    <n v="6.9000000000000006E-2"/>
    <s v="2017년 12월"/>
    <d v="2017-12-01T00:00:00"/>
    <n v="12"/>
    <s v="혹한기"/>
    <x v="2"/>
    <s v="2017년 12월경 OO 공장 증축공사 현장에서 재해자가 1층 천장내부 배관 보온작업을 위해 보온자재를 천장 점검구로 운반작업 중 사다리가 옆으로 넘어지며 1층 바닥(H≒3.2m)으로 떨어짐"/>
    <s v="지하 기계실에서 사다리를 옹벽에 기대고 올라가 고압호스를 자르던 중 몸의 중심을 잃고 바닥으로 추락"/>
    <s v="▶ 고소작업 시, 사다리보다 상대적으로 작업 안전성이 뛰어난 고소작업대, 이동식 비계 등을 사용하여 작업_x000a_▶ 사다리를 사용하여 고소작업 시, 별도의 안전대 부착설비를 설치하고 안전대를 체결한 후 작업하도록 조치"/>
  </r>
  <r>
    <n v="5"/>
    <x v="5"/>
    <x v="16"/>
    <x v="22"/>
    <s v="YES"/>
    <x v="21"/>
    <x v="44"/>
    <s v="12대 기인물"/>
    <n v="4"/>
    <n v="6.9000000000000006E-2"/>
    <s v="2018년 12월"/>
    <d v="2018-12-01T00:00:00"/>
    <n v="12"/>
    <s v="혹한기"/>
    <x v="2"/>
    <s v="2018년 12월경 OO공장 소방설비 배관교체작업 현장에서 재해자가 A형사다리를 이용하여 소방배관pipe를 2층으로 운반하던 중 A형사다리의 최상부로 부터 3번째 디딤대에서 몸의 중심을 잃고 약 h=2m아래 지상 바닥으로 떨어짐"/>
    <s v="지하 기계실에서 사다리를 옹벽에 기대고 올라가 고압호스를 자르던 중 몸의 중심을 잃고 바닥으로 추락"/>
    <s v="▶ 고소작업 시, 사다리보다 상대적으로 작업 안전성이 뛰어난 고소작업대, 이동식 비계 등을 사용하여 작업_x000a_▶ 사다리를 사용하여 고소작업 시, 별도의 안전대 부착설비를 설치하고 안전대를 체결한 후 작업하도록 조치"/>
  </r>
  <r>
    <n v="5"/>
    <x v="5"/>
    <x v="16"/>
    <x v="23"/>
    <s v="YES"/>
    <x v="21"/>
    <x v="44"/>
    <s v="12대 기인물"/>
    <n v="4"/>
    <n v="6.9000000000000006E-2"/>
    <s v="2014년 11월"/>
    <d v="2014-11-01T00:00:00"/>
    <n v="11"/>
    <s v="-"/>
    <x v="2"/>
    <s v="2014년 11월경 OO동 OOOO 업무시설 신축공사현장에서 재해자가 냉난방배관의 물을 빼기 위해 이동식사다리에 올라가던중 몸의 중심을 잃고 1.8m아래로 추락"/>
    <s v="A형 사다리 위에서 배관 연결작업 중 몸의 균형을 잃고 바닥으로 추락"/>
    <s v="▶ 추락할 위험이 있는 작업 시, 추락방호망, 안전난간대, 안전대 부착설비 설치 등의 안전방호조치 실시_x000a_▶ 작업자의 개인보호구, 안전대 체결여부 점검 및 관리감독"/>
  </r>
  <r>
    <n v="5"/>
    <x v="5"/>
    <x v="16"/>
    <x v="23"/>
    <s v="YES"/>
    <x v="21"/>
    <x v="44"/>
    <s v="12대 기인물"/>
    <n v="4"/>
    <n v="6.9000000000000006E-2"/>
    <s v="2015년 8월경"/>
    <d v="2015-08-01T00:00:00"/>
    <n v="8"/>
    <s v="혹서기"/>
    <x v="2"/>
    <s v="2015년 8월경 OOOO(주)에서 시공한 OO시 OO구 OO동 소재, OOOO 신축 공사 중 소방공사 현장에서, 재해자 OOO은 실험동 지하 1층에서 혼자 A형 사다리에 올라가, 지하 1층 스프링클러에 용수를 공급하는 소방배관을 천장에 매달기 위해 행거를 설치하던 중, 바닥으로 떨어져(H≒1.4m), 이튿날 새벽 병원으로 후송, 치료 중 사망함."/>
    <s v="A형 사다리 위에서 배관 연결작업 중 몸의 균형을 잃고 바닥으로 추락"/>
    <s v="▶ 추락할 위험이 있는 작업 시, 추락방호망, 안전난간대, 안전대 부착설비 설치 등의 안전방호조치 실시_x000a_▶ 작업자의 개인보호구, 안전대 체결여부 점검 및 관리감독"/>
  </r>
  <r>
    <n v="5"/>
    <x v="5"/>
    <x v="16"/>
    <x v="23"/>
    <s v="YES"/>
    <x v="21"/>
    <x v="44"/>
    <s v="12대 기인물"/>
    <n v="4"/>
    <n v="6.9000000000000006E-2"/>
    <s v="2016년 7월경"/>
    <d v="2016-07-01T00:00:00"/>
    <n v="7"/>
    <s v="혹서기"/>
    <x v="2"/>
    <s v="2016년 7월경, OO시 OO구 소재 ㈜OOOOO에서 시공하는 O호선 연장OOO공구 기계설비공사 현장에서 재해자가 지하1층 대합실 천정 설비 보온 마감작업 위하여  A형 사다리에 올라가 작업 하던 중 몸의 중심을 잃고 바닥(H≒3.1m)으로 떨어져 병원으로 후송 치료 중 사망한 재해임."/>
    <s v="A형 사다리 위에서 배관 보온작업 중 몸의 균형을 잃고 바닥으로 추락"/>
    <s v="▶ 추락할 위험이 있는 작업 시, 추락방호망, 안전난간대, 안전대 부착설비 설치 등의 안전방호조치 실시_x000a_▶ 작업자의 개인보호구, 안전대 체결여부 점검 및 관리감독"/>
  </r>
  <r>
    <n v="5"/>
    <x v="5"/>
    <x v="16"/>
    <x v="23"/>
    <s v="YES"/>
    <x v="21"/>
    <x v="44"/>
    <s v="12대 기인물"/>
    <n v="4"/>
    <n v="6.9000000000000006E-2"/>
    <s v="2017년 1월경"/>
    <d v="2017-01-01T00:00:00"/>
    <n v="1"/>
    <s v="혹한기"/>
    <x v="2"/>
    <s v="2017년 1월경 OOO도 OO군 소재 OOOOOO 태양광시설 설치공사 현장에서 재해자가 태양광 모듈을 설치하기 위해 파형 강판으로 된 차양대 위에 올라가 핸드그라인더를 사용하여 차양대를 절단하고, 사다리를 사용하여 내려오던 중 사다리가 접히면서 미끄러지며 바닥으로 떨어져(H=5m) 사망함."/>
    <s v="태양광 모듈 설치 작업 중 사다리를 통해 내려오던 중 사다리가 접히면서 미끄러지며 바닥으로 추락"/>
    <s v="▶ 추락할 위험이 있는 작업 시, 추락방호망, 안전난간대, 안전대 부착설비 설치 등의 안전방호조치 실시_x000a_▶ 작업자의 개인보호구, 안전대 체결여부 점검 및 관리감독"/>
  </r>
  <r>
    <n v="5"/>
    <x v="5"/>
    <x v="16"/>
    <x v="23"/>
    <s v="YES"/>
    <x v="21"/>
    <x v="44"/>
    <s v="12대 기인물"/>
    <n v="4"/>
    <n v="6.9000000000000006E-2"/>
    <s v="2017년 5월경"/>
    <d v="2017-05-01T00:00:00"/>
    <n v="5"/>
    <s v="-"/>
    <x v="2"/>
    <s v="2017년 5월경, OOOO OOO 신축공사현장에서 지상 1층 천장 배관 작업을 마치고 사다리를 이용하여 내려오던 중 몸의 중심을 잃고 콘크리트 바닥(H≒70cm)으로 넘어져 사망한 재해임 "/>
    <s v="A형 사다리 위에서 배관 보온작업 중 몸의 균형을 잃고 바닥으로 추락"/>
    <s v="▶ 추락할 위험이 있는 작업 시, 추락방호망, 안전난간대, 안전대 부착설비 설치 등의 안전방호조치 실시_x000a_▶ 작업자의 개인보호구, 안전대 체결여부 점검 및 관리감독"/>
  </r>
  <r>
    <n v="5"/>
    <x v="5"/>
    <x v="16"/>
    <x v="23"/>
    <s v="YES"/>
    <x v="21"/>
    <x v="44"/>
    <s v="12대 기인물"/>
    <n v="4"/>
    <n v="6.9000000000000006E-2"/>
    <s v="2017년 12월"/>
    <d v="2017-12-01T00:00:00"/>
    <n v="12"/>
    <s v="혹한기"/>
    <x v="2"/>
    <s v="2017년 12월경 OOOO 현장에서 OO시 OO군 OO읍 소재에서 OOOOO(주) 소속 재해자 OOO가 압축공기 저장탱크 등 연결배관 용접부 비파괴검사를 위해 인근에 위치한 사다리식 통로를 이용하여 이동하던 중 지면으로 떨어져 병원으로 후송하였으나 사망한 재해임."/>
    <s v="연결배관 용접부 비파괴검사를 위해 인근에 위치한 사다리식 통로를 이용하여 이동하던 중 추락"/>
    <s v="▶ 추락할 위험이 있는 작업 시, 추락방호망, 안전난간대, 안전대 부착설비 설치 등의 안전방호조치 실시_x000a_▶ 작업자의 개인보호구, 안전대 체결여부 점검 및 관리감독"/>
  </r>
  <r>
    <n v="5"/>
    <x v="5"/>
    <x v="16"/>
    <x v="23"/>
    <s v="YES"/>
    <x v="21"/>
    <x v="44"/>
    <s v="12대 기인물"/>
    <n v="4"/>
    <n v="6.9000000000000006E-2"/>
    <s v="2018년 2월경"/>
    <d v="2018-02-01T00:00:00"/>
    <n v="2"/>
    <s v="혹한기"/>
    <x v="2"/>
    <s v="2018년 2월경 의료시설 증축공사 현장에서 재해자가 사다리 위에서 스프링클러 배관 작업 중, 약 0.6m아래 바닥으로 떨어짐"/>
    <s v="사다리 위에서 작업 중 고정이 되지 않은 사다리가 넘어지며 추락"/>
    <s v="▶ 고소작업 시, 사다리보다 상대적으로 작업 안전성이 뛰어난 고소작업대, 이동식 비계 등을 사용하여 작업_x000a_▶ 사다리를 사용하여 고소작업 시, 별도의 안전대 부착설비를 설치하고 안전대를 체결한 후 작업하도록 조치"/>
  </r>
  <r>
    <n v="5"/>
    <x v="5"/>
    <x v="16"/>
    <x v="23"/>
    <s v="YES"/>
    <x v="21"/>
    <x v="44"/>
    <s v="12대 기인물"/>
    <n v="4"/>
    <n v="6.9000000000000006E-2"/>
    <s v="2018년 4월경"/>
    <d v="2018-04-01T00:00:00"/>
    <n v="4"/>
    <s v="-"/>
    <x v="2"/>
    <s v="2018년 4월경 OO신축현장 인테리어공사 현장에서 재해자가 사다리 위에 올라가 배관의 기울기를 확인하던 중, 사다리가 전도되면서 무게중심을 잃고 약 2.5m아래 바닥으로 떨어짐"/>
    <s v="사다리 위에서 작업 중 사다리 전도에 의해 바닥으로 추락"/>
    <s v="▶ 사다리 전도방지를 위한 아웃트리거 설치 후 작업을 수행하고 2인 1조 작업수행_x000a_▶ 작업 전 개인보호구 지급 및 착용상태 관리"/>
  </r>
  <r>
    <n v="5"/>
    <x v="5"/>
    <x v="16"/>
    <x v="23"/>
    <s v="YES"/>
    <x v="21"/>
    <x v="44"/>
    <s v="12대 기인물"/>
    <n v="4"/>
    <n v="6.9000000000000006E-2"/>
    <s v="2018년 8월경"/>
    <d v="2018-08-01T00:00:00"/>
    <n v="8"/>
    <s v="혹서기"/>
    <x v="2"/>
    <s v="2018년 8월경,OO시 OO면 소재 ㈜OOOOO OOO공장 內 「㈜OOOO / OOO공장 OO호기 기계 설비」 공사 현장에서, 협력업체 OOOO 소속 근로자가 알루미늄 사다리 답단(H≒4m)에 서서 공장설비(쿨링타워 냉각수 배관) 보온재 작업 중 몸의 중심을 잃고 바닥으로 떨어져 사망한 재해임."/>
    <s v="A형 사다리 위에서 배관 보온작업 중 몸의 균형을 잃고 바닥으로 추락"/>
    <s v="▶ 추락할 위험이 있는 작업 시, 추락방호망, 안전난간대, 안전대 부착설비 설치 등의 안전방호조치 실시_x000a_▶ 작업자의 개인보호구, 안전대 체결여부 점검 및 관리감독"/>
  </r>
  <r>
    <n v="5"/>
    <x v="5"/>
    <x v="16"/>
    <x v="23"/>
    <s v="YES"/>
    <x v="21"/>
    <x v="44"/>
    <s v="12대 기인물"/>
    <n v="4"/>
    <n v="6.9000000000000006E-2"/>
    <s v="2018년 8월경"/>
    <d v="2018-08-01T00:00:00"/>
    <n v="8"/>
    <s v="혹서기"/>
    <x v="2"/>
    <s v="2018년 8월경 OO도 OO시 소재 OOOO『OOOO 신규 제작설치 및 배관공사』 현장에서 재해자가 이동식사다리 위에서 판넬 해체작업 중 콘크리트 바닥으로 추락하여(H≒1.2m) 사망."/>
    <s v="A형 사다리 위에서 판넬 해체작업 중 몸의 균형을 잃고 바닥으로 추락"/>
    <s v="▶ 추락할 위험이 있는 작업 시, 추락방호망, 안전난간대, 안전대 부착설비 설치 등의 안전방호조치 실시_x000a_▶ 작업자의 개인보호구, 안전대 체결여부 점검 및 관리감독"/>
  </r>
  <r>
    <n v="5"/>
    <x v="5"/>
    <x v="16"/>
    <x v="23"/>
    <s v="YES"/>
    <x v="21"/>
    <x v="44"/>
    <s v="12대 기인물"/>
    <n v="4"/>
    <n v="6.9000000000000006E-2"/>
    <s v="2018년 12월"/>
    <d v="2018-12-01T00:00:00"/>
    <n v="12"/>
    <s v="혹한기"/>
    <x v="2"/>
    <s v="2018년 12월경 OOO도 OO시 소재 OOOO 설치 현장에서 직영 근로자인 재해자가 철구조물 상부 바닥판에 설치한 이동식 사다리(A형) 위에서 탈수기 룸(Room) 지붕 구조물의 용접작업 후 사다리에서 내려오려던 순간 몸의 중심을 잃고 약 6미터 아래 지면으로 떨어진 재해로 추정됨."/>
    <s v="A형 사다리 위에서 탈수설비 용접작업 후 내려오돈 중 몸의 중심을 잃고 추락"/>
    <s v="▶ 추락할 위험이 있는 작업 시, 추락방호망, 안전난간대, 안전대 부착설비 설치 등의 안전방호조치 실시_x000a_▶ 작업자의 개인보호구, 안전대 체결여부 점검 및 관리감독"/>
  </r>
  <r>
    <n v="5"/>
    <x v="5"/>
    <x v="16"/>
    <x v="23"/>
    <s v="YES"/>
    <x v="21"/>
    <x v="44"/>
    <s v="12대 기인물"/>
    <n v="4"/>
    <n v="6.9000000000000006E-2"/>
    <s v=" 2019년 7월"/>
    <d v="2019-07-01T00:00:00"/>
    <n v="7"/>
    <s v="혹서기"/>
    <x v="2"/>
    <s v=" 2019년 7월경 OO시 OO구 소재 OOOO 주상복합 신축공사 현장 지하 1층 기계실에서 ㈜OOOOOO 소속 보온공이 사다리 위에서 소방배관 보온작업 중 떨어져 후송후 치료도중 사망한 재해임."/>
    <s v="A형 사다리 위에서 배관 보온작업 중 몸의 균형을 잃고 바닥으로 추락"/>
    <s v="▶ 추락할 위험이 있는 작업 시, 추락방호망, 안전난간대, 안전대 부착설비 설치 등의 안전방호조치 실시_x000a_▶ 작업자의 개인보호구, 안전대 체결여부 점검 및 관리감독"/>
  </r>
  <r>
    <n v="5"/>
    <x v="5"/>
    <x v="16"/>
    <x v="23"/>
    <s v="YES"/>
    <x v="21"/>
    <x v="44"/>
    <s v="12대 기인물"/>
    <n v="4"/>
    <n v="6.9000000000000006E-2"/>
    <s v="2019년 7월경"/>
    <d v="2019-07-01T00:00:00"/>
    <n v="7"/>
    <s v="혹서기"/>
    <x v="1"/>
    <s v="2019년 7월경 OO시 OO군 OO면 소재 OOOO 내 기계설비 해체·이송·설치 작업 중 재해자가 장비와 연결된 국소배기장치 해체를 위해 바닥 앵커 볼트 절단 후, 국소배기장치를 천장크레인의 훅에 매달기 위해 국소배기장치에 부착된 사다리로 올라가던 중 국소배기장치가 무게중심을 잃고 넘어지면서 바닥에 부딪혀 사망한 것으로 추정된 재해임."/>
    <s v="국소배기장치 해체를 위해 바닥 앵커 볼트 절단 후 국소배기장치를 천장크레인의 훅에 매달기 위해 국소배기장치에 부착된 사다리로 올라가던 중 국소배기장치가 전도되며 바닥에 부딪혀 사망"/>
    <s v="▶ 추락할 위험이 있는 작업 시, 추락방호망, 안전난간대, 안전대 부착설비 설치 등의 안전방호조치 실시_x000a_▶ 작업자의 개인보호구, 안전대 체결여부 점검 및 관리감독"/>
  </r>
  <r>
    <n v="5"/>
    <x v="5"/>
    <x v="16"/>
    <x v="23"/>
    <s v="YES"/>
    <x v="21"/>
    <x v="44"/>
    <s v="12대 기인물"/>
    <n v="4"/>
    <n v="6.9000000000000006E-2"/>
    <s v="2019년 7월경"/>
    <d v="2019-07-01T00:00:00"/>
    <n v="7"/>
    <s v="혹서기"/>
    <x v="2"/>
    <s v="2019년 7월경 OO시 OO구에 소재한 골프연습장 엘리베이터(E/V) PIT 내에서 자재 인양용 윈치 설치를 위한 도르래 설치 중 사다리가 파손되어 재해자가 지하1층 바닥으로 추락(H≒15m)하여 병원으로 이송하였으나 사고 사망한 재해"/>
    <s v="엘리베이터 PIT 내에서 사다리를 걸쳐 그 위에서 자재 인양용 윈치 설치를 위한 도르래 설치 중 사다리가 파손되어 바닥으로 추락 "/>
    <s v="▶ 추락할 위험이 있는 작업 시, 추락방호망, 안전난간대, 안전대 부착설비 설치 등의 안전방호조치 실시_x000a_▶ 작업자의 개인보호구, 안전대 체결여부 점검 및 관리감독"/>
  </r>
  <r>
    <n v="5"/>
    <x v="5"/>
    <x v="16"/>
    <x v="23"/>
    <s v="YES"/>
    <x v="21"/>
    <x v="44"/>
    <s v="12대 기인물"/>
    <n v="4"/>
    <n v="6.9000000000000006E-2"/>
    <s v="2020년 3월경"/>
    <d v="2020-03-01T00:00:00"/>
    <n v="3"/>
    <s v="-"/>
    <x v="2"/>
    <s v="2020년 3월경,  OO도 OO군 OO읍 소재「OOOO, OOOO 신축공사」현장에서 2층 천장에 소방설비 배관을 연결하고자 협력업체 소속 배관공이 A형사다리에 올라가 배관(73.2kg)을 연결하던 중 배관을 매달고 있던 달대가 콘크리트 면에서 탈락하면서 배관이 재해자 위로 떨어져, 재해자와 같이 사다리가 넘어지면서 콘크리트 바닥으로 떨어져(추락높이 1.8∼2.1M 추정), 병원으로 이송·치료 중 사망한 재해임."/>
    <s v="A형 사다리 위에서 배관 연결작업 중 몸의 균형을 잃고 바닥으로 추락"/>
    <s v="▶ 추락할 위험이 있는 작업 시, 추락방호망, 안전난간대, 안전대 부착설비 설치 등의 안전방호조치 실시_x000a_▶ 작업자의 개인보호구, 안전대 체결여부 점검 및 관리감독"/>
  </r>
  <r>
    <n v="5"/>
    <x v="5"/>
    <x v="16"/>
    <x v="23"/>
    <s v="YES"/>
    <x v="21"/>
    <x v="44"/>
    <s v="12대 기인물"/>
    <n v="4"/>
    <n v="6.9000000000000006E-2"/>
    <s v="2020년 7월경"/>
    <d v="2020-07-01T00:00:00"/>
    <n v="7"/>
    <s v="혹서기"/>
    <x v="2"/>
    <s v="2020년 7월경 ㈜OOOOOO이 시공하는 OOOO공사 등 2건 현장에서 재해자가 사다리(신축형)를 이용하여 집수정 상부(H≒6.2m)에 위치한 배수펌프 배관 연결부 용접부위 도색 작업중 실족하여 사다리에서 하부 작업발판과 지지대(H≒4.6m)로 1차 떨어진 후 집수정 안으로 재차 굴러 떨어져(깊이 0.5m) 사망한 재해임"/>
    <s v="A형 사다리 위에서 배관 연결부 도색작업 중 몸의 균형을 잃고 바닥으로 추락"/>
    <s v="▶ 추락할 위험이 있는 작업 시, 추락방호망, 안전난간대, 안전대 부착설비 설치 등의 안전방호조치 실시_x000a_▶ 작업자의 개인보호구, 안전대 체결여부 점검 및 관리감독"/>
  </r>
  <r>
    <n v="5"/>
    <x v="5"/>
    <x v="16"/>
    <x v="23"/>
    <s v="YES"/>
    <x v="21"/>
    <x v="44"/>
    <s v="12대 기인물"/>
    <n v="4"/>
    <n v="6.9000000000000006E-2"/>
    <s v="2020년 11월"/>
    <d v="2020-11-01T00:00:00"/>
    <n v="11"/>
    <s v="-"/>
    <x v="2"/>
    <s v="2020년 11월경 OO시 OO구 OO동 소재 OOOOO 「OOOO 신축공사」현장에서 재해자가 지하1층 천장에 설치된 소방배관에 하향식 스프링클러 배관 연결 작업 중, 니플을 체결하기 위해 A형으로 설치한 이동식사다리에 오르던 중 또는 사다리에서 배관연결 중 바닥으로 떨어져 병원으로 후송 치료 중 사망한 재해임._x000d_"/>
    <s v="A형 사다리 위에서 배관 연결작업 중 몸의 균형을 잃고 바닥으로 추락"/>
    <s v="▶ 추락할 위험이 있는 작업 시, 추락방호망, 안전난간대, 안전대 부착설비 설치 등의 안전방호조치 실시_x000a_▶ 작업자의 개인보호구, 안전대 체결여부 점검 및 관리감독"/>
  </r>
  <r>
    <n v="5"/>
    <x v="5"/>
    <x v="16"/>
    <x v="23"/>
    <s v="YES"/>
    <x v="21"/>
    <x v="44"/>
    <s v="12대 기인물"/>
    <n v="4"/>
    <n v="6.9000000000000006E-2"/>
    <s v="2021년 8월경"/>
    <d v="2021-08-01T00:00:00"/>
    <n v="8"/>
    <s v="혹서기"/>
    <x v="2"/>
    <s v="2021년 8월경 OOO도 OO시 소재 ㈜OO가 시공하는 OO 기숙사 확충 기계·설비공사 현장에서 배관보조공이 접이식사다리(A형) 위에서 배관 보온재 설치작업 중 몸의 중심을 잃고 바닥으로 떨어져(H≒1.9m) 병원으로 이송·치료 중 사망한 재해임."/>
    <s v="A형 사다리 위에서 배관 보온작업 중 몸의 균형을 잃고 바닥으로 추락"/>
    <s v="▶ 추락할 위험이 있는 작업 시, 추락방호망, 안전난간대, 안전대 부착설비 설치 등의 안전방호조치 실시_x000a_▶ 작업자의 개인보호구, 안전대 체결여부 점검 및 관리감독"/>
  </r>
  <r>
    <n v="6"/>
    <x v="6"/>
    <x v="17"/>
    <x v="79"/>
    <s v="YES"/>
    <x v="21"/>
    <x v="44"/>
    <s v="12대 기인물"/>
    <n v="4"/>
    <n v="6.9000000000000006E-2"/>
    <s v="2017년 6월경"/>
    <d v="2017-06-01T00:00:00"/>
    <n v="6"/>
    <s v="혹서기"/>
    <x v="2"/>
    <s v="2017년 6월경 섬 조경공사에서 재해자가 조경사다리 위에서 전지작업을 마치고 내려오던 중 발을 헛디뎌 중심을 잃고 3m 바닥으로 추락하여 사망"/>
    <s v="전지작업을 마친 후 내려오는 사다리에서 발을 헛디뎌 콘크리트 바닥으로 추락"/>
    <s v="▶ 이동식사다리 위에서 근로자가 떨어질 위험이 있는 작업할 경우 안전모 착용 및 2인 1조로 작업 수행_x000a_▶ 이동식 사다리를 작업에 사용 시 경작업에만 A형 사다리의 형태로 사용하고, 일자로 핀 경우 이동통로만으로 사용 _x000a_▶ 추락할 위험이 있는 장소에서 작업 시 발판이 설치된 이동식 비계, 고소작업대 등을 활용"/>
  </r>
  <r>
    <n v="6"/>
    <x v="6"/>
    <x v="17"/>
    <x v="79"/>
    <s v="YES"/>
    <x v="21"/>
    <x v="44"/>
    <s v="12대 기인물"/>
    <n v="4"/>
    <n v="6.9000000000000006E-2"/>
    <s v="2017년 6월경"/>
    <d v="2017-06-01T00:00:00"/>
    <n v="6"/>
    <s v="혹서기"/>
    <x v="2"/>
    <s v="2017년 6월경 정원 수목 전지작업 현장에서 재해자가 전지작업 중 조경용사다리에서 1.5m 바닥으로 추락하여 사망"/>
    <s v="전지작업을 마친 후 내려오는 사다리에서 발을 헛디뎌 콘크리트 바닥으로 추락"/>
    <s v="▶ 이동식사다리 위에서 근로자가 떨어질 위험이 있는 작업할 경우 안전모 착용 및 2인 1조로 작업 수행_x000a_▶ 이동식 사다리를 작업에 사용 시 경작업에만 A형 사다리의 형태로 사용하고, 일자로 핀 경우 이동통로만으로 사용 _x000a_▶ 추락할 위험이 있는 장소에서 작업 시 발판이 설치된 이동식 비계, 고소작업대 등을 활용"/>
  </r>
  <r>
    <n v="6"/>
    <x v="6"/>
    <x v="17"/>
    <x v="79"/>
    <s v="YES"/>
    <x v="21"/>
    <x v="44"/>
    <s v="12대 기인물"/>
    <n v="4"/>
    <n v="6.9000000000000006E-2"/>
    <s v="2018년 11월"/>
    <d v="2018-11-01T00:00:00"/>
    <n v="11"/>
    <s v="-"/>
    <x v="2"/>
    <s v="2018년 11월경 수목 수형교정공사에서 재해자가 이동식 사다리 위에서 나뭇가지에 밴드를 감는 작업을 하던 중 몸의 중심을 잃고 2.3m 바닥으로 추락하여 사망"/>
    <s v="전지작업을 마친 후 내려오는 사다리에서 발을 헛디뎌 콘크리트 바닥으로 추락"/>
    <s v="▶ 이동식사다리 위에서 근로자가 떨어질 위험이 있는 작업할 경우 안전모 착용 및 2인 1조로 작업 수행_x000a_▶ 이동식 사다리를 작업에 사용 시 경작업에만 A형 사다리의 형태로 사용하고, 일자로 핀 경우 이동통로만으로 사용 _x000a_▶ 추락할 위험이 있는 장소에서 작업 시 발판이 설치된 이동식 비계, 고소작업대 등을 활용"/>
  </r>
  <r>
    <n v="6"/>
    <x v="6"/>
    <x v="17"/>
    <x v="79"/>
    <s v="YES"/>
    <x v="21"/>
    <x v="44"/>
    <s v="12대 기인물"/>
    <n v="4"/>
    <n v="6.9000000000000006E-2"/>
    <s v="2019년 5월경"/>
    <d v="2019-05-01T00:00:00"/>
    <n v="5"/>
    <s v="-"/>
    <x v="2"/>
    <s v="2019년 5월경 가로수 전지작업공사에서 재해자가 나무 위로 올라가 가지 절단작업을 하던 중 추락하여 사망"/>
    <s v="전지작업을 마친 후 내려오는 사다리에서 발을 헛디뎌 콘크리트 바닥으로 추락"/>
    <s v="▶ 이동식사다리 위에서 근로자가 떨어질 위험이 있는 작업할 경우 안전모 착용 및 2인 1조로 작업 수행_x000a_▶ 이동식 사다리를 작업에 사용 시 경작업에만 A형 사다리의 형태로 사용하고, 일자로 핀 경우 이동통로만으로 사용 _x000a_▶ 추락할 위험이 있는 장소에서 작업 시 발판이 설치된 이동식 비계, 고소작업대 등을 활용"/>
  </r>
  <r>
    <n v="11"/>
    <x v="0"/>
    <x v="33"/>
    <x v="67"/>
    <s v="YES"/>
    <x v="22"/>
    <x v="45"/>
    <s v="해당없음"/>
    <s v="해당없음"/>
    <s v="해당없음"/>
    <s v="2016년 10월"/>
    <d v="2016-10-01T00:00:00"/>
    <n v="10"/>
    <s v="-"/>
    <x v="1"/>
    <s v="2016년 10월경 부지조성공사에서 재해자가 벌목 작업을 하던 중 벌목 대상 나무에 기대어있던 나무가 넘어지면서 깔려 사망"/>
    <s v="근로자가 벌목 작업을 하던 중 나무 밑둥 부분이 절단된 순간 나무가 넘어져 근로자가 깔림"/>
    <s v="▶ 절단 대상수목의 수구작업 실시_x000a_▶ 벌도목이 쓰러지는 방향쪽은 위험구역으로 설정하여 접근금지 실시_x000a_▶ 벌목작업 시 대피로 및 대피장소 지정, 벌목작업 시 신호방법 지정_x000a_▶ 개인 보호구 지급 및 착용 철저"/>
  </r>
  <r>
    <n v="11"/>
    <x v="0"/>
    <x v="33"/>
    <x v="67"/>
    <s v="YES"/>
    <x v="22"/>
    <x v="45"/>
    <s v="해당없음"/>
    <s v="해당없음"/>
    <s v="해당없음"/>
    <s v="2019년 4월경"/>
    <d v="2019-04-01T00:00:00"/>
    <n v="4"/>
    <s v="-"/>
    <x v="1"/>
    <s v="2019년 4월경 마을진입도로 개설공사에서 재해자가 느티나무를 벌목하던 중 쓰러지는 벌도목에 깔려 사망"/>
    <s v="근로자가 벌목 작업을 하던 중 나무 밑둥 부분이 절단된 순간 나무가 넘어져 근로자가 깔림"/>
    <s v="▶ 절단 대상수목의 수구작업 실시_x000a_▶ 벌도목이 쓰러지는 방향쪽은 위험구역으로 설정하여 접근금지 실시_x000a_▶ 벌목작업 시 대피로 및 대피장소 지정, 벌목작업 시 신호방법 지정_x000a_▶ 개인 보호구 지급 및 착용 철저"/>
  </r>
  <r>
    <n v="11"/>
    <x v="0"/>
    <x v="33"/>
    <x v="67"/>
    <s v="YES"/>
    <x v="22"/>
    <x v="45"/>
    <s v="해당없음"/>
    <s v="해당없음"/>
    <s v="해당없음"/>
    <s v="2019년 7월경"/>
    <d v="2019-07-01T00:00:00"/>
    <n v="7"/>
    <s v="혹서기"/>
    <x v="1"/>
    <s v="2019년 7월경 도로 사면정비공사에서 재해자가 로프에 의지하여 벌목작업을 하던 중 이동하다 20m 아래의 사면으로 추락하여 사망"/>
    <s v="근로자가 벌목 작업을 하던 중 나무 밑둥 부분이 절단된 순간 나무가 넘어져 근로자가 깔림"/>
    <s v="▶ 절단 대상수목의 수구작업 실시_x000a_▶ 벌도목이 쓰러지는 방향쪽은 위험구역으로 설정하여 접근금지 실시_x000a_▶ 벌목작업 시 대피로 및 대피장소 지정, 벌목작업 시 신호방법 지정_x000a_▶ 개인 보호구 지급 및 착용 철저"/>
  </r>
  <r>
    <n v="11"/>
    <x v="0"/>
    <x v="33"/>
    <x v="67"/>
    <s v="YES"/>
    <x v="22"/>
    <x v="45"/>
    <s v="해당없음"/>
    <s v="해당없음"/>
    <s v="해당없음"/>
    <s v="2020년 3월경"/>
    <d v="2020-03-01T00:00:00"/>
    <n v="3"/>
    <s v="-"/>
    <x v="0"/>
    <s v="2020년 3월경 나들목 개량공사에서 재해자가 램프구간 벌도목을 베어 넘기던 중 인접 소나무에 걸려 부러진 소나무 가지(중량 47kg, 높이 11m)에 머리를 맞아 사망"/>
    <s v="벌목작업 중 벌도목이 쓰러지며 부러진(또는 걸쳐져 있던) 나뭇가지가 낙하하여 인근 작업자의 머리를 강타"/>
    <s v="▶ 나뭇가지 등 낙하물에 의한 위험 방지를 위해 낙하위험지역의 근로자 불필요한 출입 통제(출입 시 관리감독자 등 감독하에 출입)_x000a_▶ 안전모 및 개인보호구 지급 및 착용관리"/>
  </r>
  <r>
    <n v="12"/>
    <x v="1"/>
    <x v="5"/>
    <x v="6"/>
    <s v="YES"/>
    <x v="22"/>
    <x v="45"/>
    <s v="해당없음"/>
    <s v="해당없음"/>
    <s v="해당없음"/>
    <s v="2020년 5월경"/>
    <d v="2020-05-01T00:00:00"/>
    <n v="5"/>
    <s v="-"/>
    <x v="0"/>
    <s v="2020년 5월경 OO건설에서 시공하는 OO공사 현장에서 비계공인 재해자가 가설 울타리용 판넬에 고정용 후크를 조립하기 위하여 부속자재(너트)를 가지러 이동하던 중 현장 내에서 벌목중이던 벌도목에 맞아 사망"/>
    <s v="자재를 가지러 이동하던 중 현장 내에서 벌목 중이던 벌도목에 맞음"/>
    <s v="▶ 벌도목에 대한 위험이 있는 작업 시 출입금지구역 설정 준수"/>
  </r>
  <r>
    <n v="6"/>
    <x v="6"/>
    <x v="17"/>
    <x v="24"/>
    <s v="YES"/>
    <x v="22"/>
    <x v="45"/>
    <s v="해당없음"/>
    <s v="해당없음"/>
    <s v="해당없음"/>
    <s v="2019년 7월경"/>
    <d v="2019-07-01T00:00:00"/>
    <n v="7"/>
    <s v="혹서기"/>
    <x v="1"/>
    <s v="2019년 7월경, OOO도 OO군 OO면 소재 OOOO 위험수목 제거사업 현장에서 OOOO(주) 소속 재해자 외 4명이 느티나무 벌목작업 중 재해자가 자른 느티나무 벌도목(약 500kg)이 재해자 방향으로 넘어지며 돌계단과 벌도목 사이에 재해자 머리가 깔려 사망한 재해임."/>
    <s v="벌목작업 중 쓰러지는 벌도목에 부딪혀 깔림"/>
    <s v="▶ 절단 대상수목의 수구작업 실시_x000a_▶ 벌도목이 쓰러지는 방향쪽은 위험구역으로 설정하여 접근금지 실시_x000a_▶ 벌목작업 시 대피로 및 대피장소 지정, 벌목작업 시 신호방법 지정_x000a_▶ 개인 보호구 지급 및 착용 철저"/>
  </r>
  <r>
    <n v="6"/>
    <x v="6"/>
    <x v="17"/>
    <x v="24"/>
    <s v="YES"/>
    <x v="22"/>
    <x v="45"/>
    <s v="해당없음"/>
    <s v="해당없음"/>
    <s v="해당없음"/>
    <s v="2019년 12월"/>
    <d v="2019-12-01T00:00:00"/>
    <n v="12"/>
    <s v="혹한기"/>
    <x v="1"/>
    <s v="2019년 12월경 태양광 발전시설 설치공사에서 벌목작업을 하던 중 나무에 부딪혀 사망"/>
    <s v="벌목작업 중 쓰러지는 벌도목에 부딪혀 깔림"/>
    <s v="▶ 절단 대상수목의 수구작업 실시_x000a_▶ 벌도목이 쓰러지는 방향쪽은 위험구역으로 설정하여 접근금지 실시_x000a_▶ 벌목작업 시 대피로 및 대피장소 지정, 벌목작업 시 신호방법 지정_x000a_▶ 개인 보호구 지급 및 착용 철저"/>
  </r>
  <r>
    <n v="6"/>
    <x v="6"/>
    <x v="17"/>
    <x v="24"/>
    <s v="YES"/>
    <x v="22"/>
    <x v="45"/>
    <s v="해당없음"/>
    <s v="해당없음"/>
    <s v="해당없음"/>
    <s v="2020년 8월경"/>
    <d v="2020-08-01T00:00:00"/>
    <n v="8"/>
    <s v="혹서기"/>
    <x v="1"/>
    <s v="2020년 8월경 부지조성 공사에서 재해자가 벌목작업 중 벌도목이 쓰러지면서 머리에 맞아 사망"/>
    <s v="벌목작업 중 쓰러지는 벌도목에 부딪혀 깔림"/>
    <s v="▶ 절단 대상수목의 수구작업 실시_x000a_▶ 벌도목이 쓰러지는 방향쪽은 위험구역으로 설정하여 접근금지 실시_x000a_▶ 벌목작업 시 대피로 및 대피장소 지정, 벌목작업 시 신호방법 지정_x000a_▶ 개인 보호구 지급 및 착용 철저"/>
  </r>
  <r>
    <n v="6"/>
    <x v="6"/>
    <x v="17"/>
    <x v="24"/>
    <s v="YES"/>
    <x v="22"/>
    <x v="45"/>
    <s v="해당없음"/>
    <s v="해당없음"/>
    <s v="해당없음"/>
    <s v="2020년 11월"/>
    <d v="2020-11-01T00:00:00"/>
    <n v="11"/>
    <s v="-"/>
    <x v="1"/>
    <s v="2020년 11월경 배수로 정비공사에서 재해자가 벌목작업 중 동료작업자가 절단한 벌도목이 쓰러지면서 머리에 맞아 사망"/>
    <s v="벌목작업 중 쓰러지는 벌도목에 부딪혀 깔림"/>
    <s v="▶ 절단 대상수목의 수구작업 실시_x000a_▶ 벌도목이 쓰러지는 방향쪽은 위험구역으로 설정하여 접근금지 실시_x000a_▶ 벌목작업 시 대피로 및 대피장소 지정, 벌목작업 시 신호방법 지정_x000a_▶ 개인 보호구 지급 및 착용 철저"/>
  </r>
  <r>
    <n v="6"/>
    <x v="6"/>
    <x v="17"/>
    <x v="24"/>
    <s v="YES"/>
    <x v="22"/>
    <x v="45"/>
    <s v="해당없음"/>
    <s v="해당없음"/>
    <s v="해당없음"/>
    <s v="2020년 12월"/>
    <d v="2020-12-01T00:00:00"/>
    <n v="12"/>
    <s v="혹한기"/>
    <x v="1"/>
    <s v="2020년 12월경 경관보완 식재공사에서 재해자가 나무 밑동을 절단하던 중 수목이 쓰러지면서 덮쳐 사망함"/>
    <s v="벌목작업 중 쓰러지는 벌도목에 부딪혀 깔림"/>
    <s v="▶ 절단 대상수목의 수구작업 실시_x000a_▶ 벌도목이 쓰러지는 방향쪽은 위험구역으로 설정하여 접근금지 실시_x000a_▶ 벌목작업 시 대피로 및 대피장소 지정, 벌목작업 시 신호방법 지정_x000a_▶ 개인 보호구 지급 및 착용 철저"/>
  </r>
  <r>
    <n v="6"/>
    <x v="6"/>
    <x v="17"/>
    <x v="24"/>
    <s v="YES"/>
    <x v="22"/>
    <x v="45"/>
    <s v="해당없음"/>
    <s v="해당없음"/>
    <s v="해당없음"/>
    <s v="2021년 3월경"/>
    <d v="2021-03-01T00:00:00"/>
    <n v="3"/>
    <s v="-"/>
    <x v="1"/>
    <s v="2021년 3월경 입목벌채 현장에서 재해자가 벌목작업을 하던 중 인접나무에 걸려 회전하면서 쓰러지며 두부를 가격하여 사망"/>
    <s v="벌목작업 중 쓰러지는 벌도목에 부딪혀 깔림"/>
    <s v="▶ 절단 대상수목의 수구작업 실시_x000a_▶ 벌도목이 쓰러지는 방향쪽은 위험구역으로 설정하여 접근금지 실시_x000a_▶ 벌목작업 시 대피로 및 대피장소 지정, 벌목작업 시 신호방법 지정_x000a_▶ 개인 보호구 지급 및 착용 철저"/>
  </r>
  <r>
    <n v="6"/>
    <x v="6"/>
    <x v="17"/>
    <x v="24"/>
    <s v="YES"/>
    <x v="22"/>
    <x v="45"/>
    <s v="해당없음"/>
    <s v="해당없음"/>
    <s v="해당없음"/>
    <s v="2021년 3월경"/>
    <d v="2021-03-01T00:00:00"/>
    <n v="3"/>
    <s v="-"/>
    <x v="1"/>
    <s v="2021년 3월경 OOO도 OO군 OO면 소재 OOO 지장목 제거 현장에서 재해자 OOO이 기계톱으로 가래나무를 벌목한 후 줄기를 절단하고 이동하던 중 힘의 균형을 잃은 벌도목이 회전하며 재해자를 덮쳐 나무에 깔려 사망한 것으로 추정됨 "/>
    <s v="벌목작업 중 쓰러지는 벌도목에 부딪혀 깔림"/>
    <s v="▶ 절단 대상수목의 수구작업 실시_x000a_▶ 벌도목이 쓰러지는 방향쪽은 위험구역으로 설정하여 접근금지 실시_x000a_▶ 벌목작업 시 대피로 및 대피장소 지정, 벌목작업 시 신호방법 지정_x000a_▶ 개인 보호구 지급 및 착용 철저"/>
  </r>
  <r>
    <n v="6"/>
    <x v="6"/>
    <x v="17"/>
    <x v="24"/>
    <s v="YES"/>
    <x v="22"/>
    <x v="45"/>
    <s v="해당없음"/>
    <s v="해당없음"/>
    <s v="해당없음"/>
    <s v="2021년 7월경"/>
    <d v="2021-07-01T00:00:00"/>
    <n v="7"/>
    <s v="혹서기"/>
    <x v="0"/>
    <s v="2021년 7월경 관광농원조성공사에서 재해자가 벌목하던 중 벌도목 가지가 부러지면서 두부를 강타하여 사망"/>
    <s v="벌목작업 중 벌도목이 쓰러지며 부러진(또는 걸쳐져 있던) 나뭇가지가 낙하하여 인근 작업자의 머리를 강타"/>
    <s v="▶ 나뭇가지 등 낙하물에 의한 위험 방지를 위해 낙하위험지역의 근로자 불필요한 출입 통제(출입 시 관리감독자 등 감독하에 출입)_x000a_▶ 안전모 및 개인보호구 지급 및 착용관리"/>
  </r>
  <r>
    <n v="6"/>
    <x v="6"/>
    <x v="17"/>
    <x v="24"/>
    <s v="YES"/>
    <x v="22"/>
    <x v="45"/>
    <s v="해당없음"/>
    <s v="해당없음"/>
    <s v="해당없음"/>
    <s v="2021년 12월"/>
    <d v="2021-12-01T00:00:00"/>
    <n v="12"/>
    <s v="혹한기"/>
    <x v="1"/>
    <s v="2021년 12월경 군부대 철조망 설치공사에서 재해자가 굴착기 버킷 위에 올라타 나무 자르던 중 벌도목이 넘어지면서 강타하여 사망"/>
    <s v="벌목작업 중 쓰러지는 벌도목에 부딪혀 깔림"/>
    <s v="▶ 절단 대상수목의 수구작업 실시_x000a_▶ 벌도목이 쓰러지는 방향쪽은 위험구역으로 설정하여 접근금지 실시_x000a_▶ 벌목작업 시 대피로 및 대피장소 지정, 벌목작업 시 신호방법 지정_x000a_▶ 개인 보호구 지급 및 착용 철저"/>
  </r>
  <r>
    <n v="6"/>
    <x v="6"/>
    <x v="17"/>
    <x v="79"/>
    <s v="YES"/>
    <x v="22"/>
    <x v="45"/>
    <s v="해당없음"/>
    <s v="해당없음"/>
    <s v="해당없음"/>
    <s v="2016년 1월경"/>
    <d v="2016-01-01T00:00:00"/>
    <n v="1"/>
    <s v="혹한기"/>
    <x v="0"/>
    <s v="2016년 1월경 OO농장에서 재해자가 불용수목 제거작업을 하던 중 기존에 벌목되어 걸쳐져 있던 나무가 떨어지면서 머리를 가격하여 사망"/>
    <s v="벌목작업 중 벌도목이 쓰러지며 부러진(또는 걸쳐져 있던) 나뭇가지가 낙하하여 인근 작업자의 머리를 강타"/>
    <s v="▶ 나뭇가지 등 낙하물에 의한 위험 방지를 위해 낙하위험지역의 근로자 불필요한 출입 통제(출입 시 관리감독자 등 감독하에 출입)_x000a_▶ 안전모 및 개인보호구 지급 및 착용관리"/>
  </r>
  <r>
    <n v="6"/>
    <x v="6"/>
    <x v="17"/>
    <x v="79"/>
    <s v="YES"/>
    <x v="22"/>
    <x v="45"/>
    <s v="해당없음"/>
    <s v="해당없음"/>
    <s v="해당없음"/>
    <s v="2016년 5월경"/>
    <d v="2016-05-01T00:00:00"/>
    <n v="5"/>
    <s v="-"/>
    <x v="1"/>
    <s v="2016년 5월경 공원시설물 정비공사에서 재해자가 경사면에 있는 수목을 제거하는 작업 중 넘어지는 벌도목에 깔려 사망"/>
    <s v="전기체인톱을 이용하여 경사면에 있는 위험수목 제거하는 작업 중 벌도목이 주변 인접목에 걸려 쓰러지지 않자, 벌도목 주변을 돌며 추구작업을 추가로 실시하다가 의도치 않은 방향으로 넘어진 나무에 깔림"/>
    <s v="▶ 벌목 작업 시 작업 반경 내 출입 금지 및 대피장소 지정_x000a_▶ 벌목 작업 시 신호방법을 정하여 근로자에게 주시 "/>
  </r>
  <r>
    <n v="6"/>
    <x v="6"/>
    <x v="17"/>
    <x v="79"/>
    <s v="YES"/>
    <x v="22"/>
    <x v="45"/>
    <s v="해당없음"/>
    <s v="해당없음"/>
    <s v="해당없음"/>
    <s v="2016년 10월"/>
    <d v="2016-10-01T00:00:00"/>
    <n v="10"/>
    <s v="-"/>
    <x v="2"/>
    <s v="2016년 10월경 경계석 공사현장에서 재해자가 울타리 기둥 상부에서 기계톱을 이용하여 화단의 나무 절단 작업 중 절단된 나무에 맞아 몸의 중심을 잃고 6m 아래 바닥으로 추락하여 사망"/>
    <s v="화단 나무절단 중 절단된 나무에 작업중인 근로자가 맞아 추락"/>
    <s v="▶ 나뭇가지 등 낙하물에 의한 위험 방지를 위해 낙하위험지역의 근로자 불필요한 출입 통제(출입 시 관리감독자 등 감독하에 출입)_x000a_▶ 안전모 및 개인보호구 지급 및 착용관리"/>
  </r>
  <r>
    <n v="6"/>
    <x v="6"/>
    <x v="17"/>
    <x v="79"/>
    <s v="YES"/>
    <x v="22"/>
    <x v="45"/>
    <s v="해당없음"/>
    <s v="해당없음"/>
    <s v="해당없음"/>
    <s v="2016년 12월"/>
    <d v="2016-12-01T00:00:00"/>
    <n v="12"/>
    <s v="혹한기"/>
    <x v="0"/>
    <s v="2016년 12월경 토지조성공사에서 재해자가 조재작업을 하던 중 소나무 가지가 부러지며 넘어진 잣나무에 맞아 사망"/>
    <s v="벌목작업 중 완전히 넘어가지 않은 벌도목 주변에서 조재작업 중 벌도목을 지지하던 나뭇가지가 부러지며 넘어지는 벌도목에 맞음"/>
    <s v="▶ 나뭇가지 등 낙하물에 의한 위험 방지를 위해 낙하위험지역의 근로자 불필요한 출입 통제(출입 시 관리감독자 등 감독하에 출입)_x000a_▶ 안전모 및 개인보호구 지급 및 착용관리"/>
  </r>
  <r>
    <n v="6"/>
    <x v="6"/>
    <x v="17"/>
    <x v="79"/>
    <s v="YES"/>
    <x v="22"/>
    <x v="45"/>
    <s v="해당없음"/>
    <s v="해당없음"/>
    <s v="해당없음"/>
    <s v="2018년 4월경"/>
    <d v="2018-04-01T00:00:00"/>
    <n v="4"/>
    <s v="-"/>
    <x v="2"/>
    <s v="2018년 4월경 아파트 단지 내 조경공사에서 재해자가 소나무 상부 전지작업을 위해 고소작업대에서 가지로 이동하던 중 나뭇가지가 무게를 견디지 못하고 부러져 8.5m 아래 바닥으로 추락하여 사망"/>
    <s v="전지작업을 위하여 나무 상부에 올라 작업 중 나뭇가지가 부러지면서 추락"/>
    <s v="▶ 고소작업대에서 붐대를 상승시킨 상태에서 탑승자가 작업대를 벗어나는 경우 작업대에 안전대 부착설비 설치 밀 안전대 연결 후 작업 수행_x000a_▶ 근로자가 떨어질 위험이 있는 장소에서 작업 시 안전모, 안전대 등 보호구 지급 및 착용관리감독"/>
  </r>
  <r>
    <n v="6"/>
    <x v="6"/>
    <x v="17"/>
    <x v="79"/>
    <s v="YES"/>
    <x v="22"/>
    <x v="45"/>
    <s v="해당없음"/>
    <s v="해당없음"/>
    <s v="해당없음"/>
    <s v="2018년 5월경"/>
    <d v="2018-05-01T00:00:00"/>
    <n v="5"/>
    <s v="-"/>
    <x v="6"/>
    <s v="2018년 5월경 조경공사 현장에서 재해자가 화물차에 수목을 상차하는 작업 중 슬링벨트가 붐대 후크에서 이탈되어 떨어지면서 머리에 부딪혀 사망"/>
    <s v="슬링벨트가 붐대 후크에서 이탈하여 수목이 떨어짐과 동시에 넘어져 근로자에 머리에 부딪혀 협착"/>
    <s v="▶ 굴삭기 붐대 후크에 해지장치를 사용하여 슬링벨트 이탈 방지_x000a_▶ 차량계 건설기계 사용시 근로자 통제 또는 유도자 배치_x000a_▶ 나뭇가지 등 낙하물에 의한 위험 방지를 위해 낙하위험지역의 근로자 불필요한 출입 통제(출입 시 관리감독자 등 감독하에 출입)_x000a_▶ 안전모 및 개인보호구 지급 및 착용관리"/>
  </r>
  <r>
    <n v="6"/>
    <x v="6"/>
    <x v="17"/>
    <x v="79"/>
    <s v="YES"/>
    <x v="22"/>
    <x v="45"/>
    <s v="해당없음"/>
    <s v="해당없음"/>
    <s v="해당없음"/>
    <s v="2018년 9월경"/>
    <d v="2018-09-01T00:00:00"/>
    <n v="9"/>
    <s v="-"/>
    <x v="1"/>
    <s v="2018년 9월경 부지조성공사에서 이식예정인 소나무 아래에서 쉬던 중 묶어놓은 로프가 풀리면서 소나무가 전도되어 1명 사망, 2명 부상"/>
    <s v="이식예정인 소나무에 묶어놓은 로프가 풀리면서 쉬고 있던 작업자 쪽으로 전도되어 깔림"/>
    <s v="▶ 수목을 이식하기 위하여 굴취한 경우 넘어가지 않도록 붙들어 지탱하는 등의 전도방지 조치 실시_x000a_▶ 수목을 굴취하여 작업하는 경우 줄걸이 상태에서 지지하거나 나무를 안전하게 눞혀놓고 다음 공정 진행_x000a_▶ 수목과 같은 중량물을 불안정한 상태로 적재를 금지"/>
  </r>
  <r>
    <n v="6"/>
    <x v="6"/>
    <x v="17"/>
    <x v="79"/>
    <s v="YES"/>
    <x v="22"/>
    <x v="45"/>
    <s v="해당없음"/>
    <s v="해당없음"/>
    <s v="해당없음"/>
    <s v="2020년 2월경"/>
    <d v="2020-02-01T00:00:00"/>
    <n v="2"/>
    <s v="혹한기"/>
    <x v="1"/>
    <s v="2020년 2월경 골프장 수목이식공사에서 재해자가 느티나무 포장 작업 중 돌풍에 의해 쓰러진 나무에 깔려 사망"/>
    <s v="수목이식공사를 위해 나무 분포장 작업 중 돌풍에 의해 나무가 쓰러져 이에 깔림"/>
    <s v="▶ 절단 대상수목의 수구작업 실시_x000a_▶ 벌도목이 쓰러지는 방향쪽은 위험구역으로 설정하여 접근금지 실시_x000a_▶ 벌목작업 시 대피로 및 대피장소 지정, 벌목작업 시 신호방법 지정_x000a_▶ 개인 보호구 지급 및 착용 철저"/>
  </r>
  <r>
    <n v="6"/>
    <x v="6"/>
    <x v="17"/>
    <x v="79"/>
    <s v="YES"/>
    <x v="22"/>
    <x v="45"/>
    <s v="해당없음"/>
    <s v="해당없음"/>
    <s v="해당없음"/>
    <s v="2020년 12월"/>
    <d v="2020-12-01T00:00:00"/>
    <n v="12"/>
    <s v="혹한기"/>
    <x v="2"/>
    <s v="2020년 12월경 가로수 개선공사에서 재해자가 소나무 가지 위에서 전정작업 또는 이동 중 소나무 가지가 부러지면서 4.1.m 아래 바닥으로 추락하여 사망"/>
    <s v="전지작업을 위하여 나무 상부에 올라 작업 중 나뭇가지가 부러지면서 추락"/>
    <s v="▶ 고소작업대에서 붐대를 상승시킨 상태에서 탑승자가 작업대를 벗어나는 경우 작업대에 안전대 부착설비 설치 밀 안전대 연결 후 작업 수행_x000a_▶ 근로자가 떨어질 위험이 있는 장소에서 작업 시 안전모, 안전대 등 보호구 지급 및 착용관리감독"/>
  </r>
  <r>
    <n v="6"/>
    <x v="6"/>
    <x v="17"/>
    <x v="79"/>
    <s v="YES"/>
    <x v="22"/>
    <x v="45"/>
    <s v="해당없음"/>
    <s v="해당없음"/>
    <s v="해당없음"/>
    <s v="2021년 1월경"/>
    <d v="2021-01-01T00:00:00"/>
    <n v="1"/>
    <s v="혹한기"/>
    <x v="2"/>
    <s v="2021년 1월경 수목유지관리 현장에서 재해자가 나뭇가지로 올라가 전지작업을 하던 중 나뭇가지가 부러지면서 3.5m 아래 바닥으로 추락하여 사망"/>
    <s v="전지작업을 위하여 나무 상부에 올라 작업 중 나뭇가지가 부러지면서 추락"/>
    <s v="▶ 고소작업대에서 붐대를 상승시킨 상태에서 탑승자가 작업대를 벗어나는 경우 작업대에 안전대 부착설비 설치 밀 안전대 연결 후 작업 수행_x000a_▶ 근로자가 떨어질 위험이 있는 장소에서 작업 시 안전모, 안전대 등 보호구 지급 및 착용관리감독"/>
  </r>
  <r>
    <n v="6"/>
    <x v="6"/>
    <x v="17"/>
    <x v="79"/>
    <s v="YES"/>
    <x v="22"/>
    <x v="45"/>
    <s v="해당없음"/>
    <s v="해당없음"/>
    <s v="해당없음"/>
    <s v="2021년 7월경"/>
    <d v="2021-07-01T00:00:00"/>
    <n v="7"/>
    <s v="혹서기"/>
    <x v="1"/>
    <s v="2021년 7월경 수목이식작업 현장에서 재해자가 경사로에서 나무뿌리를 철선으로 고정하는 작업 중 눕혀놓은 나무가 세워지면서 뿌리분에 깔려 사망"/>
    <s v="나무 굴취 후 경사가 있는 지면에 비스듬히 눕혀놓고 뿌리 분매기 작업 중 눕혀놓은 나무가 세워지면서 뿌리분에 깔림"/>
    <s v="▶ 수목을 이식하기 위하여 굴취한 경우 넘어가지 않도록 붙들어 지탱하는 등의 전도방지 조치 실시_x000a_▶ 수목을 굴취하여 작업하는 경우 줄걸이 상태에서 지지하거나 나무를 안전하게 눞혀놓고 다음 공정 진행_x000a_▶ 수목과 같은 중량물을 불안정한 상태로 적재를 금지"/>
  </r>
  <r>
    <n v="10"/>
    <x v="10"/>
    <x v="31"/>
    <x v="64"/>
    <s v="NO"/>
    <x v="23"/>
    <x v="46"/>
    <s v="해당없음"/>
    <s v="해당없음"/>
    <s v="해당없음"/>
    <s v="2021년 12월"/>
    <d v="2021-12-01T00:00:00"/>
    <n v="12"/>
    <s v="혹한기"/>
    <x v="2"/>
    <s v="2021년 12월경 OO호안축조공사 현장 동측호안 종점부에서 재해자가 복합매트 정리작업 중 3단 블록 상부에서 육측 기초사석(높이 약 5.5m) 으로 추락하여 사망"/>
    <s v="호안 축조공사 현장에서 호안 종점부구간 복합매트 정리작업 중 단부에서 바닥으로 추락"/>
    <s v="▶ 슬라브 등 추락단부 안전난간대 설치 등 추락방호조치 실시"/>
  </r>
  <r>
    <n v="11"/>
    <x v="0"/>
    <x v="0"/>
    <x v="0"/>
    <s v="YES"/>
    <x v="23"/>
    <x v="46"/>
    <s v="해당없음"/>
    <s v="해당없음"/>
    <s v="해당없음"/>
    <s v="2016년 1월경"/>
    <d v="2016-01-01T00:00:00"/>
    <n v="1"/>
    <s v="혹한기"/>
    <x v="2"/>
    <s v="2016년 1월경 아파트 신축공사에서 재해자가 조립식 패널 옹벽을 설치하던 중 옹벽 소단부에서 이동 중 미끄러지면서 몸의 중심을 잃고 10m 아래 바닥으로 추락하여 사망"/>
    <s v="안전난간이 설치되지 않은 소단부에서 이동 중 미끄러져 몸의 중심을 잃고 지면으로 떨어짐"/>
    <s v="▶ 작업자가 법면 상부 등으로 불필요한 이동을 금하고 작업자 이동통로 설치_x000a_▶ 근로자가 추락하거나 넘어질 위험이 있는 상부에서 작업 시 안전난간을 설치하고 추락방지조치 실시하고 부득이한 경우 접근방책 등을 설치_x000a_▶ 근로자가 추락하거나 넘어질 위험이 있는 상부에서 작업 시 개인보호구(안전모, 안전대 등) 지급 및 착용"/>
  </r>
  <r>
    <n v="11"/>
    <x v="0"/>
    <x v="0"/>
    <x v="0"/>
    <s v="YES"/>
    <x v="23"/>
    <x v="46"/>
    <s v="해당없음"/>
    <s v="해당없음"/>
    <s v="해당없음"/>
    <s v="2017년 12월"/>
    <d v="2017-12-01T00:00:00"/>
    <n v="12"/>
    <s v="혹한기"/>
    <x v="2"/>
    <s v="2017년 12월 수리시설 보수공사에서 재해자가 계단식 옹벽 위에서 보양작업 중 실족하여 6.6m 아래 바닥으로 추락하여 사망"/>
    <s v="안전난간이 설치되지 않은 소단부에서 이동 중 미끄러져 몸의 중심을 잃고 지면으로 떨어짐"/>
    <s v="▶ 작업자가 법면 상부 등으로 불필요한 이동을 금하고 작업자 이동통로 설치_x000a_▶ 근로자가 추락하거나 넘어질 위험이 있는 상부에서 작업 시 안전난간을 설치하고 추락방지조치 실시하고 부득이한 경우 접근방책 등을 설치_x000a_▶ 근로자가 추락하거나 넘어질 위험이 있는 상부에서 작업 시 개인보호구(안전모, 안전대 등) 지급 및 착용"/>
  </r>
  <r>
    <n v="11"/>
    <x v="0"/>
    <x v="0"/>
    <x v="0"/>
    <s v="YES"/>
    <x v="23"/>
    <x v="46"/>
    <s v="해당없음"/>
    <s v="해당없음"/>
    <s v="해당없음"/>
    <s v="2021년 4월경"/>
    <d v="2021-04-01T00:00:00"/>
    <n v="4"/>
    <s v="-"/>
    <x v="2"/>
    <s v="2021년 4월경 생활주택 신축공사에서 재해자가 옹벽단부에서 자재를 옮기던 중 몸의 중심을 잃고 3.5m 바닥으로 추락하여 사망"/>
    <s v="안전난간이 설치되지 않은 소단부에서 이동 중 미끄러져 몸의 중심을 잃고 지면으로 떨어짐"/>
    <s v="▶ 작업자가 법면 상부 등으로 불필요한 이동을 금하고 작업자 이동통로 설치_x000a_▶ 근로자가 추락하거나 넘어질 위험이 있는 상부에서 작업 시 안전난간을 설치하고 추락방지조치 실시하고 부득이한 경우 접근방책 등을 설치_x000a_▶ 근로자가 추락하거나 넘어질 위험이 있는 상부에서 작업 시 개인보호구(안전모, 안전대 등) 지급 및 착용"/>
  </r>
  <r>
    <n v="11"/>
    <x v="0"/>
    <x v="0"/>
    <x v="66"/>
    <s v="YES"/>
    <x v="23"/>
    <x v="46"/>
    <s v="해당없음"/>
    <s v="해당없음"/>
    <s v="해당없음"/>
    <s v="2015년 4월경"/>
    <d v="2015-04-01T00:00:00"/>
    <n v="4"/>
    <s v="-"/>
    <x v="2"/>
    <s v="2015년 4월경 하천 정비사업 현장에서 재해자가 폭 90cm 소단 위에서 석축쌓기 작업을 하던 중 몸의 중심을 잃고 2.3m 아래 하천바닥으로 떨어져 사망"/>
    <s v="절토사면 보강을 위해 숏크리트가 시공된 사면에서 상부 요철을 제거하던 중 안전난간이 미설치된 사면 단부로 추락"/>
    <s v="▶ 작업자가 법면 상부 등으로 불필요한 이동을 금하고 작업자 이동통로 설치_x000a_▶ 근로자가 추락하거나 넘어질 위험이 있는 상부에서 작업 시 안전난간을 설치하고 추락방지조치 실시하고 부득이한 경우 접근방책 등을 설치_x000a_▶ 근로자가 추락하거나 넘어질 위험이 있는 상부에서 작업 시 개인보호구(안전모, 안전대 등) 지급 및 착용"/>
  </r>
  <r>
    <n v="12"/>
    <x v="1"/>
    <x v="2"/>
    <x v="3"/>
    <s v="YES"/>
    <x v="23"/>
    <x v="46"/>
    <s v="해당없음"/>
    <s v="해당없음"/>
    <s v="해당없음"/>
    <s v="2016년 11월"/>
    <d v="2016-11-01T00:00:00"/>
    <n v="11"/>
    <s v="-"/>
    <x v="2"/>
    <s v="2016년 11월경 OO철거 현장에서 지상 2층 바닥에 철거 폐기물을 반출하고자 만든 개구부를 넓히기 위해 재해자가 엔진커터기를 사용하여 바닥 슬라브의 절단을 완료하고, 몸을 일으키던 중 중심을 잃어 지상 1층 바닥으로 떨어졌으며(H=3.5m), 동시에 절단된 슬라브(w≒1.75ton)가 떨어져 재해자가 깔려 사망"/>
    <s v="철거공사 중 슬라브 단부에서 합판, 목재 등 자재를 지상으로 내리던 중 실족하여 바닥으로 추락"/>
    <s v="▶ 슬라브 등 추락단부 안전난간대 설치 등 추락방호조치 실시_x000a_▶ 근로자의 개인보호구, 안전대 체결여부 점검 및 관리감독"/>
  </r>
  <r>
    <n v="12"/>
    <x v="1"/>
    <x v="2"/>
    <x v="3"/>
    <s v="YES"/>
    <x v="23"/>
    <x v="46"/>
    <s v="해당없음"/>
    <s v="해당없음"/>
    <s v="해당없음"/>
    <s v="2017년 5월경"/>
    <d v="2017-05-01T00:00:00"/>
    <n v="5"/>
    <s v="-"/>
    <x v="1"/>
    <s v="2017년 5월경 OO보수공사 현장에서 재해자가 지상 1층 출입구 상부에 설치된 캐노피 콘크리트 슬라브 위에서 슬라브 해체 작업 중 콘크리트 슬라브(무게 1.5톤, 폭2.0m × 길이1.45m × 두께 0.23m)가 무너져 내리면서 무너진 슬라브에 함께 추락하여 사망"/>
    <s v="해체작업을 하던 중 충격 또는 폐기물 하중 등으로 슬라브가 붕괴되어 작업자 추락 및 깔림"/>
    <s v="▶ 구조검토를 실시한 후, 그에 맞는 해체방법 및 순서 등 작업계획을 수립_x000a_▶ 작업층 하부에 잭서포트 보강 실시하며 구조상 충분한 잭서포트 개수를 설치 적정 개소에 설치_x000a_▶ 균열, 콘크리트 강도, 철근 배근상태, 노후정도 등과 같은 해당 건물의 안정성 검토 후 해체계획 수립"/>
  </r>
  <r>
    <n v="12"/>
    <x v="1"/>
    <x v="2"/>
    <x v="3"/>
    <s v="YES"/>
    <x v="23"/>
    <x v="46"/>
    <s v="해당없음"/>
    <s v="해당없음"/>
    <s v="해당없음"/>
    <s v="2017년 11월"/>
    <d v="2017-11-01T00:00:00"/>
    <n v="11"/>
    <s v="-"/>
    <x v="2"/>
    <s v="2017년 11월경 OO철거공사 현장에서 재해자가 2층 슬라브 단부에서 바닥용 합판을 지상으로 내리던중 실족하여 6m아래 바닥으로 추락하여 사망"/>
    <s v="철거공사 중 슬라브 단부에서 합판, 목재 등 자재를 지상으로 내리던 중 실족하여 바닥으로 추락"/>
    <s v="▶ 슬라브 등 추락단부 안전난간대 설치 등 추락방호조치 실시_x000a_▶ 근로자의 개인보호구, 안전대 체결여부 점검 및 관리감독"/>
  </r>
  <r>
    <n v="12"/>
    <x v="1"/>
    <x v="2"/>
    <x v="3"/>
    <s v="YES"/>
    <x v="23"/>
    <x v="46"/>
    <s v="해당없음"/>
    <s v="해당없음"/>
    <s v="해당없음"/>
    <s v="2018년 3월경"/>
    <d v="2018-03-01T00:00:00"/>
    <n v="3"/>
    <s v="-"/>
    <x v="2"/>
    <s v="2018년 3월경 OO철거공사 현장에서 구조물 철거 후 가림막으로 사용중이던 비계용 강관파이프를 철거하던 중 실족하여 약 3.1m 아래 바닥(인도)으로 추락하여 사망"/>
    <s v="철거공사 중 슬라브 단부에서 합판, 목재 등 자재를 지상으로 내리던 중 실족하여 바닥으로 추락"/>
    <s v="▶ 슬라브 등 추락단부 안전난간대 설치 등 추락방호조치 실시_x000a_▶ 근로자의 개인보호구, 안전대 체결여부 점검 및 관리감독"/>
  </r>
  <r>
    <n v="12"/>
    <x v="1"/>
    <x v="2"/>
    <x v="3"/>
    <s v="YES"/>
    <x v="23"/>
    <x v="46"/>
    <s v="해당없음"/>
    <s v="해당없음"/>
    <s v="해당없음"/>
    <s v="2018년 7월경"/>
    <d v="2018-07-01T00:00:00"/>
    <n v="7"/>
    <s v="혹서기"/>
    <x v="2"/>
    <s v="2018년 7월경 OO개선공사 현장에서 재해자가 학교 건물 4층 화장실 외부 캐노피 상부에서 핸드브레이커를 사용하여 조적벽돌 철거작업 중 몸의 중심을 잃고 지상 1층 바닥으로  추락하여(H≒8m) 사망"/>
    <s v="건물 외부 캐노피 상부에서 핸드브레이커를 사용하여 조적벽돌 철거작업 중 몸의 중심을 잃고 바닥으로 추락"/>
    <s v="▶ 슬라브 등 추락단부 안전난간대 설치 등 추락방호조치 실시_x000a_▶ 근로자의 개인보호구, 안전대 체결여부 점검 및 관리감독"/>
  </r>
  <r>
    <n v="12"/>
    <x v="1"/>
    <x v="2"/>
    <x v="3"/>
    <s v="YES"/>
    <x v="23"/>
    <x v="46"/>
    <s v="해당없음"/>
    <s v="해당없음"/>
    <s v="해당없음"/>
    <s v="2019년 9월경"/>
    <d v="2019-09-01T00:00:00"/>
    <n v="9"/>
    <s v="-"/>
    <x v="2"/>
    <s v="2019년 9월경 OO의 화재복구공사 현장에서 재해자가 건물 3층의 외부 창틀에 지지된 이삿짐운반용 리프트 운반구(1,520mm ×2,440mm) 또는 창틀 위에 서서 철거된 화재 폐기물을 이삿짐운반용 리프트 운반구에 적재하던 중 몸의 중심을 잃고 약 12m 아래 지상으로 추락하여 사망  "/>
    <s v="이삿짐 운반용 리프트 운반구 및 창틀 위에서 폐기물을 적재하던 중 몸의 중심을 잃고 바닥으로 추락"/>
    <s v="▶ 이삿짐운반용 리프트(사다리차)를 사용할 시, 운반구에 올라타는 행위 등 자재의 운반목적 이외의 행동 금지_x000a_▶ 창과 같은 개구부를 통해 자재를 운반할 시, 추락방지를 위한 안전대 부착설비, 안전난간대 등의 안전방호조치 실시"/>
  </r>
  <r>
    <n v="12"/>
    <x v="1"/>
    <x v="2"/>
    <x v="3"/>
    <s v="YES"/>
    <x v="23"/>
    <x v="46"/>
    <s v="해당없음"/>
    <s v="해당없음"/>
    <s v="해당없음"/>
    <s v="2020년 2월경"/>
    <d v="2020-02-01T00:00:00"/>
    <n v="2"/>
    <s v="혹한기"/>
    <x v="2"/>
    <s v="2020년 2월경 OO철거공사 현장에서 재해자가 20층 가장자리에서 살수작업 중 외부비계와 빌딩 벽체 사이를 통해 약 67m 아래의 4층 바닥으로 추락하여 사망"/>
    <s v="철거공사 현장 슬라브 단부에서 살수작업 중 외부비계와 벽체사이를 통해 바닥으로 추락"/>
    <s v="▶ 슬라브 등 추락단부 안전난간대 설치 등 추락방호조치 실시_x000a_▶ 작업반경 내 근거리에서 살수작업 금지"/>
  </r>
  <r>
    <n v="12"/>
    <x v="1"/>
    <x v="2"/>
    <x v="3"/>
    <s v="YES"/>
    <x v="23"/>
    <x v="46"/>
    <s v="해당없음"/>
    <s v="해당없음"/>
    <s v="해당없음"/>
    <s v="2020년 10월"/>
    <d v="2020-10-01T00:00:00"/>
    <n v="10"/>
    <s v="-"/>
    <x v="2"/>
    <s v="2020년 10월경 OO개축공사 현장에서 재해자가 건물내부에서 해체된 고철 및 목재류를 3층 발코니에서 외부로 투하 하던 중 지하 1층 바닥(H≒6.8m)으로 추락하여 사망"/>
    <s v="철거공사 중 슬라브 단부에서 합판, 목재 등 자재를 지상으로 내리던 중 실족하여 바닥으로 추락"/>
    <s v="▶ 슬라브 등 추락단부 안전난간대 설치 등 추락방호조치 실시_x000a_▶ 근로자의 개인보호구, 안전대 체결여부 점검 및 관리감독"/>
  </r>
  <r>
    <n v="12"/>
    <x v="1"/>
    <x v="2"/>
    <x v="3"/>
    <s v="YES"/>
    <x v="23"/>
    <x v="46"/>
    <s v="해당없음"/>
    <s v="해당없음"/>
    <s v="해당없음"/>
    <s v="2020년 11월"/>
    <d v="2020-11-01T00:00:00"/>
    <n v="11"/>
    <s v="-"/>
    <x v="2"/>
    <s v="2020년 11월경 OO철거공사 현장에서 재해자가 철거작업 중 옥탑단부에서 약 4.2M 아래의 옥상바닥으로 추락하여 사망"/>
    <s v="옥탑에 설치된 중계기 철거작업 중 몸의 중심을 잃고 옥탑단부에서 바닥으로 추락"/>
    <s v="▶ 슬라브 등 추락단부 안전난간대 설치 등 추락방호조치 실시_x000a_▶ 근로자의 개인보호구, 안전대 체결여부 점검 및 관리감독"/>
  </r>
  <r>
    <n v="12"/>
    <x v="1"/>
    <x v="2"/>
    <x v="3"/>
    <s v="YES"/>
    <x v="23"/>
    <x v="46"/>
    <s v="해당없음"/>
    <s v="해당없음"/>
    <s v="해당없음"/>
    <s v="2021년 2월경"/>
    <d v="2021-02-01T00:00:00"/>
    <n v="2"/>
    <s v="혹한기"/>
    <x v="1"/>
    <s v="2021년 2월경 OO 증축공사 현장에서 기존 호텔 본동 대수선공사의 지하 2층 바닥 슬래브 보강작업을 위해 기존 슬래브 하부 블록벽체 등 철거 작업 중 기절단된 지하 2층 바닥 슬래브가 붕괴되면서 재해자가 깔려 사망"/>
    <s v="해체작업을 하던 중 충격 또는 폐기물 하중 등으로 슬라브가 붕괴되어 작업자 추락 및 깔림"/>
    <s v="▶ 구조검토를 실시한 후, 그에 맞는 해체방법 및 순서 등 작업계획을 수립_x000a_▶ 작업층 하부에 잭서포트 보강 실시하며 구조상 충분한 잭서포트 개수를 설치 적정 개소에 설치_x000a_▶ 균열, 콘크리트 강도, 철근 배근상태, 노후정도 등과 같은 해당 건물의 안정성 검토 후 해체계획 수립"/>
  </r>
  <r>
    <n v="12"/>
    <x v="1"/>
    <x v="2"/>
    <x v="3"/>
    <s v="YES"/>
    <x v="23"/>
    <x v="46"/>
    <s v="해당없음"/>
    <s v="해당없음"/>
    <s v="해당없음"/>
    <s v="2021년 6월경"/>
    <d v="2021-06-01T00:00:00"/>
    <n v="6"/>
    <s v="혹서기"/>
    <x v="2"/>
    <s v="2021년 6월경 OO신축공사 현장에서 재해자가 8층 옥상에서 폐자재 정리작업 중 옥상슬래브 단부의 턱에 걸려 넘어지면서 7층 바닥(H≒12m)으로 추락하여 사망"/>
    <s v="폐자재 정리작업 중 옥상 슬라브 단부에 걸려 넘어지면서 바닥으로 추락"/>
    <s v="▶ 슬라브 등 추락단부 안전난간대 설치 등 추락방호조치 실시_x000a_▶ 근로자 이동통로 내 장애물 제거 등 현장정리정돈 철저"/>
  </r>
  <r>
    <n v="12"/>
    <x v="1"/>
    <x v="3"/>
    <x v="4"/>
    <s v="YES"/>
    <x v="23"/>
    <x v="46"/>
    <s v="해당없음"/>
    <s v="해당없음"/>
    <s v="해당없음"/>
    <s v="2019년 11월"/>
    <d v="2019-11-01T00:00:00"/>
    <n v="11"/>
    <s v="-"/>
    <x v="2"/>
    <s v="2019년 11월경 ㈜OO 직업체험관 건립사업 시설공사 현장에서 재해자가 지상3층 우측면 외부계단에서 해체된 외부비계 자재 정리 중 몸의 중심을 잃고 약 7.8m 지상1층 바닥으로 떨어져 사망"/>
    <s v="비계 해체자재인 승강사다리를 외부계단 단부에서 낙하시켜 반출하던 중 몸의 중심을 잃고 바닥으로 추락"/>
    <s v="▶ 개구부 등 추락위험구간에 덮개, 안전난간, 수직형방망 등 추락방지조치 준수"/>
  </r>
  <r>
    <n v="12"/>
    <x v="1"/>
    <x v="3"/>
    <x v="101"/>
    <s v="YES"/>
    <x v="23"/>
    <x v="46"/>
    <s v="해당없음"/>
    <s v="해당없음"/>
    <s v="해당없음"/>
    <s v="2017년 1월경"/>
    <d v="2017-01-01T00:00:00"/>
    <n v="1"/>
    <s v="혹한기"/>
    <x v="4"/>
    <s v="2017년 1월경 OO건설의 공사현장에서 안전시설물 설치 협력업체 소속의 재해자가 아파트 갱폼 최상단 작업발판(지상 6층부위) 위에서 기 적재되어 있던 보양용 천막자재 한 묶음을 약 2.8m 아래 지상 5층 슬라브 바닥으로 던져 내리던 중 천막자재와 함께 추락, 슬라브 바닥에 돌출되어 있던 벽체철근(D10mm)에 가슴부위를 찔려 사망"/>
    <s v="작업발판에서 보양용 천막자재 하역작업 중 천막자재와 함께 바닥으로 추락하며 철근에 가슴 관통"/>
    <s v="▶ 개구부 등 추락위험구간에 안전난간 등 추락방지조치 준수_x000a_▶ 작업 전 안전대 지급 및 체결상태 관리_x000a_▶ 작업 중 안전대 체결여부 및 체결상태 확인"/>
  </r>
  <r>
    <n v="12"/>
    <x v="1"/>
    <x v="3"/>
    <x v="31"/>
    <s v="YES"/>
    <x v="23"/>
    <x v="46"/>
    <s v="해당없음"/>
    <s v="해당없음"/>
    <s v="해당없음"/>
    <s v="2020년 2월경"/>
    <d v="2020-02-01T00:00:00"/>
    <n v="2"/>
    <s v="혹한기"/>
    <x v="2"/>
    <s v="2020년 2월경 아파트 공사현장에서, 재해자가 낙하물 방지망(시스템형)을 추가 설치하기 위하여 4층 에어컨 실외기 설치용 바닥(1.2×0.6m)에서 와이어 로프 길이를 조절하던 중 지상 콘크리트 바닥으로 추락(H≒9.5m)"/>
    <s v="안전대 미착용한 근로자가 낙하물 방지망 설치 해체를 위해 일부 체결부 해체 작업 중  갑작스런 낙하물방지망 낙하로 몸의 중심을 잃고 추락 "/>
    <s v="▶ 추락 위험이 있는 작업 시, 안전대 부착설비, 추락방호망 등 안전방호조치 실시_x000a_▶ 작업 전 안전보호구(안전대) 지급 및 체결상태 관리_x000a_▶ 낙하물방지망 해체 작업 시 상부로부터 하부로 순차적으로 해체하는 식의 작업방식 준수"/>
  </r>
  <r>
    <n v="12"/>
    <x v="1"/>
    <x v="4"/>
    <x v="5"/>
    <s v="YES"/>
    <x v="23"/>
    <x v="46"/>
    <s v="해당없음"/>
    <s v="해당없음"/>
    <s v="해당없음"/>
    <s v="2021년 12월"/>
    <d v="2021-12-01T00:00:00"/>
    <n v="12"/>
    <s v="혹한기"/>
    <x v="2"/>
    <s v="2021년 12월경 OO건설 다세대 신축공사 현장에서 재해자가 윈치 상태를 파악하기 위해 외부 강관비계 작업발판 상부에 올라갔다가 약 14.4m 아래 바닥으로 떨어져 사망"/>
    <s v="손수레에 담긴 시멘트 벽돌을 윈치를 이용하여 4층 자재 인양 개구부로 인양하여 건물 내부로 옮기던 중 중심을 잃고 개구부로 근로자 추락"/>
    <s v="▶ 조적작업을 위해 시멘트 벽돌을 건물 각 층 자재인양 개구부를 통해 반입 시 하이랜더 등의 건설 인양장비 사용 및 내부 엘리베이터를 통해 소운반_x000a_▶ 추락위험이 있는 작업발판 및 통로의 끝이나 개구부에는 안전난간 등 설치_x000a_▶ 인양작업용 양중기는 훅 걸이용 줄걸이가 벗겨지는 것을 방지하기 위한 해지장치 설치"/>
  </r>
  <r>
    <n v="12"/>
    <x v="1"/>
    <x v="5"/>
    <x v="6"/>
    <s v="YES"/>
    <x v="23"/>
    <x v="46"/>
    <s v="해당없음"/>
    <s v="해당없음"/>
    <s v="해당없음"/>
    <s v="2016년 5월경"/>
    <d v="2016-05-01T00:00:00"/>
    <n v="5"/>
    <s v="-"/>
    <x v="2"/>
    <s v="2016년 5월경 OO건설(주) OO조성공사 현장에서 재해자가 우수맨홀 등의 시공상태(청소상태)를 점검하는 과정에서 인근의 PC Box 터파기면 상부를 이동하던 중 5.6m 아래 터파기면 하부로 떨어져 익사"/>
    <s v="안전난간이 미설치된 슬라브 단부 근처에서 작업(자재반출, 점검 등)을 하다 바닥으로 추락"/>
    <s v="▶ 추락할 위험이 있는 장소에서 작업 시, 안전난간대, 안전대 부착설비 설치 등의 안전방호조치 실시_x000a_▶ 작업자의 개인보호구, 안전대 체결여부 점검 및 관리감독_x000a_▶ 추락위험이 있는 곳에 안전난간 및 출입금지(추락위험) 표지 설치"/>
  </r>
  <r>
    <n v="12"/>
    <x v="1"/>
    <x v="5"/>
    <x v="6"/>
    <s v="YES"/>
    <x v="23"/>
    <x v="46"/>
    <s v="해당없음"/>
    <s v="해당없음"/>
    <s v="해당없음"/>
    <s v="2018년 1월경"/>
    <d v="2018-01-01T00:00:00"/>
    <n v="1"/>
    <s v="혹한기"/>
    <x v="2"/>
    <s v="2018년 1월경 OO변경공사 현장에서 재해자가 2층 장비반입구(H≒6.5)에서 폐기물(판넬) 반출작업 중 중심을 잃고 건물외부 바닥으로 추락하여 사망"/>
    <s v="안전난간이 미설치된 슬라브 단부 근처에서 작업(자재반출, 점검 등)을 하다 바닥으로 추락"/>
    <s v="▶ 추락할 위험이 있는 장소에서 작업 시, 안전난간대, 안전대 부착설비 설치 등의 안전방호조치 실시_x000a_▶ 작업자의 개인보호구, 안전대 체결여부 점검 및 관리감독_x000a_▶ 추락위험이 있는 곳에 안전난간 및 출입금지(추락위험) 표지 설치"/>
  </r>
  <r>
    <n v="12"/>
    <x v="1"/>
    <x v="5"/>
    <x v="6"/>
    <s v="YES"/>
    <x v="23"/>
    <x v="46"/>
    <s v="해당없음"/>
    <s v="해당없음"/>
    <s v="해당없음"/>
    <s v="2018년 4월경"/>
    <d v="2018-04-01T00:00:00"/>
    <n v="4"/>
    <s v="-"/>
    <x v="2"/>
    <s v="2018년 4월경 OO건설(주) OO건설공사 현장에서 재해자가 아파트  지상 3층 발코니에서 외부로 돌출된 에어컨 실외기 설치용 바닥 슬라브로 넘어가 청소작업 중 몸의 중심을 잃고 약 10m 아래 지하1층(썬큰) 콘크리트 바닥으로 추락하여 사망"/>
    <s v="안전난간이 미설치된 슬라브 단부 근처에서 작업(자재반출, 점검 등)을 하다 바닥으로 추락"/>
    <s v="▶ 추락할 위험이 있는 장소에서 작업 시, 안전난간대, 안전대 부착설비 설치 등의 안전방호조치 실시_x000a_▶ 작업자의 개인보호구, 안전대 체결여부 점검 및 관리감독_x000a_▶ 추락위험이 있는 곳에 안전난간 및 출입금지(추락위험) 표지 설치"/>
  </r>
  <r>
    <n v="12"/>
    <x v="1"/>
    <x v="5"/>
    <x v="6"/>
    <s v="YES"/>
    <x v="23"/>
    <x v="46"/>
    <s v="해당없음"/>
    <s v="해당없음"/>
    <s v="해당없음"/>
    <s v="2018년 5월경"/>
    <d v="2018-05-01T00:00:00"/>
    <n v="5"/>
    <s v="-"/>
    <x v="2"/>
    <s v="2018년 5월경 OO교량보수보강 공사현장에서 재해자자 살수차에서 하차하던 중 해체되어 임시로 세워져있던 교량 난간을 밟는 순간 고정되어 있지 않던 난간이 교량 외측으로 넘어지며 난간과 함께 떨어져(H≒17m) 사망"/>
    <s v="임시로 세워 고정되어 있지 않던 난간을 밟아 난간과 함께 외측으로 추락"/>
    <s v="▶ 해체된 난간을 안정된 상태인지 점검 실시"/>
  </r>
  <r>
    <n v="12"/>
    <x v="1"/>
    <x v="5"/>
    <x v="6"/>
    <s v="YES"/>
    <x v="23"/>
    <x v="46"/>
    <s v="해당없음"/>
    <s v="해당없음"/>
    <s v="해당없음"/>
    <s v="2020년 8월경"/>
    <d v="2020-08-01T00:00:00"/>
    <n v="8"/>
    <s v="혹서기"/>
    <x v="2"/>
    <s v="2020년 8월경 OO주택 신축공사 현장에서 재해자가 2층 단부에서 우천대비 점검을 하던 중 실족하여 1층 콘크리트 바닥으로 떨어져(높이 약 3.1m) 사망"/>
    <s v="안전난간이 미설치된 슬라브 단부 근처에서 작업(자재반출, 점검 등)을 하다 바닥으로 추락"/>
    <s v="▶ 추락할 위험이 있는 장소에서 작업 시, 안전난간대, 안전대 부착설비 설치 등의 안전방호조치 실시_x000a_▶ 작업자의 개인보호구, 안전대 체결여부 점검 및 관리감독_x000a_▶ 추락위험이 있는 곳에 안전난간 및 출입금지(추락위험) 표지 설치"/>
  </r>
  <r>
    <n v="12"/>
    <x v="1"/>
    <x v="5"/>
    <x v="6"/>
    <s v="YES"/>
    <x v="23"/>
    <x v="46"/>
    <s v="해당없음"/>
    <s v="해당없음"/>
    <s v="해당없음"/>
    <s v="2021년 7월경"/>
    <d v="2021-07-01T00:00:00"/>
    <n v="7"/>
    <s v="혹서기"/>
    <x v="2"/>
    <s v="2021년 7월경 폐수처리시설 신축공사 현장에서 협력업체 소속 재해자가 차량진출입 램프의 캐노피 알루미늄 패널 하자(누수) 상태를 확인 중 램프 옹벽 구조물 상부에서 떨어짐(H≒5.9m)"/>
    <s v="안전대를 미착용한 상태에서 버팀대 보 상부에서 작업 중 몸의 중심을 잃고 추락"/>
    <s v="▶ 추락 위험이 있는 장소에서 안전방망 또는 안전대 착용 등 추락방지조치 실시_x000a_▶ 안전모 및 안전대 등 개인보호구 지급 및 착용관리 감독_x000a_▶ 추락위험 장소에 대해 근로자가 임의 출입을 방지하도록 방책 등 설치"/>
  </r>
  <r>
    <n v="12"/>
    <x v="1"/>
    <x v="5"/>
    <x v="6"/>
    <s v="YES"/>
    <x v="23"/>
    <x v="46"/>
    <s v="해당없음"/>
    <s v="해당없음"/>
    <s v="해당없음"/>
    <s v="2021년 10월"/>
    <d v="2021-10-01T00:00:00"/>
    <n v="10"/>
    <s v="-"/>
    <x v="2"/>
    <s v="2021년 10월경 OO건설공사 현장에서 재해자가 교량 상부 콘크리트 바닥판 파손부위 보수 작업 후 이동 중 교각 상부에서 추락하여 사망"/>
    <s v="안전난간이 미설치된 슬라브 단부 근처에서 작업(자재반출, 점검 등)을 하다 바닥으로 추락"/>
    <s v="▶ 추락할 위험이 있는 장소에서 작업 시, 안전난간대, 안전대 부착설비 설치 등의 안전방호조치 실시_x000a_▶ 작업자의 개인보호구, 안전대 체결여부 점검 및 관리감독_x000a_▶ 추락위험이 있는 곳에 안전난간 및 출입금지(추락위험) 표지 설치"/>
  </r>
  <r>
    <n v="2"/>
    <x v="2"/>
    <x v="6"/>
    <x v="7"/>
    <s v="YES"/>
    <x v="23"/>
    <x v="46"/>
    <s v="해당없음"/>
    <s v="해당없음"/>
    <s v="해당없음"/>
    <s v="2018년 7월경"/>
    <d v="2018-07-01T00:00:00"/>
    <n v="7"/>
    <s v="혹서기"/>
    <x v="2"/>
    <s v="2018년 7월경 OO소하천 수해복구 현장에서 재해자가 수로암거 벽체 상부에서 하천 바닥으로 거푸집을 던져 내려 놓던 중 하천 바닥으로 떨어져 사망"/>
    <s v="추락방지조치 미실시한 상태에서 하상보호공의 콘크리트 타설 시 설치하는 거푸집을 하천 바닥 작업지점에 내려 놓기 위해 수로암거 벽체 상부경사면에서 거푸집을 한 장씩 들어 하천 바닥으로 던저 내려놓던 중 중심을 잃고 수로암거 벽체 상부 경사면에서 하천 바닥으로 근로자 추락"/>
    <s v="▶ 추락위험이 있는 장소에서 작업 시 단부에 안전난간 설치 등 추락방호조치 실시_x000a_▶ 자재 운반 작업시 현장여건을 반영하여 안전한 작업방법 계획후 작업 실시"/>
  </r>
  <r>
    <n v="2"/>
    <x v="2"/>
    <x v="6"/>
    <x v="7"/>
    <s v="YES"/>
    <x v="23"/>
    <x v="46"/>
    <s v="해당없음"/>
    <s v="해당없음"/>
    <s v="해당없음"/>
    <s v="2020년 4월경"/>
    <d v="2020-04-01T00:00:00"/>
    <n v="4"/>
    <s v="-"/>
    <x v="2"/>
    <s v="2020년 4월경 OO단독주택 신축공사 현장에서 재해자가 2층 슬래브 단부에서 2층 바닥 슬래브용 자재를 인양하던 중, 실족하여 높이 약 3.5m아래 지상바닥으로 추락하여 사망"/>
    <s v="개구부, 작업발판 단부 등 추락방지조치 미실시한 상태에서 상부층으로 거푸집 자재를 옮기기 위해 외부 비계에서 근로자가 받아치기 방법으로 작업 중 거푸집 편심 또는 실족으로 몸의 중심을 잃고 슬래브 단부와 비계 사이 개구부로 추락"/>
    <s v="▶ 거푸집 자재 양중 시 자재에 따라 알맞은 결속과 도르래 및 양중장비를 사용하여 작업_x000a_▶ 추락위험이 있는 장소에서 작업 시 단부에 안전난간 설치 등 추락방호조치 실시"/>
  </r>
  <r>
    <n v="2"/>
    <x v="2"/>
    <x v="6"/>
    <x v="33"/>
    <s v="YES"/>
    <x v="23"/>
    <x v="46"/>
    <s v="해당없음"/>
    <s v="해당없음"/>
    <s v="해당없음"/>
    <s v="2015년 10월"/>
    <d v="2015-10-01T00:00:00"/>
    <n v="10"/>
    <s v="-"/>
    <x v="2"/>
    <s v="2015년 10월경 (주)000이 시공하는 00교회 신축공사 현장에서, 재해자가 사고 당일 옥탑 1층의 콘크리트 타설하기 위하여 외벽거푸집 설치상태를 마무리 점검하던 중 몸의 중심을 잃고 옥상층 콘크리트 바닥으로 떨어짐(약 2.8m)"/>
    <s v="추락 방지조치 미실시한 상태에서 슬래브 위에서 거푸집 설치작업 중 불안정한 상태에서 균형을 잃고 근로자 추락"/>
    <s v="▶ 추락위험이 있는 구간에는 추락방호망, 안전난간 설치 또는 및 안전대 착용후 작업_x000a_▶ 개구부 등으로 인해 추락위험이 있을 경우 개구부 덮개 실시"/>
  </r>
  <r>
    <n v="2"/>
    <x v="2"/>
    <x v="6"/>
    <x v="33"/>
    <s v="YES"/>
    <x v="23"/>
    <x v="46"/>
    <s v="해당없음"/>
    <s v="해당없음"/>
    <s v="해당없음"/>
    <s v="2016년 4월경"/>
    <d v="2016-04-01T00:00:00"/>
    <n v="4"/>
    <s v="-"/>
    <x v="2"/>
    <s v="2016년 4월경 (주)OO건설 숙박시설 신축공사 현장에서 형틀공인 재해자가 지상 4층 벽체거푸집 강재틀 상부에서 거푸집동바리 설치를 위한 장선재(81×81×2,400, 8kg) 고정작업 중 벽체철근에 옷이 걸려 몸의 중심을 잃고 2.9m 아래 콘크리트바닥에 떨어져 사망"/>
    <s v="추락 방지조치 미실시한 상태에서 슬래브 위에서 거푸집 설치작업 중 불안정한 상태에서 균형을 잃고 근로자 추락"/>
    <s v="▶ 추락위험이 있는 구간에는 추락방호망, 안전난간 설치 또는 및 안전대 착용후 작업_x000a_▶ 개구부 등으로 인해 추락위험이 있을 경우 개구부 덮개 실시"/>
  </r>
  <r>
    <n v="2"/>
    <x v="2"/>
    <x v="6"/>
    <x v="33"/>
    <s v="YES"/>
    <x v="23"/>
    <x v="46"/>
    <s v="해당없음"/>
    <s v="해당없음"/>
    <s v="해당없음"/>
    <s v="2016년 6월경"/>
    <d v="2016-06-01T00:00:00"/>
    <n v="6"/>
    <s v="혹서기"/>
    <x v="2"/>
    <s v="2016년 6월경 OO건설(주) OO정비사업 현장에서 협력업체 소속 재해자가 제방 상류측 헌치부 슬래브의 측면 거푸집 조립작업 중 몸의 중심을 잃고 5m 높이의 지상 바닥으로 떨어져 사망"/>
    <s v="추락 방지조치 미실시한 상태에서 슬래브 위에서 거푸집 설치작업 중 불안정한 상태에서 균형을 잃고 근로자 추락"/>
    <s v="▶ 추락위험이 있는 구간에는 추락방호망, 안전난간 설치 또는 및 안전대 착용후 작업_x000a_▶ 개구부 등으로 인해 추락위험이 있을 경우 개구부 덮개 실시"/>
  </r>
  <r>
    <n v="2"/>
    <x v="2"/>
    <x v="6"/>
    <x v="33"/>
    <s v="YES"/>
    <x v="23"/>
    <x v="46"/>
    <s v="해당없음"/>
    <s v="해당없음"/>
    <s v="해당없음"/>
    <s v="2016년 10월"/>
    <d v="2016-10-01T00:00:00"/>
    <n v="10"/>
    <s v="-"/>
    <x v="2"/>
    <s v="2016년 10월경 (주)OO건설 OO주상복합 신축공사 현장에서 지하3층 기계식주차장 벽체 거푸집 설치를 위해 같은 형틀팀 동료작업자 7명이 시스템동바리 수평재 사이에 작업발판(합판)을 설치하던 중 재해자가 기계식주차장 주변 단차구간(기계실) 슬래브 단부에서 이동하는 과정에서 균형을 잃고 지하3층 기계식주차장 바닥(H=4m)으로 떨어져 사망"/>
    <s v="추락 방지조치 미실시한 상태에서 슬래브 위에서 거푸집 설치작업 중 불안정한 상태에서 균형을 잃고 근로자 추락"/>
    <s v="▶ 추락위험이 있는 구간에는 추락방호망, 안전난간 설치 또는 및 안전대 착용후 작업_x000a_▶ 개구부 등으로 인해 추락위험이 있을 경우 개구부 덮개 실시"/>
  </r>
  <r>
    <n v="2"/>
    <x v="2"/>
    <x v="6"/>
    <x v="33"/>
    <s v="YES"/>
    <x v="23"/>
    <x v="46"/>
    <s v="해당없음"/>
    <s v="해당없음"/>
    <s v="해당없음"/>
    <s v="2016년 10월"/>
    <d v="2016-10-01T00:00:00"/>
    <n v="10"/>
    <s v="-"/>
    <x v="2"/>
    <s v="2016년 10월경 OO건설(주) OO신축공사 현장에서 협력업체 소속 근로자 3명이 지상 8층 A-1구간 PC 슬래브 설치작업 중 슬래브의 설치 간격을 조정하기 위해 PC 슬래브 단부에서 쇠지렛대(현장명: 빠루)를 이용하여 PC 슬래브를 미는 과정에서 재해자의 쇠지렛대가 빠지면서 재해자가 균형을 잃고 5.5m 아래 지상 7층 바닥으로 떨어져 사망"/>
    <s v="추락 방지조치 미실시한 상태에서 지상층 PC 슬래브 설치작업 중 슬래브의 설치 간격 조정을 위해 단부에서 쇠지렛대를 이용해 PC슬래브를 미는 과정에서 쇠지렛대가 빠지면서 균형을 잃고 근로자 추락"/>
    <s v="▶ 추락위험이 있는 구간에는 추락방호망, 안전난간 설치 또는 및 안전대 착용후 작업_x000a_▶ 개구부 등으로 인해 추락위험이 있을 경우 개구부 덮개 실시"/>
  </r>
  <r>
    <n v="2"/>
    <x v="2"/>
    <x v="6"/>
    <x v="33"/>
    <s v="YES"/>
    <x v="23"/>
    <x v="46"/>
    <s v="해당없음"/>
    <s v="해당없음"/>
    <s v="해당없음"/>
    <s v="2017년 4월경"/>
    <d v="2017-04-01T00:00:00"/>
    <n v="4"/>
    <s v="-"/>
    <x v="2"/>
    <s v="2017년 4월경 OO건설 공사현장에서, 재해자가 2층(h≒4.2m) 캐노피(10m×2.4m)에서 2층 바닥 콘크리트 측면 거푸집으로 사용했던 각재(4×5cm 각재 및 8×8cm 각재)를 쇠지레(일명 빠루)로 해체 및 자재 하역 중, 몸의 균형을 잃고 캐노피 단부에서 1층 아스팔트 바닥으로 떨어져(h≒4.2m) 사망"/>
    <s v="안전난간이 미설치된 작업발판 위에서 작업 중 작업발판 단부로 추락"/>
    <s v="▶ 추락위험이 있는 장소에서 작업 시 단부에 안전난간 설치 등 추락방호조치 실시_x000a_▶ 자재 운반 작업시 현장여건을 반영하여 안전한 작업방법 계획후 작업 실시"/>
  </r>
  <r>
    <n v="2"/>
    <x v="2"/>
    <x v="6"/>
    <x v="33"/>
    <s v="YES"/>
    <x v="23"/>
    <x v="46"/>
    <s v="해당없음"/>
    <s v="해당없음"/>
    <s v="해당없음"/>
    <s v="2017년 10월"/>
    <d v="2017-10-01T00:00:00"/>
    <n v="10"/>
    <s v="-"/>
    <x v="2"/>
    <s v="2017년 10월경 단독 및 다가구주택 신축공사 현장에서 재해자가 외부비계에서 옥상층 방수턱 돌출부위 거푸집 고정(철선 결속)작업을 마친 후 건물 외벽의 창문을 통해 건물 내부로 이동하던 중 비계 작업발판과 건물 외벽 사이의 개구부에서 높이 약 6~8m 아래의 콘크리트 바닥면으로 추락하여 사망"/>
    <s v="외부비계에서 건물 내부로 이동 중 이동통로가 미설치된 개구부에서 실족하여 추락"/>
    <s v="▶ 외부비계와 구조물 사이에는 안전한 이동을 위한 이동통로 설치_x000a_▶ 추락위험이 있는 구간에는 추락방호망, 안전난간 설치 또는 및 안전대 착용후 작업_x000a_▶ 개구부 등으로 인해 추락위험이 있을 경우 개구부 덮개 실시"/>
  </r>
  <r>
    <n v="2"/>
    <x v="2"/>
    <x v="6"/>
    <x v="33"/>
    <s v="YES"/>
    <x v="23"/>
    <x v="46"/>
    <s v="해당없음"/>
    <s v="해당없음"/>
    <s v="해당없음"/>
    <s v="2019년 10월"/>
    <d v="2019-10-01T00:00:00"/>
    <n v="10"/>
    <s v="-"/>
    <x v="2"/>
    <s v="2019년 10월경 OO건설(주)가 시공 중인 근생시설신축공사 현장에서 재해자가 지상2층 경사지붕 바닥슬래브 거푸집 조립작업을 마치고 내려오던 중 약 4m 아래로 떨어져 사망"/>
    <s v="추락 방지조치 미실시한 상태에서 슬래브 위에서 거푸집 설치작업 중 불안정한 상태에서 균형을 잃고 근로자 추락"/>
    <s v="▶ 추락위험이 있는 구간에는 추락방호망, 안전난간 설치 또는 및 안전대 착용후 작업_x000a_▶ 개구부 등으로 인해 추락위험이 있을 경우 개구부 덮개 실시"/>
  </r>
  <r>
    <n v="2"/>
    <x v="2"/>
    <x v="6"/>
    <x v="33"/>
    <s v="YES"/>
    <x v="23"/>
    <x v="46"/>
    <s v="해당없음"/>
    <s v="해당없음"/>
    <s v="해당없음"/>
    <s v="2020년 11월"/>
    <d v="2020-11-01T00:00:00"/>
    <n v="11"/>
    <s v="-"/>
    <x v="2"/>
    <s v="2020년 11월경 개인 근린생활시설 신축공사 현장에서 재해자가 경사지붕 슬래브 거푸집 설치 작업 중 경사지붕에서 지상 2층 콘크리트 바닥으로 떨어져(H≒2.8m) 사망"/>
    <s v="추락 방지조치 미실시한 상태에서 슬래브 위에서 거푸집 설치작업 중 불안정한 상태에서 균형을 잃고 근로자 추락"/>
    <s v="▶ 추락위험이 있는 구간에는 추락방호망, 안전난간 설치 또는 및 안전대 착용후 작업_x000a_▶ 개구부 등으로 인해 추락위험이 있을 경우 개구부 덮개 실시"/>
  </r>
  <r>
    <n v="2"/>
    <x v="2"/>
    <x v="6"/>
    <x v="8"/>
    <s v="YES"/>
    <x v="23"/>
    <x v="46"/>
    <s v="해당없음"/>
    <s v="해당없음"/>
    <s v="해당없음"/>
    <s v="2017년 11월"/>
    <d v="2017-11-01T00:00:00"/>
    <n v="11"/>
    <s v="-"/>
    <x v="2"/>
    <s v="2017년 11월경 OO건설(주) OO신축공사 현장의 기존 건물 지하 1층 슬래브 단부(VOID구간)에서 철거업체 소속 재해자가 동료작업자와 잭써포트 위치 수정작업을 진행하던 중, 잭써포트가 쓰러지면서 재해자 다리에 걸려 몸의 중심을 잃고 잭써포트와 함께 지하 2층 바닥으로 추락(H≒3.95m) 하여 사망"/>
    <s v="추락방지조치 미실시한 상태에서 지하층 슬래브 단부에서 잭써포트 위치 수정 작업 중 잭써포트가 쓰러지면서 근로자 다리에 걸려 중심을 잃고 잭써포트와 함께 아래층으로 추락"/>
    <s v="▶ 슬래브 단부에 잭써포트 및 근로자의 하중을 견딜 수 있는 안전난간 및 안전방망 설치_x000a_▶ 잭써포트 해체·설치 작업에 있어 인력 작업 지양 및 집게 장착 소형 굴삭기 등 장비 사용 권장"/>
  </r>
  <r>
    <n v="2"/>
    <x v="2"/>
    <x v="6"/>
    <x v="8"/>
    <s v="YES"/>
    <x v="23"/>
    <x v="46"/>
    <s v="해당없음"/>
    <s v="해당없음"/>
    <s v="해당없음"/>
    <s v="2019년 1월경"/>
    <d v="2019-01-01T00:00:00"/>
    <n v="1"/>
    <s v="혹한기"/>
    <x v="2"/>
    <s v="2019년 1월경 단독주택 신축공사 현장에서, 재해자가 건물 2층 테라스 단부에서 각재(해체거푸집 자재)를 지상 바닥으로 던져서 내리던 중 건물 외벽과 외부 강관비계 사이 지상1층 콘크리트 바닥으로 떨어져(H≒3.2m) 사망"/>
    <s v="추락방지조치 미실시한 상태에서 테라스 단부에서 각재(해체거푸집 자재)를 지상 바닥으로 던져서 내리던 중 건물 외벽과 외부 강관비계 사이로 추락"/>
    <s v="▶ 추락위험이 있는 구간에는 추락방호망, 안전난간 설치 또는 및 안전대 착용후 작업_x000a_▶ 해체 자재 정리시 던지지 않고 안전한 작업방법으로 실시 "/>
  </r>
  <r>
    <n v="2"/>
    <x v="2"/>
    <x v="7"/>
    <x v="34"/>
    <s v="YES"/>
    <x v="23"/>
    <x v="46"/>
    <s v="해당없음"/>
    <s v="해당없음"/>
    <s v="해당없음"/>
    <s v="2017년 2월경"/>
    <d v="2017-02-01T00:00:00"/>
    <n v="2"/>
    <s v="혹한기"/>
    <x v="2"/>
    <s v="2017년 2월경 OO종합건설(주)에서 시공하는 OO증축공사 현장에서, 재해자가 증축동 4층 옥상에서 기둥철근 배근을 위한 바닥 천공 작업 중 증축을 위해 해체된 슬래브 단부에서 지상 바닥으로 추락(H≒14.0m)하여 사망"/>
    <s v="추락방지조치가 되어있지 않은 슬래브 철근 배근작업 중 중심을 잃고 슬래브 단부로 근로자 추락"/>
    <s v="▶ 취락위험 장소에서 작업 시 외부에 비계 조립 등의 방법으로 작업발판 설치 및 단부에 안전난간 설치_x000a_▶ 슬래브 단부 측 개구부 등 근로자 추락방지를 위해 추락방망 설치 및 안전대 부착설비에 안전대 체결"/>
  </r>
  <r>
    <n v="2"/>
    <x v="2"/>
    <x v="7"/>
    <x v="34"/>
    <s v="YES"/>
    <x v="23"/>
    <x v="46"/>
    <s v="해당없음"/>
    <s v="해당없음"/>
    <s v="해당없음"/>
    <s v="2018년 3월경"/>
    <d v="2018-03-01T00:00:00"/>
    <n v="3"/>
    <s v="-"/>
    <x v="2"/>
    <s v="2018년 3월경 재해자가 비닐하우스내 농수를 공급하기 위한 철근콘크리트 구조의 물탱크의 슬래브 철근위에서 배근작업을 하던 중, 약 3.5m 높이의 슬래브 단부에서 굴착면 바닥으로 떨어져 두개골골절로 사망"/>
    <s v="추락방지조치가 되어있지 않은 슬래브 철근 배근작업 중 중심을 잃고 슬래브 단부로 근로자 추락"/>
    <s v="▶ 취락위험 장소에서 작업 시 외부에 비계 조립 등의 방법으로 작업발판 설치 및 단부에 안전난간 설치_x000a_▶ 슬래브 단부 측 개구부 등 근로자 추락방지를 위해 추락방망 설치 및 안전대 부착설비에 안전대 체결"/>
  </r>
  <r>
    <n v="2"/>
    <x v="2"/>
    <x v="8"/>
    <x v="11"/>
    <s v="YES"/>
    <x v="23"/>
    <x v="46"/>
    <s v="해당없음"/>
    <s v="해당없음"/>
    <s v="해당없음"/>
    <s v="2021년 12월"/>
    <d v="2021-12-01T00:00:00"/>
    <n v="12"/>
    <s v="혹한기"/>
    <x v="2"/>
    <s v="2021년 12월경 ㈜OO 물류센터 신축공사 현장에서 재해자(콘크리트공)가 지상 9층 PC구조물 상부에서 콘크리트 타설 중 지상1층 바닥(H≒50m)으로 떨어져 사망"/>
    <s v="콘크리트 타설 중 안전난간이 설치되어 있지 않은 슬래브 단부로 근로자 추락"/>
    <s v="▶ 추락위험이 있는 슬래브 단부에는 안전난간 설치_x000a_▶ 안전난간의 설치가 곤란할 경우 추락방망 설치_x000a_▶ 높이 2m 이상에서의 고소작업 시 안전대 부착설비 설치 및 안전대 착용"/>
  </r>
  <r>
    <n v="2"/>
    <x v="2"/>
    <x v="8"/>
    <x v="12"/>
    <s v="YES"/>
    <x v="23"/>
    <x v="46"/>
    <s v="해당없음"/>
    <s v="해당없음"/>
    <s v="해당없음"/>
    <s v="2017년 5월경"/>
    <d v="2017-05-01T00:00:00"/>
    <n v="5"/>
    <s v="-"/>
    <x v="2"/>
    <s v="2017년 5월경 OOO(개인)이 시공하는 저온 창고신축공사 현장에서 재해자(보통인부)가 저온창고 천장 슬래브 콘크리트 타설 후 밀대로 면 고르기 작업을 하면서, 뒷걸음질 하다 슬래브 단부에서 지상 콘크리트 바닥으로 떨어져(h=5m) 사망"/>
    <s v="콘크리트 타설작업 중 안전난간이 설치되어 있지 않은 슬래브 단부로 근로자 추락"/>
    <s v="▶ 추락위험이 있는 슬래브 단부에는 안전난간 설치_x000a_▶ 안전난간의 설치가 곤란할 경우 추락방망 설치_x000a_▶ 높이 2m 이상에서의 고소작업 시 안전대 부착설비 설치 및 안전대 착용"/>
  </r>
  <r>
    <n v="2"/>
    <x v="2"/>
    <x v="8"/>
    <x v="12"/>
    <s v="YES"/>
    <x v="23"/>
    <x v="46"/>
    <s v="해당없음"/>
    <s v="해당없음"/>
    <s v="해당없음"/>
    <s v="2019년 1월경"/>
    <d v="2019-01-01T00:00:00"/>
    <n v="1"/>
    <s v="혹한기"/>
    <x v="2"/>
    <s v="2019년 1월경 ㈜OO건설에서 시공하는 OO근린시설 건설현장에서 재해자가 콘크리트 보온 양생을 위하여 지상 3층 외부 발코니에서 천막 설치작업 중 지상 1층 바닥으로 추락(H≒7.5m) 하여 사망"/>
    <s v="콘크리트 타설작업 중 안전난간이 설치되어 있지 않은 슬래브 단부로 근로자 추락"/>
    <s v="▶ 추락위험이 있는 슬래브 단부에는 안전난간 설치_x000a_▶ 안전난간의 설치가 곤란할 경우 추락방망 설치_x000a_▶ 높이 2m 이상에서의 고소작업 시 안전대 부착설비 설치 및 안전대 착용"/>
  </r>
  <r>
    <n v="2"/>
    <x v="2"/>
    <x v="8"/>
    <x v="12"/>
    <s v="YES"/>
    <x v="23"/>
    <x v="46"/>
    <s v="해당없음"/>
    <s v="해당없음"/>
    <s v="해당없음"/>
    <s v="2019년 12월"/>
    <d v="2019-12-01T00:00:00"/>
    <n v="12"/>
    <s v="혹한기"/>
    <x v="7"/>
    <s v="2019년 12월경 오피스텔 신축공사 현장에서 지하1층 A-2구간 부상토제거 및 자재정리 작업 중 상부 슬래브 붕괴로 인하여 OO(주) 소속 근로자 2명이 부상"/>
    <s v="지하층에서 자재정리 작업 중 시공도면 및 구조검토서 미준수한 상부 슬래브 붕괴"/>
    <s v="▶ 콘크리트 타설 후 타설구간 변형 및 변위 감시를 위한 감시자 배치_x000a_▶ 콘크리트 타설 후 거푸집의 이상상태 발생(거푸집 변형, 거푸집 사이로 콘크리트 흘러내림 등) 시 즉시 작업중지 및 작업자 대피"/>
  </r>
  <r>
    <n v="3"/>
    <x v="3"/>
    <x v="9"/>
    <x v="14"/>
    <s v="YES"/>
    <x v="23"/>
    <x v="46"/>
    <s v="해당없음"/>
    <s v="해당없음"/>
    <s v="해당없음"/>
    <s v="2016년 8월경"/>
    <d v="2016-08-01T00:00:00"/>
    <n v="8"/>
    <s v="혹서기"/>
    <x v="2"/>
    <s v="2016년 8월경 OO(주)에서 시공하는  OO센터 신축공사 현장에서 재해자가 동 지상 2층(H≒9.2m)에서 자재(데크플레이트) 설치 작업 중 몸의 균형을 잃어 지하 1층 콘크리트 바닥으로 떨어져 사망"/>
    <s v="안전대 부착설비가 설치되지 않은 상태로 데크 플레이트 설치 작업 중 근로자가 몸의 중심을 잃고 데크플레이트 단부, 개구부로 추락"/>
    <s v="▶ 데크플레이트 설치작업 시 통로의 끝이나 개구부 등 추락위험이 있는 장소에는 안전난간, 울타리, 수직형 추락방망 또는 덮개 등의 방호조치 실시_x000a_▶ 안전난간 등 설치가 곤란할 경우 추락방호망 설치_x000a_▶ 데크플레이트 설치 및 철근 배근작업 시 근로자의 실족 방지를 위해 작업발판 등을 작업장의 통로에 설치_x000a_▶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
  </r>
  <r>
    <n v="3"/>
    <x v="3"/>
    <x v="9"/>
    <x v="14"/>
    <s v="YES"/>
    <x v="23"/>
    <x v="46"/>
    <s v="해당없음"/>
    <s v="해당없음"/>
    <s v="해당없음"/>
    <s v="2018년 7월경"/>
    <d v="2018-07-01T00:00:00"/>
    <n v="7"/>
    <s v="혹서기"/>
    <x v="2"/>
    <s v="2018년 7월경 OO 신축공사 현장에서 재해자(데크공)가 7층 보에 거치해 놓은 데크 플레이트(Deck plate)를 슬라브 길이에 맞게 절단하려고 줄자로 길이를 재던 중, 몸의 중심을 잃고 6층 콘크리트 바닥(H≒3.7m)으로 떨어져 사망"/>
    <s v="안전대 부착설비가 설치되지 않은 상태로 데크 플레이트 설치 작업 중 근로자가 몸의 중심을 잃고 데크플레이트 단부, 개구부로 추락"/>
    <s v="▶ 데크플레이트 설치작업 시 통로의 끝이나 개구부 등 추락위험이 있는 장소에는 안전난간, 울타리, 수직형 추락방망 또는 덮개 등의 방호조치 실시_x000a_▶ 안전난간 등 설치가 곤란할 경우 추락방호망 설치_x000a_▶ 데크플레이트 설치 및 철근 배근작업 시 근로자의 실족 방지를 위해 작업발판 등을 작업장의 통로에 설치_x000a_▶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
  </r>
  <r>
    <n v="3"/>
    <x v="3"/>
    <x v="9"/>
    <x v="14"/>
    <s v="YES"/>
    <x v="23"/>
    <x v="46"/>
    <s v="해당없음"/>
    <s v="해당없음"/>
    <s v="해당없음"/>
    <s v="2018년 8월경"/>
    <d v="2018-08-01T00:00:00"/>
    <n v="8"/>
    <s v="혹서기"/>
    <x v="2"/>
    <s v="2018년 8월경 ㈜OO건설이 시공중인 업무시설 신축공사 현장에서 재해자(데크공)가 지하4층 바닥 데크 플레이트 설치작업 중 몸의 중심을 잃고 데크 플레이트 설치 예정인 개구부(1,8m×7,2m)를 통해 지하5층 바닥(H≒3.7m)으로 떨어져 사망"/>
    <s v="안전대 부착설비가 설치되지 않은 상태로 데크 플레이트 설치 작업 중 근로자가 몸의 중심을 잃고 데크플레이트 단부, 개구부로 추락"/>
    <s v="▶ 데크플레이트 설치작업 시 통로의 끝이나 개구부 등 추락위험이 있는 장소에는 안전난간, 추락방망 또는 덮개, 안전대 착용 등의 방호조치 실시_x000a_▶ 안전난간 등 설치가 곤란할 경우 추락방호망 설치_x000a_▶ 데크플레이트 설치 및 철근 배근작업 시 근로자의 실족 방지를 위해 작업발판 등을 작업장의 통로에 설치_x000a_▶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
  </r>
  <r>
    <n v="4"/>
    <x v="4"/>
    <x v="10"/>
    <x v="37"/>
    <s v="YES"/>
    <x v="23"/>
    <x v="46"/>
    <s v="해당없음"/>
    <s v="해당없음"/>
    <s v="해당없음"/>
    <s v="2017년 8월경"/>
    <d v="2017-08-01T00:00:00"/>
    <n v="8"/>
    <s v="혹서기"/>
    <x v="2"/>
    <s v="2017년 8월경 OO신축공사에서 다락층 발코니(폭 1.05m)에서 미장작업의 범위, 작업물량 등을 확인하던 중 발코니 단부에서 실족하여 2.8m 아래 지상 5층 발코니 슬라브 단부로 추락하여 사망"/>
    <s v="외부 치장벽돌 줄눈작업 상태를 확인하던 중 안전난간이 설치되지 않은 슬라브 단부에서 몸의 중심을 잃고 추락"/>
    <s v="▶ 슬라부 단부 등 추락위험 장소에는 안전난간 설치_x000a_▶ 마감작업으로 인해 안전난간의 설치가 곤란할 경우 안전대 부착설비를 설치하고 안전대 체결 후 작업토록 관리감독"/>
  </r>
  <r>
    <n v="4"/>
    <x v="4"/>
    <x v="10"/>
    <x v="37"/>
    <s v="YES"/>
    <x v="23"/>
    <x v="46"/>
    <s v="해당없음"/>
    <s v="해당없음"/>
    <s v="해당없음"/>
    <s v="2021년 4월경"/>
    <d v="2021-04-01T00:00:00"/>
    <n v="4"/>
    <s v="-"/>
    <x v="2"/>
    <s v="2021년 4월경 OO인테리어 공사 15층 발코니에서 작업에 필요한 자재가 실려 있는 동료작업자의 운반 차량 위치를 파악 하던 중, 몸의 중심을 잃고 발코니 철제난간을 넘어 높이 37m 아래 지상바닥으로 추락하여 사망"/>
    <s v="발코니 난간 외측으로 몸을 내미는 등 불안전한 행동으로 자재운반 차량 위치를 확인하던 중 몸의 중심을 잃고 난간을 넘어 바닥으로 추락"/>
    <s v="▶ 발코니 외측으로 몸을 내미는 등 불안전한 행동을 하지 않도록 근로자 주지 및 관리감독"/>
  </r>
  <r>
    <n v="4"/>
    <x v="4"/>
    <x v="10"/>
    <x v="38"/>
    <s v="YES"/>
    <x v="23"/>
    <x v="46"/>
    <s v="해당없음"/>
    <s v="해당없음"/>
    <s v="해당없음"/>
    <s v="2016년 7월경"/>
    <d v="2016-07-01T00:00:00"/>
    <n v="7"/>
    <s v="혹서기"/>
    <x v="2"/>
    <s v="2016년 7월경 OO신축공사에서 5층 베란다에 서서 4~5층 사이 경사구간 외부 치장벽돌 줄눈작업 상태 등을 확인 중 몸의 중심을 잃고 2.5m 하부 4층 베란다 바닥으로 추락하여 사망"/>
    <s v="외부 치장벽돌 줄눈작업 상태를 확인하던 중 안전난간이 설치되지 않은 슬라브 단부에서 몸의 중심을 잃고 추락"/>
    <s v="▶ 슬라부 단부 등 추락위험 장소에는 안전난간 설치_x000a_▶ 마감작업으로 인해 안전난간의 설치가 곤란할 경우 안전대 부착설비를 설치하고 안전대 체결 후 작업토록 관리감독"/>
  </r>
  <r>
    <n v="4"/>
    <x v="4"/>
    <x v="10"/>
    <x v="15"/>
    <s v="YES"/>
    <x v="23"/>
    <x v="46"/>
    <s v="해당없음"/>
    <s v="해당없음"/>
    <s v="해당없음"/>
    <s v="2016년 3월경"/>
    <d v="2016-03-01T00:00:00"/>
    <n v="3"/>
    <s v="-"/>
    <x v="2"/>
    <s v="2016년 3월경 OO신축공사에서 코어부 17층 상판 할석작업을 위하여 이동하던 중 16층 코어부 복도 단부와 ACS폼 하부발판 사이에 발생된 틈(길이:2m×폭:60cm)사이로 빠져 13층 콘크리트 바닥(H≒9.3m)으로 추락하여 사망"/>
    <s v="할석작업을 위하여 코어부 통로(복도)를 지나 ACS폼 하부발판쪽으로 이동하던 중 코어부 통로 단부와 ACS폼 하부발판(*슬라이딩 발판이 열려있었음) 사이에 발생된 틈(개구부)사이로 떨어짐"/>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
  </r>
  <r>
    <n v="4"/>
    <x v="4"/>
    <x v="10"/>
    <x v="15"/>
    <s v="YES"/>
    <x v="23"/>
    <x v="46"/>
    <s v="해당없음"/>
    <s v="해당없음"/>
    <s v="해당없음"/>
    <s v="2017년 2월경"/>
    <d v="2017-02-01T00:00:00"/>
    <n v="2"/>
    <s v="혹한기"/>
    <x v="2"/>
    <s v="2017년 2월경 OO신축공사에서 옥탑 지붕에서 바닥 미장 작업 중 몸의 중심을 잃고 옥상 콘크리트 바닥으로 추락(H≒2.9m)하여 사망"/>
    <s v="콘크리트 타설후 미장작업 중 안전난간이 설치되지 않은 슬라브 단부에서 몸의 중심을 잃고 추락"/>
    <s v="▶ 슬라부 단부 등 추락위험 장소에는 안전난간 설치_x000a_▶ 마감작업으로 인해 안전난간의 설치가 곤란할 경우 안전대 부착설비를 설치하고 안전대 체결 후 작업토록 관리감독"/>
  </r>
  <r>
    <n v="4"/>
    <x v="4"/>
    <x v="10"/>
    <x v="15"/>
    <s v="YES"/>
    <x v="23"/>
    <x v="46"/>
    <s v="해당없음"/>
    <s v="해당없음"/>
    <s v="해당없음"/>
    <s v="2017년 5월경"/>
    <d v="2017-05-01T00:00:00"/>
    <n v="5"/>
    <s v="-"/>
    <x v="2"/>
    <s v="2017년 5월경 OO신축공사에서 계단실에 위치한 PS실 출입용 방화문 문틀 몰탈사춤작업 중 PS실 내부로 추락하여(높이 : 약 5.9m) 사망"/>
    <s v="계단실에 위치한 PS실 출입용 방화문 문틀 몰탈사춤작업 중 재해자가 PS실 내부개구부로 떨어짐"/>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_x000a_▶ 추락방지망 또는 안전난간 설치가 어려운 경우, 안전대 부착설비를 설치하고 안전대 체결 후 작업토록 관리감독"/>
  </r>
  <r>
    <n v="4"/>
    <x v="4"/>
    <x v="10"/>
    <x v="15"/>
    <s v="YES"/>
    <x v="23"/>
    <x v="46"/>
    <s v="해당없음"/>
    <s v="해당없음"/>
    <s v="해당없음"/>
    <s v="2017년 12월"/>
    <d v="2017-12-01T00:00:00"/>
    <n v="12"/>
    <s v="혹한기"/>
    <x v="2"/>
    <s v="2017년 12월경 OO조성공사에서 쇠손을 사용하여 2층 바닥미장 작업 중 슬래브 단부에서 5m 아래 지상1층 콘크리트 바닥으로 추락하여 사망"/>
    <s v="콘크리트 타설후 미장작업 중 안전난간이 설치되지 않은 슬라브 단부에서 몸의 중심을 잃고 추락"/>
    <s v="▶ 슬라부 단부 등 추락위험 장소에는 안전난간 설치_x000a_▶ 마감작업으로 인해 안전난간의 설치가 곤란할 경우 안전대 부착설비를 설치하고 안전대 체결 후 작업토록 관리감독"/>
  </r>
  <r>
    <n v="4"/>
    <x v="4"/>
    <x v="10"/>
    <x v="15"/>
    <s v="YES"/>
    <x v="23"/>
    <x v="46"/>
    <s v="해당없음"/>
    <s v="해당없음"/>
    <s v="해당없음"/>
    <s v="2018년 9월경"/>
    <d v="2018-09-01T00:00:00"/>
    <n v="9"/>
    <s v="-"/>
    <x v="2"/>
    <s v="2018년 9월경 OO보수공사에서 옥상 난간 밖 배수로 방수를 위해 미장작업 중 배수로(폭 690mm)에서 몸의 중심을 잃고 바닥으로 추락하여(H≒14m) 사망"/>
    <s v="작업발판이 설치되지 않은 옥상 난간 밖 단부에서 배수로 미장작업을 하던 중 중심을 잃고 추락"/>
    <s v="▶ 옥상의 단부 등 근로자 추락 위험이 있는 장소에서 작업 시 비계 조립 등의 방법으로 작업발판 설치_x000a_▶ 작업발판 설치가 곤란할 경우 추락방지를 위해 안전대 부착설비 설치 및 안전대 착용"/>
  </r>
  <r>
    <n v="4"/>
    <x v="4"/>
    <x v="11"/>
    <x v="16"/>
    <s v="YES"/>
    <x v="23"/>
    <x v="46"/>
    <s v="해당없음"/>
    <s v="해당없음"/>
    <s v="해당없음"/>
    <s v="2015년 9월경"/>
    <d v="2015-09-01T00:00:00"/>
    <n v="9"/>
    <s v="-"/>
    <x v="2"/>
    <s v="2015년 9월경 OO(주) OO초 옥상 방수공사 현장에서 재해자가 옥상 난간대 외측의 방수 작업을 위해 시트를 부착하던 중 실족하여 지상 1층 콘크리트 바닥으로 떨어져(H≒13.9m) 사망"/>
    <s v="추락방지조치 없이 옥상 난간대 외측의 방수 작업을 위해 시트를 부착하던 중 실족하여 지상 1층 콘크리트 바닥으로 추락"/>
    <s v="▶ 추락위험이 있는 장소에서 작업 시 단부에 안전난간 설치 등 추락방호조치 실시_x000a_▶ 안전난간의 설치가 곤란하거나 임시로 안전난간을 해체할 경우 추락방호망 설치_x000a_▶ 높이 2m 이상의 추락위험장소에서 작업 시 안전대 부착설비 설치 및 안전대 착용"/>
  </r>
  <r>
    <n v="4"/>
    <x v="4"/>
    <x v="11"/>
    <x v="16"/>
    <s v="YES"/>
    <x v="23"/>
    <x v="46"/>
    <s v="해당없음"/>
    <s v="해당없음"/>
    <s v="해당없음"/>
    <s v="2016년 6월경"/>
    <d v="2016-06-01T00:00:00"/>
    <n v="6"/>
    <s v="혹서기"/>
    <x v="2"/>
    <s v="2016년 6월경 OO(주) 옥상 방수공사 통합발주 현장에서 재해자(방수공)가 옥상바닥에 방수작업을 하던 중 옥상 파라펫에 다리가 걸려 높이 4.2m 아래 지상바닥으로 떨어져 사망(추정)"/>
    <s v="옥상바닥에 방수작업 중 옥상 파라펫에 다리가 걸려 근로자 추락"/>
    <s v="▶ 추락위험이 있는 장소에서 작업 시 안전난간 등 설치_x000a_▶ 안전난간 설치가 곤란할 경우 안전방망 설치"/>
  </r>
  <r>
    <n v="4"/>
    <x v="4"/>
    <x v="11"/>
    <x v="16"/>
    <s v="YES"/>
    <x v="23"/>
    <x v="46"/>
    <s v="해당없음"/>
    <s v="해당없음"/>
    <s v="해당없음"/>
    <s v="2016년 12월"/>
    <d v="2016-12-01T00:00:00"/>
    <n v="12"/>
    <s v="혹한기"/>
    <x v="2"/>
    <s v="2016년 12월경 단독주택 신축공사 현장에서 재해자(미장공)이 옥탑 지붕의 일부 구간 방수 작업을 진행하던 중, 옥탑 지붕 슬라브 단부에서 실족하여 높이 2.9M 아래 옥상 콘크리트 슬래브 바닥으로 추락하여 사망"/>
    <s v="지붕위에서 별도의 작업발판을 설치하지 않고, 안전대 체결도 하지 않은 상태로 방수 등 작업을 진행 중 미끄러지며 바닥으로 추락"/>
    <s v="▶ 지붕 단부 등 추락위험이 있는 장소에는 안전난간 설치_x000a_▶ 지붕 상부에 안전난간을 설치할 수 없는 경우 지붕 외부에 쌍줄비계를 사용한 형태의 안전난간 설치_x000a_▶ 근로자는 그네식 안전대 착용 및 충분한 강도를 가진 고정지점에 설치된 안전대 걸이용 로프 또는 안전블럭에 안전대 체결"/>
  </r>
  <r>
    <n v="4"/>
    <x v="4"/>
    <x v="11"/>
    <x v="16"/>
    <s v="YES"/>
    <x v="23"/>
    <x v="46"/>
    <s v="해당없음"/>
    <s v="해당없음"/>
    <s v="해당없음"/>
    <s v="2017년 3월경"/>
    <d v="2017-03-01T00:00:00"/>
    <n v="3"/>
    <s v="-"/>
    <x v="2"/>
    <s v="2017년 3월경 ㈜OO에서 시공 중인 OO 아파트 신축공사 현장에서 협력업체 소속 재해자가 엘리베이터실 옥탑 방수 작업 중 캐노피 상부에서 추락(H≒5.4m)하여 사망"/>
    <s v="옥상(옥탑) 단부에서 방수작업 중 안전난간이 미 설치된 단부로 근로자가 몸의 중심을 잃고 추락"/>
    <s v="▶ 슬래브의 단부 등 추락위험이 있는 장소에는 안전난간 등 방호조치 실시_x000a_▶ 높이 2m 이상에서 작업 시 추락방지를 위해 안전대 부착설비 설치 및 안전대 착용"/>
  </r>
  <r>
    <n v="4"/>
    <x v="4"/>
    <x v="11"/>
    <x v="16"/>
    <s v="YES"/>
    <x v="23"/>
    <x v="46"/>
    <s v="해당없음"/>
    <s v="해당없음"/>
    <s v="해당없음"/>
    <s v="2017년 9월경"/>
    <d v="2017-09-01T00:00:00"/>
    <n v="9"/>
    <s v="-"/>
    <x v="2"/>
    <s v="2017년 9월경 ㈜OO 다세대 신축공사 현장에서 원청 소속의 재해자가 지붕층 바닥 방수작업 후 옥상 바닥의 몰탈 더미 위로 내려오던 중 미끄러지며 건물 밖의 지상바닥으로 떨어져(H≒14.0m) 사망"/>
    <s v="지붕층 바닥 방수작업 후 이동통로 미설치된 상태에서 옥상 바닥의 몰탈 더미 위로 내려오던 중 근로자가 미끄러지면서 바닥으로 추락"/>
    <s v="▶ 작업장으로 통하는 장소 또는 작업장내에 통로의 주요 부분에 통로표시로 안전한 통행 보장_x000a_▶ 작업여건에 의해 후속작업이 영향을 받은 경우 무리한 작업진행 지양_x000a_▶ 추락위험이 있는 장소에서 작업 시 안전난간 및 수직형 추락방망 설치_x000a_▶ 안전난간의 설치 시 상배난간대, 중간난간대, 발끝막이판 및 난간기둥으로 구성하여 설치"/>
  </r>
  <r>
    <n v="4"/>
    <x v="4"/>
    <x v="11"/>
    <x v="16"/>
    <s v="YES"/>
    <x v="23"/>
    <x v="46"/>
    <s v="해당없음"/>
    <s v="해당없음"/>
    <s v="해당없음"/>
    <s v="2017년 11월"/>
    <d v="2017-11-01T00:00:00"/>
    <n v="11"/>
    <s v="-"/>
    <x v="2"/>
    <s v="2017년 11월경 OO초 옥상 방수공사 현장에서 OO 본사 소속인 재해자가 같은 회사 대표이사와 함께 공사 착공 전 현장답사를 진행하던 중 옥탑층 바닥 방수공사 면적의 실측을 위해 옥탑층 슬라브 단부에서 레이저측정기를 이용하여 거리를 측정하던 중 실족하여 높이 약 10m 아래의 지면으로 추락하여 사망"/>
    <s v="공사 착공 전 현장답사를 진행하던 중 추락방지조치 없이 옥탑층 바닥 방수공사 면적의 실측을 위해 옥탑층 슬라브 단부에서 레이저 측정기를 이용하여 거리를 측정하던 중 실족하여 근로자 추락"/>
    <s v="▶ 옥상 바닥 단부 등 개구부 주변에서 이동 및 작업 시 방수턱 부위에 안전난간 지주 설치 후 안전난간 설치_x000a_▶ 공사 착공 이전의 현장답사 시 이동통로를 확보하고 해당 작업자에게 개인보호구 지급 및 안전대 부착설비에 안전대 체결 후 작업"/>
  </r>
  <r>
    <n v="4"/>
    <x v="4"/>
    <x v="11"/>
    <x v="16"/>
    <s v="YES"/>
    <x v="23"/>
    <x v="46"/>
    <s v="해당없음"/>
    <s v="해당없음"/>
    <s v="해당없음"/>
    <s v="2018년 3월경"/>
    <d v="2018-03-01T00:00:00"/>
    <n v="3"/>
    <s v="-"/>
    <x v="2"/>
    <s v="2018년 3월경 ㈜OO 아파트 현장에서 재해자(방수공)가 아파트 126동(지상30층) 옥상 단부에서 액체 방수작업 중 안전난간이 미설치된 옥상 단부에서 몸의 중심을 잃고 높이 약84m 아래로 떨어져 사망"/>
    <s v="옥상(옥탑) 단부에서 방수작업 중 안전난간이 미 설치된 단부로 근로자가 몸의 중심을 잃고 추락"/>
    <s v="▶ 슬래브의 단부 등 추락위험이 있는 장소에는 안전난간 등 방호조치 실시_x000a_▶ 높이 2m 이상에서 작업 시 추락방지를 위해 안전대 부착설비 설치 및 안전대 착용"/>
  </r>
  <r>
    <n v="4"/>
    <x v="4"/>
    <x v="11"/>
    <x v="16"/>
    <s v="YES"/>
    <x v="23"/>
    <x v="46"/>
    <s v="해당없음"/>
    <s v="해당없음"/>
    <s v="해당없음"/>
    <s v="2018년 11월"/>
    <d v="2018-11-01T00:00:00"/>
    <n v="11"/>
    <s v="-"/>
    <x v="2"/>
    <s v="2018년 11월경 아파트 옥상박공지붕 방수공사 현장에서 20층 옥상에서 박공지붕 방수작업을 하던 재해자가 옥상 우측면 단부 방향으로 뒷걸음으로 이동하며 작업 중 우측면 단부 턱에 걸려 뒤로 넘어져 지상1층 바닥으로 떨어져(H≒53.3m) 사망 "/>
    <s v="아파트 옥상지붕의 방수작업 중 작업공간을 이동하는 과정에서 구조물 등에 걸려 중심을 잃고 근로자 추락"/>
    <s v="▶ 지붕 경사로의 통행과 단부에서의 작업 시 추락위험이 있는 장소에서는 단부에 안전난간을 설치하는 등 방호조치 선행 후 작업 실시_x000a_▶ 추락 위험이 있는 높이 2m 이상의 장소에서 작업 시 안전대 부착설비 설치 및 안전대 착용"/>
  </r>
  <r>
    <n v="4"/>
    <x v="4"/>
    <x v="11"/>
    <x v="16"/>
    <s v="YES"/>
    <x v="23"/>
    <x v="46"/>
    <s v="해당없음"/>
    <s v="해당없음"/>
    <s v="해당없음"/>
    <s v="2019년 6월경"/>
    <d v="2019-06-01T00:00:00"/>
    <n v="6"/>
    <s v="혹서기"/>
    <x v="2"/>
    <s v="2019년 6월경 OO(주) 옥상에서 재해자가 건물 누수 방지 작업을 위해 “흉벽”과 “옥탑과 흉벽 사이에 설치 된 구조물(이하 블록)” 위에 올라가 코킹작업을 하던 중 중심을 잃고 지상1층(높이≒8.7m)으로 떨어져 사망"/>
    <s v="추락방지 조치를 하지 않은 상태로 건물 누수 방지 작업을 위해 흉벽과 옥탑 사이에 설치된 구조물 위에 올라가 코킹작업 중 중심을 잃고 근로자 추락"/>
    <s v="▶ 추락위험이 있는 장소에서 작업 시 안전난간 등 설치_x000a_▶ 안전난간 설치가 곤란할 경우 안전방망 설치"/>
  </r>
  <r>
    <n v="4"/>
    <x v="4"/>
    <x v="11"/>
    <x v="16"/>
    <s v="YES"/>
    <x v="23"/>
    <x v="46"/>
    <s v="해당없음"/>
    <s v="해당없음"/>
    <s v="해당없음"/>
    <s v="2020년 10월"/>
    <d v="2020-10-01T00:00:00"/>
    <n v="10"/>
    <s v="-"/>
    <x v="2"/>
    <s v="2020년 10월경 ㈜OO이 시공하는 OO 신축공사 현장에서 재해자(방수공)가 지상 1층 옥외 테라스 바닥 아스팔트 복합방수 작업을 하던 중, 슬래브 단부에서 약 4.1m 아래 지하 1층 바닥으로 추락하여 사망"/>
    <s v="옥상(옥탑) 단부에서 방수작업 중 안전난간이 미 설치된 단부로 근로자가 몸의 중심을 잃고 추락"/>
    <s v="▶ 슬래브의 단부 등 추락위험이 있는 장소에는 안전난간 등 방호조치 실시_x000a_▶ 높이 2m 이상에서 작업 시 추락방지를 위해 안전대 부착설비 설치 및 안전대 착용"/>
  </r>
  <r>
    <n v="4"/>
    <x v="4"/>
    <x v="38"/>
    <x v="78"/>
    <s v="YES"/>
    <x v="23"/>
    <x v="46"/>
    <s v="해당없음"/>
    <s v="해당없음"/>
    <s v="해당없음"/>
    <s v="2020년 12월"/>
    <d v="2020-12-01T00:00:00"/>
    <n v="12"/>
    <s v="혹한기"/>
    <x v="2"/>
    <s v="2020년 12월경 OO주상복합 신축공사 현장에서, 재해자가 지상 5층 엘리베이터 수직 개구부(E/V shaft)를 통해 외벽 마감용 석재를 전달받아 옮기는 작업 중, E/V 전실 슬래브 단부로 몸의 중심이 넘어가며 지상 3층 바닥으로 추락(H≒6m)하여 사망"/>
    <s v="베란다(발코니) 타일시공을 위해 마닥에 먹매김 작업 후 일어나던 중 몸의 중심을 잃고 안전난간이 해체된 발코니 단부를 통해 바닥으로 추락"/>
    <s v="▶ 추락할 위험이 있는 슬라브 단부에는 안전난간을 견고하게 설치하고 작업여건 상 안전난간 설치가 어려운 경우에는 추락방호망 설치 및 안전대 체결 후 작업_x000a_▶ 외벽마감 등 작업을 위해 안전난간을 일시 해체한 경우 접근통제 조치하고 해당작업이 완료되는 즉시 안전난간 재설치 "/>
  </r>
  <r>
    <n v="4"/>
    <x v="4"/>
    <x v="38"/>
    <x v="100"/>
    <s v="YES"/>
    <x v="23"/>
    <x v="46"/>
    <s v="해당없음"/>
    <s v="해당없음"/>
    <s v="해당없음"/>
    <s v="2020년 6월경"/>
    <d v="2020-06-01T00:00:00"/>
    <n v="6"/>
    <s v="혹서기"/>
    <x v="2"/>
    <s v="2020년 6월경 OO공동주택 신축공사 현장에서 베란다 타일설치를 위해 재해자와 동료작업자가 지상 5층 베란다 좌우에서 앉아 바닥에 먹매김 작업 후 후속작업을 위해 일어나면서 베란다 단부에서 중심을 잃고 지상바닥으로 추락하여(H≒11.5m) 사망"/>
    <s v="베란다(발코니) 타일시공을 위해 마닥에 먹매김 작업 후 일어나던 중 몸의 중심을 잃고 안전난간이 해체된 발코니 단부를 통해 바닥으로 추락"/>
    <s v="▶ 추락할 위험이 있는 슬라브 단부에는 안전난간을 견고하게 설치하고 작업여건 상 안전난간 설치가 어려운 경우에는 추락방호망 설치 및 안전대 체결 후 작업_x000a_▶ 외벽마감 등 작업을 위해 안전난간을 일시 해체한 경우 접근통제 조치하고 해당작업이 완료되는 즉시 안전난간 재설치 "/>
  </r>
  <r>
    <n v="4"/>
    <x v="4"/>
    <x v="21"/>
    <x v="39"/>
    <s v="YES"/>
    <x v="23"/>
    <x v="46"/>
    <s v="해당없음"/>
    <s v="해당없음"/>
    <s v="해당없음"/>
    <s v="2016년 10월"/>
    <d v="2016-10-01T00:00:00"/>
    <n v="10"/>
    <s v="-"/>
    <x v="2"/>
    <s v="2016년 10월경 개인이 시공하는 근린생활시설 신축공사현장에서 재해자가 3층 발코니의 콘크리트 난간(폭30CM) 턱 위에 서서 상부 보 도장작업 중 몸의 균형을 잃고 8.1M 아래 지상 콘크리트 바닥으로 추락하여 사망"/>
    <s v="발코니에서 천정부위 도장작업 중 몸의 균형을 잃고 안전난간이 설치되지 않은 발코니 단부로 추락"/>
    <s v="▶ 슬라부 단부 등 추락위험 장소에는 안전난간 설치_x000a_▶ 마감작업으로 인해 안전난간의 설치가 곤란할 경우 안전대 부착설비를 설치하고 안전대 체결 후 작업토록 관리감독"/>
  </r>
  <r>
    <n v="4"/>
    <x v="4"/>
    <x v="21"/>
    <x v="40"/>
    <s v="YES"/>
    <x v="23"/>
    <x v="46"/>
    <s v="해당없음"/>
    <s v="해당없음"/>
    <s v="해당없음"/>
    <s v="2019년 9월경"/>
    <d v="2019-09-01T00:00:00"/>
    <n v="9"/>
    <s v="-"/>
    <x v="2"/>
    <s v="2019년 9월경 OO아파트 내·외벽균열 보수 및 재도장 공사에서 단지 내 외벽, 유리창 물청소 작업을 하기 위하여 달비계와 로프 등을 설치하던 중 약 54M 아래 지상1층으로 추락하여 사망"/>
    <s v="옥상에서 외벽, 유리창 물청소 작업을 하기 위하여 달비계와 로프 등을 설치하던 중지상1층으로 추락"/>
    <s v="▶ 추락위험 장소에는 안전난간, 추락방호망 설치 등 추락방지조치 철저_x000a_▶ 안전난간의 설치가 곤란할 경우 안전대 부착설비를 설치하고 안전대 체결 후 작업토록 관리감독"/>
  </r>
  <r>
    <n v="4"/>
    <x v="4"/>
    <x v="21"/>
    <x v="40"/>
    <s v="YES"/>
    <x v="23"/>
    <x v="46"/>
    <s v="해당없음"/>
    <s v="해당없음"/>
    <s v="해당없음"/>
    <s v="2019년 10월"/>
    <d v="2019-10-01T00:00:00"/>
    <n v="10"/>
    <s v="-"/>
    <x v="2"/>
    <s v="2019년 10월경 OO아파트 균열보수 및 재도장 현장 건물옥상에서, 재해자가 환기구 위쪽으로 에어리스 도료 호스를 넘기다가 중심을 잃고 옥상 단부에서 실족하여 호스를 붙잡고 공중에 매달렸으나 추락(H≒24m)하여 사망"/>
    <s v="환기구 위쪽으로 에어리스 도료 호스를 넘기다가 중심을 잃고 옥상 단부에서 실족하여 추락"/>
    <s v="▶ 추락위험 장소에는 안전난간, 추락방호망 설치 등 추락방지조치 철저_x000a_▶ 안전난간의 설치가 곤란할 경우 안전대 부착설비를 설치하고 안전대 체결 후 작업토록 관리감독"/>
  </r>
  <r>
    <n v="4"/>
    <x v="4"/>
    <x v="21"/>
    <x v="40"/>
    <s v="YES"/>
    <x v="23"/>
    <x v="46"/>
    <s v="해당없음"/>
    <s v="해당없음"/>
    <s v="해당없음"/>
    <s v="2021년 4월경"/>
    <d v="2021-04-01T00:00:00"/>
    <n v="4"/>
    <s v="-"/>
    <x v="2"/>
    <s v="2021년 4월경 외벽 도장공사 현장 옥탑 상부에서 외벽도장 작업 준비 중이던 재해자가 몸의 균형을 잃고 1층 바닥(H≒13.8m)으로 추락하여 사망"/>
    <s v="옥탑 상부에서 외벽도장 작업 준비 중이던 재해자가 몸의 균형을 잃고 1층 바닥(H≒13.8m)으로 떨어져"/>
    <s v="▶ 추락위험 장소에는 안전난간, 추락방호망 설치 등 추락방지조치 철저_x000a_▶ 안전난간의 설치가 곤란할 경우 안전대 부착설비를 설치하고 안전대 체결 후 작업토록 관리감독"/>
  </r>
  <r>
    <n v="4"/>
    <x v="4"/>
    <x v="12"/>
    <x v="18"/>
    <s v="YES"/>
    <x v="23"/>
    <x v="46"/>
    <s v="해당없음"/>
    <s v="해당없음"/>
    <s v="해당없음"/>
    <s v="2016년 2월경"/>
    <d v="2016-02-01T00:00:00"/>
    <n v="2"/>
    <s v="혹한기"/>
    <x v="2"/>
    <s v="2016년 2월경 OO건설 공사현장에서 재해자가 환기덕트 급기 내부(지하1층)에서 수직승강용 고정식 사다리 설치를 위한 작업 준비 중 슬라브 단부 개구부를 통해 약 13m 아래의 바닥(지하2층)으로 떨어져 사망"/>
    <s v="안전난간이 미설치된 바닥 개구부 인근에서 이동 중 근로자가 몸의 중심을 잃고 바닥 개구부로 추락"/>
    <s v="▶ 추락의 위험이 있는 장소에서 작업 시 안전난간대, 추락방지망 설치 등의 안전방호조치_x000a_▶ 안전방호조치가 현장 여건 상 어려울 경우, 안전대 부착설비는 반드시 설치_x000a_▶ 근로자의 개인보호구 지급 및 착용상태 점검 철저"/>
  </r>
  <r>
    <n v="4"/>
    <x v="4"/>
    <x v="12"/>
    <x v="18"/>
    <s v="YES"/>
    <x v="23"/>
    <x v="46"/>
    <s v="해당없음"/>
    <s v="해당없음"/>
    <s v="해당없음"/>
    <s v="2016년 2월경"/>
    <d v="2016-02-01T00:00:00"/>
    <n v="2"/>
    <s v="혹한기"/>
    <x v="2"/>
    <s v="2016년 2월경 OO공장내 부스틴 CAPA(Capacity) 증설공사 현장내에서 재해자가 자재 출입구를 막아 놓은 대형천막이 낡고, 일부 찢어져 교체하는 작업 중에 돌풍으로 대형천막이 펄럭이면서 천막 끝단부 우측을 잡고 있던 재해자가 지상에서 상승(수직거리 약 10m, 수평거리 약 4.5m)후 천막을 잡고 있던 손이 미끄러지면서 아스팔트 바닥으로 떨어져 사망"/>
    <s v="출입구에 설치된 천막 교체작업 중 천막 끝단부를 잡고 있던 재해자가 순간 돌풍에 의해 천막과 함께 공중으로 솟구친 후 바닥으로 추락 "/>
    <s v="▶ 비․눈․바람 또는 그 밖의 기상상태의 불안정으로 근로자가 위험해질 우려가 있는 경우 작업중지_x000a_▶ 근로자의 개인보호구 지급 및 착용상태 점검 철저"/>
  </r>
  <r>
    <n v="4"/>
    <x v="4"/>
    <x v="12"/>
    <x v="18"/>
    <s v="YES"/>
    <x v="23"/>
    <x v="46"/>
    <s v="해당없음"/>
    <s v="해당없음"/>
    <s v="해당없음"/>
    <s v="2016년 7월경"/>
    <d v="2016-07-01T00:00:00"/>
    <n v="7"/>
    <s v="혹서기"/>
    <x v="2"/>
    <s v="2016년 7월경 OO물류센터 신축공사 현장에서 재해자가 안전난간에 기대어 PC기둥에 하지철물 설치를 위한 수평위치 표시 작업중 난간기둥이 재해자의 하중을 견디지 못하고 탈락되면서 재해자가 지하 1층 바닥으로 추락하여(약 11.1m) 사망"/>
    <s v="슬라브 단부에서 안전난간에 기대어 하지철물의 설치위치를 표시하던 중 재해자의 하중을 견디지 못하고 안전난간이 탈락하면서 추락"/>
    <s v="▶ 슬래브 단부 등 추락의 위험이 있는 장소에 안전난간과 추락방호망을 설치하여 불시에 안전난간이 탈락할 시, 근로자의 추락을 방지하도록 2중 안전방호조치를 실시_x000a_▶ 설계 도면 상, 슬래브 단부에 안전난간 설치가 필요할 경우, PC 보 제작단계에서 안전난간 기둥을 삽입할 수 있는 구멍을 내거나 슬래브 Con'c 타설 시, 난간기둥을 삽입할 수 있는 앵커 철물 등의 지지대를 설치하는 등 안전 난간대가 구조적으로 안전하게 시공되도록 조치"/>
  </r>
  <r>
    <n v="4"/>
    <x v="4"/>
    <x v="12"/>
    <x v="18"/>
    <s v="YES"/>
    <x v="23"/>
    <x v="46"/>
    <s v="해당없음"/>
    <s v="해당없음"/>
    <s v="해당없음"/>
    <s v="2017년 1월경"/>
    <d v="2017-01-01T00:00:00"/>
    <n v="1"/>
    <s v="혹한기"/>
    <x v="2"/>
    <s v="2017년 1월경 도시형생활주택 현장에서 재해자가 거실창호 외부에 철제 난간 설치작업 중 몸의 중심을 잃고 바닥으로 추락하여 (약 5.7m) 사망"/>
    <s v="창호외부의 난간 설치작업 중 앵커볼트 재시공을 위해 난간을 조정하다가 난간이 이탈하면서 재해자가 함께 추락     "/>
    <s v="▶ 추락의 위험이 있는 장소에서 작업 시 안전난간대, 추락방지망 설치 등의 안전방호조치_x000a_▶ 안전방호조치가 현장 여건 상 어려울 경우, 안전대 부착설비는 반드시 설치_x000a_▶ 근로자의 개인보호구 지급 및 착용상태 점검 철저"/>
  </r>
  <r>
    <n v="4"/>
    <x v="4"/>
    <x v="22"/>
    <x v="41"/>
    <s v="YES"/>
    <x v="23"/>
    <x v="46"/>
    <s v="해당없음"/>
    <s v="해당없음"/>
    <s v="해당없음"/>
    <s v="2017년 1월경"/>
    <d v="2017-01-01T00:00:00"/>
    <n v="1"/>
    <s v="혹한기"/>
    <x v="2"/>
    <s v="2017년 1월경 외부 창호공사 현장에서, 협력업체 소속 재해자가 당 현장내 5층 (후면)창호공사 과정에서 유리 고정을 위한 실리콘 작업 후 건물 외측 난간벽(Parapet) 상단부로 이동 중 난간벽 상단부(H=19.3m)에서 아래 지상 1층 콘크리트 바닥으로 추락"/>
    <s v="눈과 얼음이 쌓인 외측 난간벽(폭 30cm) 상단으로 작업구간을 이동하던 중 미끄러짐에 의해 난간벽 단부로 추락"/>
    <s v="▶ 추락할 위험이 있는 장소에서 작업 또는 이동 시 안전대 부착설비를 설치하고 안전대를 체결 후 작업토록 관리감독_x000a_▶ 편리하고 안전하게 통행할 수 있는 작업통로 설치"/>
  </r>
  <r>
    <n v="4"/>
    <x v="4"/>
    <x v="13"/>
    <x v="42"/>
    <s v="YES"/>
    <x v="23"/>
    <x v="46"/>
    <s v="해당없음"/>
    <s v="해당없음"/>
    <s v="해당없음"/>
    <s v="2016년 4월경"/>
    <d v="2016-04-01T00:00:00"/>
    <n v="4"/>
    <s v="-"/>
    <x v="2"/>
    <s v="2016년 4월경 OO건설 공사현장에서 재해자 등 3명이 비산먼지 방지용 가시설을 설치하는 과정에서 천장받침대(경량철골천장틀) 상부로 올라가 천장마감재(루바)에 천장보양재를 깔기 위해 이동 중 점검용 개구부(H=7m)로 떨어져 사망"/>
    <s v="개구부 덮개가 고정되지 않은 바닥의 개구부를 통해 근로자 추락"/>
    <s v="▶ 추락 위험장소(슬래브 단부 등)에서 작업 시 외부 비계 조립 등 폭 40cm 이상의 작업발판 설치 및 단부 구간에 안전난간 등 추락방지용 안전시설물을 견고하게 설치_x000a_▶ 안전난간 설치 시 지름 2.7cm 이상의 금속제 파이프나 그 이상 강도의 재료 사용하며 구조적으로 가장 취약한 지점에서 가장 취약한 방향으로 작용하는 100kg 이상의 하중에 견딜 수 있는 구조로 설치_x000a_▶ 슬래브 단부 등에 작업발판 및 안전난간 설치가 곤란한 경우 근로자 추락방지를 위해 추락방지망 설치 또는 안전대 부착설비 설치 및 안전대 체결"/>
  </r>
  <r>
    <n v="4"/>
    <x v="4"/>
    <x v="13"/>
    <x v="42"/>
    <s v="YES"/>
    <x v="23"/>
    <x v="46"/>
    <s v="해당없음"/>
    <s v="해당없음"/>
    <s v="해당없음"/>
    <s v="2021년 6월경"/>
    <d v="2021-06-01T00:00:00"/>
    <n v="6"/>
    <s v="혹서기"/>
    <x v="2"/>
    <s v="2021년 6월경 아파트형 공장 212호 실내 인테리어 공사 현장에서 재해자(일용직)가 천장 패널 설치 중 바닥(H≒3.5m)으로 떨어져 사망"/>
    <s v="천장 마감재 설치작업 중 밟고 있던 마감재의 한쪽 고정부가 파단되면서 재해자가 바닥으로 추락 "/>
    <s v="▶ 추락 위험장소(슬래브 단부 등)에서 작업 시 외부 비계 조립 등 폭 40cm 이상의 작업발판 설치 및 단부 구간에 안전난간 등 추락방지용 안전시설물을 견고하게 설치_x000a_▶ 안전난간 설치 시 지름 2.7cm 이상의 금속제 파이프나 그 이상 강도의 재료 사용하며 구조적으로 가장 취약한 지점에서 가장 취약한 방향으로 작용하는 100kg 이상의 하중에 견딜 수 있는 구조로 설치_x000a_▶ 슬래브 단부 등에 작업발판 및 안전난간 설치가 곤란한 경우 근로자 추락방지를 위해 추락방지망 설치 또는 안전대 부착설비 설치 및 안전대 체결"/>
  </r>
  <r>
    <n v="4"/>
    <x v="4"/>
    <x v="13"/>
    <x v="42"/>
    <s v="YES"/>
    <x v="23"/>
    <x v="46"/>
    <s v="해당없음"/>
    <s v="해당없음"/>
    <s v="해당없음"/>
    <s v="2021년 9월경"/>
    <d v="2021-09-01T00:00:00"/>
    <n v="9"/>
    <s v="-"/>
    <x v="2"/>
    <s v="2021년 9월경 OO디자인 OO인테리어 공사 현장에서 재해자(목공)가 2층 바닥 단부에서 벽체설치를 위한 기준선표시 작업 중 1층 바닥(H≒2.5m)으로 떨어져 사망"/>
    <s v="슬래브 단부에서 작업 중 발을 헛디뎌 안전난간이 설치되지 않은 단부로 추락"/>
    <s v="▶ 추락 위험장소(슬래브 단부 등)에서 작업 시 외부 비계 조립 등 폭 40cm 이상의 작업발판 설치 및 단부 구간에 안전난간 등 추락방지용 안전시설물을 견고하게 설치_x000a_▶ 안전난간 설치 시 지름 2.7cm 이상의 금속제 파이프나 그 이상 강도의 재료 사용하며 구조적으로 가장 취약한 지점에서 가장 취약한 방향으로 작용하는 100kg 이상의 하중에 견딜 수 있는 구조로 설치_x000a_▶ 슬래브 단부 등에 작업발판 및 안전난간 설치가 곤란한 경우 근로자 추락방지를 위해 추락방지망 설치 또는 안전대 부착설비 설치 및 안전대 체결"/>
  </r>
  <r>
    <n v="4"/>
    <x v="4"/>
    <x v="14"/>
    <x v="43"/>
    <s v="YES"/>
    <x v="23"/>
    <x v="46"/>
    <s v="해당없음"/>
    <s v="해당없음"/>
    <s v="해당없음"/>
    <s v="2019년 1월경"/>
    <d v="2019-01-01T00:00:00"/>
    <n v="1"/>
    <s v="혹한기"/>
    <x v="2"/>
    <s v="2019년 1월경 OO건설 지식산업센터 신축공사 현장에서 재해자가 지상8층 바닥에서 판넬(3,240mm×1,020mm, 48.6kg)을 윈치와 연결된 공구(바이스 플라이어 및 로프)에 고정하기 위해 운반하던 중, 안전난간이 임시로 해체된 슬라브 단부에서 몸의 중심을 잃고, 지상1층 바닥(H≒40m)으로 떨어져 사망"/>
    <s v="손수레에 담긴 시멘트 벽돌을 윈치를 이용하여 4층 자재 인양 개구부로 인양하여 건물 내부로 옮기던 중 중심을 잃고 개구부로 근로자 추락"/>
    <s v="▶ 조적작업을 위해 시멘트 벽돌을 건물 각 층 자재인양 개구부를 통해 반입 시 하이랜더 등의 건설 인양장비 사용 및 내부 엘리베이터를 통해 소운반_x000a_▶ 추락위험이 있는 작업발판 및 통로의 끝이나 개구부에는 안전난간 등 설치_x000a_▶ 인양작업용 양중기는 훅 걸이용 줄걸이가 벗겨지는 것을 방지하기 위한 해지장치 설치"/>
  </r>
  <r>
    <n v="4"/>
    <x v="4"/>
    <x v="14"/>
    <x v="20"/>
    <s v="YES"/>
    <x v="23"/>
    <x v="46"/>
    <s v="해당없음"/>
    <s v="해당없음"/>
    <s v="해당없음"/>
    <s v="2016년 3월경"/>
    <d v="2016-03-01T00:00:00"/>
    <n v="3"/>
    <s v="-"/>
    <x v="2"/>
    <s v="2016년 3월경 다세대주택(지상5층) 확장공사 현장에서 재해자가 옥상 요철부위 외부 보위에서 실측작업중 몸의중심을 잃고 약14m 아래 지사1층 바닥으로 떨어져 사망"/>
    <s v="옥상 구조물 상부에서 작업 중 발을 헛디뎌 바닥으로 추락"/>
    <s v="▶ 추락 위험장소(슬래브 단부 등)에 근로자 이동 또는 작업 시 외부 비계 조립 등 폭 40cm 이상의 작업발판 설치 및 단부 구간에 안전난간 등 추락방지용 안전시설물을 견고하게 설치_x000a_▶ 안전난간 설치 시 지름 2.7cm 이상의 금속제 파이프나 그 이상 강도의 재료 사용하며 구조적으로 가장 취약한 지점에서 가장 취약한 방향으로 작용하는 100kg 이상의 하중에 견딜 수 있는 구조로 설치_x000a_▶ 슬래브 단부 등에 작업발판 및 안전난간 설치가 곤란한 경우 근로자 추락방지를 위해 추락방지망 설치 또는 안전대 부착설비 설치 및 안전대 체결 관리_x000a_▶ 건물 외측의 작업이 필요한 경우 내측에서 몸을 내밀어 작업하는 방식을 지양하고, 고소작업대 또는 달비계 등을 이용하여 작업하도록 관리감독_x000a_▶ 마감재 해체 작업 시, 패널 등 마감재를 해체한 후 지지대를 해체하는 순서로 작업을 계획하여 불시의 마감재 낙하 등의 사고를 예방"/>
  </r>
  <r>
    <n v="4"/>
    <x v="4"/>
    <x v="14"/>
    <x v="20"/>
    <s v="YES"/>
    <x v="23"/>
    <x v="46"/>
    <s v="해당없음"/>
    <s v="해당없음"/>
    <s v="해당없음"/>
    <s v="2016년 12월"/>
    <d v="2016-12-01T00:00:00"/>
    <n v="12"/>
    <s v="혹한기"/>
    <x v="2"/>
    <s v="2016년 12월경 ㈜OO 증축공사 현장에서 재해자와 동료작업자 2명이 공장동(라동) 2층 중간 슬래브 강재판넬 설치 중 슬래브 단부 개구부로 떨어져(H≒11m) 사망"/>
    <s v="철골구조조물 상부에서 바닥재 설치 작업 중 바닥재가 설치되지 않은 개구부를 인지하지 못하고 발을 헛디뎌 추락"/>
    <s v="▶ 추락 위험장소(슬래브 단부 등)에 근로자 이동 또는 작업 시 외부 비계 조립 등 폭 40cm 이상의 작업발판 설치 및 단부 구간에 안전난간 등 추락방지용 안전시설물을 견고하게 설치_x000a_▶ 안전난간 설치 시 지름 2.7cm 이상의 금속제 파이프나 그 이상 강도의 재료 사용하며 구조적으로 가장 취약한 지점에서 가장 취약한 방향으로 작용하는 100kg 이상의 하중에 견딜 수 있는 구조로 설치_x000a_▶ 슬래브 단부 등에 작업발판 및 안전난간 설치가 곤란한 경우 근로자 추락방지를 위해 추락방지망 설치 또는 안전대 부착설비 설치 및 안전대 체결 관리_x000a_▶ 건물 외측의 작업이 필요한 경우 내측에서 몸을 내밀어 작업하는 방식을 지양하고, 고소작업대 또는 달비계 등을 이용하여 작업하도록 관리감독_x000a_▶ 마감재 해체 작업 시, 패널 등 마감재를 해체한 후 지지대를 해체하는 순서로 작업을 계획하여 불시의 마감재 낙하 등의 사고를 예방"/>
  </r>
  <r>
    <n v="4"/>
    <x v="4"/>
    <x v="14"/>
    <x v="20"/>
    <s v="YES"/>
    <x v="23"/>
    <x v="46"/>
    <s v="해당없음"/>
    <s v="해당없음"/>
    <s v="해당없음"/>
    <s v="2017년 3월경"/>
    <d v="2017-03-01T00:00:00"/>
    <n v="3"/>
    <s v="-"/>
    <x v="2"/>
    <s v="2017년 3월경 개인이 시공하는 단독주택 신축공사 현장에서, 재해자(판넬공)가 옥상층 난간 외측으로 넘어가 실리콘 작업을 하던 중, 중심을 잃고 약 12m아래 지상 바닥으로 떨어져 사망"/>
    <s v="옥상 구조물 상부에서 작업 중 발을 헛디뎌 바닥으로 추락"/>
    <s v="▶ 추락 위험장소(슬래브 단부 등)에 근로자 이동 또는 작업 시 외부 비계 조립 등 폭 40cm 이상의 작업발판 설치 및 단부 구간에 안전난간 등 추락방지용 안전시설물을 견고하게 설치_x000a_▶ 안전난간 설치 시 지름 2.7cm 이상의 금속제 파이프나 그 이상 강도의 재료 사용하며 구조적으로 가장 취약한 지점에서 가장 취약한 방향으로 작용하는 100kg 이상의 하중에 견딜 수 있는 구조로 설치_x000a_▶ 슬래브 단부 등에 작업발판 및 안전난간 설치가 곤란한 경우 근로자 추락방지를 위해 추락방지망 설치 또는 안전대 부착설비 설치 및 안전대 체결 관리_x000a_▶ 건물 외측의 작업이 필요한 경우 내측에서 몸을 내밀어 작업하는 방식을 지양하고, 고소작업대 또는 달비계 등을 이용하여 작업하도록 관리감독_x000a_▶ 마감재 해체 작업 시, 패널 등 마감재를 해체한 후 지지대를 해체하는 순서로 작업을 계획하여 불시의 마감재 낙하 등의 사고를 예방"/>
  </r>
  <r>
    <n v="4"/>
    <x v="4"/>
    <x v="14"/>
    <x v="20"/>
    <s v="YES"/>
    <x v="23"/>
    <x v="46"/>
    <s v="해당없음"/>
    <s v="해당없음"/>
    <s v="해당없음"/>
    <s v="2018년 7월경"/>
    <d v="2018-07-01T00:00:00"/>
    <n v="7"/>
    <s v="혹서기"/>
    <x v="2"/>
    <s v="2018년 7월경 ㈜OO건설에서 시공하는 OO공장 신축공사 현장에서 재해자(판넬공)가 옥상 파라펫 내부 자재인 샌드위치 판넬을 설치하기 위하여 운반 작업중, 옥상 슬라브 단부에서 약 8.3m 아래 콘크리트 바닥으로 추락하여 사망"/>
    <s v="옥상 슬래브 단부에서 자재 운반작업 중 발을 헛디뎌 안전난간이 설치되지 않은 단부로 추락"/>
    <s v="▶ 추락 위험장소(슬래브 단부 등)에 근로자 이동 또는 작업 시 외부 비계 조립 등 폭 40cm 이상의 작업발판 설치 및 단부 구간에 안전난간 등 추락방지용 안전시설물을 견고하게 설치_x000a_▶ 안전난간 설치 시 지름 2.7cm 이상의 금속제 파이프나 그 이상 강도의 재료 사용하며 구조적으로 가장 취약한 지점에서 가장 취약한 방향으로 작용하는 100kg 이상의 하중에 견딜 수 있는 구조로 설치_x000a_▶ 슬래브 단부 등에 작업발판 및 안전난간 설치가 곤란한 경우 근로자 추락방지를 위해 추락방지망 설치 또는 안전대 부착설비 설치 및 안전대 체결 관리_x000a_▶ 건물 외측의 작업이 필요한 경우 내측에서 몸을 내밀어 작업하는 방식을 지양하고, 고소작업대 또는 달비계 등을 이용하여 작업하도록 관리감독_x000a_▶ 마감재 해체 작업 시, 패널 등 마감재를 해체한 후 지지대를 해체하는 순서로 작업을 계획하여 불시의 마감재 낙하 등의 사고를 예방"/>
  </r>
  <r>
    <n v="4"/>
    <x v="4"/>
    <x v="14"/>
    <x v="20"/>
    <s v="YES"/>
    <x v="23"/>
    <x v="46"/>
    <s v="해당없음"/>
    <s v="해당없음"/>
    <s v="해당없음"/>
    <s v="2019년 11월"/>
    <d v="2019-11-01T00:00:00"/>
    <n v="11"/>
    <s v="-"/>
    <x v="2"/>
    <s v="2019년 11월경 OO건설의 OO강 하천환경정비사업 작업장인 OO교 현장에서 하청업체 일용근로자인 재해자가 교량상부 자전거 도로용 데크브라켓 설치작업 중 작업대 철거를 위해 교량에 설치된 작업대를 들어내리던 중 중량 약30kg의 작업대와 함께 4m높이의 교량에서 교량하부제방 바닥면으로 추락하여 사망"/>
    <s v="철거를 위해 작업대를 교량하부로 밀어 떨어뜨리던 중 작업대에 작업복이 끼이면서 함께 추락  "/>
    <s v="▶ 작업대 등 가시설 운반 시 이동식 크레인 등의 건설 기계장비를 사용하고, 근로자가 추락할 위험이 있는 단부 구간 등에는 안전난간, 추락방지망 등의 안전시설물을 설치하여 근로자 추락 방지 조치_x000a_▶ 안전난간 설치 시 지름 2.7cm 이상의 금속제 파이프나 그 이상 강도의 재료 사용하며 구조적으로 가장 취약한 지점에서 가장 취약한 방향으로 작용하는 100kg 이상의 하중에 견딜 수 있는 구조로 설치_x000a_▶ 근로자는 되도록 지정된 통로로 이동하게 관리하여 추락 위험 구간에는 출입을 통제하고, 부득이하게 해당 구간에서 작업할 경우 안전대 부착설비 설치 및 안전대 체결하여 작업 진행"/>
  </r>
  <r>
    <n v="4"/>
    <x v="4"/>
    <x v="14"/>
    <x v="20"/>
    <s v="YES"/>
    <x v="23"/>
    <x v="46"/>
    <s v="해당없음"/>
    <s v="해당없음"/>
    <s v="해당없음"/>
    <s v="2020년 2월경"/>
    <d v="2020-02-01T00:00:00"/>
    <n v="2"/>
    <s v="혹한기"/>
    <x v="2"/>
    <s v="2020년 2월경 ㈜OO이 시공하는 공장신축공사현장에서 재해자(판넬공)가 2층 벽체에 부착된 창틀을 밟고 외벽 판넬을 설치하는 작업을 한 후, 창틀에서 내려오다가 2층 슬래브에서 1층 바닥으로 떨어져(h=3.8m) 사망(추정)"/>
    <s v="창틀에서 작업 후 슬래브로 내려오던 중 슬래브 단부에 설치된 안전네트에 발이 걸린 후 몸위 중심을 잃고 바닥으로 추락"/>
    <s v="▶ 추락 위험장소(슬래브 단부 등)에 근로자 이동 또는 작업 시 외부 비계 조립 등 폭 40cm 이상의 작업발판 설치 및 단부 구간에 안전난간 등 추락방지용 안전시설물을 견고하게 설치_x000a_▶ 안전난간 설치 시 지름 2.7cm 이상의 금속제 파이프나 그 이상 강도의 재료 사용하며 구조적으로 가장 취약한 지점에서 가장 취약한 방향으로 작용하는 100kg 이상의 하중에 견딜 수 있는 구조로 설치_x000a_▶ 슬래브 단부 등에 작업발판 및 안전난간 설치가 곤란한 경우 근로자 추락방지를 위해 추락방지망 설치 또는 안전대 부착설비 설치 및 안전대 체결 관리_x000a_▶ 건물 외측의 작업이 필요한 경우 내측에서 몸을 내밀어 작업하는 방식을 지양하고, 고소작업대 또는 달비계 등을 이용하여 작업하도록 관리감독_x000a_▶ 마감재 해체 작업 시, 패널 등 마감재를 해체한 후 지지대를 해체하는 순서로 작업을 계획하여 불시의 마감재 낙하 등의 사고를 예방"/>
  </r>
  <r>
    <n v="4"/>
    <x v="4"/>
    <x v="14"/>
    <x v="20"/>
    <s v="YES"/>
    <x v="23"/>
    <x v="46"/>
    <s v="해당없음"/>
    <s v="해당없음"/>
    <s v="해당없음"/>
    <s v="2020년 9월경"/>
    <d v="2020-09-01T00:00:00"/>
    <n v="9"/>
    <s v="-"/>
    <x v="2"/>
    <s v="2020년 9월경 OO(주)  OO연구원 신축공사 현장에서 협력업체 소속의 재해자(패널공)가 지상 3층 슬래브 단부에서 철골기둥에 외벽 샌드위치패널 고정용 하지철물(C형강)의 하부위치를 조정하던 중, 몸의 균형을 잃고 약 7m 아래 가설울타리 기둥(강관파이프)으로 떨어져 사망"/>
    <s v="슬래브 단부에서 작업 중 발을 헛디뎌 단부로 추락"/>
    <s v="▶ 추락 위험장소(슬래브 단부 등)에 근로자 이동 또는 작업 시 외부 비계 조립 등 폭 40cm 이상의 작업발판 설치 및 단부 구간에 안전난간 등 추락방지용 안전시설물을 견고하게 설치_x000a_▶ 안전난간 설치 시 지름 2.7cm 이상의 금속제 파이프나 그 이상 강도의 재료 사용하며 구조적으로 가장 취약한 지점에서 가장 취약한 방향으로 작용하는 100kg 이상의 하중에 견딜 수 있는 구조로 설치_x000a_▶ 슬래브 단부 등에 작업발판 및 안전난간 설치가 곤란한 경우 근로자 추락방지를 위해 추락방지망 설치 또는 안전대 부착설비 설치 및 안전대 체결 관리_x000a_▶ 건물 외측의 작업이 필요한 경우 내측에서 몸을 내밀어 작업하는 방식을 지양하고, 고소작업대 또는 달비계 등을 이용하여 작업하도록 관리감독_x000a_▶ 마감재 해체 작업 시, 패널 등 마감재를 해체한 후 지지대를 해체하는 순서로 작업을 계획하여 불시의 마감재 낙하 등의 사고를 예방"/>
  </r>
  <r>
    <n v="5"/>
    <x v="5"/>
    <x v="15"/>
    <x v="46"/>
    <s v="YES"/>
    <x v="23"/>
    <x v="46"/>
    <s v="해당없음"/>
    <s v="해당없음"/>
    <s v="해당없음"/>
    <s v="2020년 10월"/>
    <d v="2020-10-01T00:00:00"/>
    <n v="10"/>
    <s v="-"/>
    <x v="2"/>
    <s v="2020년 10월경 OO공사에서 도로 갓길에 정차한 교통차단차량 보조석에 탑승해 있던 재해자가 작업차량으로 옮겨타기 위해 차에서 내리던 중 교량 하부로 추락하여(H≒51m) 사망"/>
    <s v="갓길에 정차한 동료작업자의 교통차단차량 보조석에서 차량을 옮겨 타기 위해 내리던 중 교량 하부로 추락"/>
    <s v="▶ 추락 위험이 없는 안전한 장소에서의 하차를 위한 차량 회수 경로 계획_x000a_▶ 부득이한 교량 하차의 경우, 안전한 방법으로 하차를 하기 위한 관리 및 감독 실시"/>
  </r>
  <r>
    <n v="5"/>
    <x v="5"/>
    <x v="16"/>
    <x v="23"/>
    <s v="YES"/>
    <x v="23"/>
    <x v="46"/>
    <s v="해당없음"/>
    <s v="해당없음"/>
    <s v="해당없음"/>
    <s v="2019년 8월경"/>
    <d v="2019-08-01T00:00:00"/>
    <n v="8"/>
    <s v="혹서기"/>
    <x v="2"/>
    <s v="2019년 8월경, OOO도 OO시 OO 소재 ㈜OOOO에서 시공하는「OOOO 교체공사」현장에서 재해자가 OO 남측에 위치한 콘크리트 구조물 상부에서 해수 양수용 동력분무기를 점검하던 중 구조물 단부에서 떨어져 당일 17:45경 약 100m 떨어진 해상에서 사망한 채 발견된 것으로 추정되는 재해임_x000d_"/>
    <s v="콘크리트 구조물 상부에서 해수 양수용 동력분무기 점검 중 구조물 단부에서 근로자 추락"/>
    <s v="▶ 구조물 단부와 같이 추락 위험이 있는 장소에는 안전난간, 울타리 등 추락방지 조치 실시_x000a_▶ 해상과 인접한 구조물 상부에서 작업시에는 물에 빠지는 등의 위험에 대비하여 구명의 지급 및 착용 관리 철저 "/>
  </r>
  <r>
    <n v="6"/>
    <x v="6"/>
    <x v="17"/>
    <x v="24"/>
    <s v="YES"/>
    <x v="23"/>
    <x v="46"/>
    <s v="해당없음"/>
    <s v="해당없음"/>
    <s v="해당없음"/>
    <s v="2016년 6월경"/>
    <d v="2016-06-01T00:00:00"/>
    <n v="6"/>
    <s v="혹서기"/>
    <x v="2"/>
    <s v="2016년 6월경 주택마당에서 재해자가 잔디를 심던 중 마당 단부에서 3m 아래 바닥으로 추락하여 사망"/>
    <s v="마당에서 잔디를 식재하던 근로자가 마당 단부에서 지면으로 추락"/>
    <s v="▶ 추락 우려가 있는 곳에 안전난간을 설치 또는 접근금지 휀스 설치_x000a_▶ 개인 보호구 지급 및 착용 철저"/>
  </r>
  <r>
    <n v="1"/>
    <x v="8"/>
    <x v="19"/>
    <x v="27"/>
    <s v="YES"/>
    <x v="24"/>
    <x v="47"/>
    <s v="해당없음"/>
    <s v="해당없음"/>
    <s v="해당없음"/>
    <s v="2021년 12월"/>
    <d v="2021-12-01T00:00:00"/>
    <n v="12"/>
    <s v="혹한기"/>
    <x v="0"/>
    <s v="2021년 12월경 OO공사에서 재해자 등이 옹벽 거푸집 설치작업을 하던 중 절토 법면 상부(h≒8m)에서 낙하한 토석에 맞아 1명 사망 및 1명 부상"/>
    <s v="옹벽 거푸집 설치작업 중 절토 법면 상부에서 낙하한 토석에 맞음"/>
    <s v="▶ 작업 전 작업장 주변 위험요인 사전조사 및 돌 제거_x000a_▶ 작업장 주변 법면 상부 등에 쌓아둔 돌이 사면 아래로 굴러 떨어지는 위험상황을 사전에 관리하고 해당 작업을 안전하게 수행하는 관리감독자 배치"/>
  </r>
  <r>
    <n v="1"/>
    <x v="8"/>
    <x v="28"/>
    <x v="57"/>
    <s v="YES"/>
    <x v="24"/>
    <x v="47"/>
    <s v="해당없음"/>
    <s v="해당없음"/>
    <s v="해당없음"/>
    <s v="2017년 2월경"/>
    <d v="2017-02-01T00:00:00"/>
    <n v="2"/>
    <s v="혹한기"/>
    <x v="0"/>
    <s v="2017년 2월경 빌딩 신축공사 현장에서 재해자가 흙막이가시설 상단에서 약 12m 아래로 떨어지는 토석에 머리를 맞아 사망"/>
    <s v="흙막이가시설 상단에서 약 12m 아래로 떨어지는 토석에 머리를 맞음"/>
    <s v="▶ 흙막이가시설 해체작업구간 낙하에 의한 위험방지를 위해 토질에 따른 적정 기울기를 확보하여 적치하며 성토재 사면에서 낙하 위험이 있는 토석 제거_x000a_▶ 낙하물 위험구간 작업반경내 근로자 출입 통제 실시"/>
  </r>
  <r>
    <n v="1"/>
    <x v="8"/>
    <x v="29"/>
    <x v="60"/>
    <s v="YES"/>
    <x v="24"/>
    <x v="47"/>
    <s v="해당없음"/>
    <s v="해당없음"/>
    <s v="해당없음"/>
    <s v="2021년 5월경"/>
    <d v="2021-05-01T00:00:00"/>
    <n v="5"/>
    <s v="-"/>
    <x v="1"/>
    <s v="2021년 5월경 주택재개발 정비사업 현장에서 재해자는 동료작업자와 아파트 지하구조물 되메우기 작업 전에 작업지시에 따라 지하 바닥면에 대한 청소작업을 실시하던 중, 지하 바닥면으로 부터 약 7m 높이의 굴착상부에서 되메우기 작업을 하던 굴착기가 떨어뜨린 암석에 깔려 사망"/>
    <s v="굴착상부에서 되메우기 작업을 하던 굴착기가 떨어뜨린 암석에 깔림"/>
    <s v="▶ 작업 전 작업장 주변 위험요인 사전조사 및 위험상황 작업자 공유_x000a_▶ 낙하물 위험구간 상하 동시 작업 금지"/>
  </r>
  <r>
    <n v="1"/>
    <x v="8"/>
    <x v="48"/>
    <x v="108"/>
    <s v="YES"/>
    <x v="24"/>
    <x v="47"/>
    <s v="해당없음"/>
    <s v="해당없음"/>
    <s v="해당없음"/>
    <s v="2018년 3월경"/>
    <d v="2018-03-01T00:00:00"/>
    <n v="3"/>
    <s v="-"/>
    <x v="0"/>
    <s v="2018년 3월경 채석장에서 재해자가 발파 후 발생한 암석을 덤프트럭에 상차 하기 위해 80미터 떨어진 굴착기에서 대기하던 중 발파작업시 발생한 암석(11kg)이 날아와 운전석에 앉아있던 재해자의 가슴을 가격하여 사망"/>
    <s v="발파 암처리(상차작업)를 위해 굴삭기에 탑승하여 대기하던 중 발파 작업으로 발생한 암석이 날아와 굴삭기 운전석에 앉아 있던 재해자의 가슴부위를 가격"/>
    <s v="▶ 발파작업 시 비산석의 위험이 있는 지점까지 출입금지구역 설정 및 출입제한 철저_x000a_▶ 발파작업 시 위험구역 내 별도의 근로자 피난장소 설치 등 조치"/>
  </r>
  <r>
    <n v="11"/>
    <x v="0"/>
    <x v="1"/>
    <x v="1"/>
    <s v="YES"/>
    <x v="24"/>
    <x v="47"/>
    <s v="해당없음"/>
    <s v="해당없음"/>
    <s v="해당없음"/>
    <s v="2020년 9월경"/>
    <d v="2020-09-01T00:00:00"/>
    <n v="9"/>
    <s v="-"/>
    <x v="7"/>
    <s v="2020년 9월경, OOO도 OO시 소재 OOOO(주) OOOO 기반시설공사 현장에서, 하도급업체 OOOO(주) 소속 재해자 두 명이 오수관로 설치를 위해 굴착저면에서 작업 중 굴착법면 및 조경석이 붕괴되면서 재해자 2명이 매몰되어 1명은 사망하고 1명이 부상한 재해임."/>
    <s v="관로 부설을 위한 굴착 중 굴착사면과 조경석이 무너지면서 근로자 매몰"/>
    <s v="▶ 굴착작업 중 인접 구조물의 전도위험 방지(견고한 지지대 설치 등) 조치 실시_x000a_▶ 기존 구조물 등이 근접해있는 경우 진동 및 충격 등에 의한 사전 안전성평가 실시_x000a_▶ 굴착면의 기울기 기준 준수 및 간이 흙막이 등 설치 _x000a_▶ 굴착작업 주변 지반 사전조사 및 작업계획서 작성"/>
  </r>
  <r>
    <n v="11"/>
    <x v="0"/>
    <x v="1"/>
    <x v="2"/>
    <s v="YES"/>
    <x v="24"/>
    <x v="47"/>
    <s v="해당없음"/>
    <s v="해당없음"/>
    <s v="해당없음"/>
    <s v="2018년 3월경"/>
    <d v="2018-03-01T00:00:00"/>
    <n v="3"/>
    <s v="-"/>
    <x v="2"/>
    <s v="2018년 3월경, OOO도 OO군 소재 ㈜OOOO이 시공하는  OOOO정비사업 현장에서 재해자가 우수관(콘크리트 U관) 설치작업 중 우수관 연결부 이음재료인 모르타르의 비빔에 필요한 물을 긷기 위해 현장에서 약 5m 떨어진 곳에 있는 개울로 양동이를 들고 내려가던 중 몸의 중심을 잃고 높이 약 1.8m 아래 개울로 떨어지면서 그 충격으로 기절한 뒤 익사하여 사망한 재해임. "/>
    <s v="관 연결부 이음재료인 모르타르 비빔을 위해 인근 개울로 물을 뜨러 내려가던 중 개울에 떨어져 익사"/>
    <s v="▶ 작업자가 법면 상부 등으로 불필요한 이동을 금하고 작업자 이동통로 설치_x000a_▶ 근로자가 추락하거나 넘어질 위험이 있는 상부에서 작업 시 안전난간을 설치하고 추락방지조치 실시하고 부득이한 경우 접근방책 등을 설치_x000a_▶ 근로자가 추락하거나 넘어질 위험이 있는 상부에서 작업 시 개인보호구(안전모, 안전대 등) 지급 및 착용"/>
  </r>
  <r>
    <n v="11"/>
    <x v="0"/>
    <x v="1"/>
    <x v="2"/>
    <s v="YES"/>
    <x v="24"/>
    <x v="47"/>
    <s v="해당없음"/>
    <s v="해당없음"/>
    <s v="해당없음"/>
    <s v="2021년 9월경"/>
    <d v="2021-09-01T00:00:00"/>
    <n v="9"/>
    <s v="-"/>
    <x v="7"/>
    <s v="2021년 9월경 OOO도 OO시 OO동 소재 상수도관 신설공사 현장에서 상수도관 매설을 위해 폭 0.7m, 깊이 0.8m로 굴착된 관로에 재해자 2명이 내려가 바닥 평탄화 작업 및 상수도관 매설 작업 중 굴착구간에 인접한 조경석이 굴착된 관로로 무너지며 1명은 사망하고 1명은 부상을 입음."/>
    <s v="관로 부설을 위한 굴착 중 굴착사면과 조경석이 무너지면서 근로자 매몰"/>
    <s v="▶ 굴착작업 중 인접 구조물의 전도위험 방지(견고한 지지대 설치 등) 조치 실시_x000a_▶ 기존 구조물 등이 근접해있는 경우 진동 및 충격 등에 의한 사전 안전성평가 실시_x000a_▶ 굴착면의 기울기 기준 준수 및 간이 흙막이 등 설치 _x000a_▶ 굴착작업 주변 지반 사전조사 및 작업계획서 작성"/>
  </r>
  <r>
    <n v="12"/>
    <x v="1"/>
    <x v="5"/>
    <x v="6"/>
    <s v="YES"/>
    <x v="24"/>
    <x v="47"/>
    <s v="해당없음"/>
    <s v="해당없음"/>
    <s v="해당없음"/>
    <s v="2018년 11월"/>
    <d v="2018-11-01T00:00:00"/>
    <n v="11"/>
    <s v="-"/>
    <x v="5"/>
    <s v="2018년 11월경 OO공사 현장에서 낙동강을 횡단하는 오탁방지막 설치를 위해 가슴장화를 입고 강물 속 바위 위에서 오탁방지막에 연결된 로프를 던지던 중 재해자가 바위에서 미끄러져 익사"/>
    <s v="오탁방지망에 연결된 로프를 던지던 중 바위에서 미끄러져 익사"/>
    <s v="▶ 작업 시 구명장구 비치 및 근로자 구명동의 착용"/>
  </r>
  <r>
    <n v="12"/>
    <x v="1"/>
    <x v="5"/>
    <x v="6"/>
    <s v="YES"/>
    <x v="24"/>
    <x v="47"/>
    <s v="해당없음"/>
    <s v="해당없음"/>
    <s v="해당없음"/>
    <s v="2021년 3월경"/>
    <d v="2021-03-01T00:00:00"/>
    <n v="3"/>
    <s v="-"/>
    <x v="0"/>
    <s v="2021년 3월경 주택단지 내 농지조성을 위한 부지정리 현장에서 재해자가 토사반출용 차량 진출입로 비산먼지 발생방지 및 주변정리 업무하던 중 절토사면 하부에 있다가 낙석에 맞아 사망"/>
    <s v="굴착작업이 완료된 절토사면 하부에 있다가 낙석에 맞음"/>
    <s v="▶ 절토사면 하부에서 작업을 실시할 때 법면 등에 쌓아둔 암석 등이 사면 아래로 굴러 떨어지지 않도록 적정거리 이격_x000a_▶ 작업 전 작업장 주변 위험요인 사전조사 및 제거"/>
  </r>
  <r>
    <n v="4"/>
    <x v="4"/>
    <x v="10"/>
    <x v="15"/>
    <s v="YES"/>
    <x v="24"/>
    <x v="47"/>
    <s v="해당없음"/>
    <s v="해당없음"/>
    <s v="해당없음"/>
    <s v="2016년 9월경"/>
    <d v="2016-09-01T00:00:00"/>
    <n v="9"/>
    <s v="-"/>
    <x v="8"/>
    <s v="2016년 9월경 OO신축공사에서 미장 작업 중 현장 우측 다용도실 앞에 쓰러진 상태로 발견되어 사망"/>
    <s v="외벽 미장작업 중 바닥에 방치되어 있는 벽돌자재를 밟고 넘어지면서 경계석에머리를 부딪힘"/>
    <s v="▶ 작업장소에서 넘어지거나 미끄러지는 등 위험이 없도록 조치 및 정리정돈 철저_x000a_▶ 작업 전 지반상태 확인 후 고르고 평탄하게 정리 후 작업 실시 "/>
  </r>
  <r>
    <n v="5"/>
    <x v="5"/>
    <x v="16"/>
    <x v="23"/>
    <s v="YES"/>
    <x v="24"/>
    <x v="47"/>
    <s v="해당없음"/>
    <s v="해당없음"/>
    <s v="해당없음"/>
    <s v="2019년 3월경"/>
    <d v="2019-03-01T00:00:00"/>
    <n v="3"/>
    <s v="-"/>
    <x v="1"/>
    <s v="2019년 3월경 OOOO(주) OOOO 3층 Flux Bin들 중 석회석 Bin 하부에서 OOOO 소속 재해자 두 명이 Bin 내부 부식상태 확인 및 유지 보수를 위하여 석회석 Bin 하부 절개 작업 중 석회석이 외부로 쏟아지면서 OOO은 중상, OOO은 경상을 입었고, 석회석에 매몰된 재해자(OOO)가 요양 중 사망한 재해 임.  "/>
    <s v="Bin 내부 부식상태 확인 및 유지 보수를 위하여 석회석 Bin 하부 절개 작업 중 석회석이 외부로 쏟아지면서 매몰(깔림)"/>
    <s v="▶ 장비 해체작업시 해체작업 계획서 작성_x000a_   - 해체 구조물에 대한 정보 확인 (도면, 구조검토서 등)_x000a_   - 설비의 해체순서 및 해체방법_x000a_   - 해체시 전도방지 조치 및 보강조치 수립_x000a_   - 탱크 내부 물질 확인"/>
  </r>
  <r>
    <n v="6"/>
    <x v="6"/>
    <x v="17"/>
    <x v="79"/>
    <s v="YES"/>
    <x v="24"/>
    <x v="47"/>
    <s v="해당없음"/>
    <s v="해당없음"/>
    <s v="해당없음"/>
    <s v="2017년 6월경"/>
    <d v="2017-06-01T00:00:00"/>
    <n v="6"/>
    <s v="혹서기"/>
    <x v="0"/>
    <s v="2017년 6월경 댐 설치사업현장에서 재해자가 돌쌓기면 줄눈 몰탈 작업하던 중 우측사면에 위치한 돌이 굴러 떨어져 머리를 가격하여 사망"/>
    <s v="돌쌓기면 줄눈 몰탈 작업을 하던 중 우측 사면에 위치한 돌이 굴러 떨어져 근로자 머리를 가격"/>
    <s v="▶ 작업 전 작업장 주변 위험요인 사전조사 및 돌 제거_x000a_▶ 수로 바닥 돌붙임 작업을 실시할 때 법면 등에 쌓아둔 돌이 사면 아래로 굴러 떨어지는 위험상황을 관리하고 해당 작업을 안전하게 수행하는 관리감독자 배치"/>
  </r>
  <r>
    <n v="6"/>
    <x v="6"/>
    <x v="17"/>
    <x v="79"/>
    <s v="YES"/>
    <x v="24"/>
    <x v="47"/>
    <s v="해당없음"/>
    <s v="해당없음"/>
    <s v="해당없음"/>
    <s v="2017년 10월"/>
    <d v="2017-10-01T00:00:00"/>
    <n v="10"/>
    <s v="-"/>
    <x v="6"/>
    <s v="2017년 10월경 단독주택 신축공사 현장에서 재해자가 석축쌓기 작업을 하던 중 줄걸이 해체작업 중 석축용 돌이 넘어지면서 깔려 사망"/>
    <s v="조경 자연석 쌓기 작업 중 굴삭기 집게로 옮긴 자연석을 놓은 순간 자연석이 전도되면서 작업자 협착"/>
    <s v="▶ 조경용 자연석 설치 작업 사면과 자연석 사이에 사보강재 설치 또는 토사로 뒷채움 등 전도방지 조치 실시_x000a_▶ 해당 작업 구간에 작업자 접근 통제_x000a_▶ 작업 반경 내 근로자가 벗어 난 상태에서 돌 취급용 줄걸이 해체 등 작업 실시"/>
  </r>
  <r>
    <n v="6"/>
    <x v="6"/>
    <x v="17"/>
    <x v="79"/>
    <s v="YES"/>
    <x v="24"/>
    <x v="47"/>
    <s v="해당없음"/>
    <s v="해당없음"/>
    <s v="해당없음"/>
    <s v="2018년 5월경"/>
    <d v="2018-05-01T00:00:00"/>
    <n v="5"/>
    <s v="-"/>
    <x v="6"/>
    <s v="2018년 5월경 아파트 부대토목공사에서 재해자가 조경 자연석 쌓기 작업 중 굴착기 집게로 옮긴 자연석을 놓는 순간 자연석이 전도되면서 협착되어 사망"/>
    <s v="조경 자연석 쌓기 작업 중 굴삭기 집게로 옮긴 자연석을 놓은 순간 자연석이 전도되면서 작업자 협착"/>
    <s v="▶ 조경용 자연석 설치 작업 사면과 자연석 사이에 사보강재 설치 또는 토사로 뒷채움 등 전도방지 조치 실시_x000a_▶ 해당 작업 구간에 작업자 접근 통제_x000a_▶ 작업 반경 내 근로자가 벗어 난 상태에서 돌 취급용 줄걸이 해체 등 작업 실시"/>
  </r>
  <r>
    <n v="6"/>
    <x v="6"/>
    <x v="17"/>
    <x v="79"/>
    <s v="YES"/>
    <x v="24"/>
    <x v="47"/>
    <s v="해당없음"/>
    <s v="해당없음"/>
    <s v="해당없음"/>
    <s v="2019년 3월경"/>
    <d v="2019-03-01T00:00:00"/>
    <n v="3"/>
    <s v="-"/>
    <x v="6"/>
    <s v="2019년 3월경 석재 반출현장에서 재해자가 굴착기의 버킷에 탑승하여 암석분할 작업을 하던 중 암석이 넘어지면서 굴착기의 버킷을 타격하여 6.4m 바닥으로 추락하고 이후 굴러오는 암석에 깔려 2명 사망"/>
    <s v="조경 자연석 쌓기 작업 중 굴삭기 집게로 옮긴 자연석을 놓은 순간 자연석이 전도되면서 작업자 협착"/>
    <s v="▶ 조경용 자연석 설치 작업 사면과 자연석 사이에 사보강재 설치 또는 토사로 뒷채움 등 전도방지 조치 실시_x000a_▶ 해당 작업 구간에 작업자 접근 통제_x000a_▶ 작업 반경 내 근로자가 벗어 난 상태에서 돌 취급용 줄걸이 해체 등 작업 실시"/>
  </r>
  <r>
    <n v="9"/>
    <x v="11"/>
    <x v="41"/>
    <x v="109"/>
    <s v="NO"/>
    <x v="24"/>
    <x v="47"/>
    <s v="해당없음"/>
    <s v="해당없음"/>
    <s v="해당없음"/>
    <s v="2016년 4월경"/>
    <d v="2016-04-01T00:00:00"/>
    <n v="4"/>
    <s v="-"/>
    <x v="0"/>
    <s v="2016년 4월경 도로 건설공사 현장에서 재해자가 터널 막장 측량 마킹작업을 하던 중 막장면에서 암석이 떨어지면서 맞아 사망"/>
    <s v="막장면에서 암석이 떨어지면서 근로자를 강타"/>
    <s v="▶ 낙반부위의 절리상태 및 낙반위치 확인하여 떨어질 암석의 상태 파악_x000a_▶ 터널용 고소작업차(차징카)를 사용하는 등 작업방법을 변경하고 헤드가드 및 전면가드 등을 설치하여 낙반 방지조치 실시_x000a_▶ 낙반 등에 의한 피해 우려시 부석의 제거, 막장면 숏크리트 타설, 굴착공법 변경 등 위험 방지 조치 실시"/>
  </r>
  <r>
    <n v="9"/>
    <x v="11"/>
    <x v="41"/>
    <x v="84"/>
    <s v="NO"/>
    <x v="24"/>
    <x v="47"/>
    <s v="해당없음"/>
    <s v="해당없음"/>
    <s v="해당없음"/>
    <s v="2018년 11월"/>
    <d v="2018-11-01T00:00:00"/>
    <n v="11"/>
    <s v="-"/>
    <x v="0"/>
    <s v="2018년 11월경 고속국도 건설공사에서 재해자가 터널용 고소작업차에 탑승하여 부석제거작업 중 떨어지는 암석에 맞아 사망"/>
    <s v="막장면에서 암석이 떨어지면서 근로자를 강타"/>
    <s v="▶ 터널 지보공 설치작업 시 숏크리트 타설방법 및 두께 관리_x000a_▶ 록볼트 정착재의 적절한 충진여부 확인_x000a_▶ 기계굴착 및 천공작업으로 막장면에 충격이 가해질 경우 막장면 숏크리트 등의 보강대책 적용_x000a_▶ 터널 굴착작업 시 주변 지질 및 지층의 상태 사전조사 실시"/>
  </r>
  <r>
    <n v="9"/>
    <x v="11"/>
    <x v="41"/>
    <x v="84"/>
    <s v="NO"/>
    <x v="24"/>
    <x v="47"/>
    <s v="해당없음"/>
    <s v="해당없음"/>
    <s v="해당없음"/>
    <s v="2020년 4월경"/>
    <d v="2020-04-01T00:00:00"/>
    <n v="4"/>
    <s v="-"/>
    <x v="0"/>
    <s v="2020년 4월경 도로 건설공사에서 재해자가 굴착기로 막장면 부석정리 중 떨어지는 낙반에 맞아 사망"/>
    <s v="막장면에서 암석이 떨어지면서 근로자를 강타"/>
    <s v="▶ 터널 지보공 설치작업 시 숏크리트 타설방법 및 두께 관리_x000a_▶ 록볼트 정착재의 적절한 충진여부 확인_x000a_▶ 기계굴착 및 천공작업으로 막장면에 충격이 가해질 경우 막장면 숏크리트 등의 보강대책 적용_x000a_▶ 터널 굴착작업 시 주변 지질 및 지층의 상태 사전조사 실시"/>
  </r>
  <r>
    <n v="9"/>
    <x v="11"/>
    <x v="41"/>
    <x v="84"/>
    <s v="NO"/>
    <x v="24"/>
    <x v="47"/>
    <s v="해당없음"/>
    <s v="해당없음"/>
    <s v="해당없음"/>
    <s v="2020년 11월"/>
    <d v="2020-11-01T00:00:00"/>
    <n v="11"/>
    <s v="-"/>
    <x v="0"/>
    <s v="2020년 11월경 철도 건설공사에서 재해자가 굴삭기를 이용하여 부석정리작업 중 천단부 부석이 무너져 매몰되어 사망"/>
    <s v="막장면에서 암석이 떨어지면서 근로자를 강타"/>
    <s v="▶ 터널 지보공 설치작업 시 숏크리트 타설방법 및 두께 관리_x000a_▶ 록볼트 정착재의 적절한 충진여부 확인_x000a_▶ 기계굴착 및 천공작업으로 막장면에 충격이 가해질 경우 막장면 숏크리트 등의 보강대책 적용_x000a_▶ 터널 굴착작업 시 주변 지질 및 지층의 상태 사전조사 실시"/>
  </r>
  <r>
    <n v="9"/>
    <x v="11"/>
    <x v="44"/>
    <x v="96"/>
    <s v="NO"/>
    <x v="24"/>
    <x v="47"/>
    <s v="해당없음"/>
    <s v="해당없음"/>
    <s v="해당없음"/>
    <s v="2017년 2월경"/>
    <d v="2017-02-01T00:00:00"/>
    <n v="2"/>
    <s v="혹한기"/>
    <x v="7"/>
    <s v="2017년 2월경 단지 조성공사에서 재해자가 도갱내 강지보재 절단작업을 마치고 이동하던 중 막장면 일부 붕괴로 매몰되어 사망"/>
    <s v="도갱내 강지보재 절단작업 후 밖으로 나온 순간 막장면 일부 붕괴되며 매몰"/>
    <s v="▶ 낙반등에 의해 위험할 경우 구획별 굴착 후 토류공 설치 후 페이스잭으로 지지하여 낙반 등에 의한 위험방지 철저_x000a_▶ 비개착 통로박스 작업시 막장 붕괴에 의한 근로자의 위험을 방지하기 위하여 사전조사 실시_x000a_▶ 지반교란 및 이완 등에 의한 막장면의 붕괴위험시 보강조치 등 사전대응 실시"/>
  </r>
  <r>
    <n v="12"/>
    <x v="1"/>
    <x v="3"/>
    <x v="29"/>
    <s v="YES"/>
    <x v="25"/>
    <x v="48"/>
    <s v="해당없음"/>
    <s v="해당없음"/>
    <s v="해당없음"/>
    <s v="2016년 11월"/>
    <d v="2016-11-01T00:00:00"/>
    <n v="11"/>
    <s v="-"/>
    <x v="2"/>
    <s v="2016년 11월경 OO건설 도시형 다세대주택 신축공사 현장에서 재해자가 지상 5층 E/V PIT 단부에서 쓰레기 마대를 외부로 반출하기 위하여 E/V PIT로 쓰레기 마대를 달기로프로 묶어 내리던 도중 중심을 잃고 기 반출된 쓰레기 마대 적재된 E/V PIT 바닥으로 떨어져 사망"/>
    <s v="안전난간이 미설치된 엘리베이터 피트 개구부로 실족하여 피트 바닥으로 추락함"/>
    <s v="▶ 계단실 등 추락단부 안전난간대 설치 등 추락방호조치 실시_x000a_▶ 근로자 개인보호구, 안전대 체결여부 점검 및 관리감독"/>
  </r>
  <r>
    <n v="12"/>
    <x v="1"/>
    <x v="37"/>
    <x v="75"/>
    <s v="YES"/>
    <x v="25"/>
    <x v="48"/>
    <s v="해당없음"/>
    <s v="해당없음"/>
    <s v="해당없음"/>
    <s v="2018년 8월경"/>
    <d v="2018-08-01T00:00:00"/>
    <n v="8"/>
    <s v="혹서기"/>
    <x v="2"/>
    <s v="2018년 8월경 OO신축공사 현장에서 재해자가 지상1층에 적재된 모래를 지상4층으로 운반하기 위하여 모래질통을 메고 지상3층 계단실을 이동하던 중 엘리베이트 피트 개구부로 추락(H≒8.5m)하여 사망"/>
    <s v="바닥에 적재된 모래를 운반하다 엘리베이터 탑승구에 기대어 휴식하던 중 엘리베이터 피트 개구부로 추락"/>
    <s v="▶ 개구부 등 추락단부 안전난간대 설치 등 추락방호조치 실시_x000a_▶ 현장 내 별도의 휴식공간 제공"/>
  </r>
  <r>
    <n v="12"/>
    <x v="1"/>
    <x v="5"/>
    <x v="6"/>
    <s v="YES"/>
    <x v="25"/>
    <x v="48"/>
    <s v="해당없음"/>
    <s v="해당없음"/>
    <s v="해당없음"/>
    <s v="2020년 9월경"/>
    <d v="2020-09-01T00:00:00"/>
    <n v="9"/>
    <s v="-"/>
    <x v="2"/>
    <s v="2020년 9월경 OO건설(주) OO주택 신축공사 현장에서 동료작업자가 지상 5층 계단실에 있는 각재를 운반하던 중 승강기 피트 개구부 전면에 있던 재해자가 각재를 피하는 과정에서 승강기 피트 내부로 추락(H≒12.9m)하여 사망"/>
    <s v="각재를 운반하던 중 엘리베이터 피트 전면에 있던 재해자가 각재를 피하다 엘리베이터 피트 내부로 추락 "/>
    <s v="▶ 계단실 등 추락단부 안전난간대 설치 등 추락방호조치 실시_x000a_▶ 근로자 개인보호구, 안전대 체결여부 점검 및 관리감독"/>
  </r>
  <r>
    <n v="2"/>
    <x v="2"/>
    <x v="6"/>
    <x v="33"/>
    <s v="YES"/>
    <x v="25"/>
    <x v="48"/>
    <s v="해당없음"/>
    <s v="해당없음"/>
    <s v="해당없음"/>
    <s v="2020년 2월경"/>
    <d v="2020-02-01T00:00:00"/>
    <n v="2"/>
    <s v="혹한기"/>
    <x v="2"/>
    <s v="2020년 2월경 00건설(주)에서 시공하는 다세대주택 신축공사 현장에서재해자가 지상1층 계단실 거푸집 조립작업중 엘리베이터 개구부로 넘어지면서 깊이 약 1.6.m 엘리베이터 핏트로 추락하여 사망"/>
    <s v="추락 방지조치 미실시한 상태에서 지상층 계단실 거푸집 조립작업 중 엘리베이터 개구부로 넘어지면서 엘리베이터 피트로 근로자 추락 "/>
    <s v="▶ 추락위험이 있는 구간에는 추락방호망, 안전난간 설치 또는 및 안전대 착용후 작업_x000a_▶ 엘리베이터 피트 내부에 작업발판 및 추락방지망 설치"/>
  </r>
  <r>
    <n v="2"/>
    <x v="2"/>
    <x v="6"/>
    <x v="33"/>
    <s v="YES"/>
    <x v="25"/>
    <x v="48"/>
    <s v="해당없음"/>
    <s v="해당없음"/>
    <s v="해당없음"/>
    <s v="2020년 10월"/>
    <d v="2020-10-01T00:00:00"/>
    <n v="10"/>
    <s v="-"/>
    <x v="2"/>
    <s v="2020년 10월경 (주)00건설 근린생활시설 신축공사 현장에서 재해자가 지상2층 엘리베이터 피트 벽체거푸집 작업을 하던 중 가설 작업발판 상부에서 바닥으로 추락(H≒2m)하여 사망"/>
    <s v="추락 방지조치 미실시한 상태에서 상부층 엘리베이터 피트 벽체거푸집 작업 중 가설 작업발판 상부에서 바닥으로 근로자 추락 "/>
    <s v="▶ 추락위험이 있는 구간에는 추락방호망, 안전난간 설치 또는 및 안전대 착용후 작업_x000a_▶ 엘리베이터 피트 내부에 작업발판 및 추락방지망 설치"/>
  </r>
  <r>
    <n v="2"/>
    <x v="2"/>
    <x v="7"/>
    <x v="10"/>
    <s v="YES"/>
    <x v="25"/>
    <x v="48"/>
    <s v="해당없음"/>
    <s v="해당없음"/>
    <s v="해당없음"/>
    <s v="2016년 9월경"/>
    <d v="2016-09-01T00:00:00"/>
    <n v="9"/>
    <s v="-"/>
    <x v="2"/>
    <s v="2016년 9월경 OO건설 아파트 및 오피스텔 신축공사 현장에서 재해자가 지상 8층 슬라브의 엘리베이터 피트(PIT)의 노출철근(10mm)을 그라인더를 이용하여 절단작업 중, 몸의 중심을 잃고 절단된 철근사이를 통하여 1층 엘리베이터 피트 바닥(추락거리 23.8m)으로 떨어져 사망"/>
    <s v="안전난간이 설치되지 않은 바닥 개구부 주변 작업 중 근로자 추락"/>
    <s v="▶ 자재 반입구와 같이 개구부로서 떨어질 위험이 있는 경우 안전난간 또는 안전방망과 같이 추락방호시설 설치_x000a_▶ 안전난간 또는 안전방망 설치가 곤란한 경우 안전대 지급 및 안전대를 걸 수 있는 안전대 부착설비 설치"/>
  </r>
  <r>
    <n v="4"/>
    <x v="4"/>
    <x v="10"/>
    <x v="37"/>
    <s v="YES"/>
    <x v="25"/>
    <x v="48"/>
    <s v="해당없음"/>
    <s v="해당없음"/>
    <s v="해당없음"/>
    <s v="2021년 3월경"/>
    <d v="2021-03-01T00:00:00"/>
    <n v="3"/>
    <s v="-"/>
    <x v="2"/>
    <s v="2021년 3월경 OO리모델링 현장에서 윈치를 사용하여 상가건물의 2층과 3층 사이 엘리베이터 피트 개구부를 통해 레미탈 포대를 인양하는 작업 중, 약 8.2m 아래 지하층 바닥으로 추락하여 사망"/>
    <s v="안전대를 체결하지 않은 상태에서 엘리베이터 피트에 설치한 윈치를 이용하여 미장자재를 인양하던 중 몸의 중심을 잃고 추락"/>
    <s v="▶ 근로자가 추락하거나 넘어질 위험이 있는 장소에서 작업 시 비계를 조립하는 등 작업발판을 설치하고 단부에 안전난간 등 방호조치 실시_x000a_▶ 작업발판 설치가 곤란한 경우 근로자에게 안전대를 착용하도록 하고 안전대를 걸어 사용할수 있는 부착설비 등 설치 조치"/>
  </r>
  <r>
    <n v="4"/>
    <x v="4"/>
    <x v="10"/>
    <x v="15"/>
    <s v="YES"/>
    <x v="25"/>
    <x v="48"/>
    <s v="해당없음"/>
    <s v="해당없음"/>
    <s v="해당없음"/>
    <s v="2016년 9월경"/>
    <d v="2016-09-01T00:00:00"/>
    <n v="9"/>
    <s v="-"/>
    <x v="2"/>
    <s v="2016년 9월경 OO신축공사에서 문틀 사춤작업을 위하여 3층에서 4층으로 모래운반구를 사용하여 모래를 운반하고 다시 내려오던 중, 지상3층 엘리베이터 피트 단부에서 몸의 중심을 잃고 추락(H≒7.5m)하여 사망"/>
    <s v="안전대를 체결하지 않은 상태에서 엘리베이터 피트에 설치한 윈치를 이용하여 미장자재를 인양하던 중 몸의 중심을 잃고 추락"/>
    <s v="▶ 근로자가 추락하거나 넘어질 위험이 있는 장소에서 작업 시 비계를 조립하는 등 작업발판을 설치하고 단부에 안전난간 등 방호조치 실시_x000a_▶ 작업발판 설치가 곤란한 경우 근로자에게 안전대를 착용하도록 하고 안전대를 걸어 사용할수 있는 부착설비 등 설치 조치"/>
  </r>
  <r>
    <n v="4"/>
    <x v="4"/>
    <x v="12"/>
    <x v="18"/>
    <s v="YES"/>
    <x v="25"/>
    <x v="48"/>
    <s v="해당없음"/>
    <s v="해당없음"/>
    <s v="해당없음"/>
    <s v="2021년 8월경"/>
    <d v="2021-08-01T00:00:00"/>
    <n v="8"/>
    <s v="혹서기"/>
    <x v="2"/>
    <s v="2021년 8월경 OO공장 신축공사 현장 내 사무동 3층 엘리베이터 피트 앞에서 재해자 2명이 안전난간을 밟고 엘리베이터 출입문 측 내부 판넬을 설치하던 중 안전난간이 하부로 떨어져 내려 작업자들이 중심을 잃고 8m 아래 엘리베이터 피트 바닥으로 추락해 사망"/>
    <s v="엘리베이터피트 개구부에 설치된 안전난간을 밟고 작업하던 중 밟고있던 안전난간이 탈락하면서 몸의 중심을 잃고 개구부로 추락"/>
    <s v="▶ 추락 위험이 있는 장소에 비계조립으로 작업발판 설치_x000a_▶ 작업발판 설치가 곤란할 시 추락방호망 설치 _x000a_▶ 안전대 지급 및 체결"/>
  </r>
  <r>
    <n v="4"/>
    <x v="4"/>
    <x v="12"/>
    <x v="18"/>
    <s v="YES"/>
    <x v="25"/>
    <x v="48"/>
    <s v="해당없음"/>
    <s v="해당없음"/>
    <s v="해당없음"/>
    <s v="2021년 9월경"/>
    <d v="2021-09-01T00:00:00"/>
    <n v="9"/>
    <s v="-"/>
    <x v="2"/>
    <s v="2021년 9월경 OO 신축공사 중 승강기 제작·설치공사에서 재해자가 엘리베이터 피트 내부 매입 철근을 절단하기 위해 철근 상부에 합판을 놓고 전기용접기로 철근을 절단하던 중 합판이 탈락되면서 높이 약 10.2m아래로 추락하여 사망"/>
    <s v="엘리베이터 피트 내부에서 철근 상부에 합판을 두고 그 위에 앉아 철근을 절단하던 중 절단 철근에 걸쳐있던 합판이 기울며 추락"/>
    <s v="▶ 엘리베이터 피트 내 작업발판용 철근제거 작업 시 철근을 하나씩 절단 및 입구방향으로 절단된 철근 이동_x000a_▶ 엘리베이터 피트 등 추락위험이 있는 장소에는 테두리로프 및 달기로프를 사용하여 안전방망 설치 _x000a_▶ 개인보호구 지급 및 착용"/>
  </r>
  <r>
    <n v="4"/>
    <x v="4"/>
    <x v="14"/>
    <x v="20"/>
    <s v="YES"/>
    <x v="25"/>
    <x v="48"/>
    <s v="해당없음"/>
    <s v="해당없음"/>
    <s v="해당없음"/>
    <s v="2018년 3월경"/>
    <d v="2018-03-01T00:00:00"/>
    <n v="3"/>
    <s v="-"/>
    <x v="2"/>
    <s v="2018년 3월경 OO 물류창고 신축공사 현장에서 내·외부 판넬 설치작업 협력업체인 ㈜OO 소속 재해자(판넬공)가 동료작업자 1명과 함께 지상 4층 방화벽 판넬 고정용 철물 설치작업을 하고 이동하던 중 지하 2층 E/V실 하부에 추락하여 사망"/>
    <s v="이동 중 발을 헛디뎌 안전난간이 설치되지 않은 엘리베이터피트 개구부로 추락"/>
    <s v="▶ 근로자가 작업 또는 이동 중 추락할 위험이 있는 장소에는 안전난간대, 추락방지망 설치 등의 안전방호조치 실시_x000a_▶ 작업자의 개인보호구, 안전대 체결여부 점검 및 관리감독"/>
  </r>
  <r>
    <n v="4"/>
    <x v="4"/>
    <x v="14"/>
    <x v="20"/>
    <s v="YES"/>
    <x v="25"/>
    <x v="48"/>
    <s v="해당없음"/>
    <s v="해당없음"/>
    <s v="해당없음"/>
    <s v="2018년 12월"/>
    <d v="2018-12-01T00:00:00"/>
    <n v="12"/>
    <s v="혹한기"/>
    <x v="2"/>
    <s v="2018년 12월경 OO(주) OO공장 증축공사 현장에서 협력업체 ㈜OO 소속 재해자가 지상 3층 승강기 측면부 판넬 마감작업 중 열려있던 승강기 개구부로 추락(H≒18.8m)하여 사망"/>
    <s v="엘리베이터피트 출입구 주변에서 작업 중 발을 헛디뎌 출입문이 개방된 피트 개구부로 추락"/>
    <s v="▶ 근로자가 작업 또는 이동 중 추락할 위험이 있는 장소에는 안전난간대, 추락방지망 설치 등의 안전방호조치 실시_x000a_▶ 작업자의 개인보호구, 안전대 체결여부 점검 및 관리감독"/>
  </r>
  <r>
    <n v="5"/>
    <x v="5"/>
    <x v="15"/>
    <x v="45"/>
    <s v="YES"/>
    <x v="25"/>
    <x v="48"/>
    <s v="해당없음"/>
    <s v="해당없음"/>
    <s v="해당없음"/>
    <s v="2016년 6월경"/>
    <d v="2016-06-01T00:00:00"/>
    <n v="6"/>
    <s v="혹서기"/>
    <x v="2"/>
    <s v="2016년 6월경 OO건설 사옥 신축공사 현장 내 재해자가 지상3층에서 지상8층으로 인상된 케이블을 엘리베이터 피트 8층 외부에 있는 분전함으로 빼내던 중 엘리베이터 개구부용 난간틀이 탈락되며 약 15m 아래로 떨어져 사망"/>
    <s v="현장에서 임의로 만든 개구부 덮개를 밟고 작업중 개구부 덮개가 부서지면서 근로자가 바닥으로 추락함"/>
    <s v="▶ 개구부 발생시 개구부 덮개 설치 및 위험표지 부착 (개구부덮개는 단단한 구조로 제작)_x000a_▶ 개구부 덮개 미설치시 주변 안전난간대 설치"/>
  </r>
  <r>
    <n v="5"/>
    <x v="5"/>
    <x v="16"/>
    <x v="23"/>
    <s v="YES"/>
    <x v="25"/>
    <x v="48"/>
    <s v="해당없음"/>
    <s v="해당없음"/>
    <s v="해당없음"/>
    <s v="2016년 8월경"/>
    <d v="2016-08-01T00:00:00"/>
    <n v="8"/>
    <s v="혹서기"/>
    <x v="2"/>
    <s v="2016년 8월경 OOOO(주) OOOO공장 대수선공사 현장에서 엘리베이터 내부에 컨베이어 설비를 설치하기 위해 재해자와 동료작업자가 1~2층 엘리베이터 내부 벽체에 인테리어용 우레탄 판넬을 설치하는 과정에서 재해자가 판넬 접합부의 실리콘 코킹작업을 하던 중 엘리베이터 피트 바닥으로 떨어져 요양 중 사망한 재해임."/>
    <s v="E/V 내부의 벽체 판넬 접합부의 코킹작업을 하던 중 개구부를 통해 E/V PIT로 추락"/>
    <s v="▶ 추락할 위험이 있는 개구부 근처에서 작업 시, 작업발판의 밀실한 설치, 안전난간 설치 등 개구부 방호조치 실시_x000a_▶ 작업자의 개인보호구, 안전대 체결여부 점검 및 관리감독"/>
  </r>
  <r>
    <n v="5"/>
    <x v="5"/>
    <x v="23"/>
    <x v="47"/>
    <s v="YES"/>
    <x v="25"/>
    <x v="48"/>
    <s v="해당없음"/>
    <s v="해당없음"/>
    <s v="해당없음"/>
    <s v="2016년 2월경"/>
    <d v="2016-02-01T00:00:00"/>
    <n v="2"/>
    <s v="혹한기"/>
    <x v="2"/>
    <s v="2016년 2월경 OO건설의 공장 신축공사 현장에서 재해자가 지상 1층 화물용 엘리베이터 출입문 앞에서 내부 판넬 조정을 위한 준비작업 중 엘리베이터 하부와 지상 1층 바닥 사이 공간(높이 약 80cm, 폭 282cm)으로 실족하여 지하 1층 엘리베이터 피트 바닥(높이 6.2m)으로 떨어져 사망"/>
    <s v="안전난간이 미설치된 바닥 개구부 주변 작업 중 근로자 추락"/>
    <s v="▶ 추락 위험 구간에 작업발판 및 안전난간 설치 또는 추락방지망을 설치하는 등 추락 방지 조치 실시한 후 작업 실시_x000a_▶ 안전난간 등 추락 방지용 안전시설물 설치가 곤란한 경우, 근로자 작업구간에 안전대 부착설비를 견고하게 설치하고 근로자에게 안전대 지급 및 체결여부 점검 관리감독 실시_x000a_▶ E/V 출입문 앞에서 카운터블럭케이스 등 무거운 자재를 인양하는 작업을 할 경우, 리모컨 작동인원 이외의 자재를 운반하는 인원을 2명이상 배치하고, 안전난간 설치, 안전대 부착설비 설치 등 안전방호조치 실시 후 작업진행"/>
  </r>
  <r>
    <n v="5"/>
    <x v="5"/>
    <x v="23"/>
    <x v="47"/>
    <s v="YES"/>
    <x v="25"/>
    <x v="48"/>
    <s v="해당없음"/>
    <s v="해당없음"/>
    <s v="해당없음"/>
    <s v="2017년 5월경"/>
    <d v="2017-05-01T00:00:00"/>
    <n v="5"/>
    <s v="-"/>
    <x v="2"/>
    <s v="2017년 5월경 OO시 OO구 소재한 ㈜OOO OOOO 신축공사 현장에서 협력업체 OOOO(주) 소속 재해자가 지하1층 E/V 홀 전실에 있는 화물용 엘리베이터 카운터블럭케이스를 벽체에 기대어 세워 E/V 홀 내부로 호이스트를 사용하여 옮기던 중 엘리베이터 카운터블럭케이스가 넘어지자 이를 피하려다 E/V 홀 내부 약 8m  아래 콘크리트 바닥으로 떨어져 사망한 재해임."/>
    <s v="엘리베이터 피트 내부에서 자재 및 공구 운반 또는 이동, 설치작업 중 근로자 추락"/>
    <s v="▶ 추락 위험 구간에 작업발판 및 안전난간 설치 또는 추락방지망을 설치하는 등 추락 방지 조치 실시한 후 작업 실시_x000a_▶ 안전난간 등 추락 방지용 안전시설물 설치가 곤란한 경우, 근로자 작업구간에 안전대 부착설비를 견고하게 설치하고 근로자에게 안전대 지급 및 체결여부 점검 관리감독 실시_x000a_▶ 엘리베이터 피트 내부에서 인력으로 자재, 공구를 전달하는 작업방법을 지양하고, 되도록 장비를 사용하여 양중을 실시, 부득이하게 인력 운반 시 안전대 체결 등 관리감독 철저_x000a_▶ E/V 출입문 앞에서 카운터블럭케이스 등 무거운 자재를 인양하는 작업을 할 경우, 리모컨 작동인원 이외의 자재를 운반하는 인원을 2명이상 배치하고, 안전난간 설치, 안전대 부착설비 설치 등 안전방호조치 실시 후 작업진행"/>
  </r>
  <r>
    <n v="5"/>
    <x v="5"/>
    <x v="23"/>
    <x v="47"/>
    <s v="YES"/>
    <x v="25"/>
    <x v="48"/>
    <s v="해당없음"/>
    <s v="해당없음"/>
    <s v="해당없음"/>
    <s v="2019년 10월"/>
    <d v="2019-10-01T00:00:00"/>
    <n v="10"/>
    <s v="-"/>
    <x v="2"/>
    <s v="2019년 10월경, OOO도 OO시 OO읍 소재, OOOO 근생 증축공사현장에서 엘리베이터 자재 양중용 윈치를 승강로 상부(옥탑 철골구간)에 설치하기 위해, 재해자가 승강로 내부(지상4층)에서 강관비계를 이용하여 임시작업대를 설치하던 중, 강관비계 시설물과 함께 약12m바닥으로 떨어져 사망한 재해임."/>
    <s v="엘리베이터 피트 내부에서 자재 및 공구 운반 또는 이동, 설치작업 중 근로자 추락"/>
    <s v="▶ 추락 위험 구간에 작업발판 및 안전난간 설치 또는 추락방지망을 설치하는 등 추락 방지 조치 실시한 후 작업 실시_x000a_▶ 안전난간 등 추락 방지용 안전시설물 설치가 곤란한 경우, 근로자 작업구간에 안전대 부착설비를 견고하게 설치하고 근로자에게 안전대 지급 및 체결여부 점검 관리감독 실시_x000a_▶ 엘리베이터 피트 내부에서 인력으로 자재, 공구를 전달하는 작업방법을 지양하고, 되도록 장비를 사용하여 양중을 실시, 부득이하게 인력 운반 시 안전대 체결 등 관리감독 철저_x000a_▶ E/V 출입문 앞에서 카운터블럭케이스 등 무거운 자재를 인양하는 작업을 할 경우, 리모컨 작동인원 이외의 자재를 운반하는 인원을 2명이상 배치하고, 안전난간 설치, 안전대 부착설비 설치 등 안전방호조치 실시 후 작업진행"/>
  </r>
  <r>
    <n v="5"/>
    <x v="5"/>
    <x v="23"/>
    <x v="47"/>
    <s v="YES"/>
    <x v="25"/>
    <x v="48"/>
    <s v="해당없음"/>
    <s v="해당없음"/>
    <s v="해당없음"/>
    <s v="2019년 12월"/>
    <d v="2019-12-01T00:00:00"/>
    <n v="12"/>
    <s v="혹한기"/>
    <x v="2"/>
    <s v="2019년 12월경, OOO도 OO시 소재 OOOO(주)(발주자)내에서 원청(OOOO(주))의 하청업체인 OOOO(주) 소속 재해자가노후 승강기(엘리베이터) 교체공사 중, 승강로 균형추 프레임 상부에서 카 벽면 판넬 설치작업을 하다 승강로 바닥으로 추락(높이: 15미터)하여 사망함._x000d_"/>
    <s v="엘리베이터 피트 내부에서 자재 및 공구 운반 또는 이동, 설치작업 중 근로자 추락"/>
    <s v="▶ 추락 위험 구간에 작업발판 및 안전난간 설치 또는 추락방지망을 설치하는 등 추락 방지 조치 실시한 후 작업 실시_x000a_▶ 안전난간 등 추락 방지용 안전시설물 설치가 곤란한 경우, 근로자 작업구간에 안전대 부착설비를 견고하게 설치하고 근로자에게 안전대 지급 및 체결여부 점검 관리감독 실시_x000a_▶ 엘리베이터 피트 내부에서 인력으로 자재, 공구를 전달하는 작업방법을 지양하고, 되도록 장비를 사용하여 양중을 실시, 부득이하게 인력 운반 시 안전대 체결 등 관리감독 철저_x000a_▶ E/V 출입문 앞에서 카운터블럭케이스 등 무거운 자재를 인양하는 작업을 할 경우, 리모컨 작동인원 이외의 자재를 운반하는 인원을 2명이상 배치하고, 안전난간 설치, 안전대 부착설비 설치 등 안전방호조치 실시 후 작업진행"/>
  </r>
  <r>
    <n v="5"/>
    <x v="5"/>
    <x v="23"/>
    <x v="47"/>
    <s v="YES"/>
    <x v="25"/>
    <x v="48"/>
    <s v="해당없음"/>
    <s v="해당없음"/>
    <s v="해당없음"/>
    <s v="2021년 12월"/>
    <d v="2021-12-01T00:00:00"/>
    <n v="12"/>
    <s v="혹한기"/>
    <x v="2"/>
    <s v="2021년 12월경 OO도 OO군 소재 OO공장 신축공사 현장에서, 화물용 승강기 피트 내부에서, 이동하던 재해자가 작업발판과 구조물 사이로 떨어져(H≒18m) 병원으로 후송, 치료 중 사망함."/>
    <s v="엘리베이터 피트 내부에서 자재 및 공구 운반 또는 이동, 설치작업 중 근로자 추락"/>
    <s v="▶ 추락 위험 구간에 작업발판 및 안전난간 설치 또는 추락방지망을 설치하는 등 추락 방지 조치 실시한 후 작업 실시_x000a_▶ 안전난간 등 추락 방지용 안전시설물 설치가 곤란한 경우, 근로자 작업구간에 안전대 부착설비를 견고하게 설치하고 근로자에게 안전대 지급 및 체결여부 점검 관리감독 실시_x000a_▶ 엘리베이터 피트 내부에서 인력으로 자재, 공구를 전달하는 작업방법을 지양하고, 되도록 장비를 사용하여 양중을 실시, 부득이하게 인력 운반 시 안전대 체결 등 관리감독 철저_x000a_▶ E/V 출입문 앞에서 카운터블럭케이스 등 무거운 자재를 인양하는 작업을 할 경우, 리모컨 작동인원 이외의 자재를 운반하는 인원을 2명이상 배치하고, 안전난간 설치, 안전대 부착설비 설치 등 안전방호조치 실시 후 작업진행"/>
  </r>
  <r>
    <n v="5"/>
    <x v="5"/>
    <x v="23"/>
    <x v="48"/>
    <s v="YES"/>
    <x v="25"/>
    <x v="48"/>
    <s v="해당없음"/>
    <s v="해당없음"/>
    <s v="해당없음"/>
    <s v="2018년 10월"/>
    <d v="2018-10-01T00:00:00"/>
    <n v="10"/>
    <s v="-"/>
    <x v="2"/>
    <s v="2018년 10월경 OO시 OO구 소재 OOOO(주)에서 시공하는 OOOO아파트 승강기 교체 공사현장에서 하도급업체인 OOOO(주) 소속 OOO이 승강기 교체를 위해 균형추(카운터 웨이트) 체대에 권상용 와이어로프 7본을 연결하는 작업 중 균형추 가이드레일 밖으로 이탈한 로프 1본을 정렬하려다 엘리베이터 피트 바닥으로 떨어져(H≒68m) 119 구급차로 병원에 후송 하였으나 사망한 재해임."/>
    <s v="엘리베이터 피트 내부에서 자재 및 공구 운반 또는 이동, 설치작업 중 근로자 추락"/>
    <s v="▶ 추락 위험 구간에 작업발판 및 안전난간 설치 또는 추락방지망을 설치하는 등 추락 방지 조치 실시한 후 작업 실시_x000a_▶ 안전난간 등 추락 방지용 안전시설물 설치가 곤란한 경우, 근로자 작업구간에 안전대 부착설비를 견고하게 설치하고 근로자에게 안전대 지급 및 체결여부 점검 관리감독 실시_x000a_▶ 엘리베이터 피트 내부에서 인력으로 자재, 공구를 전달하는 작업방법을 지양하고, 되도록 장비를 사용하여 양중을 실시, 부득이하게 인력 운반 시 안전대 체결 등 관리감독 철저_x000a_▶ E/V 출입문 앞에서 카운터블럭케이스 등 무거운 자재를 인양하는 작업을 할 경우, 리모컨 작동인원 이외의 자재를 운반하는 인원을 2명이상 배치하고, 안전난간 설치, 안전대 부착설비 설치 등 안전방호조치 실시 후 작업진행"/>
  </r>
  <r>
    <n v="5"/>
    <x v="5"/>
    <x v="23"/>
    <x v="48"/>
    <s v="YES"/>
    <x v="25"/>
    <x v="48"/>
    <s v="해당없음"/>
    <s v="해당없음"/>
    <s v="해당없음"/>
    <s v="2020년 7월경"/>
    <d v="2020-07-01T00:00:00"/>
    <n v="7"/>
    <s v="혹서기"/>
    <x v="2"/>
    <s v="2020년 7월경 OO시 OO읍 소재 ㈜OOOO에서 시공하는 OOOO 창고시설 신축공사 현장에서 화물용 엘리베이터 설치작업 협력사인 ㈜OOOOO 소속 OOO이 지상 2층에서 엘리베이터 피트 내부에 있는 동료작업자에게 윈치(W=20kg)를 전달하던 중 몸의 중심을 잃고 엘리베이터 출입구[수직개구부(2m×0.9m)]를 통하여 지상 1층 엘리베이터 피트 바닥(H≒7.8m)으로 떨어져 사망한 재해임."/>
    <s v="엘리베이터 피트 내부에서 자재 및 공구 운반 또는 이동, 설치작업 중 근로자 추락"/>
    <s v="▶ 추락 위험 구간에 작업발판 및 안전난간 설치 또는 추락방지망을 설치하는 등 추락 방지 조치 실시한 후 작업 실시_x000a_▶ 안전난간 등 추락 방지용 안전시설물 설치가 곤란한 경우, 근로자 작업구간에 안전대 부착설비를 견고하게 설치하고 근로자에게 안전대 지급 및 체결여부 점검 관리감독 실시_x000a_▶ 엘리베이터 피트 내부에서 인력으로 자재, 공구를 전달하는 작업방법을 지양하고, 되도록 장비를 사용하여 양중을 실시, 부득이하게 인력 운반 시 안전대 체결 등 관리감독 철저_x000a_▶ E/V 출입문 앞에서 카운터블럭케이스 등 무거운 자재를 인양하는 작업을 할 경우, 리모컨 작동인원 이외의 자재를 운반하는 인원을 2명이상 배치하고, 안전난간 설치, 안전대 부착설비 설치 등 안전방호조치 실시 후 작업진행"/>
  </r>
  <r>
    <n v="10"/>
    <x v="10"/>
    <x v="31"/>
    <x v="64"/>
    <s v="NO"/>
    <x v="18"/>
    <x v="38"/>
    <s v="해당없음"/>
    <s v="해당없음"/>
    <s v="해당없음"/>
    <s v="2019년 3월경"/>
    <d v="2019-03-01T00:00:00"/>
    <n v="3"/>
    <s v="-"/>
    <x v="5"/>
    <s v="2019년 3월경 OO건설공사 현장에서 준설선을 고정하는 선미방향의 닻줄(와이어로프, 직경40mm)이 파단되자 파단된 닻줄을 회수하여 교체할 목적으로 굴삭기를 이용하여 파단된 닻줄을 끌어당기던 중 재해자가 닻줄에 걸려 넘어져 사망"/>
    <s v="준설선을 고정하는 닻줄이 파단되어 닻줄을 회수하기 위해 굴착기를 이용하여 끌어당기던 중 닻줄에 걸려 넘어짐"/>
    <s v="▶ 굴삭기 주용도 외 사용_x000a_▶ 해당 작업자 외 근로자 작업반경내 출입의 금지"/>
  </r>
  <r>
    <n v="12"/>
    <x v="1"/>
    <x v="5"/>
    <x v="6"/>
    <s v="YES"/>
    <x v="20"/>
    <x v="40"/>
    <s v="해당없음"/>
    <s v="해당없음"/>
    <s v="해당없음"/>
    <s v="2018년 7월경"/>
    <d v="2018-07-01T00:00:00"/>
    <n v="7"/>
    <s v="혹서기"/>
    <x v="19"/>
    <s v="2018년 7월경 OO빌딩 신축공사 현장에서 재해자가 점심식사 후 휴식 중 점심식사 장소 뒤편 주차장 소나무 그늘 아래에서 쓰러져 사망"/>
    <s v="폭염 속 자재 운반 및 정리 등 작업을 하던 중 의식을 잃고 쓰러짐"/>
    <s v="▶ 열사병 예방 3대 기본수칙(물/그늘/휴식) 준수_x000a_▶ 적절한 휴게시설 설치, 휴게시간 부여"/>
  </r>
  <r>
    <n v="5"/>
    <x v="5"/>
    <x v="16"/>
    <x v="23"/>
    <s v="YES"/>
    <x v="20"/>
    <x v="40"/>
    <s v="해당없음"/>
    <s v="해당없음"/>
    <s v="해당없음"/>
    <s v="2018년 7월경"/>
    <d v="2018-07-01T00:00:00"/>
    <n v="7"/>
    <s v="혹서기"/>
    <x v="19"/>
    <s v="2018년 7월경 OO군 OO면 OO리 OOOO 태양광 시설공사 현장에서 태양광 모듈패널 설치 작업 후 현장 뒷정리 작업 중 재해자가 어지러움 증세를 느껴 동료작업자에게 보고한 후  나무그늘 아래에 앉아서 휴식을 취하던 중 갑자기 일어나 5~6m 정도 뛰어가다 쓰러지는 것을 동료작업자가 발견후 응급조치를 실시하고, 119를 통해 병원으로 후송하여 치료도중 사망한 재해임."/>
    <s v="태양광 모듈패널 설치 작업 후 현장 뒷정리 작업 중 어지러움 증세를 느껴 앉아서 휴식을 취하던 중 쓰러짐"/>
    <s v="▶ 근로자가 현장 투입시 건강검진 소견 결과 확인 등_x000a_   - 배치전 건강검진 결과 확인_x000a_   - 의사 유소견자는 구분하여 관리 (주기적 상담 등)_x000a_▶ 오전 일일 TBM시 근로자 건강상태 확인"/>
  </r>
  <r>
    <n v="10"/>
    <x v="10"/>
    <x v="32"/>
    <x v="65"/>
    <s v="NO"/>
    <x v="26"/>
    <x v="49"/>
    <s v="해당없음"/>
    <s v="해당없음"/>
    <s v="해당없음"/>
    <s v="2019년 6월경"/>
    <d v="2019-06-01T00:00:00"/>
    <n v="6"/>
    <s v="혹서기"/>
    <x v="0"/>
    <s v="2019년 6월경 바지선 선상에서 재해자가 신규 유압식 연삭기의 절단숫돌(연삭공구) 성능을 확인하기 위하여 해저케이블 절단 시험을 하는 중 절단숫돌이 파괴되면서 날아오는 파편에 얼굴 안면부를 맞아 사망"/>
    <s v="연삭공구의 성능을 확인 위해 해저케이블 절단 시험을 하던 중 절단 숫돌이 파괴되면서 날아오는 파편에 얼굴 안면부를 맞아 사망"/>
    <s v="▶ 연삭기 최고사용회전속도 초과 사용 금지_x000a_▶ 유압 연삭기 방호덮개 설치"/>
  </r>
  <r>
    <n v="10"/>
    <x v="10"/>
    <x v="32"/>
    <x v="65"/>
    <s v="NO"/>
    <x v="26"/>
    <x v="50"/>
    <s v="해당없음"/>
    <s v="해당없음"/>
    <s v="해당없음"/>
    <s v="2020년 6월경"/>
    <d v="2020-06-01T00:00:00"/>
    <n v="6"/>
    <s v="혹서기"/>
    <x v="11"/>
    <s v="2020년 6월경 OO현장 하행선 피난갱 구간에서 터널 침수구간 복구작업을 위한 수중용단 작업 중 수중폭발에 의한 충격으로 재해자 사망"/>
    <s v="터널 침수구간 복구작업을 위해 수중용단 작업 중 수중폭발에 의한 충격으로 재해자 사망"/>
    <s v="▶ 용단 구간 상부 구조물 및 기체 체류부 제거를 통한 폭발 또는 화재 예방_x000a_▶ 벤트부 천공 계획 수립 및 사전 안전점검, 위험성 평가 실시"/>
  </r>
  <r>
    <n v="11"/>
    <x v="0"/>
    <x v="1"/>
    <x v="2"/>
    <s v="YES"/>
    <x v="26"/>
    <x v="49"/>
    <s v="해당없음"/>
    <s v="해당없음"/>
    <s v="해당없음"/>
    <s v="2017년 5월경"/>
    <d v="2017-05-01T00:00:00"/>
    <n v="5"/>
    <s v="-"/>
    <x v="0"/>
    <s v="2017년 5월경, OOO도 OO시 소재 OOOO공공주택지구 조성공사 현장에서 재해자가 휴대용 엔진절단기를 사용하여 우수관로(콘크리트흄관, D=250mm)를 절단 작업 중 휴대용 엔진절단기가 튀어 오르면서 재해자의 상체를 강타하여 사망."/>
    <s v="근로자가 휴대용 엔진절단기를 사용하여 우수관로를 절단 작업 중 휴대용 엔진 절단기가 튀어 오르면서 근로자를 강타"/>
    <s v="▶ 엔진절단기 사용시 절단 작업 중 회전날 노출이 최소화 되도록 날 접촉예방장치 보완 설치_x000a_▶ 엔진절단기 사용시 물체를 고정한 상태에서 작업을 수행하며 물체에 크기에 따른 엔진절단기 장비 사용"/>
  </r>
  <r>
    <n v="11"/>
    <x v="0"/>
    <x v="1"/>
    <x v="2"/>
    <s v="YES"/>
    <x v="26"/>
    <x v="49"/>
    <s v="해당없음"/>
    <s v="해당없음"/>
    <s v="해당없음"/>
    <s v="2018년 7월경"/>
    <d v="2018-07-01T00:00:00"/>
    <n v="7"/>
    <s v="혹서기"/>
    <x v="4"/>
    <s v="2018년 7월경 OO(주) OO지구 지중화 정비 현장에서 재해자가 기계톱을 사용하여 토류판 절단작업 중 토류판에 끼인 톱날을 빼다가 톱날에 목 부위를 베여 사망"/>
    <s v="토류판 절단 작업 중 토류판에 끼인 톱날을 빼다가 톱날에 목 부위를 베어 사망"/>
    <s v="▶ 기계톱을 사용하여 토류판 절단작업 중 토류판이 내려앉아 톱날이 끼이지 않도록 톱날 양측에 받침목 설치_x000a_▶ 기계톱을 사용 전 취급방법 숙지 및 방호장치 설치"/>
  </r>
  <r>
    <n v="12"/>
    <x v="1"/>
    <x v="35"/>
    <x v="110"/>
    <s v="YES"/>
    <x v="26"/>
    <x v="50"/>
    <s v="해당없음"/>
    <s v="해당없음"/>
    <s v="해당없음"/>
    <s v="2016년 3월경"/>
    <d v="2016-03-01T00:00:00"/>
    <n v="3"/>
    <s v="-"/>
    <x v="9"/>
    <s v="2016년 3월경 ㈜OO에서 시공 중인 오피스텔 신축공사 현장 지하 1층에서 천장 단열재(경질 우레탄폼)에 용접불티 착화로 화재(국과수 추정) 발생 후 지하 1층 연결통로를 통해 인접현장으로 화재가 확산되면서 2명 사망, 6명 부상"/>
    <s v="소방용수배관 연결 용접 작업 중 지하층 천장단열재에 용접불티 착화로 화재 및 인근현장으로 확산"/>
    <s v="▶ 화재발생 위험 장소에서 화기작업 금지 등 화재방지 조치 준수_x000a_▶ 경보용 설비 및 기구 설치 및 유지관리 준수"/>
  </r>
  <r>
    <n v="12"/>
    <x v="1"/>
    <x v="35"/>
    <x v="110"/>
    <s v="YES"/>
    <x v="26"/>
    <x v="50"/>
    <s v="해당없음"/>
    <s v="해당없음"/>
    <s v="해당없음"/>
    <s v="2020년 8월경"/>
    <d v="2020-08-01T00:00:00"/>
    <n v="8"/>
    <s v="혹서기"/>
    <x v="9"/>
    <s v="2020년 8월경 야외 자재 제작 작업장에서 재해자가 제철소내 Roll 운반용 운반대차를 제작하기 위하여 철판(t=20mm)을 산소 절단기로 용단하던 중 착용하고 있던 방진복에 불이 붙어 상반신에 화상(2도)을 입어 사망"/>
    <s v="운반대차를 제작하기 위해 철판을 산소절단기로 용단하던 중 착용하고 있던 방진복에 불이 붙어 화상"/>
    <s v="▶ 화재발생 위험 장소에서 화기작업 금지 등 화재방지 조치 준수_x000a_▶ 보호복, 보호장갑 등 개인보호구 지급 및 착용상태 관리"/>
  </r>
  <r>
    <n v="12"/>
    <x v="1"/>
    <x v="5"/>
    <x v="6"/>
    <s v="YES"/>
    <x v="26"/>
    <x v="50"/>
    <s v="해당없음"/>
    <s v="해당없음"/>
    <s v="해당없음"/>
    <s v="2017년 12월"/>
    <d v="2017-12-01T00:00:00"/>
    <n v="12"/>
    <s v="혹한기"/>
    <x v="9"/>
    <s v="2017년 12월경 OO건설(주)에서 시공하는 OO신축현장에서 오피스동 지하 2층 주차장에서 코어(Core)벽체에 부분 매립되어 있는 높이 약 3.5m의 H-Beam을 산소절단기로 용단 작업 중 불티가 작업구간 후면에 야적된 단열재(0.9m × 1.8m, 우레탄보드, 약 180장)에 옮겨 붙어 화재가 발생하여 재해자가 질식 및 화상으로 사망"/>
    <s v="H-Beam을 산소절단기로 용단작업 중 불티가 야적된 단열재에 옮겨붙어 화재"/>
    <s v="▶ 화기 사용 시 가연물에 대한 정리 및 제거_x000a_▶ 화재감시자 배치"/>
  </r>
  <r>
    <n v="2"/>
    <x v="2"/>
    <x v="27"/>
    <x v="105"/>
    <s v="YES"/>
    <x v="26"/>
    <x v="50"/>
    <s v="해당없음"/>
    <s v="해당없음"/>
    <s v="해당없음"/>
    <s v="2019년 2월경"/>
    <d v="2019-02-01T00:00:00"/>
    <n v="2"/>
    <s v="혹한기"/>
    <x v="9"/>
    <s v="2019년 2월경 OO건설(주)에서 시공하는 아파트 신축공사 현장 옥상(6층)에서 갱폼의 수평부재 용단작업을 하던 중 발생된 불티에 의해 1층에 놓여있던 부직포에 화재가 발생하고, 1층 천장의 단열재와 비계 외부의 분진망으로 옮겨 붙은 화염에 대피하던 작업자들이 화상을 입어 1명이 치료 중 사망하고, 2명이 부상"/>
    <s v="화재 위험 방지조치 미실시한 상태로 옥상에서 갱폼 수평부재 용단작업 중 발생된 불티에 의해 하부층의 부직포에 화재가 발생하고, 같은층 천장의 단열재와 비계 외부의 분진망으로 불이 확산되어 근로자 화상 "/>
    <s v="▶ 용단작업 등 화재위험 작업 시 불티 비산방지 덮개, 용접방화포 등 설치_x000a_▶ 금속부재 절단 시 화재발생 위험이 적은 핸드그라인더 등 사용"/>
  </r>
  <r>
    <n v="4"/>
    <x v="4"/>
    <x v="38"/>
    <x v="91"/>
    <s v="YES"/>
    <x v="26"/>
    <x v="50"/>
    <s v="해당없음"/>
    <s v="해당없음"/>
    <s v="해당없음"/>
    <s v="2018년 3월경"/>
    <d v="2018-03-01T00:00:00"/>
    <n v="3"/>
    <s v="-"/>
    <x v="9"/>
    <s v="2018년 3월경 OO주상복합 신축공사 현장에서 일용직 재해자가 1층 외벽 석공사용 하지철물 설치를 위한 용접작업 실시 중, 용접불티가 작업장 하부 뒤편에 적재되어 있던  단열재에 비산되어 불이 발생되고 그 불이 1층 천장에 기 시공된 단열재에 옮겨 붙어 발생된 화염과 유독성가스에 주차타워 1층 바닥에서 자재인양구 거푸집설치작업을 하던 재해자가 사망"/>
    <s v="외벽 석재 시공 및 하지철물 설치를 위한 용접작업 중 용접 불티가 단열재에 비산하면서 화재 및 유독가스 발생"/>
    <s v="▶ 용접 작업 등과 같이 화재가 발생할 수 있는 작업 시, 소화기 배치, 불티방지커버 설치, 가연성 물질의 정리 및 제거 등과 같은 화재예방조치 실시_x000a_▶ 현장 내 배치된 소화기를 대상으로 주기적인 점검을 실시하여 현장 내 화재 발생 시, 신속한 대처가 가능하도록 조치"/>
  </r>
  <r>
    <n v="4"/>
    <x v="4"/>
    <x v="13"/>
    <x v="42"/>
    <s v="YES"/>
    <x v="26"/>
    <x v="49"/>
    <s v="해당없음"/>
    <s v="해당없음"/>
    <s v="해당없음"/>
    <s v="2021년 2월경"/>
    <d v="2021-02-01T00:00:00"/>
    <n v="2"/>
    <s v="혹한기"/>
    <x v="4"/>
    <s v="2021년 2월경 OO건축이 시공하는 개인주택 추가공사 현장에서 재해자가 지상 2층 발코니 단열재 작업을 위해 벽체에 설치된 합판을 절단하는 과정에 절단용 전동공구의 톱날에 좌측 다리를 베인 후 사망"/>
    <s v="공구 제원에 맞지 않는 톱날을 장착하여 절단 작업 중 킥백(kick back) 현상에 의해 톱날에 다리를 베임    "/>
    <s v="▶ 작업도구 등의 목적 외 사용 금지_x000a_▶ 절단용 전동공구 사용 시 방호덮개 등 톱날접촉 예방장치 설치 및 관리감독 "/>
  </r>
  <r>
    <n v="5"/>
    <x v="5"/>
    <x v="15"/>
    <x v="46"/>
    <s v="YES"/>
    <x v="26"/>
    <x v="49"/>
    <s v="해당없음"/>
    <s v="해당없음"/>
    <s v="해당없음"/>
    <s v="2020년 1월경"/>
    <d v="2020-01-01T00:00:00"/>
    <n v="1"/>
    <s v="혹한기"/>
    <x v="0"/>
    <s v="2020년 1월경 OO공사에서 재해자가 이동식 사다리 아래에서 작업을 준비하던 중 사다리 고정핀에 걸어둔 해머드릴이 낙하하면서 재해자 얼굴에 맞아 사망"/>
    <s v="사다리 아래에서 작업준비 중 원인미상의 이유로 힌지 고정장치에 걸어둔 해머드릴의 낙하에 의한 두부 강타"/>
    <s v="▶ 근로자 출입금지구역 설정 등 낙하물 방지조치 실시_x000a_▶ 상부 작업자는 휴대용 공구함을 착용하여 공구 적재"/>
  </r>
  <r>
    <n v="5"/>
    <x v="5"/>
    <x v="16"/>
    <x v="23"/>
    <s v="YES"/>
    <x v="26"/>
    <x v="49"/>
    <s v="해당없음"/>
    <s v="해당없음"/>
    <s v="해당없음"/>
    <s v="2021년 4월경"/>
    <d v="2021-04-01T00:00:00"/>
    <n v="4"/>
    <s v="-"/>
    <x v="2"/>
    <s v="2021년 4월경 OO도 OO시 소재 OOOO 지하2층 내 기계식 주차설비 리뉴얼공사 현장에서 재해자가 지하2층 슬래브에서 코어드릴을 이용한 천공 작업 중 드릴 날(비트)이 슬래브 바닥에 고정된 상태에서 불시 전원이 투입되어 회전하는 드릴 상부에 의해 슬래브 단부에서 지하 3층 바닥(h=5.7m)으로 떨어져 사망한 재해임."/>
    <s v="기계식 주차설비 리뉴얼공사 현장에서 지하2층 슬래브에서 코어드릴을 이용한 천공 작업 중 드릴 날(비트)이 슬래브 바닥에 고정된 상태에서 불시 전원이 투입되어 회전하는 드릴 상부에 의해 슬래브 단부에서 지하 3층 바닥으로 떨어져 추락 사망한 재해임."/>
    <s v="▶ 코어드릴 사용시 절단 작업 중 회전날 노출이 최소화 되도록 날 접촉예방장치 보완 설치_x000a_▶ 코어드릴 사용시 물체를 고정한 상태에서 작업을 수행하며, 갑작스런 전원공급을 방지하기 위해 미사용 시 전력차단 _x000a_▶ 추락 위험이 있는 작업 시 비계 조립, 안전발판 등 추락방지조치 실시"/>
  </r>
  <r>
    <n v="5"/>
    <x v="5"/>
    <x v="16"/>
    <x v="23"/>
    <s v="YES"/>
    <x v="26"/>
    <x v="50"/>
    <s v="해당없음"/>
    <s v="해당없음"/>
    <s v="해당없음"/>
    <s v="2021년 7월경"/>
    <d v="2021-07-01T00:00:00"/>
    <n v="7"/>
    <s v="혹서기"/>
    <x v="11"/>
    <s v="2021년 7월경 ㈜OOOO이 시공하는 OO시 OO구 소재 OOOO 이중배관/탱크 교체 건설공사 현장에서 버팀대 보강 용접작업 중 생긴 불티가 오염된 토양 속에서 발생한 유증기와 만나 발생한 것으로 추정되는 화재·폭발에 의해 용접작업 중이던 흙막이공사 협력업체 ㈜OOOO 소속 재해자가 전신 2도 화상을 입고 치료 중 사망한 재해임."/>
    <s v="보강 용접작업 중 생긴 불티가 오염된 토양 속에서 발생한 유증기와 만나 화재·폭발에 의해 용접작업 중이던 재해자가 화상"/>
    <s v="▶ 용접 작업 등과 같이 화재가 발생할 수 있는 작업 시, 소화기 배치, 불티방지커버 설치, 가연성 물질의 정리 및 제거 등과 같은 화재예방조치 실시_x000a_▶ 현장 내 배치된 소화기를 대상으로 주기적인 점검을 실시하여 현장 내 화재 발생 시, 신속한 대처가 가능하도록 조치"/>
  </r>
  <r>
    <n v="5"/>
    <x v="5"/>
    <x v="23"/>
    <x v="47"/>
    <s v="YES"/>
    <x v="26"/>
    <x v="50"/>
    <s v="해당없음"/>
    <s v="해당없음"/>
    <s v="해당없음"/>
    <s v="2017년 12월"/>
    <d v="2017-12-01T00:00:00"/>
    <n v="12"/>
    <s v="혹한기"/>
    <x v="1"/>
    <s v="2017년 12월경 OO시 OO구 소재 ㈜OOOOO에서 시공하는 OOOO 철거현장에서 고철·비철 수거업체 소속 OOO이 승강기 해체를 위해 승강기 피트 하부에서 산소-LPG 용접기로 승강기 카(car)와 균형추에 연결된 주로프(와이어로프)를 용단하던 중 상부에 위치한 승강기 카가 지상으로 떨어지며 압사한 것으로 추정 됨."/>
    <s v="승강기 해체를 위해 PIT 하부에서 카와 균형추에 연결된 로프를 용단하던 중 상부에 위치한 카가 낙하하며 깔림"/>
    <s v="▶ 승강기 해체 작업 전, 사전 작업계획서를 수립하여 작업 방법을 계획하고, 작업 시 관리감독할 수 있는 작업지휘자를 배치_x000a_▶ 승강기 해체 작업 시, 이해도와 숙련도가 높은 작업자에게 작업지시_x000a_▶ 승강기 해체 작업 시, 승강기 카를 하부에 위치한 후, 상부에서 승강기 카와 균형추 연결로프를 절단하도록 조치"/>
  </r>
  <r>
    <n v="12"/>
    <x v="1"/>
    <x v="2"/>
    <x v="3"/>
    <s v="YES"/>
    <x v="12"/>
    <x v="51"/>
    <s v="12대 기인물"/>
    <n v="4"/>
    <n v="6.9000000000000006E-2"/>
    <s v="2020년 3월경"/>
    <d v="2020-03-01T00:00:00"/>
    <n v="3"/>
    <s v="-"/>
    <x v="2"/>
    <s v="2020년 3월경 OO철거 작업 현장에서 가설창고로 사용하던 창고 지붕 합판을 철거 하던 중 이동식비계 단부에서 실족하여 콘크리트 바닥으로 추락(H=1.7m)하여 사망"/>
    <s v="창고 지붕합판을 철거하던 중 이동식비계 단부에서 실족하여 바닥으로 추락"/>
    <s v="▶ 이동식비계 설치 시 안전난간 설치 등 추락방호조치 실시_x000a_▶ 근로자 개인보호구, 안전대 체결여부 점검 및 관리감독"/>
  </r>
  <r>
    <n v="12"/>
    <x v="1"/>
    <x v="3"/>
    <x v="71"/>
    <s v="YES"/>
    <x v="12"/>
    <x v="51"/>
    <s v="12대 기인물"/>
    <n v="4"/>
    <n v="6.9000000000000006E-2"/>
    <s v="2018년 4월경"/>
    <d v="2018-04-01T00:00:00"/>
    <n v="4"/>
    <s v="-"/>
    <x v="2"/>
    <s v="2018년 4월경 OO건설 OO신축공사 현장 5층에서 재해자가 이동식비계 위에서 천장의 철선 제거작업 중 몸의 중심을 잃고 바닥으로 떨어져(H≒1.8m) 사망 "/>
    <s v="이동식비계 위에서 천장의 철선 제거작업 중 몸의 중심을 잃고 바닥으로 추락"/>
    <s v="▶ 이동식 비계 조립 시, 안전난간대 높이 준수, 아웃트리거 설치 등 안전조치 실시_x000a_▶ 작업자의 개인보호구, 안전대 체결여부 점검 및 관리감독"/>
  </r>
  <r>
    <n v="2"/>
    <x v="2"/>
    <x v="6"/>
    <x v="8"/>
    <s v="YES"/>
    <x v="12"/>
    <x v="51"/>
    <s v="12대 기인물"/>
    <n v="4"/>
    <n v="6.9000000000000006E-2"/>
    <s v="2017년 4월경"/>
    <d v="2017-04-01T00:00:00"/>
    <n v="4"/>
    <s v="-"/>
    <x v="2"/>
    <s v="2017년 4월경 (주)OO건설이 시공하는 OO공사 현장에서 재해자가 동료작업자 이정상과 함께 이동식비계를 이용하여 콘크리트 타설이 완료된 지상 1층 기둥 거푸집을 해체하던 중 이동식비계 3단 작업발판에서 2단 작업발판으로 내려가다가 3.6~5.4m 아래 지상1층 바닥으로 떨어져 사망"/>
    <s v="근로자가 안전하게 통행할 수 통로표시를 하여야 하나 미실시한 상태에서 옥탑 엘리베이터 내부 외벽 거푸집 해체 및 정리작업 중 엘리베이터실 외부의 시스템 비계를 통해 지상층으로 내려가다 중심을 잃고 근로자 추락"/>
    <s v="▶ 통로의 주요 부분에 통로 표시 및 작업장 내 모든 근로자들이 이를 인지하고 사용하도록 지시_x000a_▶ 추락위험이 높은 장소에 가설통로 설치 시 단부에 안전난간 설치_x000a_▶ 단부 및 개구부 등 추락위험이 있는 장소에서 작업 시 안전대 부착설비 설치 및 안전대 착용"/>
  </r>
  <r>
    <n v="2"/>
    <x v="2"/>
    <x v="6"/>
    <x v="8"/>
    <s v="YES"/>
    <x v="12"/>
    <x v="51"/>
    <s v="12대 기인물"/>
    <n v="4"/>
    <n v="6.9000000000000006E-2"/>
    <s v="2021년 3월경"/>
    <d v="2021-03-01T00:00:00"/>
    <n v="3"/>
    <s v="-"/>
    <x v="2"/>
    <s v="2021년 3월경 OO건설(주) OO신축공사 현장에서 재해자가 이동식비계 상부에서 지하1층 보측면의 거푸집 지지물(Flat Tie) 제거작업후 내려오던중 바닥(H=1.5m)으로 떨어져 사망"/>
    <s v="근로자가 안전하게 통행할 수 통로표시를 하여야 하나 미실시한 상태에서 옥탑 엘리베이터 내부 외벽 거푸집 해체 및 정리작업 중 엘리베이터실 외부의 시스템 비계를 통해 지상층으로 내려가다 중심을 잃고 근로자 추락"/>
    <s v="▶ 통로의 주요 부분에 통로 표시 및 작업장 내 모든 근로자들이 이를 인지하고 사용하도록 지시_x000a_▶ 추락위험이 높은 장소에 가설통로 설치 시 단부에 안전난간 설치_x000a_▶ 단부 및 개구부 등 추락위험이 있는 장소에서 작업 시 안전대 부착설비 설치 및 안전대 착용"/>
  </r>
  <r>
    <n v="3"/>
    <x v="3"/>
    <x v="9"/>
    <x v="13"/>
    <s v="YES"/>
    <x v="12"/>
    <x v="51"/>
    <s v="12대 기인물"/>
    <n v="4"/>
    <n v="6.9000000000000006E-2"/>
    <s v="2017년 10월"/>
    <d v="2017-10-01T00:00:00"/>
    <n v="10"/>
    <s v="-"/>
    <x v="2"/>
    <s v="2017년 10월경 ㈜OO에서 시공하는 OO 골프망 증설 공사현장에서 이동식비계위에서 실내골프망 설치작업을 하던 재해자가 실내벽 골프망 고정용 강구조물(Ø60.5＊2.4t, L=4.5m) 설치작업 중 약 1.8m 하부 바닥면으로 떨어져 사망"/>
    <s v="최상부에 안전난간이 설치되지 않고 작업발판이 한 개만 설치된 이동식비계위에서 실내골프망 설치작업을 하던 근로자가 실내벽 골프망 고정용 강구조물 설치작업 중, 몸의 중심을 잃고 추락 "/>
    <s v="▶ 근로자가 추락할 위험이 있는 장소에서 작업 시 작업발판 설치, 작업발판 단부 안전난간대 설치 준수_x000a_▶ 근로자가 추락할 위험이 있는 장소에서 작업 할 경우 안전모 및 안전대를 착용_x000a_▶ 이동식비계 이용 작업 시 상부 전면에 걸쳐 작업발판 설치, 외측 안전난간 확보여부를 관리감독자가 필수 점검"/>
  </r>
  <r>
    <n v="3"/>
    <x v="3"/>
    <x v="9"/>
    <x v="13"/>
    <s v="YES"/>
    <x v="12"/>
    <x v="51"/>
    <s v="12대 기인물"/>
    <n v="4"/>
    <n v="6.9000000000000006E-2"/>
    <s v="2018년 10월"/>
    <d v="2018-10-01T00:00:00"/>
    <n v="10"/>
    <s v="-"/>
    <x v="2"/>
    <s v="2018년 10월경 OO건설에서 시공하는 축사 신축 공사 현장에서 재해자(용접공)가 축사 철골 조립작업을 위해 이동식비계 2단 작업발판 상부에서 용접 작업 중 지면으로 떨어져 (h=3.2m) 사망"/>
    <s v="안전난간이 설치되지 않은 이동식비계 상부 작업발판에서 철골 용접 작업 중 몸의 중심을 잃고 지면으로 추락"/>
    <s v="▶ 이동식비계를 조립하여 작업 시 추락위험 방지를 위해 비계 상부에 안전난간 설치_x000a_▶ 이동식비계에서 작업 시 안전대 부착설비 설치 및 안전대 착용_x000a_▶ 개인보호구 지급 및 착용"/>
  </r>
  <r>
    <n v="3"/>
    <x v="3"/>
    <x v="9"/>
    <x v="13"/>
    <s v="YES"/>
    <x v="12"/>
    <x v="51"/>
    <s v="12대 기인물"/>
    <n v="4"/>
    <n v="6.9000000000000006E-2"/>
    <s v="2019년 3월경"/>
    <d v="2019-03-01T00:00:00"/>
    <n v="3"/>
    <s v="-"/>
    <x v="2"/>
    <s v="2019년 3월경 OOO(개인) 신축공사 현장에서 재해자(용접공)가 이동식비계 상부 작업발판에서 가용접된 철골 보와 철골기둥을 본 용접작업을 하던 중 약 1.8m 콘크리트 바닥으로 떨어져 사망"/>
    <s v="안전난간이 설치되지 않은 이동식비계 상부 작업발판에서 철골 용접 작업 중 몸의 중심을 잃고 지면으로 추락"/>
    <s v="▶ 이동식비계를 조립하여 작업 시 추락위험 방지를 위해 비계 상부에 안전난간 설치_x000a_▶ 이동식비계에서 작업 시 안전대 부착설비 설치 및 안전대 착용_x000a_▶ 개인보호구 지급 및 착용"/>
  </r>
  <r>
    <n v="4"/>
    <x v="4"/>
    <x v="10"/>
    <x v="37"/>
    <s v="YES"/>
    <x v="12"/>
    <x v="51"/>
    <s v="12대 기인물"/>
    <n v="4"/>
    <n v="6.9000000000000006E-2"/>
    <s v="2019년 8월경"/>
    <d v="2019-08-01T00:00:00"/>
    <n v="8"/>
    <s v="혹서기"/>
    <x v="1"/>
    <s v="2019년 8월경 OO신축공사에서 기둥 주변에 설치되어 있던 조적작업용 이동식 시스템비계(수직재 하부에 바퀴 부착)를 인력으로 밀어서 옮기던 중 비계 상부가 지붕 철골보에 걸렸으나 이를 인지하지 못하고 더 세게 밀다가 시스템비계가 넘어지며 그 아래 깔려 2명 부상"/>
    <s v="조적작업을 하기 위해 이동식비계를 인력으로 밀어서 옮기던 중 비계 상부가 구조물에 걸린 후 전도되면서 깔림"/>
    <s v="▶ 비계의 조립ㆍ해체 및 변경 시 관리감독자 지휘하에 작업 진행_x000a_▶ 조립ㆍ해체 또는 변경의 시기ㆍ범위 절차를 그 작업에 종사하는 근로자에게 주지"/>
  </r>
  <r>
    <n v="4"/>
    <x v="4"/>
    <x v="10"/>
    <x v="37"/>
    <s v="YES"/>
    <x v="12"/>
    <x v="51"/>
    <s v="12대 기인물"/>
    <n v="4"/>
    <n v="6.9000000000000006E-2"/>
    <s v="2021년 3월경"/>
    <d v="2021-03-01T00:00:00"/>
    <n v="3"/>
    <s v="-"/>
    <x v="2"/>
    <s v="2021년 3월경 OO증축공사에서 방호옹벽의 면처리 작업 중 이동식비계에서 추락하여 사망"/>
    <s v="이동식비계 위에서 미장, 견출 작업 중 몸의 중심을 잃고 안전난간이 설치되지 않은 작업발판 단부로 추락"/>
    <s v="▶ 이동식비계 최상부에는 안전난간을 견고하게 설치하고, 작업의 여건 상 안전난간을 설치하기 어려운 경우에는 안전대 부착설비를 설치하고 안전대 체결 후 작업하도록 관리감독 _x000a_▶ 이동식비계 작업 시 갑작스러운 이동 또는 전도방지를 위하여 발바퀴 고정 및 아웃트리거 설치 등 전도방지조치 준수"/>
  </r>
  <r>
    <n v="4"/>
    <x v="4"/>
    <x v="10"/>
    <x v="38"/>
    <s v="YES"/>
    <x v="12"/>
    <x v="51"/>
    <s v="12대 기인물"/>
    <n v="4"/>
    <n v="6.9000000000000006E-2"/>
    <s v="2016년 4월경"/>
    <d v="2016-04-01T00:00:00"/>
    <n v="4"/>
    <s v="-"/>
    <x v="2"/>
    <s v="2016년 4월경 OO건설이 시공하는 OO사옥 신축공사 현장 지상 3층에서 조적공인 재해자가 이동식비계(2단)에서 조적작업을 진행하던 중 몸의 중심을 잃고 실족하면서 약 3.4m 아래 콘크리트 바닥으로 떨어져 사망"/>
    <s v="이동식비계 위에서 몸의 중심을 잃고 안전난간이 설치되지 않은 작업발판 단부로 추락"/>
    <s v="▶ 이동식비계 최상부에는 안전난간을 견고하게 설치하고, 작업의 여건 상 안전난간을 설치하기 어려운 경우에는 안전대 부착설비를 설치하고 안전대 체결 후 작업하도록 관리감독 _x000a_▶ 이동식비계 작업 시 갑작스러운 이동 또는 전도방지를 위하여 발바퀴 고정 및 아웃트리거 설치 등 전도방지조치 준수"/>
  </r>
  <r>
    <n v="4"/>
    <x v="4"/>
    <x v="10"/>
    <x v="38"/>
    <s v="YES"/>
    <x v="12"/>
    <x v="51"/>
    <s v="12대 기인물"/>
    <n v="4"/>
    <n v="6.9000000000000006E-2"/>
    <s v="2017년 9월경"/>
    <d v="2017-09-01T00:00:00"/>
    <n v="9"/>
    <s v="-"/>
    <x v="2"/>
    <s v="2017년 9월경 OO건설 공사현장에서 재해자가 아파트 O동 지하1층 제연휀룸 내 설치된 이동식비계 1단 하부 콘크리트 바닥에 쓰러져 사망"/>
    <s v="이동식비계 위에서 몸의 중심을 잃고 안전난간이 설치되지 않은 작업발판 단부로 추락"/>
    <s v="▶ 이동식비계 최상부에는 안전난간을 견고하게 설치하고, 작업의 여건 상 안전난간을 설치하기 어려운 경우에는 안전대 부착설비를 설치하고 안전대 체결 후 작업하도록 관리감독 _x000a_▶ 이동식비계 작업 시 갑작스러운 이동 또는 전도방지를 위하여 발바퀴 고정 및 아웃트리거 설치 등 전도방지조치 준수"/>
  </r>
  <r>
    <n v="4"/>
    <x v="4"/>
    <x v="10"/>
    <x v="38"/>
    <s v="YES"/>
    <x v="12"/>
    <x v="51"/>
    <s v="12대 기인물"/>
    <n v="4"/>
    <n v="6.9000000000000006E-2"/>
    <s v="2019년 2월경"/>
    <d v="2019-02-01T00:00:00"/>
    <n v="2"/>
    <s v="혹한기"/>
    <x v="2"/>
    <s v="2019년 2월경 OO신축공사에서 이동식 비계 작업발판 위에서 외벽 벽돌 줄눈작업 중 이동식 비계가 넘어지면서 약 1.7m 콘크리트 바닥으로 추락하여 2명 부상"/>
    <s v="발바퀴 및 아웃트리거가 설치되지 않은 이동식비계를 이용하여 외벽의 조적 줄눈작업을 하던 중 비계가 전도하면서 추락"/>
    <s v="▶ 이동식비계 작업 시 갑작스러운 이동 또는 전도방지를 위하여 발바퀴 고정 및 아웃트리거 설치 등 전도방지조치_x000a_▶ 추락할 위험이 있는 장소에서 작업 시 개인보호구 착용 철저"/>
  </r>
  <r>
    <n v="4"/>
    <x v="4"/>
    <x v="10"/>
    <x v="38"/>
    <s v="YES"/>
    <x v="12"/>
    <x v="51"/>
    <s v="12대 기인물"/>
    <n v="4"/>
    <n v="6.9000000000000006E-2"/>
    <s v="2019년 10월"/>
    <d v="2019-10-01T00:00:00"/>
    <n v="10"/>
    <s v="-"/>
    <x v="2"/>
    <s v="2019년 10월경 OO신축공사에서 지상 7층 주방 벽체 벽돌쌓기 작업 중 이동식 비계 작업발판 위에서 몸의 중심을 잃고 약 2.6미터 아래 콘크리트 바닥으로 추락하여 사망"/>
    <s v="이동식비계 위에서 미장, 견출 작업 중 몸의 중심을 잃고 안전난간이 설치되지 않은 작업발판 단부로 추락"/>
    <s v="▶ 이동식비계 최상부에는 안전난간을 견고하게 설치하고, 작업의 여건 상 안전난간을 설치하기 어려운 경우에는 안전대 부착설비를 설치하고 안전대 체결 후 작업하도록 관리감독 _x000a_▶ 이동식비계 작업 시 갑작스러운 이동 또는 전도방지를 위하여 발바퀴 고정 및 아웃트리거 설치 등 전도방지조치 준수"/>
  </r>
  <r>
    <n v="4"/>
    <x v="4"/>
    <x v="10"/>
    <x v="15"/>
    <s v="YES"/>
    <x v="12"/>
    <x v="51"/>
    <s v="12대 기인물"/>
    <n v="4"/>
    <n v="6.9000000000000006E-2"/>
    <s v="2016년 6월경"/>
    <d v="2016-06-01T00:00:00"/>
    <n v="6"/>
    <s v="혹서기"/>
    <x v="2"/>
    <s v="2016년 6월경 OO신축공사에서 지하1층 이동식비계(2단) 상부에서 콘크리트 벽체(H:5∼6m) 거푸집고정용 철선을 핸드그라인더로 절단하고 내려오다 발을 헛딛어 약 3.5m 아래 콘크리트 바닥으로 추락하여 사망"/>
    <s v="견출작업 후 이동식비계에서 내려오던 중 실족으로 추락 "/>
    <s v="▶ 이동식비계 내부에 수직 사다리 등 안전한 승강통로 확보_x000a_▶ 발바퀴 고정 및 아웃트리거를 설치하여 이동식 비계의 흔들림 방지 조치 "/>
  </r>
  <r>
    <n v="4"/>
    <x v="4"/>
    <x v="10"/>
    <x v="15"/>
    <s v="YES"/>
    <x v="12"/>
    <x v="51"/>
    <s v="12대 기인물"/>
    <n v="4"/>
    <n v="6.9000000000000006E-2"/>
    <s v="2018년 3월경"/>
    <d v="2018-03-01T00:00:00"/>
    <n v="3"/>
    <s v="-"/>
    <x v="2"/>
    <s v="2018년 3월경 OO신축공사에서 지하1층 제연 휀룸 내 이동식비계(2단) 위에서 내부 견출작업 중 이동식비계에서 이동하다가 미끄러지면서 바닥으로 추락하여(H≒3.5m) 사망"/>
    <s v="견출작업 후 이동식비계에서 내려오던 중 실족으로 추락 "/>
    <s v="▶ 이동식비계 내부에 수직 사다리 등 안전한 승강통로 확보_x000a_▶ 발바퀴 고정 및 아웃트리거를 설치하여 이동식 비계의 흔들림 방지 조치 "/>
  </r>
  <r>
    <n v="4"/>
    <x v="4"/>
    <x v="10"/>
    <x v="15"/>
    <s v="YES"/>
    <x v="12"/>
    <x v="51"/>
    <s v="12대 기인물"/>
    <n v="4"/>
    <n v="6.9000000000000006E-2"/>
    <s v="2018년 12월"/>
    <d v="2018-12-01T00:00:00"/>
    <n v="12"/>
    <s v="혹한기"/>
    <x v="2"/>
    <s v="2018년 12월경 OO증축공사에서 틀비계 작업발판(1단, 높이 1.7m) 상부에서 미장작업 중 약 45cm 정도의 작업발판과 벽체 사이를 통해 바닥으로 추락하여 사망"/>
    <s v="이동식비계 위에서 미장, 견출 작업 중 몸의 중심을 잃고 안전난간이 설치되지 않은 작업발판 단부로 추락"/>
    <s v="▶ 이동식비계 최상부에는 안전난간을 견고하게 설치하고, 작업의 여건 상 안전난간을 설치하기 어려운 경우에는 안전대 부착설비를 설치하고 안전대 체결 후 작업하도록 관리감독 _x000a_▶ 이동식비계 작업 시 갑작스러운 이동 또는 전도방지를 위하여 발바퀴 고정 및 아웃트리거 설치 등 전도방지조치 준수"/>
  </r>
  <r>
    <n v="4"/>
    <x v="4"/>
    <x v="10"/>
    <x v="15"/>
    <s v="YES"/>
    <x v="12"/>
    <x v="51"/>
    <s v="12대 기인물"/>
    <n v="4"/>
    <n v="6.9000000000000006E-2"/>
    <s v="2019년 5월경"/>
    <d v="2019-05-01T00:00:00"/>
    <n v="5"/>
    <s v="-"/>
    <x v="2"/>
    <s v="2019년 5월경 OO신축공사에서 이동식비계 등 작업발판 위에서 세대 내부 견출작업 중, 추락(H≒1.8m 혹은 2.6m)하여 사망"/>
    <s v="이동식비계 위에서 미장, 견출 작업 중 몸의 중심을 잃고 안전난간이 설치되지 않은 작업발판 단부로 추락"/>
    <s v="▶ 이동식비계 최상부에는 안전난간을 견고하게 설치하고, 작업의 여건 상 안전난간을 설치하기 어려운 경우에는 안전대 부착설비를 설치하고 안전대 체결 후 작업하도록 관리감독 _x000a_▶ 이동식비계 작업 시 갑작스러운 이동 또는 전도방지를 위하여 발바퀴 고정 및 아웃트리거 설치 등 전도방지조치 준수"/>
  </r>
  <r>
    <n v="4"/>
    <x v="4"/>
    <x v="10"/>
    <x v="15"/>
    <s v="YES"/>
    <x v="12"/>
    <x v="51"/>
    <s v="12대 기인물"/>
    <n v="4"/>
    <n v="6.9000000000000006E-2"/>
    <s v="2019년 7월경"/>
    <d v="2019-07-01T00:00:00"/>
    <n v="7"/>
    <s v="혹서기"/>
    <x v="2"/>
    <s v="2019년 7월경 OO신축공사에서 지하1층 천장 견출작업을 위해 이동식비계 작업발판 위에서 전원선 설치 등 준비작업 중 2.15m 아래 콘크 리트 바닥으로 추락하여 사망"/>
    <s v="이동식비계 위에서 미장, 견출 작업 중 몸의 중심을 잃고 안전난간이 설치되지 않은 작업발판 단부로 추락"/>
    <s v="▶ 이동식비계 최상부에는 안전난간을 견고하게 설치하고, 작업의 여건 상 안전난간을 설치하기 어려운 경우에는 안전대 부착설비를 설치하고 안전대 체결 후 작업하도록 관리감독 _x000a_▶ 이동식비계 작업 시 갑작스러운 이동 또는 전도방지를 위하여 발바퀴 고정 및 아웃트리거 설치 등 전도방지조치 준수"/>
  </r>
  <r>
    <n v="4"/>
    <x v="4"/>
    <x v="10"/>
    <x v="15"/>
    <s v="YES"/>
    <x v="12"/>
    <x v="51"/>
    <s v="12대 기인물"/>
    <n v="4"/>
    <n v="6.9000000000000006E-2"/>
    <s v="2021년 9월경"/>
    <d v="2021-09-01T00:00:00"/>
    <n v="9"/>
    <s v="-"/>
    <x v="2"/>
    <s v="2021년 9월경 OO신축공사에서 5층 이동식비계 위에서 기둥 및 천장슬래브 견출작업 중 이동식비계가 넘어지며 바닥으로 추락하여(H≒2.2m) 사망"/>
    <s v="발바퀴 및 아웃트리거가 설치되지 않은 이동식비계를 이용하여 외벽의 조적 줄눈작업을 하던 중 비계가 전도하면서 추락"/>
    <s v="▶ 이동식비계 작업 시 갑작스러운 이동 또는 전도방지를 위하여 발바퀴 고정 및 아웃트리거 설치 등 전도방지조치_x000a_▶ 추락할 위험이 있는 장소에서 작업 시 개인보호구 착용 철저"/>
  </r>
  <r>
    <n v="4"/>
    <x v="4"/>
    <x v="11"/>
    <x v="16"/>
    <s v="YES"/>
    <x v="12"/>
    <x v="51"/>
    <s v="12대 기인물"/>
    <n v="4"/>
    <n v="6.9000000000000006E-2"/>
    <s v="2018년 7월경"/>
    <d v="2018-07-01T00:00:00"/>
    <n v="7"/>
    <s v="혹서기"/>
    <x v="2"/>
    <s v="2018년 7월경 OO(주) OO센터 건설공사 현장에서 재해자가 지하2층에 설치된 이동식비계 2단 작업발판에서 방수작업을 하던 중 몸의 중심을 잃고 3.55m 아래 콘크리트 바닥으로 추락하여 사망"/>
    <s v="이동식비계 위에서 미장, 견출 작업 중 몸의 중심을 잃고 안전난간이 설치되지 않은 작업발판 단부로 추락"/>
    <s v="▶ 이동식비계 최상부에는 안전난간을 견고하게 설치하고, 작업의 여건 상 안전난간을 설치하기 어려운 경우에는 안전대 부착설비를 설치하고 안전대 체결 후 작업하도록 관리감독 _x000a_▶ 이동식비계 작업 시 갑작스러운 이동 또는 전도방지를 위하여 발바퀴 고정 및 아웃트리거 설치 등 전도방지조치 준수"/>
  </r>
  <r>
    <n v="4"/>
    <x v="4"/>
    <x v="21"/>
    <x v="39"/>
    <s v="YES"/>
    <x v="12"/>
    <x v="51"/>
    <s v="12대 기인물"/>
    <n v="4"/>
    <n v="6.9000000000000006E-2"/>
    <s v="2017년 10월"/>
    <d v="2017-10-01T00:00:00"/>
    <n v="10"/>
    <s v="-"/>
    <x v="2"/>
    <s v="2017년 10월경 OO상가 실내외공사 현장에서 재해자가 이동식비계 작업발판 위에서 도장용 공도구(일명:헤라)를 이용하여 1층 내부 벽체 도장 작업 중 작업발판 위로 돌출된(약42cm) 주틀에 걸려 넘어지면서 1층 바닥으로 추락하여(H≒1.35m) 사망"/>
    <s v="이동식비계 위에서 도장작업 중 몸의 균형을 잃고 안전난간이 설치되지 않은 작업발판 단부로 추락"/>
    <s v="▶ 이동식비계 최상부에는 안전난간을 견고하게 설치하고, 작업의 여건 상 안전난간을 설치하기 어려운 경우에는 안전대 부착설비를 설치하고 안전대 체결 후 작업하도록 관리감독 _x000a_▶ 이동식비계 작업 시 갑작스러운 이동 또는 전도방지를 위하여 발바퀴 고정 및 아웃트리거 설치 등 전도방지조치 준수"/>
  </r>
  <r>
    <n v="4"/>
    <x v="4"/>
    <x v="21"/>
    <x v="39"/>
    <s v="YES"/>
    <x v="12"/>
    <x v="51"/>
    <s v="12대 기인물"/>
    <n v="4"/>
    <n v="6.9000000000000006E-2"/>
    <s v="2017년 11월"/>
    <d v="2017-11-01T00:00:00"/>
    <n v="11"/>
    <s v="-"/>
    <x v="2"/>
    <s v="2017년 11월경 도장공사 현장에서 재해자가 이동식비계 위에서 실내 벽면 및 천정 도장 작업을 위한 퍼티 작업 중, 약 1.6m아래 바닥으로 추락하여 사망"/>
    <s v="이동식비계 위에서 작업 중 몸의 균형을 잃고 안전난간이 설치되지 않은 작업발판 단부로 추락"/>
    <s v="▶ 이동식비계 최상부에는 안전난간을 견고하게 설치하고, 작업의 여건 상 안전난간을 설치하기 어려운 경우에는 안전대 부착설비를 설치하고 안전대 체결 후 작업하도록 관리감독 _x000a_▶ 이동식비계 작업 시 갑작스러운 이동 또는 전도방지를 위하여 발바퀴 고정 및 아웃트리거 설치 등 전도방지조치 준수"/>
  </r>
  <r>
    <n v="4"/>
    <x v="4"/>
    <x v="21"/>
    <x v="39"/>
    <s v="YES"/>
    <x v="12"/>
    <x v="51"/>
    <s v="12대 기인물"/>
    <n v="4"/>
    <n v="6.9000000000000006E-2"/>
    <s v="2018년 6월경"/>
    <d v="2018-06-01T00:00:00"/>
    <n v="6"/>
    <s v="혹서기"/>
    <x v="2"/>
    <s v="2018년 6월경 인테리어 현장에서 재해자가 석고보드 벽체 도장작업(Putty)을 위해 이동식 비계 1단 작업발판 위에서 사다리를 벽체에 기대어 놓고 작업중 이동식비계가 밀리면서 몸의 중심을 잃고 추락(약 2.9m)하여 사망"/>
    <s v="이동식비계 위에서 작업 중 몸의 균형을 잃고 안전난간이 설치되지 않은 작업발판 단부로 추락"/>
    <s v="▶ 이동식비계 최상부에는 안전난간을 견고하게 설치하고, 작업의 여건 상 안전난간을 설치하기 어려운 경우에는 안전대 부착설비를 설치하고 안전대 체결 후 작업하도록 관리감독 _x000a_▶ 이동식비계 작업 시 갑작스러운 이동 또는 전도방지를 위하여 발바퀴 고정 및 아웃트리거 설치 등 전도방지조치 준수"/>
  </r>
  <r>
    <n v="4"/>
    <x v="4"/>
    <x v="21"/>
    <x v="39"/>
    <s v="YES"/>
    <x v="12"/>
    <x v="51"/>
    <s v="12대 기인물"/>
    <n v="4"/>
    <n v="6.9000000000000006E-2"/>
    <s v="2018년 12월"/>
    <d v="2018-12-01T00:00:00"/>
    <n v="12"/>
    <s v="혹한기"/>
    <x v="2"/>
    <s v="2018년 12월경 OO공장 증축공사 현장에서 내화페인트공사 협력업체 소속 재해자가 지상3층 내부 철골 내화페인트 뿜칠작업을 진행하던 중, 이동식비계 작업발판 위에서 약 1.5m 콘크리트 바닥으로 추락하여 사망"/>
    <s v="이동식비계 위에서 도장작업 중 몸의 균형을 잃고 안전난간이 설치되지 않은 작업발판 단부로 추락"/>
    <s v="▶ 이동식비계 최상부에는 안전난간을 견고하게 설치하고, 작업의 여건 상 안전난간을 설치하기 어려운 경우에는 안전대 부착설비를 설치하고 안전대 체결 후 작업하도록 관리감독 _x000a_▶ 이동식비계 작업 시 갑작스러운 이동 또는 전도방지를 위하여 발바퀴 고정 및 아웃트리거 설치 등 전도방지조치 준수"/>
  </r>
  <r>
    <n v="4"/>
    <x v="4"/>
    <x v="21"/>
    <x v="39"/>
    <s v="YES"/>
    <x v="12"/>
    <x v="51"/>
    <s v="12대 기인물"/>
    <n v="4"/>
    <n v="6.9000000000000006E-2"/>
    <s v="2020년 5월경"/>
    <d v="2020-05-01T00:00:00"/>
    <n v="5"/>
    <s v="-"/>
    <x v="2"/>
    <s v="2020년 5월경 개인 식당에서 재해자가 이동식틀비계(H≒1.7m)에서 시스템냉난방기 도색 작업 중 추락하여 사망"/>
    <s v="이동식비계 위에서 도장작업 중 몸의 균형을 잃고 안전난간이 설치되지 않은 작업발판 단부로 추락"/>
    <s v="▶ 이동식비계 최상부에는 안전난간을 견고하게 설치하고, 작업의 여건 상 안전난간을 설치하기 어려운 경우에는 안전대 부착설비를 설치하고 안전대 체결 후 작업하도록 관리감독 _x000a_▶ 이동식비계 작업 시 갑작스러운 이동 또는 전도방지를 위하여 발바퀴 고정 및 아웃트리거 설치 등 전도방지조치 준수"/>
  </r>
  <r>
    <n v="4"/>
    <x v="4"/>
    <x v="21"/>
    <x v="40"/>
    <s v="YES"/>
    <x v="12"/>
    <x v="51"/>
    <s v="12대 기인물"/>
    <n v="4"/>
    <n v="6.9000000000000006E-2"/>
    <s v="2018년 3월경"/>
    <d v="2018-03-01T00:00:00"/>
    <n v="3"/>
    <s v="-"/>
    <x v="2"/>
    <s v="2018년 3월경 OO공장 신축공사 현장에서 협력업체 소속 재해자가 이동식비계 상부 작업발판에서 공장동 철골 보 도장작업 중 아래에 있던 동료작업자가 비계를 이동시키는 순간 몸의 균형을 잃고 바닥으로 추락(H=2.3m)하여 사망"/>
    <s v="이동식비계 위에서 도장 작업 중 몸의 균형을 잃고 안전난간이 설치되지 않은 작업발판 단부로 추락"/>
    <s v="▶ 이동식비계 최상부에는 안전난간을 견고하게 설치하고, 작업의 여건 상 안전난간을 설치하기 어려운 경우에는 안전대 부착설비를 설치하고 안전대 체결 후 작업하도록 관리감독 _x000a_▶ 이동식비계 작업 시 갑작스러운 이동 또는 전도방지를 위하여 발바퀴 고정 및 아웃트리거 설치 등 전도방지조치 준수"/>
  </r>
  <r>
    <n v="4"/>
    <x v="4"/>
    <x v="21"/>
    <x v="40"/>
    <s v="YES"/>
    <x v="12"/>
    <x v="51"/>
    <s v="12대 기인물"/>
    <n v="4"/>
    <n v="6.9000000000000006E-2"/>
    <s v="2019년 2월경"/>
    <d v="2019-02-01T00:00:00"/>
    <n v="2"/>
    <s v="혹한기"/>
    <x v="2"/>
    <s v="2019년 2월경 건물 2층 도장공사 중 재해자가 안전난간이 미설치된 이동식틀비계 위에서 천정 페인트 도장작업시 페인트가 주변에 흩날리는 것을 방지하기 위한 비닐 보양작업 중 이동식틀비계 위에서 추락하여 사망"/>
    <s v="이동식비계 위에서 도장 작업 중 몸의 균형을 잃고 안전난간이 설치되지 않은 작업발판 단부로 추락"/>
    <s v="▶ 이동식비계 최상부에는 안전난간을 견고하게 설치하고, 작업의 여건 상 안전난간을 설치하기 어려운 경우에는 안전대 부착설비를 설치하고 안전대 체결 후 작업하도록 관리감독 _x000a_▶ 이동식비계 작업 시 갑작스러운 이동 또는 전도방지를 위하여 발바퀴 고정 및 아웃트리거 설치 등 전도방지조치 준수"/>
  </r>
  <r>
    <n v="4"/>
    <x v="4"/>
    <x v="21"/>
    <x v="40"/>
    <s v="YES"/>
    <x v="12"/>
    <x v="51"/>
    <s v="12대 기인물"/>
    <n v="4"/>
    <n v="6.9000000000000006E-2"/>
    <s v="2020년 11월"/>
    <d v="2020-11-01T00:00:00"/>
    <n v="11"/>
    <s v="-"/>
    <x v="2"/>
    <s v="2020년 11월경 옥상 도장공사 현장에서 재해자가 이동식 비계의 최상부 작업발판(높이: 3.2m) 위에서 옥상 파라펫 도장작업을 하던 중 약 3.2m아래 콘크리트 바닥으로 추락하여 사망"/>
    <s v="이동식비계 위에서 도장 작업 중 몸의 균형을 잃고 안전난간이 설치되지 않은 작업발판 단부로 추락"/>
    <s v="▶ 이동식비계 최상부에는 안전난간을 견고하게 설치하고, 작업의 여건 상 안전난간을 설치하기 어려운 경우에는 안전대 부착설비를 설치하고 안전대 체결 후 작업하도록 관리감독 _x000a_▶ 이동식비계 작업 시 갑작스러운 이동 또는 전도방지를 위하여 발바퀴 고정 및 아웃트리거 설치 등 전도방지조치 준수"/>
  </r>
  <r>
    <n v="4"/>
    <x v="4"/>
    <x v="12"/>
    <x v="18"/>
    <s v="YES"/>
    <x v="12"/>
    <x v="51"/>
    <s v="12대 기인물"/>
    <n v="4"/>
    <n v="6.9000000000000006E-2"/>
    <s v="2016년 1월경"/>
    <d v="2016-01-01T00:00:00"/>
    <n v="1"/>
    <s v="혹한기"/>
    <x v="2"/>
    <s v="2016년 1월경 OO공장 철도창고 셧터교체 현장에서, 재해자가 이동식비계 최상부에서 셔터 해체작업 중 셔터가 이동식 비계 최상단으로 낙하하여 그 충격으로 인해 재해자가 3m 아래 바닥으로 추락하여 사망"/>
    <s v="로프 안전난간을 설치한 이동식비계에서 작업 중 설치부재가 작업발판으로 낙하하면서 그 충격에 의해 작업발판 단부로 추락"/>
    <s v="▶ 이동식 비계 조립 사용 시 견고한 안전난간 설치_x000a_▶ 이동식 비계 난간이 아닌 견고한 구조물 상부에 안전대를 체결하고 작업 _x000a_▶ 개인보호구 지급 및 착용"/>
  </r>
  <r>
    <n v="4"/>
    <x v="4"/>
    <x v="12"/>
    <x v="18"/>
    <s v="YES"/>
    <x v="12"/>
    <x v="51"/>
    <s v="12대 기인물"/>
    <n v="4"/>
    <n v="6.9000000000000006E-2"/>
    <s v="2017년 7월경"/>
    <d v="2017-07-01T00:00:00"/>
    <n v="7"/>
    <s v="혹서기"/>
    <x v="2"/>
    <s v="2017년 7월경 OOOOO 인테리어 공사 현장에서 재해자가 이동식비계 2단 발판 상부(H≒3.7m)에서 경량철골 천장틀 설치작업 중 이동식비계가 넘어가면서 아래로 떨어져 머리를 부딪혀 사망"/>
    <s v="이동식비계에서 작업 중 몸의 반동으로 비계 위치를 이동시키려다 슬래브간 단차부위에 바퀴가 빠지면서 전도되어 재해자가 몸의 중심을 잃고 추락"/>
    <s v="▶ 이동식비계 작업시 브레이크, 쐐기 등으로 바퀴를 고정시키고 아웃트리거를 설치하여 전도방지조치 준수_x000a_▶ 이동식비계를 사용할 작업장 바닥의 단차, 요철 등을 제거하여 바닥을 청결하게 유지"/>
  </r>
  <r>
    <n v="4"/>
    <x v="4"/>
    <x v="12"/>
    <x v="18"/>
    <s v="YES"/>
    <x v="12"/>
    <x v="51"/>
    <s v="12대 기인물"/>
    <n v="4"/>
    <n v="6.9000000000000006E-2"/>
    <s v="2018년 10월"/>
    <d v="2018-10-01T00:00:00"/>
    <n v="10"/>
    <s v="-"/>
    <x v="2"/>
    <s v="2018년 10월경 축사 개축공사 현장에서 재해자가 이동식비계 2단에서 처마물받이 설치를 위해 자재를 받들고 있던 중 떨어져(H≒3.5m) 사망"/>
    <s v="안전난간이 설치되지 않은 이동식비계 상부 작업발판에서 작업 중 몸의 중심을 잃고 지면으로 추락"/>
    <s v="▶ 견고한 작업발판 사용 및 이동식비계 안전난간 설치_x000a_▶ 근로자 개인보호구(안전모, 안전대) 지급 및 착용"/>
  </r>
  <r>
    <n v="4"/>
    <x v="4"/>
    <x v="12"/>
    <x v="18"/>
    <s v="YES"/>
    <x v="12"/>
    <x v="51"/>
    <s v="12대 기인물"/>
    <n v="4"/>
    <n v="6.9000000000000006E-2"/>
    <s v="2019년 5월경"/>
    <d v="2019-05-01T00:00:00"/>
    <n v="5"/>
    <s v="-"/>
    <x v="2"/>
    <s v="2019년 5월경 노후상가 시설 보수보강공사 현장에서 재해자가 지상5층 천정 보강재(ㄷ형강) 브라켓 설치를 위하여 이동식 비계 상부에서 용접작업 중 몸의 중심을 잃고 창틀 단부에서 지상1층 바닥으로 추락하여(H≒15.5m) 사망"/>
    <s v="안전난간을 설치하지 않은 이동식비계에서 작업 중 발을 헛디뎌 주변 개구부로 추락"/>
    <s v="▶ 이동식 비계 조립 사용 시 견고한 안전난간 설치_x000a_▶ 이동식 비계 난간이 아닌 견고한 구조물 상부에 안전대를 체결하고 작업 _x000a_▶ 개인보호구 지급 및 착용"/>
  </r>
  <r>
    <n v="4"/>
    <x v="4"/>
    <x v="12"/>
    <x v="18"/>
    <s v="YES"/>
    <x v="12"/>
    <x v="51"/>
    <s v="12대 기인물"/>
    <n v="4"/>
    <n v="6.9000000000000006E-2"/>
    <s v="2020년 8월경"/>
    <d v="2020-08-01T00:00:00"/>
    <n v="8"/>
    <s v="혹서기"/>
    <x v="2"/>
    <s v="2020년 8월경 빗물받이공사 현장에서 재해자가 빗물받이 설치를 위해 작업을 하던 중 이동식비계 작업발판 상부에서 지상 바닥으로 추락(H≒3m)하여 사망"/>
    <s v="이동식비계에서 작업 중 발을 헛디뎌 안전난간을 설치하지 않은 작업발판 단부로 추락"/>
    <s v="▶ 이동식 비계 조립 사용 시 견고한 안전난간 설치_x000a_▶ 이동식 비계 난간이 아닌 견고한 구조물 상부에 안전대를 체결하고 작업 _x000a_▶ 개인보호구 지급 및 착용"/>
  </r>
  <r>
    <n v="4"/>
    <x v="4"/>
    <x v="13"/>
    <x v="19"/>
    <s v="YES"/>
    <x v="12"/>
    <x v="51"/>
    <s v="12대 기인물"/>
    <n v="4"/>
    <n v="6.9000000000000006E-2"/>
    <s v="2019년 7월경"/>
    <d v="2019-07-01T00:00:00"/>
    <n v="7"/>
    <s v="혹서기"/>
    <x v="2"/>
    <s v="2019년 7월경 재해자(일반인부)가 OO인테리어 공사현장에서, 샌드위치패널로 설치된 천장이음부 들뜸 보수작업을 하기 위하여 안전난간이 설치되지 않은 이동식비계(높이 : 1.83m)위의 작업발판으로 올라가 천장 패널을 밀어올리던 중 중심을 잃고 자재가 쌓여있던(C형강)바닥으로 떨어져(높이 : 1.83m) 사망(추정)"/>
    <s v="이동식비계에서 양손으로 자재를 들어올리던 중 몸의 중심을 잃고 안전난간이 설치되지 않은 작업발판 단부로 추락"/>
    <s v="▶ 이동식비계 조립 시 안전난간, 아웃트리거 지지, 구름방지장치 등 설치기준을 준수하여 추락 및 전도방지 조치 철저_x000a_▶ 이동식비계 부재(주틀, 안전난간, 발바퀴, 아웃트리거 등)는 방호장치 안전인증 기준에 적합한 제품을 사용_x000a_▶ 부득이하게 안전난간 일부를 해체해야할 경우, 관리감독자 등 감시자 배치 및 근로자 안전대 체결여부 관리감독_x000a_▶ 이동식비계 승하강용 사다리 이용하여 이동 시, 작업자 실족 및 추락방지 하기 위한 작업장 조도 확보(적절한 조명기구 설치 등)_x000a_▶ 작업자의 개인보호구, 안전대 체결여부 점검 및 관리감독"/>
  </r>
  <r>
    <n v="4"/>
    <x v="4"/>
    <x v="13"/>
    <x v="42"/>
    <s v="YES"/>
    <x v="12"/>
    <x v="51"/>
    <s v="12대 기인물"/>
    <n v="4"/>
    <n v="6.9000000000000006E-2"/>
    <s v="2017년 4월경"/>
    <d v="2017-04-01T00:00:00"/>
    <n v="4"/>
    <s v="-"/>
    <x v="2"/>
    <s v="2017년 4월경 ㈜OO OO실험동 신축공사 현장에서, 소속 재해자(뿜칠공)가 실험동 3층에서 천정 단열재 퍼티작업으로 사용 예정이던 이동식 비계 하부에 쓰러져 있는 상태로 발견되어 치료 중 사망"/>
    <s v="이동식비계에서 작업 중 발을 헛디뎌 안전난간이 설치되지 않은 작업발판 단부로 추락"/>
    <s v="▶ 이동식비계 조립 시 안전난간, 아웃트리거 지지, 구름방지장치 등 설치기준을 준수하여 추락 및 전도방지 조치 철저_x000a_▶ 이동식비계 부재(주틀, 안전난간, 발바퀴, 아웃트리거 등)는 방호장치 안전인증 기준에 적합한 제품을 사용_x000a_▶ 부득이하게 안전난간 일부를 해체해야할 경우, 관리감독자 등 감시자 배치 및 근로자 안전대 체결여부 관리감독_x000a_▶ 이동식비계 승하강용 사다리 이용하여 이동 시, 작업자 실족 및 추락방지 하기 위한 작업장 조도 확보(적절한 조명기구 설치 등)_x000a_▶ 작업자의 개인보호구, 안전대 체결여부 점검 및 관리감독"/>
  </r>
  <r>
    <n v="4"/>
    <x v="4"/>
    <x v="13"/>
    <x v="42"/>
    <s v="YES"/>
    <x v="12"/>
    <x v="51"/>
    <s v="12대 기인물"/>
    <n v="4"/>
    <n v="6.9000000000000006E-2"/>
    <s v="2018년 5월경"/>
    <d v="2018-05-01T00:00:00"/>
    <n v="5"/>
    <s v="-"/>
    <x v="2"/>
    <s v="2018년 5월경 OO(주) OO청사 신축공사 현장에서 협력업체 소속 재해자(수장공)가 지하1층에 설치되어있던 이동식 비계 3단 작업발판 안전난간대에 결속된 강관파이프를 해체하고 승·하강용 사다리를 이용하여 내려오던 중 작업발판 1단과 2단 사이 (높이 약 3.1m) 사다리에서 바닥으로 떨어져 사망"/>
    <s v="이동식비계에서 내려오던 중 발을 헛디뎌 바닥으로 추락"/>
    <s v="▶ 이동식 비계 승하강용 사다리를 이용하여 이동하는 경우 수직구명줄, 안전블럭 등 안전대 부착설비를 설치하여 근로자 추락 방지_x000a_▶ 이동식비계 승하강용 사다리 이용하여 이동 시, 작업자 실족 및 추락방지 하기 위한 작업장 조도 확보(적절한 조명기구 설치 등)_x000a_▶ 작업자의 개인보호구, 안전대 체결여부 점검 및 관리감독"/>
  </r>
  <r>
    <n v="4"/>
    <x v="4"/>
    <x v="13"/>
    <x v="42"/>
    <s v="YES"/>
    <x v="12"/>
    <x v="51"/>
    <s v="12대 기인물"/>
    <n v="4"/>
    <n v="6.9000000000000006E-2"/>
    <s v="2018년 9월경"/>
    <d v="2018-09-01T00:00:00"/>
    <n v="9"/>
    <s v="-"/>
    <x v="2"/>
    <s v="2018년 9월경 OO건설에서 시공하는 아파트 건설공사 현장에서 재해자가 지상 4층 내부 벽체의 모서리 비드 설치를 위해 이동식비계 오르던 중 몸의 중심을 잃고 약 1.0m 아래 콘크리트 바닥으로 추락하여 사망"/>
    <s v="승하강용 사다리가 미설치된 이동식비계에 오르던 중 추락"/>
    <s v="▶ 이동식 비계에는 승하강용 사다리를 설치하고 수직구명줄, 안전블럭 등 안전대 부착설비를 설치하여 근로자 추락 방지_x000a_▶ 이동식비계 승하강용 사다리 이용하여 이동 시, 작업자 실족 및 추락방지 하기 위한 작업장 조도 확보(적절한 조명기구 설치 등)_x000a_▶ 작업자의 개인보호구, 안전대 체결여부 점검 및 관리감독"/>
  </r>
  <r>
    <n v="4"/>
    <x v="4"/>
    <x v="13"/>
    <x v="42"/>
    <s v="YES"/>
    <x v="12"/>
    <x v="51"/>
    <s v="12대 기인물"/>
    <n v="4"/>
    <n v="6.9000000000000006E-2"/>
    <s v="2018년 11월"/>
    <d v="2018-11-01T00:00:00"/>
    <n v="11"/>
    <s v="-"/>
    <x v="2"/>
    <s v="2018년 11월경 ㈜OO 인테리어공사 현장에서 재해자(내장목공)이 1층 내부의 경량 칸막이설치공사를 위하여 이동식비계(높이1.8M)의 작업발판 위에 올라가 경량 철골(길이 4M,무게 3kg)틀을 세우던 중 난간이 미설치된 작업발판 단부에서 몸의 중심을 잃고 1.8M 하부 콘크리트 바닥으로 떨어져 사망"/>
    <s v="이동식비계에서 작업 중 발을 헛디뎌 안전난간이 설치되지 않은 작업발판 단부로 추락"/>
    <s v="▶ 이동식비계 조립 시 안전난간, 아웃트리거 지지, 구름방지장치 등 설치기준을 준수하여 추락 및 전도방지 조치 철저_x000a_▶ 이동식비계 부재(주틀, 안전난간, 발바퀴, 아웃트리거 등)는 방호장치 안전인증 기준에 적합한 제품을 사용_x000a_▶ 부득이하게 안전난간 일부를 해체해야할 경우, 관리감독자 등 감시자 배치 및 근로자 안전대 체결여부 관리감독_x000a_▶ 이동식비계 승하강용 사다리 이용하여 이동 시, 작업자 실족 및 추락방지 하기 위한 작업장 조도 확보(적절한 조명기구 설치 등)_x000a_▶ 작업자의 개인보호구, 안전대 체결여부 점검 및 관리감독"/>
  </r>
  <r>
    <n v="4"/>
    <x v="4"/>
    <x v="13"/>
    <x v="42"/>
    <s v="YES"/>
    <x v="12"/>
    <x v="51"/>
    <s v="12대 기인물"/>
    <n v="4"/>
    <n v="6.9000000000000006E-2"/>
    <s v="2019년 2월경"/>
    <d v="2019-02-01T00:00:00"/>
    <n v="2"/>
    <s v="혹한기"/>
    <x v="2"/>
    <s v="2019년 2월경 OO빌딩 내장공사 현장에서 재해자(내장공)가 이동식비계 위에서 천장 마감예정 부위의 석고보드 크기 측정 중, 몸의 중심을 잃고 벽체(석고보드)에 머리를 부딪히며 약 1.3m 아래의 바닥으로 추락하여 사망"/>
    <s v="이동식비계에서 작업발판 외부로 몸을 내밀어 한발로 딛고 선 자세에서 작업하던 중 몸의 중심을 잃고 벽체에 머리를 부딪힌 후 안전난간이 설치되지 않은 작업발판 단부로 추락"/>
    <s v="▶ 이동식비계 조립 시 안전난간, 아웃트리거 지지, 구름방지장치 등 설치기준을 준수하여 추락 및 전도방지 조치 철저_x000a_▶ 이동식비계 부재(주틀, 안전난간, 발바퀴, 아웃트리거 등)는 방호장치 안전인증 기준에 적합한 제품을 사용_x000a_▶ 부득이하게 안전난간 일부를 해체해야할 경우, 관리감독자 등 감시자 배치 및 근로자 안전대 체결여부 관리감독_x000a_▶ 이동식비계 승하강용 사다리 이용하여 이동 시, 작업자 실족 및 추락방지 하기 위한 작업장 조도 확보(적절한 조명기구 설치 등)_x000a_▶ 작업자의 개인보호구, 안전대 체결여부 점검 및 관리감독"/>
  </r>
  <r>
    <n v="4"/>
    <x v="4"/>
    <x v="13"/>
    <x v="42"/>
    <s v="YES"/>
    <x v="12"/>
    <x v="51"/>
    <s v="12대 기인물"/>
    <n v="4"/>
    <n v="6.9000000000000006E-2"/>
    <s v="2019년 6월경"/>
    <d v="2019-06-01T00:00:00"/>
    <n v="6"/>
    <s v="혹서기"/>
    <x v="1"/>
    <s v="2019년 6월경 OO건설(주)이 시공하는 OO고등학교 다목적 강당 및 급식소 증축 미완성부분 마감공사 현장에서 협력업체 소속 내장목공인 재해자 2명이 강당 내부마감재 잔손보기작업을 위해 이동식비계 설치작업 중 이동식비계(3단)가 전도하면서 높이 약 5.1m아래 강당 바닥으로 떨어져 좌측 발목과 양측 발목에 각각 부상"/>
    <s v="발 바퀴 미고정 및 아웃트리거 설치불량 상태에서 이동식비계를 연장하여 조립하던 중 작업하중 등에 의해 이동식비계가 전도되어 추락     "/>
    <s v="▶ 이동식비계 조립 시 아웃트리거 지지, 구름방지장치 체결 등 설치기준을 준수하여 전도방지 조치 철저히 하고 작업 전 관리감독자의 확인 등을 수행_x000a_▶ 이동식비계 부재(발바퀴, 아웃트리거 등)는 방호장치 안전인증 기준에 적합한 제품을 사용_x000a_▶ 작업자의 개인보호구 착용상태 점검 및 관리감독"/>
  </r>
  <r>
    <n v="4"/>
    <x v="4"/>
    <x v="13"/>
    <x v="42"/>
    <s v="YES"/>
    <x v="12"/>
    <x v="51"/>
    <s v="12대 기인물"/>
    <n v="4"/>
    <n v="6.9000000000000006E-2"/>
    <s v="2020년 11월"/>
    <d v="2020-11-01T00:00:00"/>
    <n v="11"/>
    <s v="-"/>
    <x v="2"/>
    <s v="2020년 11월경 개인이 직영으로 공사하는 단독주택 신축공사 현장에서 재해자(도배공)이 지상 2층에서 이동식비계를 사용하여 천장(높이 약 3.5m) 도배작업을 하던 중 실족하여 높이 약 1.7m 아래 바닥으로 추락하여 사망"/>
    <s v="이동식비계에서 작업 중 발을 헛디뎌 안전난간이 설치되지 않은 작업발판 단부로 추락"/>
    <s v="▶ 이동식비계 조립 시 안전난간, 아웃트리거 지지, 구름방지장치 등 설치기준을 준수하여 추락 및 전도방지 조치 철저_x000a_▶ 이동식비계 부재(주틀, 안전난간, 발바퀴, 아웃트리거 등)는 방호장치 안전인증 기준에 적합한 제품을 사용_x000a_▶ 부득이하게 안전난간 일부를 해체해야할 경우, 관리감독자 등 감시자 배치 및 근로자 안전대 체결여부 관리감독_x000a_▶ 이동식비계 승하강용 사다리 이용하여 이동 시, 작업자 실족 및 추락방지 하기 위한 작업장 조도 확보(적절한 조명기구 설치 등)_x000a_▶ 작업자의 개인보호구, 안전대 체결여부 점검 및 관리감독"/>
  </r>
  <r>
    <n v="4"/>
    <x v="4"/>
    <x v="13"/>
    <x v="42"/>
    <s v="YES"/>
    <x v="12"/>
    <x v="51"/>
    <s v="12대 기인물"/>
    <n v="4"/>
    <n v="6.9000000000000006E-2"/>
    <s v="2021년 6월경"/>
    <d v="2021-06-01T00:00:00"/>
    <n v="6"/>
    <s v="혹서기"/>
    <x v="8"/>
    <s v="2021년 6월경 ㈜OO디자인에서 시공하는 OO 인테리어 공사 현장에서 재해자가 가벽설치작업을 마치고 높이 약 1.7m 이동식 비계를 내려오던 도중 발이 미끄러져 뒤로 넘어지면서 재해자 뒤에 있던 높이 약 0.55m 말비계에 머리를 부딪쳐 사망"/>
    <s v="이동식비계에서 내려오던 중 발이 미끄러져 뒤로 넘어지면서 말비계에 머리를 부딪힘"/>
    <s v="▶ 이동식비계 승, 하강 시 지정된 통로(승하강용 사다리)를 이용_x000a_▶ 이동식비계 승하강용 사다리 이용하여 이동 시 작업자 실족 및 추락방지 하기 위한 작업장 조도 확보(적절한 조명기구 설치 등)_x000a_▶ 근로자가 떨어지거나 넘어질 수 있는 작업반경 내 장애물이 없도록 정리정돈 및 관리감독_x000a_▶ 작업자의 개인보호구 착용상태 점검 및 관리감독"/>
  </r>
  <r>
    <n v="4"/>
    <x v="4"/>
    <x v="14"/>
    <x v="20"/>
    <s v="YES"/>
    <x v="12"/>
    <x v="51"/>
    <s v="12대 기인물"/>
    <n v="4"/>
    <n v="6.9000000000000006E-2"/>
    <s v="2016년 2월경"/>
    <d v="2016-02-01T00:00:00"/>
    <n v="2"/>
    <s v="혹한기"/>
    <x v="2"/>
    <s v="2016년 2월경 철물점 개·보수공사 현장에서 재해자가 이동식 비계(2단)를 사용하여 벽체 함석판넬 도색작업을 하던 중 틀비계 상부에 설치된 작업발판(높이 약 3m)에서 떨어져 사망"/>
    <s v="이동식비계에서 작업 중 발을 헛디뎌 안전난간이 설치되지 않은 작업발판 단부로 추락"/>
    <s v="▶ 이동식비계 조립 시 안전난간, 아웃트리거 지지, 구름방지장치 등 설치기준을 준수하여 추락 및 전도방지 조치 철저_x000a_▶ 이동식비계 부재(주틀, 안전난간, 발바퀴, 아웃트리거 등)는 방호장치 안전인증 기준에 적합한 제품을 사용_x000a_▶ 부득이하게 안전난간 일부를 해체하여 작업할 경우, 근로자 안전대 착용 및 체결여부 확인을 위한 관리감독자 배치 등 관리감독_x000a_▶ 이동식비계 승하강용 사다리 이용하여 이동 시, 작업자 실족 및 추락방지 하기 위한 작업장 조도 확보(적절한 조명기구 설치 등)_x000a_▶ 작업자의 개인보호구, 안전대 체결여부 점검 및 관리감독"/>
  </r>
  <r>
    <n v="4"/>
    <x v="4"/>
    <x v="14"/>
    <x v="20"/>
    <s v="YES"/>
    <x v="12"/>
    <x v="51"/>
    <s v="12대 기인물"/>
    <n v="4"/>
    <n v="6.9000000000000006E-2"/>
    <s v="2016년 5월경"/>
    <d v="2016-05-01T00:00:00"/>
    <n v="5"/>
    <s v="-"/>
    <x v="2"/>
    <s v="2016년 5월경 창고 신축공사 현장에서 재해자가 지붕판 틈새 등에 실리콘 방수작업을 하기 위해 창고 출입구 앞에 설치되어 있던 이동식비계(2단, 높이 3.4m)를 이용하여 지붕(높이 5m) 위로 올라가던 중, 이동식비계와 사다리가 넘어지며 3.4~5.0m 아래 지상으로 떨어져 사망"/>
    <s v="이동식비계를 이용해 지붕위로 올라가던 중, 이동식비계가 넘어지며 근로자 추락 "/>
    <s v="▶ 지붕 위로 이동작업 시 가설통로 설치_x000a_▶ 경사가 30° 이상일 경우 계단 설치 및 추락위험 장소에는 안전난간 설치_x000a_▶ 이동식 비계 설치 시 전도방지를 위해 견고한 시설물에 고정 또는 아웃트리거 사용_x000a_▶ 개인보호구 지급 및 착용"/>
  </r>
  <r>
    <n v="4"/>
    <x v="4"/>
    <x v="14"/>
    <x v="20"/>
    <s v="YES"/>
    <x v="12"/>
    <x v="51"/>
    <s v="12대 기인물"/>
    <n v="4"/>
    <n v="6.9000000000000006E-2"/>
    <s v="2019년 7월경"/>
    <d v="2019-07-01T00:00:00"/>
    <n v="7"/>
    <s v="혹서기"/>
    <x v="2"/>
    <s v="2019년 7월경 개인이 직영으로 시공하는 OO 축사 부분철거공사 현장에서 재해자(용접공)가 이동식비계 2단을 설치·탑승하여 퇴비사 기둥재와 지붕 장선재 연결부위에 보강용 덧댐판을 용접하던 중, 중심을 잃고 콘크리트 바닥으로 떨어져(H:약3.8m) 사망"/>
    <s v="이동식비계에서 작업 중 발을 헛디뎌 안전난간이 설치되지 않은 작업발판 단부로 추락"/>
    <s v="▶ 이동식비계 조립 시 안전난간, 아웃트리거 지지, 구름방지장치 등 설치기준을 준수하여 추락 및 전도방지 조치 철저_x000a_▶ 이동식비계 부재(주틀, 안전난간, 발바퀴, 아웃트리거 등)는 방호장치 안전인증 기준에 적합한 제품을 사용_x000a_▶ 부득이하게 안전난간 일부를 해체하여 작업할 경우, 근로자 안전대 착용 및 체결여부 확인을 위한 관리감독자 배치 등 관리감독_x000a_▶ 이동식비계 승하강용 사다리 이용하여 이동 시, 작업자 실족 및 추락방지 하기 위한 작업장 조도 확보(적절한 조명기구 설치 등)_x000a_▶ 작업자의 개인보호구, 안전대 체결여부 점검 및 관리감독"/>
  </r>
  <r>
    <n v="4"/>
    <x v="4"/>
    <x v="14"/>
    <x v="20"/>
    <s v="YES"/>
    <x v="12"/>
    <x v="51"/>
    <s v="12대 기인물"/>
    <n v="4"/>
    <n v="6.9000000000000006E-2"/>
    <s v="2019년 11월"/>
    <d v="2019-11-01T00:00:00"/>
    <n v="11"/>
    <s v="-"/>
    <x v="2"/>
    <s v="2019년 11월경 OO판넬이 시공하는 OO공장 창고 신축공사 현장에서 협력업체 소속 재해자가 철골지붕 상부로 샌드위치 판넬을 운반하는 작업을 수행하던 중 이동식비계에서 몸의 균형을 잃고 지상 콘크리트 바닥으로 추락(≒1.7m)하여 사망"/>
    <s v="이동식비계에서 작업 중 발을 헛디뎌 안전난간이 설치되지 않은 작업발판 단부로 추락"/>
    <s v="▶ 이동식비계 조립 시 안전난간, 아웃트리거 지지, 구름방지장치 등 설치기준을 준수하여 추락 및 전도방지 조치 철저_x000a_▶ 이동식비계 부재(주틀, 안전난간, 발바퀴, 아웃트리거 등)는 방호장치 안전인증 기준에 적합한 제품을 사용_x000a_▶ 부득이하게 안전난간 일부를 해체하여 작업할 경우, 근로자 안전대 착용 및 체결여부 확인을 위한 관리감독자 배치 등 관리감독_x000a_▶ 이동식비계 승하강용 사다리 이용하여 이동 시, 작업자 실족 및 추락방지 하기 위한 작업장 조도 확보(적절한 조명기구 설치 등)_x000a_▶ 작업자의 개인보호구, 안전대 체결여부 점검 및 관리감독"/>
  </r>
  <r>
    <n v="4"/>
    <x v="4"/>
    <x v="14"/>
    <x v="20"/>
    <s v="YES"/>
    <x v="12"/>
    <x v="51"/>
    <s v="12대 기인물"/>
    <n v="4"/>
    <n v="6.9000000000000006E-2"/>
    <s v="2020년 3월경"/>
    <d v="2020-03-01T00:00:00"/>
    <n v="3"/>
    <s v="-"/>
    <x v="2"/>
    <s v="2020년 3월경 농기계창고 신축공사 현장에서 재해자(패널공)가 지붕패널 설치작업 후 이동식 비계의 디딤대 부분을 밟고 내려오던 중, 발을 헛딛으면서 하부 콘크리트 바닥으로 추락(H≒1.7m)하여 사망"/>
    <s v="이동식비계에서 내려오던 중 발을 헛디뎌 추락"/>
    <s v="▶ 이동식비계에 승, 하강 시 지정된 통로(승하강용 사다리)를 이용_x000a_▶ 이동식비계 승하강용 사다리 이용하여 이동 시 작업자 실족 및 추락방지 하기 위한 작업장 조도 확보(적절한 조명기구 설치 등)_x000a_▶ 작업자의 개인보호구, 안전대 체결여부 점검 및 관리감독"/>
  </r>
  <r>
    <n v="4"/>
    <x v="4"/>
    <x v="14"/>
    <x v="20"/>
    <s v="YES"/>
    <x v="12"/>
    <x v="51"/>
    <s v="12대 기인물"/>
    <n v="4"/>
    <n v="6.9000000000000006E-2"/>
    <s v="2020년 6월경"/>
    <d v="2020-06-01T00:00:00"/>
    <n v="6"/>
    <s v="혹서기"/>
    <x v="2"/>
    <s v="2020년 6월경 ㈜OO 근생 신축공사 현장에서 재해자가 지상2층 외부 접이식사다리 상부에서 철재 판넬 용접작업을 하던 중, 동료작업자 2인이 올라가 있던 이동식비계가 전도되면서 접이식사다리를 가격하여 재해자가 추락(H≒2.0m)하여 사망"/>
    <s v="이동식사다리에서 작업 중 인근에서 작업중이던 이동식비계가 전도되면서 사다리와 충돌하여 재해자가 몸의 중심을 잃고 추락"/>
    <s v="▶ 이동식비계 조립 시 아웃트리거 지지, 구름방지장치 등 설치기준을 준수하여 전도방지 조치 철저_x000a_▶ 이동식비계 부재(주틀, 안전난간, 발바퀴, 아웃트리거 등)는 방호장치 안전인증 기준에 적합한 제품을 사용_x000a_▶ 고소작업 시 사다리 사용을 지양하고, 비교적 안전한 시저형 고소작업대 또는 이동식 비계를 기준에 맞게 설치하여 작업 실시"/>
  </r>
  <r>
    <n v="4"/>
    <x v="4"/>
    <x v="14"/>
    <x v="20"/>
    <s v="YES"/>
    <x v="12"/>
    <x v="51"/>
    <s v="12대 기인물"/>
    <n v="4"/>
    <n v="6.9000000000000006E-2"/>
    <s v="2021년 5월경"/>
    <d v="2021-05-01T00:00:00"/>
    <n v="5"/>
    <s v="-"/>
    <x v="2"/>
    <s v="2021년 5월경 단독주택 신축공사 현장에서 재해자가 주택 내부 천장 패널 설치작업 중 안전난간이 설치되지 않은 이동식비계 작업발판에서 바닥(H≒1.4m)으로 떨어져 사망"/>
    <s v="이동식비계에서 작업 중 발을 헛디뎌 안전난간이 설치되지 않은 작업발판 단부로 추락"/>
    <s v="▶ 이동식비계 조립 시 안전난간, 아웃트리거 지지, 구름방지장치 등 설치기준을 준수하여 추락 및 전도방지 조치 철저_x000a_▶ 이동식비계 부재(주틀, 안전난간, 발바퀴, 아웃트리거 등)는 방호장치 안전인증 기준에 적합한 제품을 사용_x000a_▶ 부득이하게 안전난간 일부를 해체하여 작업할 경우, 근로자 안전대 착용 및 체결여부 확인을 위한 관리감독자 배치 등 관리감독_x000a_▶ 이동식비계 승하강용 사다리 이용하여 이동 시, 작업자 실족 및 추락방지 하기 위한 작업장 조도 확보(적절한 조명기구 설치 등)_x000a_▶ 작업자의 개인보호구, 안전대 체결여부 점검 및 관리감독"/>
  </r>
  <r>
    <n v="5"/>
    <x v="5"/>
    <x v="15"/>
    <x v="45"/>
    <s v="YES"/>
    <x v="12"/>
    <x v="51"/>
    <s v="12대 기인물"/>
    <n v="4"/>
    <n v="6.9000000000000006E-2"/>
    <s v="2021년 2월경"/>
    <d v="2021-02-01T00:00:00"/>
    <n v="2"/>
    <s v="혹한기"/>
    <x v="2"/>
    <s v="2021년 2월경 OO공사에서 재해자가 이동식 비계 상부에서 전기 배선작업 중 높이 약 2.7m 아래로 추락하여 사망"/>
    <s v="이동식 비계 상부에서 전기 배선작업 중이던 작업자가 바닥으로 떨어짐"/>
    <s v="▶ 추락할 위험이 있는 작업 시, 안전난간, 작업발판 등 안전방호조치 실시_x000a_▶ 작업 전 개인보호구 지급 및 착용상태 관리"/>
  </r>
  <r>
    <n v="5"/>
    <x v="5"/>
    <x v="15"/>
    <x v="46"/>
    <s v="YES"/>
    <x v="12"/>
    <x v="51"/>
    <s v="12대 기인물"/>
    <n v="4"/>
    <n v="6.9000000000000006E-2"/>
    <s v="2015년 4월경"/>
    <d v="2015-04-01T00:00:00"/>
    <n v="4"/>
    <s v="-"/>
    <x v="2"/>
    <s v="2015년 4월경 OO공사에서 재해자가 천장 조명배관 설치 작업준비 중 이동식비계(1단)에서 내려오다가 바닥으로 추락하여 사망 "/>
    <s v="천장 조명배관 설치 작업 중 이동식비계에서 내려오다가 바닥으로 추락"/>
    <s v="▶ 이동식비계를 조립하여 작업 시 추락위험 방지를 위해 비계 상부에 안전난간 설치_x000a_▶ 이동식비계에서 작업 시 안전대 부착설비 설치 및 안전대 착용_x000a_▶ 근로자가 떨어질 위험이 있는 작업 시 안전모를 지급하고 안전모 턱끈 체결 등 개인보호구 올바른 착용 관리 철저"/>
  </r>
  <r>
    <n v="5"/>
    <x v="5"/>
    <x v="15"/>
    <x v="46"/>
    <s v="YES"/>
    <x v="12"/>
    <x v="51"/>
    <s v="12대 기인물"/>
    <n v="4"/>
    <n v="6.9000000000000006E-2"/>
    <s v="2017년 4월경"/>
    <d v="2017-04-01T00:00:00"/>
    <n v="4"/>
    <s v="-"/>
    <x v="2"/>
    <s v="2017년 4월경 OO공사에서 재해자가 안전난간이 설치되지 않은 이동식 비계(2단) 위에서 임시로 고정된 전선의 결속선(φ2mm, 구리)을 절단하던 중 몸의 중심을 잃고 바닥으로 추락하여(H≒3.6m) 사망 "/>
    <s v="이동식 비계 위에서 임시고정된 전선의 결속선 절단 중 몸의 중심을 잃고 바닥으로 추락"/>
    <s v="▶ 이동식비계를 조립하여 작업 시 추락위험 방지를 위해 비계 상부에 안전난간 설치_x000a_▶ 이동식비계에서 작업 시 안전대 부착설비 설치 및 안전대 착용_x000a_▶ 근로자가 떨어질 위험이 있는 작업 시 안전모를 지급하고 안전모 턱끈 체결 등 개인보호구 올바른 착용 관리 철저"/>
  </r>
  <r>
    <n v="5"/>
    <x v="5"/>
    <x v="15"/>
    <x v="46"/>
    <s v="YES"/>
    <x v="12"/>
    <x v="51"/>
    <s v="12대 기인물"/>
    <n v="4"/>
    <n v="6.9000000000000006E-2"/>
    <s v="2019년 2월경"/>
    <d v="2019-02-01T00:00:00"/>
    <n v="2"/>
    <s v="혹한기"/>
    <x v="2"/>
    <s v="2019년 2월경 OO공사에서 재해자가 이동식비계 작업발판에서 센서 교체 작업을 확인하던 중 바닥으로 추락하여(H≒3m) 사망"/>
    <s v="전등 스위치박스, 후드캡설치 및 조명배관, 소방배관등 설치 작업중 2m이상의 높이에서 바닥으로 추락"/>
    <s v="▶ 2m이상의 고소작업시 안전한 작업발판을 설치하여 작업(이동식 비계 설치사용)_x000a_▶ 이동식비계 설치 사용시 안전수칙 준수_x000a_   - 이동식비계 상단부 안전난간대 설치_x000a_   - 전도방지를 위한 하단부 아웃트리거 설치(4지점)_x000a_   - 작업발판 상부에서 작업자는 안전대 체결 후 작업실시_x000a_     =&gt; 이동식 틀비계에 안전대를 체결시 안전대의 최하사점을 고려하여 체결_x000a_     =&gt; 이동식 틀비계 1조당 1.8m높이로 2조이상 조립시 틀비계에 안전대를 체결_x000a_   - 이동식비계 조립시 주요 구조부 조립상태 확인(가새재 설치, 승강사다리 디딤대에 작업발판 설치 금지)_x000a_   - 이동식비계 승강시 해치발판을 설치하여 내측으로 승강사다리 사용_x000a_   - 작업자의 불안전한 행동 금지 (안전난간 상단부를 딛고 작업실시)"/>
  </r>
  <r>
    <n v="5"/>
    <x v="5"/>
    <x v="15"/>
    <x v="46"/>
    <s v="YES"/>
    <x v="12"/>
    <x v="51"/>
    <s v="12대 기인물"/>
    <n v="4"/>
    <n v="6.9000000000000006E-2"/>
    <s v="2019년 8월경"/>
    <d v="2019-08-01T00:00:00"/>
    <n v="8"/>
    <s v="혹서기"/>
    <x v="2"/>
    <s v="2019년 8월경 OO공사에서 재해자가 조명등을 설치하기 위해 이동식 비계(4단/작업높이 5.7M) 위에서 작업준비 중 바퀴가 미고정된 이동식비계가 전도되면서 재해자가 바닥으로 추락하여 사망"/>
    <s v="조명등 설치를 위해 이동식 비계에 올라가 대기 중 미고정된 이동식 비계의 전도에 의해 바닥으로 추락"/>
    <s v="▶ 이동식비계 전도 방지를 위한 작업반경이 넓은 차량탑재형 고소작업대 사용 실시_x000a_▶ 작업 전 개인보호구 지급 및 착용상태 관리_x000a_▶ 전도방지를 위한 아웃리거 부착, 이동식비계 고정 등 안전방호조치 실시"/>
  </r>
  <r>
    <n v="5"/>
    <x v="5"/>
    <x v="16"/>
    <x v="23"/>
    <s v="YES"/>
    <x v="12"/>
    <x v="51"/>
    <s v="12대 기인물"/>
    <n v="4"/>
    <n v="6.9000000000000006E-2"/>
    <s v="2015년 4월경"/>
    <d v="2015-04-01T00:00:00"/>
    <n v="4"/>
    <s v="-"/>
    <x v="2"/>
    <s v="2015년 4월경 OOO도 OO군 OO면 소재 OOOO 살수기 설치공사 현장에서 OOOO 소속 설비 설치공이 OOOO 살수기 설치작업을 진행하던 중 이동식 BT비계 작업발판 단부에서 높이 1.8m 아래 콘크리트 바닥으로 떨어져 부상한 재해임."/>
    <s v="이동식 비계 위에서 설비 작업 중 몸의 중심을 잃고 추락"/>
    <s v="▶ 이동식틀비계 등 고소작업 시 추락방지를 위한 안전난간 설치를 통한 추락방지조치 실시_x000a_▶ 이동식틀비계 작업 시 균형을 무너뜨릴만한 부산물(스티로품 조각) 위에서 작업금지조치 준수"/>
  </r>
  <r>
    <n v="5"/>
    <x v="5"/>
    <x v="16"/>
    <x v="23"/>
    <s v="YES"/>
    <x v="12"/>
    <x v="51"/>
    <s v="12대 기인물"/>
    <n v="4"/>
    <n v="6.9000000000000006E-2"/>
    <s v="2016년 7월경"/>
    <d v="2016-07-01T00:00:00"/>
    <n v="7"/>
    <s v="혹서기"/>
    <x v="2"/>
    <s v="2016년 7월경 OO건설 근생 및 오피스텔 신축공사 현장에서 재해자가 지하 4층 기계식 주차장 내 이동식 비계 3단 상부에서 천장 소화배관 용접작업을 마치고 바닥으로 내려가려고 하던 중 몸의 균형을 잃고 높이 5.2m 아래 콘크리트 바닥으로 추락하여 사망"/>
    <s v="천장 소화배관 용접작업 완료 후 하강 중 이동식비계 탈락에 의한 근로자 추락"/>
    <s v="▶ 이동식비계 안전난간대 설치 준수_x000a_▶ 작업 전 개인보호구 지급 및 착용상태 관리"/>
  </r>
  <r>
    <n v="5"/>
    <x v="5"/>
    <x v="16"/>
    <x v="23"/>
    <s v="YES"/>
    <x v="12"/>
    <x v="51"/>
    <s v="12대 기인물"/>
    <n v="4"/>
    <n v="6.9000000000000006E-2"/>
    <s v="2017년 3월경"/>
    <d v="2017-03-01T00:00:00"/>
    <n v="3"/>
    <s v="-"/>
    <x v="2"/>
    <s v="2017년 3월경 오피스텔 신축공사 현장에서 재해자가 지상 4층 주차장 내부 천장 급수배관 누수부위 점검 중 이동식 비계의 상부구간(2단~3단)이 전도되면서 콘크리트 바닥으로 추락(H≒6.0m)하여 사망"/>
    <s v="이동식비계 위에서 작업 중 이동식 비계의 전도에 의한 근로자 추락"/>
    <s v="▶ 이동식 비계 설치 시 아웃트리거 및 대각재 설치를 통한 전도방지조치 준수_x000a_▶ 작업 전 작업방법에 대한 위험성평가 실시"/>
  </r>
  <r>
    <n v="5"/>
    <x v="5"/>
    <x v="16"/>
    <x v="23"/>
    <s v="YES"/>
    <x v="12"/>
    <x v="51"/>
    <s v="12대 기인물"/>
    <n v="4"/>
    <n v="6.9000000000000006E-2"/>
    <s v="2017년 4월경"/>
    <d v="2017-04-01T00:00:00"/>
    <n v="4"/>
    <s v="-"/>
    <x v="2"/>
    <s v="2017년 4월경 OO시 OO읍 OO리 소재 OOOOO(주)에서 시공하는 OOOO 이전 설치공사 현장에서 협력업체 소속 재해자가 소방 배관(스프링 쿨러) 설치 및 용접 작업을 위해 중층 2층의 바닥 정리 작업 중, 후면 개구부(컨베이어 설치 예정, 1.3mx4.0m)에서 1층 바닥으로 추락(H=4.5m)하여 사망한 것으로 추정되는 재해임."/>
    <s v="전등 스위치박스, 후드캡설치 및 조명배관, 소방배관등 설치 작업중 2m이상의 높이에서 바닥으로 추락"/>
    <s v="▶ 2m이상의 고소작업시 안전한 작업발판을 설치하여 작업(이동식 비계 설치사용)_x000a_▶ 이동식비계 설치 사용시 안전수칙 준수_x000a_   - 이동식비계 상단부 안전난간대 설치_x000a_   - 전도방지를 위한 하단부 아웃트리거 설치(4지점)_x000a_   - 작업발판 상부에서 작업자는 안전대 체결 후 작업실시_x000a_     =&gt; 이동식 틀비계에 안전대를 체결시 안전대의 최하사점을 고려하여 체결_x000a_     =&gt; 이동식 틀비계 1조당 1.8m높이로 2조이상 조립시 틀비계에 안전대를 체결_x000a_   - 이동식비계 조립시 주요 구조부 조립상태 확인(가새재 설치, 승강사다리 디딤대에 작업발판 설치 금지)_x000a_   - 이동식비계 승강시 해치발판을 설치하여 내측으로 승강사다리 사용_x000a_   - 작업자의 불안전한 행동 금지 (안전난간 상단부를 딛고 작업실시)"/>
  </r>
  <r>
    <n v="5"/>
    <x v="5"/>
    <x v="16"/>
    <x v="23"/>
    <s v="YES"/>
    <x v="12"/>
    <x v="51"/>
    <s v="12대 기인물"/>
    <n v="4"/>
    <n v="6.9000000000000006E-2"/>
    <s v="2017년 6월경"/>
    <d v="2017-06-01T00:00:00"/>
    <n v="6"/>
    <s v="혹서기"/>
    <x v="2"/>
    <s v="2017년 6월경 OO시 OO구 OO동 OOOO 전열교환기 설치 공사현장, Tank#6 1층 주 출입구 우측 썬큰 내부에서 OOOOOO 소속 재해자가 이동식 틀비계 3단 위 스티로폼 조각 2장을 깔고 그 위에서 공기순환기 외부 후드캡 설치를 하던 중 몸의 중심을 잃고 추락 (H≒5.3m), 인근 병원으로 이송 후  3개월 이상 요양한 재해임."/>
    <s v="이동식 비계 위에서 설비 작업 중 몸의 중심을 잃고 추락"/>
    <s v="▶ 이동식틀비계 등 고소작업 시 추락방지를 위한 안전난간 설치를 통한 추락방지조치 실시_x000a_▶ 이동식틀비계 작업 시 균형을 무너뜨릴만한 부산물(스티로품 조각) 위에서 작업금지조치 준수"/>
  </r>
  <r>
    <n v="5"/>
    <x v="5"/>
    <x v="16"/>
    <x v="23"/>
    <s v="YES"/>
    <x v="12"/>
    <x v="51"/>
    <s v="12대 기인물"/>
    <n v="4"/>
    <n v="6.9000000000000006E-2"/>
    <s v="2017년 7월경"/>
    <d v="2017-07-01T00:00:00"/>
    <n v="7"/>
    <s v="혹서기"/>
    <x v="2"/>
    <s v="2017년 7월경 OO 아파트 신축공사 현장에서 재해자와 동료작업자가 이동식비계 상부에서 PVC배관 연결작업 중 노후화된 이동식비계가 작업자의 하중을 견디지 못하고 넘어지면서 재해자가 약 1.7m 콘크리트 바닥 아래로 떨어져 사망"/>
    <s v="이동식비계 위에서 작업 중 이동식 비계의 전도에 의한 근로자 추락"/>
    <s v="▶ 이동식 비계 설치 시 아웃트리거 및 대각재 설치를 통한 전도방지조치 준수_x000a_▶ 작업 전 작업방법에 대한 위험성평가 실시"/>
  </r>
  <r>
    <n v="5"/>
    <x v="5"/>
    <x v="16"/>
    <x v="23"/>
    <s v="YES"/>
    <x v="12"/>
    <x v="51"/>
    <s v="12대 기인물"/>
    <n v="4"/>
    <n v="6.9000000000000006E-2"/>
    <s v="2018년 8월경"/>
    <d v="2018-08-01T00:00:00"/>
    <n v="8"/>
    <s v="혹서기"/>
    <x v="2"/>
    <s v="2018년 8월경 ㈜OO에서 시공하는 간선도로 건설공사 현장에서 재해자가 양감IC 영업소 1층 식당 천정 위생배관을 진행하고 이동식 비계 1단에서 내려오던 중 추락(약2.3m)하여 사망"/>
    <s v="천장 소화배관 용접작업 완료 후 하강 중 이동식비계 탈락에 의한 근로자 추락"/>
    <s v="▶ 이동식비계 안전난간대 설치 준수_x000a_▶ 작업 전 개인보호구 지급 및 착용상태 관리"/>
  </r>
  <r>
    <n v="5"/>
    <x v="5"/>
    <x v="16"/>
    <x v="23"/>
    <s v="YES"/>
    <x v="12"/>
    <x v="51"/>
    <s v="12대 기인물"/>
    <n v="4"/>
    <n v="6.9000000000000006E-2"/>
    <s v="2018년 9월경"/>
    <d v="2018-09-01T00:00:00"/>
    <n v="9"/>
    <s v="-"/>
    <x v="2"/>
    <s v="2018년 9월경 OO도 OO군 OO면 소재 OOOO 신축공사 현장에서 재해자가 지하층 기계실 배관 보온공사를 위해 이동식비계 안전난간대 설치작업 중 이동식비계 1단 작업발판 위에서 콘크리트 바닥으로 떨어져 (h=1.7m) 사망한 사고임"/>
    <s v="이동식 비계 위에서 설비 작업 중 몸의 중심을 잃고 추락"/>
    <s v="▶ 이동식틀비계 등 고소작업 시 추락방지를 위한 안전난간 설치를 통한 추락방지조치 실시_x000a_▶ 이동식틀비계 작업 시 균형을 무너뜨릴만한 부산물(스티로품 조각) 위에서 작업금지조치 준수"/>
  </r>
  <r>
    <n v="5"/>
    <x v="5"/>
    <x v="16"/>
    <x v="23"/>
    <s v="YES"/>
    <x v="12"/>
    <x v="51"/>
    <s v="12대 기인물"/>
    <n v="4"/>
    <n v="6.9000000000000006E-2"/>
    <s v="2019년 6월경"/>
    <d v="2019-06-01T00:00:00"/>
    <n v="6"/>
    <s v="혹서기"/>
    <x v="2"/>
    <s v="2019년 6월경 OO시 OO구에 소재한 OOOO(주)이 시공중인 ㈜OOOO 공장 신축공사 현장에서 협력업체 OOOO 소속 근로자인 재해자가 지상2층 이동식비계 위에서 배수관 달대 설치작업 중 몸의 중심을 잃고 1층 바닥(H≒8.1m)으로 떨어져 사망한 재해임."/>
    <s v="이동식 비계 위에서 설비 작업 중 몸의 중심을 잃고 추락"/>
    <s v="▶ 이동식틀비계 등 고소작업 시 추락방지를 위한 안전난간 설치를 통한 추락방지조치 실시_x000a_▶ 이동식틀비계 작업 시 균형을 무너뜨릴만한 부산물(스티로품 조각) 위에서 작업금지조치 준수"/>
  </r>
  <r>
    <n v="5"/>
    <x v="5"/>
    <x v="16"/>
    <x v="23"/>
    <s v="YES"/>
    <x v="12"/>
    <x v="51"/>
    <s v="12대 기인물"/>
    <n v="4"/>
    <n v="6.9000000000000006E-2"/>
    <s v="2019년 8월경"/>
    <d v="2019-08-01T00:00:00"/>
    <n v="8"/>
    <s v="혹서기"/>
    <x v="2"/>
    <s v="2019년 8월경 OO시 OO구 OO동 소재 ㈜OOOO이 시공하는 OOOO 리모델링 소방공사 현장에서 ㈜OOOO 소속 소방설비배관공이 천장의 소방배관 보온작업을 위해 1단 이동식비계 발판에 서서 단열재(보온재) 설치작업을 하던 중, 몸의 균형을 잃고 하부 콘크리트바닥으로 추락하여 병원으로 이송·치료 중 사망한 재해임."/>
    <s v="이동식 비계 위에서 설비 작업 중 몸의 중심을 잃고 추락"/>
    <s v="▶ 이동식틀비계 등 고소작업 시 추락방지를 위한 안전난간 설치를 통한 추락방지조치 실시_x000a_▶ 이동식틀비계 작업 시 균형을 무너뜨릴만한 부산물(스티로품 조각) 위에서 작업금지조치 준수"/>
  </r>
  <r>
    <n v="5"/>
    <x v="5"/>
    <x v="16"/>
    <x v="23"/>
    <s v="YES"/>
    <x v="12"/>
    <x v="51"/>
    <s v="12대 기인물"/>
    <n v="4"/>
    <n v="6.9000000000000006E-2"/>
    <s v=" 2019년 9월"/>
    <d v="2019-09-01T00:00:00"/>
    <n v="9"/>
    <s v="-"/>
    <x v="2"/>
    <s v=" 2019년 9월경 OO도 OO시 OO구 소재의 OOOO 근린생활시설 신축공사에서 소방배관 보온작업 준비 작업 중 이동식 비계 상부 난간 밖으로 몸을 내밀어 작업 상황을 확인하다가 이동식 비계가 전도되면서 바닥으로 추락, 당일 병원으로 이송 후 사망함."/>
    <s v="이동식 비계 위에서 설비 작업 중 몸의 중심을 잃고 추락"/>
    <s v="▶ 이동식틀비계 등 고소작업 시 추락방지를 위한 안전난간 설치를 통한 추락방지조치 실시_x000a_▶ 이동식틀비계 작업 시 균형을 무너뜨릴만한 부산물(스티로품 조각) 위에서 작업금지조치 준수"/>
  </r>
  <r>
    <n v="5"/>
    <x v="5"/>
    <x v="16"/>
    <x v="23"/>
    <s v="YES"/>
    <x v="12"/>
    <x v="51"/>
    <s v="12대 기인물"/>
    <n v="4"/>
    <n v="6.9000000000000006E-2"/>
    <s v="2019년 11월"/>
    <d v="2019-11-01T00:00:00"/>
    <n v="11"/>
    <s v="-"/>
    <x v="2"/>
    <s v="2019년 11월경 (주)OOOO에서 시공 중인 OO시 OO동 소재 다가구주택 태양광 발전설비 설치공사 현장에서, 재해자가 건물 옥상에 위치한 이동식틀비계(H≒1.8m) 또는 태양광 패널(태양전자모듈)의 철재구조물(H≒4m) 상에서 이동 또는 작업 중 옥상 바닥으로 떨어져 사망함."/>
    <s v="이동식 비계 위에서 설비 작업 중 몸의 중심을 잃고 추락"/>
    <s v="▶ 이동식틀비계 등 고소작업 시 추락방지를 위한 안전난간 설치를 통한 추락방지조치 실시_x000a_▶ 이동식틀비계 작업 시 균형을 무너뜨릴만한 부산물(스티로품 조각) 위에서 작업금지조치 준수"/>
  </r>
  <r>
    <n v="5"/>
    <x v="5"/>
    <x v="16"/>
    <x v="23"/>
    <s v="YES"/>
    <x v="12"/>
    <x v="51"/>
    <s v="12대 기인물"/>
    <n v="4"/>
    <n v="6.9000000000000006E-2"/>
    <s v="2020년 8월경"/>
    <d v="2020-08-01T00:00:00"/>
    <n v="8"/>
    <s v="혹서기"/>
    <x v="2"/>
    <s v="2020년 8월경 OOO도 OO군 OO읍 소재 OOOOO(주)가 시공하는 ㈜OOOO에서 설비 제작 및 설치시운전 현장에서 협력업체 소속 배관공이 안전난간이 없는 이동식비계(높이 3.6M) 작업발판에 앉아 동료작업자가 배관 PIPE 설치지점을 실측한 내용을 기록하고 몸을 트는 순간 중심을 잃고 하부 콘크리트 바닥으로 떨어져 사망한 재해임"/>
    <s v="이동식 비계 위에서 설비 작업 중 몸의 중심을 잃고 추락"/>
    <s v="▶ 이동식틀비계 등 고소작업 시 추락방지를 위한 안전난간 설치를 통한 추락방지조치 실시_x000a_▶ 이동식틀비계 작업 시 균형을 무너뜨릴만한 부산물(스티로품 조각) 위에서 작업금지조치 준수"/>
  </r>
  <r>
    <n v="5"/>
    <x v="5"/>
    <x v="16"/>
    <x v="23"/>
    <s v="YES"/>
    <x v="12"/>
    <x v="51"/>
    <s v="12대 기인물"/>
    <n v="4"/>
    <n v="6.9000000000000006E-2"/>
    <s v="2021년 3월경"/>
    <d v="2021-03-01T00:00:00"/>
    <n v="3"/>
    <s v="-"/>
    <x v="2"/>
    <s v="2021년 3월경 OO시 OO구 소재 OOOO 시설공사 현장에서 이동식비계를 사용하여 천장 상부에 위치한 신설 급수배관 연결작업을 하던 재해자가 원인 미상으로 바닥에 엎드려 있어 병원으로 후송·치료 중, 사망한 재해임."/>
    <s v="이동식 비계 위에서 설비 작업 중 몸의 중심을 잃고 추락"/>
    <s v="▶ 이동식틀비계 등 고소작업 시 추락방지를 위한 안전난간 설치를 통한 추락방지조치 실시_x000a_▶ 이동식틀비계 작업 시 균형을 무너뜨릴만한 부산물(스티로품 조각) 위에서 작업금지조치 준수"/>
  </r>
  <r>
    <n v="5"/>
    <x v="5"/>
    <x v="16"/>
    <x v="23"/>
    <s v="YES"/>
    <x v="12"/>
    <x v="51"/>
    <s v="12대 기인물"/>
    <n v="4"/>
    <n v="6.9000000000000006E-2"/>
    <s v="2021년 5월경"/>
    <d v="2021-05-01T00:00:00"/>
    <n v="5"/>
    <s v="-"/>
    <x v="2"/>
    <s v="2021년 5월경, OO시 OO읍 소재 숙박시설 신축공사 현장 지하 기계실에서, 재해자가 이동식비계 작업발판을 이탈하여 수평보강재를 밟고 외부에서 전등설비 (레이스웨이) 설치 작업 중 추락(H≒2.2m), 병원으로 후송되었으나 치료 중 사망함"/>
    <s v="이동식 비계 위에서 설비 작업 중 몸의 중심을 잃고 추락"/>
    <s v="▶ 이동식틀비계 등 고소작업 시 추락방지를 위한 안전난간 설치를 통한 추락방지조치 실시_x000a_▶ 이동식틀비계 작업 시 균형을 무너뜨릴만한 부산물(스티로품 조각) 위에서 작업금지조치 준수"/>
  </r>
  <r>
    <n v="9"/>
    <x v="11"/>
    <x v="44"/>
    <x v="89"/>
    <s v="NO"/>
    <x v="12"/>
    <x v="51"/>
    <s v="12대 기인물"/>
    <n v="4"/>
    <n v="6.9000000000000006E-2"/>
    <s v="2018년 7월경"/>
    <d v="2018-07-01T00:00:00"/>
    <n v="7"/>
    <s v="혹서기"/>
    <x v="2"/>
    <s v="2018년 7월경 지하철 운행구간 터널 내부에서 보강공인 재해자가 작업대차(이동식비계) 상부에서 처장면 보강마감면 도포작업 중 실족, 철도 레일 측면 콘크리트 바닥으로 추락(H=3.5m)하여 사망"/>
    <s v="안전난간이 미설치된 작업대차에서 작업 중 실족하여 근로자 추락"/>
    <s v="▶ 작업대차 상부에서 보강공사 작업 중 작업발판 면적을 확장하는 경우 단부 방향으로 추락하지 않도록 기준에 적합하게 설치_x000a_▶ 안전대 부착설비 설치 및 안전대 착용"/>
  </r>
  <r>
    <n v="1"/>
    <x v="8"/>
    <x v="28"/>
    <x v="56"/>
    <s v="YES"/>
    <x v="27"/>
    <x v="52"/>
    <s v="12대 기인물"/>
    <n v="4"/>
    <n v="6.9000000000000006E-2"/>
    <s v="2017년 4월경"/>
    <d v="2017-04-01T00:00:00"/>
    <n v="4"/>
    <s v="-"/>
    <x v="2"/>
    <s v="2017년 4월경 주상복합 신축공사 현장에서 재해자가 지상1층 #2 복공 주형보 사이에 거치 된 가설 작업발판 위에서 복공의 가새(X-Bracing)를 산소절단기로 절단하기 위해 가설 작업발판을 이동하는 도중 몸의 중심을 잃고 약 5.4m 아래 지하 1층 콘크리트 바닥으로 추락하여 사망"/>
    <s v="안전난간이 미설치된 작업발판 단부에서 이동 중 실족하여 추락"/>
    <s v="▶ 추락할 위험이 있는 작업 시 가설 작업발판을 설치, 안전난간 또는 안전대 부착설비 설치 등 추락방지조치 실시_x000a_▶ 추락할 위험이 있는 작업 시 근로자에게 안전대 지급 및 착용상태 확인"/>
  </r>
  <r>
    <n v="11"/>
    <x v="0"/>
    <x v="0"/>
    <x v="0"/>
    <s v="YES"/>
    <x v="27"/>
    <x v="52"/>
    <s v="12대 기인물"/>
    <n v="4"/>
    <n v="6.9000000000000006E-2"/>
    <s v="2016년 4월경"/>
    <d v="2016-04-01T00:00:00"/>
    <n v="4"/>
    <s v="-"/>
    <x v="2"/>
    <s v="2016년 4월경 공장부지 옹벽공사 현장에서 재해자가 거푸집 조립작업 중 2.4m 높이의 작업발판에서 추락하여 사망"/>
    <s v="안전난간이 미설치된 비계 작업발판, 가설계단 위에서 이동 또는 작업 중 추락"/>
    <s v="▶ 떨어짐 위험이 있는 고소작업의 경우 작업자의 무게 등의 하중을 지지할 수 있는 견고한 구조로 작업발판 설치_x000a_▶ 2m 이상 높이의 장소에서 작업 시 안전난간이나 추락방호망을 설치하기 곤란할 경우 안전대 착용 및 안전대 부착설비 설치"/>
  </r>
  <r>
    <n v="12"/>
    <x v="1"/>
    <x v="2"/>
    <x v="3"/>
    <s v="YES"/>
    <x v="27"/>
    <x v="52"/>
    <s v="12대 기인물"/>
    <n v="4"/>
    <n v="6.9000000000000006E-2"/>
    <s v="2020년 1월경"/>
    <d v="2020-01-01T00:00:00"/>
    <n v="1"/>
    <s v="혹한기"/>
    <x v="2"/>
    <s v="2020년 1월경 OO시설사업 환기구 현장에서 재해자가 가설 계단(철골) 해체를 위하여 계단참에서 용단 작업을 하던 중 가설계단이 붕괴되어 함께 약 34m 아래로 추락하여 사망"/>
    <s v="가설계단 해체를 위해 계단참에서 용접작업을 하던 중 가설계단이 붕괴되어 바닥으로 추락"/>
    <s v="▶ 중량물 취급 작업계획서 작성하여 인양방법 등 작업방법 검토_x000a_▶ 근로자의 개인보호구, 안전대 체결여부 점검 및 관리감독"/>
  </r>
  <r>
    <n v="12"/>
    <x v="1"/>
    <x v="3"/>
    <x v="30"/>
    <s v="YES"/>
    <x v="27"/>
    <x v="52"/>
    <s v="12대 기인물"/>
    <n v="4"/>
    <n v="6.9000000000000006E-2"/>
    <s v="2016년 3월경"/>
    <d v="2016-03-01T00:00:00"/>
    <n v="3"/>
    <s v="-"/>
    <x v="2"/>
    <s v="2016년 3월경 인테리어 공사현장에서 재해자가 환기구 내 바닥개구부 위에 얹혀진 작업발판을 들어올리다 몸의 중심을 잃고 실족하여 개구부를 통해 지하 3층 바닥으로 떨어져(H≒15.0m) 사망"/>
    <s v="환기구 내 바닥개구부 위에 얹혀 있는 작업발판을 들어 올리다 몸의 중심을 잃고 개구부를 통해 바닥으로 추락"/>
    <s v="▶ 환기를 위한 바닥개구부 등 추락의 위험이 있는 장소에 철재 덮개, 웨빙띠, 안전난간 설치, 적정 조도확보 등을 통해 작업자의 추락 및 접근을 방지_x000a_▶ 환기를 위한 바닥개구부 등의 입구를 임시로 작업발판, 합판 등으로 덮을 경우, 흔들리지 않도록 단단히 고정하고 개구부 표시 조치를 취하며 이후, 임시 조치한 자재를 제거하고 철재 덮개, 안전난간 설치 등의 안전방호조치를 실시"/>
  </r>
  <r>
    <n v="12"/>
    <x v="1"/>
    <x v="3"/>
    <x v="30"/>
    <s v="YES"/>
    <x v="27"/>
    <x v="52"/>
    <s v="12대 기인물"/>
    <n v="4"/>
    <n v="6.9000000000000006E-2"/>
    <s v="2016년 4월경"/>
    <d v="2016-04-01T00:00:00"/>
    <n v="4"/>
    <s v="-"/>
    <x v="2"/>
    <s v="2016년 4월경 냉각탑 설치공사 현장에서 냉각탑 2기 신규 설치 중 냉각탑 상부 점검용 발판의 핸드레일(안전난간) 설치를 위해 작업하다가 재해자가 점검용 발판 끝부분에서 몸의 중심을 잃고 떨어져(H≒7.9m) 사망"/>
    <s v="안전대를 착용하지 않고 비계 작업발판 설치 작업 중 몸의 중심을 잃고 작업발판 단부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30"/>
    <s v="YES"/>
    <x v="27"/>
    <x v="52"/>
    <s v="12대 기인물"/>
    <n v="4"/>
    <n v="6.9000000000000006E-2"/>
    <s v="2016년 11월"/>
    <d v="2016-11-01T00:00:00"/>
    <n v="11"/>
    <s v="-"/>
    <x v="2"/>
    <s v="2016년 11월경 OO 내화물 보수공사 현장에서 재해자가 소성로 싸이클론 내화물 코팅 제거 작업 중 통나무 작업발판에서 떨어져 사망"/>
    <s v="내화물 코팅제거 작업 중, 근로자가 몸의 중심을 잃고 통나무 작업발판에서 추락"/>
    <s v="▶ 작업에 적합한 구조의 작업발판 설치_x000a_▶ 낙하물에 의한 위험방지 조치 실시_x000a_▶ 개인보호구 착용 및 관리감독자 업무 수행 철저 "/>
  </r>
  <r>
    <n v="12"/>
    <x v="1"/>
    <x v="3"/>
    <x v="30"/>
    <s v="YES"/>
    <x v="27"/>
    <x v="52"/>
    <s v="12대 기인물"/>
    <n v="4"/>
    <n v="6.9000000000000006E-2"/>
    <s v="2016년 11월"/>
    <d v="2016-11-01T00:00:00"/>
    <n v="11"/>
    <s v="-"/>
    <x v="2"/>
    <s v="2016년 11월경 OO드라마타운 건립 캣워크 설치공사 현장에서 재해자가 캣워크 발판 설치작업의 진행 상황 확인 및 작업지시를 위해 이동 중 캣워크 발판에서 약 19.5m 아래 지상 바닥으로 떨어져 사망"/>
    <s v="안전대를 착용하지 않고 비계 작업발판 설치 작업 중 몸의 중심을 잃고 작업발판 단부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30"/>
    <s v="YES"/>
    <x v="27"/>
    <x v="52"/>
    <s v="12대 기인물"/>
    <n v="4"/>
    <n v="6.9000000000000006E-2"/>
    <s v="2017년 3월경"/>
    <d v="2017-03-01T00:00:00"/>
    <n v="3"/>
    <s v="-"/>
    <x v="2"/>
    <s v="2017년 3월경 OO대학교 화재개보수공사 현장에서 재해자가 지상 1층 외벽에 설치된 강관비계 작업발판 청소 및 차광막 해체 작업 중 작업발판이 기울어져 몸의 균형을 잃고 지하 3층 환기창 바닥으로 떨어져(H≒18.0m) 사망"/>
    <s v="안전대를 착용하지 않고 비계 해체 작업 중 몸의 중심을 잃고 작업발판 단부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30"/>
    <s v="YES"/>
    <x v="27"/>
    <x v="52"/>
    <s v="12대 기인물"/>
    <n v="4"/>
    <n v="6.9000000000000006E-2"/>
    <s v="2017년 4월경"/>
    <d v="2017-04-01T00:00:00"/>
    <n v="4"/>
    <s v="-"/>
    <x v="2"/>
    <s v="2017년 4월경 OO고등학교 교사 신축공사 현장에서 재해자가 중앙계단 측면 중정부에 설치된 내부비계에서 외부비계로 건너가기 위한 통로(작업발판)를 설치하던 중 몸의 중심을 잃고 약 14.4m아래 지상1층 콘크리트 바닥으로 추락하여 사망"/>
    <s v="안전대를 착용하지 않고 비계 작업발판 설치 작업 중 몸의 중심을 잃고 작업발판 단부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30"/>
    <s v="YES"/>
    <x v="27"/>
    <x v="52"/>
    <s v="12대 기인물"/>
    <n v="4"/>
    <n v="6.9000000000000006E-2"/>
    <s v="2017년 4월경"/>
    <d v="2017-04-01T00:00:00"/>
    <n v="4"/>
    <s v="-"/>
    <x v="2"/>
    <s v="2017년 4월경 OO발전본부 내 보일러 및 통풍설비 점검을 위한 비계 설치 및 해체공사 현장에서 재해자가 보일러 내부의 비계 작업발판을 해체하던 중 미 고정된 작업발판이 아래로 내려앉으면서 약 55m 아래 보일러 내부 바닥으로 떨어져 사망"/>
    <s v="안전대를 착용하지 않고 비계 해체 작업 중 몸의 중심을 잃고 작업발판 단부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30"/>
    <s v="YES"/>
    <x v="27"/>
    <x v="52"/>
    <s v="12대 기인물"/>
    <n v="4"/>
    <n v="6.9000000000000006E-2"/>
    <s v="2020년 11월"/>
    <d v="2020-11-01T00:00:00"/>
    <n v="11"/>
    <s v="-"/>
    <x v="0"/>
    <s v="2020년 11월경 토목시설 복구공사 현장에서 재해자1이 옹벽 구조물작업구간 높이 약 2.0m 위치에서 작업발판 설치작업 중 작업발판 지지용 강관파이프(수평부재)가 순간적으로 탈락하여 작업발판과 함께 지상바닥으로 떨어져 부상, 아래 주변에서 함께 작업하고 있던 재해자2는 떨어지는 강관파이프에 목부위를 맞아 부상"/>
    <s v="옹벽 구조물작업구간에서 작업발판 설치작업 중 작업발판 지지용 강관파이프(수평부재)가 순간적으로 탈락하여 작업발판과 함께 지상바닥으로 떨어지고, 아래 주변에서 함께 작업하고 있던 작업자가 떨어지는 강관파이프에 목부위를 맞음"/>
    <s v="▶ 비계 높이가 2미터 이상인 장소에 작업발판 설치 시, 발판재료의 전도 및 이탈방지를 위해 2개 이상의 지지물에 연결하거나 고정해야하는 작업방식 준수_x000a_▶ 비계 위 작업발판 설치 시 추락방지를 위한 안전방망, 울타리 설치를 통한 추락방호조치 실시"/>
  </r>
  <r>
    <n v="12"/>
    <x v="1"/>
    <x v="3"/>
    <x v="4"/>
    <s v="YES"/>
    <x v="27"/>
    <x v="52"/>
    <s v="12대 기인물"/>
    <n v="4"/>
    <n v="6.9000000000000006E-2"/>
    <s v="2016년 6월경"/>
    <d v="2016-06-01T00:00:00"/>
    <n v="6"/>
    <s v="혹서기"/>
    <x v="2"/>
    <s v="2016년 6월경 OO건설 주상복합 신축공사 현장에서 재해자가 가설계단 발판이 일부 해체된 상태에서 공구를 동료작업자에게 전달하던 중 3.9m 하부 옹벽으로 떨어져 사망"/>
    <s v="가설계단 해체작업 중 계단 아래쪽 작업자에게 임팩트 렌치를 전달하던 중 상부 계단참에서 해체된 작업발판 사이로 추락"/>
    <s v="▶ 가설계단 진입로 일부구간 해체작업 시 계단참 단부 개방에 의해 개구부 발생 시 안전난간, 울타리 설치를 통한 개구부 방호조치 실시_x000a_▶ 안전난간 또는 울타리 설치가 힘들 경우, 안전방망 설치 또는 안전대 지급 및 착용을 통한 추락방지조치 실시"/>
  </r>
  <r>
    <n v="12"/>
    <x v="1"/>
    <x v="3"/>
    <x v="4"/>
    <s v="YES"/>
    <x v="27"/>
    <x v="52"/>
    <s v="12대 기인물"/>
    <n v="4"/>
    <n v="6.9000000000000006E-2"/>
    <s v="2017년 6월경"/>
    <d v="2017-06-01T00:00:00"/>
    <n v="6"/>
    <s v="혹서기"/>
    <x v="2"/>
    <s v="2017년 6월경 고속국도 건설공사 현장에서 재해자가 터널 시점부 갱문 좌측 옹벽 비계설치작업을 진행하던 중 외부비계 작업발판 단부에서 높이 3.8m 아래 콘크리트 바닥으로 떨어져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27"/>
    <x v="52"/>
    <s v="12대 기인물"/>
    <n v="4"/>
    <n v="6.9000000000000006E-2"/>
    <s v="2017년 7월경"/>
    <d v="2017-07-01T00:00:00"/>
    <n v="7"/>
    <s v="혹서기"/>
    <x v="2"/>
    <s v="2017년 7월경 액체화물 저장시설 축조현장에서 재해자가 탱크 내부에 세정작업용 비계를 설치하기 위하여 내부 비계 최상부에서 작업발판을 설치하던 중, 몸의 중심을 잃고 지상 바닥으로 추락(H≒18m)하여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27"/>
    <x v="52"/>
    <s v="12대 기인물"/>
    <n v="4"/>
    <n v="6.9000000000000006E-2"/>
    <s v="2018년 7월경"/>
    <d v="2018-07-01T00:00:00"/>
    <n v="7"/>
    <s v="혹서기"/>
    <x v="2"/>
    <s v="2018년 7월경 OO건설이 시공하는 근린생활시설 신축현장에서 재해자가 외부비계 연장설치작업을 위해 4m비계(2개)를 어깨에 메고 지상2층 계단실쪽의 외부비계로 이동하던 중, 고정되지 않은 계단실 벽체거푸집 작업발판을 밟아 작업발판이 뒤집히면서 작업발판과 함께 높이 5.4m아래 지상콘크리트 바닥으로 떨어져 사망"/>
    <s v="외부비계 작업발판에서 자재 운반 중 고정되지 않은 작업발판이 뒤집히며 추락"/>
    <s v="▶ 비계 작업발판은 2개소 이상 견고하게 고정하고 작업 실시_x000a_▶ 작업발판의 단부와 같이 근로자가 떨어질 위험이 있는 장소에는 안전난간 및 안전방망 설치"/>
  </r>
  <r>
    <n v="12"/>
    <x v="1"/>
    <x v="3"/>
    <x v="4"/>
    <s v="YES"/>
    <x v="27"/>
    <x v="52"/>
    <s v="12대 기인물"/>
    <n v="4"/>
    <n v="6.9000000000000006E-2"/>
    <s v="2019년 12월"/>
    <d v="2019-12-01T00:00:00"/>
    <n v="12"/>
    <s v="혹한기"/>
    <x v="8"/>
    <s v="2019년 12월경 OO건설㈜의 연결도로 건설공사 현장에서 재해자 등 4명이 구조물(수로암거)공사 작업에 사용할 작업발판 1묶음[작업발판 1개당 중량 11.8kg,5줄×10단 총50개, 총 중량 590kg] 운반하는 과정에서, 차량탑재형 크레인(7.3ton)으로 양중한 인양물(작업발판)을 암거 벽체철근 사이의 콘크리트 바닥에 하역하던 중 차량탑재형 크레인의 턴테이블 링기어 고정볼트가 파단되며, 작업발판과 차량탑재형 크레인(7.3ton)의 붐대가 재해자를 덮쳐 수로암거의 벽체철근과 낙하된 작업발판 사이에 깔려 사망"/>
    <s v="이동식크레인을 통한 전주 인양 후 상차 도중 붐 파손에 의한 붐 낙하 및 근로자 충돌"/>
    <s v="▶ 중량물 인양 시 낙하 위험장소의 근로자 출입금지구역 설치_x000a_▶ 작업 전 반복 하중에 의해 균열 등이 육안검사로 확인 즉시 작업 중단_x000a_▶ 주기적인 이동식 크레인 안전검사 철저"/>
  </r>
  <r>
    <n v="12"/>
    <x v="1"/>
    <x v="3"/>
    <x v="107"/>
    <s v="YES"/>
    <x v="27"/>
    <x v="52"/>
    <s v="12대 기인물"/>
    <n v="4"/>
    <n v="6.9000000000000006E-2"/>
    <s v="2016년 10월"/>
    <d v="2016-10-01T00:00:00"/>
    <n v="10"/>
    <s v="-"/>
    <x v="2"/>
    <s v="2016년 10월경 OO건설에서 시공하는 OO교회 신축공사(토목공사)현장에서 재해자가 지하2층으로 내려가는 가설계단 철거작업중 높이 약7.3m 지하2층 콘크리트바닥으로 떨어져 사망"/>
    <s v="가설계단 철거작업 중, 계단발판이 이탈되어 발판에 있던 근로자가 바닥으로 추락"/>
    <s v="▶ 작업 전 안전대 지급 및 체결상태 관리_x000a_▶ 추락 위험이 있는 작업 시 안전대 부착설비, 추락방지망 등 추락방지조치 실시"/>
  </r>
  <r>
    <n v="12"/>
    <x v="1"/>
    <x v="3"/>
    <x v="107"/>
    <s v="YES"/>
    <x v="27"/>
    <x v="52"/>
    <s v="12대 기인물"/>
    <n v="4"/>
    <n v="6.9000000000000006E-2"/>
    <s v="2018년 10월"/>
    <d v="2018-10-01T00:00:00"/>
    <n v="10"/>
    <s v="-"/>
    <x v="2"/>
    <s v="2018년 10월경 OO공장 내 안전통로 및 안전난간대 개선공사 현장에서 재해자가 천정크레인 이동통로의 바닥발판을 교체하던 작업을 하던중 실족하여 높이 약 27m 지상아래 바닥으로 떨어져 사망"/>
    <s v="가설계단 철거작업 중, 계단발판이 이탈되어 발판에 있던 근로자가 바닥으로 추락"/>
    <s v="▶ 작업 전 안전대 지급 및 체결상태 관리_x000a_▶ 추락 위험이 있는 작업 시 안전대 부착설비, 추락방지망 등 추락방지조치 실시"/>
  </r>
  <r>
    <n v="12"/>
    <x v="1"/>
    <x v="3"/>
    <x v="107"/>
    <s v="YES"/>
    <x v="27"/>
    <x v="52"/>
    <s v="12대 기인물"/>
    <n v="4"/>
    <n v="6.9000000000000006E-2"/>
    <s v="2019년 4월경"/>
    <d v="2019-04-01T00:00:00"/>
    <n v="4"/>
    <s v="-"/>
    <x v="2"/>
    <s v="2019년 4월경 OO 청사 증축 현장 내 재해자 2명이 지하3층 구간의 가설계단 수정 및 안전난간 연결 작업 중 가설계단이 무너지며 바닥으로 떨어져(h≒3.0m, 2.0m) 3개월 이상의 요양이 필요한 부상"/>
    <s v="가설계단 철거작업 중, 계단발판이 이탈되어 발판에 있던 근로자가 바닥으로 추락"/>
    <s v="▶ 작업 전 안전대 지급 및 체결상태 관리_x000a_▶ 추락 위험이 있는 작업 시 안전대 부착설비, 추락방지망 등 추락방지조치 실시"/>
  </r>
  <r>
    <n v="12"/>
    <x v="1"/>
    <x v="35"/>
    <x v="99"/>
    <s v="YES"/>
    <x v="27"/>
    <x v="52"/>
    <s v="12대 기인물"/>
    <n v="4"/>
    <n v="6.9000000000000006E-2"/>
    <s v="2021년 1월경"/>
    <d v="2021-01-01T00:00:00"/>
    <n v="1"/>
    <s v="혹한기"/>
    <x v="2"/>
    <s v="2021년 1월경 OO건설이 시공하는 근린생활시설 신축공사 현장에서재해자가 지하 2층에서 지상 1층 복공구조물로 통하는 가설계단의 난간에 거치(설치)된 이동전선 정리 작업을 하던 중 실족하여 계단 난간 너머 높이 약 7m 아래 지하 2층 바닥으로 추락하여 사망"/>
    <s v="계단 난간에 거치된 이동전선 정리작업 하던 중 난간 아래 지하 바닥으로 추락"/>
    <s v="▶ 근로자 이동통로 내 장애물 제거 등 현장정리정돈 철저_x000a_▶ 근로자의 개인보호구, 안전대 체결여부 점검 및 관리감독"/>
  </r>
  <r>
    <n v="12"/>
    <x v="1"/>
    <x v="5"/>
    <x v="6"/>
    <s v="YES"/>
    <x v="27"/>
    <x v="52"/>
    <s v="12대 기인물"/>
    <n v="4"/>
    <n v="6.9000000000000006E-2"/>
    <s v="2019년 12월"/>
    <d v="2019-12-01T00:00:00"/>
    <n v="12"/>
    <s v="혹한기"/>
    <x v="2"/>
    <s v="2019년 12월경 OO(주)에서 시공하는 OO공동주택 신축공사 현장에서 재해자가 발파용 에어방음벽을 세우기 위해 발전기의 전원을 켠 후 에어방음벽이 부풀어지는 과정에서 에어방음벽과 기둥 거푸집(일명 : 블루폼)에 부착 된 상부 안전난간대가 간섭이 되자 블루폼 상부로 올라가 에어방음벽을 손으로 밀던 중 블루폼이 전도되면서 높이 약 3m 아래 바닥에 떨어져 사망"/>
    <s v="발파용 에어방음벽을 설치하기 위해 기둥 거푸집 상부에 올라가 에어방음벽을 손으로 밀던 중 거푸집이 전도되면서 바닥으로 추락"/>
    <s v="▶ 불안전한 작업발판 위에서의 작업 금지"/>
  </r>
  <r>
    <n v="2"/>
    <x v="2"/>
    <x v="6"/>
    <x v="7"/>
    <s v="YES"/>
    <x v="27"/>
    <x v="52"/>
    <s v="12대 기인물"/>
    <n v="4"/>
    <n v="6.9000000000000006E-2"/>
    <s v="2018년 6월경"/>
    <d v="2018-06-01T00:00:00"/>
    <n v="6"/>
    <s v="혹서기"/>
    <x v="2"/>
    <s v="2018년 6월경 OO건설(주) 주민센터 신축공사 현장 지상 1층에서 협력업체 소속 재해자가 작업발판 상에서 보 거푸집을 조립하던 중, 몸의 중심을 잃고 약 5.9M 아래 지하1층 바닥으로 추락하여 사망 "/>
    <s v="개구부 구간 추락방지조치 미실시한 상태에서 엘리베이터 실외벽 거푸집조립 작업 중 작업발판 미고정으로 중심을 잃고 근로자 추락"/>
    <s v="▶ 비계조립 시 건물벽체와 비계 틈 사이가 발생하지 않도록 설치_x000a_▶ 작업여건 상 틈 사이가 발생 된 경우 추락 방지를 위한 안전방망 설치_x000a_▶ 추락위험이 있는 작업장소에 작업발판 설치 시 규정에 부합하는 안전난간 설치 "/>
  </r>
  <r>
    <n v="2"/>
    <x v="2"/>
    <x v="6"/>
    <x v="7"/>
    <s v="YES"/>
    <x v="27"/>
    <x v="52"/>
    <s v="12대 기인물"/>
    <n v="4"/>
    <n v="6.9000000000000006E-2"/>
    <s v="2019년 2월경"/>
    <d v="2019-02-01T00:00:00"/>
    <n v="2"/>
    <s v="혹한기"/>
    <x v="2"/>
    <s v="2019년 2월경 (주)OO산업 OO오피스텔 신축공사 현장에서 골조공사 협력업체인 OO건설(주) 소속 재해자가 지상 1층 Dry Area 내부에서 거푸집 등 자재반출 작업 중, 미고정된 작업발판이 이탈되면서 작업발판과 함께 약 25m 아래 지하 6층 콘크리트 바닥으로 떨어져 사망"/>
    <s v="개구부 구간 추락방지조치 미실시한 상태에서 엘리베이터 실외벽 거푸집조립 작업 중 작업발판 미고정으로 중심을 잃고 근로자 추락"/>
    <s v="▶ 비계조립 시 건물벽체와 비계 틈 사이가 발생하지 않도록 설치_x000a_▶ 작업여건 상 틈 사이가 발생 된 경우 추락 방지를 위한 안전방망 설치_x000a_▶ 추락위험이 있는 작업장소에 작업발판 설치 시 규정에 부합하는 안전난간 설치 "/>
  </r>
  <r>
    <n v="2"/>
    <x v="2"/>
    <x v="6"/>
    <x v="7"/>
    <s v="YES"/>
    <x v="27"/>
    <x v="52"/>
    <s v="12대 기인물"/>
    <n v="4"/>
    <n v="6.9000000000000006E-2"/>
    <s v="재해자가 4층 엘"/>
    <s v="X"/>
    <e v="#VALUE!"/>
    <e v="#VALUE!"/>
    <x v="2"/>
    <s v="재해자가 4층 엘리베이터(Elevator)실 외벽 거푸집조립 작업 또는 이동 중, 몸의 중심을 잃고 실족하여 건물 외벽과 비계 틈(40cm)을 통해, 약 9.6m 아래 지상1층 콘크리트 바닥으로 떨어져 사망"/>
    <s v="개구부 구간 추락방지조치 미실시한 상태에서 엘리베이터 실외벽 거푸집조립 작업 중 작업발판 미고정으로 중심을 잃고 근로자 추락"/>
    <s v="▶ 비계조립 시 건물벽체와 비계 틈 사이가 발생하지 않도록 설치_x000a_▶ 작업여건 상 틈 사이가 발생 된 경우 추락 방지를 위한 안전방망 설치_x000a_▶ 추락위험이 있는 작업장소에 작업발판 설치 시 규정에 부합하는 안전난간 설치 "/>
  </r>
  <r>
    <n v="2"/>
    <x v="2"/>
    <x v="6"/>
    <x v="33"/>
    <s v="YES"/>
    <x v="27"/>
    <x v="52"/>
    <s v="12대 기인물"/>
    <n v="4"/>
    <n v="6.9000000000000006E-2"/>
    <s v="2016년 12월"/>
    <d v="2016-12-01T00:00:00"/>
    <n v="12"/>
    <s v="혹한기"/>
    <x v="2"/>
    <s v="2016년 12월경 OO신축공사 현장의 OO동 지상 4층 시스템동바리 상부에 설치된 작업발판(높이: 약 4.7m)에서 보 형틀 조립작업을 하던 재해자가 작업을 마치고 내려오던 중 추락하여 사망"/>
    <s v="수직통로 유지관리 불량한 상태에서 지상층 시스템동바리 상부에 설치된 작업발판에서 보 형틀 조립작업 후 사다리 설치부 하단에 통로형 작업발판이 세워져 있어 옆으로 이동하여 내려오던 중 추락"/>
    <s v="▶ 근로자 사용 통로는 안전한 상태로 항상 사용할 수 있도록 유지_x000a_▶ 근로자 이동 중 안전대 착용 등 안전조치 준수 "/>
  </r>
  <r>
    <n v="2"/>
    <x v="2"/>
    <x v="6"/>
    <x v="33"/>
    <s v="YES"/>
    <x v="27"/>
    <x v="52"/>
    <s v="12대 기인물"/>
    <n v="4"/>
    <n v="6.9000000000000006E-2"/>
    <s v="2017년 4월경"/>
    <d v="2017-04-01T00:00:00"/>
    <n v="4"/>
    <s v="-"/>
    <x v="2"/>
    <s v="2017년 4월경 근생 신축공사 현장에서 재해자가 작업발판 상부에서 옥탑층 외벽 거푸집 설치작업 중 작업발판을 지지하는 장선재[비계용 강관(48.6㎜, L=1m)]가 비계 띠장에 미고정되어 작업발판이 탈락되면서 약 9.3m 아래 바닥으로 떨어져 사망"/>
    <s v="비계 작업발판의 고정이 불량하여 작업발판이 탈락되면서 추락"/>
    <s v="▶ 비계 조립 시 부재간 연결부는 전용철물을 사용하여 견고하게 조립하고 작업발판은 이탈되지 않도록 2개소 이상 고정하여 설치_x000a_▶ 추락위험이 있는 구간에는 추락방호망, 안전난간 설치 또는 및 안전대 착용후 작업_x000a_▶ 안전난간 설치 기준 준수하여 설치 및 관리감독자 확인 "/>
  </r>
  <r>
    <n v="2"/>
    <x v="2"/>
    <x v="6"/>
    <x v="33"/>
    <s v="YES"/>
    <x v="27"/>
    <x v="52"/>
    <s v="12대 기인물"/>
    <n v="4"/>
    <n v="6.9000000000000006E-2"/>
    <s v="2018년 5월경"/>
    <d v="2018-05-01T00:00:00"/>
    <n v="5"/>
    <s v="-"/>
    <x v="2"/>
    <s v="2018년 5월경 OO설치공사 현장에서 작업자 3명이 비닐하우스 전면의 수평재(강관파이프 φ48.6mm) 상부에서 작업보조대 나사못 체결작업을 하던 중 클램프로 고정된 작업보조대 일체가 회전하면서 작업자 2명이 약 4m 아래 지상으로 떨어져 1명 사망, 1명 부상"/>
    <s v="추락 방지조치 미실시한 상태의 시스템동바리 수평연결재 상부에서 작업보조대 나사못 체결작업을 하던 중 작업보조대가 회전하면서 지상으로 근로자 추락"/>
    <s v="▶ 추락위험이 있는 구간에는 추락방호망, 안전난간 설치 또는 및 안전대 착용후 작업_x000a_▶ 안전난간 설치 기준 준수하여 설치 및 관리감독자 확인 "/>
  </r>
  <r>
    <n v="2"/>
    <x v="2"/>
    <x v="6"/>
    <x v="33"/>
    <s v="YES"/>
    <x v="27"/>
    <x v="52"/>
    <s v="12대 기인물"/>
    <n v="4"/>
    <n v="6.9000000000000006E-2"/>
    <s v="2019년 11월"/>
    <d v="2019-11-01T00:00:00"/>
    <n v="11"/>
    <s v="-"/>
    <x v="2"/>
    <s v="2019년 11월경 (주)OO 소속 재해자 2명이 목재로 만든 임시 작업발판 위에서 지상4층 계단실 벽체 거푸집 조립작업 중 목재 작업발판이 무너지면서 계단실 슬래브 위로 떨어져 부상"/>
    <s v="중량물 취급작업 계획서 미작성 및 작업지휘자 미지정한 상태에서 지상층 슬라브에서 타워크레인으로 인양된 거푸집동바리의 슬링벨트 해제를 위해 같은층 슬라브 외각부에 설치된 작업발판에 올라 이동 중 작업발판 탈락에 의한 근로자 추락"/>
    <s v="▶ 작업발판 설치시 탈락방지를 위해 견고히 설치 및 설치 상태 관리감독자 확인_x000a_▶ 중량물 취급시 작업계획서를 사전에 작성하고 관리감독자를 배치하여 작업계획서에 맞게 작업행"/>
  </r>
  <r>
    <n v="2"/>
    <x v="2"/>
    <x v="6"/>
    <x v="33"/>
    <s v="YES"/>
    <x v="27"/>
    <x v="52"/>
    <s v="12대 기인물"/>
    <n v="4"/>
    <n v="6.9000000000000006E-2"/>
    <s v="2020년 4월경"/>
    <d v="2020-04-01T00:00:00"/>
    <n v="4"/>
    <s v="-"/>
    <x v="2"/>
    <s v="2020년 4월경 (주)OO이 시공하는 OO신축공사 현장에서 재해자가 시스템동바리 수평연결재에 설치된 작업발판(알루미늄 유공발판)에서 보 거푸집 긴결재(보타이) 불량품 교체를 위하여 이동하던 중 실족하여 지하 1층 바닥으로 떨어져 사망"/>
    <s v="추락 방지조치 미실시한 상태의 시스템동바리 수평연결재에 설치된 작업발판에서 보 거푸집 긴결재 불량품 교체를 위하여 이동하던 중 실족하여 근로자 추락"/>
    <s v="▶ 추락위험이 있는 구간에는 추락방호망, 안전난간 설치 또는 및 안전대 착용후 작업_x000a_▶ 안전난간 설치 기준 준수하여 설치 및 관리감독자 확인 "/>
  </r>
  <r>
    <n v="2"/>
    <x v="2"/>
    <x v="6"/>
    <x v="33"/>
    <s v="YES"/>
    <x v="27"/>
    <x v="52"/>
    <s v="12대 기인물"/>
    <n v="4"/>
    <n v="6.9000000000000006E-2"/>
    <s v="2020년 11월"/>
    <d v="2020-11-01T00:00:00"/>
    <n v="11"/>
    <s v="-"/>
    <x v="2"/>
    <s v="2020년 11월경 (주)OO건설에서 시공하는 OO오피스텔 현장에서 협력업체 소속 재해자가 지하4층 자재반출구 내부에 임시로 설치된 작업발판 위에서 기둥 거푸집 지지대(일명: 밴드)를 설치하던 중 중간난간대가 난간기둥에서 탈락하여 지하 6층 바닥(h≒10m)으로 추락하여 사망"/>
    <s v="안전난간의 설치요건 및 개구부 방호조치 미실시한 상태에서 지하층 자재반출구 내부에 임시로 설치된 작업발판 위에서 기둥 거푸집 지지대 설치 중 중간난간대가 난간기둥에서 탈락하여 근로자 추락"/>
    <s v="▶ 추락위험이 있는 구간에는 추락방호망, 안전난간 설치 또는 및 안전대 착용후 작업_x000a_▶ 안전난간 설치 기준 준수하여 살치 및 관리감독자 확인 "/>
  </r>
  <r>
    <n v="2"/>
    <x v="2"/>
    <x v="6"/>
    <x v="8"/>
    <s v="YES"/>
    <x v="27"/>
    <x v="52"/>
    <s v="12대 기인물"/>
    <n v="4"/>
    <n v="6.9000000000000006E-2"/>
    <s v="2016년 9월경"/>
    <d v="2016-09-01T00:00:00"/>
    <n v="9"/>
    <s v="-"/>
    <x v="2"/>
    <s v="2016년 9월경 재해자가 OO건설에서 시공하는 OO신축공사 현장 1층에서 알미늄폼 해체작업을 하던 중 약 2.8m 높이의 보 하부 거푸집을 제거하는 작업을 수행 중에 시스템동바리에 임시로 설치한 작업발판이 고정되지 않아 흔들리면서 중심을 잃고 아래로 떨어져 사망"/>
    <s v="추락 방지조치 미실시한 상태에서 지상층에서 알미늄폼 해체작업을 위해 상부층 보 하부 거푸집을 제거하는 작업 중 시스템동바리에 임시로 설치한 작업발판이 고정되지 않아 흔들리면서 중심을 잃고 떨어짐"/>
    <s v="▶ 추락위험이 있는 구간에는 추락방호망, 안전난간 설치 또는 및 안전대 착용후 작업_x000a_▶ 작업발판 설치시 작업발판이 뒤집어지거나 떨어지지 않도록 견고히 고정"/>
  </r>
  <r>
    <n v="2"/>
    <x v="2"/>
    <x v="6"/>
    <x v="8"/>
    <s v="YES"/>
    <x v="27"/>
    <x v="52"/>
    <s v="12대 기인물"/>
    <n v="4"/>
    <n v="6.9000000000000006E-2"/>
    <s v="2017년 1월경"/>
    <d v="2017-01-01T00:00:00"/>
    <n v="1"/>
    <s v="혹한기"/>
    <x v="2"/>
    <s v="2017년 1월경 OO근린생활시설 신축현장에서, 재해자가 건물 지상 2층 돌출 슬라브(Slab) 단부에서 거푸집(유로폼) 해체를 위해 유로폼 고정용 철선(6mm)을 절단하는 작업 중, 몸의 중심을 잃고 약 3.5m아래 콘크리트 바닥으로 떨어져 사망"/>
    <s v="추락방지조치 미실시한 상태에서 지상층 돌출 슬라브 단부에서 거푸짐 해체를 위해 유로폼 고정용 철선 절단작업 중 중심을 잃고 추락"/>
    <s v="▶ 돌출 슬라브 단부 등 추락 가능성이 있는 장소에서의 작업 시 쌍줄비계를 조립하는 방법으로 작업발판을 설치_x000a_▶ 추락위험이 있는 구간에는 추락방호망, 안전난간 설치 또는 및 안전대 착용후 작업"/>
  </r>
  <r>
    <n v="2"/>
    <x v="2"/>
    <x v="6"/>
    <x v="8"/>
    <s v="YES"/>
    <x v="27"/>
    <x v="52"/>
    <s v="12대 기인물"/>
    <n v="4"/>
    <n v="6.9000000000000006E-2"/>
    <s v="2017년 4월경"/>
    <d v="2017-04-01T00:00:00"/>
    <n v="4"/>
    <s v="-"/>
    <x v="2"/>
    <s v="2017년 4월경 (주)OO건설에서 시공하는 OO공동주택 신축공사 현장에서 협력업체 소속 재해자가 엘리베이터실 내부(E/V Pit) 알루미늄 거푸집을 해체하여 작업발판(철근+합판구조)에 적재하던 중 작업발판을 지지하던 철근(D=13@300mm)이 벽체 콘크리트에서 탈락되며 지상 1층 바닥으로 떨어져(H≒35.8m) 사망"/>
    <s v="엘리베이터실 내부 작업발판 지지구조 불량한 상태에서 엘리베이터실 내부 알루미늄 거푸집을 해체하여 작업발판에 적재하던 중 작업발판을 지지하던 철근이 콘크리트 벽체에서 탈락됨에 따라 근로자 추락"/>
    <s v="▶ 엘리베이터실 내부 작업발판에 과다한 자재 적치 금지 _x000a_▶ 엘리베이터실 내부 작업발판 설치 시 지지 철근의 수평간격을 200mm 이내에 설치하되 적정한 묻힘 길이 확보_x000a_▶ 엘리베이터실 내부 작업발판 상부에서 거푸집 해체 작업 시 안전대 부착설비 설치 및 안전대 착용_x000a_▶ 해체 이후 하부에 10m 이내마다 추락방지망 설치"/>
  </r>
  <r>
    <n v="2"/>
    <x v="2"/>
    <x v="6"/>
    <x v="8"/>
    <s v="YES"/>
    <x v="27"/>
    <x v="52"/>
    <s v="12대 기인물"/>
    <n v="4"/>
    <n v="6.9000000000000006E-2"/>
    <s v="2018년 6월경"/>
    <d v="2018-06-01T00:00:00"/>
    <n v="6"/>
    <s v="혹서기"/>
    <x v="2"/>
    <s v="2018년 6월경 OO다가구주택 신축공사 현장에서 형틀목공인 재해자가 옥탑 계단실 내 벽체 거푸집을 해체하기 위해 파이프 서포트(2열 설치, 폭17cm)를 작업발판 용도로 약80cm 높이에 설치한 후 그 위에 올라가 거푸집(유로폼:600×1200mm) 고정핀을 해체하던 중 몸의 균형을 잃고 인접 돌음계단 사이의 개구부(800×800mm)를 통해 13M 아래 1층 바닥으로 떨어져 사망"/>
    <s v="옥탑 계단실 내 벽체 거푸집 해체를 위해 작업발판을 설치하지 않고 파이프 서프트를 작업발판 용도로 설치 후 그 위에 올라가 거푸집 고정핀을 해체하던 중 균형을 잃고 인접 돌음계단 사이 개구부로 근로자 추락"/>
    <s v="▶ 추락 위험이 있는 장소에서의 작업 시 비계 조립 등의 방법으로 작업발판과 작업발판 단부에 안전난간 설치_x000a_▶ 작업장소 주변에 돌음계단 및 개구부 등이 있을 때에는 추락을 방지할 수 있도록 안전난간과 추락방지망 설치또는 및 안전대 착용후 작업"/>
  </r>
  <r>
    <n v="2"/>
    <x v="2"/>
    <x v="6"/>
    <x v="8"/>
    <s v="YES"/>
    <x v="27"/>
    <x v="52"/>
    <s v="12대 기인물"/>
    <n v="4"/>
    <n v="6.9000000000000006E-2"/>
    <s v="2020년 5월경"/>
    <d v="2020-05-01T00:00:00"/>
    <n v="5"/>
    <s v="-"/>
    <x v="2"/>
    <s v="2020년 5월경 OO건설(주)에서 시공 중인 OO근생시설현장에서 지상 8층 외벽 거푸집 해체작업을 하던 재해자가 콘크리트 구조물과 작업발판 사이로 빠지며 지상 5층 작업발판으로 떨어져(H≒13m) 사망"/>
    <s v="추락 방지조치 미실시한 상태에서 지상층 외벽 거푸집 해체작업 중 콘크리트 구조물과 작업발판 사이 개구부로 추락"/>
    <s v="▶ 개구부 등 추락위험 장소에서 작업 시 개구부 덮개 설치 및 가시성 있는 표지판 설치_x000a_▶ 추락위험이 있는 구간에는 추락방호망, 안전난간 설치 또는 및 안전대 착용후 작업"/>
  </r>
  <r>
    <n v="2"/>
    <x v="2"/>
    <x v="6"/>
    <x v="9"/>
    <s v="YES"/>
    <x v="27"/>
    <x v="52"/>
    <s v="12대 기인물"/>
    <n v="4"/>
    <n v="6.9000000000000006E-2"/>
    <s v="2018년 4월경"/>
    <d v="2018-04-01T00:00:00"/>
    <n v="4"/>
    <s v="-"/>
    <x v="2"/>
    <s v="2018년 4월경 OO건설의 신축공사 현장에서 재해자가 지상12층 엘리베이터 샤프트에 작업발판(파이프서포트+각재+합판)을 설치한 상태에서 벽체용 거푸집을 해체하여 적재한 후 타워크레인을 이용하여 양중하기 위하여 줄걸이를 걸어주는 순간, 적재된 벽체용 거푸집의 무게를 버티지 못하고 작업발판이 무너지면서 재해자가 지하1층 바닥으로 떨어져(H≒40m) 사망"/>
    <s v="과도한 중량의 거푸집을 비계 작업발판에 적재하여 비계 작업발판이 붕괴되면서 주변 작업자가 추락"/>
    <s v="▶ 추락위험이 있는 구간에는 추락방호망, 안전난간 설치 또는 및 안전대 착용후 작업_x000a_▶ 안전난간 설치 기준 준수하여 설치 및 관리감독자 확인 "/>
  </r>
  <r>
    <n v="2"/>
    <x v="2"/>
    <x v="27"/>
    <x v="105"/>
    <s v="YES"/>
    <x v="27"/>
    <x v="52"/>
    <s v="12대 기인물"/>
    <n v="4"/>
    <n v="6.9000000000000006E-2"/>
    <s v="2018년 8월경"/>
    <d v="2018-08-01T00:00:00"/>
    <n v="8"/>
    <s v="혹서기"/>
    <x v="2"/>
    <s v="2018년 8월경  OO기업(주) 방조제공사 현장에서, 협력업체 소속 재해자가 통선문 클라이밍 발판과 발판 사이에 발판을 설치하기 위해 발판사이에 작업발판을 얹어 놓고, 설치해야 할 작업발판을 밟은 상태에서 철선을 이용하여 작업발판과 발판을 연결하려던 중, 갑자기 작업발판이 빠지면서 작업발판과 함께 콘크리트 바닥(H≒7.0m)으로 떨어져 사망"/>
    <s v="추락 방지조치 미실시한 상태에서 통선문 클라이밍 발판과 발판 사이에 발판을 설치하기 위해 발판사이에 작업발판을 얹어놓고, 설치해야 할 작업발판을 밟은 상태에서 작업발판과 발판을 연결하려던 중 작업발판 탈락으로 근로자 추락"/>
    <s v="▶ 클라이밍 발판과 발판 사이에 작업발판을 설치하는 작업 시 걸침걸이 지지부 확보_x000a_▶ 작업발판 설치 작업 시 추락방지를 위해 가급적 기 설치된 발판을 밟고 작업_x000a_▶ 작업발판 설치 시 안전대 부착설비 설치 및 안전대 착용"/>
  </r>
  <r>
    <n v="2"/>
    <x v="2"/>
    <x v="27"/>
    <x v="52"/>
    <s v="YES"/>
    <x v="27"/>
    <x v="52"/>
    <s v="12대 기인물"/>
    <n v="4"/>
    <n v="6.9000000000000006E-2"/>
    <s v="2018년 3월경"/>
    <d v="2018-03-01T00:00:00"/>
    <n v="3"/>
    <s v="-"/>
    <x v="0"/>
    <s v="2018년 3월경 아파트 신축공사에서 유압 상승식 시스템 작업발판(PCS)을 55층에서 56층으로 상승시키는 작업 중 작업대를 지지하는 부재가 탈락되면서 작업판이 떨어져 이에 탑승한 재해자 3명이 201m 아래로 추락하여 사망, 하부 작업발판에 맞은 콘크리트 펌프카 운전원 1명 사망, 바닥에 떨어진 작업발판에 맞아 4명 부상"/>
    <s v="외벽 커튼월 작업을 위해 PCS를 상승시키는 작업 중 작업대를 지지하는 슈 브라켓 고정용 콘이 콘크리트 벽체 내부 매립된 타이로드에서 탈락됨에 따라 작업대와 근로자 3명 추락 연이어 추락한 작업대 근로자 덮침 및 바닥에서 튕긴 작업대 부재 근로자 가격"/>
    <s v="▶ 클라이밍 콘과 타이로드 체결상태 확인_x000a_▶ 동일 작업구역 내 상·하 동시작업 금지_x000a_▶ 건물 외벽에서 작업대 조립·해체 및 변경 시 관리감독자 배치"/>
  </r>
  <r>
    <n v="2"/>
    <x v="2"/>
    <x v="7"/>
    <x v="34"/>
    <s v="YES"/>
    <x v="27"/>
    <x v="52"/>
    <s v="12대 기인물"/>
    <n v="4"/>
    <n v="6.9000000000000006E-2"/>
    <s v="2017년 2월경"/>
    <d v="2017-02-01T00:00:00"/>
    <n v="2"/>
    <s v="혹한기"/>
    <x v="2"/>
    <s v="2017년 2월경 단독주택 신축공사 현장에서 철근공인 재해자가 철근 조립 작업을 위해 화장실 벽체 1.2～1.5m 높이 수평 철근에 비계용 강관(48.6mm)을 걸쳐 놓고 기성재 작업발판 설치 후 그 위로 올라가 작업하던 중 걸침 길이가 짧은 비계용 강관이 철근에서 탈락되면서 작업발판과 함께바닥으로 떨어져 사망"/>
    <s v="수평철근에 비계용 강관을 걸쳐 놓고 그 위에서 작업하던 중, 걸침 길이가 짧은 비계용 강관이 철근에서 탈락되면서 발판과 함께 근로자 추락"/>
    <s v="▶ 협소 공간에서의 철근조립 작업 시 이동식 비계를 조립하여 작업발판 설치 후 작업 실시_x000a_▶ 근로자가 추락할 위험있는 장소에서 작업 시 개인보호구 착용 철저 및 확인 감독 실시"/>
  </r>
  <r>
    <n v="2"/>
    <x v="2"/>
    <x v="8"/>
    <x v="11"/>
    <s v="YES"/>
    <x v="27"/>
    <x v="52"/>
    <s v="12대 기인물"/>
    <n v="4"/>
    <n v="6.9000000000000006E-2"/>
    <s v="2017년 11월"/>
    <d v="2017-11-01T00:00:00"/>
    <n v="11"/>
    <s v="-"/>
    <x v="2"/>
    <s v="2017년 11월경 OO(주)에서 시공 중인 복합건물 신축공사 현장에서 협력업체 ㈜OO건설 소속 재해자가 5층 건물 옥상층 콘크리트 타설 작업 중 펌프카 호스 해체 등을 위해 안전난간대를 기 해체한 외부비계 작업발판에 올라서서 이동 또는 작업 중 지상으로 떨어져(H≒15.0m) 사망"/>
    <s v="콘크리트 타설 작업 중 펌프카 호스 해체를 위해 안전난간이 없는 작업발판에 서서 작업 중 추락"/>
    <s v="▶ 추락위험이 있는 단부 주변에서 작업 시 단부에 안전난간 및 추락방호망 설치_x000a_▶ 높이 2m 이상의 추락위험 장소에서 작업 시 안전대 부착설비 설치 및 안전대 착용_x000a_▶ 개인보호구 지급 및 착용"/>
  </r>
  <r>
    <n v="3"/>
    <x v="3"/>
    <x v="9"/>
    <x v="13"/>
    <s v="YES"/>
    <x v="27"/>
    <x v="52"/>
    <s v="12대 기인물"/>
    <n v="4"/>
    <n v="6.9000000000000006E-2"/>
    <s v="2017년 7월경"/>
    <d v="2017-07-01T00:00:00"/>
    <n v="7"/>
    <s v="혹서기"/>
    <x v="2"/>
    <s v="2017년 7월경 OOO 우사 신축공사 현장에서 재해자가 우사 지붕 강구조물 공사(C형강 설치작업) 중 실족하여 콘크리트 바닥으로 떨어져(H≒5.9m)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4"/>
    <x v="4"/>
    <x v="10"/>
    <x v="38"/>
    <s v="YES"/>
    <x v="27"/>
    <x v="52"/>
    <s v="12대 기인물"/>
    <n v="4"/>
    <n v="6.9000000000000006E-2"/>
    <s v="2017년 4월경"/>
    <d v="2017-04-01T00:00:00"/>
    <n v="4"/>
    <s v="-"/>
    <x v="2"/>
    <s v="2017년 4월경 OO신축공사에서 건물의 전면부(주출입구측) 4층 외부 강관비계 작업발판 위에서 조적작업 중 중심을 잃고 11m 아래 지상 바닥으로 추락하여 사망"/>
    <s v="작업발판 위에서 조적작업 중 몸의 중심을 잃고 안전난간이 설치되지 않은 작업발판 단부로 추락"/>
    <s v="▶ 작업발판 단부 등 추락위험이 있는 장소에는 안전난간 설치 _x000a_▶ 안전난간 설치가 어려운 경우 안전대부착설비 설치 및 안전대 체결 후 작업 "/>
  </r>
  <r>
    <n v="4"/>
    <x v="4"/>
    <x v="10"/>
    <x v="38"/>
    <s v="YES"/>
    <x v="27"/>
    <x v="52"/>
    <s v="12대 기인물"/>
    <n v="4"/>
    <n v="6.9000000000000006E-2"/>
    <s v="2017년 9월경"/>
    <d v="2017-09-01T00:00:00"/>
    <n v="9"/>
    <s v="-"/>
    <x v="2"/>
    <s v="2017년 9월경 OO건설 OO 신축공사 현장에서 재해자1이 본관동 3층 외부비계에서 치장벽돌 쌓기 작업을 위해 비계 상부 작업발판을 이동 중 미끄러져 ELEV.PIT 내부로 떨어지면서(H=8.5m) 1층 ELEV 상부에서 작업중이던 재해자2를 덮쳐 동시에 부상"/>
    <s v="외부비계 작업발판 위에서 작업 중 실족하여 안전난간이 설치되지 않는 작업발판 단부로 추락"/>
    <s v="▶ 추락할 위험이 있는 개구부에는 안전난간을 튼튼하게 설치_x000a_▶ 작업조건으로 인해 안전난간을 설치할 수 없는 경우 안전대 부착설비 설치 후 안전대를 착용하고 작업"/>
  </r>
  <r>
    <n v="4"/>
    <x v="4"/>
    <x v="10"/>
    <x v="38"/>
    <s v="YES"/>
    <x v="27"/>
    <x v="52"/>
    <s v="12대 기인물"/>
    <n v="4"/>
    <n v="6.9000000000000006E-2"/>
    <s v="2017년 10월"/>
    <d v="2017-10-01T00:00:00"/>
    <n v="10"/>
    <s v="-"/>
    <x v="2"/>
    <s v="2017년 10월경 OO건설에서 시공하는 오피스텔 및 다세대주택공사 현장에서 재해자가 외부 강관비계 위에서 치장벽돌 자재를 인양하면서 작업발판에 걸린 운반구를 빼내려던 중 몸의 중심을 잃고 지상 바닥으로 떨어져(H≒12.5) 사망"/>
    <s v="외부비계 작업발판 위에서 작업 중 실족하여 안전난간이 설치되지 않는 작업발판 단부로 추락"/>
    <s v="▶ 추락할 위험이 있는 개구부에는 안전난간을 튼튼하게 설치_x000a_▶ 작업조건으로 인해 안전난간을 설치할 수 없는 경우 안전대 부착설비 설치 후 안전대를 착용하고 작업"/>
  </r>
  <r>
    <n v="4"/>
    <x v="4"/>
    <x v="10"/>
    <x v="38"/>
    <s v="YES"/>
    <x v="27"/>
    <x v="52"/>
    <s v="12대 기인물"/>
    <n v="4"/>
    <n v="6.9000000000000006E-2"/>
    <s v="2017년 12월"/>
    <d v="2017-12-01T00:00:00"/>
    <n v="12"/>
    <s v="혹한기"/>
    <x v="2"/>
    <s v="2017년 12월경 OO신축공사에서 4층 외부비계 상에서 외부 조적 모르타르 줄눈 작업 중 몸의 중심을 잃고 비계 외측으로 지상 1층까지 추락(H≒10.6m)하여 사망"/>
    <s v="외부비계 상에서 외부 조적 모르타르 줄눈 작업 중 몸의 중심을 잃고 안전난간 미설치 상태의 비계 외측으로 추락"/>
    <s v="▶ 건물외벽과 비계사이의 개구부로 추락할 위험이 있을 경우 하단에 추락방호망을 설치하거나 추가 작업발판을 설치_x000a_▶ 비계 조립 시 외벽 마감재 시공을 고려하여 구조물로부터 적정거리를 이격하여 조립_x000a_▶ 외벽 마감작업을 위해 비계 내측 안전난간을 임의 해체하는 경우 구조물과 비계 작업발판 사이에 추락방지망 설치하고 안전대를 체결한 후 작업토록 관리감독"/>
  </r>
  <r>
    <n v="4"/>
    <x v="4"/>
    <x v="10"/>
    <x v="38"/>
    <s v="YES"/>
    <x v="27"/>
    <x v="52"/>
    <s v="12대 기인물"/>
    <n v="4"/>
    <n v="6.9000000000000006E-2"/>
    <s v="2020년 10월"/>
    <d v="2020-10-01T00:00:00"/>
    <n v="10"/>
    <s v="-"/>
    <x v="2"/>
    <s v="2020년 10월경 OO리모델링공사에서 지하 Pit층 중간 슬라브에서 이동 중 바닥으로 추락하여(H≒2.0m) 사망"/>
    <s v="이동통로가 없는 지하층 중간 슬라브에서 이동 중 바닥으로 떨어짐"/>
    <s v="▶ 작업발판 단부 등 추락위험이 있는 장소에는 안전난간 설치 _x000a_▶ 안전난간 설치가 어려운 경우 안전대부착설비 설치 및 안전대 체결 후 작업 "/>
  </r>
  <r>
    <n v="4"/>
    <x v="4"/>
    <x v="10"/>
    <x v="38"/>
    <s v="YES"/>
    <x v="27"/>
    <x v="52"/>
    <s v="12대 기인물"/>
    <n v="4"/>
    <n v="6.9000000000000006E-2"/>
    <s v="2021년 5월경"/>
    <d v="2021-05-01T00:00:00"/>
    <n v="5"/>
    <s v="-"/>
    <x v="2"/>
    <s v="2021년 5월경 OO신축공사에서 시스템비계의 작업발판(2단, 3.9m)에서 치장벽돌 쌓기 작업 중 작업발판(2단) 내측 끝부분과 건물 벽체사이(폭 0.4m) 아래 콘크리트 바닥으로 추락하여 사망"/>
    <s v="추락방지조치 미설치한 상태에서 외부 비계에서 외벽 견출작업을 하던 중 몸의 중심을 잃고 구조물 외벽과 비계 사이의 개구부로 추락"/>
    <s v="▶ 건물외벽과 비계사이의 개구부로 추락할 위험이 있을 경우 하단에 추락방호망을 설치하거나 추가 작업발판을 설치_x000a_▶ 비계 조립 시 외벽 마감재 시공을 고려하여 구조물로부터 적정거리를 이격하여 조립_x000a_▶ 외벽 마감작업을 위해 비계 내측 안전난간을 임의 해체하는 경우 구조물과 비계 작업발판 사이에 추락방지망 설치하고 안전대를 체결한 후 작업토록 관리감독"/>
  </r>
  <r>
    <n v="4"/>
    <x v="4"/>
    <x v="10"/>
    <x v="15"/>
    <s v="YES"/>
    <x v="27"/>
    <x v="52"/>
    <s v="12대 기인물"/>
    <n v="4"/>
    <n v="6.9000000000000006E-2"/>
    <s v="2016년 12월"/>
    <d v="2016-12-01T00:00:00"/>
    <n v="12"/>
    <s v="혹한기"/>
    <x v="2"/>
    <s v="2016년 12월경 OO신축공사에서 계단실 1∼2층 사이의 계단참에서 미장작업용 발판을 해체하던 중 몸의 균형을 잃고 2M 아래 계단 콘크리트 바닥으로 추락하여 사망"/>
    <s v="작업발판 위에서 미장작업 중 몸의 중심을 잃고 안전난간이 설치되지 않은 작업발판 단부로 추락"/>
    <s v="▶ 작업발판 단부 등 추락위험이 있는 장소에는 안전난간 설치 _x000a_▶ 안전난간 설치가 어려운 경우 안전대부착설비 설치 및 안전대 체결 후 작업 "/>
  </r>
  <r>
    <n v="4"/>
    <x v="4"/>
    <x v="10"/>
    <x v="15"/>
    <s v="YES"/>
    <x v="27"/>
    <x v="52"/>
    <s v="12대 기인물"/>
    <n v="4"/>
    <n v="6.9000000000000006E-2"/>
    <s v="2017년 1월경"/>
    <d v="2017-01-01T00:00:00"/>
    <n v="1"/>
    <s v="혹한기"/>
    <x v="2"/>
    <s v="2017년 1월경 OO신축공사에서 2층 계단실 내부 비계 작업발판 위에서 천장면 미장작업 중 작업발판 단부에서 추락하여(H≒2.5m) 사망"/>
    <s v="작업발판 위에서 미장작업 중 몸의 중심을 잃고 안전난간이 설치되지 않은 작업발판 단부로 추락"/>
    <s v="▶ 작업발판 단부 등 추락위험이 있는 장소에는 안전난간 설치 _x000a_▶ 안전난간 설치가 어려운 경우 안전대부착설비 설치 및 안전대 체결 후 작업 "/>
  </r>
  <r>
    <n v="4"/>
    <x v="4"/>
    <x v="10"/>
    <x v="15"/>
    <s v="YES"/>
    <x v="27"/>
    <x v="52"/>
    <s v="12대 기인물"/>
    <n v="4"/>
    <n v="6.9000000000000006E-2"/>
    <s v="2017년 9월경"/>
    <d v="2017-09-01T00:00:00"/>
    <n v="9"/>
    <s v="-"/>
    <x v="2"/>
    <s v="2017년 9월경 OO시설공사에서 지하층 기계실 장비반입구 위에 걸쳐 놓은 작업발판 위에서 외벽 1층 창호틀 주변부 미장작업 중 몸의 중심을 잃고 지하층 계단실로 추락하여(H≒4.0m) 사망"/>
    <s v="작업발판 위에서 미장작업 중 몸의 중심을 잃고 안전난간이 설치되지 않은 작업발판 단부로 추락"/>
    <s v="▶ 작업발판 단부 등 추락위험이 있는 장소에는 안전난간 설치 _x000a_▶ 안전난간 설치가 어려운 경우 안전대부착설비 설치 및 안전대 체결 후 작업 "/>
  </r>
  <r>
    <n v="4"/>
    <x v="4"/>
    <x v="10"/>
    <x v="15"/>
    <s v="YES"/>
    <x v="27"/>
    <x v="52"/>
    <s v="12대 기인물"/>
    <n v="4"/>
    <n v="6.9000000000000006E-2"/>
    <s v="2017년 12월"/>
    <d v="2017-12-01T00:00:00"/>
    <n v="12"/>
    <s v="혹한기"/>
    <x v="2"/>
    <s v="2017년 12월경 OO개선공사에서 옥상 기계실 외벽부분 미장작업을 하던 중 비계 위 작업발판 단부에서 추락하여(H≒10m) 사망"/>
    <s v="비계 작업발판에서 견출 작업 중 몸의 중심을 잃고 안전난간이 미설치된 작업발판 단부로 추락"/>
    <s v="▶ 비계 내·외측에 안전난간 2단으로 견고하게 설치하고 작업여건 상 안전난간을 설치할 수 없는 경우에는 추락방호망 설치_x000a_▶ 안전난간 또는 추락방호망 설치가 곤란한 경우 안전대 부착설비를 설치하고 안전대를 체결 후 작업토록 관리감독"/>
  </r>
  <r>
    <n v="4"/>
    <x v="4"/>
    <x v="10"/>
    <x v="15"/>
    <s v="YES"/>
    <x v="27"/>
    <x v="52"/>
    <s v="12대 기인물"/>
    <n v="4"/>
    <n v="6.9000000000000006E-2"/>
    <s v="2018년 4월경"/>
    <d v="2018-04-01T00:00:00"/>
    <n v="4"/>
    <s v="-"/>
    <x v="2"/>
    <s v="2018년 4월경 OO건축의 신축공사 현장에서 재해자가 건물 외부 비계에서 이동 중 고정되지 않은 작업발판(유로폼)이 뒤집어지면서 약 9.85m 아래 바닥으로 떨어져 사망"/>
    <s v="작업발판 위에서 미장작업 중 몸의 중심을 잃고 안전난간이 설치되지 않은 작업발판 단부로 추락"/>
    <s v="▶ 작업발판 단부 등 추락위험이 있는 장소에는 안전난간 설치 _x000a_▶ 안전난간 설치가 어려운 경우 안전대부착설비 설치 및 안전대 체결 후 작업 "/>
  </r>
  <r>
    <n v="4"/>
    <x v="4"/>
    <x v="10"/>
    <x v="15"/>
    <s v="YES"/>
    <x v="27"/>
    <x v="52"/>
    <s v="12대 기인물"/>
    <n v="4"/>
    <n v="6.9000000000000006E-2"/>
    <s v="2018년 4월경"/>
    <d v="2018-04-01T00:00:00"/>
    <n v="4"/>
    <s v="-"/>
    <x v="2"/>
    <s v="2018년 4월경 OO신축공사에서 29층 콘크리트 벽체 해체공사를 위하여 RCS 작업발판 위에서 할석작업을 하던 중 콘크리트 잔재물이 작업발판에 과다하게 적치되어 작업발판 지지대가 허용하중을 견디지 못하고 파단되면서 작업발판과 함께 지면(높이 86m)으로 추락하여 사망"/>
    <s v="작업발판 위에서 할석작업 중 콘크리트 잔재물이 작업발판에 과다하게 적치되어 허용하중을 견디지 못하고 작업발판이 파단되어 추락"/>
    <s v="▶ 해체작업 시 작업발판에 근로자, 작업공구, 해체작업으로 수반되는 부산물이 적재될 경우 작업발판의 최대적재하중을 초과하지 않는 허용하중 범위에서 작업_x000a_▶ 비계·구조물 해체공사 시 해당 법령에서 정하는 기준에 부합하는 등록업체가 공사를 수행"/>
  </r>
  <r>
    <n v="4"/>
    <x v="4"/>
    <x v="10"/>
    <x v="15"/>
    <s v="YES"/>
    <x v="27"/>
    <x v="52"/>
    <s v="12대 기인물"/>
    <n v="4"/>
    <n v="6.9000000000000006E-2"/>
    <s v="2020년 10월"/>
    <d v="2020-10-01T00:00:00"/>
    <n v="10"/>
    <s v="-"/>
    <x v="2"/>
    <s v="2020년 10월경 OO신축공사에서 조적용 인방 타설부위의 콘크리트 상부면 미장 작업 중 비계와 건물 외벽 사이로 추락(H≒12.8m)하여 사망"/>
    <s v="추락방호망, 안전대 미설치 상태에서 외부 비계에서 외벽 견출작업을 하던 중 몸의 중심을 잃고 구조물 외벽과 비계 사이의 개구부로 추락"/>
    <s v="▶ 건물외벽과 비계사이의 개구부로 추락할 위험이 있을 경우 하단에 추락방호망을 설치하거나 추가 작업발판을 설치_x000a_▶ 비계 조립 시 외벽 마감재 시공을 고려하여 구조물로부터 적정거리를 이격하여 조립_x000a_▶ 외벽 마감작업을 위해 비계 내측 안전난간을 임의 해체하는 경우 구조물과 비계 작업발판 사이에 추락방지망 설치하고 안전대를 체결한 후 작업토록 관리감독"/>
  </r>
  <r>
    <n v="4"/>
    <x v="4"/>
    <x v="38"/>
    <x v="100"/>
    <s v="YES"/>
    <x v="27"/>
    <x v="52"/>
    <s v="12대 기인물"/>
    <n v="4"/>
    <n v="6.9000000000000006E-2"/>
    <s v="2018년 8월경"/>
    <d v="2018-08-01T00:00:00"/>
    <n v="8"/>
    <s v="혹서기"/>
    <x v="2"/>
    <s v="2018년 8월경 OO신축공사 현장에서 협력업체 소속 재해자가 외부 쌍줄비계 4단 작업발판 높이에서 외부 석재마감부위 코킹작업 중 밟고 있던 작업발판의 걸침고리 4개 중 1개가 90도 방향으로 꺽이며 몸의 중심을 잃고, 쌍줄비계 1단 작업발판과 담장상부 사이로(H≒5.7m) 추락하여 사망"/>
    <s v="외부비계에서 석재 코킹작업 중 밟고 있던 작업발판의 걸침고리 1개가 꺾이면서 몸의 중심을 잃고 바닥으로 추락"/>
    <s v="▶ 비계 조립 시 수직재·수평재·가새재·작업발판 등 조립부재 인증여부 및 훼손상태 점검, 손상된 부재는 즉시 교체_x000a_▶ 외벽 마감작업을 위해 비계 내측 안전난간을 임의 해체하는 경우 구조물과 비계 작업발판 사이에 추락방지망 설치하고 안전대를 체결한 후 작업토록 관리감독"/>
  </r>
  <r>
    <n v="4"/>
    <x v="4"/>
    <x v="21"/>
    <x v="39"/>
    <s v="YES"/>
    <x v="27"/>
    <x v="52"/>
    <s v="12대 기인물"/>
    <n v="4"/>
    <n v="6.9000000000000006E-2"/>
    <s v="2020년 9월경"/>
    <d v="2020-09-01T00:00:00"/>
    <n v="9"/>
    <s v="-"/>
    <x v="2"/>
    <s v="2020년 9월경 OO공장 신축현장에서 협력업체 소속 재해자가 엘리베이터 피트(Pit) 내부 작업발판에서 철골 도장작업 중 고정되지 않은 작업발판이 철골에서 탈락하며 1층 엘리베이터 피트 바닥으로 추락하여(H≒30m) 사망"/>
    <s v="엘리베이터 피트 내부 작업발판에서 철골 도장작업 중 고정되지 않은 작업발판이 철골에서 탈락하면서 몸의 중심을 잃고 추락"/>
    <s v="▶ 작업높이에 적합한 비계 작업발판을 견고하게 설치하고 작업발판 단부에는 안전난간을 설치하여 안전하게 작업_x000a_▶ 추락할 위험이 있는 경우 안전대 및 개인보호구 착용 철저"/>
  </r>
  <r>
    <n v="4"/>
    <x v="4"/>
    <x v="21"/>
    <x v="40"/>
    <s v="YES"/>
    <x v="27"/>
    <x v="52"/>
    <s v="12대 기인물"/>
    <n v="4"/>
    <n v="6.9000000000000006E-2"/>
    <s v="2020년 7월경"/>
    <d v="2020-07-01T00:00:00"/>
    <n v="7"/>
    <s v="혹서기"/>
    <x v="2"/>
    <s v="2020년 7월경 OO사옥 주차장 지붕 철제 프레임 도장공사 작업 중 발판으로 사용중이던 목재가 뒤집히면서 4m아래 바닥으로 추락하여 사망"/>
    <s v="지붕 철제 프레임 도장공사 작업 중 발판으로 사용중이던 목재가 뒤집히면서 4m아래 바닥으로 추락"/>
    <s v="▶ 작업높이에 적합한 작업발판(비계, 말비계 등)을 설치하여 안전하게 작업_x000a_▶ 작업발판 단부 등 추락위험이 있는 장소에는 안전난간을 설치하고 안전난간 설치가 어려운 경우 추락방호망을 설치하고 안전대 체결 후 작업"/>
  </r>
  <r>
    <n v="4"/>
    <x v="4"/>
    <x v="21"/>
    <x v="40"/>
    <s v="YES"/>
    <x v="27"/>
    <x v="52"/>
    <s v="12대 기인물"/>
    <n v="4"/>
    <n v="6.9000000000000006E-2"/>
    <s v="2021년 4월경"/>
    <d v="2021-04-01T00:00:00"/>
    <n v="4"/>
    <s v="-"/>
    <x v="2"/>
    <s v="2021년 4월경 국도 교량 보수공사 현장에서 재해자가 기존 교량(Steel Box Girder교) 상부 Steel Box 방청도장을 위해 설치한 달비계 형식의 작업발판을 해체하던 중 추락하여 사망"/>
    <s v="엘리베이터 피트 내부 작업발판에서 철골 도장작업 중 고정되지 않은 작업발판이 철골에서 탈락하면서 몸의 중심을 잃고 추락"/>
    <s v="▶ 작업높이에 적합한 비계 작업발판을 견고하게 설치하고 작업발판 단부에는 안전난간을 설치하여 안전하게 작업_x000a_▶ 추락할 위험이 있는 경우 안전대 및 개인보호구 착용 철저"/>
  </r>
  <r>
    <n v="4"/>
    <x v="4"/>
    <x v="12"/>
    <x v="18"/>
    <s v="YES"/>
    <x v="27"/>
    <x v="52"/>
    <s v="12대 기인물"/>
    <n v="4"/>
    <n v="6.9000000000000006E-2"/>
    <s v="단독주택 신축공사"/>
    <s v="X"/>
    <e v="#VALUE!"/>
    <e v="#VALUE!"/>
    <x v="2"/>
    <s v="단독주택 신축공사 현장에서 재해자가 지붕 처마홈통 설치 작업 후 사다리를 통해 이동식 비계 1단 작업발판 상부로 내려오는 중 실족하여 콘크리트 바닥으로 추락(H≒2.0m)하여 사망"/>
    <s v="사다리에서 이동식비계 작업발판으로 내려오던 중 발을 헛디뎌 안전난간이 설치되지 않은 작업발판 단부로 추락 "/>
    <s v="▶ 이동식 비계를 조립하여 작업 시 비계의 작업발판 위에서 받침대 또는 사다리를 사용하여 작업 금지_x000a_▶ 비계의 최상부에는 작업발판 외측으로 추락방지를 위한 안전난간 설치_x000a_▶ 추락위험이 높은 지붕 혹은 이동식 비계 발판에서 작업 시 안전대 부착설비 설치 및 안전대 착용 "/>
  </r>
  <r>
    <n v="4"/>
    <x v="4"/>
    <x v="22"/>
    <x v="41"/>
    <s v="YES"/>
    <x v="27"/>
    <x v="52"/>
    <s v="12대 기인물"/>
    <n v="4"/>
    <n v="6.9000000000000006E-2"/>
    <s v="2017년 10월"/>
    <d v="2017-10-01T00:00:00"/>
    <n v="10"/>
    <s v="-"/>
    <x v="2"/>
    <s v="2017년 10월경 OO건설의 신축공사현장에서 재해자 2명이 곤돌라의 달기 발판에 탑승하여 3층 외벽의 창틀에 유리끼우기 작업을 하던 중, 창틀에 묶어놓은 곤돌라의 달기발판 흔들림방지 로프가 끊어져 발생한 틈새로 재해자 2명이 지상으로 떨어짐(h=10m)"/>
    <s v="곤돌라의 달기발판에 탑승하여 유리를 시공하던 중 창틀에 묶어놓은 로프가 끊어져 바닥으로 추락"/>
    <s v="▶ 곤돌라의 달기발판에 탑승하여 고소작업 시, 달기발판을 견고하게 고정 후 작업 실시_x000a_▶ 작업자의 개인보호구, 안전대 체결여부 점검 및 관리감독"/>
  </r>
  <r>
    <n v="4"/>
    <x v="4"/>
    <x v="22"/>
    <x v="41"/>
    <s v="YES"/>
    <x v="27"/>
    <x v="52"/>
    <s v="12대 기인물"/>
    <n v="4"/>
    <n v="6.9000000000000006E-2"/>
    <s v="2019년 5월경"/>
    <d v="2019-05-01T00:00:00"/>
    <n v="5"/>
    <s v="-"/>
    <x v="2"/>
    <s v="2019년 5월경 OO테마파크 조성사업 현장에서 재해자가 업무 및 휴게동의 휴게시설(6층 위치) 옥상층 바닥 강화유리 설치를 위하여 격자형태의 경량철골 개구부에 걸쳐놓은 임시 작업발판 위에서 자재(강화유리)를 기다리던 중 몸의 중심을 잃고 6층 바닥으로 추락(H≒3.8m)"/>
    <s v="옥상 구조물 상부에 합판을 올려두고 그 위에 서서 작업을 준비하던 중 고정되지 않은 합판이 밀리면서 추락"/>
    <s v="▶ 작업높이에 적합한 안전한 작업발판(비계, 고소작업대 등)을 설치하고 안전대를 체결한 후 안전하게 작업_x000a_▶ 작업발판을 설치하기 어려운 경우에는 추락방호망을 설치하고 안전대를 체결한 후 작업_x000a_▶ 추락할 위험이 있는 장소에서 작업하는 경우 안전모, 안전대 등 개인보호구 착용여부 관리감독 철저"/>
  </r>
  <r>
    <n v="4"/>
    <x v="4"/>
    <x v="22"/>
    <x v="41"/>
    <s v="YES"/>
    <x v="27"/>
    <x v="52"/>
    <s v="12대 기인물"/>
    <n v="4"/>
    <n v="6.9000000000000006E-2"/>
    <s v="2020년 6월경"/>
    <d v="2020-06-01T00:00:00"/>
    <n v="6"/>
    <s v="혹서기"/>
    <x v="2"/>
    <s v="2020년 6월경 OO사옥 신축공사 현장에서 창호 및 유리공사 협력업체 소속 재해자가 현장 외부에 설치된 차량탑재형 고소작업대에 탑승하여 지상 7층 높이에서 커튼월 유리 주위 코킹시공을 위한 준비작업 중 작업대 안전난간 미설치 구간(약 40cm)에서 추락(H≒27m)"/>
    <s v="고소작업대에 탑승하여 작업을 준비하던 중 발을 헛디뎌 안전난간이 설치되지 않은 작업대 단부로 추락"/>
    <s v="▶ 고소작업대 작업 시, 안전대 설치 및 안전대 결합 등 추락방지조치(안전대 부착) 준수_x000a_▶ 작업자의 개인보호구, 안전대 체결여부 점검 및 관리감독"/>
  </r>
  <r>
    <n v="4"/>
    <x v="4"/>
    <x v="13"/>
    <x v="42"/>
    <s v="YES"/>
    <x v="27"/>
    <x v="52"/>
    <s v="12대 기인물"/>
    <n v="4"/>
    <n v="6.9000000000000006E-2"/>
    <s v="2016년 1월경"/>
    <d v="2016-01-01T00:00:00"/>
    <n v="1"/>
    <s v="혹한기"/>
    <x v="2"/>
    <s v="2016년 1월경 OO초 교사 증축현장에서 피해자(판넬공)이 3∼4층 계단실 인근 비계 위에서 단열재 설치작업 중, 몸의 중심을 잃고 개구부사이로 추락(H≒9m)하여 사망"/>
    <s v="비계에서 작업 중 발을 헛디뎌 안전난간이 설치되지 않은 작업발판 단부로 추락"/>
    <s v="▶ 비계 내, 외측의 추락 위험구간에는 안전난간을 상부, 중간 난간대로 구성하여 설치하고, 전용 연결 핀 또는 클램프 등을 사용하여 견고하게 고정_x000a_▶ 안전난간은 구조적으로 가장 취약한 지점에서 가장 취약한 방향으로 작용하는 100kg 이상의 하중에 견딜 수 있는 구조로 설치_x000a_▶ 안전난간 재료로 사용되는 파이프, 클램프 등은 안전인증품으로 사용_x000a_▶ 비계의 안전난간 해체는 원칙적으로 금지하고, 벽체 마감재 시공을 위해 부득이하게 해체해야할 경우 사전에 안전성을 고려하여 발판과 벽체 사이 간격을 최소한으로 검토하여 설치하거나, 근로자 안전대 지급 및 안전대 착용한 상태로 이동 및 작업할 수 있도록 관리감독_x000a_▶ 비계 작업발판 설치 시, 견고하게 고정하며 별도의 개구부가 발생하지 않도록 설치_x000a_▶ 작업자의 개인보호구 착용, 안전대 체결여부 점검 및 관리감독"/>
  </r>
  <r>
    <n v="4"/>
    <x v="4"/>
    <x v="13"/>
    <x v="42"/>
    <s v="YES"/>
    <x v="27"/>
    <x v="52"/>
    <s v="12대 기인물"/>
    <n v="4"/>
    <n v="6.9000000000000006E-2"/>
    <s v="2020년 3월경"/>
    <d v="2020-03-01T00:00:00"/>
    <n v="3"/>
    <s v="-"/>
    <x v="2"/>
    <s v="2020년 3월경 OO건축 OO 신사옥 인테리어공사 현장에서, 재해자가 지상3층의 내부비계 발판에서 천장 마감작업 후 이동 중 3층 바닥으로 추락하여 병원으로 이송 중 사망"/>
    <s v="비계에서 이동하던 중 발을 헛디뎌 안전난간이 설치되지 않은 작업발판 단부로 추락"/>
    <s v="▶ 비계 내, 외측의 추락 위험구간에는 안전난간을 상부, 중간 난간대로 구성하여 설치하고, 전용 연결 핀 또는 클램프 등을 사용하여 견고하게 고정_x000a_▶ 안전난간은 구조적으로 가장 취약한 지점에서 가장 취약한 방향으로 작용하는 100kg 이상의 하중에 견딜 수 있는 구조로 설치_x000a_▶ 안전난간 재료로 사용되는 파이프, 클램프 등은 안전인증품으로 사용_x000a_▶ 비계의 안전난간 해체는 원칙적으로 금지하고, 벽체 마감재 시공을 위해 부득이하게 해체해야할 경우 사전에 안전성을 고려하여 발판과 벽체 사이 간격을 최소한으로 검토하여 설치하거나, 근로자 안전대 지급 및 안전대 착용한 상태로 이동 및 작업할 수 있도록 관리감독_x000a_▶ 비계 작업발판 설치 시, 견고하게 고정하며 별도의 개구부가 발생하지 않도록 설치_x000a_▶ 작업자의 개인보호구 착용, 안전대 체결여부 점검 및 관리감독"/>
  </r>
  <r>
    <n v="4"/>
    <x v="4"/>
    <x v="13"/>
    <x v="42"/>
    <s v="YES"/>
    <x v="27"/>
    <x v="52"/>
    <s v="12대 기인물"/>
    <n v="4"/>
    <n v="6.9000000000000006E-2"/>
    <s v="2020년 9월경"/>
    <d v="2020-09-01T00:00:00"/>
    <n v="9"/>
    <s v="-"/>
    <x v="2"/>
    <s v="2020년 9월경 ㈜OO에서 시공하는 체육회관 개보수 건축(기계)공사 현장에서 재해자가 체육관 내부 시스템비계 작업발판에서 벽체면에 흡음보드를 설치하던 중 작업발판과 벽체 사이를 통해 높이 약 8m아래 체육회관 출입문 외측 계단부위로 추락하여 사망"/>
    <s v="비계에서 작업 중 발을 헛디뎌 안전난간이 설치되지 않은 작업발판 단부로 추락"/>
    <s v="▶ 비계 내, 외측의 추락 위험구간에는 안전난간을 상부, 중간 난간대로 구성하여 설치하고, 전용 연결 핀 또는 클램프 등을 사용하여 견고하게 고정_x000a_▶ 안전난간은 구조적으로 가장 취약한 지점에서 가장 취약한 방향으로 작용하는 100kg 이상의 하중에 견딜 수 있는 구조로 설치_x000a_▶ 안전난간 재료로 사용되는 파이프, 클램프 등은 안전인증품으로 사용_x000a_▶ 비계의 안전난간 해체는 원칙적으로 금지하고, 벽체 마감재 시공을 위해 부득이하게 해체해야할 경우 사전에 안전성을 고려하여 발판과 벽체 사이 간격을 최소한으로 검토하여 설치하거나, 근로자 안전대 지급 및 안전대 착용한 상태로 이동 및 작업할 수 있도록 관리감독_x000a_▶ 비계 작업발판 설치 시, 견고하게 고정하며 별도의 개구부가 발생하지 않도록 설치_x000a_▶ 작업자의 개인보호구 착용, 안전대 체결여부 점검 및 관리감독"/>
  </r>
  <r>
    <n v="4"/>
    <x v="4"/>
    <x v="13"/>
    <x v="42"/>
    <s v="YES"/>
    <x v="27"/>
    <x v="52"/>
    <s v="12대 기인물"/>
    <n v="4"/>
    <n v="6.9000000000000006E-2"/>
    <s v="2020년 9월경"/>
    <d v="2020-09-01T00:00:00"/>
    <n v="9"/>
    <s v="-"/>
    <x v="8"/>
    <s v="2020년 9월경 OO건설(주)이 시공 중인 OO타운하우스 2차 신축공사 현장에서 재해자(내장목공)가 1층 내부 계단실 하부 벽체 마감재(석고보드) 부착작업 중 딛고 있던 사각 목재틀(16.7cm*17cm)에서 떨어져 사망"/>
    <s v="작업발판 없이 주변에 있던 사각 목재틀 위에 까치발을 딛고 작업하던 중 작업하중 등에 의해 목재틀이 움직이면서 뒤로 넘어져 바닥에 머리를 부딪힘"/>
    <s v="▶ 천장 마감재 설치작업 시, 자체로 임시 제작한 발판 따위의 사용을 금지하고, 말비계, 이동식비계 등 작업여건에 적합한 작업발판을 설치_x000a_▶ 고소작업 시 작업발판의 단부 구간에 추락 방지용 안전시설물(안전난간 등)을 설치하여 근로자 추락 방지 조치_x000a_▶ 작업자의 개인보호구 착용, 안전대 체결여부 점검 및 관리감독"/>
  </r>
  <r>
    <n v="4"/>
    <x v="4"/>
    <x v="14"/>
    <x v="20"/>
    <s v="YES"/>
    <x v="27"/>
    <x v="52"/>
    <s v="12대 기인물"/>
    <n v="4"/>
    <n v="6.9000000000000006E-2"/>
    <s v="2018년 12월"/>
    <d v="2018-12-01T00:00:00"/>
    <n v="12"/>
    <s v="혹한기"/>
    <x v="2"/>
    <s v="2018년 12월경 OO(주) 김치공장 신축공사 현장에서 협력업체 소속 재해자(판넬공)가 출하장 캐노피 상부에서 물홈통(Gutter) 설치작업을 마무리하고 내려오기위해 발판(방호선반)을 밟고 이동하던 중 고정되지 않은 발판이 뒤집히면서 발판과 함께 4.8m아래로 추락하여 사망"/>
    <s v="캐노피 상부에서 이동하던 중 고정이 되지 않은 작업발판이 뒤집히면서 바닥으로 추락"/>
    <s v="▶ 작업발판 설치 시 견고한 구조의 작업발판을 선정하고 이탈, 뒤집힘 등을 방지하기 위해 견고하게 고정 _x000a_▶ 작업발판 양 단부 등 추락 위험구간에는 안전난간 등의 추락방지용 안전시설물 설치_x000a_▶ 캐노피 상부 등 추락 위험구간에서 근로자가 이동할 경우 안전대 부착설비를 견고하게 설치하여 이동 중에도 안전대를 체결할 수 있도록 조치_x000a_▶ 작업자의 개인보호구 착용, 안전대 체결여부 점검 및 관리감독"/>
  </r>
  <r>
    <n v="4"/>
    <x v="4"/>
    <x v="14"/>
    <x v="20"/>
    <s v="YES"/>
    <x v="27"/>
    <x v="52"/>
    <s v="12대 기인물"/>
    <n v="4"/>
    <n v="6.9000000000000006E-2"/>
    <s v="2019년 8월경"/>
    <d v="2019-08-01T00:00:00"/>
    <n v="8"/>
    <s v="혹서기"/>
    <x v="2"/>
    <s v="2019년 8월경 OO건설에서 시공하는 주택재건축정비사업 중 공공청사 신축공사 현장에서 재해자가 기존에 설치되어 사용 중인 시스템비계 내측에 임의로 부착한 캔틸레버 형 작업발판을 밟고 이동 중, 지지재(접합부)의 용접면이 파단 및 발판이 기울어 이동 중인 재해자가 무게중심을 잃고 지상 바닥(높이 약 12m)으로 추락하여 사망"/>
    <s v="고정상태가 불량한 비계 작업발판, 가설계단 위에서 이동 또는 작업 중 추락"/>
    <s v="▶ 비계 작업발판 설치 시, 견고하게 고정하며 별도의 개구부가 발생하지 않도록 설치_x000a_▶ 작업자의 개인보호구 착용, 안전대 체결여부 점검 및 관리감독"/>
  </r>
  <r>
    <n v="4"/>
    <x v="4"/>
    <x v="14"/>
    <x v="20"/>
    <s v="YES"/>
    <x v="27"/>
    <x v="52"/>
    <s v="12대 기인물"/>
    <n v="4"/>
    <n v="6.9000000000000006E-2"/>
    <s v="2021년 9월경"/>
    <d v="2021-09-01T00:00:00"/>
    <n v="9"/>
    <s v="-"/>
    <x v="2"/>
    <s v="2021년 9월경 ㈜OO에서 시공하는 OO 전원주택 신축공사 현장에서 재해자(단열공)가 단열마감작업을 위해 외부비계 작업발판에서 단열재 설치 작업을 하던 중, 2단 또는 3단 작업발판에서 몸의 중심을 잃고 1단 작업발판으로 떨어져(2단일 경우 높이≒1.7m, 3단일 경우 높이≒3.4m) 사망"/>
    <s v="비계에서 작업 중 발을 헛디뎌 안전난간이 설치되지 않은 작업발판 단부로 추락"/>
    <s v="▶ 비계 내, 외측의 추락 위험구간에는 안전난간을 상부, 중간 난간대로 구성하여 설치하고, 전용 연결 핀 또는 클램프 등을 사용하여 견고하게 고정_x000a_▶ 안전난간은 구조적으로 가장 취약한 지점에서 가장 취약한 방향으로 작용하는 100kg 이상의 하중에 견딜 수 있는 구조로 설치_x000a_▶ 안전난간 재료로 사용되는 파이프, 클램프 등은 안전인증품으로 사용_x000a_▶ 비계의 안전난간 해체는 원칙적으로 금지하고, 벽체 마감재 시공을 위해 부득이하게 해체해야할 경우 사전에 안전성을 고려하여 발판과 벽체 사이 간격을 최소한으로 검토하여 설치하거나, 근로자 안전대 지급 및 안전대 착용한 상태로 이동 및 작업할 수 있도록 관리감독_x000a_▶ 비계 작업발판 설치 시, 견고하게 고정하며 별도의 개구부가 발생하지 않도록 설치_x000a_▶ 작업자의 개인보호구 착용, 안전대 체결여부 점검 및 관리감독"/>
  </r>
  <r>
    <n v="4"/>
    <x v="4"/>
    <x v="14"/>
    <x v="20"/>
    <s v="YES"/>
    <x v="27"/>
    <x v="52"/>
    <s v="12대 기인물"/>
    <n v="4"/>
    <n v="6.9000000000000006E-2"/>
    <s v="2021년 10월"/>
    <d v="2021-10-01T00:00:00"/>
    <n v="10"/>
    <s v="-"/>
    <x v="2"/>
    <s v="2021년 10월경 OO단독주택 신축공사 현장에서, 외부 지붕마감공사업체 소속의 재해자(방수공)가 지상1층 지붕 마감재 부착 작업을 진행하다가, 외부 가설비계의 작업발판에서 바닥면으로 연결된 가설계단을 통해 이동하던 중 몸의 중심을 잃고 높이 약 2.3m 아래의 바닥으로 추락하여 사망"/>
    <s v="비계에서 작업 중 발을 헛디뎌 안전난간이 설치되지 않은 작업발판 단부로 추락"/>
    <s v="▶ 비계 내, 외측의 추락 위험구간에는 안전난간을 상부, 중간 난간대로 구성하여 설치하고, 전용 연결 핀 또는 클램프 등을 사용하여 견고하게 고정_x000a_▶ 안전난간은 구조적으로 가장 취약한 지점에서 가장 취약한 방향으로 작용하는 100kg 이상의 하중에 견딜 수 있는 구조로 설치_x000a_▶ 안전난간 재료로 사용되는 파이프, 클램프 등은 안전인증품으로 사용_x000a_▶ 비계의 안전난간 해체는 원칙적으로 금지하고, 벽체 마감재 시공을 위해 부득이하게 해체해야할 경우 사전에 안전성을 고려하여 발판과 벽체 사이 간격을 최소한으로 검토하여 설치하거나, 근로자 안전대 지급 및 안전대 착용한 상태로 이동 및 작업할 수 있도록 관리감독_x000a_▶ 비계 작업발판 설치 시, 견고하게 고정하며 별도의 개구부가 발생하지 않도록 설치_x000a_▶ 작업자의 개인보호구 착용, 안전대 체결여부 점검 및 관리감독"/>
  </r>
  <r>
    <n v="5"/>
    <x v="5"/>
    <x v="15"/>
    <x v="46"/>
    <s v="YES"/>
    <x v="27"/>
    <x v="52"/>
    <s v="12대 기인물"/>
    <n v="4"/>
    <n v="6.9000000000000006E-2"/>
    <s v="2018년 11월"/>
    <d v="2018-11-01T00:00:00"/>
    <n v="11"/>
    <s v="-"/>
    <x v="2"/>
    <s v="2018년 11월경 OO공사에서 재해자가 슬래브 단부에서 전등 스위치박스를 설치하던 중 지상 바닥으로 추락하여로(H≒4.2m) 사망"/>
    <s v="전등 스위치박스, 후드캡설치 및 조명배관, 소방배관등 설치 작업중 2m이상의 높이에서 바닥으로 추락"/>
    <s v="▶ 2m이상의 고소작업시 안전한 작업발판을 설치하여 작업(이동식 비계 설치사용)_x000a_▶ 이동식비계 설치 사용시 안전수칙 준수_x000a_   - 이동식비계 상단부 안전난간대 설치_x000a_   - 전도방지를 위한 하단부 아웃트리거 설치(4지점)_x000a_   - 작업발판 상부에서 작업자는 안전대 체결 후 작업실시_x000a_     =&gt; 이동식 틀비계에 안전대를 체결시 안전대의 최하사점을 고려하여 체결_x000a_     =&gt; 이동식 틀비계 1조당 1.8m높이로 2조이상 조립시 틀비계에 안전대를 체결_x000a_   - 이동식비계 조립시 주요 구조부 조립상태 확인(가새재 설치, 승강사다리 디딤대에 작업발판 설치 금지)_x000a_   - 이동식비계 승강시 해치발판을 설치하여 내측으로 승강사다리 사용_x000a_   - 작업자의 불안전한 행동 금지 (안전난간 상단부를 딛고 작업실시)"/>
  </r>
  <r>
    <n v="5"/>
    <x v="5"/>
    <x v="15"/>
    <x v="21"/>
    <s v="YES"/>
    <x v="27"/>
    <x v="52"/>
    <s v="12대 기인물"/>
    <n v="4"/>
    <n v="6.9000000000000006E-2"/>
    <s v="2016년 7월경"/>
    <d v="2016-07-01T00:00:00"/>
    <n v="7"/>
    <s v="혹서기"/>
    <x v="2"/>
    <s v="2016년 7월경 OO저장탱크 및 부대설비공사 현장에서 재해자가 #12저장탱크 7단 Inner Shell의 외측 작업발판에서 보냉재 Anchor Pin의 Base Plate 설치부위의 마킹(Marking) 상태를 점검·이동하던 중, 해치발판(950㎜×1,040㎜)이 열려 발생된 개구부(820㎜×1,100㎜)로 약 21.8m 떨어짐"/>
    <s v="전등 스위치박스, 후드캡설치 및 조명배관, 소방배관등 설치 작업중 2m이상의 높이에서 바닥으로 추락"/>
    <s v="▶ 2m이상의 고소작업시 안전한 작업발판을 설치하여 작업(이동식 비계 설치사용)_x000a_▶ 이동식비계 설치 사용시 안전수칙 준수_x000a_   - 이동식비계 상단부 안전난간대 설치_x000a_   - 전도방지를 위한 하단부 아웃트리거 설치(4지점)_x000a_   - 작업발판 상부에서 작업자는 안전대 체결 후 작업실시_x000a_     =&gt; 이동식 틀비계에 안전대를 체결시 안전대의 최하사점을 고려하여 체결_x000a_     =&gt; 이동식 틀비계 1조당 1.8m높이로 2조이상 조립시 틀비계에 안전대를 체결_x000a_   - 이동식비계 조립시 주요 구조부 조립상태 확인(가새재 설치, 승강사다리 디딤대에 작업발판 설치 금지)_x000a_   - 이동식비계 승강시 해치발판을 설치하여 내측으로 승강사다리 사용_x000a_   - 작업자의 불안전한 행동 금지 (안전난간 상단부를 딛고 작업실시)"/>
  </r>
  <r>
    <n v="5"/>
    <x v="5"/>
    <x v="16"/>
    <x v="22"/>
    <s v="YES"/>
    <x v="27"/>
    <x v="52"/>
    <s v="12대 기인물"/>
    <n v="4"/>
    <n v="6.9000000000000006E-2"/>
    <s v="2018년 5월경"/>
    <d v="2018-05-01T00:00:00"/>
    <n v="5"/>
    <s v="-"/>
    <x v="2"/>
    <s v="2018년 5월경 저온탱크 건설공사 현장에서 재해자가 호이스트로 작업발판(윈드가더) 인상작업을 하기 위해 가용접부 제거작업 중 작업발판(윈드가더)이 기울어지며 지상바닥으로(H≒25.6m) 추락하여 사망"/>
    <s v="프로판 저온탱크 건설공사 현장에서 7단 내부벽체 용접 완료 후, 8단 벽체를 작업하기 위해 7단의 작업발판(작업자 탑승)을 호이스트로 해체 및 인양하던 중 근로자가 있던 작업발판이 기울어지며 지상바닥으로 추락"/>
    <s v="▶ 현장 여건 상, 불가피하게 작업자를 태운 작업발판 등을 호이스트로 인양하여 작업하는 경우, 별도의 안전대 부착설비를 설치하고 안전대를 체결한 후 작업하도록 조치_x000a_▶ 작업자의 개인보호구, 안전대 체결여부 점검 및 관리감독"/>
  </r>
  <r>
    <n v="5"/>
    <x v="5"/>
    <x v="16"/>
    <x v="23"/>
    <s v="YES"/>
    <x v="27"/>
    <x v="52"/>
    <s v="12대 기인물"/>
    <n v="4"/>
    <n v="6.9000000000000006E-2"/>
    <s v="2017년 3월경"/>
    <d v="2017-03-01T00:00:00"/>
    <n v="3"/>
    <s v="-"/>
    <x v="2"/>
    <s v="2017년 3월경 OOO도 OO군 OO면 소재의 OOO 건물 내에서 주식회사 OO 소속 재해자가 천장 크레인 이설을 위해 크레인의 주행로와 주행로 사이에 설치된 통로 바닥재인 익스팬디드 메탈(expanded metal)을 산소절단기를 이용하여 해체하던 중 바닥재와 함께 높이 약 16m 아래의 바닥으로 떨어져 사망한 사고임"/>
    <s v="조선소 내 통로 바닥재(스틸그레이팅) 산소절단 중 바닥재와 함께 추락"/>
    <s v="▶ 추락 위험이 있는 장소에서 작업 시, 안전난간대, 추락방호망 등 추락방지조치 준수_x000a_▶ 발을 이용한 출입문 개방행위 금지 실시_x000a_▶ 작업 전 근로자의 음주여부를 확인하고 음주를 하였을 시 작업에서 배제할 것"/>
  </r>
  <r>
    <n v="5"/>
    <x v="5"/>
    <x v="16"/>
    <x v="23"/>
    <s v="YES"/>
    <x v="27"/>
    <x v="52"/>
    <s v="12대 기인물"/>
    <n v="4"/>
    <n v="6.9000000000000006E-2"/>
    <s v="2017년 5월경"/>
    <d v="2017-05-01T00:00:00"/>
    <n v="5"/>
    <s v="-"/>
    <x v="2"/>
    <s v="2017년 5월경, OO도 OO시 OO구 OO동 소재 OOOOO(주) OOOO 신축공사 현장에서 재해자가 플렉시블 덕트 연결작업 중 비계 작업발판 사이 개구부로 추락(H≒4.5m)하여 병원으로 후송되어 치료 중 사망함"/>
    <s v="비계에서 플렉시블 덕트 연결작업 중 작업발판 사이 개구부로 추락"/>
    <s v="▶ 추락 위험이 있는 장소에서 작업 시, 안전난간대, 추락방호망 등 추락방지조치 준수_x000a_▶ 발을 이용한 출입문 개방행위 금지 실시_x000a_▶ 작업 전 근로자의 음주여부를 확인하고 음주를 하였을 시 작업에서 배제할 것"/>
  </r>
  <r>
    <n v="5"/>
    <x v="5"/>
    <x v="16"/>
    <x v="23"/>
    <s v="YES"/>
    <x v="27"/>
    <x v="52"/>
    <s v="12대 기인물"/>
    <n v="4"/>
    <n v="6.9000000000000006E-2"/>
    <s v="2017년 7월경"/>
    <d v="2017-07-01T00:00:00"/>
    <n v="7"/>
    <s v="혹서기"/>
    <x v="2"/>
    <s v="2017년 7월경 OO시 OO구 OOO소재 OOOO 내 기계식 주차설비 팔레트 상부에서 하청업체 대표와 근로자 2명이 노후된 주차용 리프트 가이드 레일 교체작업 중 주차 팔레트가 가이드 레일에서 이탈되면서, 팔레트 위에서 작업 중이던 작업자 3명이 주차 팔레트와 함께 6.6m 아래 지하2층 주차장 바닥으로 추락하여 1명은 사망, 2명은 팔·다리 등에 골절상을 입은 재해임"/>
    <s v="기계식 주차설비 가이드 레일 교체작업 중 주차 팔레트가 가이드 레일에서 이탈되면서 추락"/>
    <s v="▶ 추락 위험이 있는 장소에서 작업 시, 안전난간대, 추락방호망 등 추락방지조치 준수_x000a_▶ 발을 이용한 출입문 개방행위 금지 실시_x000a_▶ 작업 전 근로자의 음주여부를 확인하고 음주를 하였을 시 작업에서 배제할 것"/>
  </r>
  <r>
    <n v="5"/>
    <x v="5"/>
    <x v="16"/>
    <x v="23"/>
    <s v="YES"/>
    <x v="27"/>
    <x v="52"/>
    <s v="12대 기인물"/>
    <n v="4"/>
    <n v="6.9000000000000006E-2"/>
    <s v="2017년 12월"/>
    <d v="2017-12-01T00:00:00"/>
    <n v="12"/>
    <s v="혹한기"/>
    <x v="2"/>
    <s v="2017년 12월경 OO도 OO시 OO구 소재 ㈜OOOOOO OOOO신축공사 현장에서 ㈜OOOOO 소속 재해자(배관공)가 안전 난간이 미 설치된 지하4층 기계실 계단참에서 출입문을 열기위해 발로 밀다가 반동으로 중심을 잃고 뒤로 넘어지면서 기계실 바닥으로 떨어져(H≒2.5m) 병원에서 치료 중 사망."/>
    <s v="닫혀있는 철제여닫이 출입믄 개방을 위해 발로 밀다가 반동으로 근로자가 중심을 잃고 뒤로 넘어지며 안전난간이 미설치된 계단참에서 바닥으로 추락"/>
    <s v="▶ 추락 위험이 있는 장소에서 작업 시, 안전난간대, 추락방호망 등 추락방지조치 준수_x000a_▶ 발을 이용한 출입문 개방행위 금지 실시_x000a_▶ 작업 전 근로자의 음주여부를 확인하고 음주를 하였을 시 작업에서 배제할 것"/>
  </r>
  <r>
    <n v="5"/>
    <x v="5"/>
    <x v="16"/>
    <x v="23"/>
    <s v="YES"/>
    <x v="27"/>
    <x v="52"/>
    <s v="12대 기인물"/>
    <n v="4"/>
    <n v="6.9000000000000006E-2"/>
    <s v="2018년 8월경"/>
    <d v="2018-08-01T00:00:00"/>
    <n v="8"/>
    <s v="혹서기"/>
    <x v="2"/>
    <s v="2018년 8월경 OO시 OO군 OO읍 소재 OOOO현장에서 OOOOOO(주) 소속 재해자가 기계설비 용접부 비파괴검사 위치 확인을 위하여 가설통로를 이용, 작업장(추정)으로 이동한 후 원인미상의이유로 높이 9m∼15m아래 콘크리트바닥으로 떨어져 사망"/>
    <s v="기계설비 용접부 비파괴검사 위치 확인을 위하여 이동 후 원인미상의 이유로 추락"/>
    <s v="▶ 추락 위험이 있는 장소에서 작업 시, 안전난간대, 추락방호망 등 추락방지조치 준수_x000a_▶ 발을 이용한 출입문 개방행위 금지 실시_x000a_▶ 작업 전 근로자의 음주여부를 확인하고 음주를 하였을 시 작업에서 배제할 것"/>
  </r>
  <r>
    <n v="5"/>
    <x v="5"/>
    <x v="16"/>
    <x v="23"/>
    <s v="YES"/>
    <x v="27"/>
    <x v="52"/>
    <s v="12대 기인물"/>
    <n v="4"/>
    <n v="6.9000000000000006E-2"/>
    <s v="2019년 10월"/>
    <d v="2019-10-01T00:00:00"/>
    <n v="10"/>
    <s v="-"/>
    <x v="2"/>
    <s v="2019년 10월경 OOO도 OO군 OO읍 소재 ㈜OOO 공장동 OO설비 설치 현장에서 OOOOOO 소속 재해자가 OO설비 상부의 호퍼 작업발판과 원료투입장치 작업발판 사이(높낮이차 775㎜)에 고정하지 않고 걸쳐 놓은 계단을 통해 이동하던 중 계단이 미끌어지면서 몸의 균형을 잃고 약 5m 아래의 작업장 바닥으로 떨어져 병원치료 중 사망한 재해임"/>
    <s v="볼밀설비 상부의 호퍼 작업발판과 원료투입장치 작업발판 사이에 고정하지 않고 걸쳐 놓은 계단을 통해 이동하던 중 계단이 미끌어지면서 몸의 균형을 잃고 작업장 바닥으로 추락"/>
    <s v="▶ 작업 전 자재의 변형ㆍ손상 등 확인 후 이상유무 점검 실시_x000a_▶ 추락 위험 장소에서의 작업 시 작업발판 설치 및 추락방호망 설치_x000a_▶ 추락방호망 설치가 곤란한 경우 안전대 부착설비 설치 및 안전대 착용"/>
  </r>
  <r>
    <n v="5"/>
    <x v="5"/>
    <x v="16"/>
    <x v="23"/>
    <s v="YES"/>
    <x v="27"/>
    <x v="52"/>
    <s v="12대 기인물"/>
    <n v="4"/>
    <n v="6.9000000000000006E-2"/>
    <s v="2020년 6월경"/>
    <d v="2020-06-01T00:00:00"/>
    <n v="6"/>
    <s v="혹서기"/>
    <x v="2"/>
    <s v="2020년 6월경 ㈜OOOO OOOO체육관 냉난방 및 공조기 설치 현장에서 협력업체 ㈜OOOOO 소속 재해자가 체육관 천정 상부에서 냉난방 덕트 배관을 설치하던 중 체육관 바닥으로 추락(H≒8.9m)하여 사망한 재해임."/>
    <s v="체육관 천정 상부에서 냉난방 덕트 배관 중 추락"/>
    <s v="▶ 추락 위험이 있는 장소에서 작업 시, 안전난간대, 추락방호망 등 추락방지조치 준수_x000a_▶ 발을 이용한 출입문 개방행위 금지 실시_x000a_▶ 작업 전 근로자의 음주여부를 확인하고 음주를 하였을 시 작업에서 배제할 것"/>
  </r>
  <r>
    <n v="5"/>
    <x v="5"/>
    <x v="16"/>
    <x v="23"/>
    <s v="YES"/>
    <x v="27"/>
    <x v="52"/>
    <s v="12대 기인물"/>
    <n v="4"/>
    <n v="6.9000000000000006E-2"/>
    <s v="OO 소속 재해자"/>
    <s v="X"/>
    <e v="#VALUE!"/>
    <e v="#VALUE!"/>
    <x v="2"/>
    <s v="OO 소속 재해자가 지상2층 설비배관 작업을 위하여 개구부 상에 작업발판을 설치하는 도중 실족하여 개구부(1.12m×0.97m)로 작업발판과 동시에 1층 콘크리트 바닥으로 추락(H≒7.5m)하여 사망"/>
    <s v="바닥 개구부 인근에서 작업 중 근로자가 몸의 중심을 잃고 바닥 개구부로 추락"/>
    <s v="▶ 개구부 등 추락위험 구간에 덮개, 안전방망, 안전대 부착설비 등 추락방지조치 준수_x000a_▶ 작업 전 개인보호구 지급 및 착용상태 관리"/>
  </r>
  <r>
    <n v="5"/>
    <x v="5"/>
    <x v="23"/>
    <x v="47"/>
    <s v="YES"/>
    <x v="27"/>
    <x v="52"/>
    <s v="12대 기인물"/>
    <n v="4"/>
    <n v="6.9000000000000006E-2"/>
    <s v="2018년 9월경"/>
    <d v="2018-09-01T00:00:00"/>
    <n v="9"/>
    <s v="-"/>
    <x v="2"/>
    <s v="2018년 9월경 승강기 교체공사 현장에서 재해자는 기존 승강기 해체를 위해 설치한 체인블럭과 전동호이스트 해체작업을 실시하기 위해 3층에 위치한 승강기 내부에 설치된 기울어진 비계 작업발판에서 전동호이스트 해체 작업을 하다 작업발판 주변 개구부 12m 아래 승강기 바닥으로 추락하여 사망"/>
    <s v="안전난간이 미설치된 비계 작업발판, 가설계단 위에서 이동 또는 작업 중 추락"/>
    <s v="▶ 추락 위험 구간에 작업발판 및 안전난간 설치 또는 추락방지망을 설치하는 등 추락 방지 조치 실시한 후 작업 실시_x000a_▶ 안전난간 등 추락 방지용 안전시설물 설치가 곤란한 경우, 근로자 작업구간에 안전대 부착설비를 견고하게 설치하고 근로자에게 안전대 지급 및 체결여부 점검 관리감독 실시"/>
  </r>
  <r>
    <n v="5"/>
    <x v="5"/>
    <x v="23"/>
    <x v="48"/>
    <s v="YES"/>
    <x v="27"/>
    <x v="52"/>
    <s v="12대 기인물"/>
    <n v="4"/>
    <n v="6.9000000000000006E-2"/>
    <s v="2016년 9월경"/>
    <d v="2016-09-01T00:00:00"/>
    <n v="9"/>
    <s v="-"/>
    <x v="2"/>
    <s v="2016년 9월경, OOO도 OO시 OO구 소재, 『㈜OOOO, OOOO신축』현장에서 재해자가 가이드레일 설치작업 중 가이드레일을 인양하고 있던 후크가 해지되어 가이드레일이 넘어졌고 작업발판이 지지대 위에서 탈락되면서 레일을 붙잡고 있던 재해자가 레일과 함께 승강기 피트 바닥으로 떨어져(H=19.8m) 사망한 재해임"/>
    <s v="E/V 가이드레일 설치작업 중 레일을 인양하던 후크가 해지되어 레일 부재가 넘어지면서 작업발판이 지지대 위에서 탈락되며 레일을 붙잡고 있던 근로자가 레일과 함께 추락"/>
    <s v="▶ 가이드레일 인양 및 설치 작업 시, 해지장치가 부착된 훅 사용_x000a_▶ 승강기 설치 시 호이스트에 전용 탑승설비를 설치하는 것을 지향하고 별도의 전용 탑승설비가 없어 작업발판을 설치하는 경우 승강로용 브라켓 등을 사용하여 작업발판을 움직이거나 탈락되지 않도록 견고하고 밀실하게 설치"/>
  </r>
  <r>
    <n v="8"/>
    <x v="7"/>
    <x v="26"/>
    <x v="51"/>
    <s v="NO"/>
    <x v="27"/>
    <x v="52"/>
    <s v="12대 기인물"/>
    <n v="4"/>
    <n v="6.9000000000000006E-2"/>
    <s v="2018년 5월 "/>
    <d v="2018-05-01T00:00:00"/>
    <n v="5"/>
    <s v="-"/>
    <x v="2"/>
    <s v="2018년 5월 고속국도 유지보수현장에서 교좌장치 보수작업을 위해 갓길에 있던 용접발전기를 교각으로 연결되는 경사형 출입계단에 올려놓고 계단에 올라서는 순간 계단을 지지하던 세트앵커볼트가 탈락되면서 30.9m 아래로 추락하여 4명 사망"/>
    <s v="콘크리트에 얕게 매입된 앵커볼트가 경사형 출입계단을 지지하던 중 상부하중을 견디지 못해 탈락되면서 근로자가 지면으로 추락"/>
    <s v="▶ 앵커볼트 시공 시 소요 묻힘깊이(최소삽입깊이)에 맞게 앵커볼트 시공_x000a_▶ 내부 철근 등의 간섭으로 인해 묻힘깊이를 만족하지 못할 경우 앵커볼트 시공위치를 변경하는 등 시공방법 변경_x000a_▶ 작업자가 임의로 시공방법을 변경하지 못하도록 주기적인 관리, 감독 필요"/>
  </r>
  <r>
    <n v="9"/>
    <x v="11"/>
    <x v="41"/>
    <x v="109"/>
    <s v="NO"/>
    <x v="27"/>
    <x v="52"/>
    <s v="12대 기인물"/>
    <n v="4"/>
    <n v="6.9000000000000006E-2"/>
    <s v="2017년 5월경"/>
    <d v="2017-05-01T00:00:00"/>
    <n v="5"/>
    <s v="-"/>
    <x v="6"/>
    <s v="2017년 5월경 철도공사 현장에서 재해자가 쉴드 TBM 해체작업을 하던 중 세그먼트 진원유지장치가 전도되어 맞아 사망"/>
    <s v="쉴드TBM 해체작업 준비를 하던 중 전도방지조치를 하지 않은 세그먼트 진원유지장치가 기울어지면서 진원유지장치와 작업발판에 설치된 안간난간대 사이에 협착"/>
    <s v="▶ 운반용구인 이렉터 위에 진원유지장치 받침용 H-beam을 올려놓고 진원유지장치가 이탈하지 않도록 용접고정을 한 상태에서 유압제거 및 전도방지재인 틸트프로텍션을 해체 실시(전도방지 철저)_x000a_▶ 중량물 운반용구인 이렉터를 이용하여 쉴드TBM 철제 원통내부로 운반·고정하는 작업을 하는 경우 중량물 취급작업계획서를 작성_x000a_▶ 작업자간 신호체계 확립과 작업지휘자를 지정하여 신호에 따라 작업"/>
  </r>
  <r>
    <n v="1"/>
    <x v="8"/>
    <x v="19"/>
    <x v="54"/>
    <s v="YES"/>
    <x v="28"/>
    <x v="53"/>
    <s v="해당없음"/>
    <s v="해당없음"/>
    <s v="해당없음"/>
    <s v="2019년 6월경"/>
    <d v="2019-06-01T00:00:00"/>
    <n v="6"/>
    <s v="혹서기"/>
    <x v="0"/>
    <s v="2019년 6월경 OO공사에서 재해자가 후진하는 덤프트럭(25톤) 유도작업 중 후방에 있던 전신주와 덤프트럭이 충돌하면서 전도되는 전신주에 맞아 사망"/>
    <s v="덤프트럭 유도작업 중 후진하던 덤프트럭이 전신주와 충돌하면서 전도하는 전신주에 맞음"/>
    <s v="▶ 차량계 건설기계 사용 시 유도자 배치 및 신호 준수_x000a_▶ 작업 전 작업장 주변 상황 사전조사 실시 및 위험요인 조치 후 실시"/>
  </r>
  <r>
    <n v="1"/>
    <x v="8"/>
    <x v="28"/>
    <x v="56"/>
    <s v="YES"/>
    <x v="28"/>
    <x v="54"/>
    <s v="해당없음"/>
    <s v="해당없음"/>
    <s v="해당없음"/>
    <s v="2019년 1월경"/>
    <d v="2019-01-01T00:00:00"/>
    <n v="1"/>
    <s v="혹한기"/>
    <x v="10"/>
    <s v="2019년 1월경 빌딩 신축공사 현장에서 재해자가 파손된 케이블 접속기구(콘센트)를 교체하던 중 전기에(220V) 감전 되어 사망"/>
    <s v="이동식케이블에 연결되어 있는 파손된 케이블 접속기구(콘센트)를 교체하던 중 전기에 감전"/>
    <s v="▶ 충전부 및 전기 임시 배전반 등 방호조치 실시 _x000a_▶ 전기기계기구 및 전선 등의 정비, 보수작업 시에는 반드시 전원을 차단 후 검전기로 정전 상태여부 확인 후 작업 수행"/>
  </r>
  <r>
    <n v="11"/>
    <x v="0"/>
    <x v="34"/>
    <x v="70"/>
    <s v="YES"/>
    <x v="28"/>
    <x v="53"/>
    <s v="해당없음"/>
    <s v="해당없음"/>
    <s v="해당없음"/>
    <s v="2017년 3월경"/>
    <d v="2017-03-01T00:00:00"/>
    <n v="3"/>
    <s v="-"/>
    <x v="2"/>
    <s v="2017년 3월경 통신선로 이설공사에서 재해자가 강관전주 근입 터파기 부위에서 되메우기 작업 중 미끄러져 3.5m 아래 하천바닥으로 추락하여 사망"/>
    <s v="전주 위에서 전선 이설작업 후 지상으로 내려오던 중 몸의 균형을 잃고 바닥으로 추락"/>
    <s v="▶ 전주로의 승하강 시, 발판볼트, 고소작업차, 안전대부착설비 등 추락방지조치 실시_x000a_▶ 작업 전 안전대 지급 및 체결상태 관리"/>
  </r>
  <r>
    <n v="11"/>
    <x v="0"/>
    <x v="34"/>
    <x v="70"/>
    <s v="YES"/>
    <x v="28"/>
    <x v="54"/>
    <s v="해당없음"/>
    <s v="해당없음"/>
    <s v="해당없음"/>
    <s v="2018년 4월경"/>
    <d v="2018-04-01T00:00:00"/>
    <n v="4"/>
    <s v="-"/>
    <x v="10"/>
    <s v="2018년 4월경 송전선로 순시점검 현장에서 재해자가 철탑 점검을 마친 후 전선을 밟고 손으로 접지선을 분리하던 중 유도전류(353V이상 추정)에 감전되어 사망"/>
    <s v="철탑 점검 완료 후 손으로 접지선 분리 후 인접활선에서 유도된 전류에 의해 감전"/>
    <s v="▶ 감전 위험이 있는 작업 시, 절연장갑, 절연용 보호구 등 지급 및 착용상태 관리_x000a_▶ 활선작업용 장치(고소작업대차 등), 안전대 부착설비 등의 안전방호조치 실시_x000a_▶ 활선 인근에서 작업 시, 감전방지를 위해 적정 이격거리 준수_x000a_▶ 감전 위험이 있는 작업 시, 배선의 절연조치, 충전부 방호조치 등 안전방호조치 실시"/>
  </r>
  <r>
    <n v="11"/>
    <x v="0"/>
    <x v="34"/>
    <x v="70"/>
    <s v="YES"/>
    <x v="28"/>
    <x v="53"/>
    <s v="해당없음"/>
    <s v="해당없음"/>
    <s v="해당없음"/>
    <s v="2018년 9월경"/>
    <d v="2018-09-01T00:00:00"/>
    <n v="9"/>
    <s v="-"/>
    <x v="2"/>
    <s v="2018년 9월경 지장전주 이설공사에서 재해자가 전선 이설작업 후 지상으로 내려오던 중 4.5m 지상 바닥으로 추락하여 사망"/>
    <s v="전주 위에서 전선 이설작업 후 지상으로 내려오던 중 몸의 균형을 잃고 바닥으로 추락"/>
    <s v="▶ 전주로의 승하강 시, 발판볼트, 고소작업차, 안전대부착설비 등 추락방지조치 실시_x000a_▶ 작업 전 안전대 지급 및 체결상태 관리"/>
  </r>
  <r>
    <n v="11"/>
    <x v="0"/>
    <x v="1"/>
    <x v="1"/>
    <s v="YES"/>
    <x v="28"/>
    <x v="54"/>
    <s v="해당없음"/>
    <s v="해당없음"/>
    <s v="해당없음"/>
    <s v="2016년 4월경"/>
    <d v="2016-04-01T00:00:00"/>
    <n v="4"/>
    <s v="-"/>
    <x v="10"/>
    <s v="2016년 4월경 OO도 OO군 소재 OOOO에서 시공하는「OOOO 하수관로 정비사업」 현장에서 협력업체 ㈜OOOO 소속 OOO이 하수관로 맨홀(PE)에 하수관로(PE, D200)를 연결하기 위해 맨홀 하부를 휴대용 천공기를 이용하여 천공작업 중 절연이 파괴되어 천공기 금속제 외함에 인가된 누설전류에 감전되어 병원으로 후송 치료 중 사망한 재해임"/>
    <s v="하수관로 맨홀(PE)에 하수관로를 연결하기 위해 맨홀 하부를 휴대용 천공기를 이용하여 천공 작업 중 절연의 파괴로 천공기 금속제 외함에 인가된 누설전류에 근로자가 감전"/>
    <s v="▶ 금속제 외함, 금속제 외피, 철대 등은 접지를 실시 _x000a_▶ 전기기계에 대하여 누전에 의한 감전위험을 방지하기 위해 감전방지용 누전차단기 설치_x000a_▶ 이동형 또는 휴대용 전기기계 사용시 절연손상에 의한 감전위험 방지를 위해 이중절연구조 또는 보호되는 전기기구 사용"/>
  </r>
  <r>
    <n v="12"/>
    <x v="1"/>
    <x v="2"/>
    <x v="3"/>
    <s v="YES"/>
    <x v="28"/>
    <x v="53"/>
    <s v="해당없음"/>
    <s v="해당없음"/>
    <s v="해당없음"/>
    <s v="2016년 2월경"/>
    <d v="2016-02-01T00:00:00"/>
    <n v="2"/>
    <s v="혹한기"/>
    <x v="2"/>
    <s v="2016년 2월경 OO주택 해체작업 시 전주에 남겨 놓은 전기 인입전선을 해체하려고 재해자가 전주의 스텝볼트를 밟고 올라가던 중, 아스팔트 바닥으로 추락하여(H≒6m) 사망"/>
    <s v="전주에 남아있는 전기 인입전선을 해체하기 위해 전주의 스텝볼트를 밟고 올라가던 중 바닥으로 추락"/>
    <s v="▶ 고소작업대차 사용 등 적절한 작업방법 검토_x000a_▶ 근로자 개인보호구, 안전대 체결여부 점검 및 관리감독"/>
  </r>
  <r>
    <n v="12"/>
    <x v="1"/>
    <x v="2"/>
    <x v="3"/>
    <s v="YES"/>
    <x v="28"/>
    <x v="54"/>
    <s v="해당없음"/>
    <s v="해당없음"/>
    <s v="해당없음"/>
    <s v="2018년 1월경"/>
    <d v="2018-01-01T00:00:00"/>
    <n v="1"/>
    <s v="혹한기"/>
    <x v="2"/>
    <s v="2018년 1월경 OO도로개설공사 현장에서 재해자가 철거 작업을 위해 외부 분진망과 구조물간 연결된 벽이음 강관파이프(L=4m)를 해체하던 중 벽이음 강관파이프와 약 2m 인근 철도 급전선(부산방향, 25kV)에 접촉하면서 감전하여 약 8m 아래 바닥으로 추락하여 사망"/>
    <s v="외부 분진망과 구조물간 연결된 벽이음 강관파이프를 해체하던 중 인근철도 급전선에 접촉되며 감전하여 바닥으로 추락"/>
    <s v="▶ 감전위험경보를 위한 감시인 배치_x000a_▶ 감전방지를 위해 적정 이격거리(3m) 준수"/>
  </r>
  <r>
    <n v="12"/>
    <x v="1"/>
    <x v="2"/>
    <x v="3"/>
    <s v="YES"/>
    <x v="28"/>
    <x v="54"/>
    <s v="해당없음"/>
    <s v="해당없음"/>
    <s v="해당없음"/>
    <s v="2018년 8월경"/>
    <d v="2018-08-01T00:00:00"/>
    <n v="8"/>
    <s v="혹서기"/>
    <x v="10"/>
    <s v="2018년 8월경 OO용역 현장에서 재해자가 시장 실내상가 출입구의 대형 간판 철거 준비 작업 중 220V 활선 상태의 전선을 뺀찌로 절단하다 감전되어 사망"/>
    <s v="대형 간판 철거 준비 작업 중 전선을 펜치로 절단하다 감전"/>
    <s v="▶ 전기 작업 시 해당 전도 차단 후 작업 실시_x000a_▶ 충전전로를 취급하는 근로자에게 적합한 절연용 보호구 지급"/>
  </r>
  <r>
    <n v="12"/>
    <x v="1"/>
    <x v="2"/>
    <x v="3"/>
    <s v="YES"/>
    <x v="28"/>
    <x v="53"/>
    <s v="해당없음"/>
    <s v="해당없음"/>
    <s v="해당없음"/>
    <s v="2020년 4월경"/>
    <d v="2020-04-01T00:00:00"/>
    <n v="4"/>
    <s v="-"/>
    <x v="0"/>
    <s v="2020년 4월경 OO공사 현장에서 통신전주(L=7m, 약 370kg) 철거를 위해 전주를 와이어로프(Ø16mm) 한 줄로 묶은 후 이동식크레인(4.5톤)으로 전주를 세워 인양한 후 적재함에 쌓인 전주들 위에 밑둥을 대고 눕히는 과정에서 재해자가 전주 인발부 되메우기 작업을 위해 이동하던 중 크레인 훅(Hook)에서 와이어로프가 이탈되어 전주가 낙하(H≒8m)하면서 적재함 옆에 있던 재해자의 두부를 강타하여 사망"/>
    <s v="크레인으로 전주 해체작업을 하던 중 크레인 훅에서 와이어로프가 이탈되어 전주가 낙하하면서 주변에 있던 재해자 두부 강타"/>
    <s v="▶ 전주형상에 맞게 2줄 이상의 와이어로프를 체결한 후 인양작업 실시_x000a_▶ 훅 해지장치의 설치유무 점검 및 작업반경 내 작업자의 접근 금지조치"/>
  </r>
  <r>
    <n v="12"/>
    <x v="1"/>
    <x v="3"/>
    <x v="4"/>
    <s v="YES"/>
    <x v="28"/>
    <x v="54"/>
    <s v="해당없음"/>
    <s v="해당없음"/>
    <s v="해당없음"/>
    <s v="2017년 2월경"/>
    <d v="2017-02-01T00:00:00"/>
    <n v="2"/>
    <s v="혹한기"/>
    <x v="2"/>
    <s v="2017년 2월경 건물 증축 및 리모델링 공사 현장에서 재해자가 외부 비계에서 비계 해체 작업 중 인근 고압선(22.9 kV)에 비계 파이프가 접촉되면서 감전되어 지상 4층 높이에서 지하 1층 콘크리트 바닥으로 추락(H≒12.8m)하여 사망"/>
    <s v="외부비계 해체를 위해 비계에 오르던 중 가공전로에 접촉, 감전에 의해 바닥으로 추락"/>
    <s v="▶ 가공전로 인근 작업 시 가공전로 차단, 절연용 방호구 등 감전방지조치 실시_x000a_▶ 작업 전 절연용 안전보호구(절연장갑, 절연화, 안전작업복, AE형 안전모 등) 지급 및 착용상태 관리"/>
  </r>
  <r>
    <n v="12"/>
    <x v="1"/>
    <x v="3"/>
    <x v="4"/>
    <s v="YES"/>
    <x v="28"/>
    <x v="54"/>
    <s v="해당없음"/>
    <s v="해당없음"/>
    <s v="해당없음"/>
    <s v="2017년 11월"/>
    <d v="2017-11-01T00:00:00"/>
    <n v="11"/>
    <s v="-"/>
    <x v="2"/>
    <s v="2017년 11월경 지장철탑 이설 현장에서 비계공 6명(재해자 포함)이 154KV 송전전로 연선 작업시 지상에 설치되어 있는 지장물(22.9KV 활선전로)과 접촉방지를 위한 발받침 비계를 조립하던 중 비계 9단에서 작업 중이던 재해자가 절연방호관이 부분 누락되어 충전부가 노출된 22.9KV 충전전로에 근접(약 50cm 이내)하여 작업하는 과정에서 충전부에 직접접촉 또는 유도전류에 의해 감전되면서 지상 바닥으로 떨어져(H≒14m) 사망"/>
    <s v="외부비계 해체를 위해 비계에 오르던 중 가공전로에 접촉, 감전에 의해 바닥으로 추락"/>
    <s v="▶ 가공전로 인근 작업 시 가공전로 차단, 절연용 방호구 등 감전방지조치 실시_x000a_▶ 작업 전 절연용 안전보호구(절연장갑, 절연화, 안전작업복, AE형 안전모 등) 지급 및 착용상태 관리"/>
  </r>
  <r>
    <n v="12"/>
    <x v="1"/>
    <x v="3"/>
    <x v="4"/>
    <s v="YES"/>
    <x v="28"/>
    <x v="54"/>
    <s v="해당없음"/>
    <s v="해당없음"/>
    <s v="해당없음"/>
    <s v="2018년 5월경"/>
    <d v="2018-05-01T00:00:00"/>
    <n v="5"/>
    <s v="-"/>
    <x v="2"/>
    <s v="2018년 5월경 다가구주택 신축공사 현장에서 재해자가 건물 전면도로상 외부 비계에 인접한 전신주의 변압기통 충전전로(22.9kv)에 접근하여 이동하던 중 접촉, 감전되어 지상으로 떨어져(H≒10m) 사망"/>
    <s v="외부비계 해체를 위해 비계에 오르던 중 가공전로에 접촉, 감전에 의해 바닥으로 추락"/>
    <s v="▶ 가공전로 인근 작업 시 가공전로 차단, 절연용 방호구 등 감전방지조치 실시_x000a_▶ 작업 전 절연용 안전보호구(절연장갑, 절연화, 안전작업복, AE형 안전모 등) 지급 및 착용상태 관리"/>
  </r>
  <r>
    <n v="12"/>
    <x v="1"/>
    <x v="3"/>
    <x v="4"/>
    <s v="YES"/>
    <x v="28"/>
    <x v="54"/>
    <s v="해당없음"/>
    <s v="해당없음"/>
    <s v="해당없음"/>
    <s v="2018년 6월경"/>
    <d v="2018-06-01T00:00:00"/>
    <n v="6"/>
    <s v="혹서기"/>
    <x v="2"/>
    <s v="2018년 6월경 OO건설에서 시공하는 업무시설 신축공사 현장에서 지상 8층 외부 비계 해체 작업을 위해 재해자 2명이 강관파이프(L=4m)를 해체하여 운반 중, 강관파이프가 옆 건물 옥상에 설치된 고압수전설비 충전전로(22.9kV)에 접촉(이격거리 약 1.0m) 하여 감전, 강관파이프를 건네주던 재해자1은 감전되어 사망, 지상 7층 외부비계에서 강관파이프를 건네받던 재해자2는 통전되며 3층과 4층 사이에 설치된 비계 작업발판에 추락하며 부상 "/>
    <s v="외부비계 해체를 위해 비계에 오르던 중 가공전로에 접촉, 감전에 의해 바닥으로 추락"/>
    <s v="▶ 가공전로 인근 작업 시 가공전로 차단, 절연용 방호구 등 감전방지조치 실시_x000a_▶ 작업 전 절연용 안전보호구(절연장갑, 절연화, 안전작업복, AE형 안전모 등) 지급 및 착용상태 관리"/>
  </r>
  <r>
    <n v="12"/>
    <x v="1"/>
    <x v="3"/>
    <x v="4"/>
    <s v="YES"/>
    <x v="28"/>
    <x v="54"/>
    <s v="해당없음"/>
    <s v="해당없음"/>
    <s v="해당없음"/>
    <s v="2020년 8월경"/>
    <d v="2020-08-01T00:00:00"/>
    <n v="8"/>
    <s v="혹서기"/>
    <x v="2"/>
    <s v="2020년 8월경 OO건설에서 시공하는 주택재개발정비사업 중 철거작업 현장에서 재해자가 철거대상 건물에 설치된 외부비계 해체를 위해 비계에 오르던 중 인접 가공전로(22.9kV)에 접촉·감전되어 바닥으로 떨어져(H≒10m) 사망"/>
    <s v="외부비계 해체를 위해 비계에 오르던 중 가공전로에 접촉, 감전에 의해 바닥으로 추락"/>
    <s v="▶ 가공전로 인근 작업 시 가공전로 차단, 절연용 방호구 등 감전방지조치 실시_x000a_▶ 작업 전 절연용 안전보호구(절연장갑, 절연화, 안전작업복, AE형 안전모 등) 지급 및 착용상태 관리"/>
  </r>
  <r>
    <n v="12"/>
    <x v="1"/>
    <x v="3"/>
    <x v="4"/>
    <s v="YES"/>
    <x v="28"/>
    <x v="54"/>
    <s v="해당없음"/>
    <s v="해당없음"/>
    <s v="해당없음"/>
    <s v="2021년 4월경"/>
    <d v="2021-04-01T00:00:00"/>
    <n v="4"/>
    <s v="-"/>
    <x v="2"/>
    <s v="2021년 4월경 OO동 철거공사 현장에서 비계해체 작업 중 해체된 강관파이프가 주변에 있는 전주의 22,900V 특별고압 충전전로에 접촉되어 재해자 2명 부상"/>
    <s v="외부비계 해체를 위해 비계에 오르던 중 가공전로에 접촉, 감전에 의해 바닥으로 추락"/>
    <s v="▶ 가공전로 인근 작업 시 가공전로 차단, 절연용 방호구 등 감전방지조치 실시_x000a_▶ 작업 전 절연용 안전보호구(절연장갑, 절연화, 안전작업복, AE형 안전모 등) 지급 및 착용상태 관리"/>
  </r>
  <r>
    <n v="12"/>
    <x v="1"/>
    <x v="3"/>
    <x v="31"/>
    <s v="YES"/>
    <x v="28"/>
    <x v="54"/>
    <s v="해당없음"/>
    <s v="해당없음"/>
    <s v="해당없음"/>
    <s v="2016년 6월경"/>
    <d v="2016-06-01T00:00:00"/>
    <n v="6"/>
    <s v="혹서기"/>
    <x v="10"/>
    <s v="2016년 6월경 OO업무시설 신축공사현장에서, 재해자가 지상 4층(약 11m) 높이의 외부비계에서 강관파이프를 이용하여 낙하물방지망 설치용 비계를 설치하던 중, 강관파이프(6m)가 가공전로(22.9KV 배전선로)의 충전부에 닿으며 발생한 아아크 및 전격에 의해 전신 화상을 당하고 지상 바닥으로 추락"/>
    <s v="강관파이프를 이용한 낙하물방지망 설치용 비계 설치 중 강관파이프의 충전부 접촉에 따른 아크 발생 후 감전 및 화상"/>
    <s v="▶ 감전위험이 있는 작업 시 정전작업, 절연용 보호구 등 안전방호조치 실시_x000a_▶ 충전전로 인근 접근금지 조치 실시"/>
  </r>
  <r>
    <n v="12"/>
    <x v="1"/>
    <x v="35"/>
    <x v="99"/>
    <s v="YES"/>
    <x v="28"/>
    <x v="53"/>
    <s v="해당없음"/>
    <s v="해당없음"/>
    <s v="해당없음"/>
    <s v="2020년 6월경"/>
    <d v="2020-06-01T00:00:00"/>
    <n v="6"/>
    <s v="혹서기"/>
    <x v="2"/>
    <s v="2020년 6월경 근린생활시설 신축공사 현장에서 재해자가 기존도로 상의 전주에서 가설전선 인입작업 완료 후 가설전선을 전주에 고정하던 중 약 4m 아래 기존도로 바닥으로 추락하여 사망"/>
    <s v="안전대를 미착용하고 가설전선을 전주에 고정하던 중 중심을 잃고 추락"/>
    <s v="▶ 근로자의 개인보호구, 안전대 체결여부 점검 및 관리감독"/>
  </r>
  <r>
    <n v="12"/>
    <x v="1"/>
    <x v="35"/>
    <x v="111"/>
    <s v="YES"/>
    <x v="28"/>
    <x v="54"/>
    <s v="해당없음"/>
    <s v="해당없음"/>
    <s v="해당없음"/>
    <s v="2016년 7월경"/>
    <d v="2016-07-01T00:00:00"/>
    <n v="7"/>
    <s v="혹서기"/>
    <x v="10"/>
    <s v="2016년 7월경 전기인입선 교체공사 현장에서 재해자가 알루미늄 사다리 위에서 전주 측의 전기인입선을 건물의 인입구에 연결작업 중 충전부에 접촉·감전되어 사망"/>
    <s v="건물의 인입구에 연결작업 중 충전부에 접촉되어 감전"/>
    <s v="▶ 전기 작업 시 해당 전도 차단 후 작업 실시_x000a_▶ 활선작업 시 절연용 보호구 지급 등 활선작업조치 실시"/>
  </r>
  <r>
    <n v="12"/>
    <x v="1"/>
    <x v="35"/>
    <x v="111"/>
    <s v="YES"/>
    <x v="28"/>
    <x v="54"/>
    <s v="해당없음"/>
    <s v="해당없음"/>
    <s v="해당없음"/>
    <s v="2018년 12월"/>
    <d v="2018-12-01T00:00:00"/>
    <n v="12"/>
    <s v="혹한기"/>
    <x v="10"/>
    <s v="2018년 12월경 OO센터 전기공사 현장에서 재해자 등 4명이 전산실 구축을 위해 지하 1층에서 부스덕트(대용량 전력케이블) 설치 작업 중, 인접한 활선 부스덕트 충전부에 설치중인 부스덕트가 부딪혀 단락으로 인한 전기아크가 발생하여 4명이 모두 화상을 입고 재해자 1명 사망"/>
    <s v="대용량 전력케이블 설치작업 중 부스덕트가 부딪혀 전기아크가 발생하여 화상"/>
    <s v="▶ 작업구간 인접하여 설치되어 있던 부스바는 활선 상태인 경우 덮개를 통한 임시 절연조치 실시_x000a_▶ 충전전로 인근 작업 시 충전전로 정전, 충전부 절연덮개 등을 통한 안전조치 실시"/>
  </r>
  <r>
    <n v="12"/>
    <x v="1"/>
    <x v="35"/>
    <x v="112"/>
    <s v="YES"/>
    <x v="28"/>
    <x v="54"/>
    <s v="해당없음"/>
    <s v="해당없음"/>
    <s v="해당없음"/>
    <s v="2019년 6월경"/>
    <d v="2019-06-01T00:00:00"/>
    <n v="6"/>
    <s v="혹서기"/>
    <x v="10"/>
    <s v="2019년 6월경 OO건설에서 시공하는 풀빌라 신축공사 현장에서 재해자가 O동 1층 2호실 콘크리트옹벽에 습식코어드릴로 천공작업중 코어드릴 금속외함에 누설된 220v 전류에 감전되어 사망"/>
    <s v="코어드릴로 천공작업 중 코어드릴 금속외함에 누설된 220V전류에 감전"/>
    <s v="▶ 전기 작업 시 해당 전도 차단 후 작업 실시_x000a_▶ 활선작업 시 절연용 보호구 지급 등 활선작업조치 실시"/>
  </r>
  <r>
    <n v="12"/>
    <x v="1"/>
    <x v="5"/>
    <x v="6"/>
    <s v="YES"/>
    <x v="28"/>
    <x v="54"/>
    <s v="해당없음"/>
    <s v="해당없음"/>
    <s v="해당없음"/>
    <s v="2015년 12월"/>
    <d v="2015-12-01T00:00:00"/>
    <n v="12"/>
    <s v="혹한기"/>
    <x v="10"/>
    <s v="2015년 12월경 OO(주) 「양방향라디오열차무선통신장치보수장비용」현장에서 재해자가 철도유지보수장비(밸러스터 레귤레이터) 상부에 무선송수신기 안테나를 설치 작업중 전차선(25KV)에 상체가 접촉되어 감전 및 아크에 의한 작업복 화재로 화상을 입어 사망"/>
    <s v="정리 및 보수작업을 하던 중 충전부 방호가 되지 않은 충전선에 닿아 감전"/>
    <s v="▶ 충전전로 인접 작업 시 전로의 전원차단 등 작업방법 개선_x000a_▶ 절연용 방호구 및 보호구 사용_x000a_▶ 감시인 배치 등 근로자의 관리 강화"/>
  </r>
  <r>
    <n v="12"/>
    <x v="1"/>
    <x v="5"/>
    <x v="6"/>
    <s v="YES"/>
    <x v="28"/>
    <x v="54"/>
    <s v="해당없음"/>
    <s v="해당없음"/>
    <s v="해당없음"/>
    <s v="2016년 9월경"/>
    <d v="2016-09-01T00:00:00"/>
    <n v="9"/>
    <s v="-"/>
    <x v="10"/>
    <s v="2016년 9월경 농촌용수개발 사업현장에서 재해자가 물웅덩이에 설치된 수중펌프 작동상태를 점검하던 중 감전"/>
    <s v=" 수중펌프의 작동상태 확인을 위해 물웅덩이에 들어갔다가 누전된 수중펌프에 감전"/>
    <s v="▶ 누전에 의한 감전위험 방지를 위해 해당 전로에 맞는 감전방지용 누전차단기 설치 실시_x000a_▶ 양수작업 전 전원케이블을 누전차단기가 부착된 전원단자에 연결하여 누전 이상유무를 점검하고 이상발견시 즉시 보수하거나 재설치후 작업할 것"/>
  </r>
  <r>
    <n v="12"/>
    <x v="1"/>
    <x v="5"/>
    <x v="6"/>
    <s v="YES"/>
    <x v="28"/>
    <x v="54"/>
    <s v="해당없음"/>
    <s v="해당없음"/>
    <s v="해당없음"/>
    <s v="2017년 8월경"/>
    <d v="2017-08-01T00:00:00"/>
    <n v="8"/>
    <s v="혹서기"/>
    <x v="10"/>
    <s v="2017년 8월경 (주)OO건설이 시공하는 (주)OOO 건물 2층 내부인테리어공사 현장에서 직영 근로자 OOO가 동료작업자 OO과 함께 차량탑재형 고소작업대에 탑승하여 외벽 누수부위를 점검하던 중, 재해자가 탑승함 측면의 중간난간을 밟고 올라서는 순간 머리가 22.9㎸ 충전전로의 COS(CutOut Switch)에 닿아 감전된 후 탑승함과 건물 사이를 통해 약 9m 아래 지상 바닥에 떨어져 사망"/>
    <s v="정리 및 보수작업을 하던 중 충전부 방호가 되지 않은 충전선에 닿아 감전"/>
    <s v="▶ 충전전로 인접 작업 시 전로의 전원차단 등 작업방법 개선_x000a_▶ 절연용 방호구 및 보호구 사용_x000a_▶ 감시인 배치 등 근로자의 관리 강화"/>
  </r>
  <r>
    <n v="12"/>
    <x v="1"/>
    <x v="5"/>
    <x v="6"/>
    <s v="YES"/>
    <x v="28"/>
    <x v="54"/>
    <s v="해당없음"/>
    <s v="해당없음"/>
    <s v="해당없음"/>
    <s v="2019년 1월경"/>
    <d v="2019-01-01T00:00:00"/>
    <n v="1"/>
    <s v="혹한기"/>
    <x v="10"/>
    <s v="2019년 1월경, OO시설 공사현장 지하 전기실에서, 전기공사하청업체 재해자가 준공확인검사차 전기실 자재정리 및 청소 작업을 수행하던중 수전설비(전압 22.9kV)에 감전되어 사망"/>
    <s v="정리 및 보수작업을 하던 중 충전부 방호가 되지 않은 충전선에 닿아 감전"/>
    <s v="▶ 충전전로 인접 작업 시 전로의 전원차단 등 작업방법 개선_x000a_▶ 절연용 방호구 및 보호구 사용_x000a_▶ 감시인 배치 등 근로자의 관리 강화"/>
  </r>
  <r>
    <n v="12"/>
    <x v="1"/>
    <x v="5"/>
    <x v="6"/>
    <s v="YES"/>
    <x v="28"/>
    <x v="54"/>
    <s v="해당없음"/>
    <s v="해당없음"/>
    <s v="해당없음"/>
    <s v="지상3층에서 설비"/>
    <s v="X"/>
    <e v="#VALUE!"/>
    <e v="#VALUE!"/>
    <x v="9"/>
    <s v="지상3층에서 설비작업 하던 중 지하1층의 냉장고에서 화재가 발생, 천장의 단열재로 번져 유독가스가 발생하자 외부비계를 통해 대피하다가 지상 1층으로 떨어져(H≒3.9m) 1명 사망, 2명은 연기흡입 등으로 부상함."/>
    <s v="지하층 설비작업하던 중 트레킹에 의해 전선이 단락되어 화재"/>
    <s v="▶ 현장 내 화재발생 시, 신속한 대응이 가능하도록 경보운영체계의 확립 및 운영_x000a_▶ 습기, 먼지 등에 영향을 최소화하기 위해 주기적인 현장관리와 안전점검 실시"/>
  </r>
  <r>
    <n v="2"/>
    <x v="2"/>
    <x v="6"/>
    <x v="7"/>
    <s v="YES"/>
    <x v="28"/>
    <x v="54"/>
    <s v="해당없음"/>
    <s v="해당없음"/>
    <s v="해당없음"/>
    <s v="2018년 3월경"/>
    <d v="2018-03-01T00:00:00"/>
    <n v="3"/>
    <s v="-"/>
    <x v="10"/>
    <s v="2018년 3월경 ㈜OO건설 OO신축공사 현장 지상 2층 계단참에서 휴대용 원형톱으로 거푸집 제작 및 설치작업 중이던 재해자가 절연파괴된 원형톱 금속제 외함의 누설전류에 감전되어 사망"/>
    <s v="거푸집 제작 작업 중 절연파괴된 원형톱금속제 외함의 누설전류에 감전"/>
    <s v="▶ 전기 작업 시 해당 전도 차단 후 작업 실시_x000a_▶ 활선작업 시 절연용 보호구 지급 등 활선작업조치 실시"/>
  </r>
  <r>
    <n v="2"/>
    <x v="2"/>
    <x v="7"/>
    <x v="10"/>
    <s v="YES"/>
    <x v="28"/>
    <x v="54"/>
    <s v="해당없음"/>
    <s v="해당없음"/>
    <s v="해당없음"/>
    <s v="2016년 8월경"/>
    <d v="2016-08-01T00:00:00"/>
    <n v="8"/>
    <s v="혹서기"/>
    <x v="10"/>
    <s v="2016년 8월경 해수담수화 시설공사 현장에서 재해자가 휴대용 유압절단기를 사용하여 철근 가공작업을 하던 중 절연이 파괴되어 유압절단기 외함에 흐르는 누설전류에 감전되어 사망"/>
    <s v="휴대용 유압절단기를 사용하여 철근 가공작업을 하던 중, 절연이 파괴되어 유압절단기 외함에 흐르는 누설된 잔류에 감전"/>
    <s v="▶ 핸드그라인더 등 대지전압 150볼트 초과의 이동형 또는 휴대형 전기기계기구 사용 시 누전차단기 작동상태 점검 및 조치_x000a_▶ 핸드그라인더 등 전기기계기구의 금속제 외함, 금속제 외피 및 철대 등의 금속부분에 대해 접지 실시_x000a_▶ 절연재질의 손잡이가 설치된 전기ㆍ기계기구 사용"/>
  </r>
  <r>
    <n v="2"/>
    <x v="2"/>
    <x v="7"/>
    <x v="34"/>
    <s v="YES"/>
    <x v="28"/>
    <x v="54"/>
    <s v="해당없음"/>
    <s v="해당없음"/>
    <s v="해당없음"/>
    <s v="2016년 7월경"/>
    <d v="2016-07-01T00:00:00"/>
    <n v="7"/>
    <s v="혹서기"/>
    <x v="10"/>
    <s v="2016년 7월경 단독주택건축공사 현장에서 재해자가 1층 슬라브 위에서 철근 더미에 앉아 보 철근 조립작업 중 철근 더미 위에 있던 철근 절단기에서 누설된 전류에 의해 감전되어 사망"/>
    <s v="근로자가 슬라브 위에서 철근 더미에 앉아 보 철근 조립작업 중 철근 더미 위에 있던 철근 절단기에서 누설된 잔류에 의해 감전"/>
    <s v="▶ 철근 절단기와 같은 노출된 비충전금속체의 전기기구를 사용 시 전원 인출 경로상의 접지선은 반드시 연결 _x000a_▶ 임시배선의 전로가 설치된 장소에서 사용되는 휴대용 철근 절단기는 누전에 의한 감전을 방지하기 위해 전원 인출 시 누전차단기를 경유"/>
  </r>
  <r>
    <n v="3"/>
    <x v="3"/>
    <x v="9"/>
    <x v="13"/>
    <s v="YES"/>
    <x v="28"/>
    <x v="53"/>
    <s v="해당없음"/>
    <s v="해당없음"/>
    <s v="해당없음"/>
    <s v="2019년 8월경"/>
    <d v="2019-08-01T00:00:00"/>
    <n v="8"/>
    <s v="혹서기"/>
    <x v="2"/>
    <s v="2019년 8월경 ㈜OO이 시공하는 OO철탑 보강공사 현장에서 재해자(철골공)가 노후화된 송신철탑 볼트를 교체하기 위해 철탑부재 위에서 위치 조정 또는 다른 작업위치로 이동중(바닥으로부터 15.8m 지점) 실족하여 하단부 철탑부재(바닥으로부터 약 6.0m 지점)로 떨어져 사망"/>
    <s v="노후화된 송신철탑 볼트 교체를 위해 철탑부재 위에서 안전대 미착용한 상태에서 위치조정 또는 다른 작업위치로 이동 중 실족하여 근로자 추락"/>
    <s v="▶ 송신철탑에서 볼트 교체작업 시 안전대를 사용할 수 있도록 안전대 부착설비 설치_x000a_▶ 개인보호구 지급 및 착용"/>
  </r>
  <r>
    <n v="4"/>
    <x v="4"/>
    <x v="10"/>
    <x v="15"/>
    <s v="YES"/>
    <x v="28"/>
    <x v="54"/>
    <s v="해당없음"/>
    <s v="해당없음"/>
    <s v="해당없음"/>
    <s v="2016년 10월"/>
    <d v="2016-10-01T00:00:00"/>
    <n v="10"/>
    <s v="-"/>
    <x v="10"/>
    <s v="2016년 10월경 OO신축공사에서 창틀 내 설치한 고정 앵커철물 절단 작업을 하기 위해 외부비계(H=1.7m)에서 핸드그라인더로 작업 중 감전으로  사망"/>
    <s v="앵커철물 절단 작업을 하기 위해 외부비계에서 핸드그라인더로 작업 중 핸드그라인더 누전으로 인해 감전"/>
    <s v="▶ 핸드그라인더 금속에 외함 접지 실시_x000a_▶ 전기기계기구 사용전 누전차단기 작동상태 점검 및 조치"/>
  </r>
  <r>
    <n v="4"/>
    <x v="4"/>
    <x v="11"/>
    <x v="16"/>
    <s v="YES"/>
    <x v="28"/>
    <x v="54"/>
    <s v="해당없음"/>
    <s v="해당없음"/>
    <s v="해당없음"/>
    <s v="2016년 3월경"/>
    <d v="2016-03-01T00:00:00"/>
    <n v="3"/>
    <s v="-"/>
    <x v="10"/>
    <s v="2016년 3월경 OO(주)이 시공하는 OO산업(주) 인쇄공장 방수 및 철거, 아스타일 공사현장에서 재해자(방수공)가 옥상 변압기 방책 내에서 알루미늄재질의 롤러를 이용하여 바닥방수작업 중 특별고압(22.9kv) 충전부에 접촉, 감전되어 사망"/>
    <s v="옥상 변압기 방책 내에서 알루미늄 재질의 롤러를 이용하여 바닥 방수작업 중 특별고압 변압기 충전부에 접촉 근로자 감전"/>
    <s v="▶ 특별고압 변압기가 있는 방책 내에서 바닥 방수 등 작업 시 해당 충전전로를 차단하고 잔류전하를 완전히 방전 시킨 후 정전상태에서 작업 실시_x000a_▶ 전기ㆍ전류 작업 시 근로자는 절연 보호구를 착용 후 작업 실시_x000a_▶ 전류 작업 시 작업도구가 충전부에 접촉하지 않게 접촉방지장치 부착 후 작업 실시"/>
  </r>
  <r>
    <n v="4"/>
    <x v="4"/>
    <x v="11"/>
    <x v="16"/>
    <s v="YES"/>
    <x v="28"/>
    <x v="54"/>
    <s v="해당없음"/>
    <s v="해당없음"/>
    <s v="해당없음"/>
    <s v=" 2018년 6월"/>
    <d v="2018-06-01T00:00:00"/>
    <n v="6"/>
    <s v="혹서기"/>
    <x v="10"/>
    <s v=" 2018년 6월경 OO에서 시공하는 OO병원 옥상 우레탄 방수 공사 현장에서 재해자가 기존의 방수도막 제거 후 청소를 하던 과정에서 특고압 충전전로(컷아웃스위치)에 머리가 접촉, 감전되어 사망"/>
    <s v="기존의 방수도막 제거 후 청소를 하던 과정에서 특고압 충전전로(컷아웃스위치)에 머리가 접촉되어 감전"/>
    <s v="▶ 특별고압 변압기가 있는 방책 내에서 바닥 방수 등 작업 시 해당 충전전로를 차단하고 잔류전하를 완전히 방전 시킨 후 정전상태에서 작업 실시_x000a_▶ 전기ㆍ전류 작업 시 근로자는 절연 보호구를 착용 후 작업 실시_x000a_▶ 전류 작업 시 작업도구가 충전부에 접촉하지 않게 접촉방지장치 부착 후 작업 실시"/>
  </r>
  <r>
    <n v="4"/>
    <x v="4"/>
    <x v="13"/>
    <x v="42"/>
    <s v="YES"/>
    <x v="28"/>
    <x v="54"/>
    <s v="해당없음"/>
    <s v="해당없음"/>
    <s v="해당없음"/>
    <s v="2016년 6월경"/>
    <d v="2016-06-01T00:00:00"/>
    <n v="6"/>
    <s v="혹서기"/>
    <x v="10"/>
    <s v="2016년 6월경 ㈜OO OO 현장에서, 재해자(내장목공)가 9동 5층 석고보드 부착용 석고본드를 배합하기 위하여, 휴대용교반기를 콘센트에 접속하는 순간 충전된 접지단자에 의하여, 휴대용교반기 금속제 본체가 충전되었고, 충전된 금속제 본체에 접촉되며 감전되어 사망"/>
    <s v="휴대용 교반기를 콘센트에 접속하는 과정에서 충전된 금속제 외함에 접촉되며 감전"/>
    <s v="▶ 감전위험이 있는 충전부분에 내구성있는 절연물로 감싸는 등 방호조치 실시_x000a_▶ 기준에 맞는 접지성능의 확보여부 검토 및 조치_x000a_▶ 가설분전함 주변의 습도 등 환경관리 철저"/>
  </r>
  <r>
    <n v="4"/>
    <x v="4"/>
    <x v="14"/>
    <x v="43"/>
    <s v="YES"/>
    <x v="28"/>
    <x v="54"/>
    <s v="해당없음"/>
    <s v="해당없음"/>
    <s v="해당없음"/>
    <s v="2020년 7월경"/>
    <d v="2020-07-01T00:00:00"/>
    <n v="7"/>
    <s v="혹서기"/>
    <x v="2"/>
    <s v="2020년 7월경 김치공장 신축공사 현장에서 재해자(판넬공)가 창고 지붕 H형강 위(높이 약 8미터)에서 이동식크레인으로 인양중인 EPS판넬을 지붕 H형강 위로 내리던 중, 판넬 설치구간 인근 전신주의 변압기(22.9kV) 상부 충전부 컷아웃스위치(COS)에 EPS 판넬이 접촉되어 감전으로 인해 지상 바닥으로 추락하여 사망(추정)"/>
    <s v="지붕에서 양중작업 중 양중물이 인근 전신주의 충전부와 접촉되면서 감전 후 추락"/>
    <s v="▶ 사전 조사를 통해 작업계획서를 수립하여, 양중기 작업구간 계획 등을 준수_x000a_▶ 충전부 인근에서 작업 시, 사전 관계기관 협조를 통해 정전작업 실시_x000a_▶ 충전부 인근에서 작업 시, 감전위험경보를 위한 감시인 배치_x000a_▶ 충전부 인근에서 작업 시, 감전방지를 위해 적정 이격거리(3m) 준수_x000a_▶ 충전부 인근에서 작업 시, 전선방호관 또는 COS 덮개 설치 등 방호조치 실시_x000a_▶ 작업자의 개인보호구, 안전대 체결여부 점검 및 관리감독"/>
  </r>
  <r>
    <n v="4"/>
    <x v="4"/>
    <x v="14"/>
    <x v="43"/>
    <s v="YES"/>
    <x v="28"/>
    <x v="54"/>
    <s v="해당없음"/>
    <s v="해당없음"/>
    <s v="해당없음"/>
    <s v="2021년 5월경"/>
    <d v="2021-05-01T00:00:00"/>
    <n v="5"/>
    <s v="-"/>
    <x v="10"/>
    <s v="2021년 5월경 ㈜OO 소속 재해자는 ㈜OO 화재 보수공사 현장에서 화재로 손실된 지상 3층 옥상 외부 벽체 판넬의 교체를 위해 3.5톤 고소작업대에 탑승 후 붐대를 올려 작업장소로 이동하던 중 근접해 설치된 22.9KV 고압선로에 재해자가 접근 한계거리 이상으로 근접해서 발생한 감전되어 사망(추정)"/>
    <s v="고소작업대에 탑승하여 작업위치로 이동하던 중 인근 고압선로에 접촉되어 감전"/>
    <s v="▶ 사전 조사를 통해 작업계획서를 수립하여, 양중기 작업구간 계획 등을 준수_x000a_▶ 충전부 인근에서 작업 시, 사전 관계기관 협조를 통해 정전작업 실시_x000a_▶ 충전부 인근에서 작업 시, 감전위험경보를 위한 감시인 배치_x000a_▶ 충전부 인근에서 작업 시, 감전방지를 위해 적정 이격거리(3m) 준수_x000a_▶ 충전부 인근에서 작업 시, 전선방호관 또는 COS 덮개 설치 등 방호조치 실시_x000a_▶ 작업자의 개인보호구, 안전대 체결여부 점검 및 관리감독"/>
  </r>
  <r>
    <n v="4"/>
    <x v="4"/>
    <x v="14"/>
    <x v="20"/>
    <s v="YES"/>
    <x v="28"/>
    <x v="54"/>
    <s v="해당없음"/>
    <s v="해당없음"/>
    <s v="해당없음"/>
    <s v="2019년 6월경"/>
    <d v="2019-06-01T00:00:00"/>
    <n v="6"/>
    <s v="혹서기"/>
    <x v="2"/>
    <s v="2019년 6월경 OO공사에서 재해자가 철골 퍼린(Purlin)에 걸터앉아 동료 작업자가 올려준 철제 지붕 빗물받이를 받은 뒤 인근에 위치한 특고압 활선(22.9kV)에 접촉되어 감전되어 약 8m 높이에서 추락하여 사망"/>
    <s v="철골보 상부에서 작업 중 인근 전신주의 고압선로에 접촉되어 감전 후 추락"/>
    <s v="▶ 사전 조사를 통해 작업계획서를 수립하여, 양중기 작업구간 계획 등을 준수_x000a_▶ 충전부 인근에서 작업 시, 사전 관계기관 협조를 통해 정전작업 실시_x000a_▶ 충전부 인근에서 작업 시, 감전위험경보를 위한 감시인 배치_x000a_▶ 충전부 인근에서 작업 시, 감전방지를 위해 적정 이격거리(3m) 준수_x000a_▶ 충전부 인근에서 작업 시, 전선방호관 또는 COS 덮개 설치 등 방호조치 실시_x000a_▶ 작업자의 개인보호구, 안전대 체결여부 점검 및 관리감독"/>
  </r>
  <r>
    <n v="5"/>
    <x v="5"/>
    <x v="15"/>
    <x v="44"/>
    <s v="YES"/>
    <x v="28"/>
    <x v="53"/>
    <s v="해당없음"/>
    <s v="해당없음"/>
    <s v="해당없음"/>
    <s v="통신용 전주 철거"/>
    <s v="X"/>
    <e v="#VALUE!"/>
    <e v="#VALUE!"/>
    <x v="3"/>
    <s v="통신용 전주 철거작업 현장에서 재해자가 이동식 크레인으로 콘크리트 전주를 인양하는 작업장 주변을 이동 중 와이어 로프로 결속한 부위가 부러지면서 전주 상부 부재가 재해자를 강타하여 사망"/>
    <s v="이동식크레인을 이용해 강관파이프 다발을 하역작업 중, 크레인의 보조원치 와이어로프가 파단되어 강관파이프가 근로자에게 낙하"/>
    <s v="▶ 작업 시작 전 안전장치(와이어로프 등) 설치 및 작동상태 확인 철저 _x000a_▶ 권과방지장치가 정상 작동될 수 있도록 작업 전 설치 및 조정_x000a_▶ 주기적인 이동식 크레인 안전검사 철저_x000a_▶ 하역작업을 하는 경우 근로자의 출입을 통제하여 인양중인 화물이 작업자의 머리 위로 통과하지 않도록 조치"/>
  </r>
  <r>
    <n v="5"/>
    <x v="5"/>
    <x v="15"/>
    <x v="45"/>
    <s v="YES"/>
    <x v="28"/>
    <x v="54"/>
    <s v="해당없음"/>
    <s v="해당없음"/>
    <s v="해당없음"/>
    <s v="2016년 8월경"/>
    <d v="2016-08-01T00:00:00"/>
    <n v="8"/>
    <s v="혹서기"/>
    <x v="10"/>
    <s v="2016년 8월경 OO공사에서 재해자가 케이블 이설작업을 위해 MCC판넬 하부 트렌치로 케이블 입선 및 포설 작업 중 머리가 MCC판넬 내 충전부(BUS-BAR)에 닿아 감전으로 사망"/>
    <s v="케이블 이설작업을 위한 케이블 입선 및 포설작업 중 판넬 내 충전부에 머리가 닿아 감전"/>
    <s v="▶ 판넬 내부 충전부 노츨되지 않도록 방호캡 설치등 방호조치 인_x000a_▶ 판넬 내,외부 접지상태 확인_x000a_▶ 전선 입선 및 포설, 판넬 연결작업시 해당 전로 차단후 작업 실시"/>
  </r>
  <r>
    <n v="5"/>
    <x v="5"/>
    <x v="15"/>
    <x v="45"/>
    <s v="YES"/>
    <x v="28"/>
    <x v="54"/>
    <s v="해당없음"/>
    <s v="해당없음"/>
    <s v="해당없음"/>
    <s v="2017년 9월경"/>
    <d v="2017-09-01T00:00:00"/>
    <n v="9"/>
    <s v="-"/>
    <x v="10"/>
    <s v="2017년 9월경 OO공사에서 재해자가 정전작업을 하지 않고 활선상태에서 천장 등기구 배선작업 중 전원선 충전부를 접촉하여 감전으로 사망"/>
    <s v="천장 등기구 교체를 위한 배선작업 중, 활선 상태에서 전원선의 충전부와의 접촉에 의한 감전"/>
    <s v="▶ 배선용 및 누전용 차단기 작동상태 확인_x000a_▶ 전선 입선 및 포설, 판넬 연결작업시 해당 전로 차단후 작업 실시"/>
  </r>
  <r>
    <n v="5"/>
    <x v="5"/>
    <x v="15"/>
    <x v="45"/>
    <s v="YES"/>
    <x v="28"/>
    <x v="54"/>
    <s v="해당없음"/>
    <s v="해당없음"/>
    <s v="해당없음"/>
    <s v="2018년 3월경"/>
    <d v="2018-03-01T00:00:00"/>
    <n v="3"/>
    <s v="-"/>
    <x v="10"/>
    <s v="2018년 3월경 OO공사에서 재해자가 고소작업차에 탑승하여 전선 이설작업 중 22.9KV 전선의 노출된 충전부와 활선용 장선기의 금속부분에 접촉되면서 장선기를 잡고있던 재해자가 감전 및 화상으로 사망"/>
    <s v="절연 고소작업차에 탑승하여 전선이설 작업 중  22.9KV 전선의 노출된 충전부와 활선용 장선기의 금속부분에 접촉 되면서 감전 및 화상"/>
    <s v="▶ 감전 위험이 있는 작업 시 해당 전로 차단 실시_x000a_▶ 작업 전 절연보호구 지급 및 착용상태 관리_x000a_▶ 추락 위험이 있는 작업 시 안전대 부착설비 설치를 통한 안전방호조치 실시"/>
  </r>
  <r>
    <n v="5"/>
    <x v="5"/>
    <x v="15"/>
    <x v="45"/>
    <s v="YES"/>
    <x v="28"/>
    <x v="54"/>
    <s v="해당없음"/>
    <s v="해당없음"/>
    <s v="해당없음"/>
    <s v="2018년 8월경"/>
    <d v="2018-08-01T00:00:00"/>
    <n v="8"/>
    <s v="혹서기"/>
    <x v="10"/>
    <s v="2018년 8월경 OO공사에서 재해자가 가설전선을 인출하기 위해 가설분전반 인입케이블을 전선 주위 배전선로에 연결하던 중 오른손이 충전부에 접촉되어 감전으로 사망"/>
    <s v="케이블 이설작업을 위한 케이블 입선 및 포설작업 중 판넬 내 충전부에 머리가 닿아 감전"/>
    <s v="▶ 판넬 내부 충전부 노츨되지 않도록 방호캡 설치등 방호조치 인_x000a_▶ 판넬 내,외부 접지상태 확인_x000a_▶ 전선 입선 및 포설, 판넬 연결작업시 해당 전로 차단후 작업 실시"/>
  </r>
  <r>
    <n v="5"/>
    <x v="5"/>
    <x v="15"/>
    <x v="45"/>
    <s v="YES"/>
    <x v="28"/>
    <x v="54"/>
    <s v="해당없음"/>
    <s v="해당없음"/>
    <s v="해당없음"/>
    <s v="2019년 7월경"/>
    <d v="2019-07-01T00:00:00"/>
    <n v="7"/>
    <s v="혹서기"/>
    <x v="10"/>
    <s v="2019년 7월경 OO공사에서 재해자가 천정 상부에서 배선 작업 중 전압 220V에 감전되어 사망"/>
    <s v="공장 항온룸 설비공사를 위하여 천정 마감재 상부로 올라가 전기 배선 작업 중 전선에 접촉되어 감전"/>
    <s v="▶ 감전 위험이 있는 작업 시 해당 전로 차단 실시_x000a_▶ 작업 전 절연보호구 지급 및 착용상태 관리_x000a_▶ 추락 위험이 있는 작업 시 안전대 부착설비 설치를 통한 안전방호조치 실시"/>
  </r>
  <r>
    <n v="5"/>
    <x v="5"/>
    <x v="15"/>
    <x v="45"/>
    <s v="YES"/>
    <x v="28"/>
    <x v="54"/>
    <s v="해당없음"/>
    <s v="해당없음"/>
    <s v="해당없음"/>
    <s v="2019년 9월경"/>
    <d v="2019-09-01T00:00:00"/>
    <n v="9"/>
    <s v="-"/>
    <x v="10"/>
    <s v="2019년 9월경 OO공사에서 재해자가 사다리를 이용해 천정 덕트 및 설비배관에 올라가서 소방전기박스 안의 전선 피복을 벗기는 작업 중 왼손이 감전되어 몸의 균형을 잃고 높이 약 3.9미터 아래 바닥으로 추락하여 사망"/>
    <s v="반도체 공장 신축 현장에서 천정 마감재 상부로 올라가 소방전기박스 내부 전선 피복을 벗기는 중 전선에 접촉되어 감전"/>
    <s v="▶ 감전 위험이 있는 작업 시 해당 전로 차단 실시_x000a_▶ 작업 전 절연보호구 지급 및 착용상태 관리_x000a_▶ 추락 위험이 있는 작업 시 안전대 부착설비 설치를 통한 안전방호조치 실시"/>
  </r>
  <r>
    <n v="5"/>
    <x v="5"/>
    <x v="15"/>
    <x v="45"/>
    <s v="YES"/>
    <x v="28"/>
    <x v="54"/>
    <s v="해당없음"/>
    <s v="해당없음"/>
    <s v="해당없음"/>
    <s v="2019년 9월경"/>
    <d v="2019-09-01T00:00:00"/>
    <n v="9"/>
    <s v="-"/>
    <x v="10"/>
    <s v="2019년 9월경 OO공사에서 재해재가 외벽 3층(높이 약 7m)에 설치된 활선상태인 세대 인입배선을 철거하기 위해 외부비계 위에서 펜치(Pincers)로 전선 절단 작업 중 감전으로 사망"/>
    <s v="철거공사 현장에서 외부비계 위에서 활선상태의 인입배선 철거를 위해 전선 절단 중 감전 "/>
    <s v="▶ 감전 위험이 있는 작업 시 해당 전로 차단 실시_x000a_▶ 작업 전 절연보호구 지급 및 착용상태 관리_x000a_▶ 추락 위험이 있는 작업 시 안전대 부착설비 설치를 통한 안전방호조치 실시"/>
  </r>
  <r>
    <n v="5"/>
    <x v="5"/>
    <x v="15"/>
    <x v="45"/>
    <s v="YES"/>
    <x v="28"/>
    <x v="54"/>
    <s v="해당없음"/>
    <s v="해당없음"/>
    <s v="해당없음"/>
    <s v="2019년 10월"/>
    <d v="2019-10-01T00:00:00"/>
    <n v="10"/>
    <s v="-"/>
    <x v="10"/>
    <s v="2019년 10월경 OO공사에서 재해자가 전력증설을 위해 변전실 내부의 접지선 보완작업을 하던 중 전격에 의한 섬락 발생으로 감전되어 사망"/>
    <s v="전력증설공사를 위해 변전실 내부 접지선 보완작업 중 감전"/>
    <s v="▶ 감전될 위험이 있는 작업 시, 해당 충전전로의 정전상태 확인 준수_x000a_▶ 특별고압 충전전로에 대한 접근한계거리 확보 준수"/>
  </r>
  <r>
    <n v="5"/>
    <x v="5"/>
    <x v="15"/>
    <x v="45"/>
    <s v="YES"/>
    <x v="28"/>
    <x v="53"/>
    <s v="해당없음"/>
    <s v="해당없음"/>
    <s v="해당없음"/>
    <s v="2019년 10월"/>
    <d v="2019-10-01T00:00:00"/>
    <n v="10"/>
    <s v="-"/>
    <x v="2"/>
    <s v="2019년 10월경 OO공사에서 재해자가 케이블 철거를 위해 전주(높이12M)를 오르던 중 잡고 있던 발판볼트가 빠지면서 5M 아래 바닥으로 추락하여 사망"/>
    <s v="케이블 철거를 위한 전주 승주 중 작업발판 볼트 이탈에 의한 바닥으로 추락"/>
    <s v="▶ 추락 위험이 있는 전주작업 시, 고소작업대(차량탑재형), 활선버켓차 등을 이용한 작업방법 우선 고려_x000a_▶ 작업 전 기능점검을 통한 승강설비(작업발판 볼트)의 이상 유무 확인_x000a_▶ 전주 승하강시 안전대 체결 상태 유지(U형 안전대)_x000a_▶ 전주 승하강용 개인보호구의 사용법 준수"/>
  </r>
  <r>
    <n v="5"/>
    <x v="5"/>
    <x v="15"/>
    <x v="45"/>
    <s v="YES"/>
    <x v="28"/>
    <x v="53"/>
    <s v="해당없음"/>
    <s v="해당없음"/>
    <s v="해당없음"/>
    <s v="2019년 11월"/>
    <d v="2019-11-01T00:00:00"/>
    <n v="11"/>
    <s v="-"/>
    <x v="2"/>
    <s v="2019년 11월경 OO공사에서 재해자가 통신케이블의 이도 조정을 위해 전주를 타고 올라가던 중 몸의 중심을 잃고 지상 바닥으로 추락하여(H≒3.6m) 사망"/>
    <s v="통신케이블 처짐조정 작업을 위해 통신전주에 오르던 중 몸의 중심을 잃고 추락"/>
    <s v="▶ 추락 위험이 있는 전주작업 시, 고소작업대(차량탑재형), 활선버켓차 등을 이용한 작업방법 우선 고려_x000a_▶ 작업 전 안전대 부착설비의 안전대 체결을 위한 보조훅, 보조죔줄 지급 및 착용상태 관리"/>
  </r>
  <r>
    <n v="5"/>
    <x v="5"/>
    <x v="15"/>
    <x v="45"/>
    <s v="YES"/>
    <x v="28"/>
    <x v="54"/>
    <s v="해당없음"/>
    <s v="해당없음"/>
    <s v="해당없음"/>
    <s v="2021년 7월경"/>
    <d v="2021-07-01T00:00:00"/>
    <n v="7"/>
    <s v="혹서기"/>
    <x v="10"/>
    <s v="2021년 7월경 OO공사에서 재해자가 수·변전반 결선작업 중 380V 노출충전부에 신체가 접촉되어 감전으로 사망"/>
    <s v="케이블 이설작업을 위한 케이블 입선 및 포설작업 중 판넬 내 충전부에 머리가 닿아 감전"/>
    <s v="▶ 판넬 내부 충전부 노츨되지 않도록 방호캡 설치등 방호조치 인_x000a_▶ 판넬 내,외부 접지상태 확인_x000a_▶ 전선 입선 및 포설, 판넬 연결작업시 해당 전로 차단후 작업 실시"/>
  </r>
  <r>
    <n v="5"/>
    <x v="5"/>
    <x v="15"/>
    <x v="46"/>
    <s v="YES"/>
    <x v="28"/>
    <x v="54"/>
    <s v="해당없음"/>
    <s v="해당없음"/>
    <s v="해당없음"/>
    <s v="2016년 2월경"/>
    <d v="2016-02-01T00:00:00"/>
    <n v="2"/>
    <s v="혹한기"/>
    <x v="10"/>
    <s v="2016년 2월경 OO변압기 교체공사 현장에서 재해자가 CP전주(약12m)에 승주하여 변압기 교체작업을 하던 중 변압기 1차측 특고압 부싱단자에 신체가 접촉하면서 감전"/>
    <s v="전주에 승주하여 변압기 교체작업 중 특고압 부싱단자와의 신체접촉에 의해 감전"/>
    <s v="▶ 감전될 위험이 있는 작업 시, 해당 전로의 차단여부 확인 철저_x000a_▶ 전압이 발생할 우려가 있는 경우 단락 접지기구를 이용하여 접지해야 함"/>
  </r>
  <r>
    <n v="5"/>
    <x v="5"/>
    <x v="15"/>
    <x v="46"/>
    <s v="YES"/>
    <x v="28"/>
    <x v="53"/>
    <s v="해당없음"/>
    <s v="해당없음"/>
    <s v="해당없음"/>
    <s v="2016년 5월경"/>
    <d v="2016-05-01T00:00:00"/>
    <n v="5"/>
    <s v="-"/>
    <x v="2"/>
    <s v="2016년 5월경 OO공사에서 재해자가 보안등의 위치를 조정하여 변압기 설치공간을 확보하기 위해 전주(14m)의 약 5.8m지점까지 승주하여 U자 걸이용 안전대를 체결하는 과정에서 바닥으로 추락하여 사망"/>
    <s v="전기 설비작업을 위해 전신주에 올라 이동중 몸의 중심을 잃고 추락"/>
    <s v="▶ 추락 위험이 있는 전주작업 시, 고소작업대(차량탑재형), 활선버켓차 등을 이용한 작업방법 우선 고려_x000a_▶ 작업 전 안전대 부착설비의 안전대 체결을 위한 보조훅, 보조죔줄 지급 및 착용상태 관리"/>
  </r>
  <r>
    <n v="5"/>
    <x v="5"/>
    <x v="15"/>
    <x v="46"/>
    <s v="YES"/>
    <x v="28"/>
    <x v="54"/>
    <s v="해당없음"/>
    <s v="해당없음"/>
    <s v="해당없음"/>
    <s v="2016년 6월경"/>
    <d v="2016-06-01T00:00:00"/>
    <n v="6"/>
    <s v="혹서기"/>
    <x v="10"/>
    <s v="2016년 6월경 OO 전기공사 현장에서 재해자가 전부의 상부로 승주하여 전선연결 보조작업을 수행하던 중 전선연결부인 충전부에 접촉, 감전"/>
    <s v="전주에 승주하여 전기인입작업 중 전선에 감전"/>
    <s v="▶ 감전될 위험이 있는 작업 시, 해당 전로의 차단여부 확인 철저_x000a_▶ 전압이 발생할 우려가 있는 경우 단락 접지기구를 이용하여 접지해야 함"/>
  </r>
  <r>
    <n v="5"/>
    <x v="5"/>
    <x v="15"/>
    <x v="46"/>
    <s v="YES"/>
    <x v="28"/>
    <x v="54"/>
    <s v="해당없음"/>
    <s v="해당없음"/>
    <s v="해당없음"/>
    <s v="2016년 9월경"/>
    <d v="2016-09-01T00:00:00"/>
    <n v="9"/>
    <s v="-"/>
    <x v="10"/>
    <s v="2016년 9월경 OO공사 현장에서 신축 비닐하우스에 전기를 공급하기 위한 수전설비에 인입선을 설치하기 위한 사전작업을 위해 한전 전주에 올라가던 중 저압(220V) 전선의 데드엔드클램프를 잡는 순간 감전되어 지상 7m 아래 바닥으로 떨어짐"/>
    <s v="전주에 승주하여 전기인입작업 중 전선에 감전"/>
    <s v="▶ 감전될 위험이 있는 작업 시, 해당 전로의 차단여부 확인 철저_x000a_▶ 전압이 발생할 우려가 있는 경우 단락 접지기구를 이용하여 접지해야 함"/>
  </r>
  <r>
    <n v="5"/>
    <x v="5"/>
    <x v="15"/>
    <x v="46"/>
    <s v="YES"/>
    <x v="28"/>
    <x v="54"/>
    <s v="해당없음"/>
    <s v="해당없음"/>
    <s v="해당없음"/>
    <s v=" 2017년 3월"/>
    <d v="2017-03-01T00:00:00"/>
    <n v="3"/>
    <s v="-"/>
    <x v="10"/>
    <s v=" 2017년 3월경 OO(주) 건물 옥상에서 인터넷 케이블 개통을 도급받아 작업하던 재해자가 인터넷 케이블 설치 전 현장실사를 위해 건물 옥상에 위치한 수변전실(특고압) 내로 진입하여 작업 중 변압기 충전전로에 감전"/>
    <s v="인터넷 케이블 설치 전 현장실사를 위해 옥상에 위치한 수변전실 진입 후 작업 중 변압기 충전전로에 감전"/>
    <s v="▶ 감전될 위험이 있는 작업 시, 해당 충전전로의 정전상태 확인 준수_x000a_▶ 특별고압 충전전로에 대한 접근한계거리 확보 준수"/>
  </r>
  <r>
    <n v="5"/>
    <x v="5"/>
    <x v="15"/>
    <x v="46"/>
    <s v="YES"/>
    <x v="28"/>
    <x v="54"/>
    <s v="해당없음"/>
    <s v="해당없음"/>
    <s v="해당없음"/>
    <s v="2017년 10월"/>
    <d v="2017-10-01T00:00:00"/>
    <n v="10"/>
    <s v="-"/>
    <x v="10"/>
    <s v="2017년 10월경 OO공사 수서열원 제어동 1층 전기실 내에서 재해자 가 배전반 내부의 계기용 변류기(CT)와 계기용 변압기(PT)의 오차 측정을 위해 시험용 전선을 연결하던 중 활선상태의 부스바(전압 6.9kV)에 접촉하여 감전"/>
    <s v="배전반 내부 변류기와 변압기 오차 측정을 위해 시험용 전선 연결중 활선상태의 부스바에 접촉하여 감전"/>
    <s v="▶ 감전될 위험이 있는 작업 시, 해당 충전전로의 정전상태 확인 준수_x000a_▶ 특별고압 충전전로에 대한 접근한계거리 확보 준수"/>
  </r>
  <r>
    <n v="5"/>
    <x v="5"/>
    <x v="15"/>
    <x v="46"/>
    <s v="YES"/>
    <x v="28"/>
    <x v="53"/>
    <s v="해당없음"/>
    <s v="해당없음"/>
    <s v="해당없음"/>
    <s v="2017년 10월"/>
    <d v="2017-10-01T00:00:00"/>
    <n v="10"/>
    <s v="-"/>
    <x v="2"/>
    <s v="2017년 10월경 OO공사에서 재해자가 전기설비 이설을 위해 전주 상부(약 13m)에서 하부(약 10m)로 작업위치를 변경하여 내려오던 중 약 10m 높이의 전주에서 옹벽 상부 지면으로 추락하여 사망"/>
    <s v="전기 설비작업을 위해 전신주에 올라 이동중 몸의 중심을 잃고 추락"/>
    <s v="▶ 추락 위험이 있는 전주작업 시, 고소작업대(차량탑재형), 활선버켓차 등을 이용한 작업방법 우선 고려_x000a_▶ 작업 전 안전대 부착설비의 안전대 체결을 위한 보조훅, 보조죔줄 지급 및 착용상태 관리"/>
  </r>
  <r>
    <n v="5"/>
    <x v="5"/>
    <x v="15"/>
    <x v="46"/>
    <s v="YES"/>
    <x v="28"/>
    <x v="53"/>
    <s v="해당없음"/>
    <s v="해당없음"/>
    <s v="해당없음"/>
    <s v="2017년 10월"/>
    <d v="2017-10-01T00:00:00"/>
    <n v="10"/>
    <s v="-"/>
    <x v="2"/>
    <s v="2017년 10월경 OO공사에서 자가수전설비(4800kw) 전신주의 자동개폐기를 교체하기 위해 전신주에 올라가 작업을 마치고 내려오던 중 높이 약 9.5M 옹벽 아래 지상바닥으로 추락하여 사망"/>
    <s v="전기 설비작업을 위해 전신주에 올라 이동중 몸의 중심을 잃고 추락"/>
    <s v="▶ 추락 위험이 있는 전주작업 시, 고소작업대(차량탑재형), 활선버켓차 등을 이용한 작업방법 우선 고려_x000a_▶ 작업 전 안전대 부착설비의 안전대 체결을 위한 보조훅, 보조죔줄 지급 및 착용상태 관리"/>
  </r>
  <r>
    <n v="5"/>
    <x v="5"/>
    <x v="15"/>
    <x v="46"/>
    <s v="YES"/>
    <x v="28"/>
    <x v="54"/>
    <s v="해당없음"/>
    <s v="해당없음"/>
    <s v="해당없음"/>
    <s v="2018년 12월"/>
    <d v="2018-12-01T00:00:00"/>
    <n v="12"/>
    <s v="혹한기"/>
    <x v="10"/>
    <s v="2018년 12월경 OO빌딩의 지하1층 수변전실에서 재해자가 수변전반 내부에 설치된 원격검침용 모뎀 교체 작업과정에서  모뎀 안테나선(케이블) 교체(철거 및 설치)를 위해 수변전반(패널) 내부 수평재를 딛고 올라서서 작업 중 몸의 중심을 잃고 전력퓨즈에 접촉, 감전"/>
    <s v="빌딩 지하층 수변전실 모뎀 교체를 위해 수변전반(패널) 내부 수평재를 딛고 올라서서 작업 중 몸의 중심을 잃고 신체의 일부가 패널 내부 전력퓨즈와 접촉하며 감전"/>
    <s v="▶ 특고압에 노출되어 감전 위험이 있는 작업 시 충전부에 절연효과가 있는 방호망이나 절연덮개 설치 및 절연물을 통한 감전 방호 조치 실시 등 감전방지조치 실시_x000a_▶ 작업여건상 해당 조치가 어려운 경우 해당 전로의 전원 차단 실시"/>
  </r>
  <r>
    <n v="5"/>
    <x v="5"/>
    <x v="15"/>
    <x v="46"/>
    <s v="YES"/>
    <x v="28"/>
    <x v="54"/>
    <s v="해당없음"/>
    <s v="해당없음"/>
    <s v="해당없음"/>
    <s v="2019년 3월경"/>
    <d v="2019-03-01T00:00:00"/>
    <n v="3"/>
    <s v="-"/>
    <x v="10"/>
    <s v="2019년 3월경 OO공동주택 신축공사 현장에서 아파트 전력분배 시스템(부스덕트)에 발생한 오류를 점검하기 위해 재해자가 통전상태인 부스덕트에 플러그인박스를 탈착하는 과정에서 사용중이던 드라이버가 충전부에 접촉하는 순간 지락으로 인한 전기아크가 발생하여 3개월 이상 요양이 필요한 화상을 입음"/>
    <s v="아파트 전력분배 시스템(부스덕트)에 발생한 오류를 점검하기 위해 통전상태인 부스덕트에 플러그인박스를 탈착하는 과정에서 사용중이던 드라이버가 충전부에 접촉하는 순간 지락으로 인한 전기아크가 발생하여 화상"/>
    <s v="▶ 작업구간 인접하여 설치되어 있던 부스바는 활선 상태인 경우 덮개를 통한 임시 절연조치 실시_x000a_▶ 충전전로 인근 작업 시 충전전로 정전, 충전부 절연덮개 등을 통한 안전조치 실시"/>
  </r>
  <r>
    <n v="5"/>
    <x v="5"/>
    <x v="15"/>
    <x v="46"/>
    <s v="YES"/>
    <x v="28"/>
    <x v="53"/>
    <s v="해당없음"/>
    <s v="해당없음"/>
    <s v="해당없음"/>
    <s v="2019년 3월경"/>
    <d v="2019-03-01T00:00:00"/>
    <n v="3"/>
    <s v="-"/>
    <x v="2"/>
    <s v="2019년 3월경 OO공사에서 재해자가 9m 높이의 수변전설비 전신주에 올라가 ASS교체 작업 중 지상바닥으로 추락하여 사망"/>
    <s v="전기 설비작업을 위해 전신주에 올라 이동중 몸의 중심을 잃고 추락"/>
    <s v="▶ 추락 위험이 있는 전주작업 시, 고소작업대(차량탑재형), 활선버켓차 등을 이용한 작업방법 우선 고려_x000a_▶ 작업 전 안전대 부착설비의 안전대 체결을 위한 보조훅, 보조죔줄 지급 및 착용상태 관리"/>
  </r>
  <r>
    <n v="5"/>
    <x v="5"/>
    <x v="15"/>
    <x v="46"/>
    <s v="YES"/>
    <x v="28"/>
    <x v="54"/>
    <s v="해당없음"/>
    <s v="해당없음"/>
    <s v="해당없음"/>
    <s v="2019년 5월경"/>
    <d v="2019-05-01T00:00:00"/>
    <n v="5"/>
    <s v="-"/>
    <x v="10"/>
    <s v="2019년 5월경 OO공장 신축공사 현장에서 재해자가 전기실에서 부스덕트 설치작업을 진행하던 중 아크가 발생하여 3개월 이상 요양이 필요한 화상을 입음"/>
    <s v="공장신축현장에서 전기실 부스덕트 설치작업 중 아크 발생으로 부상(화상)"/>
    <s v="▶ 감전 위험이 있는 작업 시 절연용 보호구(AE형 안전모, 절연장갑, 절연화) 및 방호구를 통한 감전방지조치 실시_x000a_▶ 충전전로 근접작업 시 전압에 따른 접근한계거리 준수_x000a_▶ 아크폭발에 의한 화상 방지를 위한 방염처리된 작업복 또는 난연성능을 가진 작업복 착용 실시 및 준수"/>
  </r>
  <r>
    <n v="5"/>
    <x v="5"/>
    <x v="15"/>
    <x v="46"/>
    <s v="YES"/>
    <x v="28"/>
    <x v="54"/>
    <s v="해당없음"/>
    <s v="해당없음"/>
    <s v="해당없음"/>
    <s v="2020년 4월경"/>
    <d v="2020-04-01T00:00:00"/>
    <n v="4"/>
    <s v="-"/>
    <x v="10"/>
    <s v="2020년 4월경 OO발전소 OO설비 공사현장 전기전자제어동 1층 전기실에서 재해자가 수전 시운전과정에서 11kV/480V 변압기 수배전반에서 상회전 테스트를 진행하던 중 고압측 단락이 원인으로 추정되는 아크폭발로 사망함"/>
    <s v="화력발전소 전기전자제어동 전기실에서 수전 시운전과정에서 변압기 수배전반 아크폭발로 인한 사망"/>
    <s v="▶ 감전 위험이 있는 작업 시 절연용 보호구(AE형 안전모, 절연장갑, 절연화) 및 방호구를 통한 감전방지조치 실시_x000a_▶ 충전전로 근접작업 시 전압에 따른 접근한계거리 준수_x000a_▶ 아크폭발에 의한 화상 방지를 위한 방염처리된 작업복 또는 난연성능을 가진 작업복 착용 실시 및 준수"/>
  </r>
  <r>
    <n v="5"/>
    <x v="5"/>
    <x v="15"/>
    <x v="46"/>
    <s v="YES"/>
    <x v="28"/>
    <x v="54"/>
    <s v="해당없음"/>
    <s v="해당없음"/>
    <s v="해당없음"/>
    <s v="2020년 5월경"/>
    <d v="2020-05-01T00:00:00"/>
    <n v="5"/>
    <s v="-"/>
    <x v="10"/>
    <s v="2020년 5월경 OO 전기계량기 이설공사를 위해 재해자가 이동식사다리를 이용하여 창고 외벽에 전선 고정 작업을 하던 중 활선상태인 전선에 접촉, 감전되어 약4.3m 높이에서 바닥으로 떨어짐"/>
    <s v="창고 전기계량기 이설을 위하여 이동식사다리 위에서 창고 외벽 전선 고정 작업 중 전선에 접촉되어 감전"/>
    <s v="▶ 감전 위험이 있는 작업 시 해당 전로 차단 실시_x000a_▶ 작업 전 절연보호구 지급 및 착용상태 관리_x000a_▶ 추락 위험이 있는 작업 시 안전대 부착설비 설치를 통한 안전방호조치 실시"/>
  </r>
  <r>
    <n v="5"/>
    <x v="5"/>
    <x v="15"/>
    <x v="46"/>
    <s v="YES"/>
    <x v="28"/>
    <x v="54"/>
    <s v="해당없음"/>
    <s v="해당없음"/>
    <s v="해당없음"/>
    <s v="2021년 6월경"/>
    <d v="2021-06-01T00:00:00"/>
    <n v="6"/>
    <s v="혹서기"/>
    <x v="10"/>
    <s v="2021년 6월경 OO근린생활시설 신축공사 현장 지하3층에서 재해자가 사다리 위에서 전등점검 및 수리 작업 중 절연피복이 벗겨진 전선 도체에 신체(목)가 접촉되어 감전된 후 바닥면으로 떨어짐(h≒1.4~1.7m)"/>
    <s v="근린생활시설 신축공사 현장에서 지하3층 가설전등 점검 작업 중 전선에 접촉되어 감전"/>
    <s v="▶ 감전 위험이 있는 작업 시 해당 전로 차단 실시_x000a_▶ 작업 전 절연보호구 지급 및 착용상태 관리_x000a_▶ 추락 위험이 있는 작업 시 안전대 부착설비 설치를 통한 안전방호조치 실시"/>
  </r>
  <r>
    <n v="5"/>
    <x v="5"/>
    <x v="15"/>
    <x v="46"/>
    <s v="YES"/>
    <x v="28"/>
    <x v="54"/>
    <s v="해당없음"/>
    <s v="해당없음"/>
    <s v="해당없음"/>
    <s v="2021년 8월경"/>
    <d v="2021-08-01T00:00:00"/>
    <n v="8"/>
    <s v="혹서기"/>
    <x v="10"/>
    <s v="2021년 8월경 OO 공동주택 신축공사 현장 지하2층 출입통로에서 재해자가 천장 소방배관 누전부를 확인하기 위해 A형 사다리에 직접 올라가 검전기로 소방배관의 누전 여부를 측정하고자 동료작업자에게 해당 가설전등 전원을 투입토록 신호를 보냈을 때, 인접해 있던 동료 작업자는 신호를 확인하고 해당 가설전등의 전원을 투입하자 재해자가 감전된 후 사다리에서 추락"/>
    <s v="아파트 신축현장에서 지하층 천장 소방배관의 누전 여부를 확인하기 위해 A형 사다리에 올라 확인하는 과정에서 누전된 소방배관에 접촉되어 감전"/>
    <s v="▶ 감전 위험이 있는 작업 시 해당 전로 차단 실시_x000a_▶ 작업 전 절연보호구 지급 및 착용상태 관리_x000a_▶ 추락 위험이 있는 작업 시 안전대 부착설비 설치를 통한 안전방호조치 실시"/>
  </r>
  <r>
    <n v="5"/>
    <x v="5"/>
    <x v="15"/>
    <x v="21"/>
    <s v="YES"/>
    <x v="28"/>
    <x v="54"/>
    <s v="해당없음"/>
    <s v="해당없음"/>
    <s v="해당없음"/>
    <s v="2015년 12월"/>
    <d v="2015-12-01T00:00:00"/>
    <n v="12"/>
    <s v="혹한기"/>
    <x v="10"/>
    <s v="2015년 12월경 OO 225KVA 변압기 교체공사 현장에서 재해자가 정기검사에 불합격한 변압기 등을 교체하기 위해 변압기가 설치된 H변대로 올라가 변압기 1차측 전선 해체작업을 마무리하고 T상 변압기 위에 올라서서 변압기 1차측 COS를 조작하던 중 특고압 충전부에 감전, T상 변압기위에서 지상바닥으로 떨어짐(H=5.0m)"/>
    <s v="공장 변압기(225kVA) 교체를 위해 변압기 위에 올라서서 작업 중 특고압 충전부에 감전"/>
    <s v="▶ 특고압에 노출되어 감전 위험이 있는 작업 시 충전부에 절연효과가 있는 방호망이나 절연덮개 설치 및 절연물을 통한 감전 방호 조치 실시 등 감전방지조치 실시_x000a_▶ 작업여건상 해당 조치가 어려운 경우 해당 전로의 전원 차단 실시"/>
  </r>
  <r>
    <n v="5"/>
    <x v="5"/>
    <x v="15"/>
    <x v="21"/>
    <s v="YES"/>
    <x v="28"/>
    <x v="53"/>
    <s v="해당없음"/>
    <s v="해당없음"/>
    <s v="해당없음"/>
    <s v="2016년 1월경"/>
    <d v="2016-01-01T00:00:00"/>
    <n v="1"/>
    <s v="혹한기"/>
    <x v="2"/>
    <s v="2016년 1월경 OO 전신주 교체공사 현장에서 재해자가 전신주 위에 올라가 전선을 철거하던 중 전신주 하단부가 파단 및 전도되면서 8m아래 지면으로 떨어짐"/>
    <s v="전신주에 승주하여 전선 철거작업 진행 중 전신주 하단부 파단 및 전도에 의해 지면으로 추락"/>
    <s v="▶ 추락 위험이 있는 전주작업 시, 고소작업대(차량탑재형), 활선버켓차 등을 이용한 작업방법 우선 고려_x000a_▶ 노후된 전신주 철거작업 전 철거작업계획 작성 (노후전신주 안전성 평가)_x000a_   - 해체방법 수립 및 사전검토(사람이 승주하지 않은채 작업하는 방법 우선 선정)"/>
  </r>
  <r>
    <n v="5"/>
    <x v="5"/>
    <x v="15"/>
    <x v="21"/>
    <s v="YES"/>
    <x v="28"/>
    <x v="53"/>
    <s v="해당없음"/>
    <s v="해당없음"/>
    <s v="해당없음"/>
    <s v="2016년 2월경"/>
    <d v="2016-02-01T00:00:00"/>
    <n v="2"/>
    <s v="혹한기"/>
    <x v="2"/>
    <s v="2016년 2월경 OO케이블공사 현장에서 재해자가 전신주에 사다리(H≒2.5m)를 사용하여 전신주 상부로 올라가 외선 케이블 설치 작업을 하던 중 포장 도로 바닥(H≒6.0m)으로 추락"/>
    <s v="전신주 상부로 올라가 전기인입 작업 중 바닥으로 추락"/>
    <s v="▶ 추락 위험이 있는 전주작업 시, 고소작업대(차량탑재형), 활선버켓차 등을 이용한 작업방법 우선 고려_x000a_▶ 작업 전 기능점검을 통한 승강설비(작업발판 볼트)의 이상 유무 확인_x000a_▶ 전주 승하강시 안전대 체결 상태 유지_x000a_▶ 전주 승하강용 개인보호구의 사용법 준수"/>
  </r>
  <r>
    <n v="5"/>
    <x v="5"/>
    <x v="15"/>
    <x v="21"/>
    <s v="YES"/>
    <x v="28"/>
    <x v="53"/>
    <s v="해당없음"/>
    <s v="해당없음"/>
    <s v="해당없음"/>
    <s v="2016년 4월경"/>
    <d v="2016-04-01T00:00:00"/>
    <n v="4"/>
    <s v="-"/>
    <x v="2"/>
    <s v="2016년 4월경 OO전력공급공사 현장에서 재해자가 전기 인입선 공사를 하기위하여 전신주 위에서 배전선로와 가공선로(인입선) 연결작업 수행중 작업용 로프(U자걸이)가 전신주와 이탈되면서 지상으로 떨어짐(h≒6.1m)"/>
    <s v="전기 설비작업을 위해 전신주에 올라 이동중 몸의 중심을 잃고 추락"/>
    <s v="▶ 추락 위험이 있는 전주작업 시, 고소작업대(차량탑재형), 활선버켓차 등을 이용한 작업방법 우선 고려_x000a_▶ 작업 전 안전대 부착설비의 안전대 체결을 위한 보조훅, 보조죔줄 지급 및 착용상태 관리"/>
  </r>
  <r>
    <n v="5"/>
    <x v="5"/>
    <x v="15"/>
    <x v="21"/>
    <s v="YES"/>
    <x v="28"/>
    <x v="54"/>
    <s v="해당없음"/>
    <s v="해당없음"/>
    <s v="해당없음"/>
    <s v="2016년 7월경"/>
    <d v="2016-07-01T00:00:00"/>
    <n v="7"/>
    <s v="혹서기"/>
    <x v="10"/>
    <s v="2016년 7월경 OO도로확장 배전선로 이설공사 현장에서 재해자가 통전 측정을 하던 중 동료작업자가 반대편 지중입상주에서 지중케이블 동심전력선을 가공전력선에 잘못 접촉하여 특고압전류가 통전되어 통전 측정을 하려는 순간 아크전류가 발생하여 화상을 입음"/>
    <s v="도로확장 배전선로 이설공사현장에서 통전측정을 하던 중 동료작업자가 반대편 지중입상주에서 지중케이블 전력선을 가공전력선에 잘못 접촉하여 특고압전류가 통전되어 아크폭발 발생으로 사망"/>
    <s v="▶ 감전 위험이 있는 작업 시 절연용 보호구(AE형 안전모, 절연장갑, 절연화) 및 방호구를 통한 감전방지조치 실시_x000a_▶ 충전전로 근접작업 시 전압에 따른 접근한계거리 준수_x000a_▶ 아크폭발에 의한 화상 방지를 위한 방염처리된 작업복 또는 난연성능을 가진 작업복 착용 실시 및 준수"/>
  </r>
  <r>
    <n v="5"/>
    <x v="5"/>
    <x v="15"/>
    <x v="21"/>
    <s v="YES"/>
    <x v="28"/>
    <x v="53"/>
    <s v="해당없음"/>
    <s v="해당없음"/>
    <s v="해당없음"/>
    <s v="2016년 7월경"/>
    <d v="2016-07-01T00:00:00"/>
    <n v="7"/>
    <s v="혹서기"/>
    <x v="2"/>
    <s v="2016년 7월경 OO선로 단가공사 현장에서 재해자가 통신전주에 올라가 통신케이블 확인작업 중 전주가 지지력을 잃고 넘어지면서 통신전주와 함께 바닥으로 전도"/>
    <s v="통신전주에 올라 통신케이블 작업 중 전주가 지지력을 잃고 전도되면서 바닥으로 추락"/>
    <s v="▶ 노후화된 전주에 승주하여 작업할 경우, 작업 전 전주의 콘크리트 균열 및 내부 강선의 상태 등 안전성에 대한 안전성 평가 실시 후 넘어짐 방지 조치 실시_x000a_▶ 노후화된 전주 작업 시 직접 승주하여 해체하는 방법이 아닌 별도의 장비를 이용, 고정 조치 후 해체작업을 하는 작업방식 실시"/>
  </r>
  <r>
    <n v="5"/>
    <x v="5"/>
    <x v="15"/>
    <x v="21"/>
    <s v="YES"/>
    <x v="28"/>
    <x v="53"/>
    <s v="해당없음"/>
    <s v="해당없음"/>
    <s v="해당없음"/>
    <s v="2016년 8월경"/>
    <d v="2016-08-01T00:00:00"/>
    <n v="8"/>
    <s v="혹서기"/>
    <x v="2"/>
    <s v="2016년 8월경 OO현장에서 재해자가 전주에 올라 안전벨트를 전주에 걸고 스텝볼트를 밟으면서 광케이블 고정작업중 U자걸이용 안전벨트가 탈락 되면서 지상으로 떨어짐(H=6.4m)"/>
    <s v="전기 설비작업을 위해 전신주에 올라 이동중 몸의 중심을 잃고 추락"/>
    <s v="▶ 추락 위험이 있는 전주작업 시, 고소작업대(차량탑재형), 활선버켓차 등을 이용한 작업방법 우선 고려_x000a_▶ 작업 전 안전대 부착설비의 안전대 체결을 위한 보조훅, 보조죔줄 지급 및 착용상태 관리"/>
  </r>
  <r>
    <n v="5"/>
    <x v="5"/>
    <x v="15"/>
    <x v="21"/>
    <s v="YES"/>
    <x v="28"/>
    <x v="53"/>
    <s v="해당없음"/>
    <s v="해당없음"/>
    <s v="해당없음"/>
    <s v="2016년 8월경"/>
    <d v="2016-08-01T00:00:00"/>
    <n v="8"/>
    <s v="혹서기"/>
    <x v="10"/>
    <s v="2016년 8월경 OO공사 현장에서 OO수용가의 지열보일러용 전기를 공급하기 위해 재해자가 전주에 올라가 신설케이블을 활선상태인 기존 R상에 연결하는 작업 중 신체 일부가 닿아 감전"/>
    <s v="지열보일러용 전기 공급을 위하여 전주에 올라 인입전선 연결 작업 중 전선에 접촉되어 감전"/>
    <s v="▶ 감전 위험이 있는 작업 시 해당 전로 차단 실시_x000a_▶ 작업 전 절연보호구 지급 및 착용상태 관리_x000a_▶ 추락 위험이 있는 작업 시 안전대 부착설비 설치를 통한 안전방호조치 실시"/>
  </r>
  <r>
    <n v="5"/>
    <x v="5"/>
    <x v="15"/>
    <x v="21"/>
    <s v="YES"/>
    <x v="28"/>
    <x v="54"/>
    <s v="해당없음"/>
    <s v="해당없음"/>
    <s v="해당없음"/>
    <s v="2016년 11월"/>
    <d v="2016-11-01T00:00:00"/>
    <n v="11"/>
    <s v="-"/>
    <x v="10"/>
    <s v="2016년 11월경 OO증축공사 현장에서 재해자가 6.6kV전로에서 전압측정 작업 중 단락사고가 발생하여 사망"/>
    <s v="반도체 공장 증축공사 현장에서 배전반 내부 전로 전압측정 중 감전"/>
    <s v="▶ 감전될 위험이 있는 작업 시, 해당 충전전로의 정전상태 확인 준수_x000a_▶ 특별고압 충전전로에 대한 접근한계거리 확보 준수"/>
  </r>
  <r>
    <n v="5"/>
    <x v="5"/>
    <x v="15"/>
    <x v="21"/>
    <s v="YES"/>
    <x v="28"/>
    <x v="53"/>
    <s v="해당없음"/>
    <s v="해당없음"/>
    <s v="해당없음"/>
    <s v="2017년 1월경"/>
    <d v="2017-01-01T00:00:00"/>
    <n v="1"/>
    <s v="혹한기"/>
    <x v="2"/>
    <s v="2017년 1월경 OO 지장이전 단가공사 현장에서 재해자가 통신 전주에 올라가(h≒4.5m) 양방향 통신선의 장력에 의해 지탱 되고 있던 전주의 한쪽 통신선을 절단하자 장력이 한쪽으로만 작용하여 전주의 전도 모멘트가 발생하자 노후화된 전주의 밑둥 부분이 파단되면서 지지력을 상실하고 재해자와 함께 넘어짐"/>
    <s v="통신전주에 올라 통신케이블 작업 중 전주가 지지력을 잃고 전도되면서 바닥으로 추락"/>
    <s v="▶ 노후화된 전주에 승주하여 작업할 경우, 작업 전 전주의 콘크리트 균열 및 내부 강선의 상태 등 안전성에 대한 안전성 평가 실시 후 넘어짐 방지 조치 실시_x000a_▶ 노후화된 전주 작업 시 직접 승주하여 해체하는 방법이 아닌 별도의 장비를 이용, 고정 조치 후 해체작업을 하는 작업방식 실시"/>
  </r>
  <r>
    <n v="5"/>
    <x v="5"/>
    <x v="15"/>
    <x v="21"/>
    <s v="YES"/>
    <x v="28"/>
    <x v="53"/>
    <s v="해당없음"/>
    <s v="해당없음"/>
    <s v="해당없음"/>
    <s v="2017년 2월경"/>
    <d v="2017-02-01T00:00:00"/>
    <n v="2"/>
    <s v="혹한기"/>
    <x v="2"/>
    <s v="2017년 2월경 재해자가 신규 전기공급을 위해 전주 설치 후 올라가서 결선작업을 위해 작업용 로프(U자걸이)를 전주에 연결하는 과정에서 몸의 중심을 잃고 지상으로 떨어짐(h≒6m)"/>
    <s v="전기 설비작업을 위해 전신주에 올라 이동중 몸의 중심을 잃고 추락"/>
    <s v="▶ 추락 위험이 있는 전주작업 시, 고소작업대(차량탑재형), 활선버켓차 등을 이용한 작업방법 우선 고려_x000a_▶ 작업 전 안전대 부착설비의 안전대 체결을 위한 보조훅, 보조죔줄 지급 및 착용상태 관리"/>
  </r>
  <r>
    <n v="5"/>
    <x v="5"/>
    <x v="15"/>
    <x v="21"/>
    <s v="YES"/>
    <x v="28"/>
    <x v="53"/>
    <s v="해당없음"/>
    <s v="해당없음"/>
    <s v="해당없음"/>
    <s v="2017년 5월경"/>
    <d v="2017-05-01T00:00:00"/>
    <n v="5"/>
    <s v="-"/>
    <x v="0"/>
    <s v="2017년 5월경 OO 전송선로 지장이설공사의 국소*(局所)공사 작업인 광케이블 철거 작업구간에서 재해자가 광케이블 철거를 위해 전주로 이동 후 언덕(사면) 위에 승주용 사다리를 올려놓고 뒤돌아 나오는 과정에서 갑자기 지주(본주를 지지해주는 전주)가 쓰러져 우측 두부를 가격함"/>
    <s v="광케이블 철거 작업 통신전주를 지지해주는 보조전주가 쓰러져 작업자를 강타"/>
    <s v="▶ 노후화된 전주에 승주하여 작업할 경우, 작업 전 전주의 콘크리트 균열 및 내부 강선의 상태 등 안전성에 대한 안전성 평가 실시 후 넘어짐 방지 조치 실시_x000a_▶ 노후화된 전주 작업 시 직접 승주하여 해체하는 방법이 아닌 별도의 장비를 이용, 고정 조치 후 해체작업을 하는 작업방식 실시"/>
  </r>
  <r>
    <n v="5"/>
    <x v="5"/>
    <x v="15"/>
    <x v="21"/>
    <s v="YES"/>
    <x v="28"/>
    <x v="53"/>
    <s v="해당없음"/>
    <s v="해당없음"/>
    <s v="해당없음"/>
    <s v="2017년 7월경"/>
    <d v="2017-07-01T00:00:00"/>
    <n v="7"/>
    <s v="혹서기"/>
    <x v="10"/>
    <s v="2017년 7월경 OO교체공사 현장에서 재해자가 활선작업차량 바스켓에 탑승하여 전주 상부 배전선 애자교체작업을 하던 중 특별고압(13.2kV)에 감전"/>
    <s v="고압 핀애자 교체공사 현장에서 활선작업차량 작업대에 탑승하여 전주 상부 배전선 애자교체작업 중 고압(13.2kV)에 감전"/>
    <s v="▶ 감전 위험이 있는 작업 시 해당 전로 차단 실시_x000a_▶ 작업 전 절연보호구 지급 및 착용상태 관리_x000a_▶ 추락 위험이 있는 작업 시 안전대 부착설비 설치를 통한 안전방호조치 실시"/>
  </r>
  <r>
    <n v="5"/>
    <x v="5"/>
    <x v="15"/>
    <x v="21"/>
    <s v="YES"/>
    <x v="28"/>
    <x v="53"/>
    <s v="해당없음"/>
    <s v="해당없음"/>
    <s v="해당없음"/>
    <s v="2017년 7월경"/>
    <d v="2017-07-01T00:00:00"/>
    <n v="7"/>
    <s v="혹서기"/>
    <x v="1"/>
    <s v="2017년 7월경 OO전력시설 개선공사 현장에서 재해자가 선로 배전설비(22.9KV) 이설작업을 위해 H형 전주에 승주하여 L형 완금을 해체하는 순간 노후된 전주 하부가 파단되면서 전주(L=10.55m)와 함께 지상 바닥으로 넘어짐"/>
    <s v="군 선로 배전설비 이설작업을 위해 H형 전주에 승주하여 L형 완금을 해체하는 순간 한쪽 전주 하부가 파단되면서 전주와 함께 지상 바닥으로 전도"/>
    <s v="▶ 노후화된 전주에 승주하여 작업할 경우, 작업 전 전주의 콘크리트 균열 및 내부 강선의 상태 등 안전성에 대한 안전성 평가 실시 후 넘어짐 방지 조치 실시_x000a_▶ 노후화된 전주 작업 시 직접 승주하여 해체하는 방법이 아닌 별도의 장비를 이용, 고정 조치 후 해체작업을 하는 작업방식 실시"/>
  </r>
  <r>
    <n v="5"/>
    <x v="5"/>
    <x v="15"/>
    <x v="21"/>
    <s v="YES"/>
    <x v="28"/>
    <x v="53"/>
    <s v="해당없음"/>
    <s v="해당없음"/>
    <s v="해당없음"/>
    <s v="2017년 10월"/>
    <d v="2017-10-01T00:00:00"/>
    <n v="10"/>
    <s v="-"/>
    <x v="10"/>
    <s v="2017년 10월경 OO개인축사 지붕의 태양광시설 설치 현장에서 재해자가 축사 지붕과 근접한 전주에 올라가 인입전선 연결을 위해 도르레를 설치하고 내려오던 중, 전주에 설치된 활선(380v)에 접촉되면서 전격에 의해 중심을 잃고 전주 상부 약 8m 높이에서 지상 바닥으로 떨어짐"/>
    <s v="축사지붕 태양광 설치 현장에서 인입전선 연결을 위해 지붕 인근 전주에 올라 작업 중 전선에 접촉되어 감전"/>
    <s v="▶ 감전 위험이 있는 작업 시 해당 전로 차단 실시_x000a_▶ 작업 전 절연보호구 지급 및 착용상태 관리_x000a_▶ 추락 위험이 있는 작업 시 안전대 부착설비 설치를 통한 안전방호조치 실시"/>
  </r>
  <r>
    <n v="5"/>
    <x v="5"/>
    <x v="15"/>
    <x v="21"/>
    <s v="YES"/>
    <x v="28"/>
    <x v="53"/>
    <s v="해당없음"/>
    <s v="해당없음"/>
    <s v="해당없음"/>
    <s v="2018년 3월경"/>
    <d v="2018-03-01T00:00:00"/>
    <n v="3"/>
    <s v="-"/>
    <x v="2"/>
    <s v="2018년 3월경 OO 태양광 발전소 설치공사 현장에서 재해자가 1종 안전대(U자걸이 전용)를 착용하고 태양광 발전소 인입용 전선을 기존도로 상의 한전주에 고정하기 위해 전주 위에 올라가, U자걸이 로프를 풀고 좌측으로 회전(약 90°) 이동하던 중 지상바닥으로 떨어짐(H≒10m)"/>
    <s v="전신주 상부로 올라가 전기인입 작업 중 바닥으로 추락"/>
    <s v="▶ 추락 위험이 있는 전주작업 시, 고소작업대(차량탑재형), 활선버켓차 등을 이용한 작업방법 우선 고려_x000a_▶ 작업 전 기능점검을 통한 승강설비(작업발판 볼트)의 이상 유무 확인_x000a_▶ 전주 승하강시 안전대 체결 상태 유지_x000a_▶ 전주 승하강용 개인보호구의 사용법 준수"/>
  </r>
  <r>
    <n v="5"/>
    <x v="5"/>
    <x v="15"/>
    <x v="21"/>
    <s v="YES"/>
    <x v="28"/>
    <x v="53"/>
    <s v="해당없음"/>
    <s v="해당없음"/>
    <s v="해당없음"/>
    <s v="2018년 5월경"/>
    <d v="2018-05-01T00:00:00"/>
    <n v="5"/>
    <s v="-"/>
    <x v="2"/>
    <s v="2018년 5월경  OO철탑 활선애자 청소 작업현장에서 재해자가 송전 선로 철탑 NO.3호 활선애자 청소작업을 진행하던 중 몸의 균형을 잃고 높이 35M 아래 지상으로 떨어짐"/>
    <s v="송전선로 활선애자 청소작업 중 몸의 균형을 잃고 지상으로 추락"/>
    <s v="▶ 추락 위험이 있는 철탑상부 작업시 작업자는 안전대를 체결한 상태로 작업실시_x000a_▶ 철탑 암 안전대걸이설비 설치 및 안전대 체결 후 애자련으로 이동"/>
  </r>
  <r>
    <n v="5"/>
    <x v="5"/>
    <x v="15"/>
    <x v="21"/>
    <s v="YES"/>
    <x v="28"/>
    <x v="54"/>
    <s v="해당없음"/>
    <s v="해당없음"/>
    <s v="해당없음"/>
    <s v="2018년 7월경"/>
    <d v="2018-07-01T00:00:00"/>
    <n v="7"/>
    <s v="혹서기"/>
    <x v="10"/>
    <s v="2018년 7월경 OO 고압B공사 현장 충전전로에서 저압전로(380V 3상 4선)를 설치하던 중 R, S, T 3상중 한 선의 데드 앤드 클램프와 중성선이 재해자의 몸에 접촉되어 감전(접촉전압 220V)"/>
    <s v="고압공사 현장 충전전로에서 저압전로 설치하던 중 전선에 접촉되어 감전"/>
    <s v="▶ 감전 위험이 있는 작업 시 해당 전로 차단 실시_x000a_▶ 작업 전 절연보호구 지급 및 착용상태 관리_x000a_▶ 추락 위험이 있는 작업 시 안전대 부착설비 설치를 통한 안전방호조치 실시"/>
  </r>
  <r>
    <n v="5"/>
    <x v="5"/>
    <x v="15"/>
    <x v="21"/>
    <s v="YES"/>
    <x v="28"/>
    <x v="54"/>
    <s v="해당없음"/>
    <s v="해당없음"/>
    <s v="해당없음"/>
    <s v="2018년 7월경"/>
    <d v="2018-07-01T00:00:00"/>
    <n v="7"/>
    <s v="혹서기"/>
    <x v="10"/>
    <s v="2018년 7월경 OO 통신선로 이설 현장에서 재해자가 전주 상부에서 통신선로 고정작업을 마치고 내려오던 중 손으로 전선(220V)을 잡음과 동시에 감전"/>
    <s v="통신선로 이설현장에서 전주에 승주하여 통신선로 고정작업 후 내려오던 중 전선에 감전"/>
    <s v="▶ 감전될 위험이 있는 작업 시, 해당 전로의 차단여부 확인 철저_x000a_▶ 전압이 발생할 우려가 있는 경우 단락 접지기구를 이용하여 접지해야 함"/>
  </r>
  <r>
    <n v="5"/>
    <x v="5"/>
    <x v="15"/>
    <x v="21"/>
    <s v="YES"/>
    <x v="28"/>
    <x v="54"/>
    <s v="해당없음"/>
    <s v="해당없음"/>
    <s v="해당없음"/>
    <s v="2018년 8월경"/>
    <d v="2018-08-01T00:00:00"/>
    <n v="8"/>
    <s v="혹서기"/>
    <x v="10"/>
    <s v="2018년 8월경 OO신축공사 현장에서 재해자가 이동식 사다리 위에서 전주 측의 전원선을 건물의 인입배선에 연결하는 작업 중 충전부에 접촉·감전"/>
    <s v="전기 인입을 위하여 이동식 사다리 위에서 전주 측의 전원선을 건물 인입배선에 연결 중 전선에 접촉되어 감전"/>
    <s v="▶ 감전 위험이 있는 작업 시 해당 전로 차단 실시_x000a_▶ 작업 전 절연보호구 지급 및 착용상태 관리_x000a_▶ 추락 위험이 있는 작업 시 안전대 부착설비 설치를 통한 안전방호조치 실시"/>
  </r>
  <r>
    <n v="5"/>
    <x v="5"/>
    <x v="15"/>
    <x v="21"/>
    <s v="YES"/>
    <x v="28"/>
    <x v="54"/>
    <s v="해당없음"/>
    <s v="해당없음"/>
    <s v="해당없음"/>
    <s v="2018년 8월경"/>
    <d v="2018-08-01T00:00:00"/>
    <n v="8"/>
    <s v="혹서기"/>
    <x v="10"/>
    <s v="2018년 8월경 OO설비 교체공사 현장에서 재해자가 절연고소작업대 버켓에 탑승하여 가정용 전기 인입전선(상전압 220V, 3상4선) 교체작업 중 감전"/>
    <s v="활선작업차량 작업대에 탑승하여 가정용 전기 인입전선 교체작업 중 전선에 접촉되어 감전"/>
    <s v="▶ 감전 위험이 있는 작업 시 해당 전로 차단 실시_x000a_▶ 작업 전 절연보호구 지급 및 착용상태 관리_x000a_▶ 추락 위험이 있는 작업 시 안전대 부착설비 설치를 통한 안전방호조치 실시"/>
  </r>
  <r>
    <n v="5"/>
    <x v="5"/>
    <x v="15"/>
    <x v="21"/>
    <s v="YES"/>
    <x v="28"/>
    <x v="53"/>
    <s v="해당없음"/>
    <s v="해당없음"/>
    <s v="해당없음"/>
    <s v="2019년 5월경"/>
    <d v="2019-05-01T00:00:00"/>
    <n v="5"/>
    <s v="-"/>
    <x v="2"/>
    <s v="2019년 5월경 OO고압공사 현장에서 재해자가 신설 전주에 올라가 고압선 설치작업을 진행하던 중 몸의 중심을 잃고 전주 위에서 약 8.2m 아래 배수로 바닥으로 떨어짐"/>
    <s v="전기 설비작업을 위해 전신주에 올라 이동중 몸의 중심을 잃고 추락"/>
    <s v="▶ 추락 위험이 있는 전주작업 시, 고소작업대(차량탑재형), 활선버켓차 등을 이용한 작업방법 우선 고려_x000a_▶ 작업 전 안전대 부착설비의 안전대 체결을 위한 보조훅, 보조죔줄 지급 및 착용상태 관리"/>
  </r>
  <r>
    <n v="5"/>
    <x v="5"/>
    <x v="15"/>
    <x v="21"/>
    <s v="YES"/>
    <x v="28"/>
    <x v="53"/>
    <s v="해당없음"/>
    <s v="해당없음"/>
    <s v="해당없음"/>
    <s v="2019년 5월경"/>
    <d v="2019-05-01T00:00:00"/>
    <n v="5"/>
    <s v="-"/>
    <x v="2"/>
    <s v="2019년 5월경 OO축사 신축공사 현장으로 전기를 공급하는 임시동력 공사(현장 외부에 있는 전주에서 공사 현장으로 필요한 전력을 공급하기 위한 공사) 현장에서 재해자가 현장 외부에 있는 전주 상단에서 전력선이 인입된 전선관을 전주에 고정하는 작업을 하던 중 약 5m 아래로 떨어짐"/>
    <s v="전신주 상부로 올라가 전기인입 작업 중 바닥으로 추락"/>
    <s v="▶ 추락 위험이 있는 전주작업 시, 고소작업대(차량탑재형), 활선버켓차 등을 이용한 작업방법 우선 고려_x000a_▶ 작업 전 기능점검을 통한 승강설비(작업발판 볼트)의 이상 유무 확인_x000a_▶ 전주 승하강시 안전대 체결 상태 유지_x000a_▶ 전주 승하강용 개인보호구의 사용법 준수"/>
  </r>
  <r>
    <n v="5"/>
    <x v="5"/>
    <x v="15"/>
    <x v="21"/>
    <s v="YES"/>
    <x v="28"/>
    <x v="54"/>
    <s v="해당없음"/>
    <s v="해당없음"/>
    <s v="해당없음"/>
    <s v="2019년 7월경"/>
    <d v="2019-07-01T00:00:00"/>
    <n v="7"/>
    <s v="혹서기"/>
    <x v="2"/>
    <s v="2019년 7월경 OO 철탑(154kV)에서 조류착지 방지장치 설치를 위해 중간암의 끝단으로 이동하던 재해자가 상부암 활선에 신체가 접촉 또는 접근한계거리(170cm) 이내로 접근하여 공기의 절연파괴로 인해 발생한 섬락으로 감전 및 추락(높이≒40m)"/>
    <s v="활선 상태에서 송전탑 도장작업 및 송전선로 이동 중 접근한계거리내 접근에 의한 아크 발생으로 감전 및 추락"/>
    <s v="▶ 감전 위험이 있는 작업 시, 정전작업을 통한 감전방지조치 실시_x000a_▶ 특고압 등 감전 위험이 있는 작업 시 접근한계거리 준수를 통한 감전방호조치 실시"/>
  </r>
  <r>
    <n v="5"/>
    <x v="5"/>
    <x v="15"/>
    <x v="21"/>
    <s v="YES"/>
    <x v="28"/>
    <x v="54"/>
    <s v="해당없음"/>
    <s v="해당없음"/>
    <s v="해당없음"/>
    <s v="2019년 9월경"/>
    <d v="2019-09-01T00:00:00"/>
    <n v="9"/>
    <s v="-"/>
    <x v="10"/>
    <s v="2019년 9월경 OO 저압A공사 중 OO 신설공사 현장에서 재해자가 A형 사다리를 신축건물 벽면에 펼친 상태로 걸쳐놓고 올라가 건물 측 인입구 배선에 활선상태인 한전 인입선(3상 4선식 220/380V)을 연결하기 위해 인입전선 피복을 벗기던 중 피복이 벗겨진 전선 충전부에 면장갑을 착용하고 작업 중이던 재해자의 신체가 접촉되어 감전(220V, 손→몸통→알루미늄 사다리→대지로 통전)된 후 약 3m 아래로 떨어짐"/>
    <s v="신축건물 벽면에 사다리를 걸쳐놓고 올라가 전선인입 작업 중 전선에 교체되어 감전"/>
    <s v="▶ 감전 위험이 있는 작업 시 해당 전로 차단 실시_x000a_▶ 작업 전 절연보호구 지급 및 착용상태 관리_x000a_▶ 추락 위험이 있는 작업 시 안전대 부착설비 설치를 통한 안전방호조치 실시"/>
  </r>
  <r>
    <n v="5"/>
    <x v="5"/>
    <x v="15"/>
    <x v="21"/>
    <s v="YES"/>
    <x v="28"/>
    <x v="53"/>
    <s v="해당없음"/>
    <s v="해당없음"/>
    <s v="해당없음"/>
    <s v="2019년 11월"/>
    <d v="2019-11-01T00:00:00"/>
    <n v="11"/>
    <s v="-"/>
    <x v="2"/>
    <s v="2019년 11월경 OO공사에서 재해자가 철탑 중단 암(또는 상단 암)에서 아머로드 취부작업 중 약 48m 아래 지상 바닥으로 추락하여 사망"/>
    <s v="송전선로 활선애자 청소작업 중 몸의 균형을 잃고 지상으로 추락"/>
    <s v="▶ 추락 위험이 있는 철탑상부 작업시 작업자는 안전대를 체결한 상태로 작업실시_x000a_▶ 철탑 암 안전대걸이설비 설치 및 안전대 체결 후 애자련으로 이동"/>
  </r>
  <r>
    <n v="5"/>
    <x v="5"/>
    <x v="15"/>
    <x v="21"/>
    <s v="YES"/>
    <x v="28"/>
    <x v="54"/>
    <s v="해당없음"/>
    <s v="해당없음"/>
    <s v="해당없음"/>
    <s v="2020년 6월경"/>
    <d v="2020-06-01T00:00:00"/>
    <n v="6"/>
    <s v="혹서기"/>
    <x v="10"/>
    <s v="2020년 6월경 OO 설치공사 현장에서 재해자가 A형 사다리를 전주(각파이프 5cm*10cm*3.5m)에 걸쳐놓고 올라가 전주에 기대어 활선상태인 인입선(단상 2선식 220V)을 연결하기 위해 면장갑을 착용하고 니퍼를 사용하여 인입전선 피복을 벗기던 중 재해자의 신체가 인입선 220V 충전부에 접촉되어 사다리 위에서 감전"/>
    <s v="전주에 승주하여 전기인입작업 중 전선에 감전"/>
    <s v="▶ 감전될 위험이 있는 작업 시, 해당 전로의 차단여부 확인 철저_x000a_▶ 전압이 발생할 우려가 있는 경우 단락 접지기구를 이용하여 접지해야 함"/>
  </r>
  <r>
    <n v="5"/>
    <x v="5"/>
    <x v="15"/>
    <x v="21"/>
    <s v="YES"/>
    <x v="28"/>
    <x v="53"/>
    <s v="해당없음"/>
    <s v="해당없음"/>
    <s v="해당없음"/>
    <s v="2020년 8월경"/>
    <d v="2020-08-01T00:00:00"/>
    <n v="8"/>
    <s v="혹서기"/>
    <x v="2"/>
    <s v="2020년 8월경 OO보강공사 현장에서 OO 콘크리트 전주에서 재해자가 원인미상의 이유로 콘크리트 전주 상부에서 추락하여 바로 밑에 위치한 은행나무 가지(지상에서 높이 약 4m 지점)에 걸려 쓰러짐"/>
    <s v="전신주 상부로 올라가 전기인입 작업 중 바닥으로 추락"/>
    <s v="▶ 추락 위험이 있는 전주작업 시, 고소작업대(차량탑재형), 활선버켓차 등을 이용한 작업방법 우선 고려_x000a_▶ 작업 전 기능점검을 통한 승강설비(작업발판 볼트)의 이상 유무 확인_x000a_▶ 전주 승하강시 안전대 체결 상태 유지_x000a_▶ 전주 승하강용 개인보호구의 사용법 준수"/>
  </r>
  <r>
    <n v="5"/>
    <x v="5"/>
    <x v="15"/>
    <x v="21"/>
    <s v="YES"/>
    <x v="28"/>
    <x v="54"/>
    <s v="해당없음"/>
    <s v="해당없음"/>
    <s v="해당없음"/>
    <s v="2020년 8월경"/>
    <d v="2020-08-01T00:00:00"/>
    <n v="8"/>
    <s v="혹서기"/>
    <x v="2"/>
    <s v="2020년 8월경 OO변전소에서 OO공장으로 154kV 전력을 송전하는 14개의 송전탑 가운데 5번 송전탑 위에서 재해자가 154kV의 초고압 송전선로가 살아있는 활선상태에서 송전탑 도장작업을 실시하던 중 재해자가 도장작업을 위해 사용하였던 금속재 봉이 154kV의 접근한계거리 내로 들어와 아크(Arc)가 발생되면서 감전 및 추락"/>
    <s v="활선 상태에서 송전탑 도장작업 및 송전선로 이동 중 접근한계거리내 접근에 의한 아크 발생으로 감전 및 추락"/>
    <s v="▶ 감전 위험이 있는 작업 시, 정전작업을 통한 감전방지조치 실시_x000a_▶ 특고압 등 감전 위험이 있는 작업 시 접근한계거리 준수를 통한 감전방호조치 실시"/>
  </r>
  <r>
    <n v="5"/>
    <x v="5"/>
    <x v="16"/>
    <x v="23"/>
    <s v="YES"/>
    <x v="28"/>
    <x v="54"/>
    <s v="해당없음"/>
    <s v="해당없음"/>
    <s v="해당없음"/>
    <s v="2017년 11월"/>
    <d v="2017-11-01T00:00:00"/>
    <n v="11"/>
    <s v="-"/>
    <x v="10"/>
    <s v="2017년 11월경 OO도 OO시 소재 OOOOOO(주) OOOO발전소 #O 가스터빈 발전기 차단기 큐비클 내부에서 단로기 수리·교체 보조작업 중 OOOO(주) 소속 재해자가 19kV 충전부에 접촉되어 사망함."/>
    <s v="발전소 내 가스터빈 발전기 차단기 큐비클 내부에서 단로기 수리·교체 보조작업 중 19kV 충전부에 접촉되어 감전"/>
    <s v="▶ 감전될 위험이 있는 작업 시, 해당 전로의 정전상태 확인 준수_x000a_▶ 작업 전 절연장갑, 절연복 등 절연용 보호구 지급 및 착용상태 관리_x000a_▶ 작업 전 개인보호구 지급 및 착용 상태 관리"/>
  </r>
  <r>
    <n v="5"/>
    <x v="5"/>
    <x v="16"/>
    <x v="23"/>
    <s v="YES"/>
    <x v="28"/>
    <x v="54"/>
    <s v="해당없음"/>
    <s v="해당없음"/>
    <s v="해당없음"/>
    <s v="2019년 1월경"/>
    <d v="2019-01-01T00:00:00"/>
    <n v="1"/>
    <s v="혹한기"/>
    <x v="10"/>
    <s v="2019년 1월경 OO도 OO시 소재 OOOO OOOOO OO변전소 내에서 ㈜OOOOO 소속 근로자인 재해자가 OO설비(22.9kV, #4-2Sh.C)차단기 진공 개폐부 지지애자 균열여부 점검 중 차단기 전원측 충전부에 접촉 · 감전된 사고로 병원에서 치료 중 사망한 재해임."/>
    <s v="변전소 조상설비(22.9kV) 차단기 진공 개폐부 지지애자 균열여부 점검 둥 차단기 충전부에 접촉되어 감전"/>
    <s v="▶ 감전될 위험이 있는 작업 시, 해당 전로의 정전상태 확인 준수_x000a_▶ 작업 전 절연장갑, 절연복 등 절연용 보호구 지급 및 착용상태 관리_x000a_▶ 작업 전 개인보호구 지급 및 착용 상태 관리"/>
  </r>
  <r>
    <n v="6"/>
    <x v="6"/>
    <x v="17"/>
    <x v="24"/>
    <s v="YES"/>
    <x v="28"/>
    <x v="54"/>
    <s v="해당없음"/>
    <s v="해당없음"/>
    <s v="해당없음"/>
    <s v="2021년 2월경"/>
    <d v="2021-02-01T00:00:00"/>
    <n v="2"/>
    <s v="혹한기"/>
    <x v="2"/>
    <s v="2021년 2월경 공중화장실 설치공사에서 재해자가 벌목작업 중이던 소나무에 걸린 전선을 풀기위해 전신주에 올라가 내려오던 중 감전되어 13m 아래 바닥으로 추락하여 사망"/>
    <s v="벌목작업 중 넘어지는 소나무에 의해 전신주의 특고압 전력선과 가공지선이 엉키자 엉킨 전선을 풀기위해 전신주에 올라가 고압선에 로프를 걸고 내려오려는 도중 감전돼 지상으로 추락"/>
    <s v="▶ 추락할 위험이 있는 작업 시, 활선작업용 장치(고소작업대차 등), 안전대 부착설비 등의 안전방호조치 실시_x000a_▶ 충전부 인근에서 작업 시, 감전방지를 위해 적정 이격거리 준수_x000a_▶ 감전 위험이 있는 작업 시, 배선의 절연조치, 충전부 방호조치 등 안전방호조치 실시"/>
  </r>
  <r>
    <n v="6"/>
    <x v="6"/>
    <x v="17"/>
    <x v="79"/>
    <s v="YES"/>
    <x v="28"/>
    <x v="54"/>
    <s v="해당없음"/>
    <s v="해당없음"/>
    <s v="해당없음"/>
    <s v="2017년 6월경"/>
    <d v="2017-06-01T00:00:00"/>
    <n v="6"/>
    <s v="혹서기"/>
    <x v="10"/>
    <s v="2017년 6월경 OO은행 주변에서 재해자가 고소작업대에 탑승하여 가로수 전지작업을 하던 중 공구가 특고압전로(22.9kV)에 접촉하여 감전되어 사망"/>
    <s v="이동식 크레인에 설치된 작업대에 탑승하여 가로수 가지치기 작업 중 상부 고압선(22.9kV)에 감전"/>
    <s v="▶ 추락할 위험이 있는 작업 시, 활선작업용 장치(고소작업대차 등), 안전대 부착설비 등의 안전방호조치 실시_x000a_▶ 충전부 인근에서 작업 시, 감전방지를 위해 적정 이격거리 준수_x000a_▶ 감전 위험이 있는 작업 시, 배선의 절연조치, 충전부 방호조치 등 안전방호조치 실시"/>
  </r>
  <r>
    <n v="6"/>
    <x v="6"/>
    <x v="17"/>
    <x v="79"/>
    <s v="YES"/>
    <x v="28"/>
    <x v="54"/>
    <s v="해당없음"/>
    <s v="해당없음"/>
    <s v="해당없음"/>
    <s v="2018년 3월경"/>
    <d v="2018-03-01T00:00:00"/>
    <n v="3"/>
    <s v="-"/>
    <x v="2"/>
    <s v="2018년 3월경 OO현장에서 ㈜OO 소속 재해자가 이동식크레인에 부착한 작업대에 탑승하여 고지가위를 이용한 가지치기 작업 중, 22.9KV 배전선로에 고지가위가 접촉하며 감전되어 사망"/>
    <s v="벌목작업 중 넘어지는 소나무에 의해 전신주의 특고압 전력선과 가공지선이 엉키자 엉킨 전선을 풀기위해 전신주에 올라가 고압선에 로프를 걸고 내려오려는 도중 감전돼 지상으로 추락"/>
    <s v="▶ 추락할 위험이 있는 작업 시, 활선작업용 장치(고소작업대차 등), 안전대 부착설비 등의 안전방호조치 실시_x000a_▶ 충전부 인근에서 작업 시, 감전방지를 위해 적정 이격거리 준수_x000a_▶ 감전 위험이 있는 작업 시, 배선의 절연조치, 충전부 방호조치 등 안전방호조치 실시"/>
  </r>
  <r>
    <n v="6"/>
    <x v="6"/>
    <x v="17"/>
    <x v="79"/>
    <s v="YES"/>
    <x v="28"/>
    <x v="54"/>
    <s v="해당없음"/>
    <s v="해당없음"/>
    <s v="해당없음"/>
    <s v="2020년 3월경"/>
    <d v="2020-03-01T00:00:00"/>
    <n v="3"/>
    <s v="-"/>
    <x v="10"/>
    <s v="2020년 3월경 가로수 가지치기 공사에서 재해자가 이동식 크레인 작업대에 탑승하여 가지치지 작업 중 상부 배전선(22.9kV)에 신체일부가 닿아 감전되어 10m 바닥으로 추락하여 사망"/>
    <s v="이동식 크레인에 설치된 작업대에 탑승하여 가로수 가지치기 작업 중 상부 고압선(22.9kV)에 감전"/>
    <s v="▶ 추락할 위험이 있는 작업 시, 활선작업용 장치(고소작업대차 등), 안전대 부착설비 등의 안전방호조치 실시_x000a_▶ 충전부 인근에서 작업 시, 감전방지를 위해 적정 이격거리 준수_x000a_▶ 감전 위험이 있는 작업 시, 배선의 절연조치, 충전부 방호조치 등 안전방호조치 실시"/>
  </r>
  <r>
    <n v="6"/>
    <x v="6"/>
    <x v="17"/>
    <x v="79"/>
    <s v="YES"/>
    <x v="28"/>
    <x v="54"/>
    <s v="해당없음"/>
    <s v="해당없음"/>
    <s v="해당없음"/>
    <s v="2020년 10월"/>
    <d v="2020-10-01T00:00:00"/>
    <n v="10"/>
    <s v="-"/>
    <x v="10"/>
    <s v="2020년 10월경 공장 조경공사에서 재해자가 이동식 크레인을 사용하여 조경수를 이식하는 작업 중 잡고있던 크레인의 지브 끝 부분이 인접한 충전전로(22.9kV)에 접촉되어 감전으로 사망"/>
    <s v="이동식 크레인을 사용하여 조경수 이식 작업 중 크레인 붐이 고압선(22.9kV)에 접촉되어 크레인 훅을 잡고 있던 작업자 감전"/>
    <s v="▶ 추락할 위험이 있는 작업 시, 활선작업용 장치(고소작업대차 등), 안전대 부착설비 등의 안전방호조치 실시_x000a_▶ 충전부 인근에서 작업 시, 감전방지를 위해 적정 이격거리 준수_x000a_▶ 감전 위험이 있는 작업 시, 배선의 절연조치, 충전부 방호조치 등 안전방호조치 실시"/>
  </r>
  <r>
    <n v="1"/>
    <x v="8"/>
    <x v="19"/>
    <x v="27"/>
    <s v="YES"/>
    <x v="29"/>
    <x v="55"/>
    <s v="해당없음"/>
    <s v="해당없음"/>
    <s v="해당없음"/>
    <s v="2016년 3월경"/>
    <d v="2016-03-01T00:00:00"/>
    <n v="3"/>
    <s v="-"/>
    <x v="7"/>
    <s v="2016년 3월경 OO공사에서 재해자가 굴착저면에서 해수유입관(PVC백관)을 연결하던 중 터파기 사면의 토사 일부가 붕괴(약 2.5m3)되면서 상반신이 토사에 매몰되어 사망"/>
    <s v="굴착저면에서 작업 중 굴착사면의 토사가 붕괴되어 매몰"/>
    <s v="▶ 굴착대상 지반의 지형, 지질, 지층상태 및 함수 유무 등 사전조사 실시_x000a_▶ 굴착작업 시 굴착면의 기울기 기준 준수_x000a_▶ 지반의 붕괴 또는 토석의 낙하에 의한 근로자에게 위험 발생 위험이 있을 시 작업 전 흙막이 지보공을 설치 붕괴위험방지 조치_x000a_▶ 굴착토사나 자재 등 굴착 선단부에 적치 금지"/>
  </r>
  <r>
    <n v="1"/>
    <x v="8"/>
    <x v="19"/>
    <x v="27"/>
    <s v="YES"/>
    <x v="29"/>
    <x v="55"/>
    <s v="해당없음"/>
    <s v="해당없음"/>
    <s v="해당없음"/>
    <s v="2017년 5월경"/>
    <d v="2017-05-01T00:00:00"/>
    <n v="5"/>
    <s v="-"/>
    <x v="7"/>
    <s v="2017년 5월경 OO공사에서 하수관로 매설작업 중 굴착 선단부에 적치되어 있던 토사와 트랜치 굴착 법면 일부가 붕괴(1.73㎥, 2.94ton)되면서 굴착 저면에서 굴착기 신호를 하던 재해자가 토사에 매몰되어 사망"/>
    <s v="굴착저면에서 작업 중 굴착사면의 토사가 붕괴되어 매몰"/>
    <s v="▶ 굴착대상 지반의 지형, 지질, 지층상태 및 함수 유무 등 사전조사 실시_x000a_▶ 굴착작업 시 굴착면의 기울기 기준 준수_x000a_▶ 지반의 붕괴 또는 토석의 낙하에 의한 근로자에게 위험 발생 위험이 있을 시 작업 전 흙막이 지보공을 설치 붕괴위험방지 조치_x000a_▶ 굴착토사나 자재 등 굴착 선단부에 적치 금지"/>
  </r>
  <r>
    <n v="1"/>
    <x v="8"/>
    <x v="19"/>
    <x v="27"/>
    <s v="YES"/>
    <x v="29"/>
    <x v="55"/>
    <s v="해당없음"/>
    <s v="해당없음"/>
    <s v="해당없음"/>
    <s v="2017년 7월경"/>
    <d v="2017-07-01T00:00:00"/>
    <n v="7"/>
    <s v="혹서기"/>
    <x v="7"/>
    <s v="2017년 7월경 OO공사에서 재해자가 배관연결 작업중 맨홀연결부(깊이 약 3.2m, 폭 약 3.3m) 사면의 일부가 붕괴되면서 매몰되어 사망"/>
    <s v="굴착저면에서 작업 중 굴착사면의 토사가 붕괴되어 매몰"/>
    <s v="▶ 굴착대상 지반의 지형, 지질, 지층상태 및 함수 유무 등 사전조사 실시_x000a_▶ 굴착작업 시 굴착면의 기울기 기준 준수_x000a_▶ 지반의 붕괴 또는 토석의 낙하에 의한 근로자에게 위험 발생 위험이 있을 시 작업 전 흙막이 지보공을 설치 붕괴위험방지 조치_x000a_▶ 굴착토사나 자재 등 굴착 선단부에 적치 금지"/>
  </r>
  <r>
    <n v="1"/>
    <x v="8"/>
    <x v="19"/>
    <x v="27"/>
    <s v="YES"/>
    <x v="29"/>
    <x v="55"/>
    <s v="해당없음"/>
    <s v="해당없음"/>
    <s v="해당없음"/>
    <s v="2017년 7월경"/>
    <d v="2017-07-01T00:00:00"/>
    <n v="7"/>
    <s v="혹서기"/>
    <x v="7"/>
    <s v="2017년 7월경 OO공사에서 재해자가 오수관로 매설작업 중 굴착벽면의 토사가 무너지며 매몰되어 사망"/>
    <s v="굴착저면에서 작업 중 굴착사면의 토사가 붕괴되어 매몰"/>
    <s v="▶ 굴착대상 지반의 지형, 지질, 지층상태 및 함수 유무 등 사전조사 실시_x000a_▶ 굴착작업 시 굴착면의 기울기 기준 준수_x000a_▶ 지반의 붕괴 또는 토석의 낙하에 의한 근로자에게 위험 발생 위험이 있을 시 작업 전 흙막이 지보공을 설치 붕괴위험방지 조치_x000a_▶ 굴착토사나 자재 등 굴착 선단부에 적치 금지"/>
  </r>
  <r>
    <n v="1"/>
    <x v="8"/>
    <x v="19"/>
    <x v="27"/>
    <s v="YES"/>
    <x v="29"/>
    <x v="55"/>
    <s v="해당없음"/>
    <s v="해당없음"/>
    <s v="해당없음"/>
    <s v="2017년 8월경"/>
    <d v="2017-08-01T00:00:00"/>
    <n v="8"/>
    <s v="혹서기"/>
    <x v="7"/>
    <s v="2017년 8월경 OO공사에서 재해자가 굴착저면에서 오수관 설치 높이를 조절하던 중 수직으로 굴착(폭1.1m, 높이1.7m)한 사면이 무너지면서 무너진 토사에 매몰되어 사망"/>
    <s v="굴착저면에서 작업 중 굴착사면의 토사가 붕괴되어 매몰"/>
    <s v="▶ 굴착대상 지반의 지형, 지질, 지층상태 및 함수 유무 등 사전조사 실시_x000a_▶ 굴착작업 시 굴착면의 기울기 기준 준수_x000a_▶ 지반의 붕괴 또는 토석의 낙하에 의한 근로자에게 위험 발생 위험이 있을 시 작업 전 흙막이 지보공을 설치 붕괴위험방지 조치_x000a_▶ 굴착토사나 자재 등 굴착 선단부에 적치 금지"/>
  </r>
  <r>
    <n v="1"/>
    <x v="8"/>
    <x v="19"/>
    <x v="27"/>
    <s v="YES"/>
    <x v="29"/>
    <x v="55"/>
    <s v="해당없음"/>
    <s v="해당없음"/>
    <s v="해당없음"/>
    <s v="2017년 10월"/>
    <d v="2017-10-01T00:00:00"/>
    <n v="10"/>
    <s v="-"/>
    <x v="7"/>
    <s v="2017년 10월경 OO공사에서 재해자가 통신관 매설을 위해 터파기 바닥면에서 지장물 및 레벨 확인 작업 중 터파기 사면의 토사 일부(약 7.2㎥)가 붕괴되면서 매몰되어 사망"/>
    <s v="굴착저면에서 작업 중 굴착사면의 토사가 붕괴되어 매몰"/>
    <s v="▶ 굴착대상 지반의 지형, 지질, 지층상태 및 함수 유무 등 사전조사 실시_x000a_▶ 굴착작업 시 굴착면의 기울기 기준 준수_x000a_▶ 지반의 붕괴 또는 토석의 낙하에 의한 근로자에게 위험 발생 위험이 있을 시 작업 전 흙막이 지보공을 설치 붕괴위험방지 조치_x000a_▶ 굴착토사나 자재 등 굴착 선단부에 적치 금지"/>
  </r>
  <r>
    <n v="1"/>
    <x v="8"/>
    <x v="19"/>
    <x v="27"/>
    <s v="YES"/>
    <x v="29"/>
    <x v="55"/>
    <s v="해당없음"/>
    <s v="해당없음"/>
    <s v="해당없음"/>
    <s v="2017년 12월"/>
    <d v="2017-12-01T00:00:00"/>
    <n v="12"/>
    <s v="혹한기"/>
    <x v="7"/>
    <s v="2017년 12월경 OO공사에서 재해자가 절토사면(H≒5m) 하부에서 수준측량을 하던 중 절토사면 일부가(H≒2~4m)이 붕괴 되면서 토사에 매몰되어 사망"/>
    <s v="굴착저면에서 작업 중 굴착사면의 토사가 붕괴되어 매몰"/>
    <s v="▶ 굴착대상 지반의 지형, 지질, 지층상태 및 함수 유무 등 사전조사 실시_x000a_▶ 굴착작업 시 굴착면의 기울기 기준 준수_x000a_▶ 지반의 붕괴 또는 토석의 낙하에 의한 근로자에게 위험 발생 위험이 있을 시 작업 전 흙막이 지보공을 설치 붕괴위험방지 조치_x000a_▶ 굴착토사나 자재 등 굴착 선단부에 적치 금지"/>
  </r>
  <r>
    <n v="1"/>
    <x v="8"/>
    <x v="19"/>
    <x v="27"/>
    <s v="YES"/>
    <x v="29"/>
    <x v="55"/>
    <s v="해당없음"/>
    <s v="해당없음"/>
    <s v="해당없음"/>
    <s v="2018년 7월경"/>
    <d v="2018-07-01T00:00:00"/>
    <n v="7"/>
    <s v="혹서기"/>
    <x v="6"/>
    <s v="2018년 7월경 OO공사에서 재해자가 덤프트럭 후방에서 이동하던 중 굴착사면이 붕괴되면서 전석(약 1m³, 중량 2.4톤)이 재해자를 덮쳐 덤프트럭 좌측후면에 하반신이 협착되어 사망"/>
    <s v="작업 중 굴착사면 붕괴로 인해 전석이 재해자를 덮치면서 덤프트럭 좌측 후면에 하반신이 끼임"/>
    <s v="▶ 작업전 페이스맵핑(육안관찰)등 실시 후 굴착사면의 기울기 준수_x000a_▶ 굴착 전 해당지반에 대한 사전조사 실시하여 법면붕괴 방지 조치"/>
  </r>
  <r>
    <n v="1"/>
    <x v="8"/>
    <x v="19"/>
    <x v="54"/>
    <s v="YES"/>
    <x v="29"/>
    <x v="55"/>
    <s v="해당없음"/>
    <s v="해당없음"/>
    <s v="해당없음"/>
    <s v="2019년 8월경"/>
    <d v="2019-08-01T00:00:00"/>
    <n v="8"/>
    <s v="혹서기"/>
    <x v="7"/>
    <s v="2019년 8월경 OO공사에서 재해자가 덤프트럭에 상차한 토사 및 쇄석을 하역하기 위해 매립지 단부로 후진하던 중 매립지 단부가 붕괴되면서 덤프트럭과 함께 바다에 빠져 익사로 사망"/>
    <s v="덤프트럭 후진하던 중 매립지 단부가 붕괴되며 덤프트럭과 함께 바다로 빠져 익사"/>
    <s v="▶ 차량계 건설기계 전도 방지를 위해 유도자 배치 및 지반의 침하방지 등의 조치 실시_x000a_▶ 해당 작업장의 지형∙지반 및 지층 상태 등에 대한 사전조사 실시"/>
  </r>
  <r>
    <n v="1"/>
    <x v="8"/>
    <x v="28"/>
    <x v="56"/>
    <s v="YES"/>
    <x v="29"/>
    <x v="55"/>
    <s v="해당없음"/>
    <s v="해당없음"/>
    <s v="해당없음"/>
    <s v="2018년 10월"/>
    <d v="2018-10-01T00:00:00"/>
    <n v="10"/>
    <s v="-"/>
    <x v="1"/>
    <s v="2018년 10월경 업무시설 신축공사 현장에서 재해자가 굴착 바닥면에 표식을 하던 중 인접건물 하부의 토사가 흘러내리면서 그 영향으로 벽체가 넘어져 벽체에 깔려 사망"/>
    <s v="작업 중 인접건물 하부의 토사가 흘러내리면서 그 영향으로 벽체가 넘어져 근로자가 깔림"/>
    <s v="▶ 인접건물 또는 구축물 등이 굴착 등으로 침하 균열이 발생하여 붕괴 등 위험이 예상되는 경우 안전진단 등으로 안전성을 평가하여 위험성 제거_x000a_▶ 지반 굴착시 지층상태, 매설물 유무 등을 사전조사 실시"/>
  </r>
  <r>
    <n v="1"/>
    <x v="8"/>
    <x v="28"/>
    <x v="56"/>
    <s v="YES"/>
    <x v="29"/>
    <x v="55"/>
    <s v="해당없음"/>
    <s v="해당없음"/>
    <s v="해당없음"/>
    <s v="2020년 5월경"/>
    <d v="2020-05-01T00:00:00"/>
    <n v="5"/>
    <s v="-"/>
    <x v="1"/>
    <s v="2020년 5월경 재해자가 흙막이지보공 H-PILE 사이에 토류판 설치 작업 중 배면 토사 일부가 붕괴되어 매몰되어 사망"/>
    <s v="작업 중 인접건물 하부의 토사가 흘러내리면서 그 영향으로 벽체가 넘어져 근로자가 깔림"/>
    <s v="▶ 흙막이 지보공 조립도 순서에 맞게 작업 진행 및 Pipe rack 등 지장물 간섭이 예상되는 경우 미리 굴착하지 않은 안전한 방법으로 설치_x000a_▶ 흙막이 지보공 조립작업 시 관리감독자 배치 및 안전한 방법으로 작업 지휘"/>
  </r>
  <r>
    <n v="1"/>
    <x v="8"/>
    <x v="28"/>
    <x v="56"/>
    <s v="YES"/>
    <x v="29"/>
    <x v="55"/>
    <s v="해당없음"/>
    <s v="해당없음"/>
    <s v="해당없음"/>
    <s v="2020년 7월경"/>
    <d v="2020-07-01T00:00:00"/>
    <n v="7"/>
    <s v="혹서기"/>
    <x v="1"/>
    <s v="2020년 7월경 플랜트 현장에서 재해자가 H-pile(엄지말뚝) 설치 위치를 잡아주기 위하여 기다리던 중 굴착법면이 붕괴되면서 매몰되어 사망"/>
    <s v="작업 중 인접건물 하부의 토사가 흘러내리면서 그 영향으로 벽체가 넘어져 근로자가 깔림"/>
    <s v="▶ 흙막이 지보공 조립도 순서에 맞게 작업 진행 및 Pipe rack 등 지장물 간섭이 예상되는 경우 미리 굴착하지 않은 안전한 방법으로 설치_x000a_▶ 흙막이 지보공 조립작업 시 관리감독자 배치 및 안전한 방법으로 작업 지휘"/>
  </r>
  <r>
    <n v="1"/>
    <x v="8"/>
    <x v="20"/>
    <x v="28"/>
    <s v="YES"/>
    <x v="29"/>
    <x v="55"/>
    <s v="해당없음"/>
    <s v="해당없음"/>
    <s v="해당없음"/>
    <s v="2016년 8월경"/>
    <d v="2016-08-01T00:00:00"/>
    <n v="8"/>
    <s v="혹서기"/>
    <x v="7"/>
    <s v="2016년 8월경 OO에서 시공중인 OO아파트 신축공사 현장에서 재해자(파일공)가 PHC파일(D=600) 이음을 위해 천공한 가설홀(700, 깊이 GL-14m)에 인접한 상태에서, 가설홀 굴착후 케이싱(18m)을 인발하던 중  케이싱 주변 토사가 함몰되면서(직경≒2.3m～2.6m, 깊이≒1.5m), 케이싱 인근에 있던 재해자가 함께 매몰되어 사망"/>
    <s v="PHC 파일 이음을 위해 천공한 가설홀에 인접한 상태에서 가설홀 굴착후 케이싱을 인발하던 중 케이싱 주변 토사가 함몰되면서 인근 근로자 매몰"/>
    <s v="▶ 사전 근로자의 매몰 위험을 방지하기 위해 지반의 상태, 공벽 붕괴 위험, 근로자의 출입 상태 점검 후 작업 수행_x000a_▶ 파일 이음을 위한 가설홀 천공작업 시 지반의 붕괴에 위험이 있는 경우 케이싱을 인발하는 과정이 없는 방법으로 진행하여 지반의 함몰 방지"/>
  </r>
  <r>
    <n v="1"/>
    <x v="8"/>
    <x v="29"/>
    <x v="61"/>
    <s v="YES"/>
    <x v="29"/>
    <x v="55"/>
    <s v="해당없음"/>
    <s v="해당없음"/>
    <s v="해당없음"/>
    <s v="2018년 12월"/>
    <d v="2018-12-01T00:00:00"/>
    <n v="12"/>
    <s v="혹한기"/>
    <x v="7"/>
    <s v="2018년 12월경 공공주택지구 조성공사 오수관로 매설공사 작업 중 재해자가 되메우기를 위한 다짐(콤팩트)작업을 수행하다 기매설되어 횡단하는 난방공사 송전관로의 주변 굴착면이 붕괴되어 사망"/>
    <s v="작업장의 사전조사 미비 및 굴착면의 기울기 미준수 상태에서 오수관로 매설작업 중 되메우기 후 콤팩트로 다짐작업 중 굴착면 붕괴로 매몰"/>
    <s v="▶ 굴착면의 기울기 기준 준수 또는 법면 붕괴방지조치(흙막이지보공 보강) 실시_x000a_▶ 굴착대상 지반의 지형, 지질, 지층상태 및 함수 유무 등 사전조사 실시"/>
  </r>
  <r>
    <n v="11"/>
    <x v="0"/>
    <x v="0"/>
    <x v="0"/>
    <s v="YES"/>
    <x v="29"/>
    <x v="55"/>
    <s v="해당없음"/>
    <s v="해당없음"/>
    <s v="해당없음"/>
    <s v="2016년 2월경"/>
    <d v="2016-02-01T00:00:00"/>
    <n v="2"/>
    <s v="혹한기"/>
    <x v="7"/>
    <s v="2016년 2월경 공장 신축공사 현장에서 보강토 옹벽에서 콘크리트 철거 작업 중 보강토 옹벽(10m) 일부가 무너지면서 토사 및 자재에 매몰되어3명 사망, 1명 부상"/>
    <s v="보강토 옹벽 상부에서 천단 콘크리트 철거 작업 중 옹벽의 일부가 무너지며 토사 및 자재에 매몰"/>
    <s v="▶ 보강도 옹벽 상부의 천단 콘크리트 철거작업 시, 구조물에 균열, 들뜸, 부동침하 등이 발생하였을 경우, 안전진단 및 구조검토 후 적절한 보수 보강 실시_x000a_▶ 보강토 옹벽와 같이 우수 등에 취약한 구조물에 대해 배수로 설치 등 유지관리 철저"/>
  </r>
  <r>
    <n v="11"/>
    <x v="0"/>
    <x v="0"/>
    <x v="0"/>
    <s v="YES"/>
    <x v="29"/>
    <x v="55"/>
    <s v="해당없음"/>
    <s v="해당없음"/>
    <s v="해당없음"/>
    <s v="2018년 5월경"/>
    <d v="2018-05-01T00:00:00"/>
    <n v="5"/>
    <s v="-"/>
    <x v="7"/>
    <s v="2018년 5월경 단지조성공사에서 암석제거 및 다짐작업을 하던 중 옹벽 설치를 위해 굴착해 놓은 법면이 붕괴되면서 매몰되어 1명 사망, 2명 부상"/>
    <s v="보강압성토옹벽 위에서 근로자가 흙고르기 및 다짐작업을 하던 중 굴착해놓은 법면이 무너지면서 근로자가 토사에 매몰"/>
    <s v="▶ 굴착작업 사전에 지반점검 및 안전조치(근로자 출입 통제, 사면보강, 방호망 설치)_x000a_▶ 굴착면의 토층이 균일하지 않은 경우 흙막이가시설 설치 후 작업 수행_x000a_▶ 굴착 시 굴착면 기울기를 준수하고 굴착사면 인근에 중량물 또는 토사적치 금지_x000a_▶ 옹벽, 콘크리트 벽 등의 건설물에 근접한 장소에서 굴착 시 붕괴 위험 요인 보강 또는 이설, 제거 등의 위험 방지 조치 실시_x000a_▶ 굴착작업 주변 지반 사전조사 및 작업계획서 작성"/>
  </r>
  <r>
    <n v="11"/>
    <x v="0"/>
    <x v="0"/>
    <x v="0"/>
    <s v="YES"/>
    <x v="29"/>
    <x v="55"/>
    <s v="해당없음"/>
    <s v="해당없음"/>
    <s v="해당없음"/>
    <s v="2018년 9월경"/>
    <d v="2018-09-01T00:00:00"/>
    <n v="9"/>
    <s v="-"/>
    <x v="7"/>
    <s v="2018년 9월경 옹벽설치 공사현장에서 옹벽 앞에서 건축물 부지 측량을 하던 중 4.5m 높이로 쌓아 놓은 식생축조블록 옹벽이 토압을 견디지 못하고 무너지면서 토사에 매몰되어 2명 사망, 1명 부상"/>
    <s v="보강압성토옹벽 위에서 근로자가 흙고르기 및 다짐작업을 하던 중 굴착해놓은 법면이 무너지면서 근로자가 토사에 매몰"/>
    <s v="▶ 굴착작업 사전에 지반점검 및 안전조치(근로자 출입 통제, 사면보강, 방호망 설치)_x000a_▶ 굴착면의 토층이 균일하지 않은 경우 흙막이가시설 설치 후 작업 수행_x000a_▶ 굴착 시 굴착면 기울기를 준수하고 굴착사면 인근에 중량물 또는 토사적치 금지_x000a_▶ 옹벽, 콘크리트 벽 등의 건설물에 근접한 장소에서 굴착 시 붕괴 위험 요인 보강 또는 이설, 제거 등의 위험 방지 조치 실시_x000a_▶ 굴착작업 주변 지반 사전조사 및 작업계획서 작성"/>
  </r>
  <r>
    <n v="11"/>
    <x v="0"/>
    <x v="0"/>
    <x v="0"/>
    <s v="YES"/>
    <x v="29"/>
    <x v="55"/>
    <s v="해당없음"/>
    <s v="해당없음"/>
    <s v="해당없음"/>
    <s v="2018년 11월"/>
    <d v="2018-11-01T00:00:00"/>
    <n v="11"/>
    <s v="-"/>
    <x v="7"/>
    <s v="2018년 11월경 석축공사 현장에서 재해자가 돌쌓기 하부 기초부분 작업 중 사면 붕괴로 매몰되어 사망"/>
    <s v="돌쌓기 하부 기초부분 작업 중 기존 석축을 제거한 부위의 사면이 붕괴되며 그 아래 근로자 매몰"/>
    <s v="▶ 기존 석축 해체 후 노출 사면에 대한 사면 구배를 준수하여 흙깎기 실시_x000a_▶ 사전 구조검토에 따라 흙깎기가 곤란한 경우 흙막이 가시설 설치"/>
  </r>
  <r>
    <n v="11"/>
    <x v="0"/>
    <x v="0"/>
    <x v="0"/>
    <s v="YES"/>
    <x v="29"/>
    <x v="55"/>
    <s v="해당없음"/>
    <s v="해당없음"/>
    <s v="해당없음"/>
    <s v="2019년 5월경"/>
    <d v="2019-05-01T00:00:00"/>
    <n v="5"/>
    <s v="-"/>
    <x v="7"/>
    <s v="2019년 5월경 옹벽설치 및 포장공사현장에서 재해자가 옹벽 앞 바닥정리를 하던 중 배면토압을 견디지 못하고 갑자기 옹벽이 무너지면서 옹벽과 토사에 매몰되어 사망"/>
    <s v="보강압성토옹벽 위에서 근로자가 흙고르기 및 다짐작업을 하던 중 굴착해놓은 법면이 무너지면서 근로자가 토사에 매몰"/>
    <s v="▶ 굴착작업 사전에 지반점검 및 안전조치(근로자 출입 통제, 사면보강, 방호망 설치)_x000a_▶ 굴착면의 토층이 균일하지 않은 경우 흙막이가시설 설치 후 작업 수행_x000a_▶ 굴착 시 굴착면 기울기를 준수하고 굴착사면 인근에 중량물 또는 토사적치 금지_x000a_▶ 옹벽, 콘크리트 벽 등의 건설물에 근접한 장소에서 굴착 시 붕괴 위험 요인 보강 또는 이설, 제거 등의 위험 방지 조치 실시_x000a_▶ 굴착작업 주변 지반 사전조사 및 작업계획서 작성"/>
  </r>
  <r>
    <n v="11"/>
    <x v="0"/>
    <x v="0"/>
    <x v="0"/>
    <s v="YES"/>
    <x v="29"/>
    <x v="55"/>
    <s v="해당없음"/>
    <s v="해당없음"/>
    <s v="해당없음"/>
    <s v="2021년 3월경"/>
    <d v="2021-03-01T00:00:00"/>
    <n v="3"/>
    <s v="-"/>
    <x v="7"/>
    <s v="2021년 3월경 제조업소 신축공사 현장에서 재해자 옹벽 벽체거푸집 설치 중 굴착사면 토사 붕괴로 매몰되어 사망"/>
    <s v="보강압성토옹벽 위에서 근로자가 흙고르기 및 다짐작업을 하던 중 굴착해놓은 법면이 무너지면서 근로자가 토사에 매몰"/>
    <s v="▶ 굴착작업 사전에 지반점검 및 안전조치(근로자 출입 통제, 사면보강, 방호망 설치)_x000a_▶ 굴착면의 토층이 균일하지 않은 경우 흙막이가시설 설치 후 작업 수행_x000a_▶ 굴착 시 굴착면 기울기를 준수하고 굴착사면 인근에 중량물 또는 토사적치 금지_x000a_▶ 옹벽, 콘크리트 벽 등의 건설물에 근접한 장소에서 굴착 시 붕괴 위험 요인 보강 또는 이설, 제거 등의 위험 방지 조치 실시_x000a_▶ 굴착작업 주변 지반 사전조사 및 작업계획서 작성"/>
  </r>
  <r>
    <n v="11"/>
    <x v="0"/>
    <x v="0"/>
    <x v="0"/>
    <s v="YES"/>
    <x v="29"/>
    <x v="55"/>
    <s v="해당없음"/>
    <s v="해당없음"/>
    <s v="해당없음"/>
    <s v="2021년 7월경"/>
    <d v="2021-07-01T00:00:00"/>
    <n v="7"/>
    <s v="혹서기"/>
    <x v="2"/>
    <s v="2021년 7월경 댐 절토사면 보강공사 현장에서 재해자가 절토사면 상부의 요철을 제거하던 중 70m 아래 바닥으로 추락하여 사망"/>
    <s v="절토사면 보강을 위해 숏크리트가 시공된 사면에서 상부 요철을 제거하던 중 추락"/>
    <s v="▶ 작업자가 법면 상부 등으로 불필요한 이동을 금하고 작업자 이동통로 설치_x000a_▶ 근로자가 추락하거나 넘어질 위험이 있는 상부에서 작업 시 안전난간을 설치하고 추락방지조치 실시하고 부득이한 경우 접근방책 등을 설치_x000a_▶ 근로자가 추락하거나 넘어질 위험이 있는 상부에서 작업 시 개인보호구(안전모, 안전대 등) 지급 및 착용"/>
  </r>
  <r>
    <n v="11"/>
    <x v="0"/>
    <x v="33"/>
    <x v="68"/>
    <s v="YES"/>
    <x v="29"/>
    <x v="55"/>
    <s v="해당없음"/>
    <s v="해당없음"/>
    <s v="해당없음"/>
    <s v="2017년 11월"/>
    <d v="2017-11-01T00:00:00"/>
    <n v="11"/>
    <s v="-"/>
    <x v="1"/>
    <s v="2017년 11월경 간선임도 신설현장에서 재해자가 전석을 운반하기 위해 곡선부 가설도로에서 덤프트럭을 운행하던 중 차량이 전도되어 15m 아래로 추락하여 사망 "/>
    <s v="덤프트럭으로 이동 중 폭이 좁은 가설도로 측면으로 전도되어 근로자 사망"/>
    <s v="▶ 차량계 건설기계를 사용하는 작업 시 장비유도자를 협소한 가설도로 곡선부 등에 배치 _x000a_▶ 지반의 부등침하, 갓길의 붕괴 방지 및 도로 폭을 유지한 뒤 작업 실시"/>
  </r>
  <r>
    <n v="11"/>
    <x v="0"/>
    <x v="1"/>
    <x v="1"/>
    <s v="YES"/>
    <x v="29"/>
    <x v="55"/>
    <s v="해당없음"/>
    <s v="해당없음"/>
    <s v="해당없음"/>
    <s v="2016년 5월경"/>
    <d v="2016-05-01T00:00:00"/>
    <n v="5"/>
    <s v="-"/>
    <x v="7"/>
    <s v="2016년 5월경 OO도 OO시 OO동 소재 OOOO(주) OOOO 시설공사현장에서 재해자 OOO가 오수관(D 0.3m, L 42m(6m*7) 매설작업을 위해 터파기 작업을 실시 후, 관로하부로 내려가 굴착바닥면 고르기 작업을 하던 중 굴착사면이 붕괴되면서 매몰되어 사망한 재해임. "/>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1"/>
    <s v="YES"/>
    <x v="29"/>
    <x v="55"/>
    <s v="해당없음"/>
    <s v="해당없음"/>
    <s v="해당없음"/>
    <s v="2016년 7월경"/>
    <d v="2016-07-01T00:00:00"/>
    <n v="7"/>
    <s v="혹서기"/>
    <x v="7"/>
    <s v="2016년 7월경 OOO도 OO시 OO동 소재 OOOO 공업용수 호환관로 설치공사 현장 STA No.84 지점에서 원청업체 소속 배관공인 재해자가 굴착깊이 2.5m에 매설된 관로 모래 포설 작업 중 수직으로 굴착된 굴착사면 일부가 무너지면서 하반신이 매몰되어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1"/>
    <s v="YES"/>
    <x v="29"/>
    <x v="55"/>
    <s v="해당없음"/>
    <s v="해당없음"/>
    <s v="해당없음"/>
    <s v="2016년 10월"/>
    <d v="2016-10-01T00:00:00"/>
    <n v="10"/>
    <s v="-"/>
    <x v="7"/>
    <s v="2016년 10월경, OOO도 OO군 소재 ㈜OOOO, OOOO 공사 현장에서 관로 매설 공사를 위한 굴착 법면의 토사가 붕괴되면서, 굴착면 하부에 있던 근로자가 붕괴 토사에 매몰되어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1"/>
    <s v="YES"/>
    <x v="29"/>
    <x v="55"/>
    <s v="해당없음"/>
    <s v="해당없음"/>
    <s v="해당없음"/>
    <s v="2016년 10월"/>
    <d v="2016-10-01T00:00:00"/>
    <n v="10"/>
    <s v="-"/>
    <x v="7"/>
    <s v="2016년 10월경 OOO도 OO군 OO면 소재 OOOO(주) OOOO 통합상수도 시설공사 현장에서 재해자가 지상 약 5m 아래 우수관로 터파기 저면에서 우수관(콘크리트흄관) 접합부의 몰탈작업중 굴착사면이 붕괴되면서 토사에 매몰되어 구출하였으나 사망한 재해임  "/>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1"/>
    <s v="YES"/>
    <x v="29"/>
    <x v="55"/>
    <s v="해당없음"/>
    <s v="해당없음"/>
    <s v="해당없음"/>
    <s v="2017년 2월경"/>
    <d v="2017-02-01T00:00:00"/>
    <n v="2"/>
    <s v="혹한기"/>
    <x v="7"/>
    <s v="2017년 2월경 OOO도 OO군 OO면 소재 OOOO하수도 설치공사현장에서 협력업체 소속 배관공인 재해자가 굴착깊이 약 2.5m인 터파기 구간 하부에서 맨홀 접속관 주변 토사 제거 작업 중 굴착면 일부가 무너지면서 상부의 기존 도로포장 일부 파손, 아래로 떨어지면서 재해자의 머리를 가격하여  사망함."/>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1"/>
    <s v="YES"/>
    <x v="29"/>
    <x v="55"/>
    <s v="해당없음"/>
    <s v="해당없음"/>
    <s v="해당없음"/>
    <s v="2018년 7월경"/>
    <d v="2018-07-01T00:00:00"/>
    <n v="7"/>
    <s v="혹서기"/>
    <x v="7"/>
    <s v="2018년 7월경 OO도 OO시 OO 소재 OOOO(주) OOOO 하수관로 정비사업 현장에서 재해자 OOO이 굴착 저면(폭 0.87m, 깊이 1.5m)에서 바닥면 고르기 작업 중 굴착면이 무너져 매몰되었고, 동시에 기존 매설된 상수관(∮40mm, 재질 : PVC)이 파손 되면서 누수된 수돗물에 잠겨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1"/>
    <s v="YES"/>
    <x v="29"/>
    <x v="55"/>
    <s v="해당없음"/>
    <s v="해당없음"/>
    <s v="해당없음"/>
    <s v="2018년 8월경"/>
    <d v="2018-08-01T00:00:00"/>
    <n v="8"/>
    <s v="혹서기"/>
    <x v="7"/>
    <s v="2018년 8월경 OO도 OO시 OO동 소재 ㈜OOOO, OO지구 열배관공사 현장에서 백호를 사용하여 열배관 터파기(L=5.5m) 작업 중 터파기 사면 한쪽 면 일부(12m3)가 붕괴되어 바닥면에서 면고르기 및 측량 작업 중이던 재해자 2인이 매몰되어 1명이 사망하고, 1명이 대피 중 부상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1"/>
    <s v="YES"/>
    <x v="29"/>
    <x v="55"/>
    <s v="해당없음"/>
    <s v="해당없음"/>
    <s v="해당없음"/>
    <s v="2018년 10월"/>
    <d v="2018-10-01T00:00:00"/>
    <n v="10"/>
    <s v="-"/>
    <x v="7"/>
    <s v="2018년 10월경 OOO남 OO군 소재, OOOO 일원 OOOO(주)가 시공하는 OOOO 하수관로 정비 공사현장에서 협력업체 소속 재해자가 파손된 오수관 (D250㎜, PE이중벽관)을 교체하기 위해 맨홀 설치지점 주변 폭 2.4m, 깊이 2.7m 정도의 트렌치(Trench) 굴착 바닥면에 내려가 작업 중 굴착면 일부가 무너지면서(약 5.5톤) 토사에 매몰되어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1"/>
    <s v="YES"/>
    <x v="29"/>
    <x v="55"/>
    <s v="해당없음"/>
    <s v="해당없음"/>
    <s v="해당없음"/>
    <s v="2019년 2월경"/>
    <d v="2019-02-01T00:00:00"/>
    <n v="2"/>
    <s v="혹한기"/>
    <x v="7"/>
    <s v="2019년 2월경 OO시 OO구 소재 OOOO(주)에서 시공하는 OOOO 지하배관 설치공사 현장에서 트렌치 굴착*(h≒3.3m) 저면에서 재해자가 핀홀 테스트기를 사용하기 위해 접지선을 연결하던 중 굴착법면 토사가 무너지면서 매몰되어 사망한 재해임._x000d_"/>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1"/>
    <s v="YES"/>
    <x v="29"/>
    <x v="55"/>
    <s v="해당없음"/>
    <s v="해당없음"/>
    <s v="해당없음"/>
    <s v="2019년 9월경"/>
    <d v="2019-09-01T00:00:00"/>
    <n v="9"/>
    <s v="-"/>
    <x v="7"/>
    <s v="2019년 9월경 OOO시 OO구 소재 OOOO 노후하수관로 정비 공사 현장에서 OOOO(주) 소속 노동자인 재해자가 배관 합류구간에 맨홀설치를 위해 굴삭기로 굴착된 굴착저면(H≒1.9M)을 정리하던 중 굴착법면 토사가 일부 무너져 재해자가 넘어지면서 골반이 골절되어 병원으로 이송되었으나, 저혈량성 쇼크로 인해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1"/>
    <s v="YES"/>
    <x v="29"/>
    <x v="55"/>
    <s v="해당없음"/>
    <s v="해당없음"/>
    <s v="해당없음"/>
    <s v="2020년 5월경"/>
    <d v="2020-05-01T00:00:00"/>
    <n v="5"/>
    <s v="-"/>
    <x v="7"/>
    <s v="2020년 5월경 OOO도 OO시 소재 OOOO(주) OOOO 신축공사 현장에서 오수관로(D300, L=6.0m) 부설을 위한 지반 굴착 작업을 하던 중, 한 쪽 사면(H=2.7m)이 무너져 굴착면 바닥에 있던 작업자가 토사에 매몰, 병원으로 이송하였으나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1"/>
    <s v="YES"/>
    <x v="29"/>
    <x v="55"/>
    <s v="해당없음"/>
    <s v="해당없음"/>
    <s v="해당없음"/>
    <s v="2020년 6월경"/>
    <d v="2020-06-01T00:00:00"/>
    <n v="6"/>
    <s v="혹서기"/>
    <x v="7"/>
    <s v="2020년 6월경 OO시 OOO구 OO동 소재 OOOOO(주)가 시공하는 OOOO 하수관로 보수공사 현장에서 재해자가 트렌치 굴착면 바닥(수직굴착, 깊이 약 2m, 폭 약 2.5m)에서 맨홀 천공 작업 중 굴착면이 붕괴되면서 토사에 매몰되어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1"/>
    <s v="YES"/>
    <x v="29"/>
    <x v="55"/>
    <s v="해당없음"/>
    <s v="해당없음"/>
    <s v="해당없음"/>
    <s v="2020년 8월경"/>
    <d v="2020-08-01T00:00:00"/>
    <n v="8"/>
    <s v="혹서기"/>
    <x v="7"/>
    <s v="2020년 8월경, OOO도 OO시 소재 ㈜OOOO 시공하는 ㈜OOOO 공장부지 보수공사 현장에서, 배관공이 콘크리트 포장면을 파쇄한 후 수직 굴착한 사면(깊이 약 3.7m, 폭 약 1.5m) 바닥에서 파형강관(D500, L=6m) 설치 작업 중 콘크리트 포장면 하부의 토사와 콘크리트 덩어리(약 1.7톤)가 붕괴되면서 재해자를 덮쳐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1"/>
    <s v="YES"/>
    <x v="29"/>
    <x v="55"/>
    <s v="해당없음"/>
    <s v="해당없음"/>
    <s v="해당없음"/>
    <s v="2020년 10월"/>
    <d v="2020-10-01T00:00:00"/>
    <n v="10"/>
    <s v="-"/>
    <x v="7"/>
    <s v="2020년 10월경 OO시 OO군 소재 OOOO(주) OOOO 오수관로 설치공사 현장에서 협력업체 ㈜OOOO 소속 근로자 OOO가 오수관로 설치를 하기 위해 지장물인 우수암거(1.4m×1.6m) 하부 터파기 저면 바닥고르기 작업 중 굴착 진행방향 좌측사면의 토사가 붕괴되면서 근로자가 매몰되어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1"/>
    <s v="YES"/>
    <x v="29"/>
    <x v="55"/>
    <s v="해당없음"/>
    <s v="해당없음"/>
    <s v="해당없음"/>
    <s v="2020년 10월"/>
    <d v="2020-10-01T00:00:00"/>
    <n v="10"/>
    <s v="-"/>
    <x v="7"/>
    <s v="2020년 10월경 OOO도 OO시 OO구 소재 OOO 공장 신축공사 현장에서 OOOO 소속 재해자 OOO이 우수관로 흄관(D600㎜) 부설작업을 위하여 굴착한 굴착면의 토사(길이 4.2m×높이 2.4m×두께 0.7m, 약 13톤)가 무너지면서 매몰되어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1"/>
    <s v="YES"/>
    <x v="29"/>
    <x v="55"/>
    <s v="해당없음"/>
    <s v="해당없음"/>
    <s v="해당없음"/>
    <s v="2021년 6월경"/>
    <d v="2021-06-01T00:00:00"/>
    <n v="6"/>
    <s v="혹서기"/>
    <x v="7"/>
    <s v="2021년 6월경 OO도 OO시 OO구 소재 ㈜OOOO, OOOO 신축공사 중 토목공사 현장에서, 토공사 협력업체 소속의 재해자(남, 관로공) 2명이 오수관로 부설 후 모래 되메우기 작업을 하던 중, 트렌치 굴착부위에 인접한 약 9m 높이 굴착사면이 붕괴되면서 재해자를 덮쳐 매몰된 재해임._x000d_"/>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1"/>
    <s v="YES"/>
    <x v="29"/>
    <x v="55"/>
    <s v="해당없음"/>
    <s v="해당없음"/>
    <s v="해당없음"/>
    <s v="2021년 12월"/>
    <d v="2021-12-01T00:00:00"/>
    <n v="12"/>
    <s v="혹한기"/>
    <x v="7"/>
    <s v="2021년 12월경 근린시설신축공사 현장에서 재해자는 현장입구 진입로를 굴착하여 우수관로 설치 작업중 높이 약 2.1m의 굴착면 상부의 붕괴된 토사에 매몰되면서 두부를 암석에 부딪혀 구조 후 병원 이송중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1"/>
    <s v="YES"/>
    <x v="29"/>
    <x v="55"/>
    <s v="해당없음"/>
    <s v="해당없음"/>
    <s v="해당없음"/>
    <s v="2021년 12월"/>
    <d v="2021-12-01T00:00:00"/>
    <n v="12"/>
    <s v="혹한기"/>
    <x v="7"/>
    <s v="2021년 12월경, 흙막이 가시설 설치 전 지장물(한전관로 등) 확인을 위하여 약 1.8m 수직 줄파기 작업한 상태에서, 재해자가 굴착한 장소에 들어가 지장물 확인 중 한쪽 굴착면 붕괴로 40cm 정도 토사에 깔림"/>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2015년 9월경"/>
    <d v="2015-09-01T00:00:00"/>
    <n v="9"/>
    <s v="-"/>
    <x v="7"/>
    <s v="2015년 9월경 OO시 OO읍 소재 OOOO 농지에서 PVC관(길이 4m, 지름 20Cm) 매설 작업중이던 재해자가 관을 매설하기 위해 굴삭기가 파놓은 트렌치 내에서 작업 중 깊이 2m의 굴착면 토사가 갑자기 무너져 매몰되어 병원으로 이송 중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2016년 4월경"/>
    <d v="2016-04-01T00:00:00"/>
    <n v="4"/>
    <s v="-"/>
    <x v="7"/>
    <s v="2016년 4월경 OOO도 OO군 OO읍 소재 OOOO(주) 『OOOO 하수관거정비사업』현장에서 오수관교체 작업 후 되메우기 작업 중 굴착 법면의 토사가 유실되면서 아스콘 조각이 굴착 하부에서 진동다짐을 준비하던 재해자 방향으로 떨어지면서 가격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2016년 4월경"/>
    <d v="2016-04-01T00:00:00"/>
    <n v="4"/>
    <s v="-"/>
    <x v="7"/>
    <s v="2016년 4월경 OO도 OO시 OO동 소재 OOOO(주) 부지조성 공사현장에서 재해자가 흄관(D 0.6m, L 2.5m) 매설작업 중 굴착사면이 붕괴되면서 매몰되어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2016년 5월경"/>
    <d v="2016-05-01T00:00:00"/>
    <n v="5"/>
    <s v="-"/>
    <x v="7"/>
    <s v="2016년 5월경, OOO도 OO시 OO면 소재 ㈜OOOO OOOO상수도사업 제O공구 OOOO시설공사현장에서 협력업체 소속 배관공이 관로매설을 위해 3M 깊이의 굴착저면에 들어가,부설해 놓은 관로(직경1.1M/길이6M/주철관)의 접합(볼팅)작업 중 적정한 기울기(보통흙 습지/1:1이상)를 확보하지 못한 굴착사면이 붕괴되면서 매몰되어 사망한 재해임. "/>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2016년 10월"/>
    <d v="2016-10-01T00:00:00"/>
    <n v="10"/>
    <s v="-"/>
    <x v="7"/>
    <s v="2016년 10월경 OOO도 OO시 소재 OOOO하수관로 정비공사 현장에서 원청 직영 근로자가 약2.7m 굴착 저면에서 하수관로 매설작업 중 인접 굴착사면의 토사붕괴(약 2.16㎥)로 매몰되어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2018년 8월경"/>
    <d v="2018-08-01T00:00:00"/>
    <n v="8"/>
    <s v="혹서기"/>
    <x v="7"/>
    <s v="2018년 8월경 OOO도 OO시 OO면 소재 ㈜OOOO, OOOO주변도로 통신공사 현장에서 재해자가 통신관로 매설을 위해 굴착된 바닥면에서 모래포설 등의 작업 중 굴착 사면 일부가 붕괴되면서 토사에 매몰되어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2018년 10월"/>
    <d v="2018-10-01T00:00:00"/>
    <n v="10"/>
    <s v="-"/>
    <x v="7"/>
    <s v="2018년 10월경 OOO도 OO군 소재 OOOO(주) OOOO 하수관거 정비사업 현장에서 재해자가 맨홀내부에서 토사제거 작업 중 무너지는 토사에 매몰되어 사망."/>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 2018년 11"/>
    <d v="2018-11-01T00:00:00"/>
    <n v="11"/>
    <s v="-"/>
    <x v="7"/>
    <s v=" 2018년 11월경 OO도 OO시 소재 OOOO(주) OOOO보행안전 및 가로환경 현장에서 우수관로 흄관 매설작업 중 굴착면 붕괴로 재해자가 매몰되어 1명 사망, 1명 부상"/>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2018년 12월"/>
    <d v="2018-12-01T00:00:00"/>
    <n v="12"/>
    <s v="혹한기"/>
    <x v="7"/>
    <s v="2018년 12월경 OOOO(주) OO시 OOO동 OOOO배수공사 현장의 트랜치 굴착(h≒3.5m) 저면에서 작업자 2명이 콘크리트 흄관(D=300mm, L=2.5m) 매설작업을 진행하던 중 무너지는 굴착법면 토사에 매몰되어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2019년 5월경"/>
    <d v="2019-05-01T00:00:00"/>
    <n v="5"/>
    <s v="-"/>
    <x v="7"/>
    <s v="2019년 5월경 OO시 OO읍 소재 ㈜OOOO 하수관로 정비공사 현장에서 재해자 OOO가 하수관로 연결 작업을 위해 굴착구간(H≒2.5m)내부에서 동료작업자(OOO)와 하수관로 연결 작업을 하던 중 차도방향의 굴착면이 붕괴되어 무너진 토사에 재해자가 매몰됨"/>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2019년 5월경"/>
    <d v="2019-05-01T00:00:00"/>
    <n v="5"/>
    <s v="-"/>
    <x v="7"/>
    <s v="2019년 5월경 OO도 OO시 OO면 소재 OOOO(주) OOOO정비사업 현장의 OO교 취수보 설치구간 내 가배수로 재설치 작업 장소에서 재해자는 배수관(흄관, D=1,000mm, L=2,500mm) 연결부 접합을 위해 관 내부에서 모르타르(시멘트, 모래를 섞어서 물에 갠 것)를 연결부위에 채우고 외부로 나오던 중 굴착사면 토사가 붕괴, 매몰되어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2019년 8월경"/>
    <d v="2019-08-01T00:00:00"/>
    <n v="8"/>
    <s v="혹서기"/>
    <x v="7"/>
    <s v="2019년 8월경 OO시 소재, OOOO(주)이 시공하는 상구도관(D600mm, L=6.0m) 매설현장에서 재해자가 깊이 약3m 굴착 저면에서 상수도관 연결작업중 굴착사면 토사가 일부 붕괴되면서 재해자를 덮쳐, 가슴이 상수관에 충돌하여 갈비뼈 손상으로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2019년 10월"/>
    <d v="2019-10-01T00:00:00"/>
    <n v="10"/>
    <s v="-"/>
    <x v="7"/>
    <s v="2019년 10월경 OO시 OO면 소재 ㈜OOOO이 시공하는 OOOO마을하수도 설치사업 현장에서 ㈜OOOO 소속 재해자(관로공) 2명이 트렌치 굴착(깊이≒1.8m~1.9m, 폭≒1m)저면에서 오수관 매설작업 중 굴착 사면(사질토) 붕괴와 함께 지반 상부 콘크리트 포장이 붕괴되면서 재해자를 덮쳐 1명 사망, 1명이 부상당한 재해임  "/>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2019년 11월"/>
    <d v="2019-11-01T00:00:00"/>
    <n v="11"/>
    <s v="-"/>
    <x v="7"/>
    <s v="2019년 11월경,  OO시 OO구 일대 OOOO(주) OOOO구역 인근 정압기 및 본·공급관 공사 현장에서 재해자 2명이 도시가스 공급관(Φ315mm) 설치 작업중 토사 일부가 붕괴, 매몰되어 3개월 이상의 요양이 필요한 재해 발생."/>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2020년 4월경"/>
    <d v="2020-04-01T00:00:00"/>
    <n v="4"/>
    <s v="-"/>
    <x v="7"/>
    <s v="2020년 4월경 OOO도 OO군 OO읍 소재 OOOO현장에서 재해자가 굴착면 바닥(수직으로 굴착, 깊이 약 2m, 폭 1.1m)에서 우수관로(내경 300mm, pvc이중주름관) 연결작업을 하던 중 굴착면이 붕괴(약 1.4㎥) 되면서 매몰되어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2020년 8월경"/>
    <d v="2020-08-01T00:00:00"/>
    <n v="8"/>
    <s v="혹서기"/>
    <x v="7"/>
    <s v="2020년 8월경, OOO도 OO군 소재 ㈜OOOO이 시공하는 OOOO신축공사 현장에서, 협력업체 소속 보통인부가 굴착저면에서 오수관로(D200, L=6.0m) 연결작업을 하던중, 굴착사면(H=1.5~2.0m)의 토사가 붕괴 되어 재해자의 하반신이 매몰, 병원으로 이송되어 치료 중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2020년 10월"/>
    <d v="2020-10-01T00:00:00"/>
    <n v="10"/>
    <s v="-"/>
    <x v="7"/>
    <s v="2020년 10월경 OO시 OO구 소재 ㈜OOOO이 시공하는 OO지구 도로개설공사 현장에서 협력업체 OOOO(주) 소속 재해자가 우수관로 매설작업 중 굴착면이 무너지며 토사에 깔려 병원으로 이송치료 중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2020년 11월"/>
    <d v="2020-11-01T00:00:00"/>
    <n v="11"/>
    <s v="-"/>
    <x v="7"/>
    <s v="2020년 11월경 OOO도 OO군 OO면 OOOO일원 ㈜OOOO이 시공하는 OOOO 생활용수 급수구역 확장공사 현장에서 재해자(현장관리자)가 상수도 유량계실(철재)를 부설한 후 기존도로와 수평을 맞추기 위해 깊이 2.6m 굴착 바닥면으로 내려가 삽으로 평탄작업 중 굴착면 일부가 무너져(약2.8톤) 토사에 매몰되면서 유량계실 보강재에 머리를 부딪혀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2021년 5월경"/>
    <d v="2021-05-01T00:00:00"/>
    <n v="5"/>
    <s v="-"/>
    <x v="7"/>
    <s v="2021년 5월경 OO도 OO면 소재, OOOO현장에서 재해자가 굴착면 바닥(깊이 약 1.5m)에서 우수관로(내경 450㎜) 연결부 청소작업 중 굴착면이 붕괴되며 붕괴물에 매몰되어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2021년 6월경"/>
    <d v="2021-06-01T00:00:00"/>
    <n v="6"/>
    <s v="혹서기"/>
    <x v="7"/>
    <s v="2021년 6월경, OOO도 OO시 OO읍 소재 『OOOO 개축공사』 현장에서 기 설치 된 보강토 옹벽 하부 우수관로 공사를 위한 터파기 후, 굴착저면에서 우수배관(PE,φ=600mm,L=4.0m) 연결작업을 하던 재해자가 굴착사면 및 보강토 옹벽이 붕괴되면서 매몰되어 사망한 재해로 추정됨."/>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2021년 11월"/>
    <d v="2021-11-01T00:00:00"/>
    <n v="11"/>
    <s v="-"/>
    <x v="7"/>
    <s v="2021년 11월경 OOOO도 OO시 OO읍 소재 OOOO신축공사 현장에서 토공사 협력업체인 ㈜OOOO에서 우수관 매설작업을 위해 흙막이지보공 없이 굴착기를 이용하여 3.5m 깊이(경사≒1:0.18)로 터파기를 진행하던 중, 재해자가 우수관(흄관) 연결부에 토사를 제거하기 위하여 굴착면으로 내려가 작업하려는 순간 굴착 사면 토사가 붕괴ㆍ매몰되어 사망한 재해임. _x000d_"/>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2"/>
    <x v="2"/>
    <x v="6"/>
    <x v="8"/>
    <s v="YES"/>
    <x v="29"/>
    <x v="55"/>
    <s v="해당없음"/>
    <s v="해당없음"/>
    <s v="해당없음"/>
    <s v="2018년 5월경"/>
    <d v="2018-05-01T00:00:00"/>
    <n v="5"/>
    <s v="-"/>
    <x v="1"/>
    <s v="2018년 5월경 (주)OO건설에서 시공중인 OO신축공사 현장에서 협력업체  소속 재해자가 지하2층 외벽에 설치된 거푸집의 연결핀 해체작업을 하던 중, 굴착사면의 토사(약 5.6톤)가 무너지면서 깔려 사망"/>
    <s v="붕괴ㆍ낙하에 의한 위험 방지 미실시한 상태에서 지하층 외벽에 설치된 거푸집의 연결핀 해체작업 중 굴착사면의 토사가 무너지면서 근로자 깔림"/>
    <s v="▶ 지반은 안전한 경사로 하고 낙하의 위험이 있는 토석을 제거하거나 옹벽, 흙막이 지보공 등 설치_x000a_▶ 지반의 붕괴, 구축물의 붕괴 또는 토석의 낙하 등에 대한 위험이 있을 경우 사전 조사후 방지조치 실시"/>
  </r>
  <r>
    <n v="5"/>
    <x v="5"/>
    <x v="15"/>
    <x v="45"/>
    <s v="YES"/>
    <x v="29"/>
    <x v="55"/>
    <s v="해당없음"/>
    <s v="해당없음"/>
    <s v="해당없음"/>
    <s v="2016년 11월"/>
    <d v="2016-11-01T00:00:00"/>
    <n v="11"/>
    <s v="-"/>
    <x v="7"/>
    <s v="2016년 11월경 OO공사에서 재해자가 타워크레인 전력케이블(380V) 연장·이설을 위해 굴착저면에서 케이블 절단 및 연장 작업을 하던 중 굴착사면이 무너지면서(V≒1.5m3) 매몰되어 사망"/>
    <s v="굴착저면으로 들어가 굴착저면 내의 케이블 절단 및 연장 작업 중 굴착 사면 붕괴로 인한 근로자 매몰"/>
    <s v="▶ 지반 붕괴 위험이 있는 작업 시, 흙막이 지보공 설치를 통한 무너짐방호조치 실시_x000a_   - 트렌치 굴착으로 1.5m이상 굴착시 흙막이 가시설 설치(TS판넬, SK판넬 등)_x000a_▶ 굴착작업 시 붕괴 방지를 위해 지반에 종류에 따른 굴착면 기울기 준수"/>
  </r>
  <r>
    <n v="5"/>
    <x v="5"/>
    <x v="15"/>
    <x v="46"/>
    <s v="YES"/>
    <x v="29"/>
    <x v="55"/>
    <s v="해당없음"/>
    <s v="해당없음"/>
    <s v="해당없음"/>
    <s v="2021년 12월"/>
    <d v="2021-12-01T00:00:00"/>
    <n v="12"/>
    <s v="혹한기"/>
    <x v="2"/>
    <s v="2021년 12월경 OO도로 개량공사 현장에서 도로 가드레일과 보강토옹벽 사이에 표지판(안개등)을 설치하는 과정에서 재해자가 사면에서 미끄러지며 약 8.6M 아래로 추락"/>
    <s v="도로 가드레일과 보강토옹벽 사이에 표지판(안개등)을 설치하던 중 사면에서 미끄러지며 추락"/>
    <s v="▶ 미끄러질 위험이 있는 장소에는 설치 작업자 안전대 체결 후 작업실시"/>
  </r>
  <r>
    <n v="9"/>
    <x v="11"/>
    <x v="41"/>
    <x v="84"/>
    <s v="NO"/>
    <x v="29"/>
    <x v="55"/>
    <s v="해당없음"/>
    <s v="해당없음"/>
    <s v="해당없음"/>
    <s v="2017년 5월경"/>
    <d v="2017-05-01T00:00:00"/>
    <n v="5"/>
    <s v="-"/>
    <x v="6"/>
    <s v="2017년 5월경 터널공사 현장에서 재해자가 덤프트럭을 운반하여 하차하는 작업 중 지반이 침하되면서 12m 아래로 떨어져 사망"/>
    <s v="덤프트럭을 후진 정차하는 도중 단부의 지반이 침하되면서 차량이 전복되어 근로자가 운전석에 협착"/>
    <s v="▶ 건설기계를 사용하는 작업 시 장비유도자 배치_x000a_▶ 지반의 부등침하, 붕괴 방지를 위해 사전 조사 후 작업 실시_x000a_▶ 하역작업시 무리하게 단부 끝으로 접근 금지_x000a_▶ 덤프트럭 하역작업 시 차량 전도 등 비상사태를 예방하기 위해 안전벨트 등 보호구 상시 착용"/>
  </r>
  <r>
    <n v="1"/>
    <x v="8"/>
    <x v="19"/>
    <x v="27"/>
    <s v="YES"/>
    <x v="30"/>
    <x v="56"/>
    <s v="해당없음"/>
    <s v="해당없음"/>
    <s v="해당없음"/>
    <s v="2016년 6월경"/>
    <d v="2016-06-01T00:00:00"/>
    <n v="6"/>
    <s v="혹서기"/>
    <x v="11"/>
    <s v="2016년 6월경 OO공사에서 재해자 등이 교량 기초 하부 통과를 위한 문형구조물 벽체 철근조립 작업 중 굴착된 공간에 누출된 LP가스가 폭발하여 4명 사망 및 10명 부상"/>
    <s v="교량 하부 골조작업 중 재해발생 전일 사용 후 수거하지 않은 가스용기(LPG)에서 누출된 가스가 용단작업 불티에 의해 폭발"/>
    <s v="▶ 가스용접,용단 등의 작업에 대한 폭발,화재 예방조치 준수_x000a_▶ LP가스 등 위험물 보관 규정 준수_x000a_▶ 지하작업장 통풍, 환기조치 실시"/>
  </r>
  <r>
    <n v="10"/>
    <x v="10"/>
    <x v="31"/>
    <x v="64"/>
    <s v="NO"/>
    <x v="30"/>
    <x v="56"/>
    <s v="해당없음"/>
    <s v="해당없음"/>
    <s v="해당없음"/>
    <s v="2016년 7월경"/>
    <d v="2016-07-01T00:00:00"/>
    <n v="7"/>
    <s v="혹서기"/>
    <x v="18"/>
    <s v="2016년 7월경 OO펌프장 내 저류조 내부 슬러지 준설작업 물량 확인을 위해 재해자1이 저류조 출입구를 통하여 하부(4m)로 내려가 확인 후 다시 올라오는 과정에서 의식을 잃고 쓰러지자, 재해자2가 구조를 위해 저류조 하부로 내려가던 중 의식을 잃고 쓰러져 2명 모두 사망"/>
    <s v="저류조 내부 슬러지 준설작업 확인을 위해 저류조 내부로 내려가 확인 후 올라오던 중 황화수소 중독에 의해 의식을 잃고 쓰러진 후 사망"/>
    <s v="▶ 사전 유해가스농도를 측정, 환기설비를 통해 급기하는 등 적정한 공기상태가 유지_x000a_▶ 밀폐공간에 관련공사 관계자 외 출입을 금지하도록 조치"/>
  </r>
  <r>
    <n v="11"/>
    <x v="0"/>
    <x v="34"/>
    <x v="70"/>
    <s v="YES"/>
    <x v="30"/>
    <x v="56"/>
    <s v="해당없음"/>
    <s v="해당없음"/>
    <s v="해당없음"/>
    <s v="2019년 11월"/>
    <d v="2019-11-01T00:00:00"/>
    <n v="11"/>
    <s v="-"/>
    <x v="12"/>
    <s v="2019년 11월경 가스배관 이설공사 현장에서 재해자가 가스배관(직경 500mm) 내부로 들어가 용접작업 하던 중 갑자기 의식을 잃고 쓰러져 사망"/>
    <s v="곡관 부위 티그 용접작업 후 내부 용접 비드 확인 및 사상작업 실시를 위한 배관내부 진입 후 산소결핍에 의한 의식상실"/>
    <s v="▶ 질식 위험이 있는 작업 시 질식위험공간 파악 후 출입금지조치 실시_x000a_▶ 작업 전 가스농도 측정을 통한 환기조치 후 작업 실시 "/>
  </r>
  <r>
    <n v="11"/>
    <x v="0"/>
    <x v="1"/>
    <x v="2"/>
    <s v="YES"/>
    <x v="30"/>
    <x v="56"/>
    <s v="해당없음"/>
    <s v="해당없음"/>
    <s v="해당없음"/>
    <s v="2016년 3월경"/>
    <d v="2016-03-01T00:00:00"/>
    <n v="3"/>
    <s v="-"/>
    <x v="12"/>
    <s v="2016년 3월경 OOO시 OO면에 위치한 OOOO상수도 노후관 갱생공사현장 OO번 작업구로부터 OO번 작업구 방향으로891m지점에서 ㈜OOOO 소속 작업자 3명이 지하상수도관 내부 물을 빼내기 위해 제수변실 내 상수도관 천공작업 중 유해가스 질식"/>
    <s v="노후 상수도관 교체를 위해 제수변실에서 상수도관 천공 중 유해가스 질식"/>
    <s v="▶ 밀폐공간 내부 작업 시 작업 전 산소 및 유해가스 농도 측정을 통한 작업여부 확인 _x000a_▶ 밀폐공간 내부 작업 시 송기마스크, 구명밧줄, 안전대 및 사다리 등 대피용 기구 비치"/>
  </r>
  <r>
    <n v="11"/>
    <x v="0"/>
    <x v="1"/>
    <x v="2"/>
    <s v="YES"/>
    <x v="30"/>
    <x v="56"/>
    <s v="해당없음"/>
    <s v="해당없음"/>
    <s v="해당없음"/>
    <s v="2017년 6경,"/>
    <d v="2017-06-01T00:00:00"/>
    <n v="6"/>
    <s v="혹서기"/>
    <x v="2"/>
    <s v="2017년 6경, OO시 OO구 OO동 소재 OOOO(주) OOOO토양환경개선공사 현장에서, 재해자가 유류탱크 상부 맨홀 접속관(맨홀가이드)을 탱크 곡면에 맞춰 설치하기 위해 산소절단기로 접속관의 아래부위를 용단하던 중, 불티가 탱크 속으로 들어가 유증기에 발화, 폭발하면서 그 충격으로 높이 5.1m 상부 주유소 천장에 부딪힌 후 바닥에 떨어져 사망한 재해임."/>
    <s v="근로자가 유류탱크 상부 맨홀가이드를 탱크 곡면에 맞춰 산소절단기로 접속관의 아래부위를 용단하던 중 발생한 불티가 유증기에 발화, 폭발하면서 천장에 부딪힌 후 바닥으로 떨어짐"/>
    <s v="▶ 유증기 발생을 고려하여 청소 후 지속적으로 환기 실시_x000a_▶ 현장에 가스 검지 및 경보성능을 갖춘 장치 설치_x000a_▶ 사전에 작업현장 내에 위험성 평가를 실시하여 폭발사고 발생위험 예방"/>
  </r>
  <r>
    <n v="11"/>
    <x v="0"/>
    <x v="1"/>
    <x v="2"/>
    <s v="YES"/>
    <x v="30"/>
    <x v="56"/>
    <s v="해당없음"/>
    <s v="해당없음"/>
    <s v="해당없음"/>
    <s v="2019년 5월경"/>
    <d v="2019-05-01T00:00:00"/>
    <n v="5"/>
    <s v="-"/>
    <x v="18"/>
    <s v="2019년 5월경 OOO시 OO구 소재, OOOO 상수도 맨홀 작업장에서 작업자 3명이 맨홀 내부 배수 작업에 이용한 양수기(내연기관)에서 발생한 일산화탄소 등 유해가스에 의해 중독되어, 1명이 사망하고 2명이 부상을 입은 재해임"/>
    <s v="맨홀내부에서 배수 작업에 이용한 양수기 일산화탄소에 중독"/>
    <s v="▶ 밀폐공간 내부 작업 시 작업 전 산소 및 유해가스 농도 측정을 통한 작업여부 확인 _x000a_▶ 밀폐공간 내부 작업 시 송기마스크, 구명밧줄, 안전대 및 사다리 등 대피용 기구 비치"/>
  </r>
  <r>
    <n v="11"/>
    <x v="0"/>
    <x v="1"/>
    <x v="2"/>
    <s v="YES"/>
    <x v="30"/>
    <x v="56"/>
    <s v="해당없음"/>
    <s v="해당없음"/>
    <s v="해당없음"/>
    <s v="2020년 4월경"/>
    <d v="2020-04-01T00:00:00"/>
    <n v="4"/>
    <s v="-"/>
    <x v="18"/>
    <s v="2020년 4월경 OO시 OO구 소재 OOOO앞 하수관로신설(확충)공사[OOOO] 현장에서 지하 하수관 신설공사(직경800mm 강관압입공법) 중 강관내부 폐기물(철근, 쇠, 철재류 등으로 추정) 용단작업을 위해 재해자(OOO)가 용단용 토치(산소+LPG)를 가지고 들어간 후 폭발이 발생하였고, 폭발음을 감지한 동료 재해자(OOO, OOO)가 구출을 위해 강관내부로 차례로 들어가 폭발연소 시 발생한 일산화탄소에 재해자 모두 중독 사망한 재해임"/>
    <s v="하수관 강관압입공사 현장에서 강관내부 폐기물 용단작업 중 폭발 발생. 이 후 구조를 위해 들어간 동료근로자 2명이 폭발로 인해 발생한 일산화탄소에 중독 "/>
    <s v="▶ 밀폐공간 내부 작업 시 작업 전 산소 및 유해가스 농도 측정을 통한 작업여부 확인 _x000a_▶ 밀폐공간 내부 작업 시 송기마스크, 구명밧줄, 안전대 및 사다리 등 대피용 기구 비치"/>
  </r>
  <r>
    <n v="11"/>
    <x v="0"/>
    <x v="1"/>
    <x v="2"/>
    <s v="YES"/>
    <x v="30"/>
    <x v="56"/>
    <s v="해당없음"/>
    <s v="해당없음"/>
    <s v="해당없음"/>
    <s v="2020년 6월경"/>
    <d v="2020-06-01T00:00:00"/>
    <n v="6"/>
    <s v="혹서기"/>
    <x v="2"/>
    <s v="2020년 6월경 OOOOOO 앞 빗물받이 신설공사 현장에서 빗물받이 설치를 위한 사전조사 작업 중 재해자1(OOO)이 맨홀뚜껑을 열고 맨홀내부로 들어가기 위해 맨홀입구에 양팔꿈치로상체를 걸친 후 내려가려다 맨홀내부에 약 2.8m 높이로 쌓여있던 슬러지가 쌓여 있는물로 떨어져 재해자1(OOO)의 신체가 확인되지 않자 사고맨홀 주변에 있던 포크레인 기사 재해자2(OOO)가 포크레인 버켓에 로프(길이 약 2m)를 묶은 후 로프를 잡고 맨홀내부로 진입하여 한손엔 로프, 다른한손엔 맨홀내부 사다리를 잡은 상태에서 발로 슬러지를 수 초간 휘저으며 재해자1(OOO)을 찾으려다 산소결핍으로 인하여 슬러지가 있는 물에 빠진 것으로 추정. 이 후 소방서 구조작업에 의해 재해자(OOO, OOO)가 사망한 상태로 발견된 재해임"/>
    <s v="빗물받이 설치 사전조사를 위해 맨홀내부로 들어가던 중 유해가스에 질식되어 작업자 추락. 이를 구하려던 굴삭기 기사도 질식되어 함께 추락 "/>
    <s v="▶ 밀폐공간 내부 작업 시 작업 전 산소 및 유해가스 농도 측정을 통한 작업여부 확인 _x000a_▶ 밀폐공간 내부 작업 시 송기마스크, 구명밧줄, 안전대 및 사다리 등 대피용 기구 비치"/>
  </r>
  <r>
    <n v="12"/>
    <x v="1"/>
    <x v="2"/>
    <x v="3"/>
    <s v="YES"/>
    <x v="30"/>
    <x v="56"/>
    <s v="해당없음"/>
    <s v="해당없음"/>
    <s v="해당없음"/>
    <s v="2016년 10월"/>
    <d v="2016-10-01T00:00:00"/>
    <n v="10"/>
    <s v="-"/>
    <x v="11"/>
    <s v="2016년 10월경 OO철거공사 현장에서 테레프탈산(TPA) 저장용 사일로 해체를 위해 사일로 지붕과 본체 측면부의 맨홀 덮개 용단작업중 사일로 내부에서 폭발이 발생하여 사일로 지붕 상부에 있던 재해자가 사망"/>
    <s v="TPA(테레프탈산) 저장용 사일로 해체 및 용단작업 중 사일로 내부 폭발"/>
    <s v="▶ 화재 및 폭발에 대한 위험작업 계획 수립 후 작업실시_x000a_▶ 내부의 가연성 분진을 제거한 후 용단작업실시"/>
  </r>
  <r>
    <n v="12"/>
    <x v="1"/>
    <x v="2"/>
    <x v="3"/>
    <s v="YES"/>
    <x v="30"/>
    <x v="56"/>
    <s v="해당없음"/>
    <s v="해당없음"/>
    <s v="해당없음"/>
    <s v="2016년 10월"/>
    <d v="2016-10-01T00:00:00"/>
    <n v="10"/>
    <s v="-"/>
    <x v="11"/>
    <s v="2016년 10월경 OO건설공사 현장에서 재해자가 철거되는 원유배관을 매립하기 위하여 배관청소 작업을 준비 하던 중 인화성 증기에 의한 폭발로 사망함"/>
    <s v="원유배관을 매립하기 위해 배관청소 작업을 준비하던 중 마찰로 인화성 증기에 의한 폭발"/>
    <s v="▶ 화재 및 폭발에 대한 위험작업 계획 수립 후 작업실시_x000a_▶ 마찰이나 충격에 의한 불꽃 발생의 우려가 있는 공구 등의 사용금지"/>
  </r>
  <r>
    <n v="12"/>
    <x v="1"/>
    <x v="5"/>
    <x v="6"/>
    <s v="YES"/>
    <x v="30"/>
    <x v="56"/>
    <s v="해당없음"/>
    <s v="해당없음"/>
    <s v="해당없음"/>
    <s v="2016년 4월경"/>
    <d v="2016-04-01T00:00:00"/>
    <n v="4"/>
    <s v="-"/>
    <x v="11"/>
    <s v="2016년 4월경 OO다세대 신축공사 현장에서 재해자가 지상1층 주차장에서 사용하고 남은 알콜을 폐기하기 위해 철제통에서 알콜을 태우던 중, 플라스틱 통에 담긴 알콜을 불붙은 철제통에 붓는 과정에서 플라스틱 통이 폭발하여 화상을 입고 사망"/>
    <s v="알코올 폐기를 위해 철제통에 알코올을 태우던 중 플라스틱 통에 담긴 알코올을 추가로 붓는 과정에서 플라스틱통 또는 금속용기가 폭발하여 근처에 있던 근로자 화상"/>
    <s v="▶ 알코올 폐기작업 시, 폭발, 화재 등의 위험이 없는 소각로 및 소각장에서 폐기작업 실시_x000a_▶ 폭발, 화재 발생 가능성이 있는 작업 시, 주변부 소화기 배치 및 점화원 물체의 배치를 금지"/>
  </r>
  <r>
    <n v="12"/>
    <x v="1"/>
    <x v="5"/>
    <x v="6"/>
    <s v="YES"/>
    <x v="30"/>
    <x v="56"/>
    <s v="해당없음"/>
    <s v="해당없음"/>
    <s v="해당없음"/>
    <s v="2017년 2월경"/>
    <d v="2017-02-01T00:00:00"/>
    <n v="2"/>
    <s v="혹한기"/>
    <x v="18"/>
    <s v="2017년 2월경 석유화학제품인 OOO제조라인 증발기(vaporizer, 기액분리기) 내부에서 재해자가 증발기 내부와 배관내벽의 불순물 제거 및 세정 작업 중 유독성 유기용제에 중독(추정)되어 증발기 내부에 고인 물속에 쓰러진 후 사망"/>
    <s v="세척설비 내부 청소작업 중 잔류되어있던 증기에 중독"/>
    <s v="▶ 밀폐공간 내부 작업 시 작업 전 산소 및 유해가스 농도 측정을 통한 작업여부 확인_x000a_▶ 밀폐공간 작업 시 충분한 환기 실시"/>
  </r>
  <r>
    <n v="12"/>
    <x v="1"/>
    <x v="5"/>
    <x v="6"/>
    <s v="YES"/>
    <x v="30"/>
    <x v="56"/>
    <s v="해당없음"/>
    <s v="해당없음"/>
    <s v="해당없음"/>
    <s v="2017년 3월경"/>
    <d v="2017-03-01T00:00:00"/>
    <n v="3"/>
    <s v="-"/>
    <x v="18"/>
    <s v="2017년 3월경 OOO외 1인 건물공사 신축현장에서 OO인력 소속 재해자가 생수병에 담겨있던 세정제(백화제거제)를 생수로 오인하여 음용 후 사망"/>
    <s v="작업 전 생수병에 담겨져 있는 세정제를 생수로 오인하여 음용"/>
    <s v="▶ 물질안전보건자료 작성 및 제공_x000a_▶ 관리대상 유해물질의 운반ㆍ저장 장소 지정"/>
  </r>
  <r>
    <n v="12"/>
    <x v="1"/>
    <x v="5"/>
    <x v="6"/>
    <s v="YES"/>
    <x v="30"/>
    <x v="56"/>
    <s v="해당없음"/>
    <s v="해당없음"/>
    <s v="해당없음"/>
    <s v="2017년 6월경"/>
    <d v="2017-06-01T00:00:00"/>
    <n v="6"/>
    <s v="혹서기"/>
    <x v="2"/>
    <s v="2017년 6월경 OO건설이 시공하는 OO하수관거 정비공사 현장 부근 오수맨홀에서 재해자가 맨홀 내부에 들어갔다가 의식을 잃고 사다리에서 추락하여 사망"/>
    <s v="맨홀 내부 진입 중 의식을 잃고 추락"/>
    <s v="▶ 밀폐공간 내부 작업 시 작업 전 산소 및 유해가스 농도 측정을 통한 작업여부 확인_x000a_▶ 밀폐공간 내부 작업 시 송기마스크, 구명밧줄, 안전대 및 사다리 등 대피용 기구 비치"/>
  </r>
  <r>
    <n v="12"/>
    <x v="1"/>
    <x v="5"/>
    <x v="6"/>
    <s v="YES"/>
    <x v="30"/>
    <x v="56"/>
    <s v="해당없음"/>
    <s v="해당없음"/>
    <s v="해당없음"/>
    <s v="2017년 8월경"/>
    <d v="2017-08-01T00:00:00"/>
    <n v="8"/>
    <s v="혹서기"/>
    <x v="2"/>
    <s v="2017년 8월경 OO아파트 앞 도로 맨홀내부 제수변실에서 OO건설(주)소속 재해자 2명이 아파트 세대 상수도 공급을 위해 약 3m 깊이의 맨홀내부 제수변실의 밸브를 확인하러 내려간 후 의식을 잃고 쓰러지며  2명 모두 사망"/>
    <s v="맨홀 내부 진입 중 의식을 잃고 추락"/>
    <s v="▶ 밀폐공간 내부 작업 시 작업 전 산소 및 유해가스 농도 측정을 통한 작업여부 확인_x000a_▶ 밀폐공간 내부 작업 시 송기마스크, 구명밧줄, 안전대 및 사다리 등 대피용 기구 비치"/>
  </r>
  <r>
    <n v="12"/>
    <x v="1"/>
    <x v="5"/>
    <x v="6"/>
    <s v="YES"/>
    <x v="30"/>
    <x v="56"/>
    <s v="해당없음"/>
    <s v="해당없음"/>
    <s v="해당없음"/>
    <s v="2018년 9월경"/>
    <d v="2018-09-01T00:00:00"/>
    <n v="9"/>
    <s v="-"/>
    <x v="18"/>
    <s v="2018년 9월경 OOOO(주) OO라인 사무동 지하1층에 위치한 CO2 소화설비 집합관실에서, 선택밸브 이탈로 CO2가스가 방출되어 집합관실 밖으로 누출되면서 집합관실 밖 이동통로에서 자재정리를 하던 ㈜OOO산업 소속 근로자 3명이 CO2가스를 흡입하여 2명이 사망하고 1명이 부상당한 재해임"/>
    <s v="CO2 소화설비 집합관실에서 선택밸브 이탈로 CO2가스가 방출되어 집합관실 밖으로 누출되면서 집합관실 밖 이동통로에서 자재정리를 하던 증 근로자 3명이 CO2가스를 흡입"/>
    <s v="▶ CO2 소화설비 설치완료 후 정상설치 여부 관리감독"/>
  </r>
  <r>
    <n v="12"/>
    <x v="1"/>
    <x v="5"/>
    <x v="6"/>
    <s v="YES"/>
    <x v="30"/>
    <x v="56"/>
    <s v="해당없음"/>
    <s v="해당없음"/>
    <s v="해당없음"/>
    <s v="2018년 9월경"/>
    <d v="2018-09-01T00:00:00"/>
    <n v="9"/>
    <s v="-"/>
    <x v="2"/>
    <s v="2018년 9월경 탈황 반응기 내부 밀폐공간에서 촉매 교체를 위한 언로딩 작업을 수행하던 근로자가 작업교대를 위하여 반응기 하부에서 상부에 위치한 개구부로 사다리를 타고 올라오던 중 개구부로부터 약 3m 지점에서 착용하고 있던 안전대 및 안전대와 연결된 송기마스크를 스스로 벗은 후 올라오려다가 떨어짐"/>
    <s v="반응기 내부 폐촉매 제거작업 중 작업교대를 위해 사다리를 타고 올라오던 중 착용 중인 안전대 조정 과정에서 손이 미끄러지면서 바닥으로 추락"/>
    <s v="▶ 사다리식 통로 설치 시 상단을 개구부로부터 60cm 이상 올라가도록 설치_x000a_▶ 밀폐공간 내부작업 시 작업 전 산소 및 유해가스 농도 측정 실시"/>
  </r>
  <r>
    <n v="12"/>
    <x v="1"/>
    <x v="5"/>
    <x v="6"/>
    <s v="YES"/>
    <x v="30"/>
    <x v="56"/>
    <s v="해당없음"/>
    <s v="해당없음"/>
    <s v="해당없음"/>
    <s v="2018년 10월"/>
    <d v="2018-10-01T00:00:00"/>
    <n v="10"/>
    <s v="-"/>
    <x v="9"/>
    <s v="2018년 10월경 OOOO(주) OO본부에서 석탄저장 사일로(D) 상부에 설치된 집진기(BF-15)의 백필터 교체작업 중 집진기 내부에서 발생하는 연기의 원인을 확인하기 위해 점검용 맨홀을 여는 순간 백드래프트가 발생하여 1명 사망, 4명 부상"/>
    <s v="집진기 백필터 교체작업 중 집진기 내부에서 발생한 연기 파악을 위해 점검용 맨홀을 여는 순간 산소 유입에 의한 백드래프트가 발생하여 화상"/>
    <s v="▶ 집진기 내부 등에 대해서는 잔류석탄 제거, 불연성 가스 소화설비 설치, 불활성 가스치환, 온도상승 방지용 살수설비 설치 등을 통한 자연발화 방지조치 실시_x000a_▶ 집진기 정비 시 주기적 점검(연 2회 이상), 백필터 교체(연 1회) 등 정비절차 기준 및 절차 준수 철저"/>
  </r>
  <r>
    <n v="12"/>
    <x v="1"/>
    <x v="5"/>
    <x v="6"/>
    <s v="YES"/>
    <x v="30"/>
    <x v="56"/>
    <s v="해당없음"/>
    <s v="해당없음"/>
    <s v="해당없음"/>
    <s v="2019년 5월경"/>
    <d v="2019-05-01T00:00:00"/>
    <n v="5"/>
    <s v="-"/>
    <x v="11"/>
    <s v="2019년 5월경 OO단독주택 신축공사(개인) 현장에서, 작업시작 전 추위를 녹이기 위해 화목에 불을 피워놓고 쬐던 중 근처의 접착제*가 들어있던 금속용기가 폭발하여 근처에 있던 재해자가 2~3도 화상을 입고 사망"/>
    <s v="알코올 폐기를 위해 철제통에 알코올을 태우던 중 플라스틱 통에 담긴 알코올을 추가로 붓는 과정에서 플라스틱통 또는 금속용기가 폭발하여 근처에 있던 근로자 화상"/>
    <s v="▶ 알코올 폐기작업 시, 폭발, 화재 등의 위험이 없는 소각로 및 소각장에서 폐기작업 실시_x000a_▶ 폭발, 화재 발생 가능성이 있는 작업 시, 주변부 소화기 배치 및 점화원 물체의 배치를 금지"/>
  </r>
  <r>
    <n v="12"/>
    <x v="1"/>
    <x v="5"/>
    <x v="6"/>
    <s v="YES"/>
    <x v="30"/>
    <x v="56"/>
    <s v="해당없음"/>
    <s v="해당없음"/>
    <s v="해당없음"/>
    <s v="2019년 6월경"/>
    <d v="2019-06-01T00:00:00"/>
    <n v="6"/>
    <s v="혹서기"/>
    <x v="18"/>
    <s v="2019년 6월경 재해자가 트리클로로에틸렌(Trichloroethylene, 이하 TCE) 세척설비 내부에 들어가 세척조에 있는 이물질 청소작업을 하다가, 세척설비 내부에 잔류되어 있던 TCE 증기에 중독되어 넘어지며 뒤에 있는 세척조에 빠져 사망"/>
    <s v="세척설비 내부 청소작업 중 잔류되어있던 증기에 중독"/>
    <s v="▶ 밀폐공간 내부 작업 시 작업 전 산소 및 유해가스 농도 측정을 통한 작업여부 확인_x000a_▶ 밀폐공간 작업 시 충분한 환기 실시"/>
  </r>
  <r>
    <n v="2"/>
    <x v="2"/>
    <x v="6"/>
    <x v="33"/>
    <s v="YES"/>
    <x v="30"/>
    <x v="56"/>
    <s v="해당없음"/>
    <s v="해당없음"/>
    <s v="해당없음"/>
    <s v="2015년 12월"/>
    <d v="2015-12-01T00:00:00"/>
    <n v="12"/>
    <s v="혹한기"/>
    <x v="9"/>
    <s v="2015년 12월경 OO건설(주)이 시공하는 OO신축공사 현장에서 협력업체 소속 재해자가 화목이 타고 있는난로에 인화성액체(휘발유 또는 신너)를 넣는 순간 화염이 발생하여 본인과 다른 재해자의 옷에 불이 붙어 2명 부상"/>
    <s v="위험물질의 불안전한 사용 등 화목이 타고 있는난로에 인화성액체(휘발유 또는 신너)를 넣는 순간 화염이 발생하여 옷에 불이 붙어 화상을 입음"/>
    <s v="▶ 작업시 화재, 폭발 예방조치 준수_x000a_▶ 인화성액체(휘발유 또는 신너) 등 위험물 보관 규정 준수"/>
  </r>
  <r>
    <n v="2"/>
    <x v="2"/>
    <x v="8"/>
    <x v="12"/>
    <s v="YES"/>
    <x v="30"/>
    <x v="56"/>
    <s v="해당없음"/>
    <s v="해당없음"/>
    <s v="해당없음"/>
    <s v="2017년 12월"/>
    <d v="2017-12-01T00:00:00"/>
    <n v="12"/>
    <s v="혹한기"/>
    <x v="12"/>
    <s v="2017년 12월경 도시형생활주택 신축공사현장 부대시설 지하층에서, ㈜OO의 하청업체인 OO건설(주) 소속 재해자 2명이 당일 보온·양생을 위해 피워놓은 야자열매숯 난로를 교체작업 중 일산화탄소에 의한 질식으로 사망"/>
    <s v="동절기 콘크리트 타설 후 보온양생용 숯 난로를 사용하는 현장에서 농도측정을 하지 않고 송기마스크를 착용하지 않은채 작업장에 출입한 근로자 질식"/>
    <s v="▶ 동절기 콘크리트의 보온양생을 목적으로 갈탄, 목탄,야자열매 숯 등 난로를 사용하는 경우, 주기적으로 작업장 내 환기 실시_x000a_▶ 동절기 콘크리트의 보온양생을 목적으로 난로를 사용하는 경우, 재료(야자열매숯, 갈탄 등)의 일산화탄소 발생 시험성적, 밀폐 공간에서 사용 시 발생할 수 있는 질식재해 등과 같은 위험성을 사전에 확인 후 사용하도록 조치_x000a_▶ 동절기 콘크리트의 보온양생을 목적으로 난로를 사용하고 일정시간 사용 후 교체하는 경우, 반드시 호흡용 보호구를 착용하고 유해가스 농도 측정기를 사용하여 질식사고에 대비"/>
  </r>
  <r>
    <n v="2"/>
    <x v="2"/>
    <x v="8"/>
    <x v="12"/>
    <s v="YES"/>
    <x v="30"/>
    <x v="56"/>
    <s v="해당없음"/>
    <s v="해당없음"/>
    <s v="해당없음"/>
    <s v="2017년 12월"/>
    <d v="2017-12-01T00:00:00"/>
    <n v="12"/>
    <s v="혹한기"/>
    <x v="12"/>
    <s v="2017년 12월경 공동주택 신축공사 현장에서 ㈜OO 협력업체인 OO건설(주) 소속 근로자(최초 목격자)가 1동 옥탑2층 타설 후 콘크리트 보온양생을 위해 난로(대나무숯)를 점화하였고 이후 난로의 상태를 확인하기 위하여 해당 장소로 올라간 재해자가 사망"/>
    <s v="동절기 콘크리트 타설 후 보온양생용 숯 난로를 사용하는 현장에서 농도측정을 하지 않고 송기마스크를 착용하지 않은채 작업장에 출입한 근로자 질식"/>
    <s v="▶ 동절기 콘크리트의 보온양생을 목적으로 갈탄, 목탄,야자열매 숯 등 난로를 사용하는 경우, 주기적으로 작업장 내 환기 실시_x000a_▶ 동절기 콘크리트의 보온양생을 목적으로 난로를 사용하는 경우, 재료(야자열매숯, 갈탄 등)의 일산화탄소 발생 시험성적, 밀폐 공간에서 사용 시 발생할 수 있는 질식재해 등과 같은 위험성을 사전에 확인 후 사용하도록 조치_x000a_▶ 동절기 콘크리트의 보온양생을 목적으로 난로를 사용하고 일정시간 사용 후 교체하는 경우, 반드시 호흡용 보호구를 착용하고 유해가스 농도 측정기를 사용하여 질식사고에 대비"/>
  </r>
  <r>
    <n v="2"/>
    <x v="2"/>
    <x v="8"/>
    <x v="12"/>
    <s v="YES"/>
    <x v="30"/>
    <x v="56"/>
    <s v="해당없음"/>
    <s v="해당없음"/>
    <s v="해당없음"/>
    <s v="2019년 1월경"/>
    <d v="2019-01-01T00:00:00"/>
    <n v="1"/>
    <s v="혹한기"/>
    <x v="12"/>
    <s v="2019년 1월경 ㈜OO 공동주택 신축공사 현장 106동 옥탑2층에서 협력업체인 OO개발(주) 소속 재해자 2명이 콘크리트 타설 후 보온양생용으로 피워놓은 드럼난로의 숯탄 보충작업을 하던 중 숯탄이 연소되며 발생한 일산화탄소에 의해 중독·질식하여 사망_x000d_"/>
    <s v="동절기 콘크리트 타설 후 보온양생용 숯 난로를 사용하는 현장에서 농도측정을 하지 않고 송기마스크를 착용하지 않은채 작업장에 출입한 근로자 질식"/>
    <s v="▶ 동절기 콘크리트의 보온양생을 목적으로 갈탄, 목탄,야자열매 숯 등 난로를 사용하는 경우, 주기적으로 작업장 내 환기 실시_x000a_▶ 동절기 콘크리트의 보온양생을 목적으로 난로를 사용하는 경우, 재료(야자열매숯, 갈탄 등)의 일산화탄소 발생 시험성적, 밀폐 공간에서 사용 시 발생할 수 있는 질식재해 등과 같은 위험성을 사전에 확인 후 사용하도록 조치_x000a_▶ 동절기 콘크리트의 보온양생을 목적으로 난로를 사용하고 일정시간 사용 후 교체하는 경우, 반드시 호흡용 보호구를 착용하고 유해가스 농도 측정기를 사용하여 질식사고에 대비"/>
  </r>
  <r>
    <n v="2"/>
    <x v="2"/>
    <x v="8"/>
    <x v="12"/>
    <s v="YES"/>
    <x v="30"/>
    <x v="56"/>
    <s v="해당없음"/>
    <s v="해당없음"/>
    <s v="해당없음"/>
    <s v="2019년 2월경"/>
    <d v="2019-02-01T00:00:00"/>
    <n v="2"/>
    <s v="혹한기"/>
    <x v="12"/>
    <s v="2019년 2월경 OO(주) 아파트 건설공사 현장 101동 옥탑 2층에서 재해자가 콘크리트 타설 후 보온양생용으로 피워놓은 드럼난로의 코코넛탄이 연소되며 발생한 일산화탄소에 의해 중독·질식되어 사망"/>
    <s v="동절기 콘크리트 타설 후 보온양생용 숯 난로를 사용하는 현장에서 농도측정을 하지 않고 송기마스크를 착용하지 않은채 작업장에 출입한 근로자 질식"/>
    <s v="▶ 동절기 콘크리트의 보온양생을 목적으로 갈탄, 목탄,야자열매 숯 등 난로를 사용하는 경우, 주기적으로 작업장 내 환기 실시_x000a_▶ 동절기 콘크리트의 보온양생을 목적으로 난로를 사용하는 경우, 재료(야자열매숯, 갈탄 등)의 일산화탄소 발생 시험성적, 밀폐 공간에서 사용 시 발생할 수 있는 질식재해 등과 같은 위험성을 사전에 확인 후 사용하도록 조치_x000a_▶ 동절기 콘크리트의 보온양생을 목적으로 난로를 사용하고 일정시간 사용 후 교체하는 경우, 반드시 호흡용 보호구를 착용하고 유해가스 농도 측정기를 사용하여 질식사고에 대비"/>
  </r>
  <r>
    <n v="4"/>
    <x v="4"/>
    <x v="11"/>
    <x v="16"/>
    <s v="YES"/>
    <x v="30"/>
    <x v="56"/>
    <s v="해당없음"/>
    <s v="해당없음"/>
    <s v="해당없음"/>
    <s v="2016년 8월경"/>
    <d v="2016-08-01T00:00:00"/>
    <n v="8"/>
    <s v="혹서기"/>
    <x v="18"/>
    <s v="2016년 8월경 OO도시철도 102정거장 터널입구 본선개착구간(지하 17.2m 높이) 현장에서 박OO 반장 등 근로자 3명은 소속 현장소장의 지시에 따라 지하 SHEET 방수작업을 시작하였으며, 이OO 씨는 맨 아래층에서 “톨루엔” 등이 다량 함유된 아스팔트 프라이머 도포 작업을 하였고 그 위층에서 박OO 반장 및 김OO 씨는 방수용 시트 부착 작업을 실시함. 작업 중에 시트가 부족하여 김OO 씨가 지상 1층으로 올라가 시트를 가져오던 중 박OO 반장은 보이지 않고 맨 아래층에서 소리가 나 확인하니 박OO 반장과 이OO 씨가 쓰러져 있는 것을 발견함. 김OO 씨는 구조를 위해 아래로 내려갔으나 본인도 어지러워 잠시 정신을 잃은 후 대합실로 올라와 쓰러졌고 다른 근로자에게 도움을 요청함. 주변 목수들이 지하에 쓰러진 박OO 반장 및 이OO 씨를 구조한 후 14시 경 119에 신고하여 병원으로 후송하였으나 박OO 씨가 사망하고 1명이 부상"/>
    <s v="터널입구 본선개착구간의 지하 SHEET 방수작업 중 '톨루엔' 등이 다량 함유된 아스팔트 프라이머를 도포하던 작업자는 지하에 쓰러진 상태로 발견"/>
    <s v="▶ 지하 등 자연환기가 어려운 장소에서 '톨루엔' 등 유해화합물이 다량 혼합된 프라이머 도포작업을 하는 경우, 송풍기, 환기설비 등을 사용하여 강제 환기 조치 실시_x000a_▶ 지하 등 자연환기가 어려운 장소에서 '톨루엔' 등 유해화합물이 다량 혼합된 프라이머 도포작업을 하는 경우, 송기마스크나 방독마스크를 지급하여 착용하도록 조치"/>
  </r>
  <r>
    <n v="4"/>
    <x v="4"/>
    <x v="11"/>
    <x v="16"/>
    <s v="YES"/>
    <x v="30"/>
    <x v="56"/>
    <s v="해당없음"/>
    <s v="해당없음"/>
    <s v="해당없음"/>
    <s v="2018년 9월경"/>
    <d v="2018-09-01T00:00:00"/>
    <n v="9"/>
    <s v="-"/>
    <x v="18"/>
    <s v="2018년 9월경 OO(주) OO 주상복합 신축공사 현장에서 ㈜OO건설 소속 재해자(방수공)가 302동 지하주차장 외벽과 흙막이 벽체사이(길이 : 19m, 폭 : 2.5m, 깊이: 15m)에 설치된 비계 1.5단 작업발판(높이:2.9m) 위에서 외벽 우레탄 방수작업 중 도포된 유기용제(프라이머) 유증기에 의해 중독되어 의식을 잃고 2.9m 아래 바닥으로 떨어져 사망하고, 동료작업자 3명은 중독"/>
    <s v="지하층 방수 작업 중 도포된 유기용제 증기에 중독되어 사망"/>
    <s v="▶ 유기화학물 취급 특별장소 작업 시 환기설비 설치 및 가동 철저_x000a_▶ 송기마스크 등 호흡용 개인보호구 지급 및 착용 철저_x000a_▶ 관리감독자 등 감시인 배치 "/>
  </r>
  <r>
    <n v="4"/>
    <x v="4"/>
    <x v="11"/>
    <x v="16"/>
    <s v="YES"/>
    <x v="30"/>
    <x v="56"/>
    <s v="해당없음"/>
    <s v="해당없음"/>
    <s v="해당없음"/>
    <s v="2019년 4월경"/>
    <d v="2019-04-01T00:00:00"/>
    <n v="4"/>
    <s v="-"/>
    <x v="18"/>
    <s v="2019년 4월경 위험물저장소 신축공사 현장내 기계실 지하저수조에서 재해자(방수공)가 방수(프라이머) 작업 중 휘발성 유기화합물에 의한 중독으로 사망"/>
    <s v="지하층 방수 작업 중 도포된 유기용제 증기에 중독되어 사망"/>
    <s v="▶ 유기화학물 취급 특별장소 작업 시 환기설비 설치 및 가동 철저_x000a_▶ 송기마스크 등 호흡용 개인보호구 지급 및 착용 철저_x000a_▶ 관리감독자 등 감시인 배치 "/>
  </r>
  <r>
    <n v="4"/>
    <x v="4"/>
    <x v="11"/>
    <x v="16"/>
    <s v="YES"/>
    <x v="30"/>
    <x v="56"/>
    <s v="해당없음"/>
    <s v="해당없음"/>
    <s v="해당없음"/>
    <s v="2019년 5월경"/>
    <d v="2019-05-01T00:00:00"/>
    <n v="5"/>
    <s v="-"/>
    <x v="9"/>
    <s v="2019년 5월경 ㈜OO 사옥 신축공사 현장에서 방수공사 협력업체인 ㈜OOOO 소속 재해자 2명이 지하2층 소화저수조 내부 방수공사 보수작업 중 화재가 발생하여 화상으로 2명이 사망"/>
    <s v="화재발생 위험장소에서는 작업전 농도 측정을 실시하는등 농도 모니터링을 실시한후 작업 하여야 하나 이를 준수하지 않고 지하 소화저수조 내부 방수공사 보수작업 중 화재가 발생하여 화상으로 인한 근로자 사망 "/>
    <s v="▶ 화재위험 장소의 환기 및 인화성 증기 농도 모니터링 철저_x000a_▶ 화재위험 장소에서의 화기사용 금지_x000a_▶ 화재위험 장소에서의 작업 시 인화성 액체 취급관리 철저 "/>
  </r>
  <r>
    <n v="4"/>
    <x v="4"/>
    <x v="11"/>
    <x v="16"/>
    <s v="YES"/>
    <x v="30"/>
    <x v="56"/>
    <s v="해당없음"/>
    <s v="해당없음"/>
    <s v="해당없음"/>
    <s v="2019년 8월경"/>
    <d v="2019-08-01T00:00:00"/>
    <n v="8"/>
    <s v="혹서기"/>
    <x v="9"/>
    <s v="2019년 8월경 ㈜OO에서 시공하는 생활형숙박시설 신축공사 현장에서 재해자(방수공)는 엘리베이터 PIT내 바닥의 습기제거 작업을 위해 Torch 점화작업 중 발생한 화재로 화상을 입고 사망"/>
    <s v="화재발생 위험장소에서는 화기사용은 금지하여야 하나 엘리베이터 피트 내 바닥의 습기제거 작업을 위해 토치 점화작업 중 발생한 화재로 화상을 입고 근로자 사망"/>
    <s v="▶ 인화성 물질을 사용하는 화재발생 위험장소에서는 화기사용을 금지"/>
  </r>
  <r>
    <n v="4"/>
    <x v="4"/>
    <x v="11"/>
    <x v="16"/>
    <s v="YES"/>
    <x v="30"/>
    <x v="56"/>
    <s v="해당없음"/>
    <s v="해당없음"/>
    <s v="해당없음"/>
    <s v="2020년 10월"/>
    <d v="2020-10-01T00:00:00"/>
    <n v="10"/>
    <s v="-"/>
    <x v="18"/>
    <s v="2020년 10월경 OO 신축공사 현장 지상 1층 펌프실 내 저수조에서 재해자(도장공)가 저수조(가로 4.8m, 세로 2.8m, 깊이 1.6m) 내 방수(하도)작업 중 도포된 유기용제 유증기에 중독되어 사망"/>
    <s v="지하층 방수 작업 중 도포된 유기용제 증기에 중독되어 사망"/>
    <s v="▶ 유기화학물 취급 특별장소 작업 시 환기설비 설치 및 가동 철저_x000a_▶ 송기마스크 등 호흡용 개인보호구 지급 및 착용 철저_x000a_▶ 관리감독자 등 감시인 배치 "/>
  </r>
  <r>
    <n v="4"/>
    <x v="4"/>
    <x v="38"/>
    <x v="91"/>
    <s v="YES"/>
    <x v="30"/>
    <x v="56"/>
    <s v="해당없음"/>
    <s v="해당없음"/>
    <s v="해당없음"/>
    <s v="2017년 2월경"/>
    <d v="2017-02-01T00:00:00"/>
    <n v="2"/>
    <s v="혹한기"/>
    <x v="18"/>
    <s v="2017년 2월경 OO아파트 재건축 현장 내 필로티 구간에서 협력업체 소속 재해자가 바닥 석재 샘플시공을 위해 떠 다 놓은 방동제를 음용하여 중독 사망"/>
    <s v="석재 샘플시공을 위해 종이컵에 담아놓은 방동제를 음용하여 사망"/>
    <s v="▶ 방동제 등 화학물질 관련  MSDS를 취급 근로자가 볼 수 있도록 적당한 장소에 비치_x000a_▶ 방동제 등 화학물질을 용기에 취급할 경우, 경고표지 부착_x000a_▶ 방동제 등 화학물질을 종이컵 등 작업자가 의심하지 않고 마실 수 있는 용기에 담아놓는 행위 절대 금지하며 불가피하게 종이컵 등에 화학물질을 담는 경우, 인근 작업자들이 음용하지 않도록 감시 조치"/>
  </r>
  <r>
    <n v="4"/>
    <x v="4"/>
    <x v="22"/>
    <x v="41"/>
    <s v="YES"/>
    <x v="30"/>
    <x v="56"/>
    <s v="해당없음"/>
    <s v="해당없음"/>
    <s v="해당없음"/>
    <s v="2020년 12월"/>
    <d v="2020-12-01T00:00:00"/>
    <n v="12"/>
    <s v="혹한기"/>
    <x v="2"/>
    <s v="2020년 12월경 발코니창호 교체공사 현장에서 세대 내 거실에 적치되어 있던 우레탄 폼 용기 등이 인접해 있던 전기난로의 영향으로 인해 폭발하면서 화재가 발생하여 창호 교체작업 중이던 재해자 2명이 추락"/>
    <s v="발코니에서 작업하던 중 주변에 적치된 자재(우레탄폼 용기 등)가 인접한 전기난로에 의해 폭발, 화재가 발생하면서 바닥으로 추락"/>
    <s v="▶ 우레탄 폼 용기 등 폭발, 화재 발생 위험 물질을 사용하는 장소에서는 화기사용 금지_x000a_▶ 작업이 끝난 우레탄 폼 용기 등은 반출하거나 화기 접근이 통제된 위험물보관함에 보관 조치"/>
  </r>
  <r>
    <n v="4"/>
    <x v="4"/>
    <x v="13"/>
    <x v="19"/>
    <s v="YES"/>
    <x v="30"/>
    <x v="56"/>
    <s v="해당없음"/>
    <s v="해당없음"/>
    <s v="해당없음"/>
    <s v="2017년 1월경"/>
    <d v="2017-01-01T00:00:00"/>
    <n v="1"/>
    <s v="혹한기"/>
    <x v="9"/>
    <s v="2017년 1월경 다가구주택 신축공사 현장에서 재해자(미장공)가 계단을 이동하던 중 계단에 설치된 보온양생용 난로(알코올 연료) 불꽃이 작업복으로 옮겨 붙어 화상을 입고 사망"/>
    <s v="보온양생용 난로의 불꽂이 작업구간을 이동하던 재해자의 작업복에 옮겨붙어 화상"/>
    <s v="▶ 현장 내 콘크리트 양생용 연료를 근로자가 목적 외로 무단 반출하여 사용하는 것을 금지하고, 양생 중인 연료는 전도되지 않도록 주변 접근금지 또는 하부에 적절한 시설을 설치_x000a_▶ 현장에 난방이 필요한 경우, 화재 및 화상 예방 안전장치가 부착된 품질 보증 제품의 난방장비를 사용_x000a_▶ 화기사용 장소의 접근방지 조치 실시 및 소화기, 방화모래 등의 소화설비를 설치"/>
  </r>
  <r>
    <n v="4"/>
    <x v="4"/>
    <x v="13"/>
    <x v="42"/>
    <s v="YES"/>
    <x v="30"/>
    <x v="56"/>
    <s v="해당없음"/>
    <s v="해당없음"/>
    <s v="해당없음"/>
    <s v="2016년 1월경"/>
    <d v="2016-01-01T00:00:00"/>
    <n v="1"/>
    <s v="혹한기"/>
    <x v="9"/>
    <s v="2016년 1월경 (주)OO 근린생활시설 2층, 3층 내부인테리어 공사(헬스장 내부공사) 현장에서 재해자 등 작업자 3명이 함께 2층 남자탈의실 구간의 내부 칸막이(마그네슘 보드, 석고 보드 등)공사를 위해 칸막이 틀(메탈 스터드)을 설치하는 작업을 하던 중, 에탄올 임시난로 주변에서 작업용 공구를 녹이던 순간 임시난로가 강풍에 의해 넘어지면서 재해자들(2명)의 바지에 에탄올이 튀면서 불이 붙어 1명이 사망, 1명이 부상"/>
    <s v="강풍에 의해 난로가 넘어지면서 불꽂이 재해자의 작업복에 옮겨붙어 화상"/>
    <s v="▶ 현장 내 콘크리트 양생용 연료를 근로자가 목적 외로 무단 반출하여 사용하는 것을 금지하고, 양생 중인 연료는 전도되지 않도록 주변 접근금지 또는 하부에 적절한 시설을 설치_x000a_▶ 현장에 난방이 필요한 경우, 화재 및 화상 예방 안전장치가 부착된 품질 보증 제품의 난방장비를 사용_x000a_▶ 화기사용 장소의 접근방지 조치 실시 및 소화기, 방화모래 등의 소화설비를 설치"/>
  </r>
  <r>
    <n v="5"/>
    <x v="5"/>
    <x v="15"/>
    <x v="44"/>
    <s v="YES"/>
    <x v="30"/>
    <x v="56"/>
    <s v="해당없음"/>
    <s v="해당없음"/>
    <s v="해당없음"/>
    <s v="2016년 12월"/>
    <d v="2016-12-01T00:00:00"/>
    <n v="12"/>
    <s v="혹한기"/>
    <x v="12"/>
    <s v="2016년 12월경 OO공사에서 재해자 등이 냉동창고 1층의 내부벽체를 타공하고 가연성물질이 노출된 상태로 배관을 설치한 후 연결부를 용접하던 중 용접불티가 벽체 내부의 가연성물질(샌드위치패널 등)에 떨어지면서 화재가 발생하여 유독가스 질식으로 1명 사망 및 2명 부상"/>
    <s v="냉동창고 내부벽 백관파이프 배관 용접작업 중 용접불티가 노출된 벽체의 가연성물질(샌드위치패널, 우레탄폼)에 떨어져 발생한 화재로 근로자가 유독가스에 질식사"/>
    <s v="▶ 가연성물질이 노출된 상태의 배관연결 작업 시, 커플러를 이용한 배관접합부 연결 작업방식 실시_x000a_▶ 갈바늄 또는 용접방화포 등 불연재로 가연성물질 노출면 밀실시공 후 고정하는 방식의 방호조치 준수_x000a_▶ 불가피한 용접작업 시 불티방지 커버 설치 등 불티비산 방지조치 준수"/>
  </r>
  <r>
    <n v="5"/>
    <x v="5"/>
    <x v="15"/>
    <x v="46"/>
    <s v="YES"/>
    <x v="30"/>
    <x v="56"/>
    <s v="해당없음"/>
    <s v="해당없음"/>
    <s v="해당없음"/>
    <s v="2016년 6월경"/>
    <d v="2016-06-01T00:00:00"/>
    <n v="6"/>
    <s v="혹서기"/>
    <x v="10"/>
    <s v="2016년 6월경 OO화력 1∼4호기 고압차단기 및 부속자재 구매 및 설치공사 현장에서 재해자가 신규로 설치된 6.9KV고압차단기를 재인입하던 중 아크가 발생하면서 폭발적 연소에 따른 화상으로 사망"/>
    <s v="화력발전소에 6.9kV고압차단기 신규 설치 후 전류 인입 중 아크폭발로 인한 사망"/>
    <s v="▶ 감전 위험이 있는 작업 시 절연용 보호구(AE형 안전모, 절연장갑, 절연화) 및 방호구를 통한 감전방지조치 실시_x000a_▶ 충전전로 근접작업 시 전압에 따른 접근한계거리 준수_x000a_▶ 아크폭발에 의한 화상 방지를 위한 방염처리된 작업복 또는 난연성능을 가진 작업복 착용 실시 및 준수"/>
  </r>
  <r>
    <n v="5"/>
    <x v="5"/>
    <x v="15"/>
    <x v="46"/>
    <s v="YES"/>
    <x v="30"/>
    <x v="56"/>
    <s v="해당없음"/>
    <s v="해당없음"/>
    <s v="해당없음"/>
    <s v="2018년 9월경"/>
    <d v="2018-09-01T00:00:00"/>
    <n v="9"/>
    <s v="-"/>
    <x v="13"/>
    <s v="2018년 9월경 OO공사에서 맨홀 내부에서 케이블 정리작업 중이던 동료근로자가 맨홀바닥(물)에 떨어지는 소리를 듣고 재해자가 구조를 위해 맨홀 내부로 들어간 후 의식을 잃고 바닥(물)으로 떨어져 익사로 사망 "/>
    <s v="재해자는 맨홀 내부에 있는 광케이블 정리 작업 중 의식을 잃고 쓰러짐"/>
    <s v="▶ 밀폐공간 작업시 안전수칙 준수_x000a_   - 작업 시작 전,중 가스농도 측정 확인_x000a_   - 환기설비 설치 및 상시 가동_x000a_   - 작업자는 개인보호구(송기마스크 등)를 착용한 상태로 진입_x000a_   - 감시인을 배치하고 구호물품을 구비_x000a_   - 감시인과 작업자는 통신체계 구비_x000a_   - 밀폐공간 입구에 출입제한 표시_x000a_   - 작업 시작전 작업허가서 또는 작업계획서 작성 및 현장 비치"/>
  </r>
  <r>
    <n v="5"/>
    <x v="5"/>
    <x v="16"/>
    <x v="23"/>
    <s v="YES"/>
    <x v="30"/>
    <x v="56"/>
    <s v="해당없음"/>
    <s v="해당없음"/>
    <s v="해당없음"/>
    <s v="2016년 5월경"/>
    <d v="2016-05-01T00:00:00"/>
    <n v="5"/>
    <s v="-"/>
    <x v="18"/>
    <s v="2016년 5월경 OOOOO(주) OO공장의 OO 제조공정 Chamber 내에서 대정비 준비작업을 위해 공무팀 1명, 생산팀 1명과 협력업체 작업자 2명이 송기마스크(전면형)를 착용하고 포스겐 벤트 배관에 설치된 맹판(Spectacle Blind) 교체작업(close→open 위치 변경)을 실시하던 중 작업대상 배관내부의 가압된 포스겐 가스가 플랜지 사이로 누출되어 협력업체 직원 1명이 가스에 중독, 사망한 사고임"/>
    <s v="포스겐 벤트 배관에 설치된 맹판 교체작업을 실시하던 중 작업대상 배관내부의 가압된 포스겐 가스가 플랜지 사이로 누출되어 가스에 중독"/>
    <s v="▶ 탱크연결부 등 해체시 탱크를 개방하여 잔류물질을 사전에 제거_x000a_▶ 작업 시작전 잔류물질 측정 (가스농도 측정 등) _x000a_    - 측정시 개인보호구 착용(보호복, 장화 등)_x000a_▶ 탱크내 취급한 유해위험물질에 대한 교육 실시_x000a_    - MSDS교육 및 물질자료 현장 배치_x000a_▶ 유해위험물질 대상 탱크 해체 등 작업시 개인보호구 착용_x000a_▶ 작업구간 유해가스가 체류되지 않도록 환기조치 실시 (상시가동)"/>
  </r>
  <r>
    <n v="5"/>
    <x v="5"/>
    <x v="16"/>
    <x v="23"/>
    <s v="YES"/>
    <x v="30"/>
    <x v="56"/>
    <s v="해당없음"/>
    <s v="해당없음"/>
    <s v="해당없음"/>
    <s v="2016년 6월경"/>
    <d v="2016-06-01T00:00:00"/>
    <n v="6"/>
    <s v="혹서기"/>
    <x v="18"/>
    <s v="2016년 6월경 OO시 OO군 OO읍 소재 OOOO 공장내 OO2팀(OO 3계열) 황산 제조공정에서 보수 작업준비를 위하여 공정운전을 정지하고, ㈜OOOOO OOO 등 2명이 최종 흡수탑의 순환배관(600A)에 설치된 맹판(300A)을 개방하는 순간, 흡수탑과 배관내부에 체류되어 있던 황산(약 98 wt%)이 쏟아지면서(약 39,000리터) 맹판 개방 작업자 2명과 주변에서 작업하던 근로자를 포함 5명[㈜OOOOO]이 화상을 입게된 사고임"/>
    <s v="황산 제조공정에서 보수 작업준비를 위하여 공정운전을 정지하고 흡수탑의 순환배관에 설치된 맹판을 개방하는 순간, 흡수탑과 배관내부에 체류되어 있던 황산(약 98 wt%)이 쏟아지면서 화상을 입음"/>
    <s v="▶ 탱크연결부 등 해체시 탱크를 개방하여 잔류물질을 사전에 제거_x000a_▶ 작업 시작전 잔류물질 측정 (가스농도 측정 등) _x000a_    - 측정시 개인보호구 착용(보호복, 장화 등)_x000a_▶ 탱크내 취급한 유해위험물질에 대한 교육 실시_x000a_    - MSDS교육 및 물질자료 현장 배치_x000a_▶ 유해위험물질 대상 탱크 해체 등 작업시 개인보호구 착용_x000a_▶ 작업구간 유해가스가 체류되지 않도록 환기조치 실시 (상시가동)"/>
  </r>
  <r>
    <n v="5"/>
    <x v="5"/>
    <x v="16"/>
    <x v="23"/>
    <s v="YES"/>
    <x v="30"/>
    <x v="56"/>
    <s v="해당없음"/>
    <s v="해당없음"/>
    <s v="해당없음"/>
    <s v="2016년 9월경"/>
    <d v="2016-09-01T00:00:00"/>
    <n v="9"/>
    <s v="-"/>
    <x v="9"/>
    <s v="2016년 9월경 OO도 OO시 OO동 소재 OOOO(주)가 공사하는 OOOO 근린생활시설 신축공사현장 지하 1층 작업장에서 근로자 3명이 스프링클러 배관작업을 하기 위해 강관파이프와 연결자재를 신너가 1/4정도 채워진 통에 집어넣고 흔들어 나사부위를 세척한 후 주변에 적재하던 중, 신너통과 신너가 스며든 나사산 주위에서 발생된 유증기가 주변에서 작업하던 고속절단기에서 날아온 불티(점화원으로 추정)에 의해 점화되어 화재가 발생하였고, 소화기를 사용한 초기 진화가 실패하자 지하 1층 천장에 설치된 110mm 경질폴리우레탄보드로 화염이 전파되어 연소하는 과정에서 발생된 유독가스(시안화수소, 염화수소, 일산화탄소 등)와 화염에 의하여 지하 1층 근로자 2명이 사망하고 1명이 중상을 입었으며, 지하 2층에서 작업하고 있던 닥트 작업자 3명이 화재를 인지하고 대피하다가 유독가스에 중독되어 2명이 사망하고 1명이 중상을 입는 등, 총 4명이 사망하고 2명이 중상을 입은 사고로 추정됨."/>
    <s v="신너통과 신너가 스며든 자재 주위에서 발생된 유증기가 주변에서 작업하던 고속절단기에서 날아온 불티에 의해 점화되어 화재 및 유독가스 발생"/>
    <s v="▶ 가스용접,용단 등의 작업에 대한 폭발,화재 예방조치 준수_x000a_▶ 신나, LP가스 등 위험물 보관 규정 준수_x000a_▶ 지하작업장 통풍,환기조치 실시"/>
  </r>
  <r>
    <n v="5"/>
    <x v="5"/>
    <x v="16"/>
    <x v="23"/>
    <s v="YES"/>
    <x v="30"/>
    <x v="56"/>
    <s v="해당없음"/>
    <s v="해당없음"/>
    <s v="해당없음"/>
    <s v="2016년 9월경"/>
    <d v="2016-09-01T00:00:00"/>
    <n v="9"/>
    <s v="-"/>
    <x v="9"/>
    <s v="2016년 9월경 OOOOOOO(주) OO시험장에서 ㈜OOOO 소속 재해자가 펌프설치 작업 중 펌프하부가 간섭되어 펌프받침대를 산소절단기를 이용하여 절단하던 중 화재가 발생하여 화상을 입고 치료도중 사망한 재해임. "/>
    <s v="펌프설치 작업 중 산소절단기를 이용한 펌프받침대 절단에 의한 화재발생"/>
    <s v="▶ 탱크연결부 등 해체시 탱크를 개방하여 잔류물질을 사전에 제거_x000a_▶ 작업 시작전 잔류물질 측정 (가스농도 측정 등) _x000a_    - 측정시 개인보호구 착용(보호복, 장화 등)_x000a_▶ 탱크내 취급한 유해위험물질에 대한 교육 실시_x000a_    - MSDS교육 및 물질자료 현장 배치_x000a_▶ 유해위험물질 대상 탱크 해체 등 작업시 개인보호구 착용_x000a_▶ 작업구간 유해가스가 체류되지 않도록 환기조치 실시 (상시가동)_x000a_▶ 용접 및 절단 작업시 불티비산 방지 조치 실시"/>
  </r>
  <r>
    <n v="5"/>
    <x v="5"/>
    <x v="16"/>
    <x v="23"/>
    <s v="YES"/>
    <x v="30"/>
    <x v="56"/>
    <s v="해당없음"/>
    <s v="해당없음"/>
    <s v="해당없음"/>
    <s v="2016년 11월"/>
    <d v="2016-11-01T00:00:00"/>
    <n v="11"/>
    <s v="-"/>
    <x v="9"/>
    <s v="2016년 11월경 OOO도 OO시 OO구 소재, ㈜OOO 소속 재해자 OOO 등 6명의 근로자가 SRF(고형연료) 소각로 이상으로 스팀생산을 중단한 후 재 배출 슈트(Chute)에 설치된 점검구를 개방한 상태에서 점검 작업을 하던 중 점검구에서 분출된 용융고형물 및 화염에 휩싸여 1명 사망, 5명 화상을 입은 재해임"/>
    <s v="SRF(고형연료) 소각로 이상으로 스팀생산을 중단한 후 재 배출 슈트(Chute)에 설치된 점검구를 개방한 상태에서 점검 작업을 하던 중 점검구에서 분출된 용융고형물 및 화염에 휩싸임"/>
    <s v="▶ 소각로를 점검 시 갑작스런 폭발 등에 상황에 대비하기 위해 열과 화염을 차단하는 개인보호구 지급 및 착용여부 관리감독_x000a_▶ 사전에 작업현장 내에 위험성 평가를 실시하여 폭발사고 발생위험 예방"/>
  </r>
  <r>
    <n v="5"/>
    <x v="5"/>
    <x v="16"/>
    <x v="23"/>
    <s v="YES"/>
    <x v="30"/>
    <x v="56"/>
    <s v="해당없음"/>
    <s v="해당없음"/>
    <s v="해당없음"/>
    <s v="2016년 11월"/>
    <d v="2016-11-01T00:00:00"/>
    <n v="11"/>
    <s v="-"/>
    <x v="12"/>
    <s v="2016년 11월경 OO시 OO면 OO리 소재 OOOOOO(주) OOO동 지상 5층 달비계 상부에서 Air 이송용 SUS배관(700mm) TIG(Tungsten Inert Gas welding) 용접 완료 후 가스 누출 방지패드(Purge cap)를 제거하기 위해 배관 내부로 진입한 재해자가 배관내부에 잔류해 있던 아르곤가스에 질식된 후 동료 작업자에 의해 구출되고 심폐소생술 등 응급조치 후 병원으로 후송되어 치료를 받던 중 사망한 재해임"/>
    <s v="배관내부에 잔류해 있던 아르곤가스에 질식"/>
    <s v="▶ 밀폐공간 작업시 안전수칙 준수_x000a_   - 작업 시작 전,중 가스농도 측정 확인_x000a_   - 환기설비 설치 및 상시 가동_x000a_   - 작업자는 개인보호구(송기마스크 등)를 착용한 상태로 진입_x000a_   - 감시인을 배치하고 구호물품을 구비_x000a_   - 감시인과 작업자는 통신체계 구비_x000a_   - 밀폐공간 입구에 출입제한 표시_x000a_   - 작업 시작전 작업허가서 또는 작업계획서 작성 및 현장 비치"/>
  </r>
  <r>
    <n v="5"/>
    <x v="5"/>
    <x v="16"/>
    <x v="23"/>
    <s v="YES"/>
    <x v="30"/>
    <x v="56"/>
    <s v="해당없음"/>
    <s v="해당없음"/>
    <s v="해당없음"/>
    <s v="2017년 7월경"/>
    <d v="2017-07-01T00:00:00"/>
    <n v="7"/>
    <s v="혹서기"/>
    <x v="11"/>
    <s v="2017년 7월경 OOO도 OO군 OO면 소재 OOOO의 돈사순환시스템 변경공사 현장에서 시스템 구성설비 중 사이클론(침강조) 하부 지지대를 약1m 높이는 작업을 완료한 후, 재해자가 사이클론(침강조) 상판을 건축물 기둥에 지지하고자 브라켓(ㄷ형강)을 덧대어 용접하다가 용접불티가 사이클론(침강조) 내부로 유입되어 분뇨에 의해 발생되어 체류중이던 가스(메탄)가 폭발하면서 사이클론 상판과 함께 비래하여 지상으로 떨어져 사망한 재해임"/>
    <s v="돈사순환시스템 설비 용접작업 중 용접불티가 침전조로 유입되어 분뇨 가스(메탄)가 폭발"/>
    <s v="▶ 소각로를 점검 시 갑작스런 폭발 등에 상황에 대비하기 위해 열과 화염을 차단하는 개인보호구 지급 및 착용여부 관리감독_x000a_▶ 사전에 작업현장 내에 위험성 평가를 실시하여 폭발사고 발생위험 예방"/>
  </r>
  <r>
    <n v="5"/>
    <x v="5"/>
    <x v="16"/>
    <x v="23"/>
    <s v="YES"/>
    <x v="30"/>
    <x v="56"/>
    <s v="해당없음"/>
    <s v="해당없음"/>
    <s v="해당없음"/>
    <s v="2017년 7월경"/>
    <d v="2017-07-01T00:00:00"/>
    <n v="7"/>
    <s v="혹서기"/>
    <x v="12"/>
    <s v="2017년 7월경 OO시 OO구 OO동 소재 (주)OOOO의 오수처리시설 최종 배수조(排水槽) 내부에 설치되어 있던 배수용 펌프를 교체하는 작업 중 근로자 2명이 유해가스에 질식, 1명이 사망하고 1명은 부상한 재해임- 지상에서 맨홀(직경 약 0.6m) 뚜껑을 열고 지하의 배수조(깊이 약 2.2m)로 먼저 내려갔던 근로자가 사다리를 타고 올라오던 중 갑자기 의식을 잃고 바닥으로 추락, 쓰러지자 동료 근로자가 구조하러 배수조 내부로 들어갔다가 같이 쓰러졌고 지상에서 작업하던 다른 근로자가 119에 신고하여 구출 후 병원에 이송, 치료 중 1명이 사망하고 1명은 부상함"/>
    <s v="오수처리시설 배수용 펌프를 교체하는 작업 중 유해가스에 질식"/>
    <s v="▶ 밀폐공간 작업시 안전수칙 준수_x000a_   - 작업 시작 전,중 가스농도 측정 확인_x000a_   - 환기설비 설치 및 상시 가동_x000a_   - 작업자는 개인보호구(송기마스크 등)를 착용한 상태로 진입_x000a_   - 감시인을 배치하고 구호물품을 구비_x000a_   - 감시인과 작업자는 통신체계 구비_x000a_   - 밀폐공간 입구에 출입제한 표시_x000a_   - 작업 시작전 작업허가서 또는 작업계획서 작성 및 현장 비치"/>
  </r>
  <r>
    <n v="5"/>
    <x v="5"/>
    <x v="16"/>
    <x v="23"/>
    <s v="YES"/>
    <x v="30"/>
    <x v="56"/>
    <s v="해당없음"/>
    <s v="해당없음"/>
    <s v="해당없음"/>
    <s v=" 2017년 8월"/>
    <d v="2017-08-01T00:00:00"/>
    <n v="8"/>
    <s v="혹서기"/>
    <x v="11"/>
    <s v=" 2017년 8월경 OOO도 OO시 소재 OOOOOO(주)에서 에탄올 워셔액 탱크(60ton) 이설을 완료하고 물 공급 배관에 드레인 밸브 설치를 위해 용접기로 구멍을 뚫던 중 폭발이 발생하여 2명이 부상을 당하고 워셔액 탱크 및 사무실 유리창 일부가 파손된 사고임"/>
    <s v="에탄올 워셔액 탱크 배관에 밸브 설치를 위해 용접기로 구멍을 뚫던 중 폭발"/>
    <s v="▶ 소각로를 점검 시 갑작스런 폭발 등에 상황에 대비하기 위해 열과 화염을 차단하는 개인보호구 지급 및 착용여부 관리감독_x000a_▶ 사전에 작업현장 내에 위험성 평가를 실시하여 폭발사고 발생위험 예방"/>
  </r>
  <r>
    <n v="5"/>
    <x v="5"/>
    <x v="16"/>
    <x v="23"/>
    <s v="YES"/>
    <x v="30"/>
    <x v="56"/>
    <s v="해당없음"/>
    <s v="해당없음"/>
    <s v="해당없음"/>
    <s v="2018년 12월"/>
    <d v="2018-12-01T00:00:00"/>
    <n v="12"/>
    <s v="혹한기"/>
    <x v="16"/>
    <s v="2018년 12월경 OOOO 소재 (주) OOO 공장 내 OCU공정의 반응기 후단 열교환기 채널커버(Channel Cover)에서 Mixed C4 및 프로필렌이 누출되면서 점화되어 열교환기 보온작업 중이던 협력업체 작업자가 얼굴에 화상을 입은 재해임."/>
    <s v="반응기 후단 열교환기 채널커버에서 Mixed C4 및 프로필렌이 누출되면서 점화되어 열교환기 보온작업 중이던 작업자 얼굴에 화상"/>
    <s v="▶ 작업시 화재, 폭발 예방조치 준수_x000a_▶ 인화성액체(휘발유 또는 신너) 등 위험물 보관 규정 준수"/>
  </r>
  <r>
    <n v="5"/>
    <x v="5"/>
    <x v="16"/>
    <x v="23"/>
    <s v="YES"/>
    <x v="30"/>
    <x v="56"/>
    <s v="해당없음"/>
    <s v="해당없음"/>
    <s v="해당없음"/>
    <s v="2019년 4월경"/>
    <d v="2019-04-01T00:00:00"/>
    <n v="4"/>
    <s v="-"/>
    <x v="18"/>
    <s v="2019년 4월경, OO시 소재 OOOOOO(주) OO 공정에서 OOOOOO(주) 소속 재해자가  Process Sewer Sump 내 지하 탱크의 이송펌프를 해체하고 이동식 크레인으로 들어올리던 중 이송펌프와 탱크 연결부위에서 발생한 유해가스에 중독되어 병원으로 이송 후 치료 받던 중 사망한 재해임"/>
    <s v="경유탈황공정 Process Sewer Sump 내 지하 탱크의 이송펌프를 해체하고 이동식 크레인으로 들어올리던 중 이송펌프와 탱크 연결부위에서 발생한 유해가스에 중독되어 사망"/>
    <s v="▶ 탱크연결부 등 해체시 탱크를 개방하여 잔류물질을 사전에 제거_x000a_▶ 작업 시작전 잔류물질 측정 (가스농도 측정 등) _x000a_    - 측정시 개인보호구 착용(보호복, 장화 등)_x000a_▶ 탱크내 취급한 유해위험물질에 대한 교육 실시_x000a_    - MSDS교육 및 물질자료 현장 배치_x000a_▶ 유해위험물질 대상 탱크 해체 등 작업시 개인보호구 착용_x000a_▶ 작업구간 유해가스가 체류되지 않도록 환기조치 실시 (상시가동)"/>
  </r>
  <r>
    <n v="5"/>
    <x v="5"/>
    <x v="16"/>
    <x v="23"/>
    <s v="YES"/>
    <x v="30"/>
    <x v="56"/>
    <s v="해당없음"/>
    <s v="해당없음"/>
    <s v="해당없음"/>
    <s v="2019년 10월"/>
    <d v="2019-10-01T00:00:00"/>
    <n v="10"/>
    <s v="-"/>
    <x v="11"/>
    <s v="2019년 10월경 OO시 소재 OOOOOOO(주) OO공장 OOOO 옥외탱크저장소 내 Slop oil저장탱크 외벽에서 외주 협력업체인 OOOOOO(주)이 물 분무 소화설비 설치를 위한 배관 지지대 용접 작업 중 고온에 의해 탱크 내 잔류하던 인화성증기가 탱크 내부에서 폭발이 발생하여 근로자 2명이 부상한 사고임_x000d_"/>
    <s v="오일 저장탱크 외벽에 설비용접 작업 중 고온에 의해 탱크내 잔류하던 인화성증기가 탱크 내부에서 폭발"/>
    <s v="▶ 소각로를 점검 시 갑작스런 폭발 등에 상황에 대비하기 위해 열과 화염을 차단하는 개인보호구 지급 및 착용여부 관리감독_x000a_▶ 사전에 작업현장 내에 위험성 평가를 실시하여 폭발사고 발생위험 예방"/>
  </r>
  <r>
    <n v="1"/>
    <x v="8"/>
    <x v="28"/>
    <x v="55"/>
    <s v="YES"/>
    <x v="31"/>
    <x v="57"/>
    <s v="해당없음"/>
    <s v="해당없음"/>
    <s v="해당없음"/>
    <s v="2017년 2월경"/>
    <d v="2017-02-01T00:00:00"/>
    <n v="2"/>
    <s v="혹한기"/>
    <x v="2"/>
    <s v="2017년 2월경 아파트 신축공사현장에서 재해자가 흙막이 지보공 1단 코너 띠장 상부에서 이동하던 중 몸의 중심을 잃고 10m 아래 바닥으로 추락하여 사망"/>
    <s v="이동통로가 설치되지 않은 흙막이지보공을 통해 굴착저면 바닥으로 이동 중 추락"/>
    <s v="▶ 흙막이지보공 상부 등 고소작업 장소에서 작업을 할 경우 작업구간에 작업발판을 설치하는 등 근로자 추락을 방지하기 위한 조치 실시 _x000a_▶ 근로자가 작업할 안전한 이동통로 설치 _x000a_▶ 이동통로는 안전하고 항상 사용할 수 있는 상태로 유지 "/>
  </r>
  <r>
    <n v="1"/>
    <x v="8"/>
    <x v="28"/>
    <x v="56"/>
    <s v="YES"/>
    <x v="31"/>
    <x v="57"/>
    <s v="해당없음"/>
    <s v="해당없음"/>
    <s v="해당없음"/>
    <s v="2015년 5월경"/>
    <d v="2015-05-01T00:00:00"/>
    <n v="5"/>
    <s v="-"/>
    <x v="1"/>
    <s v="2015년 5월경 빌딩 신축공사현장에서 재해자가 용접작업을 위해 띠장 상부에서 대기 중 토류판이 쏟아져 그 충격으로 4m 아래 굴착 하부로 추락하여 사망"/>
    <s v="백호 버킷으로 엄지말뚝을 밀다가(수직도를 맞추기 위해) 버킷이 미끌어져 토류판을 가격하고 그 충격으로 기설치된 토류판이 쏟아져 깔림"/>
    <s v="▶ 차량계 건설기계 사용에 따른 작업계획서 작성 및 작업지휘자 지정 _x000a_▶ 흙막이 지보공 조립작업 시 현장 여건을 반영한 위험요소 배제 후 안전한 작업 방법으로 실시"/>
  </r>
  <r>
    <n v="1"/>
    <x v="8"/>
    <x v="28"/>
    <x v="56"/>
    <s v="YES"/>
    <x v="31"/>
    <x v="57"/>
    <s v="해당없음"/>
    <s v="해당없음"/>
    <s v="해당없음"/>
    <s v="2016년 4월경"/>
    <d v="2016-04-01T00:00:00"/>
    <n v="4"/>
    <s v="-"/>
    <x v="1"/>
    <s v="2016년 4월경 하수처리시설 설치공사에서 재해자가 흙막이 가시설에 사용하는 후판(철판)을 토사 무너짐 방지를 목적으로 설치하려 던 중에 후판(철판)을 고정하였던 고리(후크)가 빠지면서 넘어지고 깔려 사망"/>
    <s v="후크해지장치 미설치한 상태에서 철판을 고정하였던 후크가 빠지면서 넘어져 근로자가 깔림"/>
    <s v="▶ 중량물 인양시 전도방지를 위해 후크해지장치 설치 확인 후 작업 수행_x000a_▶ 중량물 취급 작업 시 근로자 출입 통제 및 유도자 배치"/>
  </r>
  <r>
    <n v="1"/>
    <x v="8"/>
    <x v="28"/>
    <x v="56"/>
    <s v="YES"/>
    <x v="31"/>
    <x v="57"/>
    <s v="해당없음"/>
    <s v="해당없음"/>
    <s v="해당없음"/>
    <s v="2016년 6월경"/>
    <d v="2016-06-01T00:00:00"/>
    <n v="6"/>
    <s v="혹서기"/>
    <x v="2"/>
    <s v="2016년 6월경 OO(주) OO편의시설 설치공사 현장에서 재해자가 흙막이 지보공 위에 설치된 점검통로를 해체하는 과정에서 몸의 중심을 잃고 약 5.45m 아래 콘크리트 바닥으로 떨어져 사망"/>
    <s v="안전대를 착용하지 않고 버팀보 위를 이동 중 근로자가 균형을 잃고 굴착저면으로 추락"/>
    <s v="▶ 추락위험이 있는 장소에서 작업 시 안전난간이나 추락방호망을 설치_x000a_▶ 추락위험이 있는 장소에서 작업 시 안전대를 지급하고 착용한 상태에서 작업 실시_x000a_▶ 근로자 안전하게 이동 가능한 가설통로 설치"/>
  </r>
  <r>
    <n v="1"/>
    <x v="8"/>
    <x v="28"/>
    <x v="56"/>
    <s v="YES"/>
    <x v="31"/>
    <x v="57"/>
    <s v="해당없음"/>
    <s v="해당없음"/>
    <s v="해당없음"/>
    <s v="2016년 9월경"/>
    <d v="2016-09-01T00:00:00"/>
    <n v="9"/>
    <s v="-"/>
    <x v="2"/>
    <s v="2016년 9월경 근린생활시설 신축현장에서 재해자가 흙막이가시설 코너 버팀보(4번) 설치를 위한 간격측정(3-4번)을 하려고 상체를 숙이는 중 굴착저면(약 7m)으로 추락하여 사망"/>
    <s v="안전대를 착용하지 않고 버팀보 위를 이동 중 근로자가 균형을 잃고 굴착저면으로 추락"/>
    <s v="▶ 추락위험이 있는 장소에서 작업 시 안전난간이나 추락방호망을 설치_x000a_▶ 추락위험이 있는 장소에서 작업 시 안전대를 지급하고 착용한 상태에서 작업 실시_x000a_▶ 근로자 안전하게 이동 가능한 가설통로 설치"/>
  </r>
  <r>
    <n v="1"/>
    <x v="8"/>
    <x v="28"/>
    <x v="56"/>
    <s v="YES"/>
    <x v="31"/>
    <x v="57"/>
    <s v="해당없음"/>
    <s v="해당없음"/>
    <s v="해당없음"/>
    <s v="2018년 1월경"/>
    <d v="2018-01-01T00:00:00"/>
    <n v="1"/>
    <s v="혹한기"/>
    <x v="8"/>
    <s v="2018년 1월경 복합문화시설 신축공사에서 재해자가 어스앵커(Earth Anchor) 강선 인장작업 중 어스앵커 대좌(Bracket)가 회전하면서 인장기 실린더에 머리를 맞아 사망"/>
    <s v="어스앵커 강선 인장작업 중 사용자재 불량에 따른 어스앵커 대좌가 회전하면서 근로자가 인장기실린더에 충돌"/>
    <s v="▶ 어스앵커 등 흙막이지보공 부재에 대한 검수(단면결손 및 변형, 용접불량, 부식, 재사용 가설기자재 여부 등)를 사전에 수행_x000a_▶ 주기적인 점검을 통해 결함이 있는 부재에 대해 교체 및 보강 실시"/>
  </r>
  <r>
    <n v="1"/>
    <x v="8"/>
    <x v="28"/>
    <x v="56"/>
    <s v="YES"/>
    <x v="31"/>
    <x v="57"/>
    <s v="해당없음"/>
    <s v="해당없음"/>
    <s v="해당없음"/>
    <s v="2020년 5월경"/>
    <d v="2020-05-01T00:00:00"/>
    <n v="5"/>
    <s v="-"/>
    <x v="2"/>
    <s v="2020년 5월경 오피스텔 신축공사 현장에서 재해자가 흙막이지보공(코너스트럿 6단) 위를 이동하던 중 실족하여 높이 약 8m아래 추락하여 사망"/>
    <s v="안전대를 착용하지 않고 버팀보 위를 이동 중 근로자가 균형을 잃고 굴착저면으로 추락"/>
    <s v="▶ 추락위험이 있는 장소에서 작업 시 안전난간이나 추락방호망을 설치_x000a_▶ 추락위험이 있는 장소에서 작업 시 안전대를 지급하고 착용한 상태에서 작업 실시_x000a_▶ 근로자 안전하게 이동 가능한 가설통로 설치"/>
  </r>
  <r>
    <n v="1"/>
    <x v="8"/>
    <x v="28"/>
    <x v="56"/>
    <s v="YES"/>
    <x v="31"/>
    <x v="57"/>
    <s v="해당없음"/>
    <s v="해당없음"/>
    <s v="해당없음"/>
    <s v="2020년 6월경"/>
    <d v="2020-06-01T00:00:00"/>
    <n v="6"/>
    <s v="혹서기"/>
    <x v="1"/>
    <s v="2020년 6월경 상수도 인입공사 1공구 현장에서 재해자가 흙막이가설재인 Sheet pile을 바이브로 해머로 지중에 박던 중 더 이상 근입이 되지 않아 Sheet pile의 높이를 맞추기 위해 튀어나온 부분 절단 작업을하던 중 Sheet pile이 전도되어 사망"/>
    <s v="Sheet pile의 높이를 맞추기 위해 튀어나온 부분 절단 작업을하던 중 Sheet pile이 전도되어 깔림"/>
    <s v="▶ 차량계 건설기계 사용에 따른 작업계획서 작성 및 작업지휘자 지정 _x000a_▶ 흙막이 지보공 조립작업 시 현장 여건을 반영한 위험요소(추락, 낙하, 전도) 배제 후 안전한 작업 방법으로 실시"/>
  </r>
  <r>
    <n v="1"/>
    <x v="8"/>
    <x v="28"/>
    <x v="56"/>
    <s v="YES"/>
    <x v="31"/>
    <x v="57"/>
    <s v="해당없음"/>
    <s v="해당없음"/>
    <s v="해당없음"/>
    <s v="2020년 7월경"/>
    <d v="2020-07-01T00:00:00"/>
    <n v="7"/>
    <s v="혹서기"/>
    <x v="0"/>
    <s v="2020년 7월경 업무시설 신축공사 현장에서 재해자가 흙막이 가시설 두 번째 단의 우각부 스트러트 밀림방지 부재 설치 작업 중 작업구간 상부에서 설치 중이던 띠장(H-440×300, L≒17m, W≒2.1t)이 하부로 떨어지면서(H≒40cm) 두부를 강타하여 사망"/>
    <s v="낙하물 위험구간에서 작업중이던 근로자가 상부에서 설치중이던 띠장이 낙하하여 맞음"/>
    <s v="▶ 중량물 낙하 위험이 있는 곳에 출입금지 구역 설정 및 출입인원 통제_x000a_▶ 낙하물 위험구간 상하 동시 작업 제한 "/>
  </r>
  <r>
    <n v="1"/>
    <x v="8"/>
    <x v="28"/>
    <x v="56"/>
    <s v="YES"/>
    <x v="31"/>
    <x v="57"/>
    <s v="해당없음"/>
    <s v="해당없음"/>
    <s v="해당없음"/>
    <s v="2020년 12월"/>
    <d v="2020-12-01T00:00:00"/>
    <n v="12"/>
    <s v="혹한기"/>
    <x v="2"/>
    <s v="2020년 12월경 문화 및 근린생활 사옥 신축현장에서 재해자가 코너 스트러트 2단 설치를 위해 H-Beam 상부에서 이동 중 몸의  중심을 잃고 굴착 저면으로 추락(H≒2.9m)하여 사망"/>
    <s v="안전대를 착용하지 않고 버팀보 위를 이동 중 근로자가 균형을 잃고 굴착저면으로 추락"/>
    <s v="▶ 추락위험이 있는 장소에서 작업 시 안전난간이나 추락방호망을 설치_x000a_▶ 추락위험이 있는 장소에서 작업 시 안전대를 지급하고 착용한 상태에서 작업 실시_x000a_▶ 근로자 안전하게 이동 가능한 가설통로 설치"/>
  </r>
  <r>
    <n v="1"/>
    <x v="8"/>
    <x v="28"/>
    <x v="57"/>
    <s v="YES"/>
    <x v="31"/>
    <x v="57"/>
    <s v="해당없음"/>
    <s v="해당없음"/>
    <s v="해당없음"/>
    <s v="2016년 3월경"/>
    <d v="2016-03-01T00:00:00"/>
    <n v="3"/>
    <s v="-"/>
    <x v="2"/>
    <s v="2016년 3월경 진입도로 개설공사 내 지하차도 15블럭에서 재해자가 원형강관버팀대 해체작업을 하던 중 몸의 중심을 잃고 4.8m아래 콘크리트 바닥으로 추락하여 사망"/>
    <s v="안전대를 착용하지 않고 버팀보 위를 이동 중 근로자가 균형을 잃고 굴착저면으로 추락"/>
    <s v="▶ 추락위험 구간에서 작업시 근로자의 추락재해예방을 위해 추락방호망, 안전난간 설치 또는 안전대 부착설비 설치 및 착용 후 작업 수행_x000a_▶ 흙막이 띠장 조립·해체 작업 시 작업높이 등의 조건을 고려하여 작업발판 설치 등 작업자가 안전한 자세로 작업할 수 있도록 작업방법 개선_x000a_▶ 낙하물 위험구간 상하 동시 작업 통제 철저"/>
  </r>
  <r>
    <n v="1"/>
    <x v="8"/>
    <x v="28"/>
    <x v="57"/>
    <s v="YES"/>
    <x v="31"/>
    <x v="57"/>
    <s v="해당없음"/>
    <s v="해당없음"/>
    <s v="해당없음"/>
    <s v="2016년 10월"/>
    <d v="2016-10-01T00:00:00"/>
    <n v="10"/>
    <s v="-"/>
    <x v="8"/>
    <s v="2016년 10월경 재건축 정비사업 현장에서 재해자가 흙막이가시설의 띠장 (Wale, H 형강) 해체 중 1줄걸이 와이어로프에 빔클램프로 연결하여 인양하던 띠장에 복부를 맞아 사망"/>
    <s v="흙막이지보공 띠장 해체작업 중 설치지점에서 이탈된 띠장(이동식크레인 붐에 결속)에 1차 충돌 후 2차로 콘크리트 옹벽에 부딪힘"/>
    <s v="▶ 중량물 인양시 작업순서 및 방법, 사용장비, 인양물 탈락방지 및 근로자 출입금지 관련 작업계획서 작성_x000a_▶ 중량물 취급 작업 시 근로자 출입 통제 및 유도자 배치_x000a_▶ 흙막이가시설 해체 시 단계별 해체계획을 수립하고 순서대로 이행"/>
  </r>
  <r>
    <n v="1"/>
    <x v="8"/>
    <x v="28"/>
    <x v="57"/>
    <s v="YES"/>
    <x v="31"/>
    <x v="57"/>
    <s v="해당없음"/>
    <s v="해당없음"/>
    <s v="해당없음"/>
    <s v="2016년 11월"/>
    <d v="2016-11-01T00:00:00"/>
    <n v="11"/>
    <s v="-"/>
    <x v="8"/>
    <s v="2016년 11월경 우수저류시설 설치사업현장에서 재해자가 흙막이가시설(1단 버팀보) 해체작업 중 토압으로 인하여 튕겨 나온 버팀보 부재에 맞아 사망"/>
    <s v="흙막이지보공 띠장 해체작업 중 설치지점에서 이탈된 띠장(이동식크레인 붐에 결속)에 1차 충돌 후 2차로 콘크리트 옹벽에 부딪힘"/>
    <s v="▶ 중량물 인양시 작업순서 및 방법, 사용장비, 인양물 탈락방지 및 근로자 출입금지 관련 작업계획서 작성_x000a_▶ 중량물 취급 작업 시 근로자 출입 통제 및 유도자 배치_x000a_▶ 흙막이가시설 해체 시 단계별 해체계획을 수립하고 순서대로 이행"/>
  </r>
  <r>
    <n v="1"/>
    <x v="8"/>
    <x v="28"/>
    <x v="57"/>
    <s v="YES"/>
    <x v="31"/>
    <x v="57"/>
    <s v="해당없음"/>
    <s v="해당없음"/>
    <s v="해당없음"/>
    <s v="2017년 10월"/>
    <d v="2017-10-01T00:00:00"/>
    <n v="10"/>
    <s v="-"/>
    <x v="7"/>
    <s v="2017년 10월경 물류센터 신축공사현장에서 재해자가 흙막이 띠장 5단 해체작업 중 흙막이와 구조물 벽체가 순간적으로 붕괴되어 1명이 사망, 중상 2명, 경상 7명"/>
    <s v="흙막이 해체작업 중 흙막이와 구조물 벽체가 순간적으로 붕괴되어 근로자가 토사에 매몰"/>
    <s v="▶ 하중계 계측결과를 통해 항복응력 초과 여부 판단, 토압 증가 등 이상 발생 시 보강조치 실시_x000a_▶ 구조물 벽체 작업방법 및 순서 준수_x000a_▶ 구조물 벽체가 슬라브와 일체화 여부 확인 및 캔틸레버와 같이 불안전한 상태에서는 작업 중지"/>
  </r>
  <r>
    <n v="1"/>
    <x v="8"/>
    <x v="28"/>
    <x v="57"/>
    <s v="YES"/>
    <x v="31"/>
    <x v="57"/>
    <s v="해당없음"/>
    <s v="해당없음"/>
    <s v="해당없음"/>
    <s v="2018년 4월경"/>
    <d v="2018-04-01T00:00:00"/>
    <n v="4"/>
    <s v="-"/>
    <x v="2"/>
    <s v="2018년 4월경 터널 건설공사 현장에서 재해자가 지하차도 구간의 흙막이 가시설(띠장) 해체 구간 하부에서 작업 중 절단되어 떨어지는 흙막이 가시설(띠장)에 맞아 사망"/>
    <s v="H-Beam 을 이동식크레인에 달아매어 해체하던 중 흔들리는 H-beam에 맞아 근로자가 바닥으로 추락"/>
    <s v="▶ 추락위험 구간에서 작업시 근로자의 추락재해예방을 위해 추락방호망, 안전난간 설치 또는 안전대 부착설비 설치 및 착용 후 작업 수행_x000a_▶ 흙막이 띠장 조립·해체 작업 시 작업높이 등의 조건을 고려하여 작업발판 설치 등 작업자가 안전한 자세로 작업할 수 있도록 작업방법 개선_x000a_▶ 낙하물 위험구간 상하 동시 작업 통제 철저"/>
  </r>
  <r>
    <n v="1"/>
    <x v="8"/>
    <x v="28"/>
    <x v="57"/>
    <s v="YES"/>
    <x v="31"/>
    <x v="57"/>
    <s v="해당없음"/>
    <s v="해당없음"/>
    <s v="해당없음"/>
    <s v="2018년 5월경"/>
    <d v="2018-05-01T00:00:00"/>
    <n v="5"/>
    <s v="-"/>
    <x v="2"/>
    <s v="2018년 5월경 아파트 신축공사 현장에서 재해자가 흙막이가설재인 H-beam을 이동식크레인에 달아매어 해체 중 달아맨 H-beam에 맞아 지하1층 바닥으로 떨어져(높이 약5m) 사망"/>
    <s v="H-Beam 을 이동식크레인에 달아매어 해체하던 중 흔들리는 H-beam에 맞아 근로자가 바닥으로 추락"/>
    <s v="▶ 추락위험 구간에서 작업시 근로자의 추락재해예방을 위해 추락방호망, 안전난간 설치 또는 안전대 부착설비 설치 및 착용 후 작업 수행_x000a_▶ 흙막이 띠장 조립·해체 작업 시 작업높이 등의 조건을 고려하여 작업발판 설치 등 작업자가 안전한 자세로 작업할 수 있도록 작업방법 개선_x000a_▶ 낙하물 위험구간 상하 동시 작업 통제 철저"/>
  </r>
  <r>
    <n v="1"/>
    <x v="8"/>
    <x v="28"/>
    <x v="57"/>
    <s v="YES"/>
    <x v="31"/>
    <x v="57"/>
    <s v="해당없음"/>
    <s v="해당없음"/>
    <s v="해당없음"/>
    <s v="2018년 8월경"/>
    <d v="2018-08-01T00:00:00"/>
    <n v="8"/>
    <s v="혹서기"/>
    <x v="8"/>
    <s v="2018년 8월경 도로확포장공사 현장에서 재해자가 콘크리트옹벽 설치구간 굴착저면에서 흙막이지보공 띠장 해체작업 중 갑자기 설치지점에서 이탈된 띠장(H-beam, 차량탑재형 이동식크레인 붐에 결속)에 1차 충돌 후 2차로 콘크리트 옹벽에 부딪혀 사망"/>
    <s v="흙막이지보공 띠장 해체작업 중 설치지점에서 이탈된 띠장(이동식크레인 붐에 결속)에 1차 충돌 후 2차로 콘크리트 옹벽에 부딪힘"/>
    <s v="▶ 중량물 인양시 작업순서 및 방법, 사용장비, 인양물 탈락방지 및 근로자 출입금지 관련 작업계획서 작성_x000a_▶ 중량물 취급 작업 시 근로자 출입 통제 및 유도자 배치_x000a_▶ 흙막이가시설 해체 시 단계별 해체계획을 수립하고 순서대로 이행"/>
  </r>
  <r>
    <n v="1"/>
    <x v="8"/>
    <x v="28"/>
    <x v="57"/>
    <s v="YES"/>
    <x v="31"/>
    <x v="57"/>
    <s v="해당없음"/>
    <s v="해당없음"/>
    <s v="해당없음"/>
    <s v="2018년 9월경"/>
    <d v="2018-09-01T00:00:00"/>
    <n v="9"/>
    <s v="-"/>
    <x v="2"/>
    <s v="2018년 9월경 재해자가 흙막이가시설 볼트해체 작업 중 스트럿과 사보부재가 띠장에서 탈락되어 약 3.3m아래 콘크리트 바닥으로 떨어져 사망"/>
    <s v="가스트럿 상부에서 띠장과 스트럿 접속부 볼트해체 작업 중 스트럿이 띠장에서 이탈되며 근로자가 콘크리트 바닥으로 떨어짐"/>
    <s v="▶ 바닥 개구부 주변에서 거푸집 운반 등의 작업 시 개구부로의 떨어짐을 방지하기 위해 견고하게 설치 _x000a_▶ 개구부에도 덮개 또는 추락방호망 등 방호조치 실시"/>
  </r>
  <r>
    <n v="1"/>
    <x v="8"/>
    <x v="28"/>
    <x v="57"/>
    <s v="YES"/>
    <x v="31"/>
    <x v="57"/>
    <s v="해당없음"/>
    <s v="해당없음"/>
    <s v="해당없음"/>
    <s v="2019년 6월경"/>
    <d v="2019-06-01T00:00:00"/>
    <n v="6"/>
    <s v="혹서기"/>
    <x v="7"/>
    <s v="2019년 6월경 지하공공보도 설치공사현장에서 재해자가 G.L.-7m 지점 굴착 바닥에서 기존 매립되어 있던 지반보강 흙막이 가설구조물 해체(H-Pile 절단) 작업 중 배면의 토사와 기존 그라우팅 잔재물이 붕괴 및 도괴되어 사망"/>
    <s v="흙막이 해체작업 중 흙막이와 구조물 벽체가 순간적으로 붕괴되어 근로자가 토사에 매몰"/>
    <s v="▶ 인접건물 또는 구축물 등이 굴착 등으로 붕괴 등 위험이 예상되는 경우 안전진단 등으로 안전성을 평가하여 위험성 제거_x000a_▶ 지반 굴착시 지층상태, 매설물 유무 등을 사전조사 실시"/>
  </r>
  <r>
    <n v="1"/>
    <x v="8"/>
    <x v="28"/>
    <x v="57"/>
    <s v="YES"/>
    <x v="31"/>
    <x v="57"/>
    <s v="해당없음"/>
    <s v="해당없음"/>
    <s v="해당없음"/>
    <s v="2019년 8월경"/>
    <d v="2019-08-01T00:00:00"/>
    <n v="8"/>
    <s v="혹서기"/>
    <x v="2"/>
    <s v="2019년 8월경 복선전철 노반신설 기타공사 현장에서 재해자가 신석 제1고가교 교각(No.43) 굴착부의 엄지말뚝(H-Pile)에 용접 접합되어 있는 흙막이 띠장(Wale)을 산소절단기로 해체 중, 용접 접합부(8개소 중 7번째 절단 중)가 파단되어 띠장(H-beam)이 굴러 떨어지면서 얼굴을 맞아 사망"/>
    <s v="H-Beam 을 이동식크레인에 달아매어 해체하던 중 흔들리는 H-beam에 맞아 근로자가 바닥으로 추락"/>
    <s v="▶ 추락위험 구간에서 작업시 근로자의 추락재해예방을 위해 추락방호망, 안전난간 설치 또는 안전대 부착설비 설치 및 착용 후 작업 수행_x000a_▶ 흙막이 띠장 조립·해체 작업 시 작업높이 등의 조건을 고려하여 작업발판 설치 등 작업자가 안전한 자세로 작업할 수 있도록 작업방법 개선_x000a_▶ 낙하물 위험구간 상하 동시 작업 통제 철저"/>
  </r>
  <r>
    <n v="1"/>
    <x v="8"/>
    <x v="28"/>
    <x v="57"/>
    <s v="YES"/>
    <x v="31"/>
    <x v="57"/>
    <s v="해당없음"/>
    <s v="해당없음"/>
    <s v="해당없음"/>
    <s v="2019년 8월경"/>
    <d v="2019-08-01T00:00:00"/>
    <n v="8"/>
    <s v="혹서기"/>
    <x v="2"/>
    <s v="2019년 8월경 도시침수 예방사업 현장에서 재해자가 하수관로(PC BCX) 매설 후 흙막이지보공(H-pile)을 해체하기 위하여 굴삭기로 흙막이지보공(H-pile)을 인양하는 과정에서 클램프에서 이탈되어 떨어지는 흙막이지보공(H-pile)에 맞아 사망"/>
    <s v="H-Beam 을 이동식크레인에 달아매어 해체하던 중 흔들리는 H-beam에 맞아 근로자가 바닥으로 추락"/>
    <s v="▶ 흙막이 지보공 해체작업 시 낙하 등의 사고예방을 위해 근로자 출입금지조치_x000a_▶ 중량물 인양시 현장 여건을 ㅈ반영하여 적절한 인양방법, 인양 장비 등 적용 "/>
  </r>
  <r>
    <n v="1"/>
    <x v="8"/>
    <x v="28"/>
    <x v="57"/>
    <s v="YES"/>
    <x v="31"/>
    <x v="57"/>
    <s v="해당없음"/>
    <s v="해당없음"/>
    <s v="해당없음"/>
    <s v="2021년 3월경"/>
    <d v="2021-03-01T00:00:00"/>
    <n v="3"/>
    <s v="-"/>
    <x v="2"/>
    <s v="2021년 3월경 도시형생활주택 신축공사 현장에서 재해자가 흙막이 해체작업 중 안전대 부착설비가 미설치된 띠장(폭=35cm) 위에서 몸의 중심을 잃고 떨어져(H≒3.3m) 사망"/>
    <s v="안전대를 착용하지 않고 버팀보 위를 이동 중 근로자가 균형을 잃고 굴착저면으로 추락"/>
    <s v="▶ 추락위험 구간에서 작업시 근로자의 추락재해예방을 위해 추락방호망, 안전난간 설치 또는 안전대 부착설비 설치 및 착용 후 작업 수행_x000a_▶ 흙막이 띠장 조립·해체 작업 시 작업높이 등의 조건을 고려하여 작업발판 설치 등 작업자가 안전한 자세로 작업할 수 있도록 작업방법 개선_x000a_▶ 낙하물 위험구간 상하 동시 작업 통제 철저"/>
  </r>
  <r>
    <n v="1"/>
    <x v="8"/>
    <x v="28"/>
    <x v="93"/>
    <s v="YES"/>
    <x v="31"/>
    <x v="57"/>
    <s v="해당없음"/>
    <s v="해당없음"/>
    <s v="해당없음"/>
    <s v="2016년 6월경"/>
    <d v="2016-06-01T00:00:00"/>
    <n v="6"/>
    <s v="혹서기"/>
    <x v="2"/>
    <s v="2016년 6월경 아파트 신축공사 현장에서 재해자가 흙막이 벽체 상단부에서 가스절단기(산소+LPG)를 인양·수거하던 중 몸의 중심을 잃고 6m 아래 바닥으로 추락하여 사망"/>
    <s v="안전대를 착용하지 않고 버팀보 위를 이동 중 근로자가 균형을 잃고 굴착저면으로 추락"/>
    <s v="▶ 흙막이가시설 굴착단부에 안전난간을 견고하게 설치"/>
  </r>
  <r>
    <n v="1"/>
    <x v="8"/>
    <x v="28"/>
    <x v="93"/>
    <s v="YES"/>
    <x v="31"/>
    <x v="57"/>
    <s v="해당없음"/>
    <s v="해당없음"/>
    <s v="해당없음"/>
    <s v="2016년 8월경"/>
    <d v="2016-08-01T00:00:00"/>
    <n v="8"/>
    <s v="혹서기"/>
    <x v="6"/>
    <s v="2016년 8월경 하수관로 신설공사 현장에서 재해자가 하수관로 흙막이로 사용했던 TS 판넬을 야적장에서 부재별로 분리하는 과정에서부재의 일부인 버팀대(Strut, H=1.35m, 1,048kg)를 평탄하지 않은 지반 위에 수직으로 세워 놓고 연결볼트를 해체하던 중 버팀대가 전도되면서 재해자가 지면과 버팀대 사이에 협착되어 사망"/>
    <s v="버팀대를 평탄하지 않은 지반위에 수직으로 세워놓고 연결볼트 해체하던 중 버팀대의 전도로 버팀대 사이에 협착"/>
    <s v="▶ TS판넬 버팀대 해체시 수평으로 작업하며 버팀대를 세울 시 삼각지지대, 지지벽 등을 활용하여 버팀대를 견고하게 고정하여 전도방호조치 실시_x000a_▶ 해당작업에 적합한 작업방법 선택 및 장비를 사용하고 발생가능한 위험 조치후 작업 실시  "/>
  </r>
  <r>
    <n v="11"/>
    <x v="0"/>
    <x v="1"/>
    <x v="2"/>
    <s v="YES"/>
    <x v="31"/>
    <x v="57"/>
    <s v="해당없음"/>
    <s v="해당없음"/>
    <s v="해당없음"/>
    <s v="2019년 9월경"/>
    <d v="2019-09-01T00:00:00"/>
    <n v="9"/>
    <s v="-"/>
    <x v="2"/>
    <s v="2019년 9월경 OO도 OO시 OO동 소재 OOOO(주) OOOO 주상복합 신축공사 현장에서 강제 집수정 양중 작업을 지휘하던 재해자가 집수정 하부에 설치되어 있던 유도로프가 흙막이 버팀대에 걸려있는 것을 확인하고 유도로프를 반대방향으로 넘겨주기 위하여 안전대 미착용 상태로 버팀대 상부를 걸어가던 중 기초 버림 콘크리트 바닥으로 떨어져(H≒7.3m) 사망"/>
    <s v="강제 집수정 양중 작업 중 유도로프가 흙막이 버팀대에 걸려 버팀대 상부 이동 중 추락"/>
    <s v="▶ 작업자가 법면 상부 등으로 불필요한 이동을 금하고 작업자 이동통로 설치_x000a_▶ 근로자가 추락하거나 넘어질 위험이 있는 상부에서 작업 시 안전난간을 설치하고 추락방지조치 실시하고 부득이한 경우 접근방책 등을 설치_x000a_▶ 근로자가 추락하거나 넘어질 위험이 있는 상부에서 작업 시 개인보호구(안전모, 안전대 등) 지급 및 착용"/>
  </r>
  <r>
    <n v="12"/>
    <x v="1"/>
    <x v="3"/>
    <x v="107"/>
    <s v="YES"/>
    <x v="31"/>
    <x v="57"/>
    <s v="해당없음"/>
    <s v="해당없음"/>
    <s v="해당없음"/>
    <s v="2020년 4월경"/>
    <d v="2020-04-01T00:00:00"/>
    <n v="4"/>
    <s v="-"/>
    <x v="2"/>
    <s v="2020년 4월경 ㈜OO의 OO 신축공사 현장에서 토공사 협력업체 재해자가 주출입구 통제용 가림막 고정작업을 위해 흙막이 단부에서 이동 중 지하 1층 바닥으로 추락(H≒3.9m), 바닥에 설치된 벽체 수직철근에 흉부가 관통되어 사망"/>
    <s v="안전난간이 미설치 된 흙막이 상부 이동 중 몸의 중심을 잃고 추락"/>
    <s v="▶ 개구부 등 추락위험구간에 덮개, 안전난간 등 추락방지조치 준수_x000a_▶ 근로자 안전통로 설치"/>
  </r>
  <r>
    <n v="12"/>
    <x v="1"/>
    <x v="5"/>
    <x v="6"/>
    <s v="YES"/>
    <x v="31"/>
    <x v="57"/>
    <s v="해당없음"/>
    <s v="해당없음"/>
    <s v="해당없음"/>
    <s v="2021년 1월경"/>
    <d v="2021-01-01T00:00:00"/>
    <n v="1"/>
    <s v="혹한기"/>
    <x v="2"/>
    <s v="2021년 1월경 지하 기초콘크리트 타설 과정에서 비로 인하여 재해자가 집수정에 양수기를 설치위한 전기선 교체 과정에서 상부 전기선을 내리던 중 1단 띠장에 전기선이 걸려 선을 빼기 위해 흙막이지보공 상부 소음차단용 샌드위치판넬로 내려가던 중 미끄러져 채광창(폴리카보네이트) 부분으로 추락(17.5m)"/>
    <s v="지붕에서 이동 중 채광창 위로 미끄러지며 채광창이 파손되어 추락"/>
    <s v="▶ 고소에서 흙막이가시설 상부를 이동 시 근로자의 추락재해예방을 위해 작업발판, 안전난간 설치 또는 추락방호망 설치함_x000a_▶ 안전대 부착설비 설치 및 착용 후 작업 수행"/>
  </r>
  <r>
    <n v="2"/>
    <x v="2"/>
    <x v="6"/>
    <x v="33"/>
    <s v="YES"/>
    <x v="31"/>
    <x v="57"/>
    <s v="해당없음"/>
    <s v="해당없음"/>
    <s v="해당없음"/>
    <s v="2020년 1월경"/>
    <d v="2020-01-01T00:00:00"/>
    <n v="1"/>
    <s v="혹한기"/>
    <x v="2"/>
    <s v="2020년 1월경 OO건설(주) OO신축사업 현장에서 협력업체 재해자가 별관동 지하 1층 합벽 거푸집 전도방지를 위해 경사 지지대(동바리)를 버팀보에 설치 후, 버팀보 위에서 이동 중 몸의 중심을 잃고 지하 3층 바닥(H≒15m)으로 추락하여 사망"/>
    <s v="추락 방지조치 미실시한 상태에서 지하층 합벽 거푸집 전도방지를 위해 동바리를 버팀보에 설치 후 버팀보 위에서 이동 중 중심을 잃고 근로자 추락"/>
    <s v="▶ 추락위험이 있는 구간에는 추락방호망, 안전난간 설치 또는 및 안전대 착용후 작업_x000a_▶ 안전난간 설치 기준 준수하여 설치 및 관리감독자 확인 "/>
  </r>
  <r>
    <n v="2"/>
    <x v="2"/>
    <x v="8"/>
    <x v="11"/>
    <s v="YES"/>
    <x v="31"/>
    <x v="57"/>
    <s v="해당없음"/>
    <s v="해당없음"/>
    <s v="해당없음"/>
    <s v="2019년 1월경"/>
    <d v="2019-01-01T00:00:00"/>
    <n v="1"/>
    <s v="혹한기"/>
    <x v="2"/>
    <s v="2019년 1월경 OO(주) OO신축공사현장에서 협력업체 소속 재해자(타설공)가 지하 기둥 콘크리트 타설을 위하여 흙막이 지보공(코너스트러트) 위에서 이동 중 높이 약 4.9M 콘크리트 바닥으로 떨어져 사망"/>
    <s v="지하 기둥 콘크리트 타설을 위해 안전난간이 설치되지 않은 흙막이 지보공 위에서 이동 중 근로자가 몸의 중심을 잃고 추락"/>
    <s v="▶ 추락위험이 있는 장소에서 작업 시 작업발판 설치 및 개구부에 안전난간 설치_x000a_▶ 지하합벽 작업 시 합벽지지대 설치 및 추락방지를 위한 가설계단, 작업발판, 안전난간대 설치_x000a_▶ 2m 이상의 고소작업 시 안전대 부착설비 설치 및 안전대 착용"/>
  </r>
  <r>
    <n v="9"/>
    <x v="11"/>
    <x v="42"/>
    <x v="85"/>
    <s v="NO"/>
    <x v="31"/>
    <x v="57"/>
    <s v="해당없음"/>
    <s v="해당없음"/>
    <s v="해당없음"/>
    <s v="2019년 6월경"/>
    <d v="2019-06-01T00:00:00"/>
    <n v="6"/>
    <s v="혹서기"/>
    <x v="2"/>
    <s v="2019년 6월경 송수시설공사에서 재해자가 수직구로 내려가 흙막이 지보공 띠장 용접위치를 확인하던 중 3m 아래 콘크리트 바닥으로 추락하여 사망"/>
    <s v="안전대를 미착용하고 흙막이지보공 사보강재 위에서 작업 중 균형을 잃고 추락"/>
    <s v="▶ 추락방지를 위해 안전대 부착설비 설치 및 안전대 지급_x000a_▶ 작업 또는 이동 시 안전대에 걸도록 관리감독 수행"/>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16C6BF-BB15-CC47-A6DD-D9C79EDF8080}" name="피벗 테이블3" cacheId="5" applyNumberFormats="0" applyBorderFormats="0" applyFontFormats="0" applyPatternFormats="0" applyAlignmentFormats="0" applyWidthHeightFormats="1" dataCaption="값" updatedVersion="8" minRefreshableVersion="3" useAutoFormatting="1" colGrandTotals="0" itemPrintTitles="1" createdVersion="8" indent="0" outline="1" outlineData="1" multipleFieldFilters="0" rowHeaderCaption="공정">
  <location ref="J5:L52" firstHeaderRow="0" firstDataRow="1" firstDataCol="1"/>
  <pivotFields count="18">
    <pivotField showAll="0" defaultSubtotal="0"/>
    <pivotField axis="axisRow" showAll="0" sortType="descending" defaultSubtotal="0">
      <items count="12">
        <item x="8"/>
        <item h="1" x="10"/>
        <item x="0"/>
        <item x="1"/>
        <item x="2"/>
        <item x="3"/>
        <item x="4"/>
        <item x="5"/>
        <item x="6"/>
        <item x="9"/>
        <item h="1" x="7"/>
        <item h="1" x="11"/>
      </items>
      <autoSortScope>
        <pivotArea dataOnly="0" outline="0" fieldPosition="0">
          <references count="1">
            <reference field="4294967294" count="1" selected="0">
              <x v="0"/>
            </reference>
          </references>
        </pivotArea>
      </autoSortScope>
    </pivotField>
    <pivotField axis="axisRow" showAll="0" sortType="descending" defaultSubtotal="0">
      <items count="49">
        <item sd="0" x="19"/>
        <item sd="0" x="28"/>
        <item sd="0" x="20"/>
        <item sd="0" x="29"/>
        <item sd="0" x="48"/>
        <item sd="0" x="30"/>
        <item sd="0" x="31"/>
        <item sd="0" x="32"/>
        <item sd="0" x="0"/>
        <item sd="0" x="33"/>
        <item sd="0" x="34"/>
        <item sd="0" x="1"/>
        <item sd="0" x="47"/>
        <item sd="0" x="2"/>
        <item sd="0" x="3"/>
        <item sd="0" x="35"/>
        <item sd="0" x="36"/>
        <item sd="0" x="4"/>
        <item sd="0" x="37"/>
        <item sd="0" x="5"/>
        <item sd="0" x="6"/>
        <item sd="0" x="27"/>
        <item sd="0" x="7"/>
        <item sd="0" x="8"/>
        <item sd="0" x="9"/>
        <item sd="0" x="10"/>
        <item sd="0" x="11"/>
        <item sd="0" x="38"/>
        <item sd="0" x="21"/>
        <item sd="0" x="12"/>
        <item sd="0" x="22"/>
        <item sd="0" x="13"/>
        <item sd="0" x="14"/>
        <item sd="0" x="15"/>
        <item sd="0" x="16"/>
        <item sd="0" x="23"/>
        <item sd="0" x="17"/>
        <item sd="0" x="24"/>
        <item sd="0" x="39"/>
        <item sd="0" x="25"/>
        <item sd="0" x="26"/>
        <item sd="0" x="46"/>
        <item sd="0" x="18"/>
        <item sd="0" x="40"/>
        <item sd="0" x="41"/>
        <item sd="0" x="44"/>
        <item sd="0" x="42"/>
        <item sd="0" x="43"/>
        <item sd="0" x="45"/>
      </items>
      <autoSortScope>
        <pivotArea dataOnly="0" outline="0" fieldPosition="0">
          <references count="1">
            <reference field="4294967294" count="1" selected="0">
              <x v="1"/>
            </reference>
          </references>
        </pivotArea>
      </autoSortScope>
    </pivotField>
    <pivotField axis="axisRow" showAll="0" sortType="descending" defaultSubtotal="0">
      <items count="113">
        <item sd="0" x="9"/>
        <item sd="0" x="8"/>
        <item sd="0" x="33"/>
        <item sd="0" x="7"/>
        <item sd="0" x="26"/>
        <item sd="0" x="27"/>
        <item sd="0" x="54"/>
        <item sd="0" x="55"/>
        <item sd="0" x="56"/>
        <item sd="0" x="57"/>
        <item sd="0" x="93"/>
        <item sd="0" x="58"/>
        <item sd="0" x="28"/>
        <item sd="0" x="59"/>
        <item sd="0" x="60"/>
        <item sd="0" x="61"/>
        <item sd="0" x="108"/>
        <item sd="0" x="62"/>
        <item sd="0" x="63"/>
        <item sd="0" x="64"/>
        <item sd="0" x="65"/>
        <item sd="0" x="0"/>
        <item sd="0" x="66"/>
        <item sd="0" x="67"/>
        <item sd="0" x="68"/>
        <item sd="0" x="69"/>
        <item sd="0" x="70"/>
        <item sd="0" x="1"/>
        <item sd="0" x="2"/>
        <item sd="0" x="102"/>
        <item sd="0" x="3"/>
        <item sd="0" x="29"/>
        <item sd="0" x="87"/>
        <item sd="0" x="30"/>
        <item sd="0" x="4"/>
        <item sd="0" x="71"/>
        <item sd="0" x="103"/>
        <item sd="0" x="101"/>
        <item sd="0" x="107"/>
        <item sd="0" x="31"/>
        <item sd="0" x="104"/>
        <item sd="0" x="72"/>
        <item sd="0" x="99"/>
        <item sd="0" x="111"/>
        <item sd="0" x="94"/>
        <item sd="0" x="110"/>
        <item sd="0" x="112"/>
        <item sd="0" x="73"/>
        <item sd="0" x="32"/>
        <item sd="0" x="97"/>
        <item sd="0" x="74"/>
        <item sd="0" x="5"/>
        <item sd="0" x="95"/>
        <item sd="0" x="75"/>
        <item sd="0" x="6"/>
        <item sd="0" x="76"/>
        <item sd="0" x="105"/>
        <item sd="0" x="52"/>
        <item sd="0" x="106"/>
        <item sd="0" x="77"/>
        <item sd="0" x="10"/>
        <item sd="0" x="34"/>
        <item sd="0" x="35"/>
        <item sd="0" x="11"/>
        <item sd="0" x="12"/>
        <item sd="0" x="36"/>
        <item sd="0" x="13"/>
        <item sd="0" x="14"/>
        <item sd="0" x="37"/>
        <item sd="0" x="38"/>
        <item sd="0" x="15"/>
        <item sd="0" x="16"/>
        <item sd="0" x="78"/>
        <item sd="0" x="91"/>
        <item sd="0" x="100"/>
        <item sd="0" x="92"/>
        <item sd="0" x="39"/>
        <item sd="0" x="40"/>
        <item sd="0" x="17"/>
        <item sd="0" x="18"/>
        <item sd="0" x="88"/>
        <item sd="0" x="41"/>
        <item sd="0" x="19"/>
        <item sd="0" x="42"/>
        <item sd="0" x="43"/>
        <item sd="0" x="20"/>
        <item sd="0" x="44"/>
        <item sd="0" x="45"/>
        <item sd="0" x="46"/>
        <item sd="0" x="21"/>
        <item sd="0" x="22"/>
        <item sd="0" x="23"/>
        <item sd="0" x="47"/>
        <item sd="0" x="48"/>
        <item sd="0" x="24"/>
        <item sd="0" x="79"/>
        <item sd="0" x="80"/>
        <item sd="0" x="49"/>
        <item sd="0" x="81"/>
        <item sd="0" x="53"/>
        <item sd="0" x="50"/>
        <item sd="0" x="51"/>
        <item sd="0" x="82"/>
        <item sd="0" x="98"/>
        <item sd="0" x="25"/>
        <item sd="0" x="83"/>
        <item sd="0" x="109"/>
        <item sd="0" x="84"/>
        <item sd="0" x="96"/>
        <item sd="0" x="89"/>
        <item sd="0" x="85"/>
        <item sd="0" x="86"/>
        <item sd="0" x="90"/>
      </items>
      <autoSortScope>
        <pivotArea dataOnly="0" outline="0" fieldPosition="0">
          <references count="1">
            <reference field="4294967294" count="1" selected="0">
              <x v="1"/>
            </reference>
          </references>
        </pivotArea>
      </autoSortScope>
    </pivotField>
    <pivotField showAll="0" defaultSubtotal="0"/>
    <pivotField showAll="0" defaultSubtotal="0"/>
    <pivotField showAll="0" defaultSubtotal="0"/>
    <pivotField subtotalTop="0"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dataField="1" showAll="0" defaultSubtotal="0"/>
    <pivotField showAll="0" defaultSubtotal="0"/>
    <pivotField showAll="0" defaultSubtotal="0"/>
  </pivotFields>
  <rowFields count="3">
    <field x="1"/>
    <field x="2"/>
    <field x="3"/>
  </rowFields>
  <rowItems count="47">
    <i>
      <x v="6"/>
    </i>
    <i r="1">
      <x v="32"/>
    </i>
    <i r="1">
      <x v="28"/>
    </i>
    <i r="1">
      <x v="25"/>
    </i>
    <i r="1">
      <x v="31"/>
    </i>
    <i r="1">
      <x v="29"/>
    </i>
    <i r="1">
      <x v="26"/>
    </i>
    <i r="1">
      <x v="27"/>
    </i>
    <i r="1">
      <x v="30"/>
    </i>
    <i>
      <x v="3"/>
    </i>
    <i r="1">
      <x v="14"/>
    </i>
    <i r="1">
      <x v="19"/>
    </i>
    <i r="1">
      <x v="13"/>
    </i>
    <i r="1">
      <x v="17"/>
    </i>
    <i r="1">
      <x v="18"/>
    </i>
    <i r="1">
      <x v="15"/>
    </i>
    <i r="1">
      <x v="16"/>
    </i>
    <i>
      <x v="7"/>
    </i>
    <i r="1">
      <x v="34"/>
    </i>
    <i r="1">
      <x v="33"/>
    </i>
    <i r="1">
      <x v="35"/>
    </i>
    <i>
      <x v="4"/>
    </i>
    <i r="1">
      <x v="20"/>
    </i>
    <i r="1">
      <x v="23"/>
    </i>
    <i r="1">
      <x v="22"/>
    </i>
    <i r="1">
      <x v="21"/>
    </i>
    <i>
      <x v="5"/>
    </i>
    <i r="1">
      <x v="24"/>
    </i>
    <i>
      <x v="2"/>
    </i>
    <i r="1">
      <x v="11"/>
    </i>
    <i r="1">
      <x v="8"/>
    </i>
    <i r="1">
      <x v="9"/>
    </i>
    <i r="1">
      <x v="10"/>
    </i>
    <i r="1">
      <x v="12"/>
    </i>
    <i>
      <x/>
    </i>
    <i r="1">
      <x v="2"/>
    </i>
    <i r="1">
      <x/>
    </i>
    <i r="1">
      <x v="1"/>
    </i>
    <i r="1">
      <x v="3"/>
    </i>
    <i r="1">
      <x v="5"/>
    </i>
    <i r="1">
      <x v="4"/>
    </i>
    <i>
      <x v="8"/>
    </i>
    <i r="1">
      <x v="36"/>
    </i>
    <i>
      <x v="9"/>
    </i>
    <i r="1">
      <x v="37"/>
    </i>
    <i r="1">
      <x v="38"/>
    </i>
    <i t="grand">
      <x/>
    </i>
  </rowItems>
  <colFields count="1">
    <field x="-2"/>
  </colFields>
  <colItems count="2">
    <i>
      <x/>
    </i>
    <i i="1">
      <x v="1"/>
    </i>
  </colItems>
  <dataFields count="2">
    <dataField name="건수" fld="14" subtotal="count" baseField="0" baseItem="0"/>
    <dataField name="비율" fld="15" subtotal="count" showDataAs="percentOfTotal" baseField="0" baseItem="0" numFmtId="10"/>
  </dataFields>
  <formats count="13">
    <format dxfId="22">
      <pivotArea collapsedLevelsAreSubtotals="1" fieldPosition="0">
        <references count="1">
          <reference field="1" count="1">
            <x v="6"/>
          </reference>
        </references>
      </pivotArea>
    </format>
    <format dxfId="21">
      <pivotArea collapsedLevelsAreSubtotals="1" fieldPosition="0">
        <references count="1">
          <reference field="1" count="1">
            <x v="3"/>
          </reference>
        </references>
      </pivotArea>
    </format>
    <format dxfId="20">
      <pivotArea collapsedLevelsAreSubtotals="1" fieldPosition="0">
        <references count="1">
          <reference field="1" count="1">
            <x v="7"/>
          </reference>
        </references>
      </pivotArea>
    </format>
    <format dxfId="19">
      <pivotArea collapsedLevelsAreSubtotals="1" fieldPosition="0">
        <references count="1">
          <reference field="1" count="1">
            <x v="4"/>
          </reference>
        </references>
      </pivotArea>
    </format>
    <format dxfId="18">
      <pivotArea collapsedLevelsAreSubtotals="1" fieldPosition="0">
        <references count="1">
          <reference field="1" count="1">
            <x v="5"/>
          </reference>
        </references>
      </pivotArea>
    </format>
    <format dxfId="17">
      <pivotArea collapsedLevelsAreSubtotals="1" fieldPosition="0">
        <references count="1">
          <reference field="1" count="1">
            <x v="2"/>
          </reference>
        </references>
      </pivotArea>
    </format>
    <format dxfId="16">
      <pivotArea collapsedLevelsAreSubtotals="1" fieldPosition="0">
        <references count="1">
          <reference field="1" count="1">
            <x v="0"/>
          </reference>
        </references>
      </pivotArea>
    </format>
    <format dxfId="15">
      <pivotArea collapsedLevelsAreSubtotals="1" fieldPosition="0">
        <references count="1">
          <reference field="1" count="1">
            <x v="8"/>
          </reference>
        </references>
      </pivotArea>
    </format>
    <format dxfId="14">
      <pivotArea collapsedLevelsAreSubtotals="1" fieldPosition="0">
        <references count="1">
          <reference field="1" count="1">
            <x v="9"/>
          </reference>
        </references>
      </pivotArea>
    </format>
    <format dxfId="13">
      <pivotArea collapsedLevelsAreSubtotals="1" fieldPosition="0">
        <references count="1">
          <reference field="1" count="1">
            <x v="11"/>
          </reference>
        </references>
      </pivotArea>
    </format>
    <format dxfId="12">
      <pivotArea collapsedLevelsAreSubtotals="1" fieldPosition="0">
        <references count="1">
          <reference field="1" count="1">
            <x v="1"/>
          </reference>
        </references>
      </pivotArea>
    </format>
    <format dxfId="11">
      <pivotArea collapsedLevelsAreSubtotals="1" fieldPosition="0">
        <references count="1">
          <reference field="1" count="1">
            <x v="10"/>
          </reference>
        </references>
      </pivotArea>
    </format>
    <format dxfId="10">
      <pivotArea dataOnly="0" labelOnly="1" fieldPosition="0">
        <references count="1">
          <reference field="1" count="0"/>
        </references>
      </pivotArea>
    </format>
  </formats>
  <conditionalFormats count="1">
    <conditionalFormat priority="2">
      <pivotAreas count="1">
        <pivotArea outline="0" fieldPosition="0">
          <references count="1">
            <reference field="4294967294" count="1">
              <x v="0"/>
            </reference>
          </references>
        </pivotArea>
      </pivotAreas>
    </conditionalFormat>
  </conditional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F5853A-DB17-9044-8116-2EB2FB3F2AE0}" name="피벗 테이블2" cacheId="5" applyNumberFormats="0" applyBorderFormats="0" applyFontFormats="0" applyPatternFormats="0" applyAlignmentFormats="0" applyWidthHeightFormats="1" dataCaption="값" updatedVersion="8" minRefreshableVersion="3" useAutoFormatting="1" colGrandTotals="0" itemPrintTitles="1" createdVersion="8" indent="0" outline="1" outlineData="1" multipleFieldFilters="0" chartFormat="1">
  <location ref="F5:H23" firstHeaderRow="0" firstDataRow="1" firstDataCol="1"/>
  <pivotFields count="18">
    <pivotField showAll="0">
      <extLst>
        <ext xmlns:x14="http://schemas.microsoft.com/office/spreadsheetml/2009/9/main" uri="{2946ED86-A175-432a-8AC1-64E0C546D7DE}">
          <x14:pivotField fillDownLabels="1"/>
        </ext>
      </extLst>
    </pivotField>
    <pivotField axis="axisRow" showAll="0" sortType="descending">
      <items count="13">
        <item sd="0" x="8"/>
        <item h="1" sd="0" x="10"/>
        <item sd="0" x="0"/>
        <item sd="0" x="1"/>
        <item sd="0" x="2"/>
        <item sd="0" x="3"/>
        <item x="4"/>
        <item sd="0" x="5"/>
        <item sd="0" x="6"/>
        <item sd="0" x="9"/>
        <item h="1" sd="0" x="7"/>
        <item h="1" sd="0" x="11"/>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showAll="0">
      <items count="50">
        <item x="19"/>
        <item x="28"/>
        <item x="20"/>
        <item x="29"/>
        <item x="48"/>
        <item x="30"/>
        <item x="31"/>
        <item x="32"/>
        <item x="0"/>
        <item x="33"/>
        <item x="34"/>
        <item x="1"/>
        <item x="47"/>
        <item x="2"/>
        <item x="3"/>
        <item x="35"/>
        <item x="36"/>
        <item x="4"/>
        <item x="37"/>
        <item x="5"/>
        <item x="6"/>
        <item x="27"/>
        <item x="7"/>
        <item x="8"/>
        <item x="9"/>
        <item x="10"/>
        <item x="11"/>
        <item x="38"/>
        <item x="21"/>
        <item x="12"/>
        <item x="22"/>
        <item x="13"/>
        <item x="14"/>
        <item x="15"/>
        <item x="16"/>
        <item x="23"/>
        <item x="17"/>
        <item x="24"/>
        <item x="39"/>
        <item x="25"/>
        <item x="26"/>
        <item x="46"/>
        <item x="18"/>
        <item x="40"/>
        <item x="41"/>
        <item x="44"/>
        <item x="42"/>
        <item x="43"/>
        <item x="45"/>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s>
  <rowFields count="2">
    <field x="1"/>
    <field x="2"/>
  </rowFields>
  <rowItems count="18">
    <i>
      <x v="6"/>
    </i>
    <i r="1">
      <x v="25"/>
    </i>
    <i r="1">
      <x v="26"/>
    </i>
    <i r="1">
      <x v="27"/>
    </i>
    <i r="1">
      <x v="28"/>
    </i>
    <i r="1">
      <x v="29"/>
    </i>
    <i r="1">
      <x v="30"/>
    </i>
    <i r="1">
      <x v="31"/>
    </i>
    <i r="1">
      <x v="32"/>
    </i>
    <i>
      <x v="3"/>
    </i>
    <i>
      <x v="7"/>
    </i>
    <i>
      <x v="4"/>
    </i>
    <i>
      <x v="5"/>
    </i>
    <i>
      <x v="2"/>
    </i>
    <i>
      <x/>
    </i>
    <i>
      <x v="8"/>
    </i>
    <i>
      <x v="9"/>
    </i>
    <i t="grand">
      <x/>
    </i>
  </rowItems>
  <colFields count="1">
    <field x="-2"/>
  </colFields>
  <colItems count="2">
    <i>
      <x/>
    </i>
    <i i="1">
      <x v="1"/>
    </i>
  </colItems>
  <dataFields count="2">
    <dataField name="건수" fld="14" subtotal="count" baseField="0" baseItem="0"/>
    <dataField name="비율" fld="15" subtotal="count" showDataAs="percentOfTotal" baseField="0" baseItem="0" numFmtId="1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F84FE5-9F85-1D4B-AEB3-3205C1342CCC}" name="피벗 테이블1" cacheId="5" applyNumberFormats="0" applyBorderFormats="0" applyFontFormats="0" applyPatternFormats="0" applyAlignmentFormats="0" applyWidthHeightFormats="1" dataCaption="값" updatedVersion="8" minRefreshableVersion="3" useAutoFormatting="1" itemPrintTitles="1" createdVersion="8" indent="0" compact="0" compactData="0" multipleFieldFilters="0" chartFormat="2">
  <location ref="B5:D15" firstHeaderRow="0" firstDataRow="1" firstDataCol="1"/>
  <pivotFields count="18">
    <pivotField compact="0" outline="0" showAll="0">
      <extLst>
        <ext xmlns:x14="http://schemas.microsoft.com/office/spreadsheetml/2009/9/main" uri="{2946ED86-A175-432a-8AC1-64E0C546D7DE}">
          <x14:pivotField fillDownLabels="1"/>
        </ext>
      </extLst>
    </pivotField>
    <pivotField axis="axisRow" compact="0" outline="0" showAll="0" sortType="descending">
      <items count="13">
        <item x="8"/>
        <item h="1" x="10"/>
        <item x="0"/>
        <item x="1"/>
        <item x="2"/>
        <item x="3"/>
        <item x="4"/>
        <item x="5"/>
        <item x="6"/>
        <item x="9"/>
        <item h="1" x="7"/>
        <item h="1" x="11"/>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1"/>
  </rowFields>
  <rowItems count="10">
    <i>
      <x v="6"/>
    </i>
    <i>
      <x v="3"/>
    </i>
    <i>
      <x v="7"/>
    </i>
    <i>
      <x v="4"/>
    </i>
    <i>
      <x v="5"/>
    </i>
    <i>
      <x v="2"/>
    </i>
    <i>
      <x/>
    </i>
    <i>
      <x v="8"/>
    </i>
    <i>
      <x v="9"/>
    </i>
    <i t="grand">
      <x/>
    </i>
  </rowItems>
  <colFields count="1">
    <field x="-2"/>
  </colFields>
  <colItems count="2">
    <i>
      <x/>
    </i>
    <i i="1">
      <x v="1"/>
    </i>
  </colItems>
  <dataFields count="2">
    <dataField name="건수" fld="14" subtotal="count" baseField="0" baseItem="0"/>
    <dataField name="비율" fld="15" subtotal="count"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130E7B-EC31-8646-9FFD-3234F852077C}" name="피벗 테이블14" cacheId="5"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F4:H17" firstHeaderRow="0" firstDataRow="1" firstDataCol="1"/>
  <pivotFields count="18">
    <pivotField showAll="0">
      <extLst>
        <ext xmlns:x14="http://schemas.microsoft.com/office/spreadsheetml/2009/9/main" uri="{2946ED86-A175-432a-8AC1-64E0C546D7DE}">
          <x14:pivotField fillDownLabels="1"/>
        </ext>
      </extLst>
    </pivotField>
    <pivotField axis="axisRow" showAll="0" sortType="descending">
      <items count="13">
        <item sd="0" x="8"/>
        <item sd="0" x="10"/>
        <item sd="0" x="0"/>
        <item sd="0" x="1"/>
        <item sd="0" x="2"/>
        <item sd="0" x="3"/>
        <item sd="0" x="4"/>
        <item sd="0" x="5"/>
        <item sd="0" x="6"/>
        <item sd="0" x="9"/>
        <item sd="0" x="7"/>
        <item sd="0" x="11"/>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items count="60">
        <item x="0"/>
        <item x="1"/>
        <item x="2"/>
        <item x="3"/>
        <item x="20"/>
        <item x="21"/>
        <item x="12"/>
        <item x="11"/>
        <item x="4"/>
        <item x="22"/>
        <item x="15"/>
        <item x="25"/>
        <item x="23"/>
        <item x="7"/>
        <item x="24"/>
        <item x="17"/>
        <item x="42"/>
        <item x="26"/>
        <item x="10"/>
        <item x="27"/>
        <item x="32"/>
        <item x="33"/>
        <item x="34"/>
        <item x="35"/>
        <item x="36"/>
        <item x="37"/>
        <item x="39"/>
        <item x="41"/>
        <item x="43"/>
        <item x="44"/>
        <item x="45"/>
        <item x="46"/>
        <item x="47"/>
        <item x="48"/>
        <item x="31"/>
        <item x="50"/>
        <item x="38"/>
        <item x="51"/>
        <item x="5"/>
        <item x="52"/>
        <item x="53"/>
        <item x="49"/>
        <item x="13"/>
        <item x="30"/>
        <item x="29"/>
        <item x="8"/>
        <item x="28"/>
        <item x="19"/>
        <item x="16"/>
        <item x="18"/>
        <item x="54"/>
        <item x="14"/>
        <item x="9"/>
        <item x="55"/>
        <item x="6"/>
        <item x="56"/>
        <item x="57"/>
        <item m="1" x="58"/>
        <item x="40"/>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s>
  <rowFields count="2">
    <field x="1"/>
    <field x="6"/>
  </rowFields>
  <rowItems count="13">
    <i>
      <x v="6"/>
    </i>
    <i>
      <x v="3"/>
    </i>
    <i>
      <x v="7"/>
    </i>
    <i>
      <x v="4"/>
    </i>
    <i>
      <x v="5"/>
    </i>
    <i>
      <x v="2"/>
    </i>
    <i>
      <x/>
    </i>
    <i>
      <x v="8"/>
    </i>
    <i>
      <x v="9"/>
    </i>
    <i>
      <x v="11"/>
    </i>
    <i>
      <x v="1"/>
    </i>
    <i>
      <x v="10"/>
    </i>
    <i t="grand">
      <x/>
    </i>
  </rowItems>
  <colFields count="1">
    <field x="-2"/>
  </colFields>
  <colItems count="2">
    <i>
      <x/>
    </i>
    <i i="1">
      <x v="1"/>
    </i>
  </colItems>
  <dataFields count="2">
    <dataField name="건수" fld="14" subtotal="count" baseField="0" baseItem="0"/>
    <dataField name="비율" fld="15"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ABD480-A4AD-A247-93AA-58BDB6E8F415}" name="피벗 테이블18" cacheId="5"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B4:D17" firstHeaderRow="0" firstDataRow="1" firstDataCol="1"/>
  <pivotFields count="18">
    <pivotField showAll="0">
      <extLst>
        <ext xmlns:x14="http://schemas.microsoft.com/office/spreadsheetml/2009/9/main" uri="{2946ED86-A175-432a-8AC1-64E0C546D7DE}">
          <x14:pivotField fillDownLabels="1"/>
        </ext>
      </extLst>
    </pivotField>
    <pivotField axis="axisRow" showAll="0">
      <items count="13">
        <item sd="0" x="8"/>
        <item sd="0" x="10"/>
        <item sd="0" x="0"/>
        <item sd="0" x="1"/>
        <item sd="0" x="2"/>
        <item sd="0" x="3"/>
        <item sd="0" x="4"/>
        <item sd="0" x="5"/>
        <item sd="0" x="6"/>
        <item sd="0" x="9"/>
        <item sd="0" x="7"/>
        <item sd="0" x="11"/>
        <item t="default"/>
      </items>
      <extLst>
        <ext xmlns:x14="http://schemas.microsoft.com/office/spreadsheetml/2009/9/main" uri="{2946ED86-A175-432a-8AC1-64E0C546D7DE}">
          <x14:pivotField fillDownLabels="1"/>
        </ext>
      </extLst>
    </pivotField>
    <pivotField axis="axisRow" showAll="0">
      <items count="50">
        <item x="19"/>
        <item sd="0" x="28"/>
        <item sd="0" x="20"/>
        <item sd="0" x="29"/>
        <item sd="0" x="48"/>
        <item sd="0" x="30"/>
        <item x="31"/>
        <item x="32"/>
        <item x="0"/>
        <item x="33"/>
        <item x="34"/>
        <item x="1"/>
        <item x="47"/>
        <item x="2"/>
        <item x="3"/>
        <item x="35"/>
        <item x="36"/>
        <item x="4"/>
        <item x="37"/>
        <item x="5"/>
        <item x="6"/>
        <item x="27"/>
        <item x="7"/>
        <item x="8"/>
        <item x="9"/>
        <item x="10"/>
        <item x="11"/>
        <item x="38"/>
        <item x="21"/>
        <item x="12"/>
        <item x="22"/>
        <item x="13"/>
        <item x="14"/>
        <item x="15"/>
        <item x="16"/>
        <item x="23"/>
        <item x="17"/>
        <item x="24"/>
        <item x="39"/>
        <item x="25"/>
        <item x="26"/>
        <item x="46"/>
        <item x="18"/>
        <item x="40"/>
        <item x="41"/>
        <item x="44"/>
        <item x="42"/>
        <item x="43"/>
        <item x="45"/>
        <item t="default"/>
      </items>
      <extLst>
        <ext xmlns:x14="http://schemas.microsoft.com/office/spreadsheetml/2009/9/main" uri="{2946ED86-A175-432a-8AC1-64E0C546D7DE}">
          <x14:pivotField fillDownLabels="1"/>
        </ext>
      </extLst>
    </pivotField>
    <pivotField axis="axisRow" showAll="0">
      <items count="114">
        <item x="26"/>
        <item sd="0" x="27"/>
        <item sd="0" x="54"/>
        <item x="55"/>
        <item x="56"/>
        <item x="57"/>
        <item x="93"/>
        <item x="58"/>
        <item x="28"/>
        <item x="59"/>
        <item x="60"/>
        <item x="61"/>
        <item x="108"/>
        <item x="62"/>
        <item x="63"/>
        <item x="64"/>
        <item x="65"/>
        <item x="0"/>
        <item x="66"/>
        <item x="67"/>
        <item x="68"/>
        <item x="69"/>
        <item x="70"/>
        <item x="1"/>
        <item x="2"/>
        <item x="102"/>
        <item x="3"/>
        <item x="29"/>
        <item x="87"/>
        <item x="30"/>
        <item x="4"/>
        <item x="71"/>
        <item x="103"/>
        <item x="101"/>
        <item x="107"/>
        <item x="31"/>
        <item x="104"/>
        <item x="72"/>
        <item x="99"/>
        <item x="111"/>
        <item x="94"/>
        <item x="110"/>
        <item x="112"/>
        <item x="73"/>
        <item x="32"/>
        <item x="97"/>
        <item x="74"/>
        <item x="5"/>
        <item x="95"/>
        <item x="75"/>
        <item x="6"/>
        <item x="7"/>
        <item x="33"/>
        <item x="8"/>
        <item x="9"/>
        <item x="76"/>
        <item x="105"/>
        <item x="52"/>
        <item x="106"/>
        <item x="77"/>
        <item x="10"/>
        <item x="34"/>
        <item x="35"/>
        <item x="11"/>
        <item x="12"/>
        <item x="36"/>
        <item x="13"/>
        <item x="14"/>
        <item x="37"/>
        <item x="38"/>
        <item x="15"/>
        <item x="16"/>
        <item x="78"/>
        <item x="91"/>
        <item x="100"/>
        <item x="92"/>
        <item x="39"/>
        <item x="40"/>
        <item x="17"/>
        <item x="18"/>
        <item x="88"/>
        <item x="41"/>
        <item x="19"/>
        <item x="42"/>
        <item x="43"/>
        <item x="20"/>
        <item x="44"/>
        <item x="45"/>
        <item x="46"/>
        <item x="21"/>
        <item x="22"/>
        <item x="23"/>
        <item x="47"/>
        <item x="48"/>
        <item x="24"/>
        <item x="79"/>
        <item x="80"/>
        <item x="49"/>
        <item x="81"/>
        <item x="53"/>
        <item x="50"/>
        <item x="51"/>
        <item x="82"/>
        <item x="98"/>
        <item x="25"/>
        <item x="83"/>
        <item x="109"/>
        <item x="84"/>
        <item x="96"/>
        <item x="89"/>
        <item x="85"/>
        <item x="86"/>
        <item x="90"/>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items count="60">
        <item x="0"/>
        <item sd="0" x="1"/>
        <item x="2"/>
        <item x="3"/>
        <item x="20"/>
        <item x="21"/>
        <item x="12"/>
        <item x="11"/>
        <item sd="0" x="4"/>
        <item x="22"/>
        <item x="15"/>
        <item x="25"/>
        <item x="23"/>
        <item x="7"/>
        <item x="24"/>
        <item x="17"/>
        <item x="42"/>
        <item x="26"/>
        <item x="10"/>
        <item x="27"/>
        <item x="32"/>
        <item x="33"/>
        <item x="34"/>
        <item x="35"/>
        <item x="36"/>
        <item x="37"/>
        <item x="39"/>
        <item x="41"/>
        <item x="43"/>
        <item x="44"/>
        <item x="45"/>
        <item x="46"/>
        <item x="47"/>
        <item x="48"/>
        <item x="31"/>
        <item x="50"/>
        <item x="38"/>
        <item x="51"/>
        <item sd="0" x="5"/>
        <item x="52"/>
        <item x="53"/>
        <item x="49"/>
        <item x="13"/>
        <item x="30"/>
        <item x="29"/>
        <item x="8"/>
        <item x="28"/>
        <item x="19"/>
        <item x="16"/>
        <item x="18"/>
        <item x="54"/>
        <item x="14"/>
        <item x="9"/>
        <item x="55"/>
        <item x="6"/>
        <item x="56"/>
        <item x="57"/>
        <item m="1" x="58"/>
        <item x="40"/>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items count="21">
        <item x="10"/>
        <item x="1"/>
        <item x="6"/>
        <item x="5"/>
        <item x="2"/>
        <item x="0"/>
        <item x="3"/>
        <item x="7"/>
        <item x="14"/>
        <item x="8"/>
        <item x="12"/>
        <item x="19"/>
        <item x="13"/>
        <item x="18"/>
        <item x="16"/>
        <item x="15"/>
        <item x="4"/>
        <item x="11"/>
        <item x="17"/>
        <item x="9"/>
        <item t="default"/>
      </items>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s>
  <rowFields count="5">
    <field x="1"/>
    <field x="2"/>
    <field x="3"/>
    <field x="6"/>
    <field x="14"/>
  </rowFields>
  <rowItems count="13">
    <i>
      <x/>
    </i>
    <i>
      <x v="1"/>
    </i>
    <i>
      <x v="2"/>
    </i>
    <i>
      <x v="3"/>
    </i>
    <i>
      <x v="4"/>
    </i>
    <i>
      <x v="5"/>
    </i>
    <i>
      <x v="6"/>
    </i>
    <i>
      <x v="7"/>
    </i>
    <i>
      <x v="8"/>
    </i>
    <i>
      <x v="9"/>
    </i>
    <i>
      <x v="10"/>
    </i>
    <i>
      <x v="11"/>
    </i>
    <i t="grand">
      <x/>
    </i>
  </rowItems>
  <colFields count="1">
    <field x="-2"/>
  </colFields>
  <colItems count="2">
    <i>
      <x/>
    </i>
    <i i="1">
      <x v="1"/>
    </i>
  </colItems>
  <dataFields count="2">
    <dataField name="건수" fld="17" subtotal="count" baseField="0" baseItem="0"/>
    <dataField name="비율" fld="15"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8FEB78-DF65-1B47-BE56-DCD767C76859}" name="피벗 테이블17" cacheId="5"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R4:T481" firstHeaderRow="0" firstDataRow="1" firstDataCol="1"/>
  <pivotFields count="18">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xis="axisRow" showAll="0" sortType="descending">
      <items count="114">
        <item sd="0" x="26"/>
        <item x="27"/>
        <item sd="0" x="54"/>
        <item x="55"/>
        <item sd="0" x="56"/>
        <item x="57"/>
        <item x="93"/>
        <item sd="0" x="58"/>
        <item x="28"/>
        <item x="59"/>
        <item x="60"/>
        <item x="61"/>
        <item x="108"/>
        <item x="62"/>
        <item x="63"/>
        <item x="64"/>
        <item x="65"/>
        <item sd="0" x="0"/>
        <item x="66"/>
        <item x="67"/>
        <item x="68"/>
        <item x="69"/>
        <item x="70"/>
        <item sd="0" x="1"/>
        <item sd="0" x="2"/>
        <item x="102"/>
        <item sd="0" x="3"/>
        <item x="29"/>
        <item x="87"/>
        <item x="30"/>
        <item sd="0" x="4"/>
        <item x="71"/>
        <item x="103"/>
        <item x="101"/>
        <item x="107"/>
        <item sd="0" x="31"/>
        <item x="104"/>
        <item x="72"/>
        <item x="99"/>
        <item x="111"/>
        <item x="94"/>
        <item x="110"/>
        <item x="112"/>
        <item x="73"/>
        <item sd="0" x="32"/>
        <item x="97"/>
        <item x="74"/>
        <item x="5"/>
        <item x="95"/>
        <item sd="0" x="75"/>
        <item sd="0" x="6"/>
        <item sd="0" x="7"/>
        <item sd="0" x="33"/>
        <item sd="0" x="8"/>
        <item x="9"/>
        <item x="76"/>
        <item x="105"/>
        <item x="52"/>
        <item x="106"/>
        <item x="77"/>
        <item sd="0" x="10"/>
        <item sd="0" x="34"/>
        <item x="35"/>
        <item sd="0" x="11"/>
        <item x="12"/>
        <item x="36"/>
        <item sd="0" x="13"/>
        <item sd="0" x="14"/>
        <item sd="0" x="37"/>
        <item sd="0" x="38"/>
        <item sd="0" x="15"/>
        <item sd="0" x="16"/>
        <item x="78"/>
        <item x="91"/>
        <item x="100"/>
        <item x="92"/>
        <item sd="0" x="39"/>
        <item sd="0" x="40"/>
        <item x="17"/>
        <item sd="0" x="18"/>
        <item x="88"/>
        <item sd="0" x="41"/>
        <item x="19"/>
        <item sd="0" x="42"/>
        <item sd="0" x="43"/>
        <item sd="0" x="20"/>
        <item x="44"/>
        <item sd="0" x="45"/>
        <item sd="0" x="46"/>
        <item sd="0" x="21"/>
        <item sd="0" x="22"/>
        <item sd="0" x="23"/>
        <item sd="0" x="47"/>
        <item x="48"/>
        <item x="24"/>
        <item sd="0" x="79"/>
        <item x="80"/>
        <item sd="0" x="49"/>
        <item sd="0" x="81"/>
        <item x="53"/>
        <item x="50"/>
        <item x="51"/>
        <item x="82"/>
        <item x="98"/>
        <item x="25"/>
        <item x="83"/>
        <item x="109"/>
        <item x="84"/>
        <item x="96"/>
        <item x="89"/>
        <item x="85"/>
        <item x="86"/>
        <item x="90"/>
        <item t="default"/>
      </items>
      <autoSortScope>
        <pivotArea dataOnly="0" outline="0" fieldPosition="0">
          <references count="1">
            <reference field="4294967294" count="1" selected="0">
              <x v="1"/>
            </reference>
          </references>
        </pivotArea>
      </autoSortScope>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items count="60">
        <item sd="0" x="0"/>
        <item sd="0" x="1"/>
        <item sd="0" x="2"/>
        <item x="3"/>
        <item x="20"/>
        <item sd="0" x="21"/>
        <item x="12"/>
        <item x="11"/>
        <item sd="0" x="4"/>
        <item sd="0" x="22"/>
        <item x="15"/>
        <item x="25"/>
        <item x="23"/>
        <item x="7"/>
        <item sd="0" x="24"/>
        <item sd="0" x="17"/>
        <item sd="0" x="42"/>
        <item x="26"/>
        <item x="10"/>
        <item x="27"/>
        <item x="32"/>
        <item x="33"/>
        <item x="34"/>
        <item x="35"/>
        <item x="36"/>
        <item sd="0" x="37"/>
        <item sd="0" x="39"/>
        <item sd="0" x="41"/>
        <item x="43"/>
        <item sd="0" x="44"/>
        <item x="45"/>
        <item sd="0" x="46"/>
        <item x="47"/>
        <item sd="0" x="48"/>
        <item sd="0" x="31"/>
        <item x="50"/>
        <item x="38"/>
        <item sd="0" x="51"/>
        <item sd="0" x="5"/>
        <item sd="0" x="52"/>
        <item x="53"/>
        <item x="49"/>
        <item x="13"/>
        <item sd="0" x="30"/>
        <item sd="0" x="29"/>
        <item x="8"/>
        <item sd="0" x="28"/>
        <item sd="0" x="19"/>
        <item sd="0" x="16"/>
        <item sd="0" x="18"/>
        <item sd="0" x="54"/>
        <item x="14"/>
        <item x="9"/>
        <item x="55"/>
        <item x="6"/>
        <item x="56"/>
        <item x="57"/>
        <item m="1" x="58"/>
        <item x="40"/>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items count="21">
        <item x="10"/>
        <item x="1"/>
        <item x="6"/>
        <item x="5"/>
        <item x="2"/>
        <item x="0"/>
        <item x="3"/>
        <item x="7"/>
        <item x="14"/>
        <item x="8"/>
        <item x="12"/>
        <item x="19"/>
        <item x="13"/>
        <item x="18"/>
        <item x="16"/>
        <item x="15"/>
        <item x="4"/>
        <item x="11"/>
        <item x="17"/>
        <item x="9"/>
        <item t="default"/>
      </items>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s>
  <rowFields count="3">
    <field x="3"/>
    <field x="6"/>
    <field x="14"/>
  </rowFields>
  <rowItems count="477">
    <i>
      <x v="85"/>
    </i>
    <i>
      <x v="91"/>
    </i>
    <i>
      <x v="66"/>
    </i>
    <i>
      <x v="50"/>
    </i>
    <i>
      <x v="26"/>
    </i>
    <i>
      <x v="77"/>
    </i>
    <i>
      <x v="52"/>
    </i>
    <i>
      <x v="24"/>
    </i>
    <i>
      <x v="30"/>
    </i>
    <i>
      <x v="70"/>
    </i>
    <i>
      <x v="71"/>
    </i>
    <i>
      <x v="83"/>
    </i>
    <i>
      <x v="79"/>
    </i>
    <i>
      <x v="88"/>
    </i>
    <i>
      <x v="63"/>
    </i>
    <i>
      <x v="51"/>
    </i>
    <i>
      <x v="53"/>
    </i>
    <i>
      <x v="87"/>
    </i>
    <i>
      <x v="95"/>
    </i>
    <i>
      <x v="89"/>
    </i>
    <i>
      <x v="81"/>
    </i>
    <i>
      <x v="23"/>
    </i>
    <i>
      <x v="90"/>
    </i>
    <i>
      <x v="17"/>
    </i>
    <i>
      <x v="44"/>
    </i>
    <i>
      <x v="97"/>
    </i>
    <i>
      <x v="69"/>
    </i>
    <i>
      <x v="49"/>
    </i>
    <i>
      <x v="98"/>
    </i>
    <i>
      <x v="2"/>
    </i>
    <i>
      <x v="60"/>
    </i>
    <i>
      <x v="84"/>
    </i>
    <i>
      <x v="68"/>
    </i>
    <i>
      <x v="92"/>
    </i>
    <i>
      <x v="67"/>
    </i>
    <i>
      <x v="4"/>
    </i>
    <i>
      <x v="61"/>
    </i>
    <i>
      <x v="76"/>
    </i>
    <i>
      <x v="7"/>
    </i>
    <i>
      <x v="35"/>
    </i>
    <i>
      <x v="1"/>
    </i>
    <i r="1">
      <x v="2"/>
    </i>
    <i r="1">
      <x v="8"/>
    </i>
    <i r="1">
      <x v="25"/>
    </i>
    <i r="1">
      <x v="32"/>
    </i>
    <i r="2">
      <x v="5"/>
    </i>
    <i r="1">
      <x v="53"/>
    </i>
    <i r="2">
      <x v="2"/>
    </i>
    <i r="2">
      <x v="7"/>
    </i>
    <i r="1">
      <x v="55"/>
    </i>
    <i r="2">
      <x v="17"/>
    </i>
    <i>
      <x v="9"/>
    </i>
    <i r="1">
      <x v="36"/>
    </i>
    <i r="2">
      <x v="12"/>
    </i>
    <i r="1">
      <x v="38"/>
    </i>
    <i r="1">
      <x v="45"/>
    </i>
    <i r="2">
      <x v="1"/>
    </i>
    <i r="2">
      <x v="2"/>
    </i>
    <i r="2">
      <x v="4"/>
    </i>
    <i r="2">
      <x v="5"/>
    </i>
    <i r="2">
      <x v="16"/>
    </i>
    <i>
      <x v="94"/>
    </i>
    <i r="1">
      <x/>
    </i>
    <i r="1">
      <x v="5"/>
    </i>
    <i r="1">
      <x v="8"/>
    </i>
    <i r="1">
      <x v="13"/>
    </i>
    <i r="2">
      <x v="1"/>
    </i>
    <i r="2">
      <x v="5"/>
    </i>
    <i r="1">
      <x v="14"/>
    </i>
    <i r="1">
      <x v="30"/>
    </i>
    <i r="2">
      <x v="1"/>
    </i>
    <i r="2">
      <x v="5"/>
    </i>
    <i r="1">
      <x v="31"/>
    </i>
    <i r="1">
      <x v="50"/>
    </i>
    <i r="1">
      <x v="54"/>
    </i>
    <i r="2">
      <x v="9"/>
    </i>
    <i>
      <x v="62"/>
    </i>
    <i r="1">
      <x v="1"/>
    </i>
    <i r="1">
      <x v="13"/>
    </i>
    <i r="2">
      <x v="4"/>
    </i>
    <i r="2">
      <x v="6"/>
    </i>
    <i r="1">
      <x v="14"/>
    </i>
    <i r="1">
      <x v="49"/>
    </i>
    <i r="1">
      <x v="51"/>
    </i>
    <i r="2">
      <x v="1"/>
    </i>
    <i r="2">
      <x v="2"/>
    </i>
    <i r="1">
      <x v="52"/>
    </i>
    <i r="2">
      <x v="2"/>
    </i>
    <i r="2">
      <x v="4"/>
    </i>
    <i r="2">
      <x v="9"/>
    </i>
    <i r="1">
      <x v="54"/>
    </i>
    <i r="2">
      <x v="4"/>
    </i>
    <i r="1">
      <x v="58"/>
    </i>
    <i r="2">
      <x v="18"/>
    </i>
    <i>
      <x v="65"/>
    </i>
    <i r="1">
      <x v="2"/>
    </i>
    <i r="1">
      <x v="5"/>
    </i>
    <i r="1">
      <x v="38"/>
    </i>
    <i r="1">
      <x v="47"/>
    </i>
    <i r="1">
      <x v="48"/>
    </i>
    <i r="1">
      <x v="54"/>
    </i>
    <i r="2">
      <x v="6"/>
    </i>
    <i>
      <x v="57"/>
    </i>
    <i r="1">
      <x v="3"/>
    </i>
    <i r="2">
      <x v="2"/>
    </i>
    <i r="2">
      <x v="4"/>
    </i>
    <i r="2">
      <x v="5"/>
    </i>
    <i r="1">
      <x v="6"/>
    </i>
    <i r="2">
      <x v="4"/>
    </i>
    <i r="1">
      <x v="17"/>
    </i>
    <i r="2">
      <x v="4"/>
    </i>
    <i r="1">
      <x v="28"/>
    </i>
    <i r="2">
      <x v="4"/>
    </i>
    <i r="1">
      <x v="39"/>
    </i>
    <i>
      <x v="5"/>
    </i>
    <i r="1">
      <x v="8"/>
    </i>
    <i r="1">
      <x v="32"/>
    </i>
    <i r="2">
      <x v="5"/>
    </i>
    <i r="1">
      <x v="38"/>
    </i>
    <i r="1">
      <x v="48"/>
    </i>
    <i r="1">
      <x v="56"/>
    </i>
    <i r="2">
      <x v="4"/>
    </i>
    <i r="2">
      <x v="7"/>
    </i>
    <i r="2">
      <x v="9"/>
    </i>
    <i>
      <x v="73"/>
    </i>
    <i r="1">
      <x v="4"/>
    </i>
    <i r="2">
      <x v="4"/>
    </i>
    <i r="1">
      <x v="22"/>
    </i>
    <i r="2">
      <x v="9"/>
    </i>
    <i r="1">
      <x v="27"/>
    </i>
    <i r="1">
      <x v="35"/>
    </i>
    <i r="2">
      <x v="19"/>
    </i>
    <i r="1">
      <x v="55"/>
    </i>
    <i r="2">
      <x v="13"/>
    </i>
    <i>
      <x v="82"/>
    </i>
    <i r="1">
      <x/>
    </i>
    <i r="1">
      <x v="4"/>
    </i>
    <i r="2">
      <x v="4"/>
    </i>
    <i r="1">
      <x v="5"/>
    </i>
    <i r="1">
      <x v="13"/>
    </i>
    <i r="2">
      <x v="4"/>
    </i>
    <i r="1">
      <x v="15"/>
    </i>
    <i r="1">
      <x v="19"/>
    </i>
    <i r="2">
      <x v="4"/>
    </i>
    <i r="1">
      <x v="26"/>
    </i>
    <i r="1">
      <x v="37"/>
    </i>
    <i r="1">
      <x v="42"/>
    </i>
    <i r="2">
      <x v="2"/>
    </i>
    <i r="2">
      <x v="5"/>
    </i>
    <i r="1">
      <x v="55"/>
    </i>
    <i r="2">
      <x v="19"/>
    </i>
    <i>
      <x v="64"/>
    </i>
    <i r="1">
      <x/>
    </i>
    <i r="1">
      <x v="1"/>
    </i>
    <i r="1">
      <x v="4"/>
    </i>
    <i r="2">
      <x v="4"/>
    </i>
    <i r="1">
      <x v="31"/>
    </i>
    <i r="1">
      <x v="34"/>
    </i>
    <i r="1">
      <x v="36"/>
    </i>
    <i r="2">
      <x v="12"/>
    </i>
    <i r="1">
      <x v="55"/>
    </i>
    <i r="2">
      <x v="10"/>
    </i>
    <i>
      <x v="72"/>
    </i>
    <i r="1">
      <x v="4"/>
    </i>
    <i r="2">
      <x v="4"/>
    </i>
    <i r="1">
      <x v="5"/>
    </i>
    <i r="1">
      <x v="13"/>
    </i>
    <i r="2">
      <x v="5"/>
    </i>
    <i r="1">
      <x v="15"/>
    </i>
    <i r="1">
      <x v="19"/>
    </i>
    <i r="2">
      <x v="4"/>
    </i>
    <i r="1">
      <x v="27"/>
    </i>
    <i r="1">
      <x v="31"/>
    </i>
    <i r="1">
      <x v="42"/>
    </i>
    <i r="2">
      <x v="1"/>
    </i>
    <i>
      <x v="86"/>
    </i>
    <i r="1">
      <x v="2"/>
    </i>
    <i r="1">
      <x v="8"/>
    </i>
    <i r="1">
      <x v="9"/>
    </i>
    <i r="1">
      <x v="15"/>
    </i>
    <i r="1">
      <x v="19"/>
    </i>
    <i r="2">
      <x v="4"/>
    </i>
    <i r="1">
      <x v="29"/>
    </i>
    <i r="1">
      <x v="38"/>
    </i>
    <i r="1">
      <x v="40"/>
    </i>
    <i r="2">
      <x v="6"/>
    </i>
    <i r="1">
      <x v="44"/>
    </i>
    <i r="1">
      <x v="55"/>
    </i>
    <i r="2">
      <x v="10"/>
    </i>
    <i>
      <x v="29"/>
    </i>
    <i r="1">
      <x v="2"/>
    </i>
    <i r="1">
      <x v="27"/>
    </i>
    <i r="1">
      <x v="39"/>
    </i>
    <i>
      <x v="16"/>
    </i>
    <i r="1">
      <x v="8"/>
    </i>
    <i r="1">
      <x v="13"/>
    </i>
    <i r="2">
      <x v="4"/>
    </i>
    <i r="1">
      <x v="21"/>
    </i>
    <i r="2">
      <x v="8"/>
    </i>
    <i r="1">
      <x v="35"/>
    </i>
    <i r="2">
      <x v="17"/>
    </i>
    <i r="1">
      <x v="38"/>
    </i>
    <i r="1">
      <x v="41"/>
    </i>
    <i r="2">
      <x v="5"/>
    </i>
    <i>
      <x v="93"/>
    </i>
    <i r="1">
      <x v="1"/>
    </i>
    <i r="1">
      <x v="2"/>
    </i>
    <i r="1">
      <x v="8"/>
    </i>
    <i r="1">
      <x v="9"/>
    </i>
    <i r="1">
      <x v="12"/>
    </i>
    <i r="2">
      <x v="2"/>
    </i>
    <i r="1">
      <x v="33"/>
    </i>
    <i r="1">
      <x v="39"/>
    </i>
    <i>
      <x v="74"/>
    </i>
    <i r="1">
      <x v="16"/>
    </i>
    <i r="1">
      <x v="20"/>
    </i>
    <i r="2">
      <x v="4"/>
    </i>
    <i r="1">
      <x v="27"/>
    </i>
    <i r="1">
      <x v="29"/>
    </i>
    <i r="1">
      <x v="31"/>
    </i>
    <i r="1">
      <x v="34"/>
    </i>
    <i r="1">
      <x v="39"/>
    </i>
    <i>
      <x v="8"/>
    </i>
    <i r="1">
      <x v="1"/>
    </i>
    <i r="1">
      <x v="8"/>
    </i>
    <i r="1">
      <x v="38"/>
    </i>
    <i r="1">
      <x v="45"/>
    </i>
    <i r="2">
      <x v="5"/>
    </i>
    <i r="1">
      <x v="53"/>
    </i>
    <i r="2">
      <x v="7"/>
    </i>
    <i>
      <x v="46"/>
    </i>
    <i r="1">
      <x v="6"/>
    </i>
    <i r="2">
      <x v="1"/>
    </i>
    <i r="1">
      <x v="38"/>
    </i>
    <i>
      <x v="78"/>
    </i>
    <i r="1">
      <x/>
    </i>
    <i r="1">
      <x v="5"/>
    </i>
    <i r="1">
      <x v="9"/>
    </i>
    <i r="1">
      <x v="12"/>
    </i>
    <i r="2">
      <x v="5"/>
    </i>
    <i r="1">
      <x v="15"/>
    </i>
    <i r="1">
      <x v="19"/>
    </i>
    <i r="2">
      <x v="4"/>
    </i>
    <i r="1">
      <x v="29"/>
    </i>
    <i r="1">
      <x v="43"/>
    </i>
    <i r="1">
      <x v="46"/>
    </i>
    <i>
      <x v="54"/>
    </i>
    <i r="1">
      <x/>
    </i>
    <i r="1">
      <x v="3"/>
    </i>
    <i r="2">
      <x v="1"/>
    </i>
    <i r="2">
      <x v="4"/>
    </i>
    <i r="2">
      <x v="5"/>
    </i>
    <i r="2">
      <x v="16"/>
    </i>
    <i r="1">
      <x v="27"/>
    </i>
    <i r="1">
      <x v="39"/>
    </i>
    <i>
      <x v="75"/>
    </i>
    <i r="1">
      <x v="4"/>
    </i>
    <i r="2">
      <x v="4"/>
    </i>
    <i r="1">
      <x v="16"/>
    </i>
    <i r="1">
      <x v="29"/>
    </i>
    <i r="1">
      <x v="44"/>
    </i>
    <i>
      <x v="59"/>
    </i>
    <i r="1">
      <x v="8"/>
    </i>
    <i r="1">
      <x v="42"/>
    </i>
    <i r="2">
      <x v="5"/>
    </i>
    <i r="2">
      <x v="6"/>
    </i>
    <i r="1">
      <x v="49"/>
    </i>
    <i>
      <x v="27"/>
    </i>
    <i r="1">
      <x v="1"/>
    </i>
    <i r="1">
      <x v="2"/>
    </i>
    <i r="1">
      <x v="33"/>
    </i>
    <i>
      <x v="22"/>
    </i>
    <i r="1">
      <x v="8"/>
    </i>
    <i r="1">
      <x v="40"/>
    </i>
    <i r="2">
      <x v="4"/>
    </i>
    <i r="1">
      <x v="50"/>
    </i>
    <i r="1">
      <x v="55"/>
    </i>
    <i r="2">
      <x v="10"/>
    </i>
    <i>
      <x v="10"/>
    </i>
    <i r="1">
      <x v="8"/>
    </i>
    <i r="1">
      <x v="32"/>
    </i>
    <i r="2">
      <x v="1"/>
    </i>
    <i r="1">
      <x v="48"/>
    </i>
    <i r="1">
      <x v="54"/>
    </i>
    <i r="2">
      <x v="1"/>
    </i>
    <i>
      <x v="34"/>
    </i>
    <i r="1">
      <x v="29"/>
    </i>
    <i r="1">
      <x v="39"/>
    </i>
    <i r="1">
      <x v="56"/>
    </i>
    <i r="2">
      <x v="4"/>
    </i>
    <i>
      <x v="101"/>
    </i>
    <i r="1">
      <x v="1"/>
    </i>
    <i r="1">
      <x v="3"/>
    </i>
    <i r="2">
      <x v="4"/>
    </i>
    <i r="1">
      <x v="13"/>
    </i>
    <i r="2">
      <x v="4"/>
    </i>
    <i r="1">
      <x v="27"/>
    </i>
    <i r="1">
      <x v="39"/>
    </i>
    <i r="1">
      <x v="49"/>
    </i>
    <i>
      <x v="18"/>
    </i>
    <i r="1">
      <x v="8"/>
    </i>
    <i r="1">
      <x v="13"/>
    </i>
    <i r="2">
      <x v="1"/>
    </i>
    <i r="1">
      <x v="31"/>
    </i>
    <i r="1">
      <x v="54"/>
    </i>
    <i r="2">
      <x v="1"/>
    </i>
    <i>
      <x v="45"/>
    </i>
    <i r="1">
      <x v="9"/>
    </i>
    <i r="1">
      <x v="19"/>
    </i>
    <i r="2">
      <x v="2"/>
    </i>
    <i r="2">
      <x v="4"/>
    </i>
    <i r="2">
      <x v="7"/>
    </i>
    <i>
      <x v="80"/>
    </i>
    <i r="1">
      <x v="5"/>
    </i>
    <i r="1">
      <x v="15"/>
    </i>
    <i r="1">
      <x v="27"/>
    </i>
    <i>
      <x v="58"/>
    </i>
    <i r="1">
      <x v="27"/>
    </i>
    <i r="1">
      <x v="28"/>
    </i>
    <i r="2">
      <x v="4"/>
    </i>
    <i>
      <x v="3"/>
    </i>
    <i r="1">
      <x v="8"/>
    </i>
    <i r="1">
      <x v="10"/>
    </i>
    <i r="2">
      <x v="4"/>
    </i>
    <i r="1">
      <x v="38"/>
    </i>
    <i r="1">
      <x v="56"/>
    </i>
    <i r="2">
      <x v="4"/>
    </i>
    <i>
      <x v="96"/>
    </i>
    <i r="1">
      <x v="14"/>
    </i>
    <i r="1">
      <x v="54"/>
    </i>
    <i r="2">
      <x v="1"/>
    </i>
    <i r="2">
      <x v="9"/>
    </i>
    <i>
      <x v="19"/>
    </i>
    <i r="1">
      <x v="30"/>
    </i>
    <i r="2">
      <x v="1"/>
    </i>
    <i r="2">
      <x v="5"/>
    </i>
    <i r="1">
      <x v="54"/>
    </i>
    <i r="2">
      <x v="9"/>
    </i>
    <i>
      <x v="11"/>
    </i>
    <i r="1">
      <x v="8"/>
    </i>
    <i r="1">
      <x v="36"/>
    </i>
    <i r="2">
      <x v="12"/>
    </i>
    <i r="1">
      <x v="48"/>
    </i>
    <i r="1">
      <x v="53"/>
    </i>
    <i r="2">
      <x v="7"/>
    </i>
    <i r="1">
      <x v="54"/>
    </i>
    <i r="2">
      <x v="1"/>
    </i>
    <i>
      <x v="107"/>
    </i>
    <i r="1">
      <x v="13"/>
    </i>
    <i r="2">
      <x v="2"/>
    </i>
    <i r="1">
      <x v="32"/>
    </i>
    <i r="2">
      <x v="5"/>
    </i>
    <i r="1">
      <x v="53"/>
    </i>
    <i r="2">
      <x v="2"/>
    </i>
    <i>
      <x v="33"/>
    </i>
    <i r="1">
      <x v="23"/>
    </i>
    <i r="2">
      <x v="4"/>
    </i>
    <i r="1">
      <x v="27"/>
    </i>
    <i r="1">
      <x v="31"/>
    </i>
    <i>
      <x v="15"/>
    </i>
    <i r="1">
      <x v="31"/>
    </i>
    <i r="1">
      <x v="36"/>
    </i>
    <i r="2">
      <x v="3"/>
    </i>
    <i r="1">
      <x v="54"/>
    </i>
    <i r="2">
      <x v="2"/>
    </i>
    <i r="1">
      <x v="55"/>
    </i>
    <i r="2">
      <x v="13"/>
    </i>
    <i>
      <x/>
    </i>
    <i>
      <x v="38"/>
    </i>
    <i r="1">
      <x v="21"/>
    </i>
    <i r="2">
      <x v="15"/>
    </i>
    <i r="1">
      <x v="39"/>
    </i>
    <i r="1">
      <x v="40"/>
    </i>
    <i r="2">
      <x v="4"/>
    </i>
    <i r="1">
      <x v="46"/>
    </i>
    <i>
      <x v="28"/>
    </i>
    <i r="1">
      <x v="27"/>
    </i>
    <i r="1">
      <x v="29"/>
    </i>
    <i r="1">
      <x v="48"/>
    </i>
    <i>
      <x v="6"/>
    </i>
    <i r="1">
      <x v="5"/>
    </i>
    <i r="1">
      <x v="56"/>
    </i>
    <i r="2">
      <x v="2"/>
    </i>
    <i r="2">
      <x v="4"/>
    </i>
    <i>
      <x v="32"/>
    </i>
    <i r="1">
      <x v="16"/>
    </i>
    <i r="1">
      <x v="27"/>
    </i>
    <i>
      <x v="48"/>
    </i>
    <i r="1">
      <x v="5"/>
    </i>
    <i>
      <x v="56"/>
    </i>
    <i r="1">
      <x v="27"/>
    </i>
    <i r="1">
      <x v="35"/>
    </i>
    <i r="2">
      <x v="19"/>
    </i>
    <i r="1">
      <x v="39"/>
    </i>
    <i>
      <x v="109"/>
    </i>
    <i r="1">
      <x v="37"/>
    </i>
    <i r="1">
      <x v="49"/>
    </i>
    <i>
      <x v="108"/>
    </i>
    <i r="1">
      <x v="5"/>
    </i>
    <i r="1">
      <x v="32"/>
    </i>
    <i r="2">
      <x v="7"/>
    </i>
    <i>
      <x v="105"/>
    </i>
    <i r="1">
      <x v="15"/>
    </i>
    <i r="1">
      <x v="54"/>
    </i>
    <i r="2">
      <x v="9"/>
    </i>
    <i>
      <x v="39"/>
    </i>
    <i r="1">
      <x v="50"/>
    </i>
    <i>
      <x v="47"/>
    </i>
    <i r="1">
      <x/>
    </i>
    <i r="1">
      <x v="31"/>
    </i>
    <i>
      <x v="40"/>
    </i>
    <i r="1">
      <x v="5"/>
    </i>
    <i r="1">
      <x v="29"/>
    </i>
    <i>
      <x v="110"/>
    </i>
    <i r="1">
      <x v="8"/>
    </i>
    <i r="1">
      <x v="56"/>
    </i>
    <i r="2">
      <x v="4"/>
    </i>
    <i>
      <x v="41"/>
    </i>
    <i r="1">
      <x v="35"/>
    </i>
    <i r="2">
      <x v="19"/>
    </i>
    <i>
      <x v="106"/>
    </i>
    <i r="1">
      <x v="32"/>
    </i>
    <i r="2">
      <x v="5"/>
    </i>
    <i r="1">
      <x v="39"/>
    </i>
    <i>
      <x v="43"/>
    </i>
    <i r="1">
      <x v="9"/>
    </i>
    <i r="1">
      <x v="13"/>
    </i>
    <i r="2">
      <x v="2"/>
    </i>
    <i>
      <x v="31"/>
    </i>
    <i r="1">
      <x v="18"/>
    </i>
    <i r="2">
      <x v="1"/>
    </i>
    <i r="1">
      <x v="37"/>
    </i>
    <i>
      <x v="20"/>
    </i>
    <i r="1">
      <x v="18"/>
    </i>
    <i r="2">
      <x v="4"/>
    </i>
    <i r="1">
      <x v="53"/>
    </i>
    <i r="2">
      <x v="1"/>
    </i>
    <i>
      <x v="104"/>
    </i>
    <i r="1">
      <x/>
    </i>
    <i>
      <x v="13"/>
    </i>
    <i r="1">
      <x v="13"/>
    </i>
    <i r="2">
      <x v="6"/>
    </i>
    <i>
      <x v="55"/>
    </i>
    <i r="1">
      <x v="6"/>
    </i>
    <i r="2">
      <x v="5"/>
    </i>
    <i>
      <x v="112"/>
    </i>
    <i r="1">
      <x v="48"/>
    </i>
    <i>
      <x v="103"/>
    </i>
    <i r="1">
      <x v="14"/>
    </i>
    <i>
      <x v="99"/>
    </i>
    <i r="1">
      <x v="3"/>
    </i>
    <i r="2">
      <x v="1"/>
    </i>
    <i>
      <x v="25"/>
    </i>
    <i r="1">
      <x v="26"/>
    </i>
    <i>
      <x v="100"/>
    </i>
    <i r="1">
      <x v="1"/>
    </i>
    <i>
      <x v="37"/>
    </i>
    <i r="1">
      <x v="8"/>
    </i>
    <i>
      <x v="36"/>
    </i>
    <i r="1">
      <x v="27"/>
    </i>
    <i>
      <x v="42"/>
    </i>
    <i r="1">
      <x v="50"/>
    </i>
    <i>
      <x v="102"/>
    </i>
    <i r="1">
      <x v="7"/>
    </i>
    <i r="2">
      <x v="4"/>
    </i>
    <i>
      <x v="111"/>
    </i>
    <i r="1">
      <x v="13"/>
    </i>
    <i r="2">
      <x v="2"/>
    </i>
    <i>
      <x v="21"/>
    </i>
    <i r="1">
      <x v="8"/>
    </i>
    <i>
      <x v="12"/>
    </i>
    <i r="1">
      <x v="32"/>
    </i>
    <i r="2">
      <x v="5"/>
    </i>
    <i>
      <x v="14"/>
    </i>
    <i r="1">
      <x v="13"/>
    </i>
    <i r="2">
      <x v="4"/>
    </i>
    <i t="grand">
      <x/>
    </i>
  </rowItems>
  <colFields count="1">
    <field x="-2"/>
  </colFields>
  <colItems count="2">
    <i>
      <x/>
    </i>
    <i i="1">
      <x v="1"/>
    </i>
  </colItems>
  <dataFields count="2">
    <dataField name="비율" fld="15" subtotal="count" showDataAs="percentOfTotal" baseField="0" baseItem="0" numFmtId="10"/>
    <dataField name="개수 : 작업명"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9D3728-0CA5-754C-B9B1-35C98032B02A}" name="피벗 테이블16" cacheId="5"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N4:P28" firstHeaderRow="0" firstDataRow="1" firstDataCol="1"/>
  <pivotFields count="18">
    <pivotField showAll="0">
      <extLst>
        <ext xmlns:x14="http://schemas.microsoft.com/office/spreadsheetml/2009/9/main" uri="{2946ED86-A175-432a-8AC1-64E0C546D7DE}">
          <x14:pivotField fillDownLabels="1"/>
        </ext>
      </extLst>
    </pivotField>
    <pivotField axis="axisRow" showAll="0">
      <items count="13">
        <item sd="0" x="8"/>
        <item sd="0" x="10"/>
        <item sd="0" x="0"/>
        <item sd="0" x="1"/>
        <item sd="0" x="2"/>
        <item sd="0" x="3"/>
        <item x="4"/>
        <item sd="0" x="5"/>
        <item sd="0" x="6"/>
        <item sd="0" x="9"/>
        <item sd="0" x="7"/>
        <item sd="0" x="11"/>
        <item t="default"/>
      </items>
      <extLst>
        <ext xmlns:x14="http://schemas.microsoft.com/office/spreadsheetml/2009/9/main" uri="{2946ED86-A175-432a-8AC1-64E0C546D7DE}">
          <x14:pivotField fillDownLabels="1"/>
        </ext>
      </extLst>
    </pivotField>
    <pivotField axis="axisRow" showAll="0">
      <items count="50">
        <item x="19"/>
        <item x="28"/>
        <item x="20"/>
        <item x="29"/>
        <item x="48"/>
        <item x="30"/>
        <item x="31"/>
        <item x="32"/>
        <item x="0"/>
        <item x="33"/>
        <item x="34"/>
        <item x="1"/>
        <item x="47"/>
        <item x="2"/>
        <item x="3"/>
        <item x="35"/>
        <item x="36"/>
        <item x="4"/>
        <item x="37"/>
        <item x="5"/>
        <item x="6"/>
        <item x="27"/>
        <item x="7"/>
        <item x="8"/>
        <item sd="0" x="9"/>
        <item x="10"/>
        <item sd="0" x="11"/>
        <item sd="0" x="38"/>
        <item sd="0" x="21"/>
        <item sd="0" x="12"/>
        <item sd="0" x="22"/>
        <item sd="0" x="13"/>
        <item sd="0" x="14"/>
        <item sd="0" x="15"/>
        <item sd="0" x="16"/>
        <item sd="0" x="23"/>
        <item x="17"/>
        <item x="24"/>
        <item x="39"/>
        <item x="25"/>
        <item x="26"/>
        <item x="46"/>
        <item x="18"/>
        <item x="40"/>
        <item x="41"/>
        <item x="44"/>
        <item x="42"/>
        <item x="43"/>
        <item x="45"/>
        <item t="default"/>
      </items>
      <extLst>
        <ext xmlns:x14="http://schemas.microsoft.com/office/spreadsheetml/2009/9/main" uri="{2946ED86-A175-432a-8AC1-64E0C546D7DE}">
          <x14:pivotField fillDownLabels="1"/>
        </ext>
      </extLst>
    </pivotField>
    <pivotField axis="axisRow" showAll="0">
      <items count="114">
        <item sd="0" x="26"/>
        <item x="27"/>
        <item x="54"/>
        <item x="55"/>
        <item x="56"/>
        <item x="57"/>
        <item x="93"/>
        <item x="58"/>
        <item x="28"/>
        <item x="59"/>
        <item x="60"/>
        <item x="61"/>
        <item x="108"/>
        <item x="62"/>
        <item x="63"/>
        <item x="64"/>
        <item x="65"/>
        <item x="0"/>
        <item x="66"/>
        <item x="67"/>
        <item x="68"/>
        <item x="69"/>
        <item x="70"/>
        <item x="1"/>
        <item sd="0" x="2"/>
        <item x="102"/>
        <item sd="0" x="3"/>
        <item x="29"/>
        <item x="87"/>
        <item x="30"/>
        <item x="4"/>
        <item x="71"/>
        <item x="103"/>
        <item x="101"/>
        <item x="107"/>
        <item x="31"/>
        <item x="104"/>
        <item x="72"/>
        <item x="99"/>
        <item x="111"/>
        <item x="94"/>
        <item x="110"/>
        <item x="112"/>
        <item x="73"/>
        <item x="32"/>
        <item x="97"/>
        <item x="74"/>
        <item x="5"/>
        <item x="95"/>
        <item x="75"/>
        <item sd="0" x="6"/>
        <item x="7"/>
        <item sd="0" x="33"/>
        <item x="8"/>
        <item x="9"/>
        <item x="76"/>
        <item x="105"/>
        <item x="52"/>
        <item x="106"/>
        <item x="77"/>
        <item x="10"/>
        <item x="34"/>
        <item x="35"/>
        <item x="11"/>
        <item x="12"/>
        <item x="36"/>
        <item sd="0" x="13"/>
        <item sd="0" x="14"/>
        <item sd="0" x="37"/>
        <item sd="0" x="38"/>
        <item sd="0" x="15"/>
        <item sd="0" x="16"/>
        <item x="78"/>
        <item x="91"/>
        <item x="100"/>
        <item x="92"/>
        <item x="39"/>
        <item sd="0" x="40"/>
        <item x="17"/>
        <item x="18"/>
        <item x="88"/>
        <item x="41"/>
        <item x="19"/>
        <item x="42"/>
        <item x="43"/>
        <item sd="0" x="20"/>
        <item x="44"/>
        <item x="45"/>
        <item x="46"/>
        <item x="21"/>
        <item sd="0" x="22"/>
        <item sd="0" x="23"/>
        <item x="47"/>
        <item x="48"/>
        <item x="24"/>
        <item x="79"/>
        <item x="80"/>
        <item x="49"/>
        <item x="81"/>
        <item x="53"/>
        <item x="50"/>
        <item x="51"/>
        <item x="82"/>
        <item x="98"/>
        <item x="25"/>
        <item x="83"/>
        <item x="109"/>
        <item x="84"/>
        <item x="96"/>
        <item x="89"/>
        <item x="85"/>
        <item x="86"/>
        <item x="90"/>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items count="60">
        <item x="0"/>
        <item x="1"/>
        <item x="2"/>
        <item x="3"/>
        <item x="20"/>
        <item x="21"/>
        <item x="12"/>
        <item x="11"/>
        <item x="4"/>
        <item x="22"/>
        <item x="15"/>
        <item x="25"/>
        <item x="23"/>
        <item x="7"/>
        <item x="24"/>
        <item x="17"/>
        <item x="42"/>
        <item x="26"/>
        <item x="10"/>
        <item x="27"/>
        <item x="32"/>
        <item x="33"/>
        <item x="34"/>
        <item x="35"/>
        <item x="36"/>
        <item x="37"/>
        <item x="39"/>
        <item x="41"/>
        <item x="43"/>
        <item x="44"/>
        <item x="45"/>
        <item x="46"/>
        <item x="47"/>
        <item x="48"/>
        <item x="31"/>
        <item x="50"/>
        <item x="38"/>
        <item x="51"/>
        <item x="5"/>
        <item x="52"/>
        <item x="53"/>
        <item x="49"/>
        <item x="13"/>
        <item x="30"/>
        <item x="29"/>
        <item x="8"/>
        <item x="28"/>
        <item x="19"/>
        <item x="16"/>
        <item x="18"/>
        <item x="54"/>
        <item x="14"/>
        <item x="9"/>
        <item x="55"/>
        <item x="6"/>
        <item x="56"/>
        <item x="57"/>
        <item m="1" x="58"/>
        <item x="40"/>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s>
  <rowFields count="4">
    <field x="1"/>
    <field x="2"/>
    <field x="3"/>
    <field x="6"/>
  </rowFields>
  <rowItems count="24">
    <i>
      <x/>
    </i>
    <i>
      <x v="1"/>
    </i>
    <i>
      <x v="2"/>
    </i>
    <i>
      <x v="3"/>
    </i>
    <i>
      <x v="4"/>
    </i>
    <i>
      <x v="5"/>
    </i>
    <i>
      <x v="6"/>
    </i>
    <i r="1">
      <x v="25"/>
    </i>
    <i r="2">
      <x v="68"/>
    </i>
    <i r="2">
      <x v="69"/>
    </i>
    <i r="2">
      <x v="70"/>
    </i>
    <i r="1">
      <x v="26"/>
    </i>
    <i r="1">
      <x v="27"/>
    </i>
    <i r="1">
      <x v="28"/>
    </i>
    <i r="1">
      <x v="29"/>
    </i>
    <i r="1">
      <x v="30"/>
    </i>
    <i r="1">
      <x v="31"/>
    </i>
    <i r="1">
      <x v="32"/>
    </i>
    <i>
      <x v="7"/>
    </i>
    <i>
      <x v="8"/>
    </i>
    <i>
      <x v="9"/>
    </i>
    <i>
      <x v="10"/>
    </i>
    <i>
      <x v="11"/>
    </i>
    <i t="grand">
      <x/>
    </i>
  </rowItems>
  <colFields count="1">
    <field x="-2"/>
  </colFields>
  <colItems count="2">
    <i>
      <x/>
    </i>
    <i i="1">
      <x v="1"/>
    </i>
  </colItems>
  <dataFields count="2">
    <dataField name="건수" fld="14" subtotal="count" baseField="0" baseItem="0"/>
    <dataField name="비율" fld="15"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8E8BB3-0608-364B-8A43-08E35A291CAB}" name="피벗 테이블15" cacheId="5"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J4:L31" firstHeaderRow="0" firstDataRow="1" firstDataCol="1"/>
  <pivotFields count="18">
    <pivotField showAll="0">
      <extLst>
        <ext xmlns:x14="http://schemas.microsoft.com/office/spreadsheetml/2009/9/main" uri="{2946ED86-A175-432a-8AC1-64E0C546D7DE}">
          <x14:pivotField fillDownLabels="1"/>
        </ext>
      </extLst>
    </pivotField>
    <pivotField axis="axisRow" showAll="0" sortType="descending">
      <items count="13">
        <item x="8"/>
        <item sd="0" x="10"/>
        <item sd="0" x="0"/>
        <item sd="0" x="1"/>
        <item sd="0" x="2"/>
        <item sd="0" x="3"/>
        <item x="4"/>
        <item sd="0" x="5"/>
        <item sd="0" x="6"/>
        <item sd="0" x="9"/>
        <item sd="0" x="7"/>
        <item sd="0" x="11"/>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showAll="0">
      <items count="50">
        <item sd="0" x="19"/>
        <item sd="0" x="28"/>
        <item sd="0" x="20"/>
        <item sd="0" x="29"/>
        <item sd="0" x="48"/>
        <item sd="0" x="30"/>
        <item x="31"/>
        <item x="32"/>
        <item x="0"/>
        <item x="33"/>
        <item x="34"/>
        <item x="1"/>
        <item x="47"/>
        <item x="2"/>
        <item x="3"/>
        <item x="35"/>
        <item x="36"/>
        <item x="4"/>
        <item x="37"/>
        <item x="5"/>
        <item x="6"/>
        <item x="27"/>
        <item x="7"/>
        <item x="8"/>
        <item x="9"/>
        <item sd="0" x="10"/>
        <item sd="0" x="11"/>
        <item sd="0" x="38"/>
        <item sd="0" x="21"/>
        <item sd="0" x="12"/>
        <item sd="0" x="22"/>
        <item sd="0" x="13"/>
        <item sd="0" x="14"/>
        <item x="15"/>
        <item x="16"/>
        <item x="23"/>
        <item x="17"/>
        <item x="24"/>
        <item x="39"/>
        <item x="25"/>
        <item x="26"/>
        <item x="46"/>
        <item x="18"/>
        <item x="40"/>
        <item x="41"/>
        <item x="44"/>
        <item x="42"/>
        <item x="43"/>
        <item x="45"/>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items count="60">
        <item x="0"/>
        <item x="1"/>
        <item x="2"/>
        <item x="3"/>
        <item x="20"/>
        <item x="21"/>
        <item x="12"/>
        <item x="11"/>
        <item x="4"/>
        <item x="22"/>
        <item x="15"/>
        <item x="25"/>
        <item x="23"/>
        <item x="7"/>
        <item x="24"/>
        <item x="17"/>
        <item x="42"/>
        <item x="26"/>
        <item x="10"/>
        <item x="27"/>
        <item x="32"/>
        <item x="33"/>
        <item x="34"/>
        <item x="35"/>
        <item x="36"/>
        <item x="37"/>
        <item x="39"/>
        <item x="41"/>
        <item x="43"/>
        <item x="44"/>
        <item x="45"/>
        <item x="46"/>
        <item x="47"/>
        <item x="48"/>
        <item x="31"/>
        <item x="50"/>
        <item x="38"/>
        <item x="51"/>
        <item x="5"/>
        <item x="52"/>
        <item x="53"/>
        <item x="49"/>
        <item x="13"/>
        <item x="30"/>
        <item x="29"/>
        <item x="8"/>
        <item x="28"/>
        <item x="19"/>
        <item x="16"/>
        <item x="18"/>
        <item x="54"/>
        <item x="14"/>
        <item x="9"/>
        <item x="55"/>
        <item x="6"/>
        <item x="56"/>
        <item x="57"/>
        <item m="1" x="58"/>
        <item x="40"/>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s>
  <rowFields count="3">
    <field x="1"/>
    <field x="2"/>
    <field x="6"/>
  </rowFields>
  <rowItems count="27">
    <i>
      <x v="6"/>
    </i>
    <i r="1">
      <x v="25"/>
    </i>
    <i r="1">
      <x v="26"/>
    </i>
    <i r="1">
      <x v="27"/>
    </i>
    <i r="1">
      <x v="28"/>
    </i>
    <i r="1">
      <x v="29"/>
    </i>
    <i r="1">
      <x v="30"/>
    </i>
    <i r="1">
      <x v="31"/>
    </i>
    <i r="1">
      <x v="32"/>
    </i>
    <i>
      <x v="3"/>
    </i>
    <i>
      <x v="7"/>
    </i>
    <i>
      <x v="4"/>
    </i>
    <i>
      <x v="5"/>
    </i>
    <i>
      <x v="2"/>
    </i>
    <i>
      <x/>
    </i>
    <i r="1">
      <x/>
    </i>
    <i r="1">
      <x v="1"/>
    </i>
    <i r="1">
      <x v="2"/>
    </i>
    <i r="1">
      <x v="3"/>
    </i>
    <i r="1">
      <x v="4"/>
    </i>
    <i r="1">
      <x v="5"/>
    </i>
    <i>
      <x v="8"/>
    </i>
    <i>
      <x v="9"/>
    </i>
    <i>
      <x v="11"/>
    </i>
    <i>
      <x v="1"/>
    </i>
    <i>
      <x v="10"/>
    </i>
    <i t="grand">
      <x/>
    </i>
  </rowItems>
  <colFields count="1">
    <field x="-2"/>
  </colFields>
  <colItems count="2">
    <i>
      <x/>
    </i>
    <i i="1">
      <x v="1"/>
    </i>
  </colItems>
  <dataFields count="2">
    <dataField name="건수" fld="14" subtotal="count" baseField="0" baseItem="0"/>
    <dataField name="비율" fld="15"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CD3AA0A-D834-8A44-B00C-25E132BCFBF1}" name="피벗 테이블2" cacheId="5" applyNumberFormats="0" applyBorderFormats="0" applyFontFormats="0" applyPatternFormats="0" applyAlignmentFormats="0" applyWidthHeightFormats="1" dataCaption="값" updatedVersion="8" minRefreshableVersion="3" itemPrintTitles="1" createdVersion="8" indent="0" outline="1" outlineData="1" multipleFieldFilters="0">
  <location ref="A4:AH47" firstHeaderRow="1" firstDataRow="3" firstDataCol="1"/>
  <pivotFields count="18">
    <pivotField showAll="0" defaultSubtotal="0"/>
    <pivotField axis="axisRow" showAll="0" sortType="descending" defaultSubtotal="0">
      <items count="12">
        <item sd="0" x="8"/>
        <item x="10"/>
        <item sd="0" x="0"/>
        <item sd="0" x="1"/>
        <item sd="0" x="2"/>
        <item sd="0" x="3"/>
        <item sd="0" x="4"/>
        <item sd="0" x="5"/>
        <item sd="0" x="6"/>
        <item sd="0" x="9"/>
        <item x="7"/>
        <item x="11"/>
      </items>
      <autoSortScope>
        <pivotArea dataOnly="0" outline="0" fieldPosition="0">
          <references count="1">
            <reference field="4294967294" count="1" selected="0">
              <x v="0"/>
            </reference>
          </references>
        </pivotArea>
      </autoSortScope>
    </pivotField>
    <pivotField axis="axisRow" showAll="0" defaultSubtotal="0">
      <items count="49">
        <item sd="0" x="19"/>
        <item sd="0" x="28"/>
        <item sd="0" x="20"/>
        <item sd="0" x="29"/>
        <item sd="0" x="48"/>
        <item sd="0" x="30"/>
        <item x="31"/>
        <item x="32"/>
        <item sd="0" x="0"/>
        <item sd="0" x="33"/>
        <item sd="0" x="34"/>
        <item sd="0" x="1"/>
        <item x="47"/>
        <item sd="0" x="2"/>
        <item sd="0" x="3"/>
        <item sd="0" x="35"/>
        <item x="36"/>
        <item sd="0" x="4"/>
        <item sd="0" x="37"/>
        <item sd="0" x="5"/>
        <item sd="0" x="6"/>
        <item sd="0" x="27"/>
        <item sd="0" x="7"/>
        <item sd="0" x="8"/>
        <item sd="0" x="9"/>
        <item sd="0" x="10"/>
        <item sd="0" x="11"/>
        <item sd="0" x="38"/>
        <item sd="0" x="21"/>
        <item sd="0" x="12"/>
        <item sd="0" x="22"/>
        <item sd="0" x="13"/>
        <item sd="0" x="14"/>
        <item sd="0" x="15"/>
        <item sd="0" x="16"/>
        <item sd="0" x="23"/>
        <item x="17"/>
        <item x="24"/>
        <item x="39"/>
        <item x="25"/>
        <item x="26"/>
        <item x="46"/>
        <item x="18"/>
        <item x="40"/>
        <item x="41"/>
        <item x="44"/>
        <item x="42"/>
        <item x="43"/>
        <item x="45"/>
      </items>
    </pivotField>
    <pivotField axis="axisRow" showAll="0" defaultSubtotal="0">
      <items count="113">
        <item x="26"/>
        <item x="27"/>
        <item x="54"/>
        <item x="55"/>
        <item x="56"/>
        <item x="57"/>
        <item x="93"/>
        <item x="58"/>
        <item x="28"/>
        <item x="59"/>
        <item x="60"/>
        <item x="61"/>
        <item x="108"/>
        <item x="62"/>
        <item x="63"/>
        <item x="64"/>
        <item x="65"/>
        <item x="0"/>
        <item x="66"/>
        <item x="67"/>
        <item x="68"/>
        <item x="69"/>
        <item x="70"/>
        <item x="1"/>
        <item x="2"/>
        <item x="102"/>
        <item x="3"/>
        <item x="29"/>
        <item x="87"/>
        <item x="30"/>
        <item x="4"/>
        <item x="71"/>
        <item x="103"/>
        <item x="101"/>
        <item x="107"/>
        <item x="31"/>
        <item x="104"/>
        <item x="72"/>
        <item x="99"/>
        <item x="111"/>
        <item x="94"/>
        <item x="110"/>
        <item x="112"/>
        <item x="73"/>
        <item x="32"/>
        <item x="97"/>
        <item x="74"/>
        <item x="5"/>
        <item x="95"/>
        <item x="75"/>
        <item x="6"/>
        <item x="7"/>
        <item x="33"/>
        <item x="8"/>
        <item x="9"/>
        <item x="76"/>
        <item x="105"/>
        <item x="52"/>
        <item x="106"/>
        <item x="77"/>
        <item x="10"/>
        <item x="34"/>
        <item x="35"/>
        <item x="11"/>
        <item x="12"/>
        <item x="36"/>
        <item x="13"/>
        <item x="14"/>
        <item x="37"/>
        <item x="38"/>
        <item x="15"/>
        <item x="16"/>
        <item x="78"/>
        <item x="91"/>
        <item x="100"/>
        <item x="92"/>
        <item x="39"/>
        <item x="40"/>
        <item x="17"/>
        <item x="18"/>
        <item x="88"/>
        <item x="41"/>
        <item x="19"/>
        <item x="42"/>
        <item x="43"/>
        <item x="20"/>
        <item x="44"/>
        <item x="45"/>
        <item x="46"/>
        <item x="21"/>
        <item x="22"/>
        <item x="23"/>
        <item x="47"/>
        <item x="48"/>
        <item x="24"/>
        <item x="79"/>
        <item x="80"/>
        <item x="49"/>
        <item x="81"/>
        <item x="53"/>
        <item x="50"/>
        <item x="51"/>
        <item x="82"/>
        <item x="98"/>
        <item x="25"/>
        <item x="83"/>
        <item x="109"/>
        <item x="84"/>
        <item x="96"/>
        <item x="89"/>
        <item x="85"/>
        <item x="86"/>
        <item x="90"/>
      </items>
    </pivotField>
    <pivotField subtotalTop="0" showAll="0" defaultSubtotal="0"/>
    <pivotField axis="axisCol" showAll="0" sortType="descending" defaultSubtotal="0">
      <items count="37">
        <item sd="0" x="0"/>
        <item sd="0" x="1"/>
        <item sd="0" x="2"/>
        <item sd="0" x="3"/>
        <item sd="0" x="4"/>
        <item sd="0" x="5"/>
        <item sd="0" m="1" x="32"/>
        <item sd="0" x="6"/>
        <item sd="0" m="1" x="36"/>
        <item sd="0" x="7"/>
        <item sd="0" x="8"/>
        <item sd="0" m="1" x="35"/>
        <item sd="0" x="10"/>
        <item sd="0" x="9"/>
        <item sd="0" x="11"/>
        <item sd="0" m="1" x="34"/>
        <item sd="0" x="13"/>
        <item sd="0" x="14"/>
        <item sd="0" x="15"/>
        <item sd="0" x="16"/>
        <item sd="0" x="17"/>
        <item sd="0" x="19"/>
        <item sd="0" x="12"/>
        <item sd="0" x="21"/>
        <item sd="0" x="22"/>
        <item sd="0" x="23"/>
        <item sd="0" x="24"/>
        <item sd="0" x="25"/>
        <item sd="0" x="18"/>
        <item sd="0" x="26"/>
        <item sd="0" m="1" x="33"/>
        <item sd="0" x="27"/>
        <item sd="0" x="28"/>
        <item sd="0" x="29"/>
        <item sd="0" x="30"/>
        <item sd="0" x="31"/>
        <item x="20"/>
      </items>
      <autoSortScope>
        <pivotArea dataOnly="0" outline="0" fieldPosition="0">
          <references count="1">
            <reference field="4294967294" count="1" selected="0">
              <x v="0"/>
            </reference>
          </references>
        </pivotArea>
      </autoSortScope>
    </pivotField>
    <pivotField axis="axisCol" showAll="0" defaultSubtotal="0">
      <items count="59">
        <item x="0"/>
        <item sd="0" x="1"/>
        <item sd="0" x="2"/>
        <item sd="0" x="3"/>
        <item x="20"/>
        <item sd="0" x="21"/>
        <item x="12"/>
        <item x="11"/>
        <item sd="0" x="4"/>
        <item x="22"/>
        <item x="15"/>
        <item x="25"/>
        <item x="23"/>
        <item x="7"/>
        <item x="24"/>
        <item x="17"/>
        <item x="42"/>
        <item x="26"/>
        <item x="10"/>
        <item x="27"/>
        <item x="32"/>
        <item x="33"/>
        <item x="34"/>
        <item x="35"/>
        <item x="36"/>
        <item x="37"/>
        <item x="39"/>
        <item x="41"/>
        <item x="43"/>
        <item x="44"/>
        <item x="45"/>
        <item x="46"/>
        <item x="47"/>
        <item x="48"/>
        <item x="31"/>
        <item x="50"/>
        <item x="38"/>
        <item x="51"/>
        <item x="5"/>
        <item x="52"/>
        <item x="53"/>
        <item x="49"/>
        <item x="13"/>
        <item x="30"/>
        <item x="29"/>
        <item x="8"/>
        <item x="28"/>
        <item x="19"/>
        <item x="16"/>
        <item x="18"/>
        <item x="54"/>
        <item x="14"/>
        <item x="9"/>
        <item x="55"/>
        <item x="6"/>
        <item x="56"/>
        <item x="57"/>
        <item m="1" x="58"/>
        <item x="40"/>
      </items>
    </pivotField>
    <pivotField subtotalTop="0"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showAll="0" defaultSubtotal="0"/>
  </pivotFields>
  <rowFields count="3">
    <field x="1"/>
    <field x="2"/>
    <field x="3"/>
  </rowFields>
  <rowItems count="41">
    <i>
      <x v="6"/>
    </i>
    <i>
      <x v="3"/>
    </i>
    <i>
      <x v="7"/>
    </i>
    <i>
      <x v="4"/>
    </i>
    <i>
      <x v="5"/>
    </i>
    <i>
      <x v="2"/>
    </i>
    <i>
      <x/>
    </i>
    <i>
      <x v="8"/>
    </i>
    <i>
      <x v="9"/>
    </i>
    <i>
      <x v="11"/>
    </i>
    <i r="1">
      <x v="43"/>
    </i>
    <i r="2">
      <x v="105"/>
    </i>
    <i r="1">
      <x v="44"/>
    </i>
    <i r="2">
      <x v="106"/>
    </i>
    <i r="2">
      <x v="107"/>
    </i>
    <i r="1">
      <x v="45"/>
    </i>
    <i r="2">
      <x v="108"/>
    </i>
    <i r="2">
      <x v="109"/>
    </i>
    <i r="1">
      <x v="46"/>
    </i>
    <i r="2">
      <x v="110"/>
    </i>
    <i r="1">
      <x v="47"/>
    </i>
    <i r="2">
      <x v="111"/>
    </i>
    <i r="1">
      <x v="48"/>
    </i>
    <i r="2">
      <x v="112"/>
    </i>
    <i>
      <x v="1"/>
    </i>
    <i r="1">
      <x v="6"/>
    </i>
    <i r="2">
      <x v="15"/>
    </i>
    <i r="1">
      <x v="7"/>
    </i>
    <i r="2">
      <x v="16"/>
    </i>
    <i>
      <x v="10"/>
    </i>
    <i r="1">
      <x v="39"/>
    </i>
    <i r="2">
      <x v="99"/>
    </i>
    <i r="2">
      <x v="100"/>
    </i>
    <i r="1">
      <x v="40"/>
    </i>
    <i r="2">
      <x v="101"/>
    </i>
    <i r="2">
      <x v="102"/>
    </i>
    <i r="1">
      <x v="41"/>
    </i>
    <i r="2">
      <x v="103"/>
    </i>
    <i r="1">
      <x v="42"/>
    </i>
    <i r="2">
      <x v="104"/>
    </i>
    <i t="grand">
      <x/>
    </i>
  </rowItems>
  <colFields count="2">
    <field x="5"/>
    <field x="6"/>
  </colFields>
  <colItems count="33">
    <i>
      <x v="3"/>
    </i>
    <i>
      <x v="22"/>
    </i>
    <i>
      <x v="14"/>
    </i>
    <i>
      <x v="4"/>
    </i>
    <i>
      <x v="1"/>
    </i>
    <i>
      <x v="23"/>
    </i>
    <i>
      <x v="32"/>
    </i>
    <i>
      <x v="25"/>
    </i>
    <i>
      <x v="31"/>
    </i>
    <i>
      <x v="2"/>
    </i>
    <i>
      <x v="7"/>
    </i>
    <i>
      <x v="33"/>
    </i>
    <i>
      <x v="10"/>
    </i>
    <i>
      <x v="34"/>
    </i>
    <i>
      <x/>
    </i>
    <i>
      <x v="20"/>
    </i>
    <i>
      <x v="5"/>
    </i>
    <i>
      <x v="35"/>
    </i>
    <i>
      <x v="24"/>
    </i>
    <i>
      <x v="12"/>
    </i>
    <i>
      <x v="27"/>
    </i>
    <i>
      <x v="26"/>
    </i>
    <i>
      <x v="16"/>
    </i>
    <i>
      <x v="19"/>
    </i>
    <i>
      <x v="21"/>
    </i>
    <i>
      <x v="18"/>
    </i>
    <i>
      <x v="29"/>
    </i>
    <i>
      <x v="28"/>
    </i>
    <i>
      <x v="13"/>
    </i>
    <i>
      <x v="17"/>
    </i>
    <i>
      <x v="36"/>
      <x v="58"/>
    </i>
    <i>
      <x v="9"/>
    </i>
    <i t="grand">
      <x/>
    </i>
  </colItems>
  <dataFields count="1">
    <dataField name="개수 : 재해형태" fld="14" subtotal="count" baseField="0" baseItem="0"/>
  </dataFields>
  <conditionalFormats count="2">
    <conditionalFormat priority="1">
      <pivotAreas count="9">
        <pivotArea type="data" grandCol="1" collapsedLevelsAreSubtotals="1" fieldPosition="0">
          <references count="2">
            <reference field="4294967294" count="1" selected="0">
              <x v="0"/>
            </reference>
            <reference field="1" count="1">
              <x v="6"/>
            </reference>
          </references>
        </pivotArea>
        <pivotArea type="data" grandCol="1" collapsedLevelsAreSubtotals="1" fieldPosition="0">
          <references count="2">
            <reference field="4294967294" count="1" selected="0">
              <x v="0"/>
            </reference>
            <reference field="1" count="1">
              <x v="3"/>
            </reference>
          </references>
        </pivotArea>
        <pivotArea type="data" grandCol="1" collapsedLevelsAreSubtotals="1" fieldPosition="0">
          <references count="2">
            <reference field="4294967294" count="1" selected="0">
              <x v="0"/>
            </reference>
            <reference field="1" count="1">
              <x v="4"/>
            </reference>
          </references>
        </pivotArea>
        <pivotArea type="data" grandCol="1" collapsedLevelsAreSubtotals="1" fieldPosition="0">
          <references count="2">
            <reference field="4294967294" count="1" selected="0">
              <x v="0"/>
            </reference>
            <reference field="1" count="1">
              <x v="7"/>
            </reference>
          </references>
        </pivotArea>
        <pivotArea type="data" grandCol="1" collapsedLevelsAreSubtotals="1" fieldPosition="0">
          <references count="2">
            <reference field="4294967294" count="1" selected="0">
              <x v="0"/>
            </reference>
            <reference field="1" count="1">
              <x v="5"/>
            </reference>
          </references>
        </pivotArea>
        <pivotArea type="data" grandCol="1" collapsedLevelsAreSubtotals="1" fieldPosition="0">
          <references count="2">
            <reference field="4294967294" count="1" selected="0">
              <x v="0"/>
            </reference>
            <reference field="1" count="1">
              <x v="0"/>
            </reference>
          </references>
        </pivotArea>
        <pivotArea type="data" grandCol="1" collapsedLevelsAreSubtotals="1" fieldPosition="0">
          <references count="2">
            <reference field="4294967294" count="1" selected="0">
              <x v="0"/>
            </reference>
            <reference field="1" count="1">
              <x v="2"/>
            </reference>
          </references>
        </pivotArea>
        <pivotArea type="data" grandCol="1" collapsedLevelsAreSubtotals="1" fieldPosition="0">
          <references count="2">
            <reference field="4294967294" count="1" selected="0">
              <x v="0"/>
            </reference>
            <reference field="1" count="1">
              <x v="9"/>
            </reference>
          </references>
        </pivotArea>
        <pivotArea type="data" grandCol="1" collapsedLevelsAreSubtotals="1" fieldPosition="0">
          <references count="2">
            <reference field="4294967294" count="1" selected="0">
              <x v="0"/>
            </reference>
            <reference field="1" count="1">
              <x v="8"/>
            </reference>
          </references>
        </pivotArea>
      </pivotAreas>
    </conditionalFormat>
    <conditionalFormat priority="2">
      <pivotAreas count="1">
        <pivotArea type="data" grandRow="1" outline="0" collapsedLevelsAreSubtotals="1" fieldPosition="0">
          <references count="2">
            <reference field="4294967294" count="1" selected="0">
              <x v="0"/>
            </reference>
            <reference field="5" count="36" selected="0">
              <x v="0"/>
              <x v="1"/>
              <x v="2"/>
              <x v="3"/>
              <x v="4"/>
              <x v="5"/>
              <x v="6"/>
              <x v="7"/>
              <x v="8"/>
              <x v="9"/>
              <x v="10"/>
              <x v="11"/>
              <x v="12"/>
              <x v="13"/>
              <x v="14"/>
              <x v="15"/>
              <x v="16"/>
              <x v="17"/>
              <x v="18"/>
              <x v="19"/>
              <x v="20"/>
              <x v="21"/>
              <x v="22"/>
              <x v="23"/>
              <x v="24"/>
              <x v="25"/>
              <x v="26"/>
              <x v="27"/>
              <x v="28"/>
              <x v="29"/>
              <x v="30"/>
              <x v="31"/>
              <x v="32"/>
              <x v="33"/>
              <x v="34"/>
              <x v="3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0A38B68-888C-0948-B534-0AF2071149BF}" name="피벗 테이블6" cacheId="5" applyNumberFormats="0" applyBorderFormats="0" applyFontFormats="0" applyPatternFormats="0" applyAlignmentFormats="0" applyWidthHeightFormats="1" dataCaption="값" updatedVersion="8" minRefreshableVersion="3" useAutoFormatting="1" colGrandTotals="0" itemPrintTitles="1" createdVersion="8" indent="0" compact="0" compactData="0" multipleFieldFilters="0">
  <location ref="B5:D38" firstHeaderRow="0" firstDataRow="1" firstDataCol="1"/>
  <pivotFields count="18">
    <pivotField compact="0" outline="0" showAll="0" defaultSubtotal="0"/>
    <pivotField compact="0" outline="0" showAll="0" sortType="de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ubtotalTop="0" showAll="0" defaultSubtotal="0"/>
    <pivotField name="기인물 분류" axis="axisRow" compact="0" outline="0" showAll="0" defaultSubtotal="0">
      <items count="37">
        <item x="0"/>
        <item x="1"/>
        <item x="2"/>
        <item x="3"/>
        <item x="4"/>
        <item x="5"/>
        <item m="1" x="32"/>
        <item x="6"/>
        <item m="1" x="36"/>
        <item x="7"/>
        <item x="8"/>
        <item m="1" x="35"/>
        <item x="9"/>
        <item x="10"/>
        <item x="11"/>
        <item m="1" x="34"/>
        <item x="13"/>
        <item x="14"/>
        <item x="15"/>
        <item x="16"/>
        <item x="17"/>
        <item x="19"/>
        <item x="12"/>
        <item x="21"/>
        <item x="22"/>
        <item x="23"/>
        <item x="24"/>
        <item x="25"/>
        <item x="18"/>
        <item x="26"/>
        <item m="1" x="33"/>
        <item x="27"/>
        <item x="28"/>
        <item x="29"/>
        <item x="30"/>
        <item x="31"/>
        <item x="20"/>
      </items>
    </pivotField>
    <pivotField compact="0" outline="0" showAll="0" sortType="descending" defaultSubtotal="0">
      <autoSortScope>
        <pivotArea dataOnly="0" outline="0" fieldPosition="0">
          <references count="1">
            <reference field="4294967294" count="1" selected="0">
              <x v="1"/>
            </reference>
          </references>
        </pivotArea>
      </autoSortScope>
    </pivotField>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s>
  <rowFields count="1">
    <field x="5"/>
  </rowFields>
  <rowItems count="33">
    <i>
      <x/>
    </i>
    <i>
      <x v="1"/>
    </i>
    <i>
      <x v="2"/>
    </i>
    <i>
      <x v="3"/>
    </i>
    <i>
      <x v="4"/>
    </i>
    <i>
      <x v="5"/>
    </i>
    <i>
      <x v="7"/>
    </i>
    <i>
      <x v="9"/>
    </i>
    <i>
      <x v="10"/>
    </i>
    <i>
      <x v="12"/>
    </i>
    <i>
      <x v="13"/>
    </i>
    <i>
      <x v="14"/>
    </i>
    <i>
      <x v="16"/>
    </i>
    <i>
      <x v="17"/>
    </i>
    <i>
      <x v="18"/>
    </i>
    <i>
      <x v="19"/>
    </i>
    <i>
      <x v="20"/>
    </i>
    <i>
      <x v="21"/>
    </i>
    <i>
      <x v="22"/>
    </i>
    <i>
      <x v="23"/>
    </i>
    <i>
      <x v="24"/>
    </i>
    <i>
      <x v="25"/>
    </i>
    <i>
      <x v="26"/>
    </i>
    <i>
      <x v="27"/>
    </i>
    <i>
      <x v="28"/>
    </i>
    <i>
      <x v="29"/>
    </i>
    <i>
      <x v="31"/>
    </i>
    <i>
      <x v="32"/>
    </i>
    <i>
      <x v="33"/>
    </i>
    <i>
      <x v="34"/>
    </i>
    <i>
      <x v="35"/>
    </i>
    <i>
      <x v="36"/>
    </i>
    <i t="grand">
      <x/>
    </i>
  </rowItems>
  <colFields count="1">
    <field x="-2"/>
  </colFields>
  <colItems count="2">
    <i>
      <x/>
    </i>
    <i i="1">
      <x v="1"/>
    </i>
  </colItems>
  <dataFields count="2">
    <dataField name="건수" fld="14" subtotal="count" baseField="0" baseItem="0"/>
    <dataField name="비율" fld="15"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C0AB570-B1C0-3742-859A-999039644227}" name="피벗 테이블8" cacheId="5" applyNumberFormats="0" applyBorderFormats="0" applyFontFormats="0" applyPatternFormats="0" applyAlignmentFormats="0" applyWidthHeightFormats="1" dataCaption="값" updatedVersion="8" minRefreshableVersion="3" useAutoFormatting="1" colGrandTotals="0" itemPrintTitles="1" createdVersion="8" indent="0" outline="1" outlineData="1" multipleFieldFilters="0">
  <location ref="N5:P38" firstHeaderRow="0" firstDataRow="1" firstDataCol="1"/>
  <pivotFields count="18">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ubtotalTop="0" showAll="0"/>
    <pivotField name="기인물 분류" axis="axisRow" showAll="0" sortType="descending">
      <items count="38">
        <item x="0"/>
        <item x="1"/>
        <item x="2"/>
        <item x="3"/>
        <item x="4"/>
        <item x="5"/>
        <item m="1" x="32"/>
        <item x="6"/>
        <item m="1" x="36"/>
        <item x="7"/>
        <item x="8"/>
        <item m="1" x="35"/>
        <item x="9"/>
        <item x="10"/>
        <item x="11"/>
        <item m="1" x="34"/>
        <item x="13"/>
        <item x="14"/>
        <item x="15"/>
        <item x="16"/>
        <item x="17"/>
        <item x="19"/>
        <item x="12"/>
        <item x="21"/>
        <item x="22"/>
        <item x="23"/>
        <item x="24"/>
        <item x="25"/>
        <item x="18"/>
        <item x="26"/>
        <item m="1" x="33"/>
        <item x="27"/>
        <item x="28"/>
        <item x="29"/>
        <item x="30"/>
        <item x="31"/>
        <item x="20"/>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1"/>
            </reference>
          </references>
        </pivotArea>
      </autoSortScope>
    </pivotField>
    <pivotField subtotalTop="0" showAll="0"/>
    <pivotField showAll="0"/>
    <pivotField showAll="0"/>
    <pivotField showAll="0"/>
    <pivotField showAll="0"/>
    <pivotField showAll="0"/>
    <pivotField showAll="0"/>
    <pivotField dataField="1" showAll="0"/>
    <pivotField dataField="1" showAll="0"/>
    <pivotField showAll="0"/>
    <pivotField showAll="0"/>
  </pivotFields>
  <rowFields count="1">
    <field x="5"/>
  </rowFields>
  <rowItems count="33">
    <i>
      <x v="3"/>
    </i>
    <i>
      <x v="22"/>
    </i>
    <i>
      <x v="14"/>
    </i>
    <i>
      <x v="4"/>
    </i>
    <i>
      <x v="1"/>
    </i>
    <i>
      <x v="23"/>
    </i>
    <i>
      <x v="32"/>
    </i>
    <i>
      <x v="25"/>
    </i>
    <i>
      <x v="31"/>
    </i>
    <i>
      <x v="2"/>
    </i>
    <i>
      <x v="7"/>
    </i>
    <i>
      <x v="33"/>
    </i>
    <i>
      <x v="10"/>
    </i>
    <i>
      <x v="34"/>
    </i>
    <i>
      <x/>
    </i>
    <i>
      <x v="20"/>
    </i>
    <i>
      <x v="5"/>
    </i>
    <i>
      <x v="35"/>
    </i>
    <i>
      <x v="24"/>
    </i>
    <i>
      <x v="13"/>
    </i>
    <i>
      <x v="27"/>
    </i>
    <i>
      <x v="26"/>
    </i>
    <i>
      <x v="16"/>
    </i>
    <i>
      <x v="19"/>
    </i>
    <i>
      <x v="21"/>
    </i>
    <i>
      <x v="18"/>
    </i>
    <i>
      <x v="29"/>
    </i>
    <i>
      <x v="28"/>
    </i>
    <i>
      <x v="17"/>
    </i>
    <i>
      <x v="36"/>
    </i>
    <i>
      <x v="12"/>
    </i>
    <i>
      <x v="9"/>
    </i>
    <i t="grand">
      <x/>
    </i>
  </rowItems>
  <colFields count="1">
    <field x="-2"/>
  </colFields>
  <colItems count="2">
    <i>
      <x/>
    </i>
    <i i="1">
      <x v="1"/>
    </i>
  </colItems>
  <dataFields count="2">
    <dataField name="건수" fld="14" subtotal="count" baseField="0" baseItem="0"/>
    <dataField name="비율" fld="15"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101EAF3-180C-3340-A4AF-C4FEE7A80E1F}" name="피벗 테이블5" cacheId="5" applyNumberFormats="0" applyBorderFormats="0" applyFontFormats="0" applyPatternFormats="0" applyAlignmentFormats="0" applyWidthHeightFormats="1" dataCaption="값" updatedVersion="8" minRefreshableVersion="3" useAutoFormatting="1" colGrandTotals="0" itemPrintTitles="1" createdVersion="8" indent="0" compact="0" compactData="0" multipleFieldFilters="0">
  <location ref="J5:L64" firstHeaderRow="0" firstDataRow="1" firstDataCol="1"/>
  <pivotFields count="18">
    <pivotField compact="0" outline="0" showAll="0" defaultSubtotal="0"/>
    <pivotField compact="0" outline="0" showAll="0" sortType="de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ubtotalTop="0" showAll="0" defaultSubtotal="0"/>
    <pivotField name="기인물 분류" compact="0" outline="0" showAll="0" sortType="descending" defaultSubtotal="0"/>
    <pivotField axis="axisRow" compact="0" outline="0" showAll="0" sortType="descending" defaultSubtotal="0">
      <items count="59">
        <item x="0"/>
        <item x="1"/>
        <item x="2"/>
        <item x="3"/>
        <item x="20"/>
        <item x="21"/>
        <item x="12"/>
        <item x="11"/>
        <item x="4"/>
        <item x="22"/>
        <item x="15"/>
        <item x="25"/>
        <item x="23"/>
        <item x="7"/>
        <item x="24"/>
        <item x="17"/>
        <item x="42"/>
        <item x="26"/>
        <item x="10"/>
        <item x="27"/>
        <item x="32"/>
        <item x="33"/>
        <item x="34"/>
        <item x="35"/>
        <item x="36"/>
        <item x="37"/>
        <item x="39"/>
        <item x="41"/>
        <item x="43"/>
        <item x="44"/>
        <item x="45"/>
        <item x="46"/>
        <item x="47"/>
        <item x="48"/>
        <item x="31"/>
        <item x="50"/>
        <item x="38"/>
        <item x="51"/>
        <item x="5"/>
        <item x="52"/>
        <item x="53"/>
        <item x="49"/>
        <item x="13"/>
        <item x="30"/>
        <item x="29"/>
        <item x="8"/>
        <item x="28"/>
        <item x="19"/>
        <item x="16"/>
        <item x="18"/>
        <item x="54"/>
        <item x="14"/>
        <item x="9"/>
        <item x="55"/>
        <item x="6"/>
        <item x="56"/>
        <item x="57"/>
        <item m="1" x="58"/>
        <item x="40"/>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s>
  <rowFields count="1">
    <field x="6"/>
  </rowFields>
  <rowItems count="59">
    <i>
      <x v="44"/>
    </i>
    <i>
      <x v="27"/>
    </i>
    <i>
      <x v="47"/>
    </i>
    <i>
      <x v="29"/>
    </i>
    <i>
      <x v="5"/>
    </i>
    <i>
      <x v="8"/>
    </i>
    <i>
      <x v="31"/>
    </i>
    <i>
      <x v="43"/>
    </i>
    <i>
      <x v="39"/>
    </i>
    <i>
      <x v="3"/>
    </i>
    <i>
      <x v="2"/>
    </i>
    <i>
      <x v="9"/>
    </i>
    <i>
      <x v="54"/>
    </i>
    <i>
      <x v="16"/>
    </i>
    <i>
      <x v="37"/>
    </i>
    <i>
      <x v="50"/>
    </i>
    <i>
      <x v="1"/>
    </i>
    <i>
      <x v="53"/>
    </i>
    <i>
      <x v="15"/>
    </i>
    <i>
      <x v="38"/>
    </i>
    <i>
      <x v="55"/>
    </i>
    <i>
      <x v="14"/>
    </i>
    <i>
      <x/>
    </i>
    <i>
      <x v="25"/>
    </i>
    <i>
      <x v="48"/>
    </i>
    <i>
      <x v="6"/>
    </i>
    <i>
      <x v="13"/>
    </i>
    <i>
      <x v="4"/>
    </i>
    <i>
      <x v="40"/>
    </i>
    <i>
      <x v="49"/>
    </i>
    <i>
      <x v="56"/>
    </i>
    <i>
      <x v="45"/>
    </i>
    <i>
      <x v="30"/>
    </i>
    <i>
      <x v="19"/>
    </i>
    <i>
      <x v="46"/>
    </i>
    <i>
      <x v="52"/>
    </i>
    <i>
      <x v="34"/>
    </i>
    <i>
      <x v="33"/>
    </i>
    <i>
      <x v="42"/>
    </i>
    <i>
      <x v="32"/>
    </i>
    <i>
      <x v="21"/>
    </i>
    <i>
      <x v="26"/>
    </i>
    <i>
      <x v="24"/>
    </i>
    <i>
      <x v="23"/>
    </i>
    <i>
      <x v="20"/>
    </i>
    <i>
      <x v="18"/>
    </i>
    <i>
      <x v="7"/>
    </i>
    <i>
      <x v="36"/>
    </i>
    <i>
      <x v="58"/>
    </i>
    <i>
      <x v="22"/>
    </i>
    <i>
      <x v="17"/>
    </i>
    <i>
      <x v="28"/>
    </i>
    <i>
      <x v="35"/>
    </i>
    <i>
      <x v="51"/>
    </i>
    <i>
      <x v="41"/>
    </i>
    <i>
      <x v="11"/>
    </i>
    <i>
      <x v="10"/>
    </i>
    <i>
      <x v="12"/>
    </i>
    <i t="grand">
      <x/>
    </i>
  </rowItems>
  <colFields count="1">
    <field x="-2"/>
  </colFields>
  <colItems count="2">
    <i>
      <x/>
    </i>
    <i i="1">
      <x v="1"/>
    </i>
  </colItems>
  <dataFields count="2">
    <dataField name="건수" fld="14" subtotal="count" baseField="0" baseItem="0"/>
    <dataField name="비율" fld="15"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7ACF270-5856-434D-A402-A8A7C95A9300}" name="피벗 테이블7" cacheId="5" applyNumberFormats="0" applyBorderFormats="0" applyFontFormats="0" applyPatternFormats="0" applyAlignmentFormats="0" applyWidthHeightFormats="1" dataCaption="값" updatedVersion="8" minRefreshableVersion="3" useAutoFormatting="1" colGrandTotals="0" itemPrintTitles="1" createdVersion="8" indent="0" outline="1" outlineData="1" multipleFieldFilters="0">
  <location ref="F5:H60" firstHeaderRow="0" firstDataRow="1" firstDataCol="1"/>
  <pivotFields count="18">
    <pivotField showAll="0" defaultSubtotal="0"/>
    <pivotField axis="axisRow" showAll="0" defaultSubtotal="0">
      <items count="12">
        <item sd="0" x="8"/>
        <item x="10"/>
        <item sd="0" x="0"/>
        <item sd="0" x="1"/>
        <item x="2"/>
        <item x="3"/>
        <item x="4"/>
        <item x="5"/>
        <item sd="0" x="6"/>
        <item sd="0" x="9"/>
        <item x="7"/>
        <item x="11"/>
      </items>
    </pivotField>
    <pivotField showAll="0" defaultSubtotal="0"/>
    <pivotField axis="axisRow" showAll="0" defaultSubtotal="0">
      <items count="113">
        <item x="26"/>
        <item x="27"/>
        <item x="54"/>
        <item x="55"/>
        <item x="56"/>
        <item x="57"/>
        <item x="93"/>
        <item x="58"/>
        <item x="28"/>
        <item x="59"/>
        <item x="60"/>
        <item x="61"/>
        <item x="108"/>
        <item x="62"/>
        <item x="63"/>
        <item x="64"/>
        <item x="65"/>
        <item x="0"/>
        <item x="66"/>
        <item x="67"/>
        <item x="68"/>
        <item x="69"/>
        <item x="70"/>
        <item x="1"/>
        <item x="2"/>
        <item x="102"/>
        <item x="3"/>
        <item x="29"/>
        <item x="87"/>
        <item x="30"/>
        <item x="4"/>
        <item x="71"/>
        <item x="103"/>
        <item x="101"/>
        <item x="107"/>
        <item x="31"/>
        <item x="104"/>
        <item x="72"/>
        <item x="99"/>
        <item x="111"/>
        <item x="94"/>
        <item x="110"/>
        <item x="112"/>
        <item x="73"/>
        <item x="32"/>
        <item x="97"/>
        <item x="74"/>
        <item x="5"/>
        <item x="95"/>
        <item x="75"/>
        <item x="6"/>
        <item x="7"/>
        <item x="33"/>
        <item x="8"/>
        <item x="9"/>
        <item x="76"/>
        <item x="105"/>
        <item x="52"/>
        <item x="106"/>
        <item x="77"/>
        <item x="10"/>
        <item x="34"/>
        <item x="35"/>
        <item x="11"/>
        <item x="12"/>
        <item x="36"/>
        <item x="13"/>
        <item x="14"/>
        <item x="37"/>
        <item x="38"/>
        <item x="15"/>
        <item x="16"/>
        <item x="78"/>
        <item x="91"/>
        <item x="100"/>
        <item x="92"/>
        <item x="39"/>
        <item x="40"/>
        <item x="17"/>
        <item x="18"/>
        <item x="88"/>
        <item x="41"/>
        <item x="19"/>
        <item x="42"/>
        <item x="43"/>
        <item x="20"/>
        <item x="44"/>
        <item x="45"/>
        <item x="46"/>
        <item x="21"/>
        <item x="22"/>
        <item x="23"/>
        <item x="47"/>
        <item x="48"/>
        <item x="24"/>
        <item x="79"/>
        <item x="80"/>
        <item x="49"/>
        <item x="81"/>
        <item x="53"/>
        <item x="50"/>
        <item x="51"/>
        <item x="82"/>
        <item x="98"/>
        <item x="25"/>
        <item x="83"/>
        <item x="109"/>
        <item x="84"/>
        <item x="96"/>
        <item x="89"/>
        <item x="85"/>
        <item x="86"/>
        <item x="90"/>
      </items>
    </pivotField>
    <pivotField subtotalTop="0" showAll="0" defaultSubtotal="0"/>
    <pivotField name="기인물 분류" axis="axisRow" showAll="0" sortType="descending" defaultSubtotal="0">
      <items count="37">
        <item sd="0" x="0"/>
        <item sd="0" x="1"/>
        <item sd="0" x="2"/>
        <item x="3"/>
        <item sd="0" x="4"/>
        <item sd="0" x="5"/>
        <item m="1" x="32"/>
        <item sd="0" x="6"/>
        <item sd="0" m="1" x="36"/>
        <item sd="0" x="7"/>
        <item sd="0" x="8"/>
        <item sd="0" m="1" x="35"/>
        <item sd="0" x="9"/>
        <item sd="0" x="10"/>
        <item sd="0" x="11"/>
        <item sd="0" m="1" x="34"/>
        <item sd="0" x="13"/>
        <item sd="0" x="14"/>
        <item sd="0" x="15"/>
        <item sd="0" x="16"/>
        <item sd="0" x="17"/>
        <item sd="0" x="19"/>
        <item sd="0" x="12"/>
        <item sd="0" x="21"/>
        <item sd="0" x="22"/>
        <item sd="0" x="23"/>
        <item sd="0" x="24"/>
        <item sd="0" x="25"/>
        <item sd="0" x="18"/>
        <item sd="0" x="26"/>
        <item m="1" x="33"/>
        <item sd="0" x="27"/>
        <item sd="0" x="28"/>
        <item sd="0" x="29"/>
        <item sd="0" x="30"/>
        <item sd="0" x="31"/>
        <item sd="0" x="20"/>
      </items>
      <autoSortScope>
        <pivotArea dataOnly="0" outline="0" fieldPosition="0">
          <references count="1">
            <reference field="4294967294" count="1" selected="0">
              <x v="0"/>
            </reference>
          </references>
        </pivotArea>
      </autoSortScope>
    </pivotField>
    <pivotField axis="axisRow" showAll="0" sortType="descending" defaultSubtotal="0">
      <items count="59">
        <item sd="0" x="0"/>
        <item sd="0" x="1"/>
        <item sd="0" x="2"/>
        <item sd="0" x="3"/>
        <item sd="0" x="20"/>
        <item x="21"/>
        <item sd="0" x="12"/>
        <item sd="0" x="11"/>
        <item sd="0" x="4"/>
        <item sd="0" x="22"/>
        <item sd="0" x="15"/>
        <item sd="0" x="25"/>
        <item sd="0" x="23"/>
        <item sd="0" x="7"/>
        <item sd="0" x="24"/>
        <item sd="0" x="17"/>
        <item sd="0" x="42"/>
        <item sd="0" x="26"/>
        <item sd="0" x="10"/>
        <item sd="0" x="27"/>
        <item sd="0" x="32"/>
        <item sd="0" x="33"/>
        <item sd="0" x="34"/>
        <item sd="0" x="35"/>
        <item sd="0" x="36"/>
        <item sd="0" x="37"/>
        <item x="39"/>
        <item sd="0" x="41"/>
        <item sd="0" x="43"/>
        <item sd="0" x="44"/>
        <item sd="0" x="45"/>
        <item sd="0" x="46"/>
        <item sd="0" x="47"/>
        <item sd="0" x="48"/>
        <item sd="0" x="31"/>
        <item sd="0" x="50"/>
        <item sd="0" x="38"/>
        <item sd="0" x="51"/>
        <item sd="0" x="5"/>
        <item sd="0" x="52"/>
        <item sd="0" x="53"/>
        <item sd="0" x="49"/>
        <item sd="0" x="13"/>
        <item sd="0" x="30"/>
        <item sd="0" x="29"/>
        <item sd="0" x="8"/>
        <item sd="0" x="28"/>
        <item sd="0" x="19"/>
        <item sd="0" x="16"/>
        <item sd="0" x="18"/>
        <item sd="0" x="54"/>
        <item sd="0" x="14"/>
        <item sd="0" x="9"/>
        <item sd="0" x="55"/>
        <item sd="0" x="6"/>
        <item sd="0" x="56"/>
        <item sd="0" x="57"/>
        <item m="1" x="58"/>
        <item x="40"/>
      </items>
      <autoSortScope>
        <pivotArea dataOnly="0" outline="0" fieldPosition="0">
          <references count="1">
            <reference field="4294967294" count="1" selected="0">
              <x v="1"/>
            </reference>
          </references>
        </pivotArea>
      </autoSortScope>
    </pivotField>
    <pivotField subtotalTop="0" showAll="0" defaultSubtotal="0"/>
    <pivotField showAll="0" defaultSubtotal="0"/>
    <pivotField showAll="0" defaultSubtotal="0"/>
    <pivotField showAll="0" defaultSubtotal="0"/>
    <pivotField showAll="0" defaultSubtotal="0"/>
    <pivotField showAll="0" defaultSubtotal="0"/>
    <pivotField showAll="0" defaultSubtotal="0"/>
    <pivotField axis="axisRow" dataField="1" showAll="0" defaultSubtotal="0">
      <items count="20">
        <item x="10"/>
        <item x="1"/>
        <item sd="0" x="6"/>
        <item x="5"/>
        <item sd="0" x="2"/>
        <item sd="0" x="0"/>
        <item sd="0" x="3"/>
        <item sd="0" x="7"/>
        <item x="14"/>
        <item sd="0" x="8"/>
        <item x="12"/>
        <item x="19"/>
        <item x="13"/>
        <item x="18"/>
        <item x="16"/>
        <item x="15"/>
        <item sd="0" x="4"/>
        <item x="11"/>
        <item x="17"/>
        <item x="9"/>
      </items>
    </pivotField>
    <pivotField dataField="1" showAll="0" defaultSubtotal="0"/>
    <pivotField showAll="0" defaultSubtotal="0"/>
    <pivotField showAll="0" defaultSubtotal="0"/>
  </pivotFields>
  <rowFields count="5">
    <field x="5"/>
    <field x="6"/>
    <field x="14"/>
    <field x="1"/>
    <field x="3"/>
  </rowFields>
  <rowItems count="55">
    <i>
      <x v="3"/>
    </i>
    <i r="1">
      <x v="5"/>
    </i>
    <i r="2">
      <x v="1"/>
    </i>
    <i r="3">
      <x v="6"/>
    </i>
    <i r="4">
      <x v="70"/>
    </i>
    <i r="3">
      <x v="7"/>
    </i>
    <i r="4">
      <x v="91"/>
    </i>
    <i r="2">
      <x v="2"/>
    </i>
    <i r="2">
      <x v="4"/>
    </i>
    <i r="2">
      <x v="6"/>
    </i>
    <i r="2">
      <x v="9"/>
    </i>
    <i r="2">
      <x v="16"/>
    </i>
    <i r="1">
      <x v="8"/>
    </i>
    <i r="1">
      <x v="54"/>
    </i>
    <i r="1">
      <x v="38"/>
    </i>
    <i r="1">
      <x v="6"/>
    </i>
    <i r="1">
      <x v="13"/>
    </i>
    <i r="1">
      <x v="45"/>
    </i>
    <i r="1">
      <x v="52"/>
    </i>
    <i r="1">
      <x v="42"/>
    </i>
    <i r="1">
      <x v="18"/>
    </i>
    <i r="1">
      <x v="7"/>
    </i>
    <i r="1">
      <x v="51"/>
    </i>
    <i>
      <x v="22"/>
    </i>
    <i>
      <x v="14"/>
    </i>
    <i>
      <x v="4"/>
    </i>
    <i>
      <x v="1"/>
    </i>
    <i>
      <x v="23"/>
    </i>
    <i>
      <x v="32"/>
    </i>
    <i>
      <x v="25"/>
    </i>
    <i>
      <x v="31"/>
    </i>
    <i>
      <x v="2"/>
    </i>
    <i>
      <x v="7"/>
    </i>
    <i>
      <x v="33"/>
    </i>
    <i>
      <x v="10"/>
    </i>
    <i>
      <x v="34"/>
    </i>
    <i>
      <x/>
    </i>
    <i>
      <x v="20"/>
    </i>
    <i>
      <x v="5"/>
    </i>
    <i>
      <x v="35"/>
    </i>
    <i>
      <x v="24"/>
    </i>
    <i>
      <x v="13"/>
    </i>
    <i>
      <x v="27"/>
    </i>
    <i>
      <x v="26"/>
    </i>
    <i>
      <x v="16"/>
    </i>
    <i>
      <x v="19"/>
    </i>
    <i>
      <x v="21"/>
    </i>
    <i>
      <x v="18"/>
    </i>
    <i>
      <x v="29"/>
    </i>
    <i>
      <x v="28"/>
    </i>
    <i>
      <x v="17"/>
    </i>
    <i>
      <x v="36"/>
    </i>
    <i>
      <x v="12"/>
    </i>
    <i>
      <x v="9"/>
    </i>
    <i t="grand">
      <x/>
    </i>
  </rowItems>
  <colFields count="1">
    <field x="-2"/>
  </colFields>
  <colItems count="2">
    <i>
      <x/>
    </i>
    <i i="1">
      <x v="1"/>
    </i>
  </colItems>
  <dataFields count="2">
    <dataField name="건수" fld="14" subtotal="count" baseField="0" baseItem="0"/>
    <dataField name="비율" fld="15"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A5CB96C-BE8C-C740-817A-481E428ED3F5}" name="피벗 테이블13" cacheId="5" applyNumberFormats="0" applyBorderFormats="0" applyFontFormats="0" applyPatternFormats="0" applyAlignmentFormats="0" applyWidthHeightFormats="1" dataCaption="값" updatedVersion="8" minRefreshableVersion="3" useAutoFormatting="1" colGrandTotals="0" itemPrintTitles="1" createdVersion="8" indent="0" outline="1" outlineData="1" multipleFieldFilters="0">
  <location ref="F3:H64" firstHeaderRow="0" firstDataRow="1" firstDataCol="1"/>
  <pivotFields count="18">
    <pivotField showAll="0"/>
    <pivotField showAll="0"/>
    <pivotField showAll="0"/>
    <pivotField showAll="0"/>
    <pivotField showAll="0"/>
    <pivotField name="기인물 분류" showAll="0" sortType="descending">
      <autoSortScope>
        <pivotArea dataOnly="0" outline="0" fieldPosition="0">
          <references count="1">
            <reference field="4294967294" count="1" selected="0">
              <x v="0"/>
            </reference>
          </references>
        </pivotArea>
      </autoSortScope>
    </pivotField>
    <pivotField axis="axisRow" showAll="0" sortType="descending">
      <items count="60">
        <item sd="0" x="0"/>
        <item sd="0" x="1"/>
        <item sd="0" x="2"/>
        <item sd="0" x="3"/>
        <item sd="0" x="20"/>
        <item sd="0" x="21"/>
        <item sd="0" x="12"/>
        <item sd="0" x="11"/>
        <item sd="0" x="4"/>
        <item sd="0" x="22"/>
        <item sd="0" x="15"/>
        <item sd="0" x="25"/>
        <item sd="0" x="23"/>
        <item sd="0" x="7"/>
        <item sd="0" x="24"/>
        <item sd="0" x="17"/>
        <item sd="0" x="42"/>
        <item sd="0" x="26"/>
        <item sd="0" x="10"/>
        <item sd="0" x="27"/>
        <item sd="0" x="32"/>
        <item sd="0" x="33"/>
        <item sd="0" x="34"/>
        <item sd="0" x="35"/>
        <item sd="0" x="36"/>
        <item sd="0" x="37"/>
        <item sd="0" x="39"/>
        <item sd="0" x="41"/>
        <item sd="0" x="43"/>
        <item sd="0" x="44"/>
        <item sd="0" x="45"/>
        <item sd="0" x="46"/>
        <item sd="0" x="47"/>
        <item sd="0" x="48"/>
        <item sd="0" x="31"/>
        <item sd="0" x="50"/>
        <item sd="0" x="38"/>
        <item sd="0" x="51"/>
        <item sd="0" x="5"/>
        <item sd="0" x="52"/>
        <item sd="0" x="53"/>
        <item sd="0" x="49"/>
        <item sd="0" x="13"/>
        <item sd="0" x="30"/>
        <item sd="0" x="29"/>
        <item sd="0" x="8"/>
        <item sd="0" x="28"/>
        <item sd="0" x="19"/>
        <item sd="0" x="16"/>
        <item sd="0" x="18"/>
        <item sd="0" x="54"/>
        <item sd="0" x="14"/>
        <item sd="0" x="9"/>
        <item sd="0" x="55"/>
        <item sd="0" x="6"/>
        <item sd="0" x="56"/>
        <item sd="0" x="57"/>
        <item m="1" x="58"/>
        <item x="4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axis="axisRow" showAll="0">
      <items count="21">
        <item x="10"/>
        <item x="1"/>
        <item x="6"/>
        <item x="5"/>
        <item x="2"/>
        <item x="0"/>
        <item x="3"/>
        <item x="7"/>
        <item x="14"/>
        <item x="8"/>
        <item x="12"/>
        <item x="19"/>
        <item x="13"/>
        <item x="18"/>
        <item x="16"/>
        <item x="15"/>
        <item x="4"/>
        <item x="11"/>
        <item x="17"/>
        <item x="9"/>
        <item t="default"/>
      </items>
    </pivotField>
    <pivotField dataField="1" showAll="0"/>
    <pivotField showAll="0"/>
    <pivotField dataField="1" showAll="0"/>
  </pivotFields>
  <rowFields count="2">
    <field x="6"/>
    <field x="14"/>
  </rowFields>
  <rowItems count="61">
    <i>
      <x v="44"/>
    </i>
    <i>
      <x v="27"/>
    </i>
    <i>
      <x v="47"/>
    </i>
    <i>
      <x v="29"/>
    </i>
    <i>
      <x v="5"/>
    </i>
    <i>
      <x v="8"/>
    </i>
    <i>
      <x v="31"/>
    </i>
    <i>
      <x v="43"/>
    </i>
    <i>
      <x v="39"/>
    </i>
    <i>
      <x v="3"/>
    </i>
    <i>
      <x v="2"/>
    </i>
    <i>
      <x v="9"/>
    </i>
    <i>
      <x v="54"/>
    </i>
    <i>
      <x v="16"/>
    </i>
    <i>
      <x v="37"/>
    </i>
    <i>
      <x v="50"/>
    </i>
    <i>
      <x v="1"/>
    </i>
    <i>
      <x v="53"/>
    </i>
    <i>
      <x v="15"/>
    </i>
    <i>
      <x v="38"/>
    </i>
    <i>
      <x v="55"/>
    </i>
    <i>
      <x v="14"/>
    </i>
    <i>
      <x/>
    </i>
    <i>
      <x v="25"/>
    </i>
    <i>
      <x v="48"/>
    </i>
    <i>
      <x v="6"/>
    </i>
    <i>
      <x v="13"/>
    </i>
    <i>
      <x v="4"/>
    </i>
    <i>
      <x v="40"/>
    </i>
    <i>
      <x v="49"/>
    </i>
    <i>
      <x v="56"/>
    </i>
    <i>
      <x v="45"/>
    </i>
    <i>
      <x v="30"/>
    </i>
    <i>
      <x v="19"/>
    </i>
    <i>
      <x v="46"/>
    </i>
    <i>
      <x v="52"/>
    </i>
    <i>
      <x v="34"/>
    </i>
    <i>
      <x v="33"/>
    </i>
    <i>
      <x v="42"/>
    </i>
    <i>
      <x v="32"/>
    </i>
    <i>
      <x v="21"/>
    </i>
    <i>
      <x v="26"/>
    </i>
    <i>
      <x v="24"/>
    </i>
    <i>
      <x v="23"/>
    </i>
    <i>
      <x v="20"/>
    </i>
    <i>
      <x v="18"/>
    </i>
    <i>
      <x v="7"/>
    </i>
    <i>
      <x v="36"/>
    </i>
    <i>
      <x v="58"/>
    </i>
    <i r="1">
      <x v="11"/>
    </i>
    <i r="1">
      <x v="18"/>
    </i>
    <i>
      <x v="22"/>
    </i>
    <i>
      <x v="17"/>
    </i>
    <i>
      <x v="28"/>
    </i>
    <i>
      <x v="35"/>
    </i>
    <i>
      <x v="51"/>
    </i>
    <i>
      <x v="41"/>
    </i>
    <i>
      <x v="11"/>
    </i>
    <i>
      <x v="10"/>
    </i>
    <i>
      <x v="12"/>
    </i>
    <i t="grand">
      <x/>
    </i>
  </rowItems>
  <colFields count="1">
    <field x="-2"/>
  </colFields>
  <colItems count="2">
    <i>
      <x/>
    </i>
    <i i="1">
      <x v="1"/>
    </i>
  </colItems>
  <dataFields count="2">
    <dataField name="개수 : 위험성 감소대책(예시)" fld="17" subtotal="count" baseField="0" baseItem="0"/>
    <dataField name="비율" fld="15" subtotal="count" showDataAs="percentOfTotal" baseField="0" baseItem="0" numFmtId="10"/>
  </dataFields>
  <conditionalFormats count="1">
    <conditionalFormat priority="2">
      <pivotAreas count="57">
        <pivotArea type="data" collapsedLevelsAreSubtotals="1" fieldPosition="0">
          <references count="2">
            <reference field="4294967294" count="1" selected="0">
              <x v="0"/>
            </reference>
            <reference field="6" count="1">
              <x v="44"/>
            </reference>
          </references>
        </pivotArea>
        <pivotArea type="data" collapsedLevelsAreSubtotals="1" fieldPosition="0">
          <references count="2">
            <reference field="4294967294" count="1" selected="0">
              <x v="0"/>
            </reference>
            <reference field="6" count="1">
              <x v="27"/>
            </reference>
          </references>
        </pivotArea>
        <pivotArea type="data" collapsedLevelsAreSubtotals="1" fieldPosition="0">
          <references count="2">
            <reference field="4294967294" count="1" selected="0">
              <x v="0"/>
            </reference>
            <reference field="6" count="1">
              <x v="47"/>
            </reference>
          </references>
        </pivotArea>
        <pivotArea type="data" collapsedLevelsAreSubtotals="1" fieldPosition="0">
          <references count="2">
            <reference field="4294967294" count="1" selected="0">
              <x v="0"/>
            </reference>
            <reference field="6" count="1">
              <x v="29"/>
            </reference>
          </references>
        </pivotArea>
        <pivotArea type="data" collapsedLevelsAreSubtotals="1" fieldPosition="0">
          <references count="2">
            <reference field="4294967294" count="1" selected="0">
              <x v="0"/>
            </reference>
            <reference field="6" count="1">
              <x v="5"/>
            </reference>
          </references>
        </pivotArea>
        <pivotArea type="data" collapsedLevelsAreSubtotals="1" fieldPosition="0">
          <references count="2">
            <reference field="4294967294" count="1" selected="0">
              <x v="0"/>
            </reference>
            <reference field="6" count="1">
              <x v="8"/>
            </reference>
          </references>
        </pivotArea>
        <pivotArea type="data" collapsedLevelsAreSubtotals="1" fieldPosition="0">
          <references count="2">
            <reference field="4294967294" count="1" selected="0">
              <x v="0"/>
            </reference>
            <reference field="6" count="1">
              <x v="31"/>
            </reference>
          </references>
        </pivotArea>
        <pivotArea type="data" collapsedLevelsAreSubtotals="1" fieldPosition="0">
          <references count="2">
            <reference field="4294967294" count="1" selected="0">
              <x v="0"/>
            </reference>
            <reference field="6" count="1">
              <x v="43"/>
            </reference>
          </references>
        </pivotArea>
        <pivotArea type="data" collapsedLevelsAreSubtotals="1" fieldPosition="0">
          <references count="2">
            <reference field="4294967294" count="1" selected="0">
              <x v="0"/>
            </reference>
            <reference field="6" count="1">
              <x v="39"/>
            </reference>
          </references>
        </pivotArea>
        <pivotArea type="data" collapsedLevelsAreSubtotals="1" fieldPosition="0">
          <references count="2">
            <reference field="4294967294" count="1" selected="0">
              <x v="0"/>
            </reference>
            <reference field="6" count="1">
              <x v="3"/>
            </reference>
          </references>
        </pivotArea>
        <pivotArea type="data" collapsedLevelsAreSubtotals="1" fieldPosition="0">
          <references count="2">
            <reference field="4294967294" count="1" selected="0">
              <x v="0"/>
            </reference>
            <reference field="6" count="1">
              <x v="9"/>
            </reference>
          </references>
        </pivotArea>
        <pivotArea type="data" collapsedLevelsAreSubtotals="1" fieldPosition="0">
          <references count="2">
            <reference field="4294967294" count="1" selected="0">
              <x v="0"/>
            </reference>
            <reference field="6" count="1">
              <x v="2"/>
            </reference>
          </references>
        </pivotArea>
        <pivotArea type="data" collapsedLevelsAreSubtotals="1" fieldPosition="0">
          <references count="2">
            <reference field="4294967294" count="1" selected="0">
              <x v="0"/>
            </reference>
            <reference field="6" count="1">
              <x v="54"/>
            </reference>
          </references>
        </pivotArea>
        <pivotArea type="data" collapsedLevelsAreSubtotals="1" fieldPosition="0">
          <references count="2">
            <reference field="4294967294" count="1" selected="0">
              <x v="0"/>
            </reference>
            <reference field="6" count="1">
              <x v="16"/>
            </reference>
          </references>
        </pivotArea>
        <pivotArea type="data" collapsedLevelsAreSubtotals="1" fieldPosition="0">
          <references count="2">
            <reference field="4294967294" count="1" selected="0">
              <x v="0"/>
            </reference>
            <reference field="6" count="1">
              <x v="37"/>
            </reference>
          </references>
        </pivotArea>
        <pivotArea type="data" collapsedLevelsAreSubtotals="1" fieldPosition="0">
          <references count="2">
            <reference field="4294967294" count="1" selected="0">
              <x v="0"/>
            </reference>
            <reference field="6" count="1">
              <x v="50"/>
            </reference>
          </references>
        </pivotArea>
        <pivotArea type="data" collapsedLevelsAreSubtotals="1" fieldPosition="0">
          <references count="2">
            <reference field="4294967294" count="1" selected="0">
              <x v="0"/>
            </reference>
            <reference field="6" count="1">
              <x v="1"/>
            </reference>
          </references>
        </pivotArea>
        <pivotArea type="data" collapsedLevelsAreSubtotals="1" fieldPosition="0">
          <references count="2">
            <reference field="4294967294" count="1" selected="0">
              <x v="0"/>
            </reference>
            <reference field="6" count="1">
              <x v="53"/>
            </reference>
          </references>
        </pivotArea>
        <pivotArea type="data" collapsedLevelsAreSubtotals="1" fieldPosition="0">
          <references count="2">
            <reference field="4294967294" count="1" selected="0">
              <x v="0"/>
            </reference>
            <reference field="6" count="1">
              <x v="15"/>
            </reference>
          </references>
        </pivotArea>
        <pivotArea type="data" collapsedLevelsAreSubtotals="1" fieldPosition="0">
          <references count="2">
            <reference field="4294967294" count="1" selected="0">
              <x v="0"/>
            </reference>
            <reference field="6" count="1">
              <x v="38"/>
            </reference>
          </references>
        </pivotArea>
        <pivotArea type="data" collapsedLevelsAreSubtotals="1" fieldPosition="0">
          <references count="2">
            <reference field="4294967294" count="1" selected="0">
              <x v="0"/>
            </reference>
            <reference field="6" count="1">
              <x v="55"/>
            </reference>
          </references>
        </pivotArea>
        <pivotArea type="data" collapsedLevelsAreSubtotals="1" fieldPosition="0">
          <references count="2">
            <reference field="4294967294" count="1" selected="0">
              <x v="0"/>
            </reference>
            <reference field="6" count="1">
              <x v="14"/>
            </reference>
          </references>
        </pivotArea>
        <pivotArea type="data" collapsedLevelsAreSubtotals="1" fieldPosition="0">
          <references count="2">
            <reference field="4294967294" count="1" selected="0">
              <x v="0"/>
            </reference>
            <reference field="6" count="1">
              <x v="26"/>
            </reference>
          </references>
        </pivotArea>
        <pivotArea type="data" collapsedLevelsAreSubtotals="1" fieldPosition="0">
          <references count="2">
            <reference field="4294967294" count="1" selected="0">
              <x v="0"/>
            </reference>
            <reference field="6" count="1">
              <x v="0"/>
            </reference>
          </references>
        </pivotArea>
        <pivotArea type="data" collapsedLevelsAreSubtotals="1" fieldPosition="0">
          <references count="2">
            <reference field="4294967294" count="1" selected="0">
              <x v="0"/>
            </reference>
            <reference field="6" count="1">
              <x v="48"/>
            </reference>
          </references>
        </pivotArea>
        <pivotArea type="data" collapsedLevelsAreSubtotals="1" fieldPosition="0">
          <references count="2">
            <reference field="4294967294" count="1" selected="0">
              <x v="0"/>
            </reference>
            <reference field="6" count="1">
              <x v="25"/>
            </reference>
          </references>
        </pivotArea>
        <pivotArea type="data" collapsedLevelsAreSubtotals="1" fieldPosition="0">
          <references count="2">
            <reference field="4294967294" count="1" selected="0">
              <x v="0"/>
            </reference>
            <reference field="6" count="1">
              <x v="13"/>
            </reference>
          </references>
        </pivotArea>
        <pivotArea type="data" collapsedLevelsAreSubtotals="1" fieldPosition="0">
          <references count="2">
            <reference field="4294967294" count="1" selected="0">
              <x v="0"/>
            </reference>
            <reference field="6" count="1">
              <x v="4"/>
            </reference>
          </references>
        </pivotArea>
        <pivotArea type="data" collapsedLevelsAreSubtotals="1" fieldPosition="0">
          <references count="2">
            <reference field="4294967294" count="1" selected="0">
              <x v="0"/>
            </reference>
            <reference field="6" count="1">
              <x v="40"/>
            </reference>
          </references>
        </pivotArea>
        <pivotArea type="data" collapsedLevelsAreSubtotals="1" fieldPosition="0">
          <references count="2">
            <reference field="4294967294" count="1" selected="0">
              <x v="0"/>
            </reference>
            <reference field="6" count="1">
              <x v="49"/>
            </reference>
          </references>
        </pivotArea>
        <pivotArea type="data" collapsedLevelsAreSubtotals="1" fieldPosition="0">
          <references count="2">
            <reference field="4294967294" count="1" selected="0">
              <x v="0"/>
            </reference>
            <reference field="6" count="1">
              <x v="6"/>
            </reference>
          </references>
        </pivotArea>
        <pivotArea type="data" collapsedLevelsAreSubtotals="1" fieldPosition="0">
          <references count="2">
            <reference field="4294967294" count="1" selected="0">
              <x v="0"/>
            </reference>
            <reference field="6" count="1">
              <x v="56"/>
            </reference>
          </references>
        </pivotArea>
        <pivotArea type="data" collapsedLevelsAreSubtotals="1" fieldPosition="0">
          <references count="2">
            <reference field="4294967294" count="1" selected="0">
              <x v="0"/>
            </reference>
            <reference field="6" count="1">
              <x v="45"/>
            </reference>
          </references>
        </pivotArea>
        <pivotArea type="data" collapsedLevelsAreSubtotals="1" fieldPosition="0">
          <references count="2">
            <reference field="4294967294" count="1" selected="0">
              <x v="0"/>
            </reference>
            <reference field="6" count="1">
              <x v="30"/>
            </reference>
          </references>
        </pivotArea>
        <pivotArea type="data" collapsedLevelsAreSubtotals="1" fieldPosition="0">
          <references count="2">
            <reference field="4294967294" count="1" selected="0">
              <x v="0"/>
            </reference>
            <reference field="6" count="1">
              <x v="19"/>
            </reference>
          </references>
        </pivotArea>
        <pivotArea type="data" collapsedLevelsAreSubtotals="1" fieldPosition="0">
          <references count="2">
            <reference field="4294967294" count="1" selected="0">
              <x v="0"/>
            </reference>
            <reference field="6" count="1">
              <x v="46"/>
            </reference>
          </references>
        </pivotArea>
        <pivotArea type="data" collapsedLevelsAreSubtotals="1" fieldPosition="0">
          <references count="2">
            <reference field="4294967294" count="1" selected="0">
              <x v="0"/>
            </reference>
            <reference field="6" count="1">
              <x v="52"/>
            </reference>
          </references>
        </pivotArea>
        <pivotArea type="data" collapsedLevelsAreSubtotals="1" fieldPosition="0">
          <references count="2">
            <reference field="4294967294" count="1" selected="0">
              <x v="0"/>
            </reference>
            <reference field="6" count="1">
              <x v="33"/>
            </reference>
          </references>
        </pivotArea>
        <pivotArea type="data" collapsedLevelsAreSubtotals="1" fieldPosition="0">
          <references count="2">
            <reference field="4294967294" count="1" selected="0">
              <x v="0"/>
            </reference>
            <reference field="6" count="1">
              <x v="34"/>
            </reference>
          </references>
        </pivotArea>
        <pivotArea type="data" collapsedLevelsAreSubtotals="1" fieldPosition="0">
          <references count="2">
            <reference field="4294967294" count="1" selected="0">
              <x v="0"/>
            </reference>
            <reference field="6" count="1">
              <x v="42"/>
            </reference>
          </references>
        </pivotArea>
        <pivotArea type="data" collapsedLevelsAreSubtotals="1" fieldPosition="0">
          <references count="2">
            <reference field="4294967294" count="1" selected="0">
              <x v="0"/>
            </reference>
            <reference field="6" count="1">
              <x v="32"/>
            </reference>
          </references>
        </pivotArea>
        <pivotArea type="data" collapsedLevelsAreSubtotals="1" fieldPosition="0">
          <references count="2">
            <reference field="4294967294" count="1" selected="0">
              <x v="0"/>
            </reference>
            <reference field="6" count="1">
              <x v="21"/>
            </reference>
          </references>
        </pivotArea>
        <pivotArea type="data" collapsedLevelsAreSubtotals="1" fieldPosition="0">
          <references count="2">
            <reference field="4294967294" count="1" selected="0">
              <x v="0"/>
            </reference>
            <reference field="6" count="1">
              <x v="24"/>
            </reference>
          </references>
        </pivotArea>
        <pivotArea type="data" collapsedLevelsAreSubtotals="1" fieldPosition="0">
          <references count="2">
            <reference field="4294967294" count="1" selected="0">
              <x v="0"/>
            </reference>
            <reference field="6" count="1">
              <x v="20"/>
            </reference>
          </references>
        </pivotArea>
        <pivotArea type="data" collapsedLevelsAreSubtotals="1" fieldPosition="0">
          <references count="2">
            <reference field="4294967294" count="1" selected="0">
              <x v="0"/>
            </reference>
            <reference field="6" count="1">
              <x v="23"/>
            </reference>
          </references>
        </pivotArea>
        <pivotArea type="data" collapsedLevelsAreSubtotals="1" fieldPosition="0">
          <references count="2">
            <reference field="4294967294" count="1" selected="0">
              <x v="0"/>
            </reference>
            <reference field="6" count="1">
              <x v="18"/>
            </reference>
          </references>
        </pivotArea>
        <pivotArea type="data" collapsedLevelsAreSubtotals="1" fieldPosition="0">
          <references count="2">
            <reference field="4294967294" count="1" selected="0">
              <x v="0"/>
            </reference>
            <reference field="6" count="1">
              <x v="7"/>
            </reference>
          </references>
        </pivotArea>
        <pivotArea type="data" collapsedLevelsAreSubtotals="1" fieldPosition="0">
          <references count="2">
            <reference field="4294967294" count="1" selected="0">
              <x v="0"/>
            </reference>
            <reference field="6" count="1">
              <x v="22"/>
            </reference>
          </references>
        </pivotArea>
        <pivotArea type="data" collapsedLevelsAreSubtotals="1" fieldPosition="0">
          <references count="2">
            <reference field="4294967294" count="1" selected="0">
              <x v="0"/>
            </reference>
            <reference field="6" count="1">
              <x v="17"/>
            </reference>
          </references>
        </pivotArea>
        <pivotArea type="data" collapsedLevelsAreSubtotals="1" fieldPosition="0">
          <references count="2">
            <reference field="4294967294" count="1" selected="0">
              <x v="0"/>
            </reference>
            <reference field="6" count="1">
              <x v="28"/>
            </reference>
          </references>
        </pivotArea>
        <pivotArea type="data" collapsedLevelsAreSubtotals="1" fieldPosition="0">
          <references count="2">
            <reference field="4294967294" count="1" selected="0">
              <x v="0"/>
            </reference>
            <reference field="6" count="1">
              <x v="35"/>
            </reference>
          </references>
        </pivotArea>
        <pivotArea type="data" collapsedLevelsAreSubtotals="1" fieldPosition="0">
          <references count="2">
            <reference field="4294967294" count="1" selected="0">
              <x v="0"/>
            </reference>
            <reference field="6" count="1">
              <x v="51"/>
            </reference>
          </references>
        </pivotArea>
        <pivotArea type="data" collapsedLevelsAreSubtotals="1" fieldPosition="0">
          <references count="2">
            <reference field="4294967294" count="1" selected="0">
              <x v="0"/>
            </reference>
            <reference field="6" count="1">
              <x v="41"/>
            </reference>
          </references>
        </pivotArea>
        <pivotArea type="data" collapsedLevelsAreSubtotals="1" fieldPosition="0">
          <references count="2">
            <reference field="4294967294" count="1" selected="0">
              <x v="0"/>
            </reference>
            <reference field="6" count="1">
              <x v="11"/>
            </reference>
          </references>
        </pivotArea>
        <pivotArea type="data" collapsedLevelsAreSubtotals="1" fieldPosition="0">
          <references count="2">
            <reference field="4294967294" count="1" selected="0">
              <x v="0"/>
            </reference>
            <reference field="6" count="1">
              <x v="10"/>
            </reference>
          </references>
        </pivotArea>
        <pivotArea type="data" collapsedLevelsAreSubtotals="1" fieldPosition="0">
          <references count="2">
            <reference field="4294967294" count="1" selected="0">
              <x v="0"/>
            </reference>
            <reference field="6" count="1">
              <x v="36"/>
            </reference>
          </references>
        </pivotArea>
        <pivotArea type="data" collapsedLevelsAreSubtotals="1" fieldPosition="0">
          <references count="2">
            <reference field="4294967294" count="1" selected="0">
              <x v="0"/>
            </reference>
            <reference field="6" count="1">
              <x v="1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9E35BE0-AC69-3040-93A5-4885AED0478F}" name="피벗 테이블12" cacheId="5" applyNumberFormats="0" applyBorderFormats="0" applyFontFormats="0" applyPatternFormats="0" applyAlignmentFormats="0" applyWidthHeightFormats="1" dataCaption="값" updatedVersion="8" minRefreshableVersion="3" useAutoFormatting="1" colGrandTotals="0" itemPrintTitles="1" createdVersion="8" indent="0" outline="1" outlineData="1" multipleFieldFilters="0">
  <location ref="B3:D62" firstHeaderRow="0" firstDataRow="1" firstDataCol="1"/>
  <pivotFields count="18">
    <pivotField showAll="0"/>
    <pivotField showAll="0"/>
    <pivotField showAll="0"/>
    <pivotField showAll="0"/>
    <pivotField showAll="0"/>
    <pivotField name="기인물 분류" axis="axisRow" showAll="0" sortType="descending">
      <items count="38">
        <item sd="0" x="0"/>
        <item sd="0" x="1"/>
        <item sd="0" x="2"/>
        <item x="3"/>
        <item x="4"/>
        <item sd="0" x="5"/>
        <item sd="0" m="1" x="32"/>
        <item sd="0" x="6"/>
        <item sd="0" m="1" x="36"/>
        <item sd="0" x="7"/>
        <item sd="0" x="8"/>
        <item sd="0" m="1" x="35"/>
        <item sd="0" x="9"/>
        <item sd="0" x="10"/>
        <item x="11"/>
        <item sd="0" m="1" x="34"/>
        <item sd="0" x="13"/>
        <item sd="0" x="14"/>
        <item sd="0" x="15"/>
        <item sd="0" x="16"/>
        <item sd="0" x="17"/>
        <item sd="0" x="19"/>
        <item x="12"/>
        <item sd="0" x="21"/>
        <item sd="0" x="22"/>
        <item sd="0" x="23"/>
        <item sd="0" x="24"/>
        <item sd="0" x="25"/>
        <item sd="0" x="18"/>
        <item sd="0" x="26"/>
        <item sd="0" m="1" x="33"/>
        <item sd="0" x="27"/>
        <item sd="0" x="28"/>
        <item sd="0" x="29"/>
        <item sd="0" x="30"/>
        <item sd="0" x="31"/>
        <item sd="0" x="20"/>
        <item t="default"/>
      </items>
      <autoSortScope>
        <pivotArea dataOnly="0" outline="0" fieldPosition="0">
          <references count="1">
            <reference field="4294967294" count="1" selected="0">
              <x v="0"/>
            </reference>
          </references>
        </pivotArea>
      </autoSortScope>
    </pivotField>
    <pivotField axis="axisRow" showAll="0" sortType="descending">
      <items count="60">
        <item x="0"/>
        <item sd="0" x="1"/>
        <item sd="0" x="2"/>
        <item x="3"/>
        <item x="20"/>
        <item sd="0" x="21"/>
        <item sd="0" x="12"/>
        <item sd="0" x="11"/>
        <item sd="0" x="4"/>
        <item sd="0" x="22"/>
        <item sd="0" x="15"/>
        <item x="25"/>
        <item x="23"/>
        <item sd="0" x="7"/>
        <item x="24"/>
        <item sd="0" x="17"/>
        <item sd="0" x="42"/>
        <item x="26"/>
        <item sd="0" x="10"/>
        <item x="27"/>
        <item sd="0" x="32"/>
        <item x="33"/>
        <item x="34"/>
        <item x="35"/>
        <item x="36"/>
        <item x="37"/>
        <item x="39"/>
        <item sd="0" x="41"/>
        <item sd="0" x="43"/>
        <item x="44"/>
        <item x="45"/>
        <item x="46"/>
        <item x="47"/>
        <item x="48"/>
        <item sd="0" x="31"/>
        <item x="50"/>
        <item x="38"/>
        <item sd="0" x="51"/>
        <item sd="0" x="5"/>
        <item x="52"/>
        <item sd="0" x="53"/>
        <item x="49"/>
        <item sd="0" x="13"/>
        <item sd="0" x="30"/>
        <item sd="0" x="29"/>
        <item sd="0" x="8"/>
        <item sd="0" x="28"/>
        <item sd="0" x="19"/>
        <item sd="0" x="16"/>
        <item sd="0" x="18"/>
        <item sd="0" x="54"/>
        <item sd="0" x="14"/>
        <item sd="0" x="9"/>
        <item x="55"/>
        <item sd="0" x="6"/>
        <item x="56"/>
        <item x="57"/>
        <item m="1" x="58"/>
        <item x="40"/>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axis="axisRow" showAll="0">
      <items count="21">
        <item x="10"/>
        <item x="1"/>
        <item x="6"/>
        <item x="5"/>
        <item x="2"/>
        <item x="0"/>
        <item x="3"/>
        <item x="7"/>
        <item x="14"/>
        <item x="8"/>
        <item x="12"/>
        <item x="19"/>
        <item x="13"/>
        <item x="18"/>
        <item x="16"/>
        <item x="15"/>
        <item x="4"/>
        <item x="11"/>
        <item x="17"/>
        <item x="9"/>
        <item t="default"/>
      </items>
    </pivotField>
    <pivotField dataField="1" showAll="0"/>
    <pivotField showAll="0"/>
    <pivotField dataField="1" showAll="0"/>
  </pivotFields>
  <rowFields count="3">
    <field x="5"/>
    <field x="6"/>
    <field x="14"/>
  </rowFields>
  <rowItems count="59">
    <i>
      <x v="3"/>
    </i>
    <i r="1">
      <x v="5"/>
    </i>
    <i r="1">
      <x v="8"/>
    </i>
    <i r="1">
      <x v="54"/>
    </i>
    <i r="1">
      <x v="38"/>
    </i>
    <i r="1">
      <x v="6"/>
    </i>
    <i r="1">
      <x v="13"/>
    </i>
    <i r="1">
      <x v="45"/>
    </i>
    <i r="1">
      <x v="52"/>
    </i>
    <i r="1">
      <x v="42"/>
    </i>
    <i r="1">
      <x v="18"/>
    </i>
    <i r="1">
      <x v="7"/>
    </i>
    <i r="1">
      <x v="51"/>
    </i>
    <i>
      <x v="22"/>
    </i>
    <i r="1">
      <x v="27"/>
    </i>
    <i r="1">
      <x v="37"/>
    </i>
    <i r="1">
      <x v="16"/>
    </i>
    <i r="1">
      <x v="20"/>
    </i>
    <i r="1">
      <x v="28"/>
    </i>
    <i>
      <x v="14"/>
    </i>
    <i r="1">
      <x v="44"/>
    </i>
    <i r="1">
      <x v="43"/>
    </i>
    <i r="1">
      <x v="46"/>
    </i>
    <i r="1">
      <x v="34"/>
    </i>
    <i>
      <x v="4"/>
    </i>
    <i r="1">
      <x v="47"/>
    </i>
    <i r="1">
      <x v="15"/>
    </i>
    <i r="1">
      <x v="48"/>
    </i>
    <i r="1">
      <x v="49"/>
    </i>
    <i r="1">
      <x v="10"/>
    </i>
    <i>
      <x v="1"/>
    </i>
    <i>
      <x v="23"/>
    </i>
    <i>
      <x v="32"/>
    </i>
    <i>
      <x v="25"/>
    </i>
    <i>
      <x v="31"/>
    </i>
    <i>
      <x v="2"/>
    </i>
    <i>
      <x v="7"/>
    </i>
    <i>
      <x v="33"/>
    </i>
    <i>
      <x v="10"/>
    </i>
    <i>
      <x v="34"/>
    </i>
    <i>
      <x/>
    </i>
    <i>
      <x v="20"/>
    </i>
    <i>
      <x v="5"/>
    </i>
    <i>
      <x v="35"/>
    </i>
    <i>
      <x v="24"/>
    </i>
    <i>
      <x v="13"/>
    </i>
    <i>
      <x v="27"/>
    </i>
    <i>
      <x v="26"/>
    </i>
    <i>
      <x v="16"/>
    </i>
    <i>
      <x v="19"/>
    </i>
    <i>
      <x v="21"/>
    </i>
    <i>
      <x v="18"/>
    </i>
    <i>
      <x v="29"/>
    </i>
    <i>
      <x v="28"/>
    </i>
    <i>
      <x v="17"/>
    </i>
    <i>
      <x v="36"/>
    </i>
    <i>
      <x v="12"/>
    </i>
    <i>
      <x v="9"/>
    </i>
    <i t="grand">
      <x/>
    </i>
  </rowItems>
  <colFields count="1">
    <field x="-2"/>
  </colFields>
  <colItems count="2">
    <i>
      <x/>
    </i>
    <i i="1">
      <x v="1"/>
    </i>
  </colItems>
  <dataFields count="2">
    <dataField name="개수 : 위험성 감소대책(예시)" fld="17" subtotal="count" baseField="0" baseItem="0"/>
    <dataField name="비율" fld="15" subtotal="count" showDataAs="percentOfTotal" baseField="0" baseItem="0" numFmtId="10"/>
  </dataFields>
  <conditionalFormats count="1">
    <conditionalFormat priority="1">
      <pivotAreas count="36">
        <pivotArea type="data" collapsedLevelsAreSubtotals="1" fieldPosition="0">
          <references count="2">
            <reference field="4294967294" count="1" selected="0">
              <x v="0"/>
            </reference>
            <reference field="5" count="1">
              <x v="3"/>
            </reference>
          </references>
        </pivotArea>
        <pivotArea type="data" collapsedLevelsAreSubtotals="1" fieldPosition="0">
          <references count="2">
            <reference field="4294967294" count="1" selected="0">
              <x v="0"/>
            </reference>
            <reference field="5" count="1">
              <x v="14"/>
            </reference>
          </references>
        </pivotArea>
        <pivotArea type="data" collapsedLevelsAreSubtotals="1" fieldPosition="0">
          <references count="2">
            <reference field="4294967294" count="1" selected="0">
              <x v="0"/>
            </reference>
            <reference field="5" count="1">
              <x v="22"/>
            </reference>
          </references>
        </pivotArea>
        <pivotArea type="data" collapsedLevelsAreSubtotals="1" fieldPosition="0">
          <references count="2">
            <reference field="4294967294" count="1" selected="0">
              <x v="0"/>
            </reference>
            <reference field="5" count="1">
              <x v="4"/>
            </reference>
          </references>
        </pivotArea>
        <pivotArea type="data" collapsedLevelsAreSubtotals="1" fieldPosition="0">
          <references count="2">
            <reference field="4294967294" count="1" selected="0">
              <x v="0"/>
            </reference>
            <reference field="5" count="1">
              <x v="1"/>
            </reference>
          </references>
        </pivotArea>
        <pivotArea type="data" collapsedLevelsAreSubtotals="1" fieldPosition="0">
          <references count="2">
            <reference field="4294967294" count="1" selected="0">
              <x v="0"/>
            </reference>
            <reference field="5" count="1">
              <x v="23"/>
            </reference>
          </references>
        </pivotArea>
        <pivotArea type="data" collapsedLevelsAreSubtotals="1" fieldPosition="0">
          <references count="2">
            <reference field="4294967294" count="1" selected="0">
              <x v="0"/>
            </reference>
            <reference field="5" count="1">
              <x v="6"/>
            </reference>
          </references>
        </pivotArea>
        <pivotArea type="data" collapsedLevelsAreSubtotals="1" fieldPosition="0">
          <references count="2">
            <reference field="4294967294" count="1" selected="0">
              <x v="0"/>
            </reference>
            <reference field="5" count="1">
              <x v="32"/>
            </reference>
          </references>
        </pivotArea>
        <pivotArea type="data" collapsedLevelsAreSubtotals="1" fieldPosition="0">
          <references count="2">
            <reference field="4294967294" count="1" selected="0">
              <x v="0"/>
            </reference>
            <reference field="5" count="1">
              <x v="25"/>
            </reference>
          </references>
        </pivotArea>
        <pivotArea type="data" collapsedLevelsAreSubtotals="1" fieldPosition="0">
          <references count="2">
            <reference field="4294967294" count="1" selected="0">
              <x v="0"/>
            </reference>
            <reference field="5" count="1">
              <x v="31"/>
            </reference>
          </references>
        </pivotArea>
        <pivotArea type="data" collapsedLevelsAreSubtotals="1" fieldPosition="0">
          <references count="2">
            <reference field="4294967294" count="1" selected="0">
              <x v="0"/>
            </reference>
            <reference field="5" count="1">
              <x v="2"/>
            </reference>
          </references>
        </pivotArea>
        <pivotArea type="data" collapsedLevelsAreSubtotals="1" fieldPosition="0">
          <references count="2">
            <reference field="4294967294" count="1" selected="0">
              <x v="0"/>
            </reference>
            <reference field="5" count="1">
              <x v="7"/>
            </reference>
          </references>
        </pivotArea>
        <pivotArea type="data" collapsedLevelsAreSubtotals="1" fieldPosition="0">
          <references count="2">
            <reference field="4294967294" count="1" selected="0">
              <x v="0"/>
            </reference>
            <reference field="5" count="1">
              <x v="30"/>
            </reference>
          </references>
        </pivotArea>
        <pivotArea type="data" collapsedLevelsAreSubtotals="1" fieldPosition="0">
          <references count="2">
            <reference field="4294967294" count="1" selected="0">
              <x v="0"/>
            </reference>
            <reference field="5" count="1">
              <x v="33"/>
            </reference>
          </references>
        </pivotArea>
        <pivotArea type="data" collapsedLevelsAreSubtotals="1" fieldPosition="0">
          <references count="2">
            <reference field="4294967294" count="1" selected="0">
              <x v="0"/>
            </reference>
            <reference field="5" count="1">
              <x v="11"/>
            </reference>
          </references>
        </pivotArea>
        <pivotArea type="data" collapsedLevelsAreSubtotals="1" fieldPosition="0">
          <references count="2">
            <reference field="4294967294" count="1" selected="0">
              <x v="0"/>
            </reference>
            <reference field="5" count="1">
              <x v="34"/>
            </reference>
          </references>
        </pivotArea>
        <pivotArea type="data" collapsedLevelsAreSubtotals="1" fieldPosition="0">
          <references count="2">
            <reference field="4294967294" count="1" selected="0">
              <x v="0"/>
            </reference>
            <reference field="5" count="1">
              <x v="10"/>
            </reference>
          </references>
        </pivotArea>
        <pivotArea type="data" collapsedLevelsAreSubtotals="1" fieldPosition="0">
          <references count="2">
            <reference field="4294967294" count="1" selected="0">
              <x v="0"/>
            </reference>
            <reference field="5" count="1">
              <x v="21"/>
            </reference>
          </references>
        </pivotArea>
        <pivotArea type="data" collapsedLevelsAreSubtotals="1" fieldPosition="0">
          <references count="2">
            <reference field="4294967294" count="1" selected="0">
              <x v="0"/>
            </reference>
            <reference field="5" count="1">
              <x v="0"/>
            </reference>
          </references>
        </pivotArea>
        <pivotArea type="data" collapsedLevelsAreSubtotals="1" fieldPosition="0">
          <references count="2">
            <reference field="4294967294" count="1" selected="0">
              <x v="0"/>
            </reference>
            <reference field="5" count="1">
              <x v="20"/>
            </reference>
          </references>
        </pivotArea>
        <pivotArea type="data" collapsedLevelsAreSubtotals="1" fieldPosition="0">
          <references count="2">
            <reference field="4294967294" count="1" selected="0">
              <x v="0"/>
            </reference>
            <reference field="5" count="1">
              <x v="5"/>
            </reference>
          </references>
        </pivotArea>
        <pivotArea type="data" collapsedLevelsAreSubtotals="1" fieldPosition="0">
          <references count="2">
            <reference field="4294967294" count="1" selected="0">
              <x v="0"/>
            </reference>
            <reference field="5" count="1">
              <x v="35"/>
            </reference>
          </references>
        </pivotArea>
        <pivotArea type="data" collapsedLevelsAreSubtotals="1" fieldPosition="0">
          <references count="2">
            <reference field="4294967294" count="1" selected="0">
              <x v="0"/>
            </reference>
            <reference field="5" count="1">
              <x v="29"/>
            </reference>
          </references>
        </pivotArea>
        <pivotArea type="data" collapsedLevelsAreSubtotals="1" fieldPosition="0">
          <references count="2">
            <reference field="4294967294" count="1" selected="0">
              <x v="0"/>
            </reference>
            <reference field="5" count="1">
              <x v="24"/>
            </reference>
          </references>
        </pivotArea>
        <pivotArea type="data" collapsedLevelsAreSubtotals="1" fieldPosition="0">
          <references count="2">
            <reference field="4294967294" count="1" selected="0">
              <x v="0"/>
            </reference>
            <reference field="5" count="1">
              <x v="13"/>
            </reference>
          </references>
        </pivotArea>
        <pivotArea type="data" collapsedLevelsAreSubtotals="1" fieldPosition="0">
          <references count="2">
            <reference field="4294967294" count="1" selected="0">
              <x v="0"/>
            </reference>
            <reference field="5" count="1">
              <x v="27"/>
            </reference>
          </references>
        </pivotArea>
        <pivotArea type="data" collapsedLevelsAreSubtotals="1" fieldPosition="0">
          <references count="2">
            <reference field="4294967294" count="1" selected="0">
              <x v="0"/>
            </reference>
            <reference field="5" count="1">
              <x v="26"/>
            </reference>
          </references>
        </pivotArea>
        <pivotArea type="data" collapsedLevelsAreSubtotals="1" fieldPosition="0">
          <references count="2">
            <reference field="4294967294" count="1" selected="0">
              <x v="0"/>
            </reference>
            <reference field="5" count="1">
              <x v="16"/>
            </reference>
          </references>
        </pivotArea>
        <pivotArea type="data" collapsedLevelsAreSubtotals="1" fieldPosition="0">
          <references count="2">
            <reference field="4294967294" count="1" selected="0">
              <x v="0"/>
            </reference>
            <reference field="5" count="1">
              <x v="19"/>
            </reference>
          </references>
        </pivotArea>
        <pivotArea type="data" collapsedLevelsAreSubtotals="1" fieldPosition="0">
          <references count="2">
            <reference field="4294967294" count="1" selected="0">
              <x v="0"/>
            </reference>
            <reference field="5" count="1">
              <x v="15"/>
            </reference>
          </references>
        </pivotArea>
        <pivotArea type="data" collapsedLevelsAreSubtotals="1" fieldPosition="0">
          <references count="2">
            <reference field="4294967294" count="1" selected="0">
              <x v="0"/>
            </reference>
            <reference field="5" count="1">
              <x v="18"/>
            </reference>
          </references>
        </pivotArea>
        <pivotArea type="data" collapsedLevelsAreSubtotals="1" fieldPosition="0">
          <references count="2">
            <reference field="4294967294" count="1" selected="0">
              <x v="0"/>
            </reference>
            <reference field="5" count="1">
              <x v="12"/>
            </reference>
          </references>
        </pivotArea>
        <pivotArea type="data" collapsedLevelsAreSubtotals="1" fieldPosition="0">
          <references count="2">
            <reference field="4294967294" count="1" selected="0">
              <x v="0"/>
            </reference>
            <reference field="5" count="1">
              <x v="17"/>
            </reference>
          </references>
        </pivotArea>
        <pivotArea type="data" collapsedLevelsAreSubtotals="1" fieldPosition="0">
          <references count="2">
            <reference field="4294967294" count="1" selected="0">
              <x v="0"/>
            </reference>
            <reference field="5" count="1">
              <x v="8"/>
            </reference>
          </references>
        </pivotArea>
        <pivotArea type="data" collapsedLevelsAreSubtotals="1" fieldPosition="0">
          <references count="2">
            <reference field="4294967294" count="1" selected="0">
              <x v="0"/>
            </reference>
            <reference field="5" count="1">
              <x v="9"/>
            </reference>
          </references>
        </pivotArea>
        <pivotArea type="data" collapsedLevelsAreSubtotals="1" fieldPosition="0">
          <references count="2">
            <reference field="4294967294" count="1" selected="0">
              <x v="0"/>
            </reference>
            <reference field="5" count="1">
              <x v="2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639FC70-465D-7843-B519-4C7765DD3CB9}" name="피벗 테이블3" cacheId="5"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A4:V64" firstHeaderRow="1" firstDataRow="2" firstDataCol="1"/>
  <pivotFields count="18">
    <pivotField showAll="0"/>
    <pivotField showAll="0"/>
    <pivotField showAll="0"/>
    <pivotField showAll="0"/>
    <pivotField showAll="0"/>
    <pivotField showAll="0"/>
    <pivotField axis="axisRow" showAll="0" sortType="descending">
      <items count="60">
        <item x="0"/>
        <item x="1"/>
        <item x="2"/>
        <item x="3"/>
        <item x="20"/>
        <item x="21"/>
        <item x="12"/>
        <item x="11"/>
        <item x="4"/>
        <item x="22"/>
        <item x="15"/>
        <item x="25"/>
        <item x="23"/>
        <item x="7"/>
        <item x="24"/>
        <item x="17"/>
        <item x="42"/>
        <item x="26"/>
        <item x="10"/>
        <item x="27"/>
        <item x="32"/>
        <item x="33"/>
        <item x="34"/>
        <item x="35"/>
        <item x="36"/>
        <item x="37"/>
        <item x="39"/>
        <item x="41"/>
        <item x="43"/>
        <item x="44"/>
        <item x="45"/>
        <item x="46"/>
        <item x="47"/>
        <item x="48"/>
        <item x="31"/>
        <item x="50"/>
        <item x="38"/>
        <item x="51"/>
        <item x="5"/>
        <item x="52"/>
        <item x="53"/>
        <item x="49"/>
        <item x="13"/>
        <item x="30"/>
        <item x="29"/>
        <item x="8"/>
        <item x="28"/>
        <item x="19"/>
        <item x="16"/>
        <item x="18"/>
        <item x="54"/>
        <item x="14"/>
        <item x="9"/>
        <item x="55"/>
        <item x="6"/>
        <item x="56"/>
        <item x="57"/>
        <item m="1" x="58"/>
        <item x="4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axis="axisCol" showAll="0">
      <items count="21">
        <item x="10"/>
        <item x="1"/>
        <item x="6"/>
        <item x="5"/>
        <item x="2"/>
        <item x="0"/>
        <item x="3"/>
        <item x="7"/>
        <item x="14"/>
        <item x="8"/>
        <item x="12"/>
        <item x="19"/>
        <item x="13"/>
        <item x="18"/>
        <item x="16"/>
        <item x="15"/>
        <item x="4"/>
        <item x="11"/>
        <item x="17"/>
        <item x="9"/>
        <item t="default"/>
      </items>
    </pivotField>
    <pivotField dataField="1" showAll="0"/>
    <pivotField showAll="0"/>
    <pivotField showAll="0"/>
  </pivotFields>
  <rowFields count="1">
    <field x="6"/>
  </rowFields>
  <rowItems count="59">
    <i>
      <x v="44"/>
    </i>
    <i>
      <x v="27"/>
    </i>
    <i>
      <x v="47"/>
    </i>
    <i>
      <x v="29"/>
    </i>
    <i>
      <x v="5"/>
    </i>
    <i>
      <x v="8"/>
    </i>
    <i>
      <x v="31"/>
    </i>
    <i>
      <x v="43"/>
    </i>
    <i>
      <x v="39"/>
    </i>
    <i>
      <x v="3"/>
    </i>
    <i>
      <x v="2"/>
    </i>
    <i>
      <x v="9"/>
    </i>
    <i>
      <x v="54"/>
    </i>
    <i>
      <x v="16"/>
    </i>
    <i>
      <x v="37"/>
    </i>
    <i>
      <x v="50"/>
    </i>
    <i>
      <x v="1"/>
    </i>
    <i>
      <x v="53"/>
    </i>
    <i>
      <x v="15"/>
    </i>
    <i>
      <x v="38"/>
    </i>
    <i>
      <x v="55"/>
    </i>
    <i>
      <x v="14"/>
    </i>
    <i>
      <x/>
    </i>
    <i>
      <x v="25"/>
    </i>
    <i>
      <x v="48"/>
    </i>
    <i>
      <x v="6"/>
    </i>
    <i>
      <x v="13"/>
    </i>
    <i>
      <x v="4"/>
    </i>
    <i>
      <x v="40"/>
    </i>
    <i>
      <x v="49"/>
    </i>
    <i>
      <x v="56"/>
    </i>
    <i>
      <x v="45"/>
    </i>
    <i>
      <x v="30"/>
    </i>
    <i>
      <x v="19"/>
    </i>
    <i>
      <x v="46"/>
    </i>
    <i>
      <x v="52"/>
    </i>
    <i>
      <x v="34"/>
    </i>
    <i>
      <x v="33"/>
    </i>
    <i>
      <x v="42"/>
    </i>
    <i>
      <x v="32"/>
    </i>
    <i>
      <x v="21"/>
    </i>
    <i>
      <x v="26"/>
    </i>
    <i>
      <x v="24"/>
    </i>
    <i>
      <x v="23"/>
    </i>
    <i>
      <x v="20"/>
    </i>
    <i>
      <x v="18"/>
    </i>
    <i>
      <x v="7"/>
    </i>
    <i>
      <x v="36"/>
    </i>
    <i>
      <x v="58"/>
    </i>
    <i>
      <x v="22"/>
    </i>
    <i>
      <x v="17"/>
    </i>
    <i>
      <x v="28"/>
    </i>
    <i>
      <x v="35"/>
    </i>
    <i>
      <x v="51"/>
    </i>
    <i>
      <x v="41"/>
    </i>
    <i>
      <x v="11"/>
    </i>
    <i>
      <x v="10"/>
    </i>
    <i>
      <x v="12"/>
    </i>
    <i t="grand">
      <x/>
    </i>
  </rowItems>
  <colFields count="1">
    <field x="14"/>
  </colFields>
  <colItems count="21">
    <i>
      <x/>
    </i>
    <i>
      <x v="1"/>
    </i>
    <i>
      <x v="2"/>
    </i>
    <i>
      <x v="3"/>
    </i>
    <i>
      <x v="4"/>
    </i>
    <i>
      <x v="5"/>
    </i>
    <i>
      <x v="6"/>
    </i>
    <i>
      <x v="7"/>
    </i>
    <i>
      <x v="8"/>
    </i>
    <i>
      <x v="9"/>
    </i>
    <i>
      <x v="10"/>
    </i>
    <i>
      <x v="11"/>
    </i>
    <i>
      <x v="12"/>
    </i>
    <i>
      <x v="13"/>
    </i>
    <i>
      <x v="14"/>
    </i>
    <i>
      <x v="15"/>
    </i>
    <i>
      <x v="16"/>
    </i>
    <i>
      <x v="17"/>
    </i>
    <i>
      <x v="18"/>
    </i>
    <i>
      <x v="19"/>
    </i>
    <i t="grand">
      <x/>
    </i>
  </colItems>
  <dataFields count="1">
    <dataField name="개수 : 재해개요 : 재해시기 추출" fld="15" subtotal="count" baseField="0" baseItem="0"/>
  </dataFields>
  <conditionalFormats count="3">
    <conditionalFormat priority="1">
      <pivotAreas count="1">
        <pivotArea type="data" grandRow="1" outline="0" collapsedLevelsAreSubtotals="1" fieldPosition="0">
          <references count="2">
            <reference field="4294967294" count="1" selected="0">
              <x v="0"/>
            </reference>
            <reference field="14" count="20" selected="0">
              <x v="0"/>
              <x v="1"/>
              <x v="2"/>
              <x v="3"/>
              <x v="4"/>
              <x v="5"/>
              <x v="6"/>
              <x v="7"/>
              <x v="8"/>
              <x v="9"/>
              <x v="10"/>
              <x v="11"/>
              <x v="12"/>
              <x v="13"/>
              <x v="14"/>
              <x v="15"/>
              <x v="16"/>
              <x v="17"/>
              <x v="18"/>
              <x v="19"/>
            </reference>
          </references>
        </pivotArea>
      </pivotAreas>
    </conditionalFormat>
    <conditionalFormat priority="2">
      <pivotAreas count="1">
        <pivotArea type="data" grandCol="1" collapsedLevelsAreSubtotals="1" fieldPosition="0">
          <references count="2">
            <reference field="4294967294" count="1" selected="0">
              <x v="0"/>
            </reference>
            <reference field="6" count="57">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reference>
          </references>
        </pivotArea>
      </pivotAreas>
    </conditionalFormat>
    <conditionalFormat priority="3">
      <pivotAreas count="1">
        <pivotArea type="data" collapsedLevelsAreSubtotals="1" fieldPosition="0">
          <references count="3">
            <reference field="4294967294" count="1" selected="0">
              <x v="0"/>
            </reference>
            <reference field="6" count="57">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reference>
            <reference field="14" count="20" selected="0">
              <x v="0"/>
              <x v="1"/>
              <x v="2"/>
              <x v="3"/>
              <x v="4"/>
              <x v="5"/>
              <x v="6"/>
              <x v="7"/>
              <x v="8"/>
              <x v="9"/>
              <x v="10"/>
              <x v="11"/>
              <x v="12"/>
              <x v="13"/>
              <x v="14"/>
              <x v="15"/>
              <x v="16"/>
              <x v="17"/>
              <x v="18"/>
              <x v="1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4AE4456-93F1-CA43-9E92-42907966705D}" name="피벗 테이블9" cacheId="5" applyNumberFormats="0" applyBorderFormats="0" applyFontFormats="0" applyPatternFormats="0" applyAlignmentFormats="0" applyWidthHeightFormats="1" dataCaption="값" updatedVersion="8" minRefreshableVersion="3" useAutoFormatting="1" itemPrintTitles="1" createdVersion="8" indent="0" compact="0" compactData="0" multipleFieldFilters="0">
  <location ref="B3:D24" firstHeaderRow="0" firstDataRow="1" firstDataCol="1"/>
  <pivotFields count="18">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sortType="descending">
      <items count="21">
        <item x="10"/>
        <item x="1"/>
        <item x="6"/>
        <item x="5"/>
        <item x="2"/>
        <item x="0"/>
        <item x="3"/>
        <item x="7"/>
        <item x="14"/>
        <item x="8"/>
        <item x="12"/>
        <item x="19"/>
        <item x="13"/>
        <item x="18"/>
        <item x="16"/>
        <item x="15"/>
        <item x="4"/>
        <item x="11"/>
        <item x="17"/>
        <item x="9"/>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14"/>
  </rowFields>
  <rowItems count="21">
    <i>
      <x v="4"/>
    </i>
    <i>
      <x v="1"/>
    </i>
    <i>
      <x v="5"/>
    </i>
    <i>
      <x v="2"/>
    </i>
    <i>
      <x v="9"/>
    </i>
    <i>
      <x v="7"/>
    </i>
    <i>
      <x/>
    </i>
    <i>
      <x v="6"/>
    </i>
    <i>
      <x v="19"/>
    </i>
    <i>
      <x v="16"/>
    </i>
    <i>
      <x v="13"/>
    </i>
    <i>
      <x v="12"/>
    </i>
    <i>
      <x v="17"/>
    </i>
    <i>
      <x v="10"/>
    </i>
    <i>
      <x v="3"/>
    </i>
    <i>
      <x v="18"/>
    </i>
    <i>
      <x v="8"/>
    </i>
    <i>
      <x v="15"/>
    </i>
    <i>
      <x v="11"/>
    </i>
    <i>
      <x v="14"/>
    </i>
    <i t="grand">
      <x/>
    </i>
  </rowItems>
  <colFields count="1">
    <field x="-2"/>
  </colFields>
  <colItems count="2">
    <i>
      <x/>
    </i>
    <i i="1">
      <x v="1"/>
    </i>
  </colItems>
  <dataFields count="2">
    <dataField name="건수" fld="1" subtotal="count" baseField="0" baseItem="0"/>
    <dataField name="비율" fld="15"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027B994-8209-B746-B746-07C77741672C}" name="피벗 테이블10" cacheId="5"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F3:H24" firstHeaderRow="0" firstDataRow="1" firstDataCol="1"/>
  <pivotFields count="18">
    <pivotField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items count="60">
        <item x="57"/>
        <item x="56"/>
        <item x="6"/>
        <item x="55"/>
        <item x="9"/>
        <item x="14"/>
        <item x="54"/>
        <item x="18"/>
        <item x="16"/>
        <item x="19"/>
        <item x="28"/>
        <item x="8"/>
        <item x="29"/>
        <item x="30"/>
        <item x="13"/>
        <item x="49"/>
        <item x="53"/>
        <item x="52"/>
        <item x="5"/>
        <item x="51"/>
        <item x="38"/>
        <item x="50"/>
        <item x="31"/>
        <item x="48"/>
        <item x="47"/>
        <item x="46"/>
        <item x="45"/>
        <item x="44"/>
        <item x="43"/>
        <item x="41"/>
        <item x="39"/>
        <item x="37"/>
        <item x="36"/>
        <item x="35"/>
        <item x="34"/>
        <item x="33"/>
        <item x="32"/>
        <item x="27"/>
        <item x="10"/>
        <item x="26"/>
        <item x="42"/>
        <item x="17"/>
        <item x="24"/>
        <item x="7"/>
        <item x="23"/>
        <item x="25"/>
        <item x="15"/>
        <item x="22"/>
        <item x="4"/>
        <item x="11"/>
        <item x="12"/>
        <item x="21"/>
        <item x="20"/>
        <item x="3"/>
        <item x="2"/>
        <item x="1"/>
        <item x="0"/>
        <item m="1" x="58"/>
        <item x="40"/>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sortType="descending">
      <items count="21">
        <item sd="0" x="10"/>
        <item sd="0" x="1"/>
        <item sd="0" x="6"/>
        <item sd="0" x="5"/>
        <item sd="0" x="2"/>
        <item sd="0" x="0"/>
        <item sd="0" x="3"/>
        <item sd="0" x="7"/>
        <item sd="0" x="14"/>
        <item sd="0" x="8"/>
        <item sd="0" x="12"/>
        <item sd="0" x="19"/>
        <item sd="0" x="13"/>
        <item sd="0" x="18"/>
        <item sd="0" x="16"/>
        <item sd="0" x="15"/>
        <item sd="0" x="4"/>
        <item sd="0" x="11"/>
        <item sd="0" x="17"/>
        <item sd="0" x="9"/>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s>
  <rowFields count="2">
    <field x="14"/>
    <field x="6"/>
  </rowFields>
  <rowItems count="21">
    <i>
      <x v="4"/>
    </i>
    <i>
      <x v="1"/>
    </i>
    <i>
      <x v="5"/>
    </i>
    <i>
      <x v="2"/>
    </i>
    <i>
      <x v="9"/>
    </i>
    <i>
      <x v="7"/>
    </i>
    <i>
      <x/>
    </i>
    <i>
      <x v="6"/>
    </i>
    <i>
      <x v="19"/>
    </i>
    <i>
      <x v="16"/>
    </i>
    <i>
      <x v="13"/>
    </i>
    <i>
      <x v="12"/>
    </i>
    <i>
      <x v="17"/>
    </i>
    <i>
      <x v="10"/>
    </i>
    <i>
      <x v="3"/>
    </i>
    <i>
      <x v="18"/>
    </i>
    <i>
      <x v="8"/>
    </i>
    <i>
      <x v="15"/>
    </i>
    <i>
      <x v="11"/>
    </i>
    <i>
      <x v="14"/>
    </i>
    <i t="grand">
      <x/>
    </i>
  </rowItems>
  <colFields count="1">
    <field x="-2"/>
  </colFields>
  <colItems count="2">
    <i>
      <x/>
    </i>
    <i i="1">
      <x v="1"/>
    </i>
  </colItems>
  <dataFields count="2">
    <dataField name="건수" fld="1" subtotal="count" baseField="0" baseItem="0"/>
    <dataField name="비율" fld="15" subtotal="count" showDataAs="percentOfTotal" baseField="0" baseItem="0" numFmtId="10"/>
  </dataFields>
  <formats count="1">
    <format dxfId="4">
      <pivotArea dataOnly="0" labelOnly="1" fieldPosition="0">
        <references count="2">
          <reference field="6" count="15">
            <x v="9"/>
            <x v="12"/>
            <x v="13"/>
            <x v="17"/>
            <x v="19"/>
            <x v="25"/>
            <x v="27"/>
            <x v="29"/>
            <x v="40"/>
            <x v="47"/>
            <x v="51"/>
            <x v="52"/>
            <x v="53"/>
            <x v="54"/>
            <x v="55"/>
          </reference>
          <reference field="14" count="1" selected="0">
            <x v="4"/>
          </reference>
        </references>
      </pivotArea>
    </format>
  </formats>
  <conditionalFormats count="1">
    <conditionalFormat priority="1">
      <pivotAreas count="1">
        <pivotArea type="data" collapsedLevelsAreSubtotals="1" fieldPosition="0">
          <references count="3">
            <reference field="4294967294" count="1" selected="0">
              <x v="1"/>
            </reference>
            <reference field="6" count="53">
              <x v="0"/>
              <x v="1"/>
              <x v="2"/>
              <x v="3"/>
              <x v="4"/>
              <x v="6"/>
              <x v="7"/>
              <x v="8"/>
              <x v="9"/>
              <x v="10"/>
              <x v="11"/>
              <x v="12"/>
              <x v="13"/>
              <x v="14"/>
              <x v="15"/>
              <x v="16"/>
              <x v="17"/>
              <x v="18"/>
              <x v="19"/>
              <x v="22"/>
              <x v="23"/>
              <x v="24"/>
              <x v="25"/>
              <x v="26"/>
              <x v="27"/>
              <x v="28"/>
              <x v="29"/>
              <x v="30"/>
              <x v="31"/>
              <x v="32"/>
              <x v="33"/>
              <x v="34"/>
              <x v="35"/>
              <x v="36"/>
              <x v="37"/>
              <x v="38"/>
              <x v="39"/>
              <x v="40"/>
              <x v="41"/>
              <x v="42"/>
              <x v="43"/>
              <x v="45"/>
              <x v="46"/>
              <x v="47"/>
              <x v="48"/>
              <x v="49"/>
              <x v="50"/>
              <x v="51"/>
              <x v="52"/>
              <x v="53"/>
              <x v="54"/>
              <x v="55"/>
              <x v="56"/>
            </reference>
            <reference field="14" count="1" selected="0">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678748A-BC7F-2C40-AC19-8AFEDEEF3902}" name="표3" displayName="표3" ref="AY17:BB226" totalsRowShown="0" headerRowDxfId="25">
  <autoFilter ref="AY17:BB226" xr:uid="{E678748A-BC7F-2C40-AC19-8AFEDEEF3902}"/>
  <tableColumns count="4">
    <tableColumn id="1" xr3:uid="{9EE99692-5C9D-7948-A917-A58087349188}" name="기인물"/>
    <tableColumn id="2" xr3:uid="{8C45D86B-E286-694E-B62D-6A148E86C297}" name="순위"/>
    <tableColumn id="3" xr3:uid="{9282AD4A-D1DF-E547-A4AB-EC76513997C1}" name="건수" dataDxfId="24"/>
    <tableColumn id="4" xr3:uid="{9E4910BE-13F7-AF49-A5CD-5A554E42F8F0}" name="비율" dataDxfId="2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353A82-2D6C-3F46-90B4-0B4A487D2C21}" name="표1" displayName="표1" ref="R3:V40" totalsRowShown="0" headerRowDxfId="9">
  <autoFilter ref="R3:V40" xr:uid="{0C353A82-2D6C-3F46-90B4-0B4A487D2C21}"/>
  <sortState xmlns:xlrd2="http://schemas.microsoft.com/office/spreadsheetml/2017/richdata2" ref="R4:U40">
    <sortCondition descending="1" ref="U3:U40"/>
  </sortState>
  <tableColumns count="5">
    <tableColumn id="1" xr3:uid="{5CCE80C1-6852-A042-B346-51AF15E534AA}" name="대공정" dataDxfId="8"/>
    <tableColumn id="2" xr3:uid="{4F7B3A39-FCEA-DC4B-9362-7737FFB9B556}" name="공정" dataDxfId="7"/>
    <tableColumn id="3" xr3:uid="{28B16040-7F38-5A49-9F1E-F246D2CCB743}" name="건수" dataDxfId="6"/>
    <tableColumn id="4" xr3:uid="{35BDC838-244A-6543-8FFF-5BD49F1096FE}" name="비율" dataDxfId="5"/>
    <tableColumn id="5" xr3:uid="{1D186B0D-B07E-CA4E-9F14-1E0DF0B35C82}" name="위험도 순위(총37위)"/>
  </tableColumns>
  <tableStyleInfo name="TableStyleMedium2"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5E1CC64-352A-7744-92E5-696ADFCD477D}">
  <we:reference id="wa200009404" version="1.0.0.8" store="en-US" storeType="OMEX"/>
  <we:alternateReferences>
    <we:reference id="wa200009404" version="1.0.0.8" store=""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pivotTable" Target="../pivotTables/pivotTable13.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18.xml"/><Relationship Id="rId1"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30531-5D6E-9344-AF14-7D2682EDDF17}">
  <sheetPr>
    <tabColor rgb="FF2E75B6"/>
  </sheetPr>
  <dimension ref="A1:AF3308"/>
  <sheetViews>
    <sheetView tabSelected="1" zoomScale="75" workbookViewId="0">
      <pane ySplit="13" topLeftCell="A14" activePane="bottomLeft" state="frozen"/>
      <selection pane="bottomLeft" activeCell="L14" sqref="L14"/>
    </sheetView>
  </sheetViews>
  <sheetFormatPr baseColWidth="10" defaultRowHeight="18" outlineLevelCol="1"/>
  <cols>
    <col min="1" max="1" width="2.5703125" customWidth="1"/>
    <col min="2" max="2" width="12.85546875" customWidth="1"/>
    <col min="3" max="3" width="1.42578125" customWidth="1"/>
    <col min="4" max="4" width="19" customWidth="1"/>
    <col min="5" max="5" width="1.42578125" customWidth="1"/>
    <col min="6" max="6" width="8.140625" customWidth="1"/>
    <col min="7" max="7" width="1.42578125" customWidth="1"/>
    <col min="8" max="8" width="28.5703125" customWidth="1"/>
    <col min="9" max="9" width="1.42578125" customWidth="1"/>
    <col min="10" max="10" width="22.85546875" customWidth="1"/>
    <col min="11" max="11" width="1.42578125" customWidth="1"/>
    <col min="12" max="12" width="31.42578125" customWidth="1"/>
    <col min="13" max="13" width="1.42578125" customWidth="1"/>
    <col min="14" max="14" width="0.7109375" customWidth="1"/>
    <col min="15" max="15" width="1.42578125" customWidth="1"/>
    <col min="16" max="20" width="0" hidden="1" customWidth="1"/>
    <col min="21" max="21" width="22.85546875" customWidth="1"/>
    <col min="22" max="22" width="6.42578125" customWidth="1"/>
    <col min="23" max="23" width="4" customWidth="1"/>
    <col min="24" max="24" width="22.85546875" customWidth="1"/>
    <col min="25" max="25" width="6.42578125" customWidth="1"/>
    <col min="26" max="31" width="10.7109375" hidden="1" customWidth="1" outlineLevel="1"/>
    <col min="32" max="32" width="10.7109375" collapsed="1"/>
  </cols>
  <sheetData>
    <row r="1" spans="1:31" ht="46" customHeight="1">
      <c r="A1" s="158" t="s">
        <v>6172</v>
      </c>
      <c r="B1" s="158"/>
      <c r="C1" s="159"/>
      <c r="D1" s="158"/>
      <c r="E1" s="159"/>
      <c r="F1" s="158"/>
      <c r="G1" s="159"/>
      <c r="H1" s="158"/>
      <c r="I1" s="159"/>
      <c r="J1" s="158"/>
      <c r="K1" s="159"/>
      <c r="L1" s="158"/>
      <c r="M1" s="159"/>
      <c r="N1" s="158"/>
    </row>
    <row r="2" spans="1:31" ht="22" customHeight="1" thickBot="1">
      <c r="A2" s="26"/>
    </row>
    <row r="3" spans="1:31" ht="22" customHeight="1" thickBot="1">
      <c r="A3" s="26"/>
      <c r="B3" s="54" t="s">
        <v>6097</v>
      </c>
      <c r="C3" s="43"/>
      <c r="D3" s="27" t="s">
        <v>5803</v>
      </c>
      <c r="E3" s="43"/>
      <c r="F3" s="46" t="s">
        <v>6106</v>
      </c>
      <c r="G3" s="43"/>
      <c r="I3" s="43"/>
      <c r="K3" s="43"/>
      <c r="M3" s="43"/>
    </row>
    <row r="4" spans="1:31" ht="22" customHeight="1" thickBot="1">
      <c r="A4" s="26"/>
      <c r="B4" s="55" t="s">
        <v>6098</v>
      </c>
      <c r="C4" s="43"/>
      <c r="D4" s="29" t="s">
        <v>554</v>
      </c>
      <c r="E4" s="43"/>
      <c r="F4" s="28" t="str" cm="1">
        <f t="array" ref="F4">IF($D$4="","← 비워두면 전체 공종 조회",SUMPRODUCT(((($D$3&lt;&gt;"YES")+($D$3="YES")*(DB!E$2:E$2576="YES"))*(DB!B$2:B$2576=$D$4))*1)&amp;"건")</f>
        <v>156건</v>
      </c>
      <c r="G4" s="152" t="str" cm="1">
        <f t="array" ref="G4">IF(AND($D$4&lt;&gt;"",SUMPRODUCT(((($D$3&lt;&gt;"YES")+($D$3="YES")*(DB!E$2:E$2576="YES"))*(DB!B$2:B$2576=$D$4))*1)=0),"⚠ 해당없음!","")</f>
        <v/>
      </c>
      <c r="I4" s="43"/>
      <c r="K4" s="43"/>
      <c r="M4" s="43"/>
    </row>
    <row r="5" spans="1:31" ht="22" customHeight="1" thickBot="1">
      <c r="A5" s="26"/>
      <c r="B5" s="55" t="s">
        <v>6099</v>
      </c>
      <c r="C5" s="43"/>
      <c r="D5" s="29"/>
      <c r="E5" s="43"/>
      <c r="F5" s="28" t="str" cm="1">
        <f t="array" ref="F5">IF($D$5="","← 비워두면 전체 작업명 조회",SUMPRODUCT(((($D$3&lt;&gt;"YES")+($D$3="YES")*(DB!E$2:E$2576="YES"))*(($D$4="")+($D$4&lt;&gt;"")*(DB!B$2:B$2576=$D$4))*(DB!C$2:C$2576=$D$5))*1)&amp;"건")</f>
        <v>← 비워두면 전체 작업명 조회</v>
      </c>
      <c r="G5" s="152" t="str" cm="1">
        <f t="array" ref="G5">IF(AND($D$5&lt;&gt;"",SUMPRODUCT(((($D$3&lt;&gt;"YES")+($D$3="YES")*(DB!E$2:E$2576="YES"))*(($D$4="")+($D$4&lt;&gt;"")*(DB!B$2:B$2576=$D$4))*(DB!C$2:C$2576=$D$5))*1)=0),"⚠ 상위변경! 다시선택","")</f>
        <v/>
      </c>
      <c r="H5" s="160" t="str">
        <f>IF($D$5="","← 작업명 선택 시 관련 기인물 표시",IFERROR(_xlfn.LET(_xlpm._txt,_xlfn.TEXTJOIN(" / ",TRUE,INDEX(_드롭다운참조!IB$2:JX$41,,MATCH($D$5,_드롭다운참조!$IB$1:$JX$1,0))),_xlpm._cnt,(LEN(_xlpm._txt)-LEN(SUBSTITUTE(_xlpm._txt," / ","")))/3+1,"✓관련 기인물 (총 "&amp;_xlpm._cnt&amp;"종) : "&amp;_xlpm._txt),"해당 없음"))</f>
        <v>← 작업명 선택 시 관련 기인물 표시</v>
      </c>
      <c r="I5" s="160"/>
      <c r="J5" s="160"/>
      <c r="K5" s="160"/>
      <c r="L5" s="160"/>
      <c r="M5" s="47"/>
      <c r="N5" s="48"/>
    </row>
    <row r="6" spans="1:31" ht="22" customHeight="1" thickBot="1">
      <c r="A6" s="26"/>
      <c r="B6" s="55" t="s">
        <v>6100</v>
      </c>
      <c r="C6" s="43"/>
      <c r="D6" s="29"/>
      <c r="E6" s="43"/>
      <c r="F6" s="28" t="str" cm="1">
        <f t="array" ref="F6">IF($D$6="","← 비워두면 전체 단위작업 조회",SUMPRODUCT(((($D$3&lt;&gt;"YES")+($D$3="YES")*(DB!E$2:E$2576="YES"))*(($D$4="")+($D$4&lt;&gt;"")*(DB!B$2:B$2576=$D$4))*(($D$5="")+($D$5&lt;&gt;"")*(DB!C$2:C$2576=$D$5))*(DB!D$2:D$2576=$D$6))*1)&amp;"건")</f>
        <v>← 비워두면 전체 단위작업 조회</v>
      </c>
      <c r="G6" s="152" t="str" cm="1">
        <f t="array" ref="G6">IF(AND($D$6&lt;&gt;"",SUMPRODUCT(((($D$3&lt;&gt;"YES")+($D$3="YES")*(DB!E$2:E$2576="YES"))*(($D$4="")+($D$4&lt;&gt;"")*(DB!B$2:B$2576=$D$4))*(($D$5="")+($D$5&lt;&gt;"")*(DB!C$2:C$2576=$D$5))*(DB!D$2:D$2576=$D$6))*1)=0),"⚠ 상위변경! 다시선택","")</f>
        <v/>
      </c>
      <c r="H6" s="161" t="str">
        <f>IF($D$6="","← 단위작업명 선택 시 관련 기인물 표시",IFERROR(_xlfn.LET(_xlpm._txt,_xlfn.TEXTJOIN(" / ",TRUE,INDEX(_드롭다운참조!DS$2:IA$41,,MATCH($D$6,_드롭다운참조!$DS$1:$IA$1,0))),_xlpm._cnt,(LEN(_xlpm._txt)-LEN(SUBSTITUTE(_xlpm._txt," / ","")))/3+1,"✓관련 기인물 (총 "&amp;_xlpm._cnt&amp;"종): "&amp;_xlpm._txt),"해당 없음"))</f>
        <v>← 단위작업명 선택 시 관련 기인물 표시</v>
      </c>
      <c r="I6" s="161"/>
      <c r="J6" s="161"/>
      <c r="K6" s="161"/>
      <c r="L6" s="161"/>
      <c r="M6" s="47"/>
      <c r="N6" s="48"/>
    </row>
    <row r="7" spans="1:31" ht="22" customHeight="1" thickBot="1">
      <c r="A7" s="26"/>
      <c r="B7" s="56" t="s">
        <v>6096</v>
      </c>
      <c r="C7" s="61"/>
      <c r="D7" s="30"/>
      <c r="E7" s="43"/>
      <c r="F7" s="58" t="s">
        <v>6010</v>
      </c>
      <c r="G7" s="59"/>
      <c r="H7" s="60" t="str">
        <f>IF($F$7="전체","← 전체 구분 조회",IF($F$7="12대 기인물","✅ 12대 기인물만 필터","✅ 해당없음만 필터"))</f>
        <v>← 전체 구분 조회</v>
      </c>
      <c r="I7" s="43"/>
      <c r="K7" s="43"/>
      <c r="M7" s="43"/>
    </row>
    <row r="8" spans="1:31" ht="22" customHeight="1">
      <c r="A8" s="31"/>
      <c r="B8" s="32"/>
      <c r="C8" s="43"/>
      <c r="D8" s="32"/>
      <c r="E8" s="43"/>
      <c r="F8" s="32"/>
      <c r="G8" s="43"/>
      <c r="H8" s="32"/>
      <c r="I8" s="43"/>
      <c r="J8" s="32"/>
      <c r="K8" s="43"/>
      <c r="L8" s="32"/>
      <c r="M8" s="43"/>
      <c r="N8" s="32"/>
    </row>
    <row r="9" spans="1:31" ht="22" customHeight="1">
      <c r="A9" s="26"/>
      <c r="B9" s="57" t="s">
        <v>6224</v>
      </c>
      <c r="C9" s="32"/>
      <c r="D9" s="33" cm="1">
        <f t="array" ref="D9">SUMPRODUCT(((($D$3&lt;&gt;"YES")+($D$3="YES")*(DB!E$2:E$2576="YES"))*1)*(($D$4="")+($D$4&lt;&gt;"")*(DB!B$2:B$2576=$D$4))*(($D$5="")+($D$5&lt;&gt;"")*(DB!C$2:C$2576=$D$5))*(($D$6="")+($D$6&lt;&gt;"")*(DB!D$2:D$2576=$D$6))*(($D$7="")+($D$7&lt;&gt;"")*(ISNUMBER(SEARCH($D$7,DB!G$2:G$2576))))*(($F$7="전체")+($F$7&lt;&gt;"전체")*(DB!H$2:H$2576=$F$7)))</f>
        <v>156</v>
      </c>
      <c r="E9" s="32"/>
      <c r="F9" s="34" t="str">
        <f>"건  (DB 총 "&amp;COUNTA(DB!A2:A2576)&amp;"건 중)"</f>
        <v>건  (DB 총 2574건 중)</v>
      </c>
      <c r="G9" s="32"/>
      <c r="H9" s="50"/>
      <c r="I9" s="32"/>
      <c r="J9" s="35"/>
      <c r="K9" s="32"/>
      <c r="L9" s="45" t="s">
        <v>6105</v>
      </c>
      <c r="M9" s="32"/>
      <c r="N9" s="44" t="str">
        <f>IF(D3="YES","발전소(KOEN=YES)",IF(D3="전체","전체",""))&amp;IF(D4&lt;&gt;"","  ▶ "&amp;D4,"")&amp;IF(D5&lt;&gt;"","  ▶ "&amp;D5,"")&amp;IF(D6&lt;&gt;"","  ▶ "&amp;D6,"")&amp;IF(D7&lt;&gt;"","  ▶ "&amp;D7,"")</f>
        <v>발전소(KOEN=YES)  ▶ 11. 기타 토목공사</v>
      </c>
    </row>
    <row r="10" spans="1:31" s="157" customFormat="1" ht="6" customHeight="1">
      <c r="A10" s="156"/>
    </row>
    <row r="11" spans="1:31" ht="22" customHeight="1">
      <c r="A11" s="26"/>
      <c r="B11" s="38" t="s">
        <v>5834</v>
      </c>
      <c r="C11" s="43"/>
      <c r="D11" s="38" t="s">
        <v>6230</v>
      </c>
      <c r="E11" s="43"/>
      <c r="F11" s="38" t="s">
        <v>12</v>
      </c>
      <c r="G11" s="43"/>
      <c r="H11" s="38" t="s">
        <v>6231</v>
      </c>
      <c r="I11" s="43"/>
      <c r="J11" s="38" t="s">
        <v>6232</v>
      </c>
      <c r="K11" s="43"/>
      <c r="L11" s="38" t="s">
        <v>6233</v>
      </c>
      <c r="M11" s="43"/>
      <c r="N11" s="49"/>
      <c r="U11" s="153" t="s">
        <v>6221</v>
      </c>
      <c r="V11" s="154" t="s">
        <v>6220</v>
      </c>
      <c r="W11" s="43"/>
      <c r="X11" s="127" t="s">
        <v>6234</v>
      </c>
      <c r="Y11" s="135" t="s">
        <v>6220</v>
      </c>
    </row>
    <row r="12" spans="1:31" ht="22" hidden="1" customHeight="1">
      <c r="A12" s="26"/>
      <c r="C12" s="43"/>
      <c r="E12" s="43"/>
      <c r="G12" s="43"/>
      <c r="I12" s="43"/>
      <c r="K12" s="43"/>
      <c r="M12" s="43"/>
    </row>
    <row r="13" spans="1:31" ht="22" hidden="1" customHeight="1">
      <c r="A13" s="26"/>
      <c r="C13" s="43"/>
      <c r="E13" s="43"/>
      <c r="G13" s="43"/>
      <c r="I13" s="43"/>
      <c r="K13" s="43"/>
      <c r="M13" s="43"/>
      <c r="U13" s="155" t="s">
        <v>2</v>
      </c>
      <c r="V13" s="155" t="s">
        <v>5788</v>
      </c>
      <c r="X13" s="155" t="s">
        <v>5</v>
      </c>
      <c r="Y13" s="155" t="s">
        <v>5788</v>
      </c>
    </row>
    <row r="14" spans="1:31" ht="100" customHeight="1">
      <c r="A14" s="26"/>
      <c r="B14" s="39">
        <f>IFERROR(IF(T14="","",ROW()-13),"")</f>
        <v>1</v>
      </c>
      <c r="C14" s="43"/>
      <c r="D14" s="51" t="str" cm="1">
        <f t="array" ref="D14">IFERROR(INDEX(DB!G$2:G$2576,T14),"")</f>
        <v>각재(파이프,강관,합판)</v>
      </c>
      <c r="E14" s="43"/>
      <c r="F14" s="52" t="str" cm="1">
        <f t="array" ref="F14">IFERROR(INDEX(DB!O$2:O$2576,T14),"")</f>
        <v>깔림 뒤집힘</v>
      </c>
      <c r="G14" s="43"/>
      <c r="H14" s="40" t="str" cm="1">
        <f t="array" ref="H14">IFERROR(INDEX(DB!P$2:P$2576,T14),"")</f>
        <v>2020년 6월경 OOO도 OO군 OOO면 소재 (주)OOOO 자재 야적장에서 재해자가 화물차량(25.5톤) 높이 약 1.7 m 적재함 위에서 크레인(10톤)으로 인양된 강관파이프(하수관거*)를 차량에 적재하던 중, 3단으로 불안정하게 적재된 강관파이프가 붕괴되어 재해자가 야적장 바닥으로 떨어졌으며, 이때 차량 적재함에서 낙하한 강관파이프(약 390kg)에 깔려서 사망한 재해임._x000D_</v>
      </c>
      <c r="I14" s="43"/>
      <c r="J14" s="53" t="str" cm="1">
        <f t="array" ref="J14">IFERROR(INDEX(DB!Q$2:Q$2576,T14),"")</f>
        <v>크레인으로 인양된 강관파이프를 차량에 적재하던 중, 3단으로 불안정하게 적재된 강관파이프가 붕괴되어 강관파이프에 깔림</v>
      </c>
      <c r="K14" s="43"/>
      <c r="L14" s="41" t="str" cm="1">
        <f t="array" ref="L14">IFERROR(INDEX(DB!R$2:R$2576,T14),"")</f>
        <v>▶ 자재를 야적하는 경우 평탄한 곳에 적재하며 구름방지조치 실시
▶ 경사면에서 흄관을 고정하기 위해 쐐기 등을 이용
▶ 강관파이프를 3단이상 등 과도하게 적재 금지</v>
      </c>
      <c r="M14" s="43"/>
      <c r="P14" cm="1">
        <f t="array" ref="P14">IFERROR(_xlfn.AGGREGATE(15,6,ROW(DB!A$2:A$2576)/((($D$3&lt;&gt;"YES")+($D$3="YES")*(DB!E$2:E$2576="YES"))*(($D$4="")+($D$4&lt;&gt;"")*( DB!B$2:B$2576=$D$4))*(($D$5="")+($D$5&lt;&gt;"")*( DB!C$2:C$2576=$D$5))*(($D$6="")+($D$6&lt;&gt;"")*( DB!D$2:D$2576=$D$6))*(($D$7="")+($D$7&lt;&gt;"")*(ISNUMBER(SEARCH($D$7,DB!G$2:G$2576))))*(($F$7="전체")+($F$7&lt;&gt;"전체")*(DB!H$2:H$2576=$F$7))),ROW()-13)-1,"")</f>
        <v>1</v>
      </c>
      <c r="Q14" t="str" cm="1">
        <f t="array" ref="Q14">IFERROR(INDEX(DB!G$2:G$2576,P14),"")</f>
        <v>각재(파이프,강관,합판)</v>
      </c>
      <c r="R14" t="str" cm="1">
        <f t="array" ref="R14">IFERROR(INDEX(DB!O$2:O$2576,P14),"")</f>
        <v>맞음</v>
      </c>
      <c r="S14">
        <f>IF(P14="","",COUNTIF($Q$14:$Q$2587,"&lt;"&amp;Q14)*100+COUNTIF($R$14:$R$2587,"&lt;"&amp;R14)+(ROW()-13)*0.001)</f>
        <v>244275.00099999999</v>
      </c>
      <c r="T14">
        <f>IFERROR(INDEX($P$14:$P$2587,MATCH(SMALL($S$14:$S$2587,ROW()-13),$S$14:$S$2587,0)),"")</f>
        <v>2</v>
      </c>
      <c r="U14" s="138" t="str" cm="1">
        <f t="array" ref="U14">IFERROR(INDEX(AA$14:AA$63,_xlfn.AGGREGATE(15,6,ROW(AA$14:AA$63)-ROW(AA$14)+1/(AB$14:AB$63=LARGE(AB$14:AB$63,1)),1)),"")</f>
        <v>11.4 맨홀 및 관부설작업</v>
      </c>
      <c r="V14" s="131">
        <f>IF(U14="","",IFERROR(LARGE(AB$14:AB$63,ROW()-13),""))</f>
        <v>106</v>
      </c>
      <c r="W14" s="43"/>
      <c r="X14" s="130" t="str" cm="1">
        <f t="array" ref="X14">IFERROR(INDEX(AD$14:AD$63,_xlfn.AGGREGATE(15,6,ROW(AD$14:AD$63)-ROW(AD$14)+1/(AE$14:AE$63=LARGE(AE$14:AE$63,1)),1)),"")</f>
        <v>토사</v>
      </c>
      <c r="Y14" s="136">
        <f>IF(X14="","",IFERROR(LARGE(AE$14:AE$63,ROW()-13),""))</f>
        <v>47</v>
      </c>
      <c r="AA14" t="str" cm="1">
        <f t="array" ref="AA14">IFERROR(INDEX(DB!$C$2:$C$2576,_xlfn.AGGREGATE(15,6,ROW(DB!$C$2:$C$2576)-1/((($D$3&lt;&gt;"YES")+($D$3="YES")*(DB!$E$2:$E$2576="YES"))*(($D$4="")+($D$4&lt;&gt;"")*(DB!$B$2:$B$2576=$D$4))*(($F$7="전체")+($F$7&lt;&gt;"전체")*(DB!$H$2:$H$2576=$F$7))*(COUNTIF(AA$13:AA13,DB!$C$2:$C$2576)=0)),1)),"")</f>
        <v>11.1 부대 토목 작업</v>
      </c>
      <c r="AB14" cm="1">
        <f t="array" ref="AB14">IF(AA14="","",SUMPRODUCT(((($D$3&lt;&gt;"YES")+($D$3="YES")*(DB!$E$2:$E$2576="YES"))*(($D$4="")+($D$4&lt;&gt;"")*(DB!$B$2:$B$2576=$D$4))*(($F$7="전체")+($F$7&lt;&gt;"전체")*(DB!$H$2:$H$2576=$F$7)))*(DB!$C$2:$C$2576=AA14)*1))</f>
        <v>36</v>
      </c>
      <c r="AD14" t="str" cm="1">
        <f t="array" ref="AD14">IFERROR(INDEX(DB!$G$2:$G$2576,_xlfn.AGGREGATE(15,6,ROW(DB!$G$2:$G$2576)-1/((($D$3&lt;&gt;"YES")+($D$3="YES")*(DB!$E$2:$E$2576="YES"))*(($D$4="")+($D$4&lt;&gt;"")*(DB!$B$2:$B$2576=$D$4))*(($D$5="")+($D$5&lt;&gt;"")*(DB!$C$2:$C$2576=$D$5))*(($D$6="")+($D$6&lt;&gt;"")*(DB!$D$2:$D$2576=$D$6))*(($D$7="")+($D$7&lt;&gt;"")*(ISNUMBER(SEARCH($D$7,DB!$G$2:$G$2576))))*(($F$7="전체")+($F$7&lt;&gt;"전체")*(DB!$H$2:$H$2576=$F$7))*(COUNTIF(AD$13:AD13,DB!$G$2:$G$2576)=0)),1)),"")</f>
        <v>각재(파이프,강관,합판)</v>
      </c>
      <c r="AE14" cm="1">
        <f t="array" ref="AE14">IF(AD14="","",SUMPRODUCT(((($D$3&lt;&gt;"YES")+($D$3="YES")*(DB!$E$2:$E$2576="YES"))*(($D$4="")+($D$4&lt;&gt;"")*(DB!$B$2:$B$2576=$D$4))*(($D$5="")+($D$5&lt;&gt;"")*(DB!$C$2:$C$2576=$D$5))*(($D$6="")+($D$6&lt;&gt;"")*(DB!$D$2:$D$2576=$D$6))*(($D$7="")+($D$7&lt;&gt;"")*(ISNUMBER(SEARCH($D$7,DB!$G$2:$G$2576))))*(($F$7="전체")+($F$7&lt;&gt;"전체")*(DB!$H$2:$H$2576=$F$7)))*(DB!$G$2:$G$2576=AD14)*1))</f>
        <v>3</v>
      </c>
    </row>
    <row r="15" spans="1:31" ht="100" customHeight="1">
      <c r="A15" s="26"/>
      <c r="B15" s="42">
        <f t="shared" ref="B15:B78" si="0">IFERROR(IF(T15="","",ROW()-13),"")</f>
        <v>2</v>
      </c>
      <c r="C15" s="43"/>
      <c r="D15" s="51" t="str" cm="1">
        <f t="array" ref="D15">IFERROR(INDEX(DB!G$2:G$2576,T15),"")</f>
        <v>각재(파이프,강관,합판)</v>
      </c>
      <c r="E15" s="43"/>
      <c r="F15" s="52" t="str" cm="1">
        <f t="array" ref="F15">IFERROR(INDEX(DB!O$2:O$2576,T15),"")</f>
        <v>맞음</v>
      </c>
      <c r="G15" s="43"/>
      <c r="H15" s="40" t="str" cm="1">
        <f t="array" ref="H15">IFERROR(INDEX(DB!P$2:P$2576,T15),"")</f>
        <v>2015년 12월경 군부대 방호문 설치공사에서 재해자가 보강초 벽체에 각재를 대어 기울어진 보강토 블록 벽체를 바로 세우는 작업 중 굴착기 버킷으로 힘을 가하다 각재가 갑자기 이탈되면서 힘을 가하던 굴착기 버킷에 맞아 사망</v>
      </c>
      <c r="I15" s="43"/>
      <c r="J15" s="53" t="str" cm="1">
        <f t="array" ref="J15">IFERROR(INDEX(DB!Q$2:Q$2576,T15),"")</f>
        <v>보강토 벽체에 각재를 대어 굴삭기 버켓으로 힘을 가하던 과정에서 각재가 갑자기 이탈되면서 타격함</v>
      </c>
      <c r="K15" s="43"/>
      <c r="L15" s="41" t="str" cm="1">
        <f t="array" ref="L15">IFERROR(INDEX(DB!R$2:R$2576,T15),"")</f>
        <v>▶ 굴삭기 작업시 토사의 굴착, 절토 등 장비용도에 맞게 사용
▶ 건설기계 제원, 성능, 작업반경 등을 고려하여 작업</v>
      </c>
      <c r="M15" s="43"/>
      <c r="P15" cm="1">
        <f t="array" ref="P15">IFERROR(_xlfn.AGGREGATE(15,6,ROW(DB!A$2:A$2576)/((($D$3&lt;&gt;"YES")+($D$3="YES")*(DB!E$2:E$2576="YES"))*(($D$4="")+($D$4&lt;&gt;"")*( DB!B$2:B$2576=$D$4))*(($D$5="")+($D$5&lt;&gt;"")*( DB!C$2:C$2576=$D$5))*(($D$6="")+($D$6&lt;&gt;"")*( DB!D$2:D$2576=$D$6))*(($D$7="")+($D$7&lt;&gt;"")*(ISNUMBER(SEARCH($D$7,DB!G$2:G$2576))))*(($F$7="전체")+($F$7&lt;&gt;"전체")*(DB!H$2:H$2576=$F$7))),ROW()-13)-1,"")</f>
        <v>2</v>
      </c>
      <c r="Q15" t="str" cm="1">
        <f t="array" ref="Q15">IFERROR(INDEX(DB!G$2:G$2576,P15),"")</f>
        <v>각재(파이프,강관,합판)</v>
      </c>
      <c r="R15" t="str" cm="1">
        <f t="array" ref="R15">IFERROR(INDEX(DB!O$2:O$2576,P15),"")</f>
        <v>깔림 뒤집힘</v>
      </c>
      <c r="S15">
        <f t="shared" ref="S15:S78" si="1">IF(P15="","",COUNTIF($Q$14:$Q$2587,"&lt;"&amp;Q15)*100+COUNTIF($R$14:$R$2587,"&lt;"&amp;R15)+(ROW()-13)*0.001)</f>
        <v>244220.00200000001</v>
      </c>
      <c r="T15">
        <f t="shared" ref="T15:T78" si="2">IFERROR(INDEX($P$14:$P$2587,MATCH(SMALL($S$14:$S$2587,ROW()-13),$S$14:$S$2587,0)),"")</f>
        <v>1</v>
      </c>
      <c r="U15" s="138" t="str" cm="1">
        <f t="array" ref="U15">IFERROR(INDEX(AA$14:AA$63,_xlfn.AGGREGATE(15,6,ROW(AA$14:AA$63)-ROW(AA$14)+1/(AB$14:AB$63=LARGE(AB$14:AB$63,ROW()-13)),COUNTIF(V$14:V14,LARGE(AB$14:AB$63,ROW()-13))+1)),"")</f>
        <v>11.1 부대 토목 작업</v>
      </c>
      <c r="V15" s="131">
        <f t="shared" ref="V15:V63" si="3">IF(U15="","",IFERROR(LARGE(AB$14:AB$63,ROW()-13),""))</f>
        <v>36</v>
      </c>
      <c r="W15" s="43"/>
      <c r="X15" s="130" t="str" cm="1">
        <f t="array" ref="X15">IFERROR(INDEX(AD$14:AD$63,_xlfn.AGGREGATE(15,6,ROW(AD$14:AD$63)-ROW(AD$14)+1/(AE$14:AE$63=LARGE(AE$14:AE$63,ROW()-13)),COUNTIF(Y$14:Y14,LARGE(AE$14:AE$63,ROW()-13))+1)),"")</f>
        <v>굴착기</v>
      </c>
      <c r="Y15" s="136">
        <f t="shared" ref="Y15:Y63" si="4">IF(X15="","",IFERROR(LARGE(AE$14:AE$63,ROW()-13),""))</f>
        <v>31</v>
      </c>
      <c r="AA15" t="str" cm="1">
        <f t="array" ref="AA15">IFERROR(INDEX(DB!$C$2:$C$2576,_xlfn.AGGREGATE(15,6,ROW(DB!$C$2:$C$2576)-1/((($D$3&lt;&gt;"YES")+($D$3="YES")*(DB!$E$2:$E$2576="YES"))*(($D$4="")+($D$4&lt;&gt;"")*(DB!$B$2:$B$2576=$D$4))*(($F$7="전체")+($F$7&lt;&gt;"전체")*(DB!$H$2:$H$2576=$F$7))*(COUNTIF(AA$13:AA14,DB!$C$2:$C$2576)=0)),1)),"")</f>
        <v>11.4 맨홀 및 관부설작업</v>
      </c>
      <c r="AB15" cm="1">
        <f t="array" ref="AB15">IF(AA15="","",SUMPRODUCT(((($D$3&lt;&gt;"YES")+($D$3="YES")*(DB!$E$2:$E$2576="YES"))*(($D$4="")+($D$4&lt;&gt;"")*(DB!$B$2:$B$2576=$D$4))*(($F$7="전체")+($F$7&lt;&gt;"전체")*(DB!$H$2:$H$2576=$F$7)))*(DB!$C$2:$C$2576=AA15)*1))</f>
        <v>106</v>
      </c>
      <c r="AD15" t="str" cm="1">
        <f t="array" ref="AD15">IFERROR(INDEX(DB!$G$2:$G$2576,_xlfn.AGGREGATE(15,6,ROW(DB!$G$2:$G$2576)-1/((($D$3&lt;&gt;"YES")+($D$3="YES")*(DB!$E$2:$E$2576="YES"))*(($D$4="")+($D$4&lt;&gt;"")*(DB!$B$2:$B$2576=$D$4))*(($D$5="")+($D$5&lt;&gt;"")*(DB!$C$2:$C$2576=$D$5))*(($D$6="")+($D$6&lt;&gt;"")*(DB!$D$2:$D$2576=$D$6))*(($D$7="")+($D$7&lt;&gt;"")*(ISNUMBER(SEARCH($D$7,DB!$G$2:$G$2576))))*(($F$7="전체")+($F$7&lt;&gt;"전체")*(DB!$H$2:$H$2576=$F$7))*(COUNTIF(AD$13:AD14,DB!$G$2:$G$2576)=0)),1)),"")</f>
        <v>굴착기</v>
      </c>
      <c r="AE15" cm="1">
        <f t="array" ref="AE15">IF(AD15="","",SUMPRODUCT(((($D$3&lt;&gt;"YES")+($D$3="YES")*(DB!$E$2:$E$2576="YES"))*(($D$4="")+($D$4&lt;&gt;"")*(DB!$B$2:$B$2576=$D$4))*(($D$5="")+($D$5&lt;&gt;"")*(DB!$C$2:$C$2576=$D$5))*(($D$6="")+($D$6&lt;&gt;"")*(DB!$D$2:$D$2576=$D$6))*(($D$7="")+($D$7&lt;&gt;"")*(ISNUMBER(SEARCH($D$7,DB!$G$2:$G$2576))))*(($F$7="전체")+($F$7&lt;&gt;"전체")*(DB!$H$2:$H$2576=$F$7)))*(DB!$G$2:$G$2576=AD15)*1))</f>
        <v>31</v>
      </c>
    </row>
    <row r="16" spans="1:31" ht="100" customHeight="1">
      <c r="A16" s="26"/>
      <c r="B16" s="39">
        <f t="shared" si="0"/>
        <v>3</v>
      </c>
      <c r="C16" s="43"/>
      <c r="D16" s="51" t="str" cm="1">
        <f t="array" ref="D16">IFERROR(INDEX(DB!G$2:G$2576,T16),"")</f>
        <v>각재(파이프,강관,합판)</v>
      </c>
      <c r="E16" s="43"/>
      <c r="F16" s="52" t="str" cm="1">
        <f t="array" ref="F16">IFERROR(INDEX(DB!O$2:O$2576,T16),"")</f>
        <v>맞음</v>
      </c>
      <c r="G16" s="43"/>
      <c r="H16" s="40" t="str" cm="1">
        <f t="array" ref="H16">IFERROR(INDEX(DB!P$2:P$2576,T16),"")</f>
        <v>2021년 4월경 OOO도 OO시 OO동 소재 OOOO(주) OOOO 노후 상수관망 정비 공사 현장에서 화물차에 적재되어 있는 주철관을 슬링벨트로 묶어 하역하는 준비 작업 중 주철관이 슬링벨트 밖으로 이탈하며 재해자를 덮쳐 약 1.85m 높이의 차량 측면에서 바닥으로 떨어져 사망한 재해임</v>
      </c>
      <c r="I16" s="43"/>
      <c r="J16" s="53" t="str" cm="1">
        <f t="array" ref="J16">IFERROR(INDEX(DB!Q$2:Q$2576,T16),"")</f>
        <v>관로 정비 공사 현장에서 화물차에 적재되어 있는 주철관을 슬링벨트로 묶어 하역하는 준비 작업 중 주철관이 슬링벨트 밖으로 이탈하며 재해자를 덮침</v>
      </c>
      <c r="K16" s="43"/>
      <c r="L16" s="41" t="str" cm="1">
        <f t="array" ref="L16">IFERROR(INDEX(DB!R$2:R$2576,T16),"")</f>
        <v>▶ 화물적재 작업 시 최대 적재량 및 한쪽으로 치우치지 않은 적재 등의 조치 준수
▶ 로프 풀기 작업 전 적재함 주변에 근로자의 통행을 통제한 뒤 하역작업 실시</v>
      </c>
      <c r="M16" s="43"/>
      <c r="P16" cm="1">
        <f t="array" ref="P16">IFERROR(_xlfn.AGGREGATE(15,6,ROW(DB!A$2:A$2576)/((($D$3&lt;&gt;"YES")+($D$3="YES")*(DB!E$2:E$2576="YES"))*(($D$4="")+($D$4&lt;&gt;"")*( DB!B$2:B$2576=$D$4))*(($D$5="")+($D$5&lt;&gt;"")*( DB!C$2:C$2576=$D$5))*(($D$6="")+($D$6&lt;&gt;"")*( DB!D$2:D$2576=$D$6))*(($D$7="")+($D$7&lt;&gt;"")*(ISNUMBER(SEARCH($D$7,DB!G$2:G$2576))))*(($F$7="전체")+($F$7&lt;&gt;"전체")*(DB!H$2:H$2576=$F$7))),ROW()-13)-1,"")</f>
        <v>3</v>
      </c>
      <c r="Q16" t="str" cm="1">
        <f t="array" ref="Q16">IFERROR(INDEX(DB!G$2:G$2576,P16),"")</f>
        <v>각재(파이프,강관,합판)</v>
      </c>
      <c r="R16" t="str" cm="1">
        <f t="array" ref="R16">IFERROR(INDEX(DB!O$2:O$2576,P16),"")</f>
        <v>맞음</v>
      </c>
      <c r="S16">
        <f t="shared" si="1"/>
        <v>244275.003</v>
      </c>
      <c r="T16">
        <f t="shared" si="2"/>
        <v>3</v>
      </c>
      <c r="U16" s="138" t="str" cm="1">
        <f t="array" ref="U16">IFERROR(INDEX(AA$14:AA$63,_xlfn.AGGREGATE(15,6,ROW(AA$14:AA$63)-ROW(AA$14)+1/(AB$14:AB$63=LARGE(AB$14:AB$63,ROW()-13)),COUNTIF(V$14:V15,LARGE(AB$14:AB$63,ROW()-13))+1)),"")</f>
        <v>11.2 가설도로 작업</v>
      </c>
      <c r="V16" s="131">
        <f t="shared" si="3"/>
        <v>7</v>
      </c>
      <c r="W16" s="43"/>
      <c r="X16" s="130" t="str" cm="1">
        <f t="array" ref="X16">IFERROR(INDEX(AD$14:AD$63,_xlfn.AGGREGATE(15,6,ROW(AD$14:AD$63)-ROW(AD$14)+1/(AE$14:AE$63=LARGE(AE$14:AE$63,ROW()-13)),COUNTIF(Y$14:Y15,LARGE(AE$14:AE$63,ROW()-13))+1)),"")</f>
        <v>트럭</v>
      </c>
      <c r="Y16" s="136">
        <f t="shared" si="4"/>
        <v>11</v>
      </c>
      <c r="AA16" t="str" cm="1">
        <f t="array" ref="AA16">IFERROR(INDEX(DB!$C$2:$C$2576,_xlfn.AGGREGATE(15,6,ROW(DB!$C$2:$C$2576)-1/((($D$3&lt;&gt;"YES")+($D$3="YES")*(DB!$E$2:$E$2576="YES"))*(($D$4="")+($D$4&lt;&gt;"")*(DB!$B$2:$B$2576=$D$4))*(($F$7="전체")+($F$7&lt;&gt;"전체")*(DB!$H$2:$H$2576=$F$7))*(COUNTIF(AA$13:AA15,DB!$C$2:$C$2576)=0)),1)),"")</f>
        <v>11.2 가설도로 작업</v>
      </c>
      <c r="AB16" cm="1">
        <f t="array" ref="AB16">IF(AA16="","",SUMPRODUCT(((($D$3&lt;&gt;"YES")+($D$3="YES")*(DB!$E$2:$E$2576="YES"))*(($D$4="")+($D$4&lt;&gt;"")*(DB!$B$2:$B$2576=$D$4))*(($F$7="전체")+($F$7&lt;&gt;"전체")*(DB!$H$2:$H$2576=$F$7)))*(DB!$C$2:$C$2576=AA16)*1))</f>
        <v>7</v>
      </c>
      <c r="AD16" t="str" cm="1">
        <f t="array" ref="AD16">IFERROR(INDEX(DB!$G$2:$G$2576,_xlfn.AGGREGATE(15,6,ROW(DB!$G$2:$G$2576)-1/((($D$3&lt;&gt;"YES")+($D$3="YES")*(DB!$E$2:$E$2576="YES"))*(($D$4="")+($D$4&lt;&gt;"")*(DB!$B$2:$B$2576=$D$4))*(($D$5="")+($D$5&lt;&gt;"")*(DB!$C$2:$C$2576=$D$5))*(($D$6="")+($D$6&lt;&gt;"")*(DB!$D$2:$D$2576=$D$6))*(($D$7="")+($D$7&lt;&gt;"")*(ISNUMBER(SEARCH($D$7,DB!$G$2:$G$2576))))*(($F$7="전체")+($F$7&lt;&gt;"전체")*(DB!$H$2:$H$2576=$F$7))*(COUNTIF(AD$13:AD15,DB!$G$2:$G$2576)=0)),1)),"")</f>
        <v>콘크리트펌프카</v>
      </c>
      <c r="AE16" cm="1">
        <f t="array" ref="AE16">IF(AD16="","",SUMPRODUCT(((($D$3&lt;&gt;"YES")+($D$3="YES")*(DB!$E$2:$E$2576="YES"))*(($D$4="")+($D$4&lt;&gt;"")*(DB!$B$2:$B$2576=$D$4))*(($D$5="")+($D$5&lt;&gt;"")*(DB!$C$2:$C$2576=$D$5))*(($D$6="")+($D$6&lt;&gt;"")*(DB!$D$2:$D$2576=$D$6))*(($D$7="")+($D$7&lt;&gt;"")*(ISNUMBER(SEARCH($D$7,DB!$G$2:$G$2576))))*(($F$7="전체")+($F$7&lt;&gt;"전체")*(DB!$H$2:$H$2576=$F$7)))*(DB!$G$2:$G$2576=AD16)*1))</f>
        <v>1</v>
      </c>
    </row>
    <row r="17" spans="1:31" ht="100" customHeight="1">
      <c r="A17" s="26"/>
      <c r="B17" s="42">
        <f t="shared" si="0"/>
        <v>4</v>
      </c>
      <c r="C17" s="43"/>
      <c r="D17" s="51" t="str" cm="1">
        <f t="array" ref="D17">IFERROR(INDEX(DB!G$2:G$2576,T17),"")</f>
        <v>굴착기</v>
      </c>
      <c r="E17" s="43"/>
      <c r="F17" s="52" t="str" cm="1">
        <f t="array" ref="F17">IFERROR(INDEX(DB!O$2:O$2576,T17),"")</f>
        <v>깔림 뒤집힘</v>
      </c>
      <c r="G17" s="43"/>
      <c r="H17" s="40" t="str" cm="1">
        <f t="array" ref="H17">IFERROR(INDEX(DB!P$2:P$2576,T17),"")</f>
        <v>2016년 12월경 초등학교 신축공사 현장에서 재해자(장비운전원)가 경계석 설치작업 중 굴착기 버킷에 골재를 담아 이동 후 회전하다 무게중심을 잃고 전도되면서 장비에 깔려 사망</v>
      </c>
      <c r="I17" s="43"/>
      <c r="J17" s="53" t="str" cm="1">
        <f t="array" ref="J17">IFERROR(INDEX(DB!Q$2:Q$2576,T17),"")</f>
        <v xml:space="preserve"> 굴삭기가 이동 중 붐을 펼치고 회전하는 순간 무게중심을 잃고 전도되어 근로자가 장비에 깔림</v>
      </c>
      <c r="K17" s="43"/>
      <c r="L17" s="41" t="str" cm="1">
        <f t="array" ref="L17">IFERROR(INDEX(DB!R$2:R$2576,T17),"")</f>
        <v>▶ 중량물을 인양한 상태에서 무리한 속도로 회전하는 등의 장비조작 금지
▶ 전도를 예방하기 위해 굴삭기 이동경로 및 작업 장소 등의 지반을 평탄화 작업 실시
▶ 중량물 인양 시 굴삭기의 정격하중을 준수하여 무리한 중량물 인양 금지</v>
      </c>
      <c r="M17" s="43"/>
      <c r="P17" cm="1">
        <f t="array" ref="P17">IFERROR(_xlfn.AGGREGATE(15,6,ROW(DB!A$2:A$2576)/((($D$3&lt;&gt;"YES")+($D$3="YES")*(DB!E$2:E$2576="YES"))*(($D$4="")+($D$4&lt;&gt;"")*( DB!B$2:B$2576=$D$4))*(($D$5="")+($D$5&lt;&gt;"")*( DB!C$2:C$2576=$D$5))*(($D$6="")+($D$6&lt;&gt;"")*( DB!D$2:D$2576=$D$6))*(($D$7="")+($D$7&lt;&gt;"")*(ISNUMBER(SEARCH($D$7,DB!G$2:G$2576))))*(($F$7="전체")+($F$7&lt;&gt;"전체")*(DB!H$2:H$2576=$F$7))),ROW()-13)-1,"")</f>
        <v>361</v>
      </c>
      <c r="Q17" t="str" cm="1">
        <f t="array" ref="Q17">IFERROR(INDEX(DB!G$2:G$2576,P17),"")</f>
        <v>굴착기</v>
      </c>
      <c r="R17" t="str" cm="1">
        <f t="array" ref="R17">IFERROR(INDEX(DB!O$2:O$2576,P17),"")</f>
        <v>부딪힘 접촉</v>
      </c>
      <c r="S17">
        <f t="shared" si="1"/>
        <v>244741.00399999999</v>
      </c>
      <c r="T17">
        <f t="shared" si="2"/>
        <v>371</v>
      </c>
      <c r="U17" s="138" t="str" cm="1">
        <f t="array" ref="U17">IFERROR(INDEX(AA$14:AA$63,_xlfn.AGGREGATE(15,6,ROW(AA$14:AA$63)-ROW(AA$14)+1/(AB$14:AB$63=LARGE(AB$14:AB$63,ROW()-13)),COUNTIF(V$14:V16,LARGE(AB$14:AB$63,ROW()-13))+1)),"")</f>
        <v>11.3 지장물 조사 및 이설 작업</v>
      </c>
      <c r="V17" s="131">
        <f t="shared" si="3"/>
        <v>7</v>
      </c>
      <c r="W17" s="43"/>
      <c r="X17" s="130" t="str" cm="1">
        <f t="array" ref="X17">IFERROR(INDEX(AD$14:AD$63,_xlfn.AGGREGATE(15,6,ROW(AD$14:AD$63)-ROW(AD$14)+1/(AE$14:AE$63=LARGE(AE$14:AE$63,ROW()-13)),COUNTIF(Y$14:Y16,LARGE(AE$14:AE$63,ROW()-13))+1)),"")</f>
        <v>기타구조물</v>
      </c>
      <c r="Y17" s="136">
        <f t="shared" si="4"/>
        <v>7</v>
      </c>
      <c r="AA17" t="str" cm="1">
        <f t="array" ref="AA17">IFERROR(INDEX(DB!$C$2:$C$2576,_xlfn.AGGREGATE(15,6,ROW(DB!$C$2:$C$2576)-1/((($D$3&lt;&gt;"YES")+($D$3="YES")*(DB!$E$2:$E$2576="YES"))*(($D$4="")+($D$4&lt;&gt;"")*(DB!$B$2:$B$2576=$D$4))*(($F$7="전체")+($F$7&lt;&gt;"전체")*(DB!$H$2:$H$2576=$F$7))*(COUNTIF(AA$13:AA16,DB!$C$2:$C$2576)=0)),1)),"")</f>
        <v>11.3 지장물 조사 및 이설 작업</v>
      </c>
      <c r="AB17" cm="1">
        <f t="array" ref="AB17">IF(AA17="","",SUMPRODUCT(((($D$3&lt;&gt;"YES")+($D$3="YES")*(DB!$E$2:$E$2576="YES"))*(($D$4="")+($D$4&lt;&gt;"")*(DB!$B$2:$B$2576=$D$4))*(($F$7="전체")+($F$7&lt;&gt;"전체")*(DB!$H$2:$H$2576=$F$7)))*(DB!$C$2:$C$2576=AA17)*1))</f>
        <v>7</v>
      </c>
      <c r="AD17" t="str" cm="1">
        <f t="array" ref="AD17">IFERROR(INDEX(DB!$G$2:$G$2576,_xlfn.AGGREGATE(15,6,ROW(DB!$G$2:$G$2576)-1/((($D$3&lt;&gt;"YES")+($D$3="YES")*(DB!$E$2:$E$2576="YES"))*(($D$4="")+($D$4&lt;&gt;"")*(DB!$B$2:$B$2576=$D$4))*(($D$5="")+($D$5&lt;&gt;"")*(DB!$C$2:$C$2576=$D$5))*(($D$6="")+($D$6&lt;&gt;"")*(DB!$D$2:$D$2576=$D$6))*(($D$7="")+($D$7&lt;&gt;"")*(ISNUMBER(SEARCH($D$7,DB!$G$2:$G$2576))))*(($F$7="전체")+($F$7&lt;&gt;"전체")*(DB!$H$2:$H$2576=$F$7))*(COUNTIF(AD$13:AD16,DB!$G$2:$G$2576)=0)),1)),"")</f>
        <v>이동식크레인</v>
      </c>
      <c r="AE17" cm="1">
        <f t="array" ref="AE17">IF(AD17="","",SUMPRODUCT(((($D$3&lt;&gt;"YES")+($D$3="YES")*(DB!$E$2:$E$2576="YES"))*(($D$4="")+($D$4&lt;&gt;"")*(DB!$B$2:$B$2576=$D$4))*(($D$5="")+($D$5&lt;&gt;"")*(DB!$C$2:$C$2576=$D$5))*(($D$6="")+($D$6&lt;&gt;"")*(DB!$D$2:$D$2576=$D$6))*(($D$7="")+($D$7&lt;&gt;"")*(ISNUMBER(SEARCH($D$7,DB!$G$2:$G$2576))))*(($F$7="전체")+($F$7&lt;&gt;"전체")*(DB!$H$2:$H$2576=$F$7)))*(DB!$G$2:$G$2576=AD17)*1))</f>
        <v>1</v>
      </c>
    </row>
    <row r="18" spans="1:31" ht="100" customHeight="1">
      <c r="A18" s="26"/>
      <c r="B18" s="39">
        <f t="shared" si="0"/>
        <v>5</v>
      </c>
      <c r="C18" s="43"/>
      <c r="D18" s="51" t="str" cm="1">
        <f t="array" ref="D18">IFERROR(INDEX(DB!G$2:G$2576,T18),"")</f>
        <v>굴착기</v>
      </c>
      <c r="E18" s="43"/>
      <c r="F18" s="52" t="str" cm="1">
        <f t="array" ref="F18">IFERROR(INDEX(DB!O$2:O$2576,T18),"")</f>
        <v>깔림 뒤집힘</v>
      </c>
      <c r="G18" s="43"/>
      <c r="H18" s="40" t="str" cm="1">
        <f t="array" ref="H18">IFERROR(INDEX(DB!P$2:P$2576,T18),"")</f>
        <v>2021년 3월경 배수관로 설치공사에서 재해자가 빗자루를 이용하여 아스팔트 파편 정리작업을 하던 중 버킷을 교체하고 후진하던 굴착기 바퀴에 깔려 사망</v>
      </c>
      <c r="I18" s="43"/>
      <c r="J18" s="53" t="str" cm="1">
        <f t="array" ref="J18">IFERROR(INDEX(DB!Q$2:Q$2576,T18),"")</f>
        <v>아스팔트 파편 정리작업 중 후진하는 굴삭기 바퀴에 깔림</v>
      </c>
      <c r="K18" s="43"/>
      <c r="L18" s="41" t="str" cm="1">
        <f t="array" ref="L18">IFERROR(INDEX(DB!R$2:R$2576,T18),"")</f>
        <v>▶ 근로자가 건설기계에 근접하여 작업을 수행하는 경우 유도자를 배치하여 안전한 상태에서 작업 진행
▶ 차량계 건설기계 접촉 가능 장소 및 사각지대 발생가능성이 높은 건설기계 사용 시 근로자 출입금지 및 유도자 배치
▶ 건설장비 작업 시 근로자와 장비의 동선을 분리
▶ 카메라 부착 또는 후방에 근로자의 접근을 알리는 후방센서, 경보장치 등 부착
▶ 차량계 건설기계 작업전 안전 점검 실시 및 후방카메라 등 방호장치 확인</v>
      </c>
      <c r="M18" s="43"/>
      <c r="P18" cm="1">
        <f t="array" ref="P18">IFERROR(_xlfn.AGGREGATE(15,6,ROW(DB!A$2:A$2576)/((($D$3&lt;&gt;"YES")+($D$3="YES")*(DB!E$2:E$2576="YES"))*(($D$4="")+($D$4&lt;&gt;"")*( DB!B$2:B$2576=$D$4))*(($D$5="")+($D$5&lt;&gt;"")*( DB!C$2:C$2576=$D$5))*(($D$6="")+($D$6&lt;&gt;"")*( DB!D$2:D$2576=$D$6))*(($D$7="")+($D$7&lt;&gt;"")*(ISNUMBER(SEARCH($D$7,DB!G$2:G$2576))))*(($F$7="전체")+($F$7&lt;&gt;"전체")*(DB!H$2:H$2576=$F$7))),ROW()-13)-1,"")</f>
        <v>362</v>
      </c>
      <c r="Q18" t="str" cm="1">
        <f t="array" ref="Q18">IFERROR(INDEX(DB!G$2:G$2576,P18),"")</f>
        <v>콘크리트펌프카</v>
      </c>
      <c r="R18" t="str" cm="1">
        <f t="array" ref="R18">IFERROR(INDEX(DB!O$2:O$2576,P18),"")</f>
        <v>맞음</v>
      </c>
      <c r="S18">
        <f t="shared" si="1"/>
        <v>253275.005</v>
      </c>
      <c r="T18">
        <f t="shared" si="2"/>
        <v>374</v>
      </c>
      <c r="U18" s="138" t="str" cm="1">
        <f t="array" ref="U18">IFERROR(INDEX(AA$14:AA$63,_xlfn.AGGREGATE(15,6,ROW(AA$14:AA$63)-ROW(AA$14)+1/(AB$14:AB$63=LARGE(AB$14:AB$63,ROW()-13)),COUNTIF(V$14:V17,LARGE(AB$14:AB$63,ROW()-13))+1)),"")</f>
        <v/>
      </c>
      <c r="V18" s="131" t="str">
        <f t="shared" si="3"/>
        <v/>
      </c>
      <c r="W18" s="43"/>
      <c r="X18" s="130" t="str" cm="1">
        <f t="array" ref="X18">IFERROR(INDEX(AD$14:AD$63,_xlfn.AGGREGATE(15,6,ROW(AD$14:AD$63)-ROW(AD$14)+1/(AE$14:AE$63=LARGE(AE$14:AE$63,ROW()-13)),COUNTIF(Y$14:Y17,LARGE(AE$14:AE$63,ROW()-13))+1)),"")</f>
        <v>물</v>
      </c>
      <c r="Y18" s="136">
        <f t="shared" si="4"/>
        <v>6</v>
      </c>
      <c r="AA18" t="str" cm="1">
        <f t="array" ref="AA18">IFERROR(INDEX(DB!$C$2:$C$2576,_xlfn.AGGREGATE(15,6,ROW(DB!$C$2:$C$2576)-1/((($D$3&lt;&gt;"YES")+($D$3="YES")*(DB!$E$2:$E$2576="YES"))*(($D$4="")+($D$4&lt;&gt;"")*(DB!$B$2:$B$2576=$D$4))*(($F$7="전체")+($F$7&lt;&gt;"전체")*(DB!$H$2:$H$2576=$F$7))*(COUNTIF(AA$13:AA17,DB!$C$2:$C$2576)=0)),1)),"")</f>
        <v/>
      </c>
      <c r="AB18" t="str" cm="1">
        <f t="array" ref="AB18">IF(AA18="","",SUMPRODUCT(((($D$3&lt;&gt;"YES")+($D$3="YES")*(DB!$E$2:$E$2576="YES"))*(($D$4="")+($D$4&lt;&gt;"")*(DB!$B$2:$B$2576=$D$4))*(($F$7="전체")+($F$7&lt;&gt;"전체")*(DB!$H$2:$H$2576=$F$7)))*(DB!$C$2:$C$2576=AA18)*1))</f>
        <v/>
      </c>
      <c r="AD18" t="str" cm="1">
        <f t="array" ref="AD18">IFERROR(INDEX(DB!$G$2:$G$2576,_xlfn.AGGREGATE(15,6,ROW(DB!$G$2:$G$2576)-1/((($D$3&lt;&gt;"YES")+($D$3="YES")*(DB!$E$2:$E$2576="YES"))*(($D$4="")+($D$4&lt;&gt;"")*(DB!$B$2:$B$2576=$D$4))*(($D$5="")+($D$5&lt;&gt;"")*(DB!$C$2:$C$2576=$D$5))*(($D$6="")+($D$6&lt;&gt;"")*(DB!$D$2:$D$2576=$D$6))*(($D$7="")+($D$7&lt;&gt;"")*(ISNUMBER(SEARCH($D$7,DB!$G$2:$G$2576))))*(($F$7="전체")+($F$7&lt;&gt;"전체")*(DB!$H$2:$H$2576=$F$7))*(COUNTIF(AD$13:AD17,DB!$G$2:$G$2576)=0)),1)),"")</f>
        <v>로울러</v>
      </c>
      <c r="AE18" cm="1">
        <f t="array" ref="AE18">IF(AD18="","",SUMPRODUCT(((($D$3&lt;&gt;"YES")+($D$3="YES")*(DB!$E$2:$E$2576="YES"))*(($D$4="")+($D$4&lt;&gt;"")*(DB!$B$2:$B$2576=$D$4))*(($D$5="")+($D$5&lt;&gt;"")*(DB!$C$2:$C$2576=$D$5))*(($D$6="")+($D$6&lt;&gt;"")*(DB!$D$2:$D$2576=$D$6))*(($D$7="")+($D$7&lt;&gt;"")*(ISNUMBER(SEARCH($D$7,DB!$G$2:$G$2576))))*(($F$7="전체")+($F$7&lt;&gt;"전체")*(DB!$H$2:$H$2576=$F$7)))*(DB!$G$2:$G$2576=AD18)*1))</f>
        <v>2</v>
      </c>
    </row>
    <row r="19" spans="1:31" ht="100" customHeight="1">
      <c r="A19" s="26"/>
      <c r="B19" s="42">
        <f t="shared" si="0"/>
        <v>6</v>
      </c>
      <c r="C19" s="43"/>
      <c r="D19" s="51" t="str" cm="1">
        <f t="array" ref="D19">IFERROR(INDEX(DB!G$2:G$2576,T19),"")</f>
        <v>굴착기</v>
      </c>
      <c r="E19" s="43"/>
      <c r="F19" s="52" t="str" cm="1">
        <f t="array" ref="F19">IFERROR(INDEX(DB!O$2:O$2576,T19),"")</f>
        <v>깔림 뒤집힘</v>
      </c>
      <c r="G19" s="43"/>
      <c r="H19" s="40" t="str" cm="1">
        <f t="array" ref="H19">IFERROR(INDEX(DB!P$2:P$2576,T19),"")</f>
        <v>2020년 9월경 OOO시 OO구 OO동 소재 OOOO(주)가 시공 중인 「OOOO 일원 노후관 교체공사」현장에서 재해자가 굴삭기를 운전하여 화물자동차에서 내리던 중 넘어지는 굴삭기에 깔려 병원으로 이송치료 중 사망한 재해임.</v>
      </c>
      <c r="I19" s="43"/>
      <c r="J19" s="53" t="str" cm="1">
        <f t="array" ref="J19">IFERROR(INDEX(DB!Q$2:Q$2576,T19),"")</f>
        <v>굴삭기를 현장으로 반입하기 위해 화물차에서 굴삭기를 내리는 중 전도되는 굴삭기에 깔림</v>
      </c>
      <c r="K19" s="43"/>
      <c r="L19" s="41" t="str" cm="1">
        <f t="array" ref="L19">IFERROR(INDEX(DB!R$2:R$2576,T19),"")</f>
        <v>▶ 화물자동차에서 발판 등을 사용하여 굴삭기를 내리는 경우 충분한 길이, 폭, 강도를 가진것을 사용
▶ 굴삭기 스스로 화물차에서 하역하는 경우 지반이 평탄한 곳에서 작업하며, 작업계획서에 따른 작업실시</v>
      </c>
      <c r="M19" s="43"/>
      <c r="P19" cm="1">
        <f t="array" ref="P19">IFERROR(_xlfn.AGGREGATE(15,6,ROW(DB!A$2:A$2576)/((($D$3&lt;&gt;"YES")+($D$3="YES")*(DB!E$2:E$2576="YES"))*(($D$4="")+($D$4&lt;&gt;"")*( DB!B$2:B$2576=$D$4))*(($D$5="")+($D$5&lt;&gt;"")*( DB!C$2:C$2576=$D$5))*(($D$6="")+($D$6&lt;&gt;"")*( DB!D$2:D$2576=$D$6))*(($D$7="")+($D$7&lt;&gt;"")*(ISNUMBER(SEARCH($D$7,DB!G$2:G$2576))))*(($F$7="전체")+($F$7&lt;&gt;"전체")*(DB!H$2:H$2576=$F$7))),ROW()-13)-1,"")</f>
        <v>363</v>
      </c>
      <c r="Q19" t="str" cm="1">
        <f t="array" ref="Q19">IFERROR(INDEX(DB!G$2:G$2576,P19),"")</f>
        <v>이동식크레인</v>
      </c>
      <c r="R19" t="str" cm="1">
        <f t="array" ref="R19">IFERROR(INDEX(DB!O$2:O$2576,P19),"")</f>
        <v>떨어짐</v>
      </c>
      <c r="S19">
        <f t="shared" si="1"/>
        <v>252251.00599999999</v>
      </c>
      <c r="T19">
        <f t="shared" si="2"/>
        <v>383</v>
      </c>
      <c r="U19" s="138" t="str" cm="1">
        <f t="array" ref="U19">IFERROR(INDEX(AA$14:AA$63,_xlfn.AGGREGATE(15,6,ROW(AA$14:AA$63)-ROW(AA$14)+1/(AB$14:AB$63=LARGE(AB$14:AB$63,ROW()-13)),COUNTIF(V$14:V18,LARGE(AB$14:AB$63,ROW()-13))+1)),"")</f>
        <v/>
      </c>
      <c r="V19" s="131" t="str">
        <f t="shared" si="3"/>
        <v/>
      </c>
      <c r="W19" s="43"/>
      <c r="X19" s="130" t="str" cm="1">
        <f t="array" ref="X19">IFERROR(INDEX(AD$14:AD$63,_xlfn.AGGREGATE(15,6,ROW(AD$14:AD$63)-ROW(AD$14)+1/(AE$14:AE$63=LARGE(AE$14:AE$63,ROW()-13)),COUNTIF(Y$14:Y18,LARGE(AE$14:AE$63,ROW()-13))+1)),"")</f>
        <v>배관</v>
      </c>
      <c r="Y19" s="136">
        <f t="shared" si="4"/>
        <v>6</v>
      </c>
      <c r="AA19" t="str" cm="1">
        <f t="array" ref="AA19">IFERROR(INDEX(DB!$C$2:$C$2576,_xlfn.AGGREGATE(15,6,ROW(DB!$C$2:$C$2576)-1/((($D$3&lt;&gt;"YES")+($D$3="YES")*(DB!$E$2:$E$2576="YES"))*(($D$4="")+($D$4&lt;&gt;"")*(DB!$B$2:$B$2576=$D$4))*(($F$7="전체")+($F$7&lt;&gt;"전체")*(DB!$H$2:$H$2576=$F$7))*(COUNTIF(AA$13:AA18,DB!$C$2:$C$2576)=0)),1)),"")</f>
        <v/>
      </c>
      <c r="AB19" t="str" cm="1">
        <f t="array" ref="AB19">IF(AA19="","",SUMPRODUCT(((($D$3&lt;&gt;"YES")+($D$3="YES")*(DB!$E$2:$E$2576="YES"))*(($D$4="")+($D$4&lt;&gt;"")*(DB!$B$2:$B$2576=$D$4))*(($F$7="전체")+($F$7&lt;&gt;"전체")*(DB!$H$2:$H$2576=$F$7)))*(DB!$C$2:$C$2576=AA19)*1))</f>
        <v/>
      </c>
      <c r="AD19" t="str" cm="1">
        <f t="array" ref="AD19">IFERROR(INDEX(DB!$G$2:$G$2576,_xlfn.AGGREGATE(15,6,ROW(DB!$G$2:$G$2576)-1/((($D$3&lt;&gt;"YES")+($D$3="YES")*(DB!$E$2:$E$2576="YES"))*(($D$4="")+($D$4&lt;&gt;"")*(DB!$B$2:$B$2576=$D$4))*(($D$5="")+($D$5&lt;&gt;"")*(DB!$C$2:$C$2576=$D$5))*(($D$6="")+($D$6&lt;&gt;"")*(DB!$D$2:$D$2576=$D$6))*(($D$7="")+($D$7&lt;&gt;"")*(ISNUMBER(SEARCH($D$7,DB!$G$2:$G$2576))))*(($F$7="전체")+($F$7&lt;&gt;"전체")*(DB!$H$2:$H$2576=$F$7))*(COUNTIF(AD$13:AD18,DB!$G$2:$G$2576)=0)),1)),"")</f>
        <v>트럭</v>
      </c>
      <c r="AE19" cm="1">
        <f t="array" ref="AE19">IF(AD19="","",SUMPRODUCT(((($D$3&lt;&gt;"YES")+($D$3="YES")*(DB!$E$2:$E$2576="YES"))*(($D$4="")+($D$4&lt;&gt;"")*(DB!$B$2:$B$2576=$D$4))*(($D$5="")+($D$5&lt;&gt;"")*(DB!$C$2:$C$2576=$D$5))*(($D$6="")+($D$6&lt;&gt;"")*(DB!$D$2:$D$2576=$D$6))*(($D$7="")+($D$7&lt;&gt;"")*(ISNUMBER(SEARCH($D$7,DB!$G$2:$G$2576))))*(($F$7="전체")+($F$7&lt;&gt;"전체")*(DB!$H$2:$H$2576=$F$7)))*(DB!$G$2:$G$2576=AD19)*1))</f>
        <v>11</v>
      </c>
    </row>
    <row r="20" spans="1:31" ht="100" customHeight="1">
      <c r="A20" s="26"/>
      <c r="B20" s="39">
        <f t="shared" si="0"/>
        <v>7</v>
      </c>
      <c r="C20" s="43"/>
      <c r="D20" s="51" t="str" cm="1">
        <f t="array" ref="D20">IFERROR(INDEX(DB!G$2:G$2576,T20),"")</f>
        <v>굴착기</v>
      </c>
      <c r="E20" s="43"/>
      <c r="F20" s="52" t="str" cm="1">
        <f t="array" ref="F20">IFERROR(INDEX(DB!O$2:O$2576,T20),"")</f>
        <v>깔림 뒤집힘</v>
      </c>
      <c r="G20" s="43"/>
      <c r="H20" s="40" t="str" cm="1">
        <f t="array" ref="H20">IFERROR(INDEX(DB!P$2:P$2576,T20),"")</f>
        <v>2019년 12월경 OO시 소재 OOOO 배수로 정비공사 현장에서 PC(Precast Concrete)사각맨홀(약1.83ton, 가로1m×세로1m×높이1.7m)을 설치하기 위해 굴삭기를 사용하여 맨홀을 인양·운반하고, 매설 지점에서 내리는 순간굴삭기가 전도되어 우측면에 있던 재해자 OOO이 굴삭기에 깔려 사망한 재해임</v>
      </c>
      <c r="I20" s="43"/>
      <c r="J20" s="53" t="str" cm="1">
        <f t="array" ref="J20">IFERROR(INDEX(DB!Q$2:Q$2576,T20),"")</f>
        <v>굴삭기를 사용하여 맨홀 인양 및 운반 중 균형을 잃고 전도되어 근로자 깔림</v>
      </c>
      <c r="K20" s="43"/>
      <c r="L20" s="41" t="str" cm="1">
        <f t="array" ref="L20">IFERROR(INDEX(DB!R$2:R$2576,T20),"")</f>
        <v>▶ 중량물 인양 시 굴삭기의 정격하중을 준수하여 무리한 중량물 인양 금지
▶ 차량계 건설기계 사용시 작업 장소 내에 근로자의 출입 통제
▶ 유도자를 배치하여 차량계 건설기계 유도</v>
      </c>
      <c r="M20" s="43"/>
      <c r="P20" cm="1">
        <f t="array" ref="P20">IFERROR(_xlfn.AGGREGATE(15,6,ROW(DB!A$2:A$2576)/((($D$3&lt;&gt;"YES")+($D$3="YES")*(DB!E$2:E$2576="YES"))*(($D$4="")+($D$4&lt;&gt;"")*( DB!B$2:B$2576=$D$4))*(($D$5="")+($D$5&lt;&gt;"")*( DB!C$2:C$2576=$D$5))*(($D$6="")+($D$6&lt;&gt;"")*( DB!D$2:D$2576=$D$6))*(($D$7="")+($D$7&lt;&gt;"")*(ISNUMBER(SEARCH($D$7,DB!G$2:G$2576))))*(($F$7="전체")+($F$7&lt;&gt;"전체")*(DB!H$2:H$2576=$F$7))),ROW()-13)-1,"")</f>
        <v>364</v>
      </c>
      <c r="Q20" t="str" cm="1">
        <f t="array" ref="Q20">IFERROR(INDEX(DB!G$2:G$2576,P20),"")</f>
        <v>굴착기</v>
      </c>
      <c r="R20" t="str" cm="1">
        <f t="array" ref="R20">IFERROR(INDEX(DB!O$2:O$2576,P20),"")</f>
        <v>맞음</v>
      </c>
      <c r="S20">
        <f t="shared" si="1"/>
        <v>244675.00700000001</v>
      </c>
      <c r="T20">
        <f t="shared" si="2"/>
        <v>398</v>
      </c>
      <c r="U20" s="138" t="str" cm="1">
        <f t="array" ref="U20">IFERROR(INDEX(AA$14:AA$63,_xlfn.AGGREGATE(15,6,ROW(AA$14:AA$63)-ROW(AA$14)+1/(AB$14:AB$63=LARGE(AB$14:AB$63,ROW()-13)),COUNTIF(V$14:V19,LARGE(AB$14:AB$63,ROW()-13))+1)),"")</f>
        <v/>
      </c>
      <c r="V20" s="131" t="str">
        <f t="shared" si="3"/>
        <v/>
      </c>
      <c r="W20" s="43"/>
      <c r="X20" s="130" t="str" cm="1">
        <f t="array" ref="X20">IFERROR(INDEX(AD$14:AD$63,_xlfn.AGGREGATE(15,6,ROW(AD$14:AD$63)-ROW(AD$14)+1/(AE$14:AE$63=LARGE(AE$14:AE$63,ROW()-13)),COUNTIF(Y$14:Y19,LARGE(AE$14:AE$63,ROW()-13))+1)),"")</f>
        <v>화학물질</v>
      </c>
      <c r="Y20" s="136">
        <f t="shared" si="4"/>
        <v>6</v>
      </c>
      <c r="AA20" t="str" cm="1">
        <f t="array" ref="AA20">IFERROR(INDEX(DB!$C$2:$C$2576,_xlfn.AGGREGATE(15,6,ROW(DB!$C$2:$C$2576)-1/((($D$3&lt;&gt;"YES")+($D$3="YES")*(DB!$E$2:$E$2576="YES"))*(($D$4="")+($D$4&lt;&gt;"")*(DB!$B$2:$B$2576=$D$4))*(($F$7="전체")+($F$7&lt;&gt;"전체")*(DB!$H$2:$H$2576=$F$7))*(COUNTIF(AA$13:AA19,DB!$C$2:$C$2576)=0)),1)),"")</f>
        <v/>
      </c>
      <c r="AB20" t="str" cm="1">
        <f t="array" ref="AB20">IF(AA20="","",SUMPRODUCT(((($D$3&lt;&gt;"YES")+($D$3="YES")*(DB!$E$2:$E$2576="YES"))*(($D$4="")+($D$4&lt;&gt;"")*(DB!$B$2:$B$2576=$D$4))*(($F$7="전체")+($F$7&lt;&gt;"전체")*(DB!$H$2:$H$2576=$F$7)))*(DB!$C$2:$C$2576=AA20)*1))</f>
        <v/>
      </c>
      <c r="AD20" t="str" cm="1">
        <f t="array" ref="AD20">IFERROR(INDEX(DB!$G$2:$G$2576,_xlfn.AGGREGATE(15,6,ROW(DB!$G$2:$G$2576)-1/((($D$3&lt;&gt;"YES")+($D$3="YES")*(DB!$E$2:$E$2576="YES"))*(($D$4="")+($D$4&lt;&gt;"")*(DB!$B$2:$B$2576=$D$4))*(($D$5="")+($D$5&lt;&gt;"")*(DB!$C$2:$C$2576=$D$5))*(($D$6="")+($D$6&lt;&gt;"")*(DB!$D$2:$D$2576=$D$6))*(($D$7="")+($D$7&lt;&gt;"")*(ISNUMBER(SEARCH($D$7,DB!$G$2:$G$2576))))*(($F$7="전체")+($F$7&lt;&gt;"전체")*(DB!$H$2:$H$2576=$F$7))*(COUNTIF(AD$13:AD19,DB!$G$2:$G$2576)=0)),1)),"")</f>
        <v>기타건설장비</v>
      </c>
      <c r="AE20" cm="1">
        <f t="array" ref="AE20">IF(AD20="","",SUMPRODUCT(((($D$3&lt;&gt;"YES")+($D$3="YES")*(DB!$E$2:$E$2576="YES"))*(($D$4="")+($D$4&lt;&gt;"")*(DB!$B$2:$B$2576=$D$4))*(($D$5="")+($D$5&lt;&gt;"")*(DB!$C$2:$C$2576=$D$5))*(($D$6="")+($D$6&lt;&gt;"")*(DB!$D$2:$D$2576=$D$6))*(($D$7="")+($D$7&lt;&gt;"")*(ISNUMBER(SEARCH($D$7,DB!$G$2:$G$2576))))*(($F$7="전체")+($F$7&lt;&gt;"전체")*(DB!$H$2:$H$2576=$F$7)))*(DB!$G$2:$G$2576=AD20)*1))</f>
        <v>1</v>
      </c>
    </row>
    <row r="21" spans="1:31" ht="100" customHeight="1">
      <c r="A21" s="26"/>
      <c r="B21" s="42">
        <f t="shared" si="0"/>
        <v>8</v>
      </c>
      <c r="C21" s="43"/>
      <c r="D21" s="51" t="str" cm="1">
        <f t="array" ref="D21">IFERROR(INDEX(DB!G$2:G$2576,T21),"")</f>
        <v>굴착기</v>
      </c>
      <c r="E21" s="43"/>
      <c r="F21" s="52" t="str" cm="1">
        <f t="array" ref="F21">IFERROR(INDEX(DB!O$2:O$2576,T21),"")</f>
        <v>깔림 뒤집힘</v>
      </c>
      <c r="G21" s="43"/>
      <c r="H21" s="40" t="str" cm="1">
        <f t="array" ref="H21">IFERROR(INDEX(DB!P$2:P$2576,T21),"")</f>
        <v>2020년 1월경 OO시 OO구 OO동 소재 관로정비공사 현장에서 재해자1 OOO이 굴착기를 운전하여 계단(경사 약30°)을 내려오던 중 장비가 중심을 잃어 넘어지며 재해자1이 깔리고, 재해자2 OOO가 재해자1을 구하려 장비에 다가가던 중 장비가 2차로 넘어지며 재해자2도 장비에 깔리며 부상당한 재해임.</v>
      </c>
      <c r="I21" s="43"/>
      <c r="J21" s="53" t="str" cm="1">
        <f t="array" ref="J21">IFERROR(INDEX(DB!Q$2:Q$2576,T21),"")</f>
        <v>굴착기가 계단(경사로) 이동중 전도되어 굴삭기운전원(또는 근로자) 깔림</v>
      </c>
      <c r="K21" s="43"/>
      <c r="L21" s="41" t="str" cm="1">
        <f t="array" ref="L21">IFERROR(INDEX(DB!R$2:R$2576,T21),"")</f>
        <v>▶ 중량물 인양 시 굴삭기의 정격하중을 준수하여 무리한 중량물 인양 금지
▶ 차량계 건설기계 사용시 작업 장소 내에 근로자의 출입 통제
▶ 유도자를 배치하여 차량계 건설기계 유도</v>
      </c>
      <c r="M21" s="43"/>
      <c r="P21" cm="1">
        <f t="array" ref="P21">IFERROR(_xlfn.AGGREGATE(15,6,ROW(DB!A$2:A$2576)/((($D$3&lt;&gt;"YES")+($D$3="YES")*(DB!E$2:E$2576="YES"))*(($D$4="")+($D$4&lt;&gt;"")*( DB!B$2:B$2576=$D$4))*(($D$5="")+($D$5&lt;&gt;"")*( DB!C$2:C$2576=$D$5))*(($D$6="")+($D$6&lt;&gt;"")*( DB!D$2:D$2576=$D$6))*(($D$7="")+($D$7&lt;&gt;"")*(ISNUMBER(SEARCH($D$7,DB!G$2:G$2576))))*(($F$7="전체")+($F$7&lt;&gt;"전체")*(DB!H$2:H$2576=$F$7))),ROW()-13)-1,"")</f>
        <v>365</v>
      </c>
      <c r="Q21" t="str" cm="1">
        <f t="array" ref="Q21">IFERROR(INDEX(DB!G$2:G$2576,P21),"")</f>
        <v>로울러</v>
      </c>
      <c r="R21" t="str" cm="1">
        <f t="array" ref="R21">IFERROR(INDEX(DB!O$2:O$2576,P21),"")</f>
        <v>떨어짐</v>
      </c>
      <c r="S21">
        <f t="shared" si="1"/>
        <v>248951.008</v>
      </c>
      <c r="T21">
        <f t="shared" si="2"/>
        <v>399</v>
      </c>
      <c r="U21" s="138" t="str" cm="1">
        <f t="array" ref="U21">IFERROR(INDEX(AA$14:AA$63,_xlfn.AGGREGATE(15,6,ROW(AA$14:AA$63)-ROW(AA$14)+1/(AB$14:AB$63=LARGE(AB$14:AB$63,ROW()-13)),COUNTIF(V$14:V20,LARGE(AB$14:AB$63,ROW()-13))+1)),"")</f>
        <v/>
      </c>
      <c r="V21" s="131" t="str">
        <f t="shared" si="3"/>
        <v/>
      </c>
      <c r="W21" s="43"/>
      <c r="X21" s="130" t="str" cm="1">
        <f t="array" ref="X21">IFERROR(INDEX(AD$14:AD$63,_xlfn.AGGREGATE(15,6,ROW(AD$14:AD$63)-ROW(AD$14)+1/(AE$14:AE$63=LARGE(AE$14:AE$63,ROW()-13)),COUNTIF(Y$14:Y20,LARGE(AE$14:AE$63,ROW()-13))+1)),"")</f>
        <v>기타자재(내부마감재,시멘트,마대)</v>
      </c>
      <c r="Y21" s="136">
        <f t="shared" si="4"/>
        <v>4</v>
      </c>
      <c r="AA21" t="str" cm="1">
        <f t="array" ref="AA21">IFERROR(INDEX(DB!$C$2:$C$2576,_xlfn.AGGREGATE(15,6,ROW(DB!$C$2:$C$2576)-1/((($D$3&lt;&gt;"YES")+($D$3="YES")*(DB!$E$2:$E$2576="YES"))*(($D$4="")+($D$4&lt;&gt;"")*(DB!$B$2:$B$2576=$D$4))*(($F$7="전체")+($F$7&lt;&gt;"전체")*(DB!$H$2:$H$2576=$F$7))*(COUNTIF(AA$13:AA20,DB!$C$2:$C$2576)=0)),1)),"")</f>
        <v/>
      </c>
      <c r="AB21" t="str" cm="1">
        <f t="array" ref="AB21">IF(AA21="","",SUMPRODUCT(((($D$3&lt;&gt;"YES")+($D$3="YES")*(DB!$E$2:$E$2576="YES"))*(($D$4="")+($D$4&lt;&gt;"")*(DB!$B$2:$B$2576=$D$4))*(($F$7="전체")+($F$7&lt;&gt;"전체")*(DB!$H$2:$H$2576=$F$7)))*(DB!$C$2:$C$2576=AA21)*1))</f>
        <v/>
      </c>
      <c r="AD21" t="str" cm="1">
        <f t="array" ref="AD21">IFERROR(INDEX(DB!$G$2:$G$2576,_xlfn.AGGREGATE(15,6,ROW(DB!$G$2:$G$2576)-1/((($D$3&lt;&gt;"YES")+($D$3="YES")*(DB!$E$2:$E$2576="YES"))*(($D$4="")+($D$4&lt;&gt;"")*(DB!$B$2:$B$2576=$D$4))*(($D$5="")+($D$5&lt;&gt;"")*(DB!$C$2:$C$2576=$D$5))*(($D$6="")+($D$6&lt;&gt;"")*(DB!$D$2:$D$2576=$D$6))*(($D$7="")+($D$7&lt;&gt;"")*(ISNUMBER(SEARCH($D$7,DB!$G$2:$G$2576))))*(($F$7="전체")+($F$7&lt;&gt;"전체")*(DB!$H$2:$H$2576=$F$7))*(COUNTIF(AD$13:AD20,DB!$G$2:$G$2576)=0)),1)),"")</f>
        <v>교통수단</v>
      </c>
      <c r="AE21" cm="1">
        <f t="array" ref="AE21">IF(AD21="","",SUMPRODUCT(((($D$3&lt;&gt;"YES")+($D$3="YES")*(DB!$E$2:$E$2576="YES"))*(($D$4="")+($D$4&lt;&gt;"")*(DB!$B$2:$B$2576=$D$4))*(($D$5="")+($D$5&lt;&gt;"")*(DB!$C$2:$C$2576=$D$5))*(($D$6="")+($D$6&lt;&gt;"")*(DB!$D$2:$D$2576=$D$6))*(($D$7="")+($D$7&lt;&gt;"")*(ISNUMBER(SEARCH($D$7,DB!$G$2:$G$2576))))*(($F$7="전체")+($F$7&lt;&gt;"전체")*(DB!$H$2:$H$2576=$F$7)))*(DB!$G$2:$G$2576=AD21)*1))</f>
        <v>1</v>
      </c>
    </row>
    <row r="22" spans="1:31" ht="100" customHeight="1">
      <c r="A22" s="26"/>
      <c r="B22" s="39">
        <f t="shared" si="0"/>
        <v>9</v>
      </c>
      <c r="C22" s="43"/>
      <c r="D22" s="51" t="str" cm="1">
        <f t="array" ref="D22">IFERROR(INDEX(DB!G$2:G$2576,T22),"")</f>
        <v>교통수단</v>
      </c>
      <c r="E22" s="43"/>
      <c r="F22" s="52" t="str" cm="1">
        <f t="array" ref="F22">IFERROR(INDEX(DB!O$2:O$2576,T22),"")</f>
        <v>부딪힘 접촉</v>
      </c>
      <c r="G22" s="43"/>
      <c r="H22" s="40" t="str" cm="1">
        <f t="array" ref="H22">IFERROR(INDEX(DB!P$2:P$2576,T22),"")</f>
        <v>2020년 12월분 경, OOO도 OO시 OO구 소재 「㈜OOOO / OOOO 배수시설 설치공사」 현장에서, OO-OO상 103.475km 지점의 배수로 설치(굴착 및 벤치플룸관 매설)를 위해 선로 상에 올라간 굴착기가, 해당 작업지점을 통과하던 화물열차와 충돌하면서 굴착기 운전원 OOO와 작업을 지휘하던 ㈜OOOO 대표이사 OOO가 사망한 재해임</v>
      </c>
      <c r="I22" s="43"/>
      <c r="J22" s="53" t="str" cm="1">
        <f t="array" ref="J22">IFERROR(INDEX(DB!Q$2:Q$2576,T22),"")</f>
        <v>배수로 설치(굴착 및 벤치플룸관 매설)를 위해 선로 상에 올라간 굴착기가, 해당 작업지점을 통과하던 화물열차와 충돌</v>
      </c>
      <c r="K22" s="43"/>
      <c r="L22" s="41" t="str" cm="1">
        <f t="array" ref="L22">IFERROR(INDEX(DB!R$2:R$2576,T22),"")</f>
        <v>▶ 철도운행 안전협의 완료 전에 출입 통제구역 내로 임의 출입금지조치 실시
▶ 작업인원 안전보호구(안전조끼, 안전모, 안전화) 및 휴대용품(열차감시용 무전기, 호루라기, 경보기, 손전등) 지급 및 착용상태 확인
▶ 철도 내 작업 시, 근로자 안전을 위한 신호수 역할의 열차감시원 배치</v>
      </c>
      <c r="M22" s="43"/>
      <c r="P22" cm="1">
        <f t="array" ref="P22">IFERROR(_xlfn.AGGREGATE(15,6,ROW(DB!A$2:A$2576)/((($D$3&lt;&gt;"YES")+($D$3="YES")*(DB!E$2:E$2576="YES"))*(($D$4="")+($D$4&lt;&gt;"")*( DB!B$2:B$2576=$D$4))*(($D$5="")+($D$5&lt;&gt;"")*( DB!C$2:C$2576=$D$5))*(($D$6="")+($D$6&lt;&gt;"")*( DB!D$2:D$2576=$D$6))*(($D$7="")+($D$7&lt;&gt;"")*(ISNUMBER(SEARCH($D$7,DB!G$2:G$2576))))*(($F$7="전체")+($F$7&lt;&gt;"전체")*(DB!H$2:H$2576=$F$7))),ROW()-13)-1,"")</f>
        <v>366</v>
      </c>
      <c r="Q22" t="str" cm="1">
        <f t="array" ref="Q22">IFERROR(INDEX(DB!G$2:G$2576,P22),"")</f>
        <v>굴착기</v>
      </c>
      <c r="R22" t="str" cm="1">
        <f t="array" ref="R22">IFERROR(INDEX(DB!O$2:O$2576,P22),"")</f>
        <v>부딪힘 접촉</v>
      </c>
      <c r="S22">
        <f t="shared" si="1"/>
        <v>244741.00899999999</v>
      </c>
      <c r="T22">
        <f t="shared" si="2"/>
        <v>404</v>
      </c>
      <c r="U22" s="138" t="str" cm="1">
        <f t="array" ref="U22">IFERROR(INDEX(AA$14:AA$63,_xlfn.AGGREGATE(15,6,ROW(AA$14:AA$63)-ROW(AA$14)+1/(AB$14:AB$63=LARGE(AB$14:AB$63,ROW()-13)),COUNTIF(V$14:V21,LARGE(AB$14:AB$63,ROW()-13))+1)),"")</f>
        <v/>
      </c>
      <c r="V22" s="131" t="str">
        <f t="shared" si="3"/>
        <v/>
      </c>
      <c r="W22" s="43"/>
      <c r="X22" s="130" t="str" cm="1">
        <f t="array" ref="X22">IFERROR(INDEX(AD$14:AD$63,_xlfn.AGGREGATE(15,6,ROW(AD$14:AD$63)-ROW(AD$14)+1/(AE$14:AE$63=LARGE(AE$14:AE$63,ROW()-13)),COUNTIF(Y$14:Y21,LARGE(AE$14:AE$63,ROW()-13))+1)),"")</f>
        <v>벽체</v>
      </c>
      <c r="Y22" s="136">
        <f t="shared" si="4"/>
        <v>4</v>
      </c>
      <c r="AA22" t="str" cm="1">
        <f t="array" ref="AA22">IFERROR(INDEX(DB!$C$2:$C$2576,_xlfn.AGGREGATE(15,6,ROW(DB!$C$2:$C$2576)-1/((($D$3&lt;&gt;"YES")+($D$3="YES")*(DB!$E$2:$E$2576="YES"))*(($D$4="")+($D$4&lt;&gt;"")*(DB!$B$2:$B$2576=$D$4))*(($F$7="전체")+($F$7&lt;&gt;"전체")*(DB!$H$2:$H$2576=$F$7))*(COUNTIF(AA$13:AA21,DB!$C$2:$C$2576)=0)),1)),"")</f>
        <v/>
      </c>
      <c r="AB22" t="str" cm="1">
        <f t="array" ref="AB22">IF(AA22="","",SUMPRODUCT(((($D$3&lt;&gt;"YES")+($D$3="YES")*(DB!$E$2:$E$2576="YES"))*(($D$4="")+($D$4&lt;&gt;"")*(DB!$B$2:$B$2576=$D$4))*(($F$7="전체")+($F$7&lt;&gt;"전체")*(DB!$H$2:$H$2576=$F$7)))*(DB!$C$2:$C$2576=AA22)*1))</f>
        <v/>
      </c>
      <c r="AD22" t="str" cm="1">
        <f t="array" ref="AD22">IFERROR(INDEX(DB!$G$2:$G$2576,_xlfn.AGGREGATE(15,6,ROW(DB!$G$2:$G$2576)-1/((($D$3&lt;&gt;"YES")+($D$3="YES")*(DB!$E$2:$E$2576="YES"))*(($D$4="")+($D$4&lt;&gt;"")*(DB!$B$2:$B$2576=$D$4))*(($D$5="")+($D$5&lt;&gt;"")*(DB!$C$2:$C$2576=$D$5))*(($D$6="")+($D$6&lt;&gt;"")*(DB!$D$2:$D$2576=$D$6))*(($D$7="")+($D$7&lt;&gt;"")*(ISNUMBER(SEARCH($D$7,DB!$G$2:$G$2576))))*(($F$7="전체")+($F$7&lt;&gt;"전체")*(DB!$H$2:$H$2576=$F$7))*(COUNTIF(AD$13:AD21,DB!$G$2:$G$2576)=0)),1)),"")</f>
        <v>기타자재(내부마감재,시멘트,마대)</v>
      </c>
      <c r="AE22" cm="1">
        <f t="array" ref="AE22">IF(AD22="","",SUMPRODUCT(((($D$3&lt;&gt;"YES")+($D$3="YES")*(DB!$E$2:$E$2576="YES"))*(($D$4="")+($D$4&lt;&gt;"")*(DB!$B$2:$B$2576=$D$4))*(($D$5="")+($D$5&lt;&gt;"")*(DB!$C$2:$C$2576=$D$5))*(($D$6="")+($D$6&lt;&gt;"")*(DB!$D$2:$D$2576=$D$6))*(($D$7="")+($D$7&lt;&gt;"")*(ISNUMBER(SEARCH($D$7,DB!$G$2:$G$2576))))*(($F$7="전체")+($F$7&lt;&gt;"전체")*(DB!$H$2:$H$2576=$F$7)))*(DB!$G$2:$G$2576=AD22)*1))</f>
        <v>4</v>
      </c>
    </row>
    <row r="23" spans="1:31" ht="100" customHeight="1">
      <c r="A23" s="26"/>
      <c r="B23" s="42">
        <f t="shared" si="0"/>
        <v>10</v>
      </c>
      <c r="C23" s="43"/>
      <c r="D23" s="51" t="str" cm="1">
        <f t="array" ref="D23">IFERROR(INDEX(DB!G$2:G$2576,T23),"")</f>
        <v>굴착기</v>
      </c>
      <c r="E23" s="43"/>
      <c r="F23" s="52" t="str" cm="1">
        <f t="array" ref="F23">IFERROR(INDEX(DB!O$2:O$2576,T23),"")</f>
        <v>끼임</v>
      </c>
      <c r="G23" s="43"/>
      <c r="H23" s="40" t="str" cm="1">
        <f t="array" ref="H23">IFERROR(INDEX(DB!P$2:P$2576,T23),"")</f>
        <v>2021년 9월경 철도 레일중량화 공사현장에서 재해자가 굴착기 후방에서 PC침목 교환 작업 준비 중 선회하는 굴착기 카운트웨이트와 도저블레이드 사이에 두부가 협착되어 사망</v>
      </c>
      <c r="I23" s="43"/>
      <c r="J23" s="53" t="str" cm="1">
        <f t="array" ref="J23">IFERROR(INDEX(DB!Q$2:Q$2576,T23),"")</f>
        <v>시야확보가 되지 않은 상태로 선회하는 굴착기 카운터웨이트와 도저블레이드 사이에 근로자가 협착</v>
      </c>
      <c r="K23" s="43"/>
      <c r="L23" s="41" t="str" cm="1">
        <f t="array" ref="L23">IFERROR(INDEX(DB!R$2:R$2576,T23),"")</f>
        <v>▶ 근로자가 건설기계에 근접하여 작업을 수행하는 경우 유도자를 배치하여 안전한 상태에서 작업 진행
▶ 차량계 건설기계 접촉 가능 장소 및 사각지대 발생가능성이 높은 건설기계 사용 시 근로자 출입금지 및 유도자 배치
▶ 건설장비 작업 시 근로자와 장비의 동선을 분리
▶ 카메라 부착 또는 후방에 근로자의 접근을 알리는 후방센서, 경보장치 등 부착
▶ 차량계 건설기계 작업전 안전 점검 실시 및 후방카메라 등 방호장치 확인</v>
      </c>
      <c r="M23" s="43"/>
      <c r="P23" cm="1">
        <f t="array" ref="P23">IFERROR(_xlfn.AGGREGATE(15,6,ROW(DB!A$2:A$2576)/((($D$3&lt;&gt;"YES")+($D$3="YES")*(DB!E$2:E$2576="YES"))*(($D$4="")+($D$4&lt;&gt;"")*( DB!B$2:B$2576=$D$4))*(($D$5="")+($D$5&lt;&gt;"")*( DB!C$2:C$2576=$D$5))*(($D$6="")+($D$6&lt;&gt;"")*( DB!D$2:D$2576=$D$6))*(($D$7="")+($D$7&lt;&gt;"")*(ISNUMBER(SEARCH($D$7,DB!G$2:G$2576))))*(($F$7="전체")+($F$7&lt;&gt;"전체")*(DB!H$2:H$2576=$F$7))),ROW()-13)-1,"")</f>
        <v>367</v>
      </c>
      <c r="Q23" t="str" cm="1">
        <f t="array" ref="Q23">IFERROR(INDEX(DB!G$2:G$2576,P23),"")</f>
        <v>굴착기</v>
      </c>
      <c r="R23" t="str" cm="1">
        <f t="array" ref="R23">IFERROR(INDEX(DB!O$2:O$2576,P23),"")</f>
        <v>맞음(낙하물체)</v>
      </c>
      <c r="S23">
        <f t="shared" si="1"/>
        <v>244686.01</v>
      </c>
      <c r="T23">
        <f t="shared" si="2"/>
        <v>375</v>
      </c>
      <c r="U23" s="138" t="str" cm="1">
        <f t="array" ref="U23">IFERROR(INDEX(AA$14:AA$63,_xlfn.AGGREGATE(15,6,ROW(AA$14:AA$63)-ROW(AA$14)+1/(AB$14:AB$63=LARGE(AB$14:AB$63,ROW()-13)),COUNTIF(V$14:V22,LARGE(AB$14:AB$63,ROW()-13))+1)),"")</f>
        <v/>
      </c>
      <c r="V23" s="131" t="str">
        <f t="shared" si="3"/>
        <v/>
      </c>
      <c r="W23" s="43"/>
      <c r="X23" s="130" t="str" cm="1">
        <f t="array" ref="X23">IFERROR(INDEX(AD$14:AD$63,_xlfn.AGGREGATE(15,6,ROW(AD$14:AD$63)-ROW(AD$14)+1/(AE$14:AE$63=LARGE(AE$14:AE$63,ROW()-13)),COUNTIF(Y$14:Y22,LARGE(AE$14:AE$63,ROW()-13))+1)),"")</f>
        <v>수목</v>
      </c>
      <c r="Y23" s="136">
        <f t="shared" si="4"/>
        <v>4</v>
      </c>
      <c r="AA23" t="str" cm="1">
        <f t="array" ref="AA23">IFERROR(INDEX(DB!$C$2:$C$2576,_xlfn.AGGREGATE(15,6,ROW(DB!$C$2:$C$2576)-1/((($D$3&lt;&gt;"YES")+($D$3="YES")*(DB!$E$2:$E$2576="YES"))*(($D$4="")+($D$4&lt;&gt;"")*(DB!$B$2:$B$2576=$D$4))*(($F$7="전체")+($F$7&lt;&gt;"전체")*(DB!$H$2:$H$2576=$F$7))*(COUNTIF(AA$13:AA22,DB!$C$2:$C$2576)=0)),1)),"")</f>
        <v/>
      </c>
      <c r="AB23" t="str" cm="1">
        <f t="array" ref="AB23">IF(AA23="","",SUMPRODUCT(((($D$3&lt;&gt;"YES")+($D$3="YES")*(DB!$E$2:$E$2576="YES"))*(($D$4="")+($D$4&lt;&gt;"")*(DB!$B$2:$B$2576=$D$4))*(($F$7="전체")+($F$7&lt;&gt;"전체")*(DB!$H$2:$H$2576=$F$7)))*(DB!$C$2:$C$2576=AA23)*1))</f>
        <v/>
      </c>
      <c r="AD23" t="str" cm="1">
        <f t="array" ref="AD23">IFERROR(INDEX(DB!$G$2:$G$2576,_xlfn.AGGREGATE(15,6,ROW(DB!$G$2:$G$2576)-1/((($D$3&lt;&gt;"YES")+($D$3="YES")*(DB!$E$2:$E$2576="YES"))*(($D$4="")+($D$4&lt;&gt;"")*(DB!$B$2:$B$2576=$D$4))*(($D$5="")+($D$5&lt;&gt;"")*(DB!$C$2:$C$2576=$D$5))*(($D$6="")+($D$6&lt;&gt;"")*(DB!$D$2:$D$2576=$D$6))*(($D$7="")+($D$7&lt;&gt;"")*(ISNUMBER(SEARCH($D$7,DB!$G$2:$G$2576))))*(($F$7="전체")+($F$7&lt;&gt;"전체")*(DB!$H$2:$H$2576=$F$7))*(COUNTIF(AD$13:AD22,DB!$G$2:$G$2576)=0)),1)),"")</f>
        <v>철근콘크리트자재(철근,콘크리트,PC)</v>
      </c>
      <c r="AE23" cm="1">
        <f t="array" ref="AE23">IF(AD23="","",SUMPRODUCT(((($D$3&lt;&gt;"YES")+($D$3="YES")*(DB!$E$2:$E$2576="YES"))*(($D$4="")+($D$4&lt;&gt;"")*(DB!$B$2:$B$2576=$D$4))*(($D$5="")+($D$5&lt;&gt;"")*(DB!$C$2:$C$2576=$D$5))*(($D$6="")+($D$6&lt;&gt;"")*(DB!$D$2:$D$2576=$D$6))*(($D$7="")+($D$7&lt;&gt;"")*(ISNUMBER(SEARCH($D$7,DB!$G$2:$G$2576))))*(($F$7="전체")+($F$7&lt;&gt;"전체")*(DB!$H$2:$H$2576=$F$7)))*(DB!$G$2:$G$2576=AD23)*1))</f>
        <v>2</v>
      </c>
    </row>
    <row r="24" spans="1:31" ht="100" customHeight="1">
      <c r="A24" s="26"/>
      <c r="B24" s="39">
        <f t="shared" si="0"/>
        <v>11</v>
      </c>
      <c r="C24" s="43"/>
      <c r="D24" s="51" t="str" cm="1">
        <f t="array" ref="D24">IFERROR(INDEX(DB!G$2:G$2576,T24),"")</f>
        <v>굴착기</v>
      </c>
      <c r="E24" s="43"/>
      <c r="F24" s="52" t="str" cm="1">
        <f t="array" ref="F24">IFERROR(INDEX(DB!O$2:O$2576,T24),"")</f>
        <v>끼임</v>
      </c>
      <c r="G24" s="43"/>
      <c r="H24" s="40" t="str" cm="1">
        <f t="array" ref="H24">IFERROR(INDEX(DB!P$2:P$2576,T24),"")</f>
        <v>2017년 6월경 지중화 전기공사 현장에서 재해자가 굴착기의 버킷에 전신주를 걸어 이동하던 중 경사로 구간에서 전도되는 굴착기에 협착되어 사망</v>
      </c>
      <c r="I24" s="43"/>
      <c r="J24" s="53" t="str" cm="1">
        <f t="array" ref="J24">IFERROR(INDEX(DB!Q$2:Q$2576,T24),"")</f>
        <v>굴삭기 버켓에 줄걸이 후 운반중 굴삭기 전도에 의해 운전자가 운전석 이탈되어 굴삭기에 협착</v>
      </c>
      <c r="K24" s="43"/>
      <c r="L24" s="41" t="str" cm="1">
        <f t="array" ref="L24">IFERROR(INDEX(DB!R$2:R$2576,T24),"")</f>
        <v>▶ 굴삭기 사용 중량물 양중시 정격하중 준수 
▶ 작업 시 장비 운전수 안전띠 착용 조치
▶ 중량물 인양 시 굴삭기의 정격하중을 준수하여 무리한 중량물 인양 금지
▶ 차량계 건설기계 사용시 작업 장소 내에 근로자의 출입 통제
▶ 유도자를 배치하여 차량계 건설기계 유도</v>
      </c>
      <c r="M24" s="43"/>
      <c r="P24" cm="1">
        <f t="array" ref="P24">IFERROR(_xlfn.AGGREGATE(15,6,ROW(DB!A$2:A$2576)/((($D$3&lt;&gt;"YES")+($D$3="YES")*(DB!E$2:E$2576="YES"))*(($D$4="")+($D$4&lt;&gt;"")*( DB!B$2:B$2576=$D$4))*(($D$5="")+($D$5&lt;&gt;"")*( DB!C$2:C$2576=$D$5))*(($D$6="")+($D$6&lt;&gt;"")*( DB!D$2:D$2576=$D$6))*(($D$7="")+($D$7&lt;&gt;"")*(ISNUMBER(SEARCH($D$7,DB!G$2:G$2576))))*(($F$7="전체")+($F$7&lt;&gt;"전체")*(DB!H$2:H$2576=$F$7))),ROW()-13)-1,"")</f>
        <v>368</v>
      </c>
      <c r="Q24" t="str" cm="1">
        <f t="array" ref="Q24">IFERROR(INDEX(DB!G$2:G$2576,P24),"")</f>
        <v>굴착기</v>
      </c>
      <c r="R24" t="str" cm="1">
        <f t="array" ref="R24">IFERROR(INDEX(DB!O$2:O$2576,P24),"")</f>
        <v>맞음</v>
      </c>
      <c r="S24">
        <f t="shared" si="1"/>
        <v>244675.011</v>
      </c>
      <c r="T24">
        <f t="shared" si="2"/>
        <v>379</v>
      </c>
      <c r="U24" s="138" t="str" cm="1">
        <f t="array" ref="U24">IFERROR(INDEX(AA$14:AA$63,_xlfn.AGGREGATE(15,6,ROW(AA$14:AA$63)-ROW(AA$14)+1/(AB$14:AB$63=LARGE(AB$14:AB$63,ROW()-13)),COUNTIF(V$14:V23,LARGE(AB$14:AB$63,ROW()-13))+1)),"")</f>
        <v/>
      </c>
      <c r="V24" s="131" t="str">
        <f t="shared" si="3"/>
        <v/>
      </c>
      <c r="W24" s="43"/>
      <c r="X24" s="130" t="str" cm="1">
        <f t="array" ref="X24">IFERROR(INDEX(AD$14:AD$63,_xlfn.AGGREGATE(15,6,ROW(AD$14:AD$63)-ROW(AD$14)+1/(AE$14:AE$63=LARGE(AE$14:AE$63,ROW()-13)),COUNTIF(Y$14:Y23,LARGE(AE$14:AE$63,ROW()-13))+1)),"")</f>
        <v>슬라브단부</v>
      </c>
      <c r="Y24" s="136">
        <f t="shared" si="4"/>
        <v>4</v>
      </c>
      <c r="AA24" t="str" cm="1">
        <f t="array" ref="AA24">IFERROR(INDEX(DB!$C$2:$C$2576,_xlfn.AGGREGATE(15,6,ROW(DB!$C$2:$C$2576)-1/((($D$3&lt;&gt;"YES")+($D$3="YES")*(DB!$E$2:$E$2576="YES"))*(($D$4="")+($D$4&lt;&gt;"")*(DB!$B$2:$B$2576=$D$4))*(($F$7="전체")+($F$7&lt;&gt;"전체")*(DB!$H$2:$H$2576=$F$7))*(COUNTIF(AA$13:AA23,DB!$C$2:$C$2576)=0)),1)),"")</f>
        <v/>
      </c>
      <c r="AB24" t="str" cm="1">
        <f t="array" ref="AB24">IF(AA24="","",SUMPRODUCT(((($D$3&lt;&gt;"YES")+($D$3="YES")*(DB!$E$2:$E$2576="YES"))*(($D$4="")+($D$4&lt;&gt;"")*(DB!$B$2:$B$2576=$D$4))*(($F$7="전체")+($F$7&lt;&gt;"전체")*(DB!$H$2:$H$2576=$F$7)))*(DB!$C$2:$C$2576=AA24)*1))</f>
        <v/>
      </c>
      <c r="AD24" t="str" cm="1">
        <f t="array" ref="AD24">IFERROR(INDEX(DB!$G$2:$G$2576,_xlfn.AGGREGATE(15,6,ROW(DB!$G$2:$G$2576)-1/((($D$3&lt;&gt;"YES")+($D$3="YES")*(DB!$E$2:$E$2576="YES"))*(($D$4="")+($D$4&lt;&gt;"")*(DB!$B$2:$B$2576=$D$4))*(($D$5="")+($D$5&lt;&gt;"")*(DB!$C$2:$C$2576=$D$5))*(($D$6="")+($D$6&lt;&gt;"")*(DB!$D$2:$D$2576=$D$6))*(($D$7="")+($D$7&lt;&gt;"")*(ISNUMBER(SEARCH($D$7,DB!$G$2:$G$2576))))*(($F$7="전체")+($F$7&lt;&gt;"전체")*(DB!$H$2:$H$2576=$F$7))*(COUNTIF(AD$13:AD23,DB!$G$2:$G$2576)=0)),1)),"")</f>
        <v>기타구조물</v>
      </c>
      <c r="AE24" cm="1">
        <f t="array" ref="AE24">IF(AD24="","",SUMPRODUCT(((($D$3&lt;&gt;"YES")+($D$3="YES")*(DB!$E$2:$E$2576="YES"))*(($D$4="")+($D$4&lt;&gt;"")*(DB!$B$2:$B$2576=$D$4))*(($D$5="")+($D$5&lt;&gt;"")*(DB!$C$2:$C$2576=$D$5))*(($D$6="")+($D$6&lt;&gt;"")*(DB!$D$2:$D$2576=$D$6))*(($D$7="")+($D$7&lt;&gt;"")*(ISNUMBER(SEARCH($D$7,DB!$G$2:$G$2576))))*(($F$7="전체")+($F$7&lt;&gt;"전체")*(DB!$H$2:$H$2576=$F$7)))*(DB!$G$2:$G$2576=AD24)*1))</f>
        <v>7</v>
      </c>
    </row>
    <row r="25" spans="1:31" ht="100" customHeight="1">
      <c r="A25" s="26"/>
      <c r="B25" s="42">
        <f t="shared" si="0"/>
        <v>12</v>
      </c>
      <c r="C25" s="43"/>
      <c r="D25" s="51" t="str" cm="1">
        <f t="array" ref="D25">IFERROR(INDEX(DB!G$2:G$2576,T25),"")</f>
        <v>굴착기</v>
      </c>
      <c r="E25" s="43"/>
      <c r="F25" s="52" t="str" cm="1">
        <f t="array" ref="F25">IFERROR(INDEX(DB!O$2:O$2576,T25),"")</f>
        <v>끼임</v>
      </c>
      <c r="G25" s="43"/>
      <c r="H25" s="40" t="str" cm="1">
        <f t="array" ref="H25">IFERROR(INDEX(DB!P$2:P$2576,T25),"")</f>
        <v>2016년 7월경, OOO도 OO군 OO읍 소재, 『OOOO(주) OOO 하수관로 정비사업 시설공사』현장에서 맨홀과 오수관로 연결부에서 인력굴착한 잔여토사를 반출하려던 굴삭기 버켓에 관로배관 연결 준비작업 중이던 재해자가 굴삭기 버켓과 흙막이지보재 사이에 협착하여 사망한 재해임</v>
      </c>
      <c r="I25" s="43"/>
      <c r="J25" s="53" t="str" cm="1">
        <f t="array" ref="J25">IFERROR(INDEX(DB!Q$2:Q$2576,T25),"")</f>
        <v>관로작업 중 굴삭기 버켓과 흙막이 지보재 사이에 협착</v>
      </c>
      <c r="K25" s="43"/>
      <c r="L25" s="41" t="str" cm="1">
        <f t="array" ref="L25">IFERROR(INDEX(DB!R$2:R$2576,T25),"")</f>
        <v>▶ 굴착면적에 따를 버킷 교체시 유압이 해제될 경우에도 연결장치(Quick coupler)에서 버킷 이탈방지를 위해 안전핀 체결하여 이중 잠금장치 실시
▶ 차량계 건설기계를 사용하여 굴착 등 작업을 하는 경우 유도자를 배치하여 안전하게 작업 수행</v>
      </c>
      <c r="M25" s="43"/>
      <c r="P25" cm="1">
        <f t="array" ref="P25">IFERROR(_xlfn.AGGREGATE(15,6,ROW(DB!A$2:A$2576)/((($D$3&lt;&gt;"YES")+($D$3="YES")*(DB!E$2:E$2576="YES"))*(($D$4="")+($D$4&lt;&gt;"")*( DB!B$2:B$2576=$D$4))*(($D$5="")+($D$5&lt;&gt;"")*( DB!C$2:C$2576=$D$5))*(($D$6="")+($D$6&lt;&gt;"")*( DB!D$2:D$2576=$D$6))*(($D$7="")+($D$7&lt;&gt;"")*(ISNUMBER(SEARCH($D$7,DB!G$2:G$2576))))*(($F$7="전체")+($F$7&lt;&gt;"전체")*(DB!H$2:H$2576=$F$7))),ROW()-13)-1,"")</f>
        <v>369</v>
      </c>
      <c r="Q25" t="str" cm="1">
        <f t="array" ref="Q25">IFERROR(INDEX(DB!G$2:G$2576,P25),"")</f>
        <v>트럭</v>
      </c>
      <c r="R25" t="str" cm="1">
        <f t="array" ref="R25">IFERROR(INDEX(DB!O$2:O$2576,P25),"")</f>
        <v>떨어짐</v>
      </c>
      <c r="S25">
        <f t="shared" si="1"/>
        <v>258051.01199999999</v>
      </c>
      <c r="T25">
        <f t="shared" si="2"/>
        <v>387</v>
      </c>
      <c r="U25" s="138" t="str" cm="1">
        <f t="array" ref="U25">IFERROR(INDEX(AA$14:AA$63,_xlfn.AGGREGATE(15,6,ROW(AA$14:AA$63)-ROW(AA$14)+1/(AB$14:AB$63=LARGE(AB$14:AB$63,ROW()-13)),COUNTIF(V$14:V24,LARGE(AB$14:AB$63,ROW()-13))+1)),"")</f>
        <v/>
      </c>
      <c r="V25" s="131" t="str">
        <f t="shared" si="3"/>
        <v/>
      </c>
      <c r="W25" s="43"/>
      <c r="X25" s="130" t="str" cm="1">
        <f t="array" ref="X25">IFERROR(INDEX(AD$14:AD$63,_xlfn.AGGREGATE(15,6,ROW(AD$14:AD$63)-ROW(AD$14)+1/(AE$14:AE$63=LARGE(AE$14:AE$63,ROW()-13)),COUNTIF(Y$14:Y24,LARGE(AE$14:AE$63,ROW()-13))+1)),"")</f>
        <v>각재(파이프,강관,합판)</v>
      </c>
      <c r="Y25" s="136">
        <f t="shared" si="4"/>
        <v>3</v>
      </c>
      <c r="AA25" t="str" cm="1">
        <f t="array" ref="AA25">IFERROR(INDEX(DB!$C$2:$C$2576,_xlfn.AGGREGATE(15,6,ROW(DB!$C$2:$C$2576)-1/((($D$3&lt;&gt;"YES")+($D$3="YES")*(DB!$E$2:$E$2576="YES"))*(($D$4="")+($D$4&lt;&gt;"")*(DB!$B$2:$B$2576=$D$4))*(($F$7="전체")+($F$7&lt;&gt;"전체")*(DB!$H$2:$H$2576=$F$7))*(COUNTIF(AA$13:AA24,DB!$C$2:$C$2576)=0)),1)),"")</f>
        <v/>
      </c>
      <c r="AB25" t="str" cm="1">
        <f t="array" ref="AB25">IF(AA25="","",SUMPRODUCT(((($D$3&lt;&gt;"YES")+($D$3="YES")*(DB!$E$2:$E$2576="YES"))*(($D$4="")+($D$4&lt;&gt;"")*(DB!$B$2:$B$2576=$D$4))*(($F$7="전체")+($F$7&lt;&gt;"전체")*(DB!$H$2:$H$2576=$F$7)))*(DB!$C$2:$C$2576=AA25)*1))</f>
        <v/>
      </c>
      <c r="AD25" t="str" cm="1">
        <f t="array" ref="AD25">IFERROR(INDEX(DB!$G$2:$G$2576,_xlfn.AGGREGATE(15,6,ROW(DB!$G$2:$G$2576)-1/((($D$3&lt;&gt;"YES")+($D$3="YES")*(DB!$E$2:$E$2576="YES"))*(($D$4="")+($D$4&lt;&gt;"")*(DB!$B$2:$B$2576=$D$4))*(($D$5="")+($D$5&lt;&gt;"")*(DB!$C$2:$C$2576=$D$5))*(($D$6="")+($D$6&lt;&gt;"")*(DB!$D$2:$D$2576=$D$6))*(($D$7="")+($D$7&lt;&gt;"")*(ISNUMBER(SEARCH($D$7,DB!$G$2:$G$2576))))*(($F$7="전체")+($F$7&lt;&gt;"전체")*(DB!$H$2:$H$2576=$F$7))*(COUNTIF(AD$13:AD24,DB!$G$2:$G$2576)=0)),1)),"")</f>
        <v>물</v>
      </c>
      <c r="AE25" cm="1">
        <f t="array" ref="AE25">IF(AD25="","",SUMPRODUCT(((($D$3&lt;&gt;"YES")+($D$3="YES")*(DB!$E$2:$E$2576="YES"))*(($D$4="")+($D$4&lt;&gt;"")*(DB!$B$2:$B$2576=$D$4))*(($D$5="")+($D$5&lt;&gt;"")*(DB!$C$2:$C$2576=$D$5))*(($D$6="")+($D$6&lt;&gt;"")*(DB!$D$2:$D$2576=$D$6))*(($D$7="")+($D$7&lt;&gt;"")*(ISNUMBER(SEARCH($D$7,DB!$G$2:$G$2576))))*(($F$7="전체")+($F$7&lt;&gt;"전체")*(DB!$H$2:$H$2576=$F$7)))*(DB!$G$2:$G$2576=AD25)*1))</f>
        <v>6</v>
      </c>
    </row>
    <row r="26" spans="1:31" ht="100" customHeight="1">
      <c r="A26" s="26"/>
      <c r="B26" s="39">
        <f t="shared" si="0"/>
        <v>13</v>
      </c>
      <c r="C26" s="43"/>
      <c r="D26" s="51" t="str" cm="1">
        <f t="array" ref="D26">IFERROR(INDEX(DB!G$2:G$2576,T26),"")</f>
        <v>굴착기</v>
      </c>
      <c r="E26" s="43"/>
      <c r="F26" s="52" t="str" cm="1">
        <f t="array" ref="F26">IFERROR(INDEX(DB!O$2:O$2576,T26),"")</f>
        <v>맞음</v>
      </c>
      <c r="G26" s="43"/>
      <c r="H26" s="40" t="str" cm="1">
        <f t="array" ref="H26">IFERROR(INDEX(DB!P$2:P$2576,T26),"")</f>
        <v>2019년 2월경 공영주차장 조성공사에서 재해자가 주차장 배면부 전석쌓기 작업 중 회전하면서 굴착기 돌집게에서 이탈된 전석에 맞아 사망</v>
      </c>
      <c r="I26" s="43"/>
      <c r="J26" s="53" t="str" cm="1">
        <f t="array" ref="J26">IFERROR(INDEX(DB!Q$2:Q$2576,T26),"")</f>
        <v>굴삭기 붐 끝단에 장착 된 돌집게로 전석을 집어 붐대를 회전하던 중 돌집게에서 낙하하는 전석에 맞음</v>
      </c>
      <c r="K26" s="43"/>
      <c r="L26" s="41" t="str" cm="1">
        <f t="array" ref="L26">IFERROR(INDEX(DB!R$2:R$2576,T26),"")</f>
        <v>▶ 중량물 제원 및 작업장소를 고려하여 적합한 건설장비 선정 및 사용
▶ 차량계 하역운반기계 사용할 경우 작업계획서를 작성하고 작업계획에 맞게 작업실시
▶ 자재인양 등 중량물 취급작업 시 낙하위험 지역에 대해 근로자 출입 통제</v>
      </c>
      <c r="M26" s="43"/>
      <c r="P26" cm="1">
        <f t="array" ref="P26">IFERROR(_xlfn.AGGREGATE(15,6,ROW(DB!A$2:A$2576)/((($D$3&lt;&gt;"YES")+($D$3="YES")*(DB!E$2:E$2576="YES"))*(($D$4="")+($D$4&lt;&gt;"")*( DB!B$2:B$2576=$D$4))*(($D$5="")+($D$5&lt;&gt;"")*( DB!C$2:C$2576=$D$5))*(($D$6="")+($D$6&lt;&gt;"")*( DB!D$2:D$2576=$D$6))*(($D$7="")+($D$7&lt;&gt;"")*(ISNUMBER(SEARCH($D$7,DB!G$2:G$2576))))*(($F$7="전체")+($F$7&lt;&gt;"전체")*(DB!H$2:H$2576=$F$7))),ROW()-13)-1,"")</f>
        <v>370</v>
      </c>
      <c r="Q26" t="str" cm="1">
        <f t="array" ref="Q26">IFERROR(INDEX(DB!G$2:G$2576,P26),"")</f>
        <v>굴착기</v>
      </c>
      <c r="R26" t="str" cm="1">
        <f t="array" ref="R26">IFERROR(INDEX(DB!O$2:O$2576,P26),"")</f>
        <v>부딪힘 접촉</v>
      </c>
      <c r="S26">
        <f t="shared" si="1"/>
        <v>244741.01300000001</v>
      </c>
      <c r="T26">
        <f t="shared" si="2"/>
        <v>364</v>
      </c>
      <c r="U26" s="138" t="str" cm="1">
        <f t="array" ref="U26">IFERROR(INDEX(AA$14:AA$63,_xlfn.AGGREGATE(15,6,ROW(AA$14:AA$63)-ROW(AA$14)+1/(AB$14:AB$63=LARGE(AB$14:AB$63,ROW()-13)),COUNTIF(V$14:V25,LARGE(AB$14:AB$63,ROW()-13))+1)),"")</f>
        <v/>
      </c>
      <c r="V26" s="131" t="str">
        <f t="shared" si="3"/>
        <v/>
      </c>
      <c r="W26" s="43"/>
      <c r="X26" s="130" t="str" cm="1">
        <f t="array" ref="X26">IFERROR(INDEX(AD$14:AD$63,_xlfn.AGGREGATE(15,6,ROW(AD$14:AD$63)-ROW(AD$14)+1/(AE$14:AE$63=LARGE(AE$14:AE$63,ROW()-13)),COUNTIF(Y$14:Y25,LARGE(AE$14:AE$63,ROW()-13))+1)),"")</f>
        <v>암석</v>
      </c>
      <c r="Y26" s="136">
        <f t="shared" si="4"/>
        <v>3</v>
      </c>
      <c r="AA26" t="str" cm="1">
        <f t="array" ref="AA26">IFERROR(INDEX(DB!$C$2:$C$2576,_xlfn.AGGREGATE(15,6,ROW(DB!$C$2:$C$2576)-1/((($D$3&lt;&gt;"YES")+($D$3="YES")*(DB!$E$2:$E$2576="YES"))*(($D$4="")+($D$4&lt;&gt;"")*(DB!$B$2:$B$2576=$D$4))*(($F$7="전체")+($F$7&lt;&gt;"전체")*(DB!$H$2:$H$2576=$F$7))*(COUNTIF(AA$13:AA25,DB!$C$2:$C$2576)=0)),1)),"")</f>
        <v/>
      </c>
      <c r="AB26" t="str" cm="1">
        <f t="array" ref="AB26">IF(AA26="","",SUMPRODUCT(((($D$3&lt;&gt;"YES")+($D$3="YES")*(DB!$E$2:$E$2576="YES"))*(($D$4="")+($D$4&lt;&gt;"")*(DB!$B$2:$B$2576=$D$4))*(($F$7="전체")+($F$7&lt;&gt;"전체")*(DB!$H$2:$H$2576=$F$7)))*(DB!$C$2:$C$2576=AA26)*1))</f>
        <v/>
      </c>
      <c r="AD26" t="str" cm="1">
        <f t="array" ref="AD26">IFERROR(INDEX(DB!$G$2:$G$2576,_xlfn.AGGREGATE(15,6,ROW(DB!$G$2:$G$2576)-1/((($D$3&lt;&gt;"YES")+($D$3="YES")*(DB!$E$2:$E$2576="YES"))*(($D$4="")+($D$4&lt;&gt;"")*(DB!$B$2:$B$2576=$D$4))*(($D$5="")+($D$5&lt;&gt;"")*(DB!$C$2:$C$2576=$D$5))*(($D$6="")+($D$6&lt;&gt;"")*(DB!$D$2:$D$2576=$D$6))*(($D$7="")+($D$7&lt;&gt;"")*(ISNUMBER(SEARCH($D$7,DB!$G$2:$G$2576))))*(($F$7="전체")+($F$7&lt;&gt;"전체")*(DB!$H$2:$H$2576=$F$7))*(COUNTIF(AD$13:AD25,DB!$G$2:$G$2576)=0)),1)),"")</f>
        <v>바닥(바닥에 걸려 넘어짐)</v>
      </c>
      <c r="AE26" cm="1">
        <f t="array" ref="AE26">IF(AD26="","",SUMPRODUCT(((($D$3&lt;&gt;"YES")+($D$3="YES")*(DB!$E$2:$E$2576="YES"))*(($D$4="")+($D$4&lt;&gt;"")*(DB!$B$2:$B$2576=$D$4))*(($D$5="")+($D$5&lt;&gt;"")*(DB!$C$2:$C$2576=$D$5))*(($D$6="")+($D$6&lt;&gt;"")*(DB!$D$2:$D$2576=$D$6))*(($D$7="")+($D$7&lt;&gt;"")*(ISNUMBER(SEARCH($D$7,DB!$G$2:$G$2576))))*(($F$7="전체")+($F$7&lt;&gt;"전체")*(DB!$H$2:$H$2576=$F$7)))*(DB!$G$2:$G$2576=AD26)*1))</f>
        <v>1</v>
      </c>
    </row>
    <row r="27" spans="1:31" ht="100" customHeight="1">
      <c r="A27" s="26"/>
      <c r="B27" s="42">
        <f t="shared" si="0"/>
        <v>14</v>
      </c>
      <c r="C27" s="43"/>
      <c r="D27" s="51" t="str" cm="1">
        <f t="array" ref="D27">IFERROR(INDEX(DB!G$2:G$2576,T27),"")</f>
        <v>굴착기</v>
      </c>
      <c r="E27" s="43"/>
      <c r="F27" s="52" t="str" cm="1">
        <f t="array" ref="F27">IFERROR(INDEX(DB!O$2:O$2576,T27),"")</f>
        <v>맞음</v>
      </c>
      <c r="G27" s="43"/>
      <c r="H27" s="40" t="str" cm="1">
        <f t="array" ref="H27">IFERROR(INDEX(DB!P$2:P$2576,T27),"")</f>
        <v>2020년 10월경 보강토 옹벽 블록공사 현장에서 재해재가 옹벽 기초부위 블록 정렬작업 중 굴착기 집게에 빠진 블록에 맞아 사망</v>
      </c>
      <c r="I27" s="43"/>
      <c r="J27" s="53" t="str" cm="1">
        <f t="array" ref="J27">IFERROR(INDEX(DB!Q$2:Q$2576,T27),"")</f>
        <v>굴삭기 붐 끝단에 장착 된 돌집게로 전석을 집어 붐대를 회전하던 중 돌집게에서 낙하하는 전석에 맞음</v>
      </c>
      <c r="K27" s="43"/>
      <c r="L27" s="41" t="str" cm="1">
        <f t="array" ref="L27">IFERROR(INDEX(DB!R$2:R$2576,T27),"")</f>
        <v>▶ 중량물 제원 및 작업장소를 고려하여 적합한 건설장비 선정 및 사용
▶ 차량계 하역운반기계 사용할 경우 작업계획서를 작성하고 작업계획에 맞게 작업실시
▶ 자재인양 등 중량물 취급작업 시 낙하위험 지역에 대해 근로자 출입 통제</v>
      </c>
      <c r="M27" s="43"/>
      <c r="P27" cm="1">
        <f t="array" ref="P27">IFERROR(_xlfn.AGGREGATE(15,6,ROW(DB!A$2:A$2576)/((($D$3&lt;&gt;"YES")+($D$3="YES")*(DB!E$2:E$2576="YES"))*(($D$4="")+($D$4&lt;&gt;"")*( DB!B$2:B$2576=$D$4))*(($D$5="")+($D$5&lt;&gt;"")*( DB!C$2:C$2576=$D$5))*(($D$6="")+($D$6&lt;&gt;"")*( DB!D$2:D$2576=$D$6))*(($D$7="")+($D$7&lt;&gt;"")*(ISNUMBER(SEARCH($D$7,DB!G$2:G$2576))))*(($F$7="전체")+($F$7&lt;&gt;"전체")*(DB!H$2:H$2576=$F$7))),ROW()-13)-1,"")</f>
        <v>371</v>
      </c>
      <c r="Q27" t="str" cm="1">
        <f t="array" ref="Q27">IFERROR(INDEX(DB!G$2:G$2576,P27),"")</f>
        <v>굴착기</v>
      </c>
      <c r="R27" t="str" cm="1">
        <f t="array" ref="R27">IFERROR(INDEX(DB!O$2:O$2576,P27),"")</f>
        <v>깔림 뒤집힘</v>
      </c>
      <c r="S27">
        <f t="shared" si="1"/>
        <v>244620.014</v>
      </c>
      <c r="T27">
        <f t="shared" si="2"/>
        <v>368</v>
      </c>
      <c r="U27" s="138" t="str" cm="1">
        <f t="array" ref="U27">IFERROR(INDEX(AA$14:AA$63,_xlfn.AGGREGATE(15,6,ROW(AA$14:AA$63)-ROW(AA$14)+1/(AB$14:AB$63=LARGE(AB$14:AB$63,ROW()-13)),COUNTIF(V$14:V26,LARGE(AB$14:AB$63,ROW()-13))+1)),"")</f>
        <v/>
      </c>
      <c r="V27" s="131" t="str">
        <f t="shared" si="3"/>
        <v/>
      </c>
      <c r="W27" s="43"/>
      <c r="X27" s="130" t="str" cm="1">
        <f t="array" ref="X27">IFERROR(INDEX(AD$14:AD$63,_xlfn.AGGREGATE(15,6,ROW(AD$14:AD$63)-ROW(AD$14)+1/(AE$14:AE$63=LARGE(AE$14:AE$63,ROW()-13)),COUNTIF(Y$14:Y26,LARGE(AE$14:AE$63,ROW()-13))+1)),"")</f>
        <v>로울러</v>
      </c>
      <c r="Y27" s="136">
        <f t="shared" si="4"/>
        <v>2</v>
      </c>
      <c r="AA27" t="str" cm="1">
        <f t="array" ref="AA27">IFERROR(INDEX(DB!$C$2:$C$2576,_xlfn.AGGREGATE(15,6,ROW(DB!$C$2:$C$2576)-1/((($D$3&lt;&gt;"YES")+($D$3="YES")*(DB!$E$2:$E$2576="YES"))*(($D$4="")+($D$4&lt;&gt;"")*(DB!$B$2:$B$2576=$D$4))*(($F$7="전체")+($F$7&lt;&gt;"전체")*(DB!$H$2:$H$2576=$F$7))*(COUNTIF(AA$13:AA26,DB!$C$2:$C$2576)=0)),1)),"")</f>
        <v/>
      </c>
      <c r="AB27" t="str" cm="1">
        <f t="array" ref="AB27">IF(AA27="","",SUMPRODUCT(((($D$3&lt;&gt;"YES")+($D$3="YES")*(DB!$E$2:$E$2576="YES"))*(($D$4="")+($D$4&lt;&gt;"")*(DB!$B$2:$B$2576=$D$4))*(($F$7="전체")+($F$7&lt;&gt;"전체")*(DB!$H$2:$H$2576=$F$7)))*(DB!$C$2:$C$2576=AA27)*1))</f>
        <v/>
      </c>
      <c r="AD27" t="str" cm="1">
        <f t="array" ref="AD27">IFERROR(INDEX(DB!$G$2:$G$2576,_xlfn.AGGREGATE(15,6,ROW(DB!$G$2:$G$2576)-1/((($D$3&lt;&gt;"YES")+($D$3="YES")*(DB!$E$2:$E$2576="YES"))*(($D$4="")+($D$4&lt;&gt;"")*(DB!$B$2:$B$2576=$D$4))*(($D$5="")+($D$5&lt;&gt;"")*(DB!$C$2:$C$2576=$D$5))*(($D$6="")+($D$6&lt;&gt;"")*(DB!$D$2:$D$2576=$D$6))*(($D$7="")+($D$7&lt;&gt;"")*(ISNUMBER(SEARCH($D$7,DB!$G$2:$G$2576))))*(($F$7="전체")+($F$7&lt;&gt;"전체")*(DB!$H$2:$H$2576=$F$7))*(COUNTIF(AD$13:AD26,DB!$G$2:$G$2576)=0)),1)),"")</f>
        <v>배관</v>
      </c>
      <c r="AE27" cm="1">
        <f t="array" ref="AE27">IF(AD27="","",SUMPRODUCT(((($D$3&lt;&gt;"YES")+($D$3="YES")*(DB!$E$2:$E$2576="YES"))*(($D$4="")+($D$4&lt;&gt;"")*(DB!$B$2:$B$2576=$D$4))*(($D$5="")+($D$5&lt;&gt;"")*(DB!$C$2:$C$2576=$D$5))*(($D$6="")+($D$6&lt;&gt;"")*(DB!$D$2:$D$2576=$D$6))*(($D$7="")+($D$7&lt;&gt;"")*(ISNUMBER(SEARCH($D$7,DB!$G$2:$G$2576))))*(($F$7="전체")+($F$7&lt;&gt;"전체")*(DB!$H$2:$H$2576=$F$7)))*(DB!$G$2:$G$2576=AD27)*1))</f>
        <v>6</v>
      </c>
    </row>
    <row r="28" spans="1:31" ht="100" customHeight="1">
      <c r="A28" s="26"/>
      <c r="B28" s="39">
        <f t="shared" si="0"/>
        <v>15</v>
      </c>
      <c r="C28" s="43"/>
      <c r="D28" s="51" t="str" cm="1">
        <f t="array" ref="D28">IFERROR(INDEX(DB!G$2:G$2576,T28),"")</f>
        <v>굴착기</v>
      </c>
      <c r="E28" s="43"/>
      <c r="F28" s="52" t="str" cm="1">
        <f t="array" ref="F28">IFERROR(INDEX(DB!O$2:O$2576,T28),"")</f>
        <v>맞음</v>
      </c>
      <c r="G28" s="43"/>
      <c r="H28" s="40" t="str" cm="1">
        <f t="array" ref="H28">IFERROR(INDEX(DB!P$2:P$2576,T28),"")</f>
        <v>2019년 OO건설 OO공사현장에서 OO고속도로 IC램프 차로확장 작업을 하기위해 백호우 붐대에 브레이커를 장착 기존 램프도로 가장자리 U형 측구 구조물 파쇄 작업도중 파쇄된 콘크리트 파편이 비산 되면서 재해자의 왼쪽 안면 턱 부위를 강타하여 사망</v>
      </c>
      <c r="I28" s="43"/>
      <c r="J28" s="53" t="str" cm="1">
        <f t="array" ref="J28">IFERROR(INDEX(DB!Q$2:Q$2576,T28),"")</f>
        <v>브레이커를 이용하여 도로측구 구조물 파쇄 작업을 하던 중 파쇄된 콘크리트 파편이 비산되면서 재해자 얼굴 강타</v>
      </c>
      <c r="K28" s="43"/>
      <c r="L28" s="41" t="str" cm="1">
        <f t="array" ref="L28">IFERROR(INDEX(DB!R$2:R$2576,T28),"")</f>
        <v>▶ 비래위험구간 작업반경 내 작업자의 출입을 금지하며 유도자 및 신호수 배치
▶ 구조물 파쇄 작업 시 인근에 작업자 존재 유무를 수시로 파악, 관리</v>
      </c>
      <c r="M28" s="43"/>
      <c r="P28" cm="1">
        <f t="array" ref="P28">IFERROR(_xlfn.AGGREGATE(15,6,ROW(DB!A$2:A$2576)/((($D$3&lt;&gt;"YES")+($D$3="YES")*(DB!E$2:E$2576="YES"))*(($D$4="")+($D$4&lt;&gt;"")*( DB!B$2:B$2576=$D$4))*(($D$5="")+($D$5&lt;&gt;"")*( DB!C$2:C$2576=$D$5))*(($D$6="")+($D$6&lt;&gt;"")*( DB!D$2:D$2576=$D$6))*(($D$7="")+($D$7&lt;&gt;"")*(ISNUMBER(SEARCH($D$7,DB!G$2:G$2576))))*(($F$7="전체")+($F$7&lt;&gt;"전체")*(DB!H$2:H$2576=$F$7))),ROW()-13)-1,"")</f>
        <v>372</v>
      </c>
      <c r="Q28" t="str" cm="1">
        <f t="array" ref="Q28">IFERROR(INDEX(DB!G$2:G$2576,P28),"")</f>
        <v>트럭</v>
      </c>
      <c r="R28" t="str" cm="1">
        <f t="array" ref="R28">IFERROR(INDEX(DB!O$2:O$2576,P28),"")</f>
        <v>깔림 뒤집힘</v>
      </c>
      <c r="S28">
        <f t="shared" si="1"/>
        <v>258020.01500000001</v>
      </c>
      <c r="T28">
        <f t="shared" si="2"/>
        <v>378</v>
      </c>
      <c r="U28" s="138" t="str" cm="1">
        <f t="array" ref="U28">IFERROR(INDEX(AA$14:AA$63,_xlfn.AGGREGATE(15,6,ROW(AA$14:AA$63)-ROW(AA$14)+1/(AB$14:AB$63=LARGE(AB$14:AB$63,ROW()-13)),COUNTIF(V$14:V27,LARGE(AB$14:AB$63,ROW()-13))+1)),"")</f>
        <v/>
      </c>
      <c r="V28" s="131" t="str">
        <f t="shared" si="3"/>
        <v/>
      </c>
      <c r="W28" s="43"/>
      <c r="X28" s="130" t="str" cm="1">
        <f t="array" ref="X28">IFERROR(INDEX(AD$14:AD$63,_xlfn.AGGREGATE(15,6,ROW(AD$14:AD$63)-ROW(AD$14)+1/(AE$14:AE$63=LARGE(AE$14:AE$63,ROW()-13)),COUNTIF(Y$14:Y27,LARGE(AE$14:AE$63,ROW()-13))+1)),"")</f>
        <v>철근콘크리트자재(철근,콘크리트,PC)</v>
      </c>
      <c r="Y28" s="136">
        <f t="shared" si="4"/>
        <v>2</v>
      </c>
      <c r="AA28" t="str" cm="1">
        <f t="array" ref="AA28">IFERROR(INDEX(DB!$C$2:$C$2576,_xlfn.AGGREGATE(15,6,ROW(DB!$C$2:$C$2576)-1/((($D$3&lt;&gt;"YES")+($D$3="YES")*(DB!$E$2:$E$2576="YES"))*(($D$4="")+($D$4&lt;&gt;"")*(DB!$B$2:$B$2576=$D$4))*(($F$7="전체")+($F$7&lt;&gt;"전체")*(DB!$H$2:$H$2576=$F$7))*(COUNTIF(AA$13:AA27,DB!$C$2:$C$2576)=0)),1)),"")</f>
        <v/>
      </c>
      <c r="AB28" t="str" cm="1">
        <f t="array" ref="AB28">IF(AA28="","",SUMPRODUCT(((($D$3&lt;&gt;"YES")+($D$3="YES")*(DB!$E$2:$E$2576="YES"))*(($D$4="")+($D$4&lt;&gt;"")*(DB!$B$2:$B$2576=$D$4))*(($F$7="전체")+($F$7&lt;&gt;"전체")*(DB!$H$2:$H$2576=$F$7)))*(DB!$C$2:$C$2576=AA28)*1))</f>
        <v/>
      </c>
      <c r="AD28" t="str" cm="1">
        <f t="array" ref="AD28">IFERROR(INDEX(DB!$G$2:$G$2576,_xlfn.AGGREGATE(15,6,ROW(DB!$G$2:$G$2576)-1/((($D$3&lt;&gt;"YES")+($D$3="YES")*(DB!$E$2:$E$2576="YES"))*(($D$4="")+($D$4&lt;&gt;"")*(DB!$B$2:$B$2576=$D$4))*(($D$5="")+($D$5&lt;&gt;"")*(DB!$C$2:$C$2576=$D$5))*(($D$6="")+($D$6&lt;&gt;"")*(DB!$D$2:$D$2576=$D$6))*(($D$7="")+($D$7&lt;&gt;"")*(ISNUMBER(SEARCH($D$7,DB!$G$2:$G$2576))))*(($F$7="전체")+($F$7&lt;&gt;"전체")*(DB!$H$2:$H$2576=$F$7))*(COUNTIF(AD$13:AD27,DB!$G$2:$G$2576)=0)),1)),"")</f>
        <v>벽체</v>
      </c>
      <c r="AE28" cm="1">
        <f t="array" ref="AE28">IF(AD28="","",SUMPRODUCT(((($D$3&lt;&gt;"YES")+($D$3="YES")*(DB!$E$2:$E$2576="YES"))*(($D$4="")+($D$4&lt;&gt;"")*(DB!$B$2:$B$2576=$D$4))*(($D$5="")+($D$5&lt;&gt;"")*(DB!$C$2:$C$2576=$D$5))*(($D$6="")+($D$6&lt;&gt;"")*(DB!$D$2:$D$2576=$D$6))*(($D$7="")+($D$7&lt;&gt;"")*(ISNUMBER(SEARCH($D$7,DB!$G$2:$G$2576))))*(($F$7="전체")+($F$7&lt;&gt;"전체")*(DB!$H$2:$H$2576=$F$7)))*(DB!$G$2:$G$2576=AD28)*1))</f>
        <v>4</v>
      </c>
    </row>
    <row r="29" spans="1:31" ht="100" customHeight="1">
      <c r="A29" s="26"/>
      <c r="B29" s="42">
        <f t="shared" si="0"/>
        <v>16</v>
      </c>
      <c r="C29" s="43"/>
      <c r="D29" s="51" t="str" cm="1">
        <f t="array" ref="D29">IFERROR(INDEX(DB!G$2:G$2576,T29),"")</f>
        <v>굴착기</v>
      </c>
      <c r="E29" s="43"/>
      <c r="F29" s="52" t="str" cm="1">
        <f t="array" ref="F29">IFERROR(INDEX(DB!O$2:O$2576,T29),"")</f>
        <v>맞음(낙하물체)</v>
      </c>
      <c r="G29" s="43"/>
      <c r="H29" s="40" t="str" cm="1">
        <f t="array" ref="H29">IFERROR(INDEX(DB!P$2:P$2576,T29),"")</f>
        <v>2019년 8월경 택지조성공사에서 재해자가 유로폼을 적재하기 위해 고임목 설치작업을 하던 중 굴착기 훅에 걸린 슬링벨트가 풀리면서 낙하한 유로폼 묶음(703kg)에 깔려 사망</v>
      </c>
      <c r="I29" s="43"/>
      <c r="J29" s="53" t="str" cm="1">
        <f t="array" ref="J29">IFERROR(INDEX(DB!Q$2:Q$2576,T29),"")</f>
        <v>굴삭기 훅에 걸린 슬링벨트가 풀리며 유로폼 묶음이 근로자 위로 낙하함</v>
      </c>
      <c r="K29" s="43"/>
      <c r="L29" s="41" t="str" cm="1">
        <f t="array" ref="L29">IFERROR(INDEX(DB!R$2:R$2576,T29),"")</f>
        <v>▶ 중량물 제원 및 작업장소를 고려하여 적합한 건설장비 선정 및 사용
▶ 차량계 하역운반기계 사용할 경우 작업계획서를 작성하고 작업계획에 맞게 작업실시
▶ 자재인양 등 중량물 취급작업 시 낙하위험 지역에 대해 근로자 출입 통제</v>
      </c>
      <c r="M29" s="43"/>
      <c r="P29" cm="1">
        <f t="array" ref="P29">IFERROR(_xlfn.AGGREGATE(15,6,ROW(DB!A$2:A$2576)/((($D$3&lt;&gt;"YES")+($D$3="YES")*(DB!E$2:E$2576="YES"))*(($D$4="")+($D$4&lt;&gt;"")*( DB!B$2:B$2576=$D$4))*(($D$5="")+($D$5&lt;&gt;"")*( DB!C$2:C$2576=$D$5))*(($D$6="")+($D$6&lt;&gt;"")*( DB!D$2:D$2576=$D$6))*(($D$7="")+($D$7&lt;&gt;"")*(ISNUMBER(SEARCH($D$7,DB!G$2:G$2576))))*(($F$7="전체")+($F$7&lt;&gt;"전체")*(DB!H$2:H$2576=$F$7))),ROW()-13)-1,"")</f>
        <v>373</v>
      </c>
      <c r="Q29" t="str" cm="1">
        <f t="array" ref="Q29">IFERROR(INDEX(DB!G$2:G$2576,P29),"")</f>
        <v>기타건설장비</v>
      </c>
      <c r="R29" t="str" cm="1">
        <f t="array" ref="R29">IFERROR(INDEX(DB!O$2:O$2576,P29),"")</f>
        <v>깔림 뒤집힘</v>
      </c>
      <c r="S29">
        <f t="shared" si="1"/>
        <v>247720.016</v>
      </c>
      <c r="T29">
        <f t="shared" si="2"/>
        <v>367</v>
      </c>
      <c r="U29" s="138" t="str" cm="1">
        <f t="array" ref="U29">IFERROR(INDEX(AA$14:AA$63,_xlfn.AGGREGATE(15,6,ROW(AA$14:AA$63)-ROW(AA$14)+1/(AB$14:AB$63=LARGE(AB$14:AB$63,ROW()-13)),COUNTIF(V$14:V28,LARGE(AB$14:AB$63,ROW()-13))+1)),"")</f>
        <v/>
      </c>
      <c r="V29" s="131" t="str">
        <f t="shared" si="3"/>
        <v/>
      </c>
      <c r="W29" s="43"/>
      <c r="X29" s="130" t="str" cm="1">
        <f t="array" ref="X29">IFERROR(INDEX(AD$14:AD$63,_xlfn.AGGREGATE(15,6,ROW(AD$14:AD$63)-ROW(AD$14)+1/(AE$14:AE$63=LARGE(AE$14:AE$63,ROW()-13)),COUNTIF(Y$14:Y28,LARGE(AE$14:AE$63,ROW()-13))+1)),"")</f>
        <v>절단기/톱</v>
      </c>
      <c r="Y29" s="136">
        <f t="shared" si="4"/>
        <v>2</v>
      </c>
      <c r="AA29" t="str" cm="1">
        <f t="array" ref="AA29">IFERROR(INDEX(DB!$C$2:$C$2576,_xlfn.AGGREGATE(15,6,ROW(DB!$C$2:$C$2576)-1/((($D$3&lt;&gt;"YES")+($D$3="YES")*(DB!$E$2:$E$2576="YES"))*(($D$4="")+($D$4&lt;&gt;"")*(DB!$B$2:$B$2576=$D$4))*(($F$7="전체")+($F$7&lt;&gt;"전체")*(DB!$H$2:$H$2576=$F$7))*(COUNTIF(AA$13:AA28,DB!$C$2:$C$2576)=0)),1)),"")</f>
        <v/>
      </c>
      <c r="AB29" t="str" cm="1">
        <f t="array" ref="AB29">IF(AA29="","",SUMPRODUCT(((($D$3&lt;&gt;"YES")+($D$3="YES")*(DB!$E$2:$E$2576="YES"))*(($D$4="")+($D$4&lt;&gt;"")*(DB!$B$2:$B$2576=$D$4))*(($F$7="전체")+($F$7&lt;&gt;"전체")*(DB!$H$2:$H$2576=$F$7)))*(DB!$C$2:$C$2576=AA29)*1))</f>
        <v/>
      </c>
      <c r="AD29" t="str" cm="1">
        <f t="array" ref="AD29">IFERROR(INDEX(DB!$G$2:$G$2576,_xlfn.AGGREGATE(15,6,ROW(DB!$G$2:$G$2576)-1/((($D$3&lt;&gt;"YES")+($D$3="YES")*(DB!$E$2:$E$2576="YES"))*(($D$4="")+($D$4&lt;&gt;"")*(DB!$B$2:$B$2576=$D$4))*(($D$5="")+($D$5&lt;&gt;"")*(DB!$C$2:$C$2576=$D$5))*(($D$6="")+($D$6&lt;&gt;"")*(DB!$D$2:$D$2576=$D$6))*(($D$7="")+($D$7&lt;&gt;"")*(ISNUMBER(SEARCH($D$7,DB!$G$2:$G$2576))))*(($F$7="전체")+($F$7&lt;&gt;"전체")*(DB!$H$2:$H$2576=$F$7))*(COUNTIF(AD$13:AD28,DB!$G$2:$G$2576)=0)),1)),"")</f>
        <v>원인미상</v>
      </c>
      <c r="AE29" cm="1">
        <f t="array" ref="AE29">IF(AD29="","",SUMPRODUCT(((($D$3&lt;&gt;"YES")+($D$3="YES")*(DB!$E$2:$E$2576="YES"))*(($D$4="")+($D$4&lt;&gt;"")*(DB!$B$2:$B$2576=$D$4))*(($D$5="")+($D$5&lt;&gt;"")*(DB!$C$2:$C$2576=$D$5))*(($D$6="")+($D$6&lt;&gt;"")*(DB!$D$2:$D$2576=$D$6))*(($D$7="")+($D$7&lt;&gt;"")*(ISNUMBER(SEARCH($D$7,DB!$G$2:$G$2576))))*(($F$7="전체")+($F$7&lt;&gt;"전체")*(DB!$H$2:$H$2576=$F$7)))*(DB!$G$2:$G$2576=AD29)*1))</f>
        <v>1</v>
      </c>
    </row>
    <row r="30" spans="1:31" ht="100" customHeight="1">
      <c r="A30" s="26"/>
      <c r="B30" s="39">
        <f t="shared" si="0"/>
        <v>17</v>
      </c>
      <c r="C30" s="43"/>
      <c r="D30" s="51" t="str" cm="1">
        <f t="array" ref="D30">IFERROR(INDEX(DB!G$2:G$2576,T30),"")</f>
        <v>굴착기</v>
      </c>
      <c r="E30" s="43"/>
      <c r="F30" s="52" t="str" cm="1">
        <f t="array" ref="F30">IFERROR(INDEX(DB!O$2:O$2576,T30),"")</f>
        <v>맞음(낙하물체)</v>
      </c>
      <c r="G30" s="43"/>
      <c r="H30" s="40" t="str" cm="1">
        <f t="array" ref="H30">IFERROR(INDEX(DB!P$2:P$2576,T30),"")</f>
        <v>2017년 5월경 OOO도 OO시 OO면 소재 OOOO(주)이 시공하는 (주)OO 화물용 엘리베이터 증축 및 부대공사 현장에서 통신맨홀을 굴착저면(깊이 약 1m)에 재설치 한 후 재해자는 재설치한 맨홀을 다시 위치 조정하여 재설치하기 위해 맨홀을 설치한 바닥면으로 내려가 슬링벨트로 맨홀 줄걸이작업 준비중이었고 굴삭기 운전자는 재해자가 작업중인 맨홀 바로 위에 버킷을 정지시킨 상태에서 재해자가 굴착저면으로 내려간걸 보지 못하고 버킷을 움직이는 순간 퀵커플러에 부착된 버킷(용량 0.2㎥,중량 약 200kg)이 탈락되어 약 1m 아래 굴착부로 떨어지면서  재해자를 강타하여 사망한 재해임</v>
      </c>
      <c r="I30" s="43"/>
      <c r="J30" s="53" t="str" cm="1">
        <f t="array" ref="J30">IFERROR(INDEX(DB!Q$2:Q$2576,T30),"")</f>
        <v>관로작업 중 굴삭기에서 갑자기 버킷이 탈락하여 근로자에게 낙하</v>
      </c>
      <c r="K30" s="43"/>
      <c r="L30" s="41" t="str" cm="1">
        <f t="array" ref="L30">IFERROR(INDEX(DB!R$2:R$2576,T30),"")</f>
        <v>▶ 굴착면적에 따를 버킷 교체시 유압이 해제될 경우에도 연결장치(Quick coupler)에서 버킷 이탈방지를 위해 안전핀 체결하여 이중 잠금장치 실시
▶ 차량계 건설기계를 사용하여 굴착 등 작업을 하는 경우 유도자를 배치하여 안전하게 작업 수행</v>
      </c>
      <c r="M30" s="43"/>
      <c r="P30" cm="1">
        <f t="array" ref="P30">IFERROR(_xlfn.AGGREGATE(15,6,ROW(DB!A$2:A$2576)/((($D$3&lt;&gt;"YES")+($D$3="YES")*(DB!E$2:E$2576="YES"))*(($D$4="")+($D$4&lt;&gt;"")*( DB!B$2:B$2576=$D$4))*(($D$5="")+($D$5&lt;&gt;"")*( DB!C$2:C$2576=$D$5))*(($D$6="")+($D$6&lt;&gt;"")*( DB!D$2:D$2576=$D$6))*(($D$7="")+($D$7&lt;&gt;"")*(ISNUMBER(SEARCH($D$7,DB!G$2:G$2576))))*(($F$7="전체")+($F$7&lt;&gt;"전체")*(DB!H$2:H$2576=$F$7))),ROW()-13)-1,"")</f>
        <v>374</v>
      </c>
      <c r="Q30" t="str" cm="1">
        <f t="array" ref="Q30">IFERROR(INDEX(DB!G$2:G$2576,P30),"")</f>
        <v>굴착기</v>
      </c>
      <c r="R30" t="str" cm="1">
        <f t="array" ref="R30">IFERROR(INDEX(DB!O$2:O$2576,P30),"")</f>
        <v>깔림 뒤집힘</v>
      </c>
      <c r="S30">
        <f t="shared" si="1"/>
        <v>244620.01699999999</v>
      </c>
      <c r="T30">
        <f t="shared" si="2"/>
        <v>389</v>
      </c>
      <c r="U30" s="138" t="str" cm="1">
        <f t="array" ref="U30">IFERROR(INDEX(AA$14:AA$63,_xlfn.AGGREGATE(15,6,ROW(AA$14:AA$63)-ROW(AA$14)+1/(AB$14:AB$63=LARGE(AB$14:AB$63,ROW()-13)),COUNTIF(V$14:V29,LARGE(AB$14:AB$63,ROW()-13))+1)),"")</f>
        <v/>
      </c>
      <c r="V30" s="131" t="str">
        <f t="shared" si="3"/>
        <v/>
      </c>
      <c r="W30" s="43"/>
      <c r="X30" s="130" t="str" cm="1">
        <f t="array" ref="X30">IFERROR(INDEX(AD$14:AD$63,_xlfn.AGGREGATE(15,6,ROW(AD$14:AD$63)-ROW(AD$14)+1/(AE$14:AE$63=LARGE(AE$14:AE$63,ROW()-13)),COUNTIF(Y$14:Y29,LARGE(AE$14:AE$63,ROW()-13))+1)),"")</f>
        <v>전주</v>
      </c>
      <c r="Y30" s="136">
        <f t="shared" si="4"/>
        <v>2</v>
      </c>
      <c r="AA30" t="str" cm="1">
        <f t="array" ref="AA30">IFERROR(INDEX(DB!$C$2:$C$2576,_xlfn.AGGREGATE(15,6,ROW(DB!$C$2:$C$2576)-1/((($D$3&lt;&gt;"YES")+($D$3="YES")*(DB!$E$2:$E$2576="YES"))*(($D$4="")+($D$4&lt;&gt;"")*(DB!$B$2:$B$2576=$D$4))*(($F$7="전체")+($F$7&lt;&gt;"전체")*(DB!$H$2:$H$2576=$F$7))*(COUNTIF(AA$13:AA29,DB!$C$2:$C$2576)=0)),1)),"")</f>
        <v/>
      </c>
      <c r="AB30" t="str" cm="1">
        <f t="array" ref="AB30">IF(AA30="","",SUMPRODUCT(((($D$3&lt;&gt;"YES")+($D$3="YES")*(DB!$E$2:$E$2576="YES"))*(($D$4="")+($D$4&lt;&gt;"")*(DB!$B$2:$B$2576=$D$4))*(($F$7="전체")+($F$7&lt;&gt;"전체")*(DB!$H$2:$H$2576=$F$7)))*(DB!$C$2:$C$2576=AA30)*1))</f>
        <v/>
      </c>
      <c r="AD30" t="str" cm="1">
        <f t="array" ref="AD30">IFERROR(INDEX(DB!$G$2:$G$2576,_xlfn.AGGREGATE(15,6,ROW(DB!$G$2:$G$2576)-1/((($D$3&lt;&gt;"YES")+($D$3="YES")*(DB!$E$2:$E$2576="YES"))*(($D$4="")+($D$4&lt;&gt;"")*(DB!$B$2:$B$2576=$D$4))*(($D$5="")+($D$5&lt;&gt;"")*(DB!$C$2:$C$2576=$D$5))*(($D$6="")+($D$6&lt;&gt;"")*(DB!$D$2:$D$2576=$D$6))*(($D$7="")+($D$7&lt;&gt;"")*(ISNUMBER(SEARCH($D$7,DB!$G$2:$G$2576))))*(($F$7="전체")+($F$7&lt;&gt;"전체")*(DB!$H$2:$H$2576=$F$7))*(COUNTIF(AD$13:AD29,DB!$G$2:$G$2576)=0)),1)),"")</f>
        <v>분류불능</v>
      </c>
      <c r="AE30" cm="1">
        <f t="array" ref="AE30">IF(AD30="","",SUMPRODUCT(((($D$3&lt;&gt;"YES")+($D$3="YES")*(DB!$E$2:$E$2576="YES"))*(($D$4="")+($D$4&lt;&gt;"")*(DB!$B$2:$B$2576=$D$4))*(($D$5="")+($D$5&lt;&gt;"")*(DB!$C$2:$C$2576=$D$5))*(($D$6="")+($D$6&lt;&gt;"")*(DB!$D$2:$D$2576=$D$6))*(($D$7="")+($D$7&lt;&gt;"")*(ISNUMBER(SEARCH($D$7,DB!$G$2:$G$2576))))*(($F$7="전체")+($F$7&lt;&gt;"전체")*(DB!$H$2:$H$2576=$F$7)))*(DB!$G$2:$G$2576=AD30)*1))</f>
        <v>1</v>
      </c>
    </row>
    <row r="31" spans="1:31" ht="100" customHeight="1">
      <c r="A31" s="26"/>
      <c r="B31" s="42">
        <f t="shared" si="0"/>
        <v>18</v>
      </c>
      <c r="C31" s="43"/>
      <c r="D31" s="51" t="str" cm="1">
        <f t="array" ref="D31">IFERROR(INDEX(DB!G$2:G$2576,T31),"")</f>
        <v>굴착기</v>
      </c>
      <c r="E31" s="43"/>
      <c r="F31" s="52" t="str" cm="1">
        <f t="array" ref="F31">IFERROR(INDEX(DB!O$2:O$2576,T31),"")</f>
        <v>맞음(낙하물체)</v>
      </c>
      <c r="G31" s="43"/>
      <c r="H31" s="40" t="str" cm="1">
        <f t="array" ref="H31">IFERROR(INDEX(DB!P$2:P$2576,T31),"")</f>
        <v>2019년 5월경 OOO도 OO시 OO면 소재 OOOO(주)이 시공하는 OOOO 샌드위치판넬 제거 및 기타실 증축공사 현장에서 배관공인 재해자가 사각 집수정 맨홀 매설 및 파형강관 연결작업을 위해 약 2m 굴착하부에서 대기 중 굴착을 위해 버킷을 교체하고 선회한 굴삭기에서 버킷이 탈락해 아래로 굴러 떨어져 재해자의 등을 가격하였고, 맨홀과 탈락한 버킷 사이에 낀 재해자를 구조해 병원이송 후 치료 중 사망한 재해임.</v>
      </c>
      <c r="I31" s="43"/>
      <c r="J31" s="53" t="str" cm="1">
        <f t="array" ref="J31">IFERROR(INDEX(DB!Q$2:Q$2576,T31),"")</f>
        <v>관로작업 중 굴삭기에서 갑자기 버킷이 탈락하여 근로자에게 낙하</v>
      </c>
      <c r="K31" s="43"/>
      <c r="L31" s="41" t="str" cm="1">
        <f t="array" ref="L31">IFERROR(INDEX(DB!R$2:R$2576,T31),"")</f>
        <v>▶ 굴착면적에 따를 버킷 교체시 유압이 해제될 경우에도 연결장치(Quick coupler)에서 버킷 이탈방지를 위해 안전핀 체결하여 이중 잠금장치 실시
▶ 차량계 건설기계를 사용하여 굴착 등 작업을 하는 경우 유도자를 배치하여 안전하게 작업 수행</v>
      </c>
      <c r="M31" s="43"/>
      <c r="P31" cm="1">
        <f t="array" ref="P31">IFERROR(_xlfn.AGGREGATE(15,6,ROW(DB!A$2:A$2576)/((($D$3&lt;&gt;"YES")+($D$3="YES")*(DB!E$2:E$2576="YES"))*(($D$4="")+($D$4&lt;&gt;"")*( DB!B$2:B$2576=$D$4))*(($D$5="")+($D$5&lt;&gt;"")*( DB!C$2:C$2576=$D$5))*(($D$6="")+($D$6&lt;&gt;"")*( DB!D$2:D$2576=$D$6))*(($D$7="")+($D$7&lt;&gt;"")*(ISNUMBER(SEARCH($D$7,DB!G$2:G$2576))))*(($F$7="전체")+($F$7&lt;&gt;"전체")*(DB!H$2:H$2576=$F$7))),ROW()-13)-1,"")</f>
        <v>375</v>
      </c>
      <c r="Q31" t="str" cm="1">
        <f t="array" ref="Q31">IFERROR(INDEX(DB!G$2:G$2576,P31),"")</f>
        <v>굴착기</v>
      </c>
      <c r="R31" t="str" cm="1">
        <f t="array" ref="R31">IFERROR(INDEX(DB!O$2:O$2576,P31),"")</f>
        <v>끼임</v>
      </c>
      <c r="S31">
        <f t="shared" si="1"/>
        <v>244644.01800000001</v>
      </c>
      <c r="T31">
        <f t="shared" si="2"/>
        <v>397</v>
      </c>
      <c r="U31" s="138" t="str" cm="1">
        <f t="array" ref="U31">IFERROR(INDEX(AA$14:AA$63,_xlfn.AGGREGATE(15,6,ROW(AA$14:AA$63)-ROW(AA$14)+1/(AB$14:AB$63=LARGE(AB$14:AB$63,ROW()-13)),COUNTIF(V$14:V30,LARGE(AB$14:AB$63,ROW()-13))+1)),"")</f>
        <v/>
      </c>
      <c r="V31" s="131" t="str">
        <f t="shared" si="3"/>
        <v/>
      </c>
      <c r="W31" s="43"/>
      <c r="X31" s="130" t="str" cm="1">
        <f t="array" ref="X31">IFERROR(INDEX(AD$14:AD$63,_xlfn.AGGREGATE(15,6,ROW(AD$14:AD$63)-ROW(AD$14)+1/(AE$14:AE$63=LARGE(AE$14:AE$63,ROW()-13)),COUNTIF(Y$14:Y30,LARGE(AE$14:AE$63,ROW()-13))+1)),"")</f>
        <v>충전부</v>
      </c>
      <c r="Y31" s="136">
        <f t="shared" si="4"/>
        <v>2</v>
      </c>
      <c r="AA31" t="str" cm="1">
        <f t="array" ref="AA31">IFERROR(INDEX(DB!$C$2:$C$2576,_xlfn.AGGREGATE(15,6,ROW(DB!$C$2:$C$2576)-1/((($D$3&lt;&gt;"YES")+($D$3="YES")*(DB!$E$2:$E$2576="YES"))*(($D$4="")+($D$4&lt;&gt;"")*(DB!$B$2:$B$2576=$D$4))*(($F$7="전체")+($F$7&lt;&gt;"전체")*(DB!$H$2:$H$2576=$F$7))*(COUNTIF(AA$13:AA30,DB!$C$2:$C$2576)=0)),1)),"")</f>
        <v/>
      </c>
      <c r="AB31" t="str" cm="1">
        <f t="array" ref="AB31">IF(AA31="","",SUMPRODUCT(((($D$3&lt;&gt;"YES")+($D$3="YES")*(DB!$E$2:$E$2576="YES"))*(($D$4="")+($D$4&lt;&gt;"")*(DB!$B$2:$B$2576=$D$4))*(($F$7="전체")+($F$7&lt;&gt;"전체")*(DB!$H$2:$H$2576=$F$7)))*(DB!$C$2:$C$2576=AA31)*1))</f>
        <v/>
      </c>
      <c r="AD31" t="str" cm="1">
        <f t="array" ref="AD31">IFERROR(INDEX(DB!$G$2:$G$2576,_xlfn.AGGREGATE(15,6,ROW(DB!$G$2:$G$2576)-1/((($D$3&lt;&gt;"YES")+($D$3="YES")*(DB!$E$2:$E$2576="YES"))*(($D$4="")+($D$4&lt;&gt;"")*(DB!$B$2:$B$2576=$D$4))*(($D$5="")+($D$5&lt;&gt;"")*(DB!$C$2:$C$2576=$D$5))*(($D$6="")+($D$6&lt;&gt;"")*(DB!$D$2:$D$2576=$D$6))*(($D$7="")+($D$7&lt;&gt;"")*(ISNUMBER(SEARCH($D$7,DB!$G$2:$G$2576))))*(($F$7="전체")+($F$7&lt;&gt;"전체")*(DB!$H$2:$H$2576=$F$7))*(COUNTIF(AD$13:AD30,DB!$G$2:$G$2576)=0)),1)),"")</f>
        <v>비계</v>
      </c>
      <c r="AE31" cm="1">
        <f t="array" ref="AE31">IF(AD31="","",SUMPRODUCT(((($D$3&lt;&gt;"YES")+($D$3="YES")*(DB!$E$2:$E$2576="YES"))*(($D$4="")+($D$4&lt;&gt;"")*(DB!$B$2:$B$2576=$D$4))*(($D$5="")+($D$5&lt;&gt;"")*(DB!$C$2:$C$2576=$D$5))*(($D$6="")+($D$6&lt;&gt;"")*(DB!$D$2:$D$2576=$D$6))*(($D$7="")+($D$7&lt;&gt;"")*(ISNUMBER(SEARCH($D$7,DB!$G$2:$G$2576))))*(($F$7="전체")+($F$7&lt;&gt;"전체")*(DB!$H$2:$H$2576=$F$7)))*(DB!$G$2:$G$2576=AD31)*1))</f>
        <v>1</v>
      </c>
    </row>
    <row r="32" spans="1:31" ht="100" customHeight="1">
      <c r="A32" s="26"/>
      <c r="B32" s="39">
        <f t="shared" si="0"/>
        <v>19</v>
      </c>
      <c r="C32" s="43"/>
      <c r="D32" s="51" t="str" cm="1">
        <f t="array" ref="D32">IFERROR(INDEX(DB!G$2:G$2576,T32),"")</f>
        <v>굴착기</v>
      </c>
      <c r="E32" s="43"/>
      <c r="F32" s="52" t="str" cm="1">
        <f t="array" ref="F32">IFERROR(INDEX(DB!O$2:O$2576,T32),"")</f>
        <v>맞음(낙하물체)</v>
      </c>
      <c r="G32" s="43"/>
      <c r="H32" s="40" t="str" cm="1">
        <f t="array" ref="H32">IFERROR(INDEX(DB!P$2:P$2576,T32),"")</f>
        <v>2020년 3월경 OOOO도 OO시 소재 OOO OOOO 도로개설공사 현장에서 재해자가 굴착면 하부에서 삽 등으로 관로 연결 작업을 하던 중, 굴착면 상부에 위치한 굴착기의 버킷이 탈락 및 낙하하여 하부에 있던 재해자가 맞아 사망한 재해임.</v>
      </c>
      <c r="I32" s="43"/>
      <c r="J32" s="53" t="str" cm="1">
        <f t="array" ref="J32">IFERROR(INDEX(DB!Q$2:Q$2576,T32),"")</f>
        <v>관로작업 중 굴삭기에서 갑자기 버킷이 탈락하여 근로자에게 낙하</v>
      </c>
      <c r="K32" s="43"/>
      <c r="L32" s="41" t="str" cm="1">
        <f t="array" ref="L32">IFERROR(INDEX(DB!R$2:R$2576,T32),"")</f>
        <v>▶ 굴착면적에 따를 버킷 교체시 유압이 해제될 경우에도 연결장치(Quick coupler)에서 버킷 이탈방지를 위해 안전핀 체결하여 이중 잠금장치 실시
▶ 차량계 건설기계를 사용하여 굴착 등 작업을 하는 경우 유도자를 배치하여 안전하게 작업 수행</v>
      </c>
      <c r="M32" s="43"/>
      <c r="P32" cm="1">
        <f t="array" ref="P32">IFERROR(_xlfn.AGGREGATE(15,6,ROW(DB!A$2:A$2576)/((($D$3&lt;&gt;"YES")+($D$3="YES")*(DB!E$2:E$2576="YES"))*(($D$4="")+($D$4&lt;&gt;"")*( DB!B$2:B$2576=$D$4))*(($D$5="")+($D$5&lt;&gt;"")*( DB!C$2:C$2576=$D$5))*(($D$6="")+($D$6&lt;&gt;"")*( DB!D$2:D$2576=$D$6))*(($D$7="")+($D$7&lt;&gt;"")*(ISNUMBER(SEARCH($D$7,DB!G$2:G$2576))))*(($F$7="전체")+($F$7&lt;&gt;"전체")*(DB!H$2:H$2576=$F$7))),ROW()-13)-1,"")</f>
        <v>376</v>
      </c>
      <c r="Q32" t="str" cm="1">
        <f t="array" ref="Q32">IFERROR(INDEX(DB!G$2:G$2576,P32),"")</f>
        <v>트럭</v>
      </c>
      <c r="R32" t="str" cm="1">
        <f t="array" ref="R32">IFERROR(INDEX(DB!O$2:O$2576,P32),"")</f>
        <v>부딪힘 접촉</v>
      </c>
      <c r="S32">
        <f t="shared" si="1"/>
        <v>258141.019</v>
      </c>
      <c r="T32">
        <f t="shared" si="2"/>
        <v>400</v>
      </c>
      <c r="U32" s="138" t="str" cm="1">
        <f t="array" ref="U32">IFERROR(INDEX(AA$14:AA$63,_xlfn.AGGREGATE(15,6,ROW(AA$14:AA$63)-ROW(AA$14)+1/(AB$14:AB$63=LARGE(AB$14:AB$63,ROW()-13)),COUNTIF(V$14:V31,LARGE(AB$14:AB$63,ROW()-13))+1)),"")</f>
        <v/>
      </c>
      <c r="V32" s="131" t="str">
        <f t="shared" si="3"/>
        <v/>
      </c>
      <c r="W32" s="43"/>
      <c r="X32" s="130" t="str" cm="1">
        <f t="array" ref="X32">IFERROR(INDEX(AD$14:AD$63,_xlfn.AGGREGATE(15,6,ROW(AD$14:AD$63)-ROW(AD$14)+1/(AE$14:AE$63=LARGE(AE$14:AE$63,ROW()-13)),COUNTIF(Y$14:Y31,LARGE(AE$14:AE$63,ROW()-13))+1)),"")</f>
        <v>콘크리트펌프카</v>
      </c>
      <c r="Y32" s="136">
        <f t="shared" si="4"/>
        <v>1</v>
      </c>
      <c r="AA32" t="str" cm="1">
        <f t="array" ref="AA32">IFERROR(INDEX(DB!$C$2:$C$2576,_xlfn.AGGREGATE(15,6,ROW(DB!$C$2:$C$2576)-1/((($D$3&lt;&gt;"YES")+($D$3="YES")*(DB!$E$2:$E$2576="YES"))*(($D$4="")+($D$4&lt;&gt;"")*(DB!$B$2:$B$2576=$D$4))*(($F$7="전체")+($F$7&lt;&gt;"전체")*(DB!$H$2:$H$2576=$F$7))*(COUNTIF(AA$13:AA31,DB!$C$2:$C$2576)=0)),1)),"")</f>
        <v/>
      </c>
      <c r="AB32" t="str" cm="1">
        <f t="array" ref="AB32">IF(AA32="","",SUMPRODUCT(((($D$3&lt;&gt;"YES")+($D$3="YES")*(DB!$E$2:$E$2576="YES"))*(($D$4="")+($D$4&lt;&gt;"")*(DB!$B$2:$B$2576=$D$4))*(($F$7="전체")+($F$7&lt;&gt;"전체")*(DB!$H$2:$H$2576=$F$7)))*(DB!$C$2:$C$2576=AA32)*1))</f>
        <v/>
      </c>
      <c r="AD32" t="str" cm="1">
        <f t="array" ref="AD32">IFERROR(INDEX(DB!$G$2:$G$2576,_xlfn.AGGREGATE(15,6,ROW(DB!$G$2:$G$2576)-1/((($D$3&lt;&gt;"YES")+($D$3="YES")*(DB!$E$2:$E$2576="YES"))*(($D$4="")+($D$4&lt;&gt;"")*(DB!$B$2:$B$2576=$D$4))*(($D$5="")+($D$5&lt;&gt;"")*(DB!$C$2:$C$2576=$D$5))*(($D$6="")+($D$6&lt;&gt;"")*(DB!$D$2:$D$2576=$D$6))*(($D$7="")+($D$7&lt;&gt;"")*(ISNUMBER(SEARCH($D$7,DB!$G$2:$G$2576))))*(($F$7="전체")+($F$7&lt;&gt;"전체")*(DB!$H$2:$H$2576=$F$7))*(COUNTIF(AD$13:AD31,DB!$G$2:$G$2576)=0)),1)),"")</f>
        <v>수목</v>
      </c>
      <c r="AE32" cm="1">
        <f t="array" ref="AE32">IF(AD32="","",SUMPRODUCT(((($D$3&lt;&gt;"YES")+($D$3="YES")*(DB!$E$2:$E$2576="YES"))*(($D$4="")+($D$4&lt;&gt;"")*(DB!$B$2:$B$2576=$D$4))*(($D$5="")+($D$5&lt;&gt;"")*(DB!$C$2:$C$2576=$D$5))*(($D$6="")+($D$6&lt;&gt;"")*(DB!$D$2:$D$2576=$D$6))*(($D$7="")+($D$7&lt;&gt;"")*(ISNUMBER(SEARCH($D$7,DB!$G$2:$G$2576))))*(($F$7="전체")+($F$7&lt;&gt;"전체")*(DB!$H$2:$H$2576=$F$7)))*(DB!$G$2:$G$2576=AD32)*1))</f>
        <v>4</v>
      </c>
    </row>
    <row r="33" spans="1:31" ht="100" customHeight="1">
      <c r="A33" s="26"/>
      <c r="B33" s="42">
        <f t="shared" si="0"/>
        <v>20</v>
      </c>
      <c r="C33" s="43"/>
      <c r="D33" s="51" t="str" cm="1">
        <f t="array" ref="D33">IFERROR(INDEX(DB!G$2:G$2576,T33),"")</f>
        <v>굴착기</v>
      </c>
      <c r="E33" s="43"/>
      <c r="F33" s="52" t="str" cm="1">
        <f t="array" ref="F33">IFERROR(INDEX(DB!O$2:O$2576,T33),"")</f>
        <v>부딪힘 접촉</v>
      </c>
      <c r="G33" s="43"/>
      <c r="H33" s="40" t="str" cm="1">
        <f t="array" ref="H33">IFERROR(INDEX(DB!P$2:P$2576,T33),"")</f>
        <v>2016년 6월경 아파트 현장에서 재해자가 산벽 석축쌓기 작업 중 조경석을 인양하기 위해 회전하는 굴착기의 붐대와 충돌하여 사망</v>
      </c>
      <c r="I33" s="43"/>
      <c r="J33" s="53" t="str" cm="1">
        <f t="array" ref="J33">IFERROR(INDEX(DB!Q$2:Q$2576,T33),"")</f>
        <v>운전자 시야가 미확보된 상태에서 회전하는 굴삭기 붐대와 주변 근로자가 충돌</v>
      </c>
      <c r="K33" s="43"/>
      <c r="L33" s="41" t="str" cm="1">
        <f t="array" ref="L33">IFERROR(INDEX(DB!R$2:R$2576,T33),"")</f>
        <v>▶ 굴삭기 등 건설기계를 사용하여 작업 시, 작업구획 표시(웨빙띠), 신호수 배치, 접근금지 조치 등과 같은 안전조치 실시 후 작업 수행
▶ 굴삭기 등 건설기계를 사용하여 작업 시, 후방카메라의 작동유무 파악, 후사경 각도 조절 등 운전자의 시야 확보 실시
▶ 차량계 건설기계 작업전 안전 점검 실시 및 후방카메라 등 방호장치 확인</v>
      </c>
      <c r="M33" s="43"/>
      <c r="P33" cm="1">
        <f t="array" ref="P33">IFERROR(_xlfn.AGGREGATE(15,6,ROW(DB!A$2:A$2576)/((($D$3&lt;&gt;"YES")+($D$3="YES")*(DB!E$2:E$2576="YES"))*(($D$4="")+($D$4&lt;&gt;"")*( DB!B$2:B$2576=$D$4))*(($D$5="")+($D$5&lt;&gt;"")*( DB!C$2:C$2576=$D$5))*(($D$6="")+($D$6&lt;&gt;"")*( DB!D$2:D$2576=$D$6))*(($D$7="")+($D$7&lt;&gt;"")*(ISNUMBER(SEARCH($D$7,DB!G$2:G$2576))))*(($F$7="전체")+($F$7&lt;&gt;"전체")*(DB!H$2:H$2576=$F$7))),ROW()-13)-1,"")</f>
        <v>377</v>
      </c>
      <c r="Q33" t="str" cm="1">
        <f t="array" ref="Q33">IFERROR(INDEX(DB!G$2:G$2576,P33),"")</f>
        <v>로울러</v>
      </c>
      <c r="R33" t="str" cm="1">
        <f t="array" ref="R33">IFERROR(INDEX(DB!O$2:O$2576,P33),"")</f>
        <v>떨어짐</v>
      </c>
      <c r="S33">
        <f t="shared" si="1"/>
        <v>248951.02</v>
      </c>
      <c r="T33">
        <f t="shared" si="2"/>
        <v>361</v>
      </c>
      <c r="U33" s="138" t="str" cm="1">
        <f t="array" ref="U33">IFERROR(INDEX(AA$14:AA$63,_xlfn.AGGREGATE(15,6,ROW(AA$14:AA$63)-ROW(AA$14)+1/(AB$14:AB$63=LARGE(AB$14:AB$63,ROW()-13)),COUNTIF(V$14:V32,LARGE(AB$14:AB$63,ROW()-13))+1)),"")</f>
        <v/>
      </c>
      <c r="V33" s="131" t="str">
        <f t="shared" si="3"/>
        <v/>
      </c>
      <c r="W33" s="43"/>
      <c r="X33" s="130" t="str" cm="1">
        <f t="array" ref="X33">IFERROR(INDEX(AD$14:AD$63,_xlfn.AGGREGATE(15,6,ROW(AD$14:AD$63)-ROW(AD$14)+1/(AE$14:AE$63=LARGE(AE$14:AE$63,ROW()-13)),COUNTIF(Y$14:Y32,LARGE(AE$14:AE$63,ROW()-13))+1)),"")</f>
        <v>이동식크레인</v>
      </c>
      <c r="Y33" s="136">
        <f t="shared" si="4"/>
        <v>1</v>
      </c>
      <c r="AA33" t="str" cm="1">
        <f t="array" ref="AA33">IFERROR(INDEX(DB!$C$2:$C$2576,_xlfn.AGGREGATE(15,6,ROW(DB!$C$2:$C$2576)-1/((($D$3&lt;&gt;"YES")+($D$3="YES")*(DB!$E$2:$E$2576="YES"))*(($D$4="")+($D$4&lt;&gt;"")*(DB!$B$2:$B$2576=$D$4))*(($F$7="전체")+($F$7&lt;&gt;"전체")*(DB!$H$2:$H$2576=$F$7))*(COUNTIF(AA$13:AA32,DB!$C$2:$C$2576)=0)),1)),"")</f>
        <v/>
      </c>
      <c r="AB33" t="str" cm="1">
        <f t="array" ref="AB33">IF(AA33="","",SUMPRODUCT(((($D$3&lt;&gt;"YES")+($D$3="YES")*(DB!$E$2:$E$2576="YES"))*(($D$4="")+($D$4&lt;&gt;"")*(DB!$B$2:$B$2576=$D$4))*(($F$7="전체")+($F$7&lt;&gt;"전체")*(DB!$H$2:$H$2576=$F$7)))*(DB!$C$2:$C$2576=AA33)*1))</f>
        <v/>
      </c>
      <c r="AD33" t="str" cm="1">
        <f t="array" ref="AD33">IFERROR(INDEX(DB!$G$2:$G$2576,_xlfn.AGGREGATE(15,6,ROW(DB!$G$2:$G$2576)-1/((($D$3&lt;&gt;"YES")+($D$3="YES")*(DB!$E$2:$E$2576="YES"))*(($D$4="")+($D$4&lt;&gt;"")*(DB!$B$2:$B$2576=$D$4))*(($D$5="")+($D$5&lt;&gt;"")*(DB!$C$2:$C$2576=$D$5))*(($D$6="")+($D$6&lt;&gt;"")*(DB!$D$2:$D$2576=$D$6))*(($D$7="")+($D$7&lt;&gt;"")*(ISNUMBER(SEARCH($D$7,DB!$G$2:$G$2576))))*(($F$7="전체")+($F$7&lt;&gt;"전체")*(DB!$H$2:$H$2576=$F$7))*(COUNTIF(AD$13:AD32,DB!$G$2:$G$2576)=0)),1)),"")</f>
        <v>슬라브단부</v>
      </c>
      <c r="AE33" cm="1">
        <f t="array" ref="AE33">IF(AD33="","",SUMPRODUCT(((($D$3&lt;&gt;"YES")+($D$3="YES")*(DB!$E$2:$E$2576="YES"))*(($D$4="")+($D$4&lt;&gt;"")*(DB!$B$2:$B$2576=$D$4))*(($D$5="")+($D$5&lt;&gt;"")*(DB!$C$2:$C$2576=$D$5))*(($D$6="")+($D$6&lt;&gt;"")*(DB!$D$2:$D$2576=$D$6))*(($D$7="")+($D$7&lt;&gt;"")*(ISNUMBER(SEARCH($D$7,DB!$G$2:$G$2576))))*(($F$7="전체")+($F$7&lt;&gt;"전체")*(DB!$H$2:$H$2576=$F$7)))*(DB!$G$2:$G$2576=AD33)*1))</f>
        <v>4</v>
      </c>
    </row>
    <row r="34" spans="1:31" ht="100" customHeight="1">
      <c r="A34" s="26"/>
      <c r="B34" s="39">
        <f t="shared" si="0"/>
        <v>21</v>
      </c>
      <c r="C34" s="43"/>
      <c r="D34" s="51" t="str" cm="1">
        <f t="array" ref="D34">IFERROR(INDEX(DB!G$2:G$2576,T34),"")</f>
        <v>굴착기</v>
      </c>
      <c r="E34" s="43"/>
      <c r="F34" s="52" t="str" cm="1">
        <f t="array" ref="F34">IFERROR(INDEX(DB!O$2:O$2576,T34),"")</f>
        <v>부딪힘 접촉</v>
      </c>
      <c r="G34" s="43"/>
      <c r="H34" s="40" t="str" cm="1">
        <f t="array" ref="H34">IFERROR(INDEX(DB!P$2:P$2576,T34),"")</f>
        <v>2019년 7월경 재해자가 OO 도로 개설공사 현장에서 수로박스 상부도로의 장마철 수방용 마대 쌓기 작업을 위해 대기 중 상부 턴테이블을 돌려 운전자가 뒤를 보며 전진하던 굴삭기 앞바퀴에 깔려 사망</v>
      </c>
      <c r="I34" s="43"/>
      <c r="J34" s="53" t="str" cm="1">
        <f t="array" ref="J34">IFERROR(INDEX(DB!Q$2:Q$2576,T34),"")</f>
        <v>시야가 확보되지 않은 상태로 후진중인 굴삭기에 주변 근로자가 충돌</v>
      </c>
      <c r="K34" s="43"/>
      <c r="L34" s="41" t="str" cm="1">
        <f t="array" ref="L34">IFERROR(INDEX(DB!R$2:R$2576,T34),"")</f>
        <v>▶ 작업 전 굴삭기의 후방 경보기 점검을 통한 작동유무 확인
▶ 유도자 배치, 굴삭기 작업구역 설정 및 근로자 출입금지를 통한 접촉방지조치 실시</v>
      </c>
      <c r="M34" s="43"/>
      <c r="P34" cm="1">
        <f t="array" ref="P34">IFERROR(_xlfn.AGGREGATE(15,6,ROW(DB!A$2:A$2576)/((($D$3&lt;&gt;"YES")+($D$3="YES")*(DB!E$2:E$2576="YES"))*(($D$4="")+($D$4&lt;&gt;"")*( DB!B$2:B$2576=$D$4))*(($D$5="")+($D$5&lt;&gt;"")*( DB!C$2:C$2576=$D$5))*(($D$6="")+($D$6&lt;&gt;"")*( DB!D$2:D$2576=$D$6))*(($D$7="")+($D$7&lt;&gt;"")*(ISNUMBER(SEARCH($D$7,DB!G$2:G$2576))))*(($F$7="전체")+($F$7&lt;&gt;"전체")*(DB!H$2:H$2576=$F$7))),ROW()-13)-1,"")</f>
        <v>378</v>
      </c>
      <c r="Q34" t="str" cm="1">
        <f t="array" ref="Q34">IFERROR(INDEX(DB!G$2:G$2576,P34),"")</f>
        <v>굴착기</v>
      </c>
      <c r="R34" t="str" cm="1">
        <f t="array" ref="R34">IFERROR(INDEX(DB!O$2:O$2576,P34),"")</f>
        <v>맞음</v>
      </c>
      <c r="S34">
        <f t="shared" si="1"/>
        <v>244675.02100000001</v>
      </c>
      <c r="T34">
        <f t="shared" si="2"/>
        <v>366</v>
      </c>
      <c r="U34" s="138" t="str" cm="1">
        <f t="array" ref="U34">IFERROR(INDEX(AA$14:AA$63,_xlfn.AGGREGATE(15,6,ROW(AA$14:AA$63)-ROW(AA$14)+1/(AB$14:AB$63=LARGE(AB$14:AB$63,ROW()-13)),COUNTIF(V$14:V33,LARGE(AB$14:AB$63,ROW()-13))+1)),"")</f>
        <v/>
      </c>
      <c r="V34" s="131" t="str">
        <f t="shared" si="3"/>
        <v/>
      </c>
      <c r="W34" s="43"/>
      <c r="X34" s="130" t="str" cm="1">
        <f t="array" ref="X34">IFERROR(INDEX(AD$14:AD$63,_xlfn.AGGREGATE(15,6,ROW(AD$14:AD$63)-ROW(AD$14)+1/(AE$14:AE$63=LARGE(AE$14:AE$63,ROW()-13)),COUNTIF(Y$14:Y33,LARGE(AE$14:AE$63,ROW()-13))+1)),"")</f>
        <v>기타건설장비</v>
      </c>
      <c r="Y34" s="136">
        <f t="shared" si="4"/>
        <v>1</v>
      </c>
      <c r="AA34" t="str" cm="1">
        <f t="array" ref="AA34">IFERROR(INDEX(DB!$C$2:$C$2576,_xlfn.AGGREGATE(15,6,ROW(DB!$C$2:$C$2576)-1/((($D$3&lt;&gt;"YES")+($D$3="YES")*(DB!$E$2:$E$2576="YES"))*(($D$4="")+($D$4&lt;&gt;"")*(DB!$B$2:$B$2576=$D$4))*(($F$7="전체")+($F$7&lt;&gt;"전체")*(DB!$H$2:$H$2576=$F$7))*(COUNTIF(AA$13:AA33,DB!$C$2:$C$2576)=0)),1)),"")</f>
        <v/>
      </c>
      <c r="AB34" t="str" cm="1">
        <f t="array" ref="AB34">IF(AA34="","",SUMPRODUCT(((($D$3&lt;&gt;"YES")+($D$3="YES")*(DB!$E$2:$E$2576="YES"))*(($D$4="")+($D$4&lt;&gt;"")*(DB!$B$2:$B$2576=$D$4))*(($F$7="전체")+($F$7&lt;&gt;"전체")*(DB!$H$2:$H$2576=$F$7)))*(DB!$C$2:$C$2576=AA34)*1))</f>
        <v/>
      </c>
      <c r="AD34" t="str" cm="1">
        <f t="array" ref="AD34">IFERROR(INDEX(DB!$G$2:$G$2576,_xlfn.AGGREGATE(15,6,ROW(DB!$G$2:$G$2576)-1/((($D$3&lt;&gt;"YES")+($D$3="YES")*(DB!$E$2:$E$2576="YES"))*(($D$4="")+($D$4&lt;&gt;"")*(DB!$B$2:$B$2576=$D$4))*(($D$5="")+($D$5&lt;&gt;"")*(DB!$C$2:$C$2576=$D$5))*(($D$6="")+($D$6&lt;&gt;"")*(DB!$D$2:$D$2576=$D$6))*(($D$7="")+($D$7&lt;&gt;"")*(ISNUMBER(SEARCH($D$7,DB!$G$2:$G$2576))))*(($F$7="전체")+($F$7&lt;&gt;"전체")*(DB!$H$2:$H$2576=$F$7))*(COUNTIF(AD$13:AD33,DB!$G$2:$G$2576)=0)),1)),"")</f>
        <v>암석</v>
      </c>
      <c r="AE34" cm="1">
        <f t="array" ref="AE34">IF(AD34="","",SUMPRODUCT(((($D$3&lt;&gt;"YES")+($D$3="YES")*(DB!$E$2:$E$2576="YES"))*(($D$4="")+($D$4&lt;&gt;"")*(DB!$B$2:$B$2576=$D$4))*(($D$5="")+($D$5&lt;&gt;"")*(DB!$C$2:$C$2576=$D$5))*(($D$6="")+($D$6&lt;&gt;"")*(DB!$D$2:$D$2576=$D$6))*(($D$7="")+($D$7&lt;&gt;"")*(ISNUMBER(SEARCH($D$7,DB!$G$2:$G$2576))))*(($F$7="전체")+($F$7&lt;&gt;"전체")*(DB!$H$2:$H$2576=$F$7)))*(DB!$G$2:$G$2576=AD34)*1))</f>
        <v>3</v>
      </c>
    </row>
    <row r="35" spans="1:31" ht="100" customHeight="1">
      <c r="A35" s="26"/>
      <c r="B35" s="42">
        <f t="shared" si="0"/>
        <v>22</v>
      </c>
      <c r="C35" s="43"/>
      <c r="D35" s="51" t="str" cm="1">
        <f t="array" ref="D35">IFERROR(INDEX(DB!G$2:G$2576,T35),"")</f>
        <v>굴착기</v>
      </c>
      <c r="E35" s="43"/>
      <c r="F35" s="52" t="str" cm="1">
        <f t="array" ref="F35">IFERROR(INDEX(DB!O$2:O$2576,T35),"")</f>
        <v>부딪힘 접촉</v>
      </c>
      <c r="G35" s="43"/>
      <c r="H35" s="40" t="str" cm="1">
        <f t="array" ref="H35">IFERROR(INDEX(DB!P$2:P$2576,T35),"")</f>
        <v>2021년 5월경 공원 사면안정화공사에서 재해자가 굴착기 옆을 지나가다가 회전하는 굴착기에 부딪혀 사망</v>
      </c>
      <c r="I35" s="43"/>
      <c r="J35" s="53" t="str" cm="1">
        <f t="array" ref="J35">IFERROR(INDEX(DB!Q$2:Q$2576,T35),"")</f>
        <v>운전자 시야가 미확보된 상태에서 회전하는 굴삭기 붐대와 주변 근로자가 충돌</v>
      </c>
      <c r="K35" s="43"/>
      <c r="L35" s="41" t="str" cm="1">
        <f t="array" ref="L35">IFERROR(INDEX(DB!R$2:R$2576,T35),"")</f>
        <v>▶ 굴삭기 등 건설기계를 사용하여 작업 시, 작업구획 표시(웨빙띠), 신호수 배치, 접근금지 조치 등과 같은 안전조치 실시 후 작업 수행
▶ 굴삭기 등 건설기계를 사용하여 작업 시, 후방카메라의 작동유무 파악, 후사경 각도 조절 등 운전자의 시야 확보 실시
▶ 차량계 건설기계 작업전 안전 점검 실시 및 후방카메라 등 방호장치 확인</v>
      </c>
      <c r="M35" s="43"/>
      <c r="P35" cm="1">
        <f t="array" ref="P35">IFERROR(_xlfn.AGGREGATE(15,6,ROW(DB!A$2:A$2576)/((($D$3&lt;&gt;"YES")+($D$3="YES")*(DB!E$2:E$2576="YES"))*(($D$4="")+($D$4&lt;&gt;"")*( DB!B$2:B$2576=$D$4))*(($D$5="")+($D$5&lt;&gt;"")*( DB!C$2:C$2576=$D$5))*(($D$6="")+($D$6&lt;&gt;"")*( DB!D$2:D$2576=$D$6))*(($D$7="")+($D$7&lt;&gt;"")*(ISNUMBER(SEARCH($D$7,DB!G$2:G$2576))))*(($F$7="전체")+($F$7&lt;&gt;"전체")*(DB!H$2:H$2576=$F$7))),ROW()-13)-1,"")</f>
        <v>379</v>
      </c>
      <c r="Q35" t="str" cm="1">
        <f t="array" ref="Q35">IFERROR(INDEX(DB!G$2:G$2576,P35),"")</f>
        <v>굴착기</v>
      </c>
      <c r="R35" t="str" cm="1">
        <f t="array" ref="R35">IFERROR(INDEX(DB!O$2:O$2576,P35),"")</f>
        <v>끼임</v>
      </c>
      <c r="S35">
        <f t="shared" si="1"/>
        <v>244644.022</v>
      </c>
      <c r="T35">
        <f t="shared" si="2"/>
        <v>370</v>
      </c>
      <c r="U35" s="138" t="str" cm="1">
        <f t="array" ref="U35">IFERROR(INDEX(AA$14:AA$63,_xlfn.AGGREGATE(15,6,ROW(AA$14:AA$63)-ROW(AA$14)+1/(AB$14:AB$63=LARGE(AB$14:AB$63,ROW()-13)),COUNTIF(V$14:V34,LARGE(AB$14:AB$63,ROW()-13))+1)),"")</f>
        <v/>
      </c>
      <c r="V35" s="131" t="str">
        <f t="shared" si="3"/>
        <v/>
      </c>
      <c r="W35" s="43"/>
      <c r="X35" s="130" t="str" cm="1">
        <f t="array" ref="X35">IFERROR(INDEX(AD$14:AD$63,_xlfn.AGGREGATE(15,6,ROW(AD$14:AD$63)-ROW(AD$14)+1/(AE$14:AE$63=LARGE(AE$14:AE$63,ROW()-13)),COUNTIF(Y$14:Y34,LARGE(AE$14:AE$63,ROW()-13))+1)),"")</f>
        <v>교통수단</v>
      </c>
      <c r="Y35" s="136">
        <f t="shared" si="4"/>
        <v>1</v>
      </c>
      <c r="AA35" t="str" cm="1">
        <f t="array" ref="AA35">IFERROR(INDEX(DB!$C$2:$C$2576,_xlfn.AGGREGATE(15,6,ROW(DB!$C$2:$C$2576)-1/((($D$3&lt;&gt;"YES")+($D$3="YES")*(DB!$E$2:$E$2576="YES"))*(($D$4="")+($D$4&lt;&gt;"")*(DB!$B$2:$B$2576=$D$4))*(($F$7="전체")+($F$7&lt;&gt;"전체")*(DB!$H$2:$H$2576=$F$7))*(COUNTIF(AA$13:AA34,DB!$C$2:$C$2576)=0)),1)),"")</f>
        <v/>
      </c>
      <c r="AB35" t="str" cm="1">
        <f t="array" ref="AB35">IF(AA35="","",SUMPRODUCT(((($D$3&lt;&gt;"YES")+($D$3="YES")*(DB!$E$2:$E$2576="YES"))*(($D$4="")+($D$4&lt;&gt;"")*(DB!$B$2:$B$2576=$D$4))*(($F$7="전체")+($F$7&lt;&gt;"전체")*(DB!$H$2:$H$2576=$F$7)))*(DB!$C$2:$C$2576=AA35)*1))</f>
        <v/>
      </c>
      <c r="AD35" t="str" cm="1">
        <f t="array" ref="AD35">IFERROR(INDEX(DB!$G$2:$G$2576,_xlfn.AGGREGATE(15,6,ROW(DB!$G$2:$G$2576)-1/((($D$3&lt;&gt;"YES")+($D$3="YES")*(DB!$E$2:$E$2576="YES"))*(($D$4="")+($D$4&lt;&gt;"")*(DB!$B$2:$B$2576=$D$4))*(($D$5="")+($D$5&lt;&gt;"")*(DB!$C$2:$C$2576=$D$5))*(($D$6="")+($D$6&lt;&gt;"")*(DB!$D$2:$D$2576=$D$6))*(($D$7="")+($D$7&lt;&gt;"")*(ISNUMBER(SEARCH($D$7,DB!$G$2:$G$2576))))*(($F$7="전체")+($F$7&lt;&gt;"전체")*(DB!$H$2:$H$2576=$F$7))*(COUNTIF(AD$13:AD34,DB!$G$2:$G$2576)=0)),1)),"")</f>
        <v>절단기/톱</v>
      </c>
      <c r="AE35" cm="1">
        <f t="array" ref="AE35">IF(AD35="","",SUMPRODUCT(((($D$3&lt;&gt;"YES")+($D$3="YES")*(DB!$E$2:$E$2576="YES"))*(($D$4="")+($D$4&lt;&gt;"")*(DB!$B$2:$B$2576=$D$4))*(($D$5="")+($D$5&lt;&gt;"")*(DB!$C$2:$C$2576=$D$5))*(($D$6="")+($D$6&lt;&gt;"")*(DB!$D$2:$D$2576=$D$6))*(($D$7="")+($D$7&lt;&gt;"")*(ISNUMBER(SEARCH($D$7,DB!$G$2:$G$2576))))*(($F$7="전체")+($F$7&lt;&gt;"전체")*(DB!$H$2:$H$2576=$F$7)))*(DB!$G$2:$G$2576=AD35)*1))</f>
        <v>2</v>
      </c>
    </row>
    <row r="36" spans="1:31" ht="100" customHeight="1">
      <c r="A36" s="26"/>
      <c r="B36" s="39">
        <f t="shared" si="0"/>
        <v>23</v>
      </c>
      <c r="C36" s="43"/>
      <c r="D36" s="51" t="str" cm="1">
        <f t="array" ref="D36">IFERROR(INDEX(DB!G$2:G$2576,T36),"")</f>
        <v>굴착기</v>
      </c>
      <c r="E36" s="43"/>
      <c r="F36" s="52" t="str" cm="1">
        <f t="array" ref="F36">IFERROR(INDEX(DB!O$2:O$2576,T36),"")</f>
        <v>부딪힘 접촉</v>
      </c>
      <c r="G36" s="43"/>
      <c r="H36" s="40" t="str" cm="1">
        <f t="array" ref="H36">IFERROR(INDEX(DB!P$2:P$2576,T36),"")</f>
        <v>2018년 10월경 통신설비 이설공사 현장에서 재해자가 부재를 정리하던 중 후진하던 굴착기에 충돌하여 사망</v>
      </c>
      <c r="I36" s="43"/>
      <c r="J36" s="53" t="str" cm="1">
        <f t="array" ref="J36">IFERROR(INDEX(DB!Q$2:Q$2576,T36),"")</f>
        <v>근로자가 빗자루로 아스콘 부재를 정리하던 중 후진하던 굴삭기에 충돌</v>
      </c>
      <c r="K36" s="43"/>
      <c r="L36" s="41" t="str" cm="1">
        <f t="array" ref="L36">IFERROR(INDEX(DB!R$2:R$2576,T36),"")</f>
        <v>▶ 근로자가 건설기계에 근접하여 작업을 수행하는 경우 유도자를 배치하여 안전한 상태에서 작업 진행
▶ 차량계 건설기계 접촉 가능 장소 및 사각지대 발생가능성이 높은 건설기계 사용 시 근로자 출입금지 및 유도자 배치
▶ 건설장비 작업 시 근로자와 장비의 동선을 분리
▶ 카메라 부착 또는 후방에 근로자의 접근을 알리는 후방센서, 경보장치 등 부착
▶ 차량계 건설기계 작업전 안전 점검 실시 및 후방카메라 등 방호장치 확인</v>
      </c>
      <c r="M36" s="43"/>
      <c r="P36" cm="1">
        <f t="array" ref="P36">IFERROR(_xlfn.AGGREGATE(15,6,ROW(DB!A$2:A$2576)/((($D$3&lt;&gt;"YES")+($D$3="YES")*(DB!E$2:E$2576="YES"))*(($D$4="")+($D$4&lt;&gt;"")*( DB!B$2:B$2576=$D$4))*(($D$5="")+($D$5&lt;&gt;"")*( DB!C$2:C$2576=$D$5))*(($D$6="")+($D$6&lt;&gt;"")*( DB!D$2:D$2576=$D$6))*(($D$7="")+($D$7&lt;&gt;"")*(ISNUMBER(SEARCH($D$7,DB!G$2:G$2576))))*(($F$7="전체")+($F$7&lt;&gt;"전체")*(DB!H$2:H$2576=$F$7))),ROW()-13)-1,"")</f>
        <v>380</v>
      </c>
      <c r="Q36" t="str" cm="1">
        <f t="array" ref="Q36">IFERROR(INDEX(DB!G$2:G$2576,P36),"")</f>
        <v>굴착기</v>
      </c>
      <c r="R36" t="str" cm="1">
        <f t="array" ref="R36">IFERROR(INDEX(DB!O$2:O$2576,P36),"")</f>
        <v>부딪힘 접촉</v>
      </c>
      <c r="S36">
        <f t="shared" si="1"/>
        <v>244741.02299999999</v>
      </c>
      <c r="T36">
        <f t="shared" si="2"/>
        <v>380</v>
      </c>
      <c r="U36" s="138" t="str" cm="1">
        <f t="array" ref="U36">IFERROR(INDEX(AA$14:AA$63,_xlfn.AGGREGATE(15,6,ROW(AA$14:AA$63)-ROW(AA$14)+1/(AB$14:AB$63=LARGE(AB$14:AB$63,ROW()-13)),COUNTIF(V$14:V35,LARGE(AB$14:AB$63,ROW()-13))+1)),"")</f>
        <v/>
      </c>
      <c r="V36" s="131" t="str">
        <f t="shared" si="3"/>
        <v/>
      </c>
      <c r="W36" s="43"/>
      <c r="X36" s="130" t="str" cm="1">
        <f t="array" ref="X36">IFERROR(INDEX(AD$14:AD$63,_xlfn.AGGREGATE(15,6,ROW(AD$14:AD$63)-ROW(AD$14)+1/(AE$14:AE$63=LARGE(AE$14:AE$63,ROW()-13)),COUNTIF(Y$14:Y35,LARGE(AE$14:AE$63,ROW()-13))+1)),"")</f>
        <v>바닥(바닥에 걸려 넘어짐)</v>
      </c>
      <c r="Y36" s="136">
        <f t="shared" si="4"/>
        <v>1</v>
      </c>
      <c r="AA36" t="str" cm="1">
        <f t="array" ref="AA36">IFERROR(INDEX(DB!$C$2:$C$2576,_xlfn.AGGREGATE(15,6,ROW(DB!$C$2:$C$2576)-1/((($D$3&lt;&gt;"YES")+($D$3="YES")*(DB!$E$2:$E$2576="YES"))*(($D$4="")+($D$4&lt;&gt;"")*(DB!$B$2:$B$2576=$D$4))*(($F$7="전체")+($F$7&lt;&gt;"전체")*(DB!$H$2:$H$2576=$F$7))*(COUNTIF(AA$13:AA35,DB!$C$2:$C$2576)=0)),1)),"")</f>
        <v/>
      </c>
      <c r="AB36" t="str" cm="1">
        <f t="array" ref="AB36">IF(AA36="","",SUMPRODUCT(((($D$3&lt;&gt;"YES")+($D$3="YES")*(DB!$E$2:$E$2576="YES"))*(($D$4="")+($D$4&lt;&gt;"")*(DB!$B$2:$B$2576=$D$4))*(($F$7="전체")+($F$7&lt;&gt;"전체")*(DB!$H$2:$H$2576=$F$7)))*(DB!$C$2:$C$2576=AA36)*1))</f>
        <v/>
      </c>
      <c r="AD36" t="str" cm="1">
        <f t="array" ref="AD36">IFERROR(INDEX(DB!$G$2:$G$2576,_xlfn.AGGREGATE(15,6,ROW(DB!$G$2:$G$2576)-1/((($D$3&lt;&gt;"YES")+($D$3="YES")*(DB!$E$2:$E$2576="YES"))*(($D$4="")+($D$4&lt;&gt;"")*(DB!$B$2:$B$2576=$D$4))*(($D$5="")+($D$5&lt;&gt;"")*(DB!$C$2:$C$2576=$D$5))*(($D$6="")+($D$6&lt;&gt;"")*(DB!$D$2:$D$2576=$D$6))*(($D$7="")+($D$7&lt;&gt;"")*(ISNUMBER(SEARCH($D$7,DB!$G$2:$G$2576))))*(($F$7="전체")+($F$7&lt;&gt;"전체")*(DB!$H$2:$H$2576=$F$7))*(COUNTIF(AD$13:AD35,DB!$G$2:$G$2576)=0)),1)),"")</f>
        <v>작업발판/가설계단</v>
      </c>
      <c r="AE36" cm="1">
        <f t="array" ref="AE36">IF(AD36="","",SUMPRODUCT(((($D$3&lt;&gt;"YES")+($D$3="YES")*(DB!$E$2:$E$2576="YES"))*(($D$4="")+($D$4&lt;&gt;"")*(DB!$B$2:$B$2576=$D$4))*(($D$5="")+($D$5&lt;&gt;"")*(DB!$C$2:$C$2576=$D$5))*(($D$6="")+($D$6&lt;&gt;"")*(DB!$D$2:$D$2576=$D$6))*(($D$7="")+($D$7&lt;&gt;"")*(ISNUMBER(SEARCH($D$7,DB!$G$2:$G$2576))))*(($F$7="전체")+($F$7&lt;&gt;"전체")*(DB!$H$2:$H$2576=$F$7)))*(DB!$G$2:$G$2576=AD36)*1))</f>
        <v>1</v>
      </c>
    </row>
    <row r="37" spans="1:31" ht="100" customHeight="1">
      <c r="A37" s="26"/>
      <c r="B37" s="42">
        <f t="shared" si="0"/>
        <v>24</v>
      </c>
      <c r="C37" s="43"/>
      <c r="D37" s="51" t="str" cm="1">
        <f t="array" ref="D37">IFERROR(INDEX(DB!G$2:G$2576,T37),"")</f>
        <v>굴착기</v>
      </c>
      <c r="E37" s="43"/>
      <c r="F37" s="52" t="str" cm="1">
        <f t="array" ref="F37">IFERROR(INDEX(DB!O$2:O$2576,T37),"")</f>
        <v>부딪힘 접촉</v>
      </c>
      <c r="G37" s="43"/>
      <c r="H37" s="40" t="str" cm="1">
        <f t="array" ref="H37">IFERROR(INDEX(DB!P$2:P$2576,T37),"")</f>
        <v>2020년 3월경 OOO도 OO시 OO면 소재 OOOO(주) OOOO 도로확포장공사 현장에서 굴삭기(0.6㎥)가 도로 측면 터파기 작업장소로 이동하기 위하여 약 6m 폭의 도로를 주행하던 중 맞은편에서 다가오는 재해자와 충돌하여 사망한 재해임.</v>
      </c>
      <c r="I37" s="43"/>
      <c r="J37" s="53" t="str" cm="1">
        <f t="array" ref="J37">IFERROR(INDEX(DB!Q$2:Q$2576,T37),"")</f>
        <v>굴삭기가 도로 측면 터파기 작업장소로 이동 중 근로자 통로가 별도로 구획되어 있지 않아 주행 중 맞은편 근로자와 충돌</v>
      </c>
      <c r="K37" s="43"/>
      <c r="L37" s="41" t="str" cm="1">
        <f t="array" ref="L37">IFERROR(INDEX(DB!R$2:R$2576,T37),"")</f>
        <v>▶ 작업장 내 건설장비와 근로자의 이동동선이 겹치지 않도록 별도로 구획하며, 부득이한 경우 신호수를 배치하여 장비 및 근로자 이동
▶ 건설장비 사용 전 작업계획서를 작성하여 작업방법, 이동통로 등 계획</v>
      </c>
      <c r="M37" s="43"/>
      <c r="P37" cm="1">
        <f t="array" ref="P37">IFERROR(_xlfn.AGGREGATE(15,6,ROW(DB!A$2:A$2576)/((($D$3&lt;&gt;"YES")+($D$3="YES")*(DB!E$2:E$2576="YES"))*(($D$4="")+($D$4&lt;&gt;"")*( DB!B$2:B$2576=$D$4))*(($D$5="")+($D$5&lt;&gt;"")*( DB!C$2:C$2576=$D$5))*(($D$6="")+($D$6&lt;&gt;"")*( DB!D$2:D$2576=$D$6))*(($D$7="")+($D$7&lt;&gt;"")*(ISNUMBER(SEARCH($D$7,DB!G$2:G$2576))))*(($F$7="전체")+($F$7&lt;&gt;"전체")*(DB!H$2:H$2576=$F$7))),ROW()-13)-1,"")</f>
        <v>381</v>
      </c>
      <c r="Q37" t="str" cm="1">
        <f t="array" ref="Q37">IFERROR(INDEX(DB!G$2:G$2576,P37),"")</f>
        <v>트럭</v>
      </c>
      <c r="R37" t="str" cm="1">
        <f t="array" ref="R37">IFERROR(INDEX(DB!O$2:O$2576,P37),"")</f>
        <v>끼임</v>
      </c>
      <c r="S37">
        <f t="shared" si="1"/>
        <v>258044.024</v>
      </c>
      <c r="T37">
        <f t="shared" si="2"/>
        <v>382</v>
      </c>
      <c r="U37" s="138" t="str" cm="1">
        <f t="array" ref="U37">IFERROR(INDEX(AA$14:AA$63,_xlfn.AGGREGATE(15,6,ROW(AA$14:AA$63)-ROW(AA$14)+1/(AB$14:AB$63=LARGE(AB$14:AB$63,ROW()-13)),COUNTIF(V$14:V36,LARGE(AB$14:AB$63,ROW()-13))+1)),"")</f>
        <v/>
      </c>
      <c r="V37" s="131" t="str">
        <f t="shared" si="3"/>
        <v/>
      </c>
      <c r="W37" s="43"/>
      <c r="X37" s="130" t="str" cm="1">
        <f t="array" ref="X37">IFERROR(INDEX(AD$14:AD$63,_xlfn.AGGREGATE(15,6,ROW(AD$14:AD$63)-ROW(AD$14)+1/(AE$14:AE$63=LARGE(AE$14:AE$63,ROW()-13)),COUNTIF(Y$14:Y36,LARGE(AE$14:AE$63,ROW()-13))+1)),"")</f>
        <v>원인미상</v>
      </c>
      <c r="Y37" s="136">
        <f t="shared" si="4"/>
        <v>1</v>
      </c>
      <c r="AA37" t="str" cm="1">
        <f t="array" ref="AA37">IFERROR(INDEX(DB!$C$2:$C$2576,_xlfn.AGGREGATE(15,6,ROW(DB!$C$2:$C$2576)-1/((($D$3&lt;&gt;"YES")+($D$3="YES")*(DB!$E$2:$E$2576="YES"))*(($D$4="")+($D$4&lt;&gt;"")*(DB!$B$2:$B$2576=$D$4))*(($F$7="전체")+($F$7&lt;&gt;"전체")*(DB!$H$2:$H$2576=$F$7))*(COUNTIF(AA$13:AA36,DB!$C$2:$C$2576)=0)),1)),"")</f>
        <v/>
      </c>
      <c r="AB37" t="str" cm="1">
        <f t="array" ref="AB37">IF(AA37="","",SUMPRODUCT(((($D$3&lt;&gt;"YES")+($D$3="YES")*(DB!$E$2:$E$2576="YES"))*(($D$4="")+($D$4&lt;&gt;"")*(DB!$B$2:$B$2576=$D$4))*(($F$7="전체")+($F$7&lt;&gt;"전체")*(DB!$H$2:$H$2576=$F$7)))*(DB!$C$2:$C$2576=AA37)*1))</f>
        <v/>
      </c>
      <c r="AD37" t="str" cm="1">
        <f t="array" ref="AD37">IFERROR(INDEX(DB!$G$2:$G$2576,_xlfn.AGGREGATE(15,6,ROW(DB!$G$2:$G$2576)-1/((($D$3&lt;&gt;"YES")+($D$3="YES")*(DB!$E$2:$E$2576="YES"))*(($D$4="")+($D$4&lt;&gt;"")*(DB!$B$2:$B$2576=$D$4))*(($D$5="")+($D$5&lt;&gt;"")*(DB!$C$2:$C$2576=$D$5))*(($D$6="")+($D$6&lt;&gt;"")*(DB!$D$2:$D$2576=$D$6))*(($D$7="")+($D$7&lt;&gt;"")*(ISNUMBER(SEARCH($D$7,DB!$G$2:$G$2576))))*(($F$7="전체")+($F$7&lt;&gt;"전체")*(DB!$H$2:$H$2576=$F$7))*(COUNTIF(AD$13:AD36,DB!$G$2:$G$2576)=0)),1)),"")</f>
        <v>전주</v>
      </c>
      <c r="AE37" cm="1">
        <f t="array" ref="AE37">IF(AD37="","",SUMPRODUCT(((($D$3&lt;&gt;"YES")+($D$3="YES")*(DB!$E$2:$E$2576="YES"))*(($D$4="")+($D$4&lt;&gt;"")*(DB!$B$2:$B$2576=$D$4))*(($D$5="")+($D$5&lt;&gt;"")*(DB!$C$2:$C$2576=$D$5))*(($D$6="")+($D$6&lt;&gt;"")*(DB!$D$2:$D$2576=$D$6))*(($D$7="")+($D$7&lt;&gt;"")*(ISNUMBER(SEARCH($D$7,DB!$G$2:$G$2576))))*(($F$7="전체")+($F$7&lt;&gt;"전체")*(DB!$H$2:$H$2576=$F$7)))*(DB!$G$2:$G$2576=AD37)*1))</f>
        <v>2</v>
      </c>
    </row>
    <row r="38" spans="1:31" ht="100" customHeight="1">
      <c r="A38" s="26"/>
      <c r="B38" s="39">
        <f t="shared" si="0"/>
        <v>25</v>
      </c>
      <c r="C38" s="43"/>
      <c r="D38" s="51" t="str" cm="1">
        <f t="array" ref="D38">IFERROR(INDEX(DB!G$2:G$2576,T38),"")</f>
        <v>굴착기</v>
      </c>
      <c r="E38" s="43"/>
      <c r="F38" s="52" t="str" cm="1">
        <f t="array" ref="F38">IFERROR(INDEX(DB!O$2:O$2576,T38),"")</f>
        <v>부딪힘 접촉</v>
      </c>
      <c r="G38" s="43"/>
      <c r="H38" s="40" t="str" cm="1">
        <f t="array" ref="H38">IFERROR(INDEX(DB!P$2:P$2576,T38),"")</f>
        <v>2016년 2월경 OO시 OO구 OO읍 소재, ㈜OOOO이 시공 중인 아파트 신축공사 현장에서 배관공인 재해자가 관로 부설 작업 중 굴삭기에 부딪쳐 사망한 재해임</v>
      </c>
      <c r="I38" s="43"/>
      <c r="J38" s="53" t="str" cm="1">
        <f t="array" ref="J38">IFERROR(INDEX(DB!Q$2:Q$2576,T38),"")</f>
        <v>장비유도자 없이 관로 부설 작업 중 굴삭기와 근로자가 충돌</v>
      </c>
      <c r="K38" s="43"/>
      <c r="L38" s="41" t="str" cm="1">
        <f t="array" ref="L38">IFERROR(INDEX(DB!R$2:R$2576,T38),"")</f>
        <v>▶ 유도자 배치하여 근로자 접촉방지 조치 실시
▶ 굴삭기 되메우기 등 장비작업에 의한 부딪힘과 같은 재해 발생위험이 높을 경우 타작업의 동시 수행금지
▶ 카메라 부착 또는 후방에 근로자의 접근을 알리는 후방센서, 경보장치 등 부착
▶ 차량계 건설기계 작업전 안전 점검 실시 및 후방카메라 등 방호장치 확인</v>
      </c>
      <c r="M38" s="43"/>
      <c r="P38" cm="1">
        <f t="array" ref="P38">IFERROR(_xlfn.AGGREGATE(15,6,ROW(DB!A$2:A$2576)/((($D$3&lt;&gt;"YES")+($D$3="YES")*(DB!E$2:E$2576="YES"))*(($D$4="")+($D$4&lt;&gt;"")*( DB!B$2:B$2576=$D$4))*(($D$5="")+($D$5&lt;&gt;"")*( DB!C$2:C$2576=$D$5))*(($D$6="")+($D$6&lt;&gt;"")*( DB!D$2:D$2576=$D$6))*(($D$7="")+($D$7&lt;&gt;"")*(ISNUMBER(SEARCH($D$7,DB!G$2:G$2576))))*(($F$7="전체")+($F$7&lt;&gt;"전체")*(DB!H$2:H$2576=$F$7))),ROW()-13)-1,"")</f>
        <v>382</v>
      </c>
      <c r="Q38" t="str" cm="1">
        <f t="array" ref="Q38">IFERROR(INDEX(DB!G$2:G$2576,P38),"")</f>
        <v>굴착기</v>
      </c>
      <c r="R38" t="str" cm="1">
        <f t="array" ref="R38">IFERROR(INDEX(DB!O$2:O$2576,P38),"")</f>
        <v>부딪힘 접촉</v>
      </c>
      <c r="S38">
        <f t="shared" si="1"/>
        <v>244741.02499999999</v>
      </c>
      <c r="T38">
        <f t="shared" si="2"/>
        <v>385</v>
      </c>
      <c r="U38" s="138" t="str" cm="1">
        <f t="array" ref="U38">IFERROR(INDEX(AA$14:AA$63,_xlfn.AGGREGATE(15,6,ROW(AA$14:AA$63)-ROW(AA$14)+1/(AB$14:AB$63=LARGE(AB$14:AB$63,ROW()-13)),COUNTIF(V$14:V37,LARGE(AB$14:AB$63,ROW()-13))+1)),"")</f>
        <v/>
      </c>
      <c r="V38" s="131" t="str">
        <f t="shared" si="3"/>
        <v/>
      </c>
      <c r="W38" s="43"/>
      <c r="X38" s="130" t="str" cm="1">
        <f t="array" ref="X38">IFERROR(INDEX(AD$14:AD$63,_xlfn.AGGREGATE(15,6,ROW(AD$14:AD$63)-ROW(AD$14)+1/(AE$14:AE$63=LARGE(AE$14:AE$63,ROW()-13)),COUNTIF(Y$14:Y37,LARGE(AE$14:AE$63,ROW()-13))+1)),"")</f>
        <v>분류불능</v>
      </c>
      <c r="Y38" s="136">
        <f t="shared" si="4"/>
        <v>1</v>
      </c>
      <c r="AA38" t="str" cm="1">
        <f t="array" ref="AA38">IFERROR(INDEX(DB!$C$2:$C$2576,_xlfn.AGGREGATE(15,6,ROW(DB!$C$2:$C$2576)-1/((($D$3&lt;&gt;"YES")+($D$3="YES")*(DB!$E$2:$E$2576="YES"))*(($D$4="")+($D$4&lt;&gt;"")*(DB!$B$2:$B$2576=$D$4))*(($F$7="전체")+($F$7&lt;&gt;"전체")*(DB!$H$2:$H$2576=$F$7))*(COUNTIF(AA$13:AA37,DB!$C$2:$C$2576)=0)),1)),"")</f>
        <v/>
      </c>
      <c r="AB38" t="str" cm="1">
        <f t="array" ref="AB38">IF(AA38="","",SUMPRODUCT(((($D$3&lt;&gt;"YES")+($D$3="YES")*(DB!$E$2:$E$2576="YES"))*(($D$4="")+($D$4&lt;&gt;"")*(DB!$B$2:$B$2576=$D$4))*(($F$7="전체")+($F$7&lt;&gt;"전체")*(DB!$H$2:$H$2576=$F$7)))*(DB!$C$2:$C$2576=AA38)*1))</f>
        <v/>
      </c>
      <c r="AD38" t="str" cm="1">
        <f t="array" ref="AD38">IFERROR(INDEX(DB!$G$2:$G$2576,_xlfn.AGGREGATE(15,6,ROW(DB!$G$2:$G$2576)-1/((($D$3&lt;&gt;"YES")+($D$3="YES")*(DB!$E$2:$E$2576="YES"))*(($D$4="")+($D$4&lt;&gt;"")*(DB!$B$2:$B$2576=$D$4))*(($D$5="")+($D$5&lt;&gt;"")*(DB!$C$2:$C$2576=$D$5))*(($D$6="")+($D$6&lt;&gt;"")*(DB!$D$2:$D$2576=$D$6))*(($D$7="")+($D$7&lt;&gt;"")*(ISNUMBER(SEARCH($D$7,DB!$G$2:$G$2576))))*(($F$7="전체")+($F$7&lt;&gt;"전체")*(DB!$H$2:$H$2576=$F$7))*(COUNTIF(AD$13:AD37,DB!$G$2:$G$2576)=0)),1)),"")</f>
        <v>충전부</v>
      </c>
      <c r="AE38" cm="1">
        <f t="array" ref="AE38">IF(AD38="","",SUMPRODUCT(((($D$3&lt;&gt;"YES")+($D$3="YES")*(DB!$E$2:$E$2576="YES"))*(($D$4="")+($D$4&lt;&gt;"")*(DB!$B$2:$B$2576=$D$4))*(($D$5="")+($D$5&lt;&gt;"")*(DB!$C$2:$C$2576=$D$5))*(($D$6="")+($D$6&lt;&gt;"")*(DB!$D$2:$D$2576=$D$6))*(($D$7="")+($D$7&lt;&gt;"")*(ISNUMBER(SEARCH($D$7,DB!$G$2:$G$2576))))*(($F$7="전체")+($F$7&lt;&gt;"전체")*(DB!$H$2:$H$2576=$F$7)))*(DB!$G$2:$G$2576=AD38)*1))</f>
        <v>2</v>
      </c>
    </row>
    <row r="39" spans="1:31" ht="100" customHeight="1">
      <c r="A39" s="26"/>
      <c r="B39" s="42">
        <f t="shared" si="0"/>
        <v>26</v>
      </c>
      <c r="C39" s="43"/>
      <c r="D39" s="51" t="str" cm="1">
        <f t="array" ref="D39">IFERROR(INDEX(DB!G$2:G$2576,T39),"")</f>
        <v>굴착기</v>
      </c>
      <c r="E39" s="43"/>
      <c r="F39" s="52" t="str" cm="1">
        <f t="array" ref="F39">IFERROR(INDEX(DB!O$2:O$2576,T39),"")</f>
        <v>부딪힘 접촉</v>
      </c>
      <c r="G39" s="43"/>
      <c r="H39" s="40" t="str" cm="1">
        <f t="array" ref="H39">IFERROR(INDEX(DB!P$2:P$2576,T39),"")</f>
        <v>2016년 5월경 OO시 OO구 OO동 소재 OOOO(주) 『OOOO 오수관로 정비공사』현장에서 오수관로 매설작업을 위한 터파기(GL=-2.4m) 작업 후 굴삭기를 이용하여 오수관로 운반 및 연결 작업을 하다가 굴삭기 바퀴(무한궤도) 호안기초에 일부 걸쳐져 있다 내려앉으며 굴삭기 붐이 재해자 방향으로 순식간에 기울어지며 버켓이 체결되어 있지 않은 굴삭기 붐 단부가 재해자의 두부를 타격하여  사망한 재해임.</v>
      </c>
      <c r="I39" s="43"/>
      <c r="J39" s="53" t="str" cm="1">
        <f t="array" ref="J39">IFERROR(INDEX(DB!Q$2:Q$2576,T39),"")</f>
        <v>장비유도자 없이 관로 부설 작업 중 굴삭기와 근로자가 충돌</v>
      </c>
      <c r="K39" s="43"/>
      <c r="L39" s="41" t="str" cm="1">
        <f t="array" ref="L39">IFERROR(INDEX(DB!R$2:R$2576,T39),"")</f>
        <v>▶ 유도자 배치하여 근로자 접촉방지 조치 실시
▶ 굴삭기 되메우기 등 장비작업에 의한 부딪힘과 같은 재해 발생위험이 높을 경우 타작업의 동시 수행금지
▶ 카메라 부착 또는 후방에 근로자의 접근을 알리는 후방센서, 경보장치 등 부착
▶ 차량계 건설기계 작업전 안전 점검 실시 및 후방카메라 등 방호장치 확인</v>
      </c>
      <c r="M39" s="43"/>
      <c r="P39" cm="1">
        <f t="array" ref="P39">IFERROR(_xlfn.AGGREGATE(15,6,ROW(DB!A$2:A$2576)/((($D$3&lt;&gt;"YES")+($D$3="YES")*(DB!E$2:E$2576="YES"))*(($D$4="")+($D$4&lt;&gt;"")*( DB!B$2:B$2576=$D$4))*(($D$5="")+($D$5&lt;&gt;"")*( DB!C$2:C$2576=$D$5))*(($D$6="")+($D$6&lt;&gt;"")*( DB!D$2:D$2576=$D$6))*(($D$7="")+($D$7&lt;&gt;"")*(ISNUMBER(SEARCH($D$7,DB!G$2:G$2576))))*(($F$7="전체")+($F$7&lt;&gt;"전체")*(DB!H$2:H$2576=$F$7))),ROW()-13)-1,"")</f>
        <v>383</v>
      </c>
      <c r="Q39" t="str" cm="1">
        <f t="array" ref="Q39">IFERROR(INDEX(DB!G$2:G$2576,P39),"")</f>
        <v>굴착기</v>
      </c>
      <c r="R39" t="str" cm="1">
        <f t="array" ref="R39">IFERROR(INDEX(DB!O$2:O$2576,P39),"")</f>
        <v>깔림 뒤집힘</v>
      </c>
      <c r="S39">
        <f t="shared" si="1"/>
        <v>244620.02600000001</v>
      </c>
      <c r="T39">
        <f t="shared" si="2"/>
        <v>386</v>
      </c>
      <c r="U39" s="138" t="str" cm="1">
        <f t="array" ref="U39">IFERROR(INDEX(AA$14:AA$63,_xlfn.AGGREGATE(15,6,ROW(AA$14:AA$63)-ROW(AA$14)+1/(AB$14:AB$63=LARGE(AB$14:AB$63,ROW()-13)),COUNTIF(V$14:V38,LARGE(AB$14:AB$63,ROW()-13))+1)),"")</f>
        <v/>
      </c>
      <c r="V39" s="131" t="str">
        <f t="shared" si="3"/>
        <v/>
      </c>
      <c r="W39" s="43"/>
      <c r="X39" s="130" t="str" cm="1">
        <f t="array" ref="X39">IFERROR(INDEX(AD$14:AD$63,_xlfn.AGGREGATE(15,6,ROW(AD$14:AD$63)-ROW(AD$14)+1/(AE$14:AE$63=LARGE(AE$14:AE$63,ROW()-13)),COUNTIF(Y$14:Y38,LARGE(AE$14:AE$63,ROW()-13))+1)),"")</f>
        <v>비계</v>
      </c>
      <c r="Y39" s="136">
        <f t="shared" si="4"/>
        <v>1</v>
      </c>
      <c r="AA39" t="str" cm="1">
        <f t="array" ref="AA39">IFERROR(INDEX(DB!$C$2:$C$2576,_xlfn.AGGREGATE(15,6,ROW(DB!$C$2:$C$2576)-1/((($D$3&lt;&gt;"YES")+($D$3="YES")*(DB!$E$2:$E$2576="YES"))*(($D$4="")+($D$4&lt;&gt;"")*(DB!$B$2:$B$2576=$D$4))*(($F$7="전체")+($F$7&lt;&gt;"전체")*(DB!$H$2:$H$2576=$F$7))*(COUNTIF(AA$13:AA38,DB!$C$2:$C$2576)=0)),1)),"")</f>
        <v/>
      </c>
      <c r="AB39" t="str" cm="1">
        <f t="array" ref="AB39">IF(AA39="","",SUMPRODUCT(((($D$3&lt;&gt;"YES")+($D$3="YES")*(DB!$E$2:$E$2576="YES"))*(($D$4="")+($D$4&lt;&gt;"")*(DB!$B$2:$B$2576=$D$4))*(($F$7="전체")+($F$7&lt;&gt;"전체")*(DB!$H$2:$H$2576=$F$7)))*(DB!$C$2:$C$2576=AA39)*1))</f>
        <v/>
      </c>
      <c r="AD39" t="str" cm="1">
        <f t="array" ref="AD39">IFERROR(INDEX(DB!$G$2:$G$2576,_xlfn.AGGREGATE(15,6,ROW(DB!$G$2:$G$2576)-1/((($D$3&lt;&gt;"YES")+($D$3="YES")*(DB!$E$2:$E$2576="YES"))*(($D$4="")+($D$4&lt;&gt;"")*(DB!$B$2:$B$2576=$D$4))*(($D$5="")+($D$5&lt;&gt;"")*(DB!$C$2:$C$2576=$D$5))*(($D$6="")+($D$6&lt;&gt;"")*(DB!$D$2:$D$2576=$D$6))*(($D$7="")+($D$7&lt;&gt;"")*(ISNUMBER(SEARCH($D$7,DB!$G$2:$G$2576))))*(($F$7="전체")+($F$7&lt;&gt;"전체")*(DB!$H$2:$H$2576=$F$7))*(COUNTIF(AD$13:AD38,DB!$G$2:$G$2576)=0)),1)),"")</f>
        <v>토사</v>
      </c>
      <c r="AE39" cm="1">
        <f t="array" ref="AE39">IF(AD39="","",SUMPRODUCT(((($D$3&lt;&gt;"YES")+($D$3="YES")*(DB!$E$2:$E$2576="YES"))*(($D$4="")+($D$4&lt;&gt;"")*(DB!$B$2:$B$2576=$D$4))*(($D$5="")+($D$5&lt;&gt;"")*(DB!$C$2:$C$2576=$D$5))*(($D$6="")+($D$6&lt;&gt;"")*(DB!$D$2:$D$2576=$D$6))*(($D$7="")+($D$7&lt;&gt;"")*(ISNUMBER(SEARCH($D$7,DB!$G$2:$G$2576))))*(($F$7="전체")+($F$7&lt;&gt;"전체")*(DB!$H$2:$H$2576=$F$7)))*(DB!$G$2:$G$2576=AD39)*1))</f>
        <v>47</v>
      </c>
    </row>
    <row r="40" spans="1:31" ht="100" customHeight="1">
      <c r="A40" s="26"/>
      <c r="B40" s="39">
        <f t="shared" si="0"/>
        <v>27</v>
      </c>
      <c r="C40" s="43"/>
      <c r="D40" s="51" t="str" cm="1">
        <f t="array" ref="D40">IFERROR(INDEX(DB!G$2:G$2576,T40),"")</f>
        <v>굴착기</v>
      </c>
      <c r="E40" s="43"/>
      <c r="F40" s="52" t="str" cm="1">
        <f t="array" ref="F40">IFERROR(INDEX(DB!O$2:O$2576,T40),"")</f>
        <v>부딪힘 접촉</v>
      </c>
      <c r="G40" s="43"/>
      <c r="H40" s="40" t="str" cm="1">
        <f t="array" ref="H40">IFERROR(INDEX(DB!P$2:P$2576,T40),"")</f>
        <v>2017년 7월경 OO시 OO군 소재 OOOO 배수로정비공사 현장에서 재해자가 배수로 수로관 안에 쌓인 모래를 정리하는 작업 중 인근에서 작업중이던 굴삭기에 충돌 후 바퀴에 깔려 사망한 재해임.</v>
      </c>
      <c r="I40" s="43"/>
      <c r="J40" s="53" t="str" cm="1">
        <f t="array" ref="J40">IFERROR(INDEX(DB!Q$2:Q$2576,T40),"")</f>
        <v>장비유도자 없이 관로 부설 작업 중 굴삭기와 근로자가 충돌</v>
      </c>
      <c r="K40" s="43"/>
      <c r="L40" s="41" t="str" cm="1">
        <f t="array" ref="L40">IFERROR(INDEX(DB!R$2:R$2576,T40),"")</f>
        <v>▶ 유도자 배치하여 근로자 접촉방지 조치 실시
▶ 굴삭기 되메우기 등 장비작업에 의한 부딪힘과 같은 재해 발생위험이 높을 경우 타작업의 동시 수행금지
▶ 카메라 부착 또는 후방에 근로자의 접근을 알리는 후방센서, 경보장치 등 부착
▶ 차량계 건설기계 작업전 안전 점검 실시 및 후방카메라 등 방호장치 확인</v>
      </c>
      <c r="M40" s="43"/>
      <c r="P40" cm="1">
        <f t="array" ref="P40">IFERROR(_xlfn.AGGREGATE(15,6,ROW(DB!A$2:A$2576)/((($D$3&lt;&gt;"YES")+($D$3="YES")*(DB!E$2:E$2576="YES"))*(($D$4="")+($D$4&lt;&gt;"")*( DB!B$2:B$2576=$D$4))*(($D$5="")+($D$5&lt;&gt;"")*( DB!C$2:C$2576=$D$5))*(($D$6="")+($D$6&lt;&gt;"")*( DB!D$2:D$2576=$D$6))*(($D$7="")+($D$7&lt;&gt;"")*(ISNUMBER(SEARCH($D$7,DB!G$2:G$2576))))*(($F$7="전체")+($F$7&lt;&gt;"전체")*(DB!H$2:H$2576=$F$7))),ROW()-13)-1,"")</f>
        <v>384</v>
      </c>
      <c r="Q40" t="str" cm="1">
        <f t="array" ref="Q40">IFERROR(INDEX(DB!G$2:G$2576,P40),"")</f>
        <v>트럭</v>
      </c>
      <c r="R40" t="str" cm="1">
        <f t="array" ref="R40">IFERROR(INDEX(DB!O$2:O$2576,P40),"")</f>
        <v>끼임</v>
      </c>
      <c r="S40">
        <f t="shared" si="1"/>
        <v>258044.027</v>
      </c>
      <c r="T40">
        <f t="shared" si="2"/>
        <v>390</v>
      </c>
      <c r="U40" s="138" t="str" cm="1">
        <f t="array" ref="U40">IFERROR(INDEX(AA$14:AA$63,_xlfn.AGGREGATE(15,6,ROW(AA$14:AA$63)-ROW(AA$14)+1/(AB$14:AB$63=LARGE(AB$14:AB$63,ROW()-13)),COUNTIF(V$14:V39,LARGE(AB$14:AB$63,ROW()-13))+1)),"")</f>
        <v/>
      </c>
      <c r="V40" s="131" t="str">
        <f t="shared" si="3"/>
        <v/>
      </c>
      <c r="W40" s="43"/>
      <c r="X40" s="130" t="str" cm="1">
        <f t="array" ref="X40">IFERROR(INDEX(AD$14:AD$63,_xlfn.AGGREGATE(15,6,ROW(AD$14:AD$63)-ROW(AD$14)+1/(AE$14:AE$63=LARGE(AE$14:AE$63,ROW()-13)),COUNTIF(Y$14:Y39,LARGE(AE$14:AE$63,ROW()-13))+1)),"")</f>
        <v>작업발판/가설계단</v>
      </c>
      <c r="Y40" s="136">
        <f t="shared" si="4"/>
        <v>1</v>
      </c>
      <c r="AA40" t="str" cm="1">
        <f t="array" ref="AA40">IFERROR(INDEX(DB!$C$2:$C$2576,_xlfn.AGGREGATE(15,6,ROW(DB!$C$2:$C$2576)-1/((($D$3&lt;&gt;"YES")+($D$3="YES")*(DB!$E$2:$E$2576="YES"))*(($D$4="")+($D$4&lt;&gt;"")*(DB!$B$2:$B$2576=$D$4))*(($F$7="전체")+($F$7&lt;&gt;"전체")*(DB!$H$2:$H$2576=$F$7))*(COUNTIF(AA$13:AA39,DB!$C$2:$C$2576)=0)),1)),"")</f>
        <v/>
      </c>
      <c r="AB40" t="str" cm="1">
        <f t="array" ref="AB40">IF(AA40="","",SUMPRODUCT(((($D$3&lt;&gt;"YES")+($D$3="YES")*(DB!$E$2:$E$2576="YES"))*(($D$4="")+($D$4&lt;&gt;"")*(DB!$B$2:$B$2576=$D$4))*(($F$7="전체")+($F$7&lt;&gt;"전체")*(DB!$H$2:$H$2576=$F$7)))*(DB!$C$2:$C$2576=AA40)*1))</f>
        <v/>
      </c>
      <c r="AD40" t="str" cm="1">
        <f t="array" ref="AD40">IFERROR(INDEX(DB!$G$2:$G$2576,_xlfn.AGGREGATE(15,6,ROW(DB!$G$2:$G$2576)-1/((($D$3&lt;&gt;"YES")+($D$3="YES")*(DB!$E$2:$E$2576="YES"))*(($D$4="")+($D$4&lt;&gt;"")*(DB!$B$2:$B$2576=$D$4))*(($D$5="")+($D$5&lt;&gt;"")*(DB!$C$2:$C$2576=$D$5))*(($D$6="")+($D$6&lt;&gt;"")*(DB!$D$2:$D$2576=$D$6))*(($D$7="")+($D$7&lt;&gt;"")*(ISNUMBER(SEARCH($D$7,DB!$G$2:$G$2576))))*(($F$7="전체")+($F$7&lt;&gt;"전체")*(DB!$H$2:$H$2576=$F$7))*(COUNTIF(AD$13:AD39,DB!$G$2:$G$2576)=0)),1)),"")</f>
        <v>화학물질</v>
      </c>
      <c r="AE40" cm="1">
        <f t="array" ref="AE40">IF(AD40="","",SUMPRODUCT(((($D$3&lt;&gt;"YES")+($D$3="YES")*(DB!$E$2:$E$2576="YES"))*(($D$4="")+($D$4&lt;&gt;"")*(DB!$B$2:$B$2576=$D$4))*(($D$5="")+($D$5&lt;&gt;"")*(DB!$C$2:$C$2576=$D$5))*(($D$6="")+($D$6&lt;&gt;"")*(DB!$D$2:$D$2576=$D$6))*(($D$7="")+($D$7&lt;&gt;"")*(ISNUMBER(SEARCH($D$7,DB!$G$2:$G$2576))))*(($F$7="전체")+($F$7&lt;&gt;"전체")*(DB!$H$2:$H$2576=$F$7)))*(DB!$G$2:$G$2576=AD40)*1))</f>
        <v>6</v>
      </c>
    </row>
    <row r="41" spans="1:31" ht="100" customHeight="1">
      <c r="A41" s="26"/>
      <c r="B41" s="42">
        <f t="shared" si="0"/>
        <v>28</v>
      </c>
      <c r="C41" s="43"/>
      <c r="D41" s="51" t="str" cm="1">
        <f t="array" ref="D41">IFERROR(INDEX(DB!G$2:G$2576,T41),"")</f>
        <v>굴착기</v>
      </c>
      <c r="E41" s="43"/>
      <c r="F41" s="52" t="str" cm="1">
        <f t="array" ref="F41">IFERROR(INDEX(DB!O$2:O$2576,T41),"")</f>
        <v>부딪힘 접촉</v>
      </c>
      <c r="G41" s="43"/>
      <c r="H41" s="40" t="str" cm="1">
        <f t="array" ref="H41">IFERROR(INDEX(DB!P$2:P$2576,T41),"")</f>
        <v xml:space="preserve">2018년 1월경 OO도 OO시 OO구 소재 ㈜OOOO, OOOO하수관로 정비공사 현장에서 재해자가 하수관로 맨홀을 운반하기 위해 차량(덤프트럭)으로 이동중 뒤 따라오던 굴삭기에 깔려 현장에서 사망한 재해임 </v>
      </c>
      <c r="I41" s="43"/>
      <c r="J41" s="53" t="str" cm="1">
        <f t="array" ref="J41">IFERROR(INDEX(DB!Q$2:Q$2576,T41),"")</f>
        <v>장비유도자 없이 관로 부설 작업 중 굴삭기와 근로자가 충돌</v>
      </c>
      <c r="K41" s="43"/>
      <c r="L41" s="41" t="str" cm="1">
        <f t="array" ref="L41">IFERROR(INDEX(DB!R$2:R$2576,T41),"")</f>
        <v>▶ 유도자 배치하여 근로자 접촉방지 조치 실시
▶ 굴삭기 되메우기 등 장비작업에 의한 부딪힘과 같은 재해 발생위험이 높을 경우 타작업의 동시 수행금지
▶ 카메라 부착 또는 후방에 근로자의 접근을 알리는 후방센서, 경보장치 등 부착
▶ 차량계 건설기계 작업전 안전 점검 실시 및 후방카메라 등 방호장치 확인</v>
      </c>
      <c r="M41" s="43"/>
      <c r="P41" cm="1">
        <f t="array" ref="P41">IFERROR(_xlfn.AGGREGATE(15,6,ROW(DB!A$2:A$2576)/((($D$3&lt;&gt;"YES")+($D$3="YES")*(DB!E$2:E$2576="YES"))*(($D$4="")+($D$4&lt;&gt;"")*( DB!B$2:B$2576=$D$4))*(($D$5="")+($D$5&lt;&gt;"")*( DB!C$2:C$2576=$D$5))*(($D$6="")+($D$6&lt;&gt;"")*( DB!D$2:D$2576=$D$6))*(($D$7="")+($D$7&lt;&gt;"")*(ISNUMBER(SEARCH($D$7,DB!G$2:G$2576))))*(($F$7="전체")+($F$7&lt;&gt;"전체")*(DB!H$2:H$2576=$F$7))),ROW()-13)-1,"")</f>
        <v>385</v>
      </c>
      <c r="Q41" t="str" cm="1">
        <f t="array" ref="Q41">IFERROR(INDEX(DB!G$2:G$2576,P41),"")</f>
        <v>굴착기</v>
      </c>
      <c r="R41" t="str" cm="1">
        <f t="array" ref="R41">IFERROR(INDEX(DB!O$2:O$2576,P41),"")</f>
        <v>부딪힘 접촉</v>
      </c>
      <c r="S41">
        <f t="shared" si="1"/>
        <v>244741.02799999999</v>
      </c>
      <c r="T41">
        <f t="shared" si="2"/>
        <v>391</v>
      </c>
      <c r="U41" s="138" t="str" cm="1">
        <f t="array" ref="U41">IFERROR(INDEX(AA$14:AA$63,_xlfn.AGGREGATE(15,6,ROW(AA$14:AA$63)-ROW(AA$14)+1/(AB$14:AB$63=LARGE(AB$14:AB$63,ROW()-13)),COUNTIF(V$14:V40,LARGE(AB$14:AB$63,ROW()-13))+1)),"")</f>
        <v/>
      </c>
      <c r="V41" s="131" t="str">
        <f t="shared" si="3"/>
        <v/>
      </c>
      <c r="W41" s="43"/>
      <c r="X41" s="130" t="str" cm="1">
        <f t="array" ref="X41">IFERROR(INDEX(AD$14:AD$63,_xlfn.AGGREGATE(15,6,ROW(AD$14:AD$63)-ROW(AD$14)+1/(AE$14:AE$63=LARGE(AE$14:AE$63,ROW()-13)),COUNTIF(Y$14:Y40,LARGE(AE$14:AE$63,ROW()-13))+1)),"")</f>
        <v>흙막이가시설</v>
      </c>
      <c r="Y41" s="136">
        <f t="shared" si="4"/>
        <v>1</v>
      </c>
      <c r="AA41" t="str" cm="1">
        <f t="array" ref="AA41">IFERROR(INDEX(DB!$C$2:$C$2576,_xlfn.AGGREGATE(15,6,ROW(DB!$C$2:$C$2576)-1/((($D$3&lt;&gt;"YES")+($D$3="YES")*(DB!$E$2:$E$2576="YES"))*(($D$4="")+($D$4&lt;&gt;"")*(DB!$B$2:$B$2576=$D$4))*(($F$7="전체")+($F$7&lt;&gt;"전체")*(DB!$H$2:$H$2576=$F$7))*(COUNTIF(AA$13:AA40,DB!$C$2:$C$2576)=0)),1)),"")</f>
        <v/>
      </c>
      <c r="AB41" t="str" cm="1">
        <f t="array" ref="AB41">IF(AA41="","",SUMPRODUCT(((($D$3&lt;&gt;"YES")+($D$3="YES")*(DB!$E$2:$E$2576="YES"))*(($D$4="")+($D$4&lt;&gt;"")*(DB!$B$2:$B$2576=$D$4))*(($F$7="전체")+($F$7&lt;&gt;"전체")*(DB!$H$2:$H$2576=$F$7)))*(DB!$C$2:$C$2576=AA41)*1))</f>
        <v/>
      </c>
      <c r="AD41" t="str" cm="1">
        <f t="array" ref="AD41">IFERROR(INDEX(DB!$G$2:$G$2576,_xlfn.AGGREGATE(15,6,ROW(DB!$G$2:$G$2576)-1/((($D$3&lt;&gt;"YES")+($D$3="YES")*(DB!$E$2:$E$2576="YES"))*(($D$4="")+($D$4&lt;&gt;"")*(DB!$B$2:$B$2576=$D$4))*(($D$5="")+($D$5&lt;&gt;"")*(DB!$C$2:$C$2576=$D$5))*(($D$6="")+($D$6&lt;&gt;"")*(DB!$D$2:$D$2576=$D$6))*(($D$7="")+($D$7&lt;&gt;"")*(ISNUMBER(SEARCH($D$7,DB!$G$2:$G$2576))))*(($F$7="전체")+($F$7&lt;&gt;"전체")*(DB!$H$2:$H$2576=$F$7))*(COUNTIF(AD$13:AD40,DB!$G$2:$G$2576)=0)),1)),"")</f>
        <v>흙막이가시설</v>
      </c>
      <c r="AE41" cm="1">
        <f t="array" ref="AE41">IF(AD41="","",SUMPRODUCT(((($D$3&lt;&gt;"YES")+($D$3="YES")*(DB!$E$2:$E$2576="YES"))*(($D$4="")+($D$4&lt;&gt;"")*(DB!$B$2:$B$2576=$D$4))*(($D$5="")+($D$5&lt;&gt;"")*(DB!$C$2:$C$2576=$D$5))*(($D$6="")+($D$6&lt;&gt;"")*(DB!$D$2:$D$2576=$D$6))*(($D$7="")+($D$7&lt;&gt;"")*(ISNUMBER(SEARCH($D$7,DB!$G$2:$G$2576))))*(($F$7="전체")+($F$7&lt;&gt;"전체")*(DB!$H$2:$H$2576=$F$7)))*(DB!$G$2:$G$2576=AD41)*1))</f>
        <v>1</v>
      </c>
    </row>
    <row r="42" spans="1:31" ht="100" customHeight="1">
      <c r="A42" s="26"/>
      <c r="B42" s="39">
        <f t="shared" si="0"/>
        <v>29</v>
      </c>
      <c r="C42" s="43"/>
      <c r="D42" s="51" t="str" cm="1">
        <f t="array" ref="D42">IFERROR(INDEX(DB!G$2:G$2576,T42),"")</f>
        <v>굴착기</v>
      </c>
      <c r="E42" s="43"/>
      <c r="F42" s="52" t="str" cm="1">
        <f t="array" ref="F42">IFERROR(INDEX(DB!O$2:O$2576,T42),"")</f>
        <v>부딪힘 접촉</v>
      </c>
      <c r="G42" s="43"/>
      <c r="H42" s="40" t="str" cm="1">
        <f t="array" ref="H42">IFERROR(INDEX(DB!P$2:P$2576,T42),"")</f>
        <v>2018년 6월경, OOO시 OO면 소재 OOOO 하수처리시설 설치공사 현장에서, 재해자 OOO가, 오수관로매설 후 토사를 되 메우는 과정에서, 다짐작업을 진행하던 굴삭기 뒤에서 주변토사를 정리하던 중, 후진하는 굴삭기 오른쪽 바퀴에 깔려 사망한 재해임.</v>
      </c>
      <c r="I42" s="43"/>
      <c r="J42" s="53" t="str" cm="1">
        <f t="array" ref="J42">IFERROR(INDEX(DB!Q$2:Q$2576,T42),"")</f>
        <v>장비유도자 없이 관로 부설 작업 중 굴삭기와 근로자가 충돌</v>
      </c>
      <c r="K42" s="43"/>
      <c r="L42" s="41" t="str" cm="1">
        <f t="array" ref="L42">IFERROR(INDEX(DB!R$2:R$2576,T42),"")</f>
        <v>▶ 유도자 배치하여 근로자 접촉방지 조치 실시
▶ 굴삭기 되메우기 등 장비작업에 의한 부딪힘과 같은 재해 발생위험이 높을 경우 타작업의 동시 수행금지
▶ 카메라 부착 또는 후방에 근로자의 접근을 알리는 후방센서, 경보장치 등 부착
▶ 차량계 건설기계 작업전 안전 점검 실시 및 후방카메라 등 방호장치 확인</v>
      </c>
      <c r="M42" s="43"/>
      <c r="P42" cm="1">
        <f t="array" ref="P42">IFERROR(_xlfn.AGGREGATE(15,6,ROW(DB!A$2:A$2576)/((($D$3&lt;&gt;"YES")+($D$3="YES")*(DB!E$2:E$2576="YES"))*(($D$4="")+($D$4&lt;&gt;"")*( DB!B$2:B$2576=$D$4))*(($D$5="")+($D$5&lt;&gt;"")*( DB!C$2:C$2576=$D$5))*(($D$6="")+($D$6&lt;&gt;"")*( DB!D$2:D$2576=$D$6))*(($D$7="")+($D$7&lt;&gt;"")*(ISNUMBER(SEARCH($D$7,DB!G$2:G$2576))))*(($F$7="전체")+($F$7&lt;&gt;"전체")*(DB!H$2:H$2576=$F$7))),ROW()-13)-1,"")</f>
        <v>386</v>
      </c>
      <c r="Q42" t="str" cm="1">
        <f t="array" ref="Q42">IFERROR(INDEX(DB!G$2:G$2576,P42),"")</f>
        <v>굴착기</v>
      </c>
      <c r="R42" t="str" cm="1">
        <f t="array" ref="R42">IFERROR(INDEX(DB!O$2:O$2576,P42),"")</f>
        <v>부딪힘 접촉</v>
      </c>
      <c r="S42">
        <f t="shared" si="1"/>
        <v>244741.02900000001</v>
      </c>
      <c r="T42">
        <f t="shared" si="2"/>
        <v>392</v>
      </c>
      <c r="U42" s="138" t="str" cm="1">
        <f t="array" ref="U42">IFERROR(INDEX(AA$14:AA$63,_xlfn.AGGREGATE(15,6,ROW(AA$14:AA$63)-ROW(AA$14)+1/(AB$14:AB$63=LARGE(AB$14:AB$63,ROW()-13)),COUNTIF(V$14:V41,LARGE(AB$14:AB$63,ROW()-13))+1)),"")</f>
        <v/>
      </c>
      <c r="V42" s="131" t="str">
        <f t="shared" si="3"/>
        <v/>
      </c>
      <c r="W42" s="43"/>
      <c r="X42" s="130" t="str" cm="1">
        <f t="array" ref="X42">IFERROR(INDEX(AD$14:AD$63,_xlfn.AGGREGATE(15,6,ROW(AD$14:AD$63)-ROW(AD$14)+1/(AE$14:AE$63=LARGE(AE$14:AE$63,ROW()-13)),COUNTIF(Y$14:Y41,LARGE(AE$14:AE$63,ROW()-13))+1)),"")</f>
        <v/>
      </c>
      <c r="Y42" s="136" t="str">
        <f t="shared" si="4"/>
        <v/>
      </c>
      <c r="AA42" t="str" cm="1">
        <f t="array" ref="AA42">IFERROR(INDEX(DB!$C$2:$C$2576,_xlfn.AGGREGATE(15,6,ROW(DB!$C$2:$C$2576)-1/((($D$3&lt;&gt;"YES")+($D$3="YES")*(DB!$E$2:$E$2576="YES"))*(($D$4="")+($D$4&lt;&gt;"")*(DB!$B$2:$B$2576=$D$4))*(($F$7="전체")+($F$7&lt;&gt;"전체")*(DB!$H$2:$H$2576=$F$7))*(COUNTIF(AA$13:AA41,DB!$C$2:$C$2576)=0)),1)),"")</f>
        <v/>
      </c>
      <c r="AB42" t="str" cm="1">
        <f t="array" ref="AB42">IF(AA42="","",SUMPRODUCT(((($D$3&lt;&gt;"YES")+($D$3="YES")*(DB!$E$2:$E$2576="YES"))*(($D$4="")+($D$4&lt;&gt;"")*(DB!$B$2:$B$2576=$D$4))*(($F$7="전체")+($F$7&lt;&gt;"전체")*(DB!$H$2:$H$2576=$F$7)))*(DB!$C$2:$C$2576=AA42)*1))</f>
        <v/>
      </c>
      <c r="AD42" t="str" cm="1">
        <f t="array" ref="AD42">IFERROR(INDEX(DB!$G$2:$G$2576,_xlfn.AGGREGATE(15,6,ROW(DB!$G$2:$G$2576)-1/((($D$3&lt;&gt;"YES")+($D$3="YES")*(DB!$E$2:$E$2576="YES"))*(($D$4="")+($D$4&lt;&gt;"")*(DB!$B$2:$B$2576=$D$4))*(($D$5="")+($D$5&lt;&gt;"")*(DB!$C$2:$C$2576=$D$5))*(($D$6="")+($D$6&lt;&gt;"")*(DB!$D$2:$D$2576=$D$6))*(($D$7="")+($D$7&lt;&gt;"")*(ISNUMBER(SEARCH($D$7,DB!$G$2:$G$2576))))*(($F$7="전체")+($F$7&lt;&gt;"전체")*(DB!$H$2:$H$2576=$F$7))*(COUNTIF(AD$13:AD41,DB!$G$2:$G$2576)=0)),1)),"")</f>
        <v/>
      </c>
      <c r="AE42" t="str" cm="1">
        <f t="array" ref="AE42">IF(AD42="","",SUMPRODUCT(((($D$3&lt;&gt;"YES")+($D$3="YES")*(DB!$E$2:$E$2576="YES"))*(($D$4="")+($D$4&lt;&gt;"")*(DB!$B$2:$B$2576=$D$4))*(($D$5="")+($D$5&lt;&gt;"")*(DB!$C$2:$C$2576=$D$5))*(($D$6="")+($D$6&lt;&gt;"")*(DB!$D$2:$D$2576=$D$6))*(($D$7="")+($D$7&lt;&gt;"")*(ISNUMBER(SEARCH($D$7,DB!$G$2:$G$2576))))*(($F$7="전체")+($F$7&lt;&gt;"전체")*(DB!$H$2:$H$2576=$F$7)))*(DB!$G$2:$G$2576=AD42)*1))</f>
        <v/>
      </c>
    </row>
    <row r="43" spans="1:31" ht="100" customHeight="1">
      <c r="A43" s="26"/>
      <c r="B43" s="42">
        <f t="shared" si="0"/>
        <v>30</v>
      </c>
      <c r="C43" s="43"/>
      <c r="D43" s="51" t="str" cm="1">
        <f t="array" ref="D43">IFERROR(INDEX(DB!G$2:G$2576,T43),"")</f>
        <v>굴착기</v>
      </c>
      <c r="E43" s="43"/>
      <c r="F43" s="52" t="str" cm="1">
        <f t="array" ref="F43">IFERROR(INDEX(DB!O$2:O$2576,T43),"")</f>
        <v>부딪힘 접촉</v>
      </c>
      <c r="G43" s="43"/>
      <c r="H43" s="40" t="str" cm="1">
        <f t="array" ref="H43">IFERROR(INDEX(DB!P$2:P$2576,T43),"")</f>
        <v>2018년 9월경, OOO시 OO구 OO동 소재 ㈜OOO에서 시공하는 OOOO 배전간선 설치공사 현장에서 재해자가 합성수지 파형관로 이음관 운반 중 인접하여 작업 중이던 굴삭기(0.6m3)의 후방 타이어에 부딪히며 깔려 사망한 재해임.</v>
      </c>
      <c r="I43" s="43"/>
      <c r="J43" s="53" t="str" cm="1">
        <f t="array" ref="J43">IFERROR(INDEX(DB!Q$2:Q$2576,T43),"")</f>
        <v>장비유도자 없이 관로 부설 작업 중 굴삭기와 근로자가 충돌</v>
      </c>
      <c r="K43" s="43"/>
      <c r="L43" s="41" t="str" cm="1">
        <f t="array" ref="L43">IFERROR(INDEX(DB!R$2:R$2576,T43),"")</f>
        <v>▶ 유도자 배치하여 근로자 접촉방지 조치 실시
▶ 굴삭기 되메우기 등 장비작업에 의한 부딪힘과 같은 재해 발생위험이 높을 경우 타작업의 동시 수행금지
▶ 카메라 부착 또는 후방에 근로자의 접근을 알리는 후방센서, 경보장치 등 부착
▶ 차량계 건설기계 작업전 안전 점검 실시 및 후방카메라 등 방호장치 확인</v>
      </c>
      <c r="M43" s="43"/>
      <c r="P43" cm="1">
        <f t="array" ref="P43">IFERROR(_xlfn.AGGREGATE(15,6,ROW(DB!A$2:A$2576)/((($D$3&lt;&gt;"YES")+($D$3="YES")*(DB!E$2:E$2576="YES"))*(($D$4="")+($D$4&lt;&gt;"")*( DB!B$2:B$2576=$D$4))*(($D$5="")+($D$5&lt;&gt;"")*( DB!C$2:C$2576=$D$5))*(($D$6="")+($D$6&lt;&gt;"")*( DB!D$2:D$2576=$D$6))*(($D$7="")+($D$7&lt;&gt;"")*(ISNUMBER(SEARCH($D$7,DB!G$2:G$2576))))*(($F$7="전체")+($F$7&lt;&gt;"전체")*(DB!H$2:H$2576=$F$7))),ROW()-13)-1,"")</f>
        <v>387</v>
      </c>
      <c r="Q43" t="str" cm="1">
        <f t="array" ref="Q43">IFERROR(INDEX(DB!G$2:G$2576,P43),"")</f>
        <v>굴착기</v>
      </c>
      <c r="R43" t="str" cm="1">
        <f t="array" ref="R43">IFERROR(INDEX(DB!O$2:O$2576,P43),"")</f>
        <v>끼임</v>
      </c>
      <c r="S43">
        <f t="shared" si="1"/>
        <v>244644.03</v>
      </c>
      <c r="T43">
        <f t="shared" si="2"/>
        <v>394</v>
      </c>
      <c r="U43" s="138" t="str" cm="1">
        <f t="array" ref="U43">IFERROR(INDEX(AA$14:AA$63,_xlfn.AGGREGATE(15,6,ROW(AA$14:AA$63)-ROW(AA$14)+1/(AB$14:AB$63=LARGE(AB$14:AB$63,ROW()-13)),COUNTIF(V$14:V42,LARGE(AB$14:AB$63,ROW()-13))+1)),"")</f>
        <v/>
      </c>
      <c r="V43" s="131" t="str">
        <f t="shared" si="3"/>
        <v/>
      </c>
      <c r="W43" s="43"/>
      <c r="X43" s="130" t="str" cm="1">
        <f t="array" ref="X43">IFERROR(INDEX(AD$14:AD$63,_xlfn.AGGREGATE(15,6,ROW(AD$14:AD$63)-ROW(AD$14)+1/(AE$14:AE$63=LARGE(AE$14:AE$63,ROW()-13)),COUNTIF(Y$14:Y42,LARGE(AE$14:AE$63,ROW()-13))+1)),"")</f>
        <v/>
      </c>
      <c r="Y43" s="136" t="str">
        <f t="shared" si="4"/>
        <v/>
      </c>
      <c r="AA43" t="str" cm="1">
        <f t="array" ref="AA43">IFERROR(INDEX(DB!$C$2:$C$2576,_xlfn.AGGREGATE(15,6,ROW(DB!$C$2:$C$2576)-1/((($D$3&lt;&gt;"YES")+($D$3="YES")*(DB!$E$2:$E$2576="YES"))*(($D$4="")+($D$4&lt;&gt;"")*(DB!$B$2:$B$2576=$D$4))*(($F$7="전체")+($F$7&lt;&gt;"전체")*(DB!$H$2:$H$2576=$F$7))*(COUNTIF(AA$13:AA42,DB!$C$2:$C$2576)=0)),1)),"")</f>
        <v/>
      </c>
      <c r="AB43" t="str" cm="1">
        <f t="array" ref="AB43">IF(AA43="","",SUMPRODUCT(((($D$3&lt;&gt;"YES")+($D$3="YES")*(DB!$E$2:$E$2576="YES"))*(($D$4="")+($D$4&lt;&gt;"")*(DB!$B$2:$B$2576=$D$4))*(($F$7="전체")+($F$7&lt;&gt;"전체")*(DB!$H$2:$H$2576=$F$7)))*(DB!$C$2:$C$2576=AA43)*1))</f>
        <v/>
      </c>
      <c r="AD43" t="str" cm="1">
        <f t="array" ref="AD43">IFERROR(INDEX(DB!$G$2:$G$2576,_xlfn.AGGREGATE(15,6,ROW(DB!$G$2:$G$2576)-1/((($D$3&lt;&gt;"YES")+($D$3="YES")*(DB!$E$2:$E$2576="YES"))*(($D$4="")+($D$4&lt;&gt;"")*(DB!$B$2:$B$2576=$D$4))*(($D$5="")+($D$5&lt;&gt;"")*(DB!$C$2:$C$2576=$D$5))*(($D$6="")+($D$6&lt;&gt;"")*(DB!$D$2:$D$2576=$D$6))*(($D$7="")+($D$7&lt;&gt;"")*(ISNUMBER(SEARCH($D$7,DB!$G$2:$G$2576))))*(($F$7="전체")+($F$7&lt;&gt;"전체")*(DB!$H$2:$H$2576=$F$7))*(COUNTIF(AD$13:AD42,DB!$G$2:$G$2576)=0)),1)),"")</f>
        <v/>
      </c>
      <c r="AE43" t="str" cm="1">
        <f t="array" ref="AE43">IF(AD43="","",SUMPRODUCT(((($D$3&lt;&gt;"YES")+($D$3="YES")*(DB!$E$2:$E$2576="YES"))*(($D$4="")+($D$4&lt;&gt;"")*(DB!$B$2:$B$2576=$D$4))*(($D$5="")+($D$5&lt;&gt;"")*(DB!$C$2:$C$2576=$D$5))*(($D$6="")+($D$6&lt;&gt;"")*(DB!$D$2:$D$2576=$D$6))*(($D$7="")+($D$7&lt;&gt;"")*(ISNUMBER(SEARCH($D$7,DB!$G$2:$G$2576))))*(($F$7="전체")+($F$7&lt;&gt;"전체")*(DB!$H$2:$H$2576=$F$7)))*(DB!$G$2:$G$2576=AD43)*1))</f>
        <v/>
      </c>
    </row>
    <row r="44" spans="1:31" ht="100" customHeight="1">
      <c r="A44" s="26"/>
      <c r="B44" s="39">
        <f t="shared" si="0"/>
        <v>31</v>
      </c>
      <c r="C44" s="43"/>
      <c r="D44" s="51" t="str" cm="1">
        <f t="array" ref="D44">IFERROR(INDEX(DB!G$2:G$2576,T44),"")</f>
        <v>굴착기</v>
      </c>
      <c r="E44" s="43"/>
      <c r="F44" s="52" t="str" cm="1">
        <f t="array" ref="F44">IFERROR(INDEX(DB!O$2:O$2576,T44),"")</f>
        <v>부딪힘 접촉</v>
      </c>
      <c r="G44" s="43"/>
      <c r="H44" s="40" t="str" cm="1">
        <f t="array" ref="H44">IFERROR(INDEX(DB!P$2:P$2576,T44),"")</f>
        <v>2020년 4월경 OOO도 OO군 OO면 소재 (주)OO OOOO개발사업 토목 및 전기공사 중 지중선로 설치공사 현장에서 지중선로 설치구간 되메우기 후 후진하는 굴착기(OOOO 소속) 후방으로 OOOO(주) 소속 재해자가 이동하던 중 굴착기 바퀴에 깔려 사망한 재해임_x000D_</v>
      </c>
      <c r="I44" s="43"/>
      <c r="J44" s="53" t="str" cm="1">
        <f t="array" ref="J44">IFERROR(INDEX(DB!Q$2:Q$2576,T44),"")</f>
        <v>장비유도자 없이 관로 부설 작업 중 굴삭기와 근로자가 충돌</v>
      </c>
      <c r="K44" s="43"/>
      <c r="L44" s="41" t="str" cm="1">
        <f t="array" ref="L44">IFERROR(INDEX(DB!R$2:R$2576,T44),"")</f>
        <v>▶ 유도자 배치하여 근로자 접촉방지 조치 실시
▶ 굴삭기 되메우기 등 장비작업에 의한 부딪힘과 같은 재해 발생위험이 높을 경우 타작업의 동시 수행금지
▶ 카메라 부착 또는 후방에 근로자의 접근을 알리는 후방센서, 경보장치 등 부착
▶ 차량계 건설기계 작업전 안전 점검 실시 및 후방카메라 등 방호장치 확인</v>
      </c>
      <c r="M44" s="43"/>
      <c r="P44" cm="1">
        <f t="array" ref="P44">IFERROR(_xlfn.AGGREGATE(15,6,ROW(DB!A$2:A$2576)/((($D$3&lt;&gt;"YES")+($D$3="YES")*(DB!E$2:E$2576="YES"))*(($D$4="")+($D$4&lt;&gt;"")*( DB!B$2:B$2576=$D$4))*(($D$5="")+($D$5&lt;&gt;"")*( DB!C$2:C$2576=$D$5))*(($D$6="")+($D$6&lt;&gt;"")*( DB!D$2:D$2576=$D$6))*(($D$7="")+($D$7&lt;&gt;"")*(ISNUMBER(SEARCH($D$7,DB!G$2:G$2576))))*(($F$7="전체")+($F$7&lt;&gt;"전체")*(DB!H$2:H$2576=$F$7))),ROW()-13)-1,"")</f>
        <v>388</v>
      </c>
      <c r="Q44" t="str" cm="1">
        <f t="array" ref="Q44">IFERROR(INDEX(DB!G$2:G$2576,P44),"")</f>
        <v>트럭</v>
      </c>
      <c r="R44" t="str" cm="1">
        <f t="array" ref="R44">IFERROR(INDEX(DB!O$2:O$2576,P44),"")</f>
        <v>깔림 뒤집힘</v>
      </c>
      <c r="S44">
        <f t="shared" si="1"/>
        <v>258020.03099999999</v>
      </c>
      <c r="T44">
        <f t="shared" si="2"/>
        <v>401</v>
      </c>
      <c r="U44" s="138" t="str" cm="1">
        <f t="array" ref="U44">IFERROR(INDEX(AA$14:AA$63,_xlfn.AGGREGATE(15,6,ROW(AA$14:AA$63)-ROW(AA$14)+1/(AB$14:AB$63=LARGE(AB$14:AB$63,ROW()-13)),COUNTIF(V$14:V43,LARGE(AB$14:AB$63,ROW()-13))+1)),"")</f>
        <v/>
      </c>
      <c r="V44" s="131" t="str">
        <f t="shared" si="3"/>
        <v/>
      </c>
      <c r="W44" s="43"/>
      <c r="X44" s="130" t="str" cm="1">
        <f t="array" ref="X44">IFERROR(INDEX(AD$14:AD$63,_xlfn.AGGREGATE(15,6,ROW(AD$14:AD$63)-ROW(AD$14)+1/(AE$14:AE$63=LARGE(AE$14:AE$63,ROW()-13)),COUNTIF(Y$14:Y43,LARGE(AE$14:AE$63,ROW()-13))+1)),"")</f>
        <v/>
      </c>
      <c r="Y44" s="136" t="str">
        <f t="shared" si="4"/>
        <v/>
      </c>
      <c r="AA44" t="str" cm="1">
        <f t="array" ref="AA44">IFERROR(INDEX(DB!$C$2:$C$2576,_xlfn.AGGREGATE(15,6,ROW(DB!$C$2:$C$2576)-1/((($D$3&lt;&gt;"YES")+($D$3="YES")*(DB!$E$2:$E$2576="YES"))*(($D$4="")+($D$4&lt;&gt;"")*(DB!$B$2:$B$2576=$D$4))*(($F$7="전체")+($F$7&lt;&gt;"전체")*(DB!$H$2:$H$2576=$F$7))*(COUNTIF(AA$13:AA43,DB!$C$2:$C$2576)=0)),1)),"")</f>
        <v/>
      </c>
      <c r="AB44" t="str" cm="1">
        <f t="array" ref="AB44">IF(AA44="","",SUMPRODUCT(((($D$3&lt;&gt;"YES")+($D$3="YES")*(DB!$E$2:$E$2576="YES"))*(($D$4="")+($D$4&lt;&gt;"")*(DB!$B$2:$B$2576=$D$4))*(($F$7="전체")+($F$7&lt;&gt;"전체")*(DB!$H$2:$H$2576=$F$7)))*(DB!$C$2:$C$2576=AA44)*1))</f>
        <v/>
      </c>
      <c r="AD44" t="str" cm="1">
        <f t="array" ref="AD44">IFERROR(INDEX(DB!$G$2:$G$2576,_xlfn.AGGREGATE(15,6,ROW(DB!$G$2:$G$2576)-1/((($D$3&lt;&gt;"YES")+($D$3="YES")*(DB!$E$2:$E$2576="YES"))*(($D$4="")+($D$4&lt;&gt;"")*(DB!$B$2:$B$2576=$D$4))*(($D$5="")+($D$5&lt;&gt;"")*(DB!$C$2:$C$2576=$D$5))*(($D$6="")+($D$6&lt;&gt;"")*(DB!$D$2:$D$2576=$D$6))*(($D$7="")+($D$7&lt;&gt;"")*(ISNUMBER(SEARCH($D$7,DB!$G$2:$G$2576))))*(($F$7="전체")+($F$7&lt;&gt;"전체")*(DB!$H$2:$H$2576=$F$7))*(COUNTIF(AD$13:AD43,DB!$G$2:$G$2576)=0)),1)),"")</f>
        <v/>
      </c>
      <c r="AE44" t="str" cm="1">
        <f t="array" ref="AE44">IF(AD44="","",SUMPRODUCT(((($D$3&lt;&gt;"YES")+($D$3="YES")*(DB!$E$2:$E$2576="YES"))*(($D$4="")+($D$4&lt;&gt;"")*(DB!$B$2:$B$2576=$D$4))*(($D$5="")+($D$5&lt;&gt;"")*(DB!$C$2:$C$2576=$D$5))*(($D$6="")+($D$6&lt;&gt;"")*(DB!$D$2:$D$2576=$D$6))*(($D$7="")+($D$7&lt;&gt;"")*(ISNUMBER(SEARCH($D$7,DB!$G$2:$G$2576))))*(($F$7="전체")+($F$7&lt;&gt;"전체")*(DB!$H$2:$H$2576=$F$7)))*(DB!$G$2:$G$2576=AD44)*1))</f>
        <v/>
      </c>
    </row>
    <row r="45" spans="1:31" ht="100" customHeight="1">
      <c r="A45" s="26"/>
      <c r="B45" s="42">
        <f t="shared" si="0"/>
        <v>32</v>
      </c>
      <c r="C45" s="43"/>
      <c r="D45" s="51" t="str" cm="1">
        <f t="array" ref="D45">IFERROR(INDEX(DB!G$2:G$2576,T45),"")</f>
        <v>굴착기</v>
      </c>
      <c r="E45" s="43"/>
      <c r="F45" s="52" t="str" cm="1">
        <f t="array" ref="F45">IFERROR(INDEX(DB!O$2:O$2576,T45),"")</f>
        <v>부딪힘 접촉</v>
      </c>
      <c r="G45" s="43"/>
      <c r="H45" s="40" t="str" cm="1">
        <f t="array" ref="H45">IFERROR(INDEX(DB!P$2:P$2576,T45),"")</f>
        <v xml:space="preserve">2020년 7월경 OOO도 OO시 OO동 소재 ㈜OO OOOO복원사업 토목공사 현장에서 굴착기를 이용하여 차집관로(레진관, D1200, 약 1.8톤)의 높낮이 조절을 위해 들어 올리던 중 강널말뚝과 차집관로 사이에 있던 재해자가 차집관로에 가슴부위를 맞아 당일 병원으로 이송 치료 중 사망함. </v>
      </c>
      <c r="I45" s="43"/>
      <c r="J45" s="53" t="str" cm="1">
        <f t="array" ref="J45">IFERROR(INDEX(DB!Q$2:Q$2576,T45),"")</f>
        <v>장비유도자 없이 관로 부설 작업 중 굴삭기와 근로자가 충돌</v>
      </c>
      <c r="K45" s="43"/>
      <c r="L45" s="41" t="str" cm="1">
        <f t="array" ref="L45">IFERROR(INDEX(DB!R$2:R$2576,T45),"")</f>
        <v>▶ 유도자 배치하여 근로자 접촉방지 조치 실시
▶ 굴삭기 되메우기 등 장비작업에 의한 부딪힘과 같은 재해 발생위험이 높을 경우 타작업의 동시 수행금지
▶ 카메라 부착 또는 후방에 근로자의 접근을 알리는 후방센서, 경보장치 등 부착
▶ 차량계 건설기계 작업전 안전 점검 실시 및 후방카메라 등 방호장치 확인</v>
      </c>
      <c r="M45" s="43"/>
      <c r="P45" cm="1">
        <f t="array" ref="P45">IFERROR(_xlfn.AGGREGATE(15,6,ROW(DB!A$2:A$2576)/((($D$3&lt;&gt;"YES")+($D$3="YES")*(DB!E$2:E$2576="YES"))*(($D$4="")+($D$4&lt;&gt;"")*( DB!B$2:B$2576=$D$4))*(($D$5="")+($D$5&lt;&gt;"")*( DB!C$2:C$2576=$D$5))*(($D$6="")+($D$6&lt;&gt;"")*( DB!D$2:D$2576=$D$6))*(($D$7="")+($D$7&lt;&gt;"")*(ISNUMBER(SEARCH($D$7,DB!G$2:G$2576))))*(($F$7="전체")+($F$7&lt;&gt;"전체")*(DB!H$2:H$2576=$F$7))),ROW()-13)-1,"")</f>
        <v>389</v>
      </c>
      <c r="Q45" t="str" cm="1">
        <f t="array" ref="Q45">IFERROR(INDEX(DB!G$2:G$2576,P45),"")</f>
        <v>굴착기</v>
      </c>
      <c r="R45" t="str" cm="1">
        <f t="array" ref="R45">IFERROR(INDEX(DB!O$2:O$2576,P45),"")</f>
        <v>맞음(낙하물체)</v>
      </c>
      <c r="S45">
        <f t="shared" si="1"/>
        <v>244686.03200000001</v>
      </c>
      <c r="T45">
        <f t="shared" si="2"/>
        <v>402</v>
      </c>
      <c r="U45" s="138" t="str" cm="1">
        <f t="array" ref="U45">IFERROR(INDEX(AA$14:AA$63,_xlfn.AGGREGATE(15,6,ROW(AA$14:AA$63)-ROW(AA$14)+1/(AB$14:AB$63=LARGE(AB$14:AB$63,ROW()-13)),COUNTIF(V$14:V44,LARGE(AB$14:AB$63,ROW()-13))+1)),"")</f>
        <v/>
      </c>
      <c r="V45" s="131" t="str">
        <f t="shared" si="3"/>
        <v/>
      </c>
      <c r="W45" s="43"/>
      <c r="X45" s="130" t="str" cm="1">
        <f t="array" ref="X45">IFERROR(INDEX(AD$14:AD$63,_xlfn.AGGREGATE(15,6,ROW(AD$14:AD$63)-ROW(AD$14)+1/(AE$14:AE$63=LARGE(AE$14:AE$63,ROW()-13)),COUNTIF(Y$14:Y44,LARGE(AE$14:AE$63,ROW()-13))+1)),"")</f>
        <v/>
      </c>
      <c r="Y45" s="136" t="str">
        <f t="shared" si="4"/>
        <v/>
      </c>
      <c r="AA45" t="str" cm="1">
        <f t="array" ref="AA45">IFERROR(INDEX(DB!$C$2:$C$2576,_xlfn.AGGREGATE(15,6,ROW(DB!$C$2:$C$2576)-1/((($D$3&lt;&gt;"YES")+($D$3="YES")*(DB!$E$2:$E$2576="YES"))*(($D$4="")+($D$4&lt;&gt;"")*(DB!$B$2:$B$2576=$D$4))*(($F$7="전체")+($F$7&lt;&gt;"전체")*(DB!$H$2:$H$2576=$F$7))*(COUNTIF(AA$13:AA44,DB!$C$2:$C$2576)=0)),1)),"")</f>
        <v/>
      </c>
      <c r="AB45" t="str" cm="1">
        <f t="array" ref="AB45">IF(AA45="","",SUMPRODUCT(((($D$3&lt;&gt;"YES")+($D$3="YES")*(DB!$E$2:$E$2576="YES"))*(($D$4="")+($D$4&lt;&gt;"")*(DB!$B$2:$B$2576=$D$4))*(($F$7="전체")+($F$7&lt;&gt;"전체")*(DB!$H$2:$H$2576=$F$7)))*(DB!$C$2:$C$2576=AA45)*1))</f>
        <v/>
      </c>
      <c r="AD45" t="str" cm="1">
        <f t="array" ref="AD45">IFERROR(INDEX(DB!$G$2:$G$2576,_xlfn.AGGREGATE(15,6,ROW(DB!$G$2:$G$2576)-1/((($D$3&lt;&gt;"YES")+($D$3="YES")*(DB!$E$2:$E$2576="YES"))*(($D$4="")+($D$4&lt;&gt;"")*(DB!$B$2:$B$2576=$D$4))*(($D$5="")+($D$5&lt;&gt;"")*(DB!$C$2:$C$2576=$D$5))*(($D$6="")+($D$6&lt;&gt;"")*(DB!$D$2:$D$2576=$D$6))*(($D$7="")+($D$7&lt;&gt;"")*(ISNUMBER(SEARCH($D$7,DB!$G$2:$G$2576))))*(($F$7="전체")+($F$7&lt;&gt;"전체")*(DB!$H$2:$H$2576=$F$7))*(COUNTIF(AD$13:AD44,DB!$G$2:$G$2576)=0)),1)),"")</f>
        <v/>
      </c>
      <c r="AE45" t="str" cm="1">
        <f t="array" ref="AE45">IF(AD45="","",SUMPRODUCT(((($D$3&lt;&gt;"YES")+($D$3="YES")*(DB!$E$2:$E$2576="YES"))*(($D$4="")+($D$4&lt;&gt;"")*(DB!$B$2:$B$2576=$D$4))*(($D$5="")+($D$5&lt;&gt;"")*(DB!$C$2:$C$2576=$D$5))*(($D$6="")+($D$6&lt;&gt;"")*(DB!$D$2:$D$2576=$D$6))*(($D$7="")+($D$7&lt;&gt;"")*(ISNUMBER(SEARCH($D$7,DB!$G$2:$G$2576))))*(($F$7="전체")+($F$7&lt;&gt;"전체")*(DB!$H$2:$H$2576=$F$7)))*(DB!$G$2:$G$2576=AD45)*1))</f>
        <v/>
      </c>
    </row>
    <row r="46" spans="1:31" ht="100" customHeight="1">
      <c r="A46" s="26"/>
      <c r="B46" s="39">
        <f t="shared" si="0"/>
        <v>33</v>
      </c>
      <c r="C46" s="43"/>
      <c r="D46" s="51" t="str" cm="1">
        <f t="array" ref="D46">IFERROR(INDEX(DB!G$2:G$2576,T46),"")</f>
        <v>굴착기</v>
      </c>
      <c r="E46" s="43"/>
      <c r="F46" s="52" t="str" cm="1">
        <f t="array" ref="F46">IFERROR(INDEX(DB!O$2:O$2576,T46),"")</f>
        <v>부딪힘 접촉</v>
      </c>
      <c r="G46" s="43"/>
      <c r="H46" s="40" t="str" cm="1">
        <f t="array" ref="H46">IFERROR(INDEX(DB!P$2:P$2576,T46),"")</f>
        <v>2021년 2월경 OO시 OO면 소재 「OOOO 토목공사」현장에서 도수관 매설작업 후 되메우기 작업 중 청소를 하던 재해자가 후진하던 굴착기에 부딪혀 사망함</v>
      </c>
      <c r="I46" s="43"/>
      <c r="J46" s="53" t="str" cm="1">
        <f t="array" ref="J46">IFERROR(INDEX(DB!Q$2:Q$2576,T46),"")</f>
        <v>장비유도자 없이 관로 부설 작업 중 굴삭기와 근로자가 충돌</v>
      </c>
      <c r="K46" s="43"/>
      <c r="L46" s="41" t="str" cm="1">
        <f t="array" ref="L46">IFERROR(INDEX(DB!R$2:R$2576,T46),"")</f>
        <v>▶ 유도자 배치하여 근로자 접촉방지 조치 실시
▶ 굴삭기 되메우기 등 장비작업에 의한 부딪힘과 같은 재해 발생위험이 높을 경우 타작업의 동시 수행금지
▶ 카메라 부착 또는 후방에 근로자의 접근을 알리는 후방센서, 경보장치 등 부착
▶ 차량계 건설기계 작업전 안전 점검 실시 및 후방카메라 등 방호장치 확인</v>
      </c>
      <c r="M46" s="43"/>
      <c r="P46" cm="1">
        <f t="array" ref="P46">IFERROR(_xlfn.AGGREGATE(15,6,ROW(DB!A$2:A$2576)/((($D$3&lt;&gt;"YES")+($D$3="YES")*(DB!E$2:E$2576="YES"))*(($D$4="")+($D$4&lt;&gt;"")*( DB!B$2:B$2576=$D$4))*(($D$5="")+($D$5&lt;&gt;"")*( DB!C$2:C$2576=$D$5))*(($D$6="")+($D$6&lt;&gt;"")*( DB!D$2:D$2576=$D$6))*(($D$7="")+($D$7&lt;&gt;"")*(ISNUMBER(SEARCH($D$7,DB!G$2:G$2576))))*(($F$7="전체")+($F$7&lt;&gt;"전체")*(DB!H$2:H$2576=$F$7))),ROW()-13)-1,"")</f>
        <v>390</v>
      </c>
      <c r="Q46" t="str" cm="1">
        <f t="array" ref="Q46">IFERROR(INDEX(DB!G$2:G$2576,P46),"")</f>
        <v>굴착기</v>
      </c>
      <c r="R46" t="str" cm="1">
        <f t="array" ref="R46">IFERROR(INDEX(DB!O$2:O$2576,P46),"")</f>
        <v>부딪힘 접촉</v>
      </c>
      <c r="S46">
        <f t="shared" si="1"/>
        <v>244741.033</v>
      </c>
      <c r="T46">
        <f t="shared" si="2"/>
        <v>406</v>
      </c>
      <c r="U46" s="138" t="str" cm="1">
        <f t="array" ref="U46">IFERROR(INDEX(AA$14:AA$63,_xlfn.AGGREGATE(15,6,ROW(AA$14:AA$63)-ROW(AA$14)+1/(AB$14:AB$63=LARGE(AB$14:AB$63,ROW()-13)),COUNTIF(V$14:V45,LARGE(AB$14:AB$63,ROW()-13))+1)),"")</f>
        <v/>
      </c>
      <c r="V46" s="131" t="str">
        <f t="shared" si="3"/>
        <v/>
      </c>
      <c r="W46" s="43"/>
      <c r="X46" s="130" t="str" cm="1">
        <f t="array" ref="X46">IFERROR(INDEX(AD$14:AD$63,_xlfn.AGGREGATE(15,6,ROW(AD$14:AD$63)-ROW(AD$14)+1/(AE$14:AE$63=LARGE(AE$14:AE$63,ROW()-13)),COUNTIF(Y$14:Y45,LARGE(AE$14:AE$63,ROW()-13))+1)),"")</f>
        <v/>
      </c>
      <c r="Y46" s="136" t="str">
        <f t="shared" si="4"/>
        <v/>
      </c>
      <c r="AA46" t="str" cm="1">
        <f t="array" ref="AA46">IFERROR(INDEX(DB!$C$2:$C$2576,_xlfn.AGGREGATE(15,6,ROW(DB!$C$2:$C$2576)-1/((($D$3&lt;&gt;"YES")+($D$3="YES")*(DB!$E$2:$E$2576="YES"))*(($D$4="")+($D$4&lt;&gt;"")*(DB!$B$2:$B$2576=$D$4))*(($F$7="전체")+($F$7&lt;&gt;"전체")*(DB!$H$2:$H$2576=$F$7))*(COUNTIF(AA$13:AA45,DB!$C$2:$C$2576)=0)),1)),"")</f>
        <v/>
      </c>
      <c r="AB46" t="str" cm="1">
        <f t="array" ref="AB46">IF(AA46="","",SUMPRODUCT(((($D$3&lt;&gt;"YES")+($D$3="YES")*(DB!$E$2:$E$2576="YES"))*(($D$4="")+($D$4&lt;&gt;"")*(DB!$B$2:$B$2576=$D$4))*(($F$7="전체")+($F$7&lt;&gt;"전체")*(DB!$H$2:$H$2576=$F$7)))*(DB!$C$2:$C$2576=AA46)*1))</f>
        <v/>
      </c>
      <c r="AD46" t="str" cm="1">
        <f t="array" ref="AD46">IFERROR(INDEX(DB!$G$2:$G$2576,_xlfn.AGGREGATE(15,6,ROW(DB!$G$2:$G$2576)-1/((($D$3&lt;&gt;"YES")+($D$3="YES")*(DB!$E$2:$E$2576="YES"))*(($D$4="")+($D$4&lt;&gt;"")*(DB!$B$2:$B$2576=$D$4))*(($D$5="")+($D$5&lt;&gt;"")*(DB!$C$2:$C$2576=$D$5))*(($D$6="")+($D$6&lt;&gt;"")*(DB!$D$2:$D$2576=$D$6))*(($D$7="")+($D$7&lt;&gt;"")*(ISNUMBER(SEARCH($D$7,DB!$G$2:$G$2576))))*(($F$7="전체")+($F$7&lt;&gt;"전체")*(DB!$H$2:$H$2576=$F$7))*(COUNTIF(AD$13:AD45,DB!$G$2:$G$2576)=0)),1)),"")</f>
        <v/>
      </c>
      <c r="AE46" t="str" cm="1">
        <f t="array" ref="AE46">IF(AD46="","",SUMPRODUCT(((($D$3&lt;&gt;"YES")+($D$3="YES")*(DB!$E$2:$E$2576="YES"))*(($D$4="")+($D$4&lt;&gt;"")*(DB!$B$2:$B$2576=$D$4))*(($D$5="")+($D$5&lt;&gt;"")*(DB!$C$2:$C$2576=$D$5))*(($D$6="")+($D$6&lt;&gt;"")*(DB!$D$2:$D$2576=$D$6))*(($D$7="")+($D$7&lt;&gt;"")*(ISNUMBER(SEARCH($D$7,DB!$G$2:$G$2576))))*(($F$7="전체")+($F$7&lt;&gt;"전체")*(DB!$H$2:$H$2576=$F$7)))*(DB!$G$2:$G$2576=AD46)*1))</f>
        <v/>
      </c>
    </row>
    <row r="47" spans="1:31" ht="100" customHeight="1">
      <c r="A47" s="26"/>
      <c r="B47" s="42">
        <f t="shared" si="0"/>
        <v>34</v>
      </c>
      <c r="C47" s="43"/>
      <c r="D47" s="51" t="str" cm="1">
        <f t="array" ref="D47">IFERROR(INDEX(DB!G$2:G$2576,T47),"")</f>
        <v>굴착기</v>
      </c>
      <c r="E47" s="43"/>
      <c r="F47" s="52" t="str" cm="1">
        <f t="array" ref="F47">IFERROR(INDEX(DB!O$2:O$2576,T47),"")</f>
        <v>부딪힘 접촉</v>
      </c>
      <c r="G47" s="43"/>
      <c r="H47" s="40" t="str" cm="1">
        <f t="array" ref="H47">IFERROR(INDEX(DB!P$2:P$2576,T47),"")</f>
        <v>2021년 8월경 OOO도 OO시 소재 OOOO 신축공사 현장에서 ㈜OOOO에서 시공하는 우수관로 설치작업 중 맨홀과 흄관 연결부 외경이 상이하여 콘크리트 파쇄작업 준비를 위해 우수관로 설치작업을 잠시 대기 사이, 굴착기 운전기사가 다음 우수관 설치를 위해 굴착기를 이용하여 미리 지반을 정리하던 중 인접해 있는 근로자를 확인하지 못하고 굴착기 버킷과 충돌하여 사망한 재해임</v>
      </c>
      <c r="I47" s="43"/>
      <c r="J47" s="53" t="str" cm="1">
        <f t="array" ref="J47">IFERROR(INDEX(DB!Q$2:Q$2576,T47),"")</f>
        <v>장비유도자 없이 관로 부설 작업 중 굴삭기와 근로자가 충돌</v>
      </c>
      <c r="K47" s="43"/>
      <c r="L47" s="41" t="str" cm="1">
        <f t="array" ref="L47">IFERROR(INDEX(DB!R$2:R$2576,T47),"")</f>
        <v>▶ 유도자 배치하여 근로자 접촉방지 조치 실시
▶ 굴삭기 되메우기 등 장비작업에 의한 부딪힘과 같은 재해 발생위험이 높을 경우 타작업의 동시 수행금지
▶ 카메라 부착 또는 후방에 근로자의 접근을 알리는 후방센서, 경보장치 등 부착
▶ 차량계 건설기계 작업전 안전 점검 실시 및 후방카메라 등 방호장치 확인</v>
      </c>
      <c r="M47" s="43"/>
      <c r="P47" cm="1">
        <f t="array" ref="P47">IFERROR(_xlfn.AGGREGATE(15,6,ROW(DB!A$2:A$2576)/((($D$3&lt;&gt;"YES")+($D$3="YES")*(DB!E$2:E$2576="YES"))*(($D$4="")+($D$4&lt;&gt;"")*( DB!B$2:B$2576=$D$4))*(($D$5="")+($D$5&lt;&gt;"")*( DB!C$2:C$2576=$D$5))*(($D$6="")+($D$6&lt;&gt;"")*( DB!D$2:D$2576=$D$6))*(($D$7="")+($D$7&lt;&gt;"")*(ISNUMBER(SEARCH($D$7,DB!G$2:G$2576))))*(($F$7="전체")+($F$7&lt;&gt;"전체")*(DB!H$2:H$2576=$F$7))),ROW()-13)-1,"")</f>
        <v>391</v>
      </c>
      <c r="Q47" t="str" cm="1">
        <f t="array" ref="Q47">IFERROR(INDEX(DB!G$2:G$2576,P47),"")</f>
        <v>굴착기</v>
      </c>
      <c r="R47" t="str" cm="1">
        <f t="array" ref="R47">IFERROR(INDEX(DB!O$2:O$2576,P47),"")</f>
        <v>부딪힘 접촉</v>
      </c>
      <c r="S47">
        <f t="shared" si="1"/>
        <v>244741.03400000001</v>
      </c>
      <c r="T47">
        <f t="shared" si="2"/>
        <v>407</v>
      </c>
      <c r="U47" s="138" t="str" cm="1">
        <f t="array" ref="U47">IFERROR(INDEX(AA$14:AA$63,_xlfn.AGGREGATE(15,6,ROW(AA$14:AA$63)-ROW(AA$14)+1/(AB$14:AB$63=LARGE(AB$14:AB$63,ROW()-13)),COUNTIF(V$14:V46,LARGE(AB$14:AB$63,ROW()-13))+1)),"")</f>
        <v/>
      </c>
      <c r="V47" s="131" t="str">
        <f t="shared" si="3"/>
        <v/>
      </c>
      <c r="W47" s="43"/>
      <c r="X47" s="130" t="str" cm="1">
        <f t="array" ref="X47">IFERROR(INDEX(AD$14:AD$63,_xlfn.AGGREGATE(15,6,ROW(AD$14:AD$63)-ROW(AD$14)+1/(AE$14:AE$63=LARGE(AE$14:AE$63,ROW()-13)),COUNTIF(Y$14:Y46,LARGE(AE$14:AE$63,ROW()-13))+1)),"")</f>
        <v/>
      </c>
      <c r="Y47" s="136" t="str">
        <f t="shared" si="4"/>
        <v/>
      </c>
      <c r="AA47" t="str" cm="1">
        <f t="array" ref="AA47">IFERROR(INDEX(DB!$C$2:$C$2576,_xlfn.AGGREGATE(15,6,ROW(DB!$C$2:$C$2576)-1/((($D$3&lt;&gt;"YES")+($D$3="YES")*(DB!$E$2:$E$2576="YES"))*(($D$4="")+($D$4&lt;&gt;"")*(DB!$B$2:$B$2576=$D$4))*(($F$7="전체")+($F$7&lt;&gt;"전체")*(DB!$H$2:$H$2576=$F$7))*(COUNTIF(AA$13:AA46,DB!$C$2:$C$2576)=0)),1)),"")</f>
        <v/>
      </c>
      <c r="AB47" t="str" cm="1">
        <f t="array" ref="AB47">IF(AA47="","",SUMPRODUCT(((($D$3&lt;&gt;"YES")+($D$3="YES")*(DB!$E$2:$E$2576="YES"))*(($D$4="")+($D$4&lt;&gt;"")*(DB!$B$2:$B$2576=$D$4))*(($F$7="전체")+($F$7&lt;&gt;"전체")*(DB!$H$2:$H$2576=$F$7)))*(DB!$C$2:$C$2576=AA47)*1))</f>
        <v/>
      </c>
      <c r="AD47" t="str" cm="1">
        <f t="array" ref="AD47">IFERROR(INDEX(DB!$G$2:$G$2576,_xlfn.AGGREGATE(15,6,ROW(DB!$G$2:$G$2576)-1/((($D$3&lt;&gt;"YES")+($D$3="YES")*(DB!$E$2:$E$2576="YES"))*(($D$4="")+($D$4&lt;&gt;"")*(DB!$B$2:$B$2576=$D$4))*(($D$5="")+($D$5&lt;&gt;"")*(DB!$C$2:$C$2576=$D$5))*(($D$6="")+($D$6&lt;&gt;"")*(DB!$D$2:$D$2576=$D$6))*(($D$7="")+($D$7&lt;&gt;"")*(ISNUMBER(SEARCH($D$7,DB!$G$2:$G$2576))))*(($F$7="전체")+($F$7&lt;&gt;"전체")*(DB!$H$2:$H$2576=$F$7))*(COUNTIF(AD$13:AD46,DB!$G$2:$G$2576)=0)),1)),"")</f>
        <v/>
      </c>
      <c r="AE47" t="str" cm="1">
        <f t="array" ref="AE47">IF(AD47="","",SUMPRODUCT(((($D$3&lt;&gt;"YES")+($D$3="YES")*(DB!$E$2:$E$2576="YES"))*(($D$4="")+($D$4&lt;&gt;"")*(DB!$B$2:$B$2576=$D$4))*(($D$5="")+($D$5&lt;&gt;"")*(DB!$C$2:$C$2576=$D$5))*(($D$6="")+($D$6&lt;&gt;"")*(DB!$D$2:$D$2576=$D$6))*(($D$7="")+($D$7&lt;&gt;"")*(ISNUMBER(SEARCH($D$7,DB!$G$2:$G$2576))))*(($F$7="전체")+($F$7&lt;&gt;"전체")*(DB!$H$2:$H$2576=$F$7)))*(DB!$G$2:$G$2576=AD47)*1))</f>
        <v/>
      </c>
    </row>
    <row r="48" spans="1:31" ht="100" customHeight="1">
      <c r="A48" s="26"/>
      <c r="B48" s="39">
        <f t="shared" si="0"/>
        <v>35</v>
      </c>
      <c r="C48" s="43"/>
      <c r="D48" s="51" t="str" cm="1">
        <f t="array" ref="D48">IFERROR(INDEX(DB!G$2:G$2576,T48),"")</f>
        <v>굴착기</v>
      </c>
      <c r="E48" s="43"/>
      <c r="F48" s="52" t="str" cm="1">
        <f t="array" ref="F48">IFERROR(INDEX(DB!O$2:O$2576,T48),"")</f>
        <v>부딪힘 접촉</v>
      </c>
      <c r="G48" s="43"/>
      <c r="H48" s="40" t="str" cm="1">
        <f t="array" ref="H48">IFERROR(INDEX(DB!P$2:P$2576,T48),"")</f>
        <v>2021년 11월경, OOO도 OO시 OO읍 소재 「㈜OOOO/OO상수도 시설공사」 현장에서, OO O-O호 구간의 상수도관 매설작업 상황을 사진촬영 중이던 근로자 OOO이 상수도관 매설 후 되메우기 작업을 진행하며 후진 중이던 굴착기(0.6㎡)의 우측 뒷바퀴와 충돌하여 병원으로 이송되었으나 재해발생 당일 사망한 재해임.</v>
      </c>
      <c r="I48" s="43"/>
      <c r="J48" s="53" t="str" cm="1">
        <f t="array" ref="J48">IFERROR(INDEX(DB!Q$2:Q$2576,T48),"")</f>
        <v>장비유도자 없이 관로 부설 작업 중 굴삭기와 근로자가 충돌</v>
      </c>
      <c r="K48" s="43"/>
      <c r="L48" s="41" t="str" cm="1">
        <f t="array" ref="L48">IFERROR(INDEX(DB!R$2:R$2576,T48),"")</f>
        <v>▶ 유도자 배치하여 근로자 접촉방지 조치 실시
▶ 굴삭기 되메우기 등 장비작업에 의한 부딪힘과 같은 재해 발생위험이 높을 경우 타작업의 동시 수행금지
▶ 카메라 부착 또는 후방에 근로자의 접근을 알리는 후방센서, 경보장치 등 부착
▶ 차량계 건설기계 작업전 안전 점검 실시 및 후방카메라 등 방호장치 확인</v>
      </c>
      <c r="M48" s="43"/>
      <c r="P48" cm="1">
        <f t="array" ref="P48">IFERROR(_xlfn.AGGREGATE(15,6,ROW(DB!A$2:A$2576)/((($D$3&lt;&gt;"YES")+($D$3="YES")*(DB!E$2:E$2576="YES"))*(($D$4="")+($D$4&lt;&gt;"")*( DB!B$2:B$2576=$D$4))*(($D$5="")+($D$5&lt;&gt;"")*( DB!C$2:C$2576=$D$5))*(($D$6="")+($D$6&lt;&gt;"")*( DB!D$2:D$2576=$D$6))*(($D$7="")+($D$7&lt;&gt;"")*(ISNUMBER(SEARCH($D$7,DB!G$2:G$2576))))*(($F$7="전체")+($F$7&lt;&gt;"전체")*(DB!H$2:H$2576=$F$7))),ROW()-13)-1,"")</f>
        <v>392</v>
      </c>
      <c r="Q48" t="str" cm="1">
        <f t="array" ref="Q48">IFERROR(INDEX(DB!G$2:G$2576,P48),"")</f>
        <v>굴착기</v>
      </c>
      <c r="R48" t="str" cm="1">
        <f t="array" ref="R48">IFERROR(INDEX(DB!O$2:O$2576,P48),"")</f>
        <v>부딪힘 접촉</v>
      </c>
      <c r="S48">
        <f t="shared" si="1"/>
        <v>244741.035</v>
      </c>
      <c r="T48">
        <f t="shared" si="2"/>
        <v>408</v>
      </c>
      <c r="U48" s="138" t="str" cm="1">
        <f t="array" ref="U48">IFERROR(INDEX(AA$14:AA$63,_xlfn.AGGREGATE(15,6,ROW(AA$14:AA$63)-ROW(AA$14)+1/(AB$14:AB$63=LARGE(AB$14:AB$63,ROW()-13)),COUNTIF(V$14:V47,LARGE(AB$14:AB$63,ROW()-13))+1)),"")</f>
        <v/>
      </c>
      <c r="V48" s="131" t="str">
        <f t="shared" si="3"/>
        <v/>
      </c>
      <c r="W48" s="43"/>
      <c r="X48" s="130" t="str" cm="1">
        <f t="array" ref="X48">IFERROR(INDEX(AD$14:AD$63,_xlfn.AGGREGATE(15,6,ROW(AD$14:AD$63)-ROW(AD$14)+1/(AE$14:AE$63=LARGE(AE$14:AE$63,ROW()-13)),COUNTIF(Y$14:Y47,LARGE(AE$14:AE$63,ROW()-13))+1)),"")</f>
        <v/>
      </c>
      <c r="Y48" s="136" t="str">
        <f t="shared" si="4"/>
        <v/>
      </c>
      <c r="AA48" t="str" cm="1">
        <f t="array" ref="AA48">IFERROR(INDEX(DB!$C$2:$C$2576,_xlfn.AGGREGATE(15,6,ROW(DB!$C$2:$C$2576)-1/((($D$3&lt;&gt;"YES")+($D$3="YES")*(DB!$E$2:$E$2576="YES"))*(($D$4="")+($D$4&lt;&gt;"")*(DB!$B$2:$B$2576=$D$4))*(($F$7="전체")+($F$7&lt;&gt;"전체")*(DB!$H$2:$H$2576=$F$7))*(COUNTIF(AA$13:AA47,DB!$C$2:$C$2576)=0)),1)),"")</f>
        <v/>
      </c>
      <c r="AB48" t="str" cm="1">
        <f t="array" ref="AB48">IF(AA48="","",SUMPRODUCT(((($D$3&lt;&gt;"YES")+($D$3="YES")*(DB!$E$2:$E$2576="YES"))*(($D$4="")+($D$4&lt;&gt;"")*(DB!$B$2:$B$2576=$D$4))*(($F$7="전체")+($F$7&lt;&gt;"전체")*(DB!$H$2:$H$2576=$F$7)))*(DB!$C$2:$C$2576=AA48)*1))</f>
        <v/>
      </c>
      <c r="AD48" t="str" cm="1">
        <f t="array" ref="AD48">IFERROR(INDEX(DB!$G$2:$G$2576,_xlfn.AGGREGATE(15,6,ROW(DB!$G$2:$G$2576)-1/((($D$3&lt;&gt;"YES")+($D$3="YES")*(DB!$E$2:$E$2576="YES"))*(($D$4="")+($D$4&lt;&gt;"")*(DB!$B$2:$B$2576=$D$4))*(($D$5="")+($D$5&lt;&gt;"")*(DB!$C$2:$C$2576=$D$5))*(($D$6="")+($D$6&lt;&gt;"")*(DB!$D$2:$D$2576=$D$6))*(($D$7="")+($D$7&lt;&gt;"")*(ISNUMBER(SEARCH($D$7,DB!$G$2:$G$2576))))*(($F$7="전체")+($F$7&lt;&gt;"전체")*(DB!$H$2:$H$2576=$F$7))*(COUNTIF(AD$13:AD47,DB!$G$2:$G$2576)=0)),1)),"")</f>
        <v/>
      </c>
      <c r="AE48" t="str" cm="1">
        <f t="array" ref="AE48">IF(AD48="","",SUMPRODUCT(((($D$3&lt;&gt;"YES")+($D$3="YES")*(DB!$E$2:$E$2576="YES"))*(($D$4="")+($D$4&lt;&gt;"")*(DB!$B$2:$B$2576=$D$4))*(($D$5="")+($D$5&lt;&gt;"")*(DB!$C$2:$C$2576=$D$5))*(($D$6="")+($D$6&lt;&gt;"")*(DB!$D$2:$D$2576=$D$6))*(($D$7="")+($D$7&lt;&gt;"")*(ISNUMBER(SEARCH($D$7,DB!$G$2:$G$2576))))*(($F$7="전체")+($F$7&lt;&gt;"전체")*(DB!$H$2:$H$2576=$F$7)))*(DB!$G$2:$G$2576=AD48)*1))</f>
        <v/>
      </c>
    </row>
    <row r="49" spans="1:31" ht="100" customHeight="1">
      <c r="A49" s="26"/>
      <c r="B49" s="42">
        <f t="shared" si="0"/>
        <v>36</v>
      </c>
      <c r="C49" s="43"/>
      <c r="D49" s="51" t="str" cm="1">
        <f t="array" ref="D49">IFERROR(INDEX(DB!G$2:G$2576,T49),"")</f>
        <v>기타건설장비</v>
      </c>
      <c r="E49" s="43"/>
      <c r="F49" s="52" t="str" cm="1">
        <f t="array" ref="F49">IFERROR(INDEX(DB!O$2:O$2576,T49),"")</f>
        <v>깔림 뒤집힘</v>
      </c>
      <c r="G49" s="43"/>
      <c r="H49" s="40" t="str" cm="1">
        <f t="array" ref="H49">IFERROR(INDEX(DB!P$2:P$2576,T49),"")</f>
        <v>2018년 9월경 산업단지 진입도로 공사에서 재해자가 불도저(20.6Ton)의 작업지휘 업무를 수행하던 중 후진하던 불도저 궤도에 충돌, 협착되어 사망</v>
      </c>
      <c r="I49" s="43"/>
      <c r="J49" s="53" t="str" cm="1">
        <f t="array" ref="J49">IFERROR(INDEX(DB!Q$2:Q$2576,T49),"")</f>
        <v>아스팔트 파편 정리작업 중 후진하는 굴삭기 바퀴에 깔림</v>
      </c>
      <c r="K49" s="43"/>
      <c r="L49" s="41" t="str" cm="1">
        <f t="array" ref="L49">IFERROR(INDEX(DB!R$2:R$2576,T49),"")</f>
        <v>▶ 근로자가 건설기계에 근접하여 작업을 수행하는 경우 유도자를 배치하여 안전한 상태에서 작업 진행
▶ 차량계 건설기계 접촉 가능 장소 및 사각지대 발생가능성이 높은 건설기계 사용 시 근로자 출입금지 및 유도자 배치
▶ 건설장비 작업 시 근로자와 장비의 동선을 분리
▶ 카메라 부착 또는 후방에 근로자의 접근을 알리는 후방센서, 경보장치 등 부착
▶ 차량계 건설기계 작업전 안전 점검 실시 및 후방카메라 등 방호장치 확인</v>
      </c>
      <c r="M49" s="43"/>
      <c r="P49" cm="1">
        <f t="array" ref="P49">IFERROR(_xlfn.AGGREGATE(15,6,ROW(DB!A$2:A$2576)/((($D$3&lt;&gt;"YES")+($D$3="YES")*(DB!E$2:E$2576="YES"))*(($D$4="")+($D$4&lt;&gt;"")*( DB!B$2:B$2576=$D$4))*(($D$5="")+($D$5&lt;&gt;"")*( DB!C$2:C$2576=$D$5))*(($D$6="")+($D$6&lt;&gt;"")*( DB!D$2:D$2576=$D$6))*(($D$7="")+($D$7&lt;&gt;"")*(ISNUMBER(SEARCH($D$7,DB!G$2:G$2576))))*(($F$7="전체")+($F$7&lt;&gt;"전체")*(DB!H$2:H$2576=$F$7))),ROW()-13)-1,"")</f>
        <v>393</v>
      </c>
      <c r="Q49" t="str" cm="1">
        <f t="array" ref="Q49">IFERROR(INDEX(DB!G$2:G$2576,P49),"")</f>
        <v>트럭</v>
      </c>
      <c r="R49" t="str" cm="1">
        <f t="array" ref="R49">IFERROR(INDEX(DB!O$2:O$2576,P49),"")</f>
        <v>깔림 뒤집힘</v>
      </c>
      <c r="S49">
        <f t="shared" si="1"/>
        <v>258020.03599999999</v>
      </c>
      <c r="T49">
        <f t="shared" si="2"/>
        <v>373</v>
      </c>
      <c r="U49" s="138" t="str" cm="1">
        <f t="array" ref="U49">IFERROR(INDEX(AA$14:AA$63,_xlfn.AGGREGATE(15,6,ROW(AA$14:AA$63)-ROW(AA$14)+1/(AB$14:AB$63=LARGE(AB$14:AB$63,ROW()-13)),COUNTIF(V$14:V48,LARGE(AB$14:AB$63,ROW()-13))+1)),"")</f>
        <v/>
      </c>
      <c r="V49" s="131" t="str">
        <f t="shared" si="3"/>
        <v/>
      </c>
      <c r="W49" s="43"/>
      <c r="X49" s="130" t="str" cm="1">
        <f t="array" ref="X49">IFERROR(INDEX(AD$14:AD$63,_xlfn.AGGREGATE(15,6,ROW(AD$14:AD$63)-ROW(AD$14)+1/(AE$14:AE$63=LARGE(AE$14:AE$63,ROW()-13)),COUNTIF(Y$14:Y48,LARGE(AE$14:AE$63,ROW()-13))+1)),"")</f>
        <v/>
      </c>
      <c r="Y49" s="136" t="str">
        <f t="shared" si="4"/>
        <v/>
      </c>
      <c r="AA49" t="str" cm="1">
        <f t="array" ref="AA49">IFERROR(INDEX(DB!$C$2:$C$2576,_xlfn.AGGREGATE(15,6,ROW(DB!$C$2:$C$2576)-1/((($D$3&lt;&gt;"YES")+($D$3="YES")*(DB!$E$2:$E$2576="YES"))*(($D$4="")+($D$4&lt;&gt;"")*(DB!$B$2:$B$2576=$D$4))*(($F$7="전체")+($F$7&lt;&gt;"전체")*(DB!$H$2:$H$2576=$F$7))*(COUNTIF(AA$13:AA48,DB!$C$2:$C$2576)=0)),1)),"")</f>
        <v/>
      </c>
      <c r="AB49" t="str" cm="1">
        <f t="array" ref="AB49">IF(AA49="","",SUMPRODUCT(((($D$3&lt;&gt;"YES")+($D$3="YES")*(DB!$E$2:$E$2576="YES"))*(($D$4="")+($D$4&lt;&gt;"")*(DB!$B$2:$B$2576=$D$4))*(($F$7="전체")+($F$7&lt;&gt;"전체")*(DB!$H$2:$H$2576=$F$7)))*(DB!$C$2:$C$2576=AA49)*1))</f>
        <v/>
      </c>
      <c r="AD49" t="str" cm="1">
        <f t="array" ref="AD49">IFERROR(INDEX(DB!$G$2:$G$2576,_xlfn.AGGREGATE(15,6,ROW(DB!$G$2:$G$2576)-1/((($D$3&lt;&gt;"YES")+($D$3="YES")*(DB!$E$2:$E$2576="YES"))*(($D$4="")+($D$4&lt;&gt;"")*(DB!$B$2:$B$2576=$D$4))*(($D$5="")+($D$5&lt;&gt;"")*(DB!$C$2:$C$2576=$D$5))*(($D$6="")+($D$6&lt;&gt;"")*(DB!$D$2:$D$2576=$D$6))*(($D$7="")+($D$7&lt;&gt;"")*(ISNUMBER(SEARCH($D$7,DB!$G$2:$G$2576))))*(($F$7="전체")+($F$7&lt;&gt;"전체")*(DB!$H$2:$H$2576=$F$7))*(COUNTIF(AD$13:AD48,DB!$G$2:$G$2576)=0)),1)),"")</f>
        <v/>
      </c>
      <c r="AE49" t="str" cm="1">
        <f t="array" ref="AE49">IF(AD49="","",SUMPRODUCT(((($D$3&lt;&gt;"YES")+($D$3="YES")*(DB!$E$2:$E$2576="YES"))*(($D$4="")+($D$4&lt;&gt;"")*(DB!$B$2:$B$2576=$D$4))*(($D$5="")+($D$5&lt;&gt;"")*(DB!$C$2:$C$2576=$D$5))*(($D$6="")+($D$6&lt;&gt;"")*(DB!$D$2:$D$2576=$D$6))*(($D$7="")+($D$7&lt;&gt;"")*(ISNUMBER(SEARCH($D$7,DB!$G$2:$G$2576))))*(($F$7="전체")+($F$7&lt;&gt;"전체")*(DB!$H$2:$H$2576=$F$7)))*(DB!$G$2:$G$2576=AD49)*1))</f>
        <v/>
      </c>
    </row>
    <row r="50" spans="1:31" ht="100" customHeight="1">
      <c r="A50" s="26"/>
      <c r="B50" s="39">
        <f t="shared" si="0"/>
        <v>37</v>
      </c>
      <c r="C50" s="43"/>
      <c r="D50" s="51" t="str" cm="1">
        <f t="array" ref="D50">IFERROR(INDEX(DB!G$2:G$2576,T50),"")</f>
        <v>기타구조물</v>
      </c>
      <c r="E50" s="43"/>
      <c r="F50" s="52" t="str" cm="1">
        <f t="array" ref="F50">IFERROR(INDEX(DB!O$2:O$2576,T50),"")</f>
        <v>깔림 뒤집힘</v>
      </c>
      <c r="G50" s="43"/>
      <c r="H50" s="40" t="str" cm="1">
        <f t="array" ref="H50">IFERROR(INDEX(DB!P$2:P$2576,T50),"")</f>
        <v>2018년 9월경 참숯가마 설치공사에서 보강토옹벽의 배면에서 방수작업을 하던 중 옹벽의 일부(높이 약 2.7m)가 무너지면서 옹벽과 석축사이에 끼어 1명 사망, 떨어지는 옹벽 블록에 맞아 1명 부상</v>
      </c>
      <c r="I50" s="43"/>
      <c r="J50" s="53" t="str" cm="1">
        <f t="array" ref="J50">IFERROR(INDEX(DB!Q$2:Q$2576,T50),"")</f>
        <v>보강토 옹벽 공사 중 보강토 옹벽이 붕괴되면서 깔림</v>
      </c>
      <c r="K50" s="43"/>
      <c r="L50" s="41" t="str" cm="1">
        <f t="array" ref="L50">IFERROR(INDEX(DB!R$2:R$2576,T50),"")</f>
        <v>▶ 옹벽 상부 인근에 중량물 또는 토사적치 금지
▶ 옹벽, 콘크리트 벽 등의 건설물에 근접한 장소에서 굴착 시 붕괴 위험 요인 보강 또는 이설, 제거 등의 위험 방지 조치 실시
▶ 충분한 다짐과 뒷채움 작업을 수행하고 무리한 공사진행 금지
▶ 옹벽작업 주변 지반 사전조사 및 작업계획서 작성</v>
      </c>
      <c r="M50" s="43"/>
      <c r="P50" cm="1">
        <f t="array" ref="P50">IFERROR(_xlfn.AGGREGATE(15,6,ROW(DB!A$2:A$2576)/((($D$3&lt;&gt;"YES")+($D$3="YES")*(DB!E$2:E$2576="YES"))*(($D$4="")+($D$4&lt;&gt;"")*( DB!B$2:B$2576=$D$4))*(($D$5="")+($D$5&lt;&gt;"")*( DB!C$2:C$2576=$D$5))*(($D$6="")+($D$6&lt;&gt;"")*( DB!D$2:D$2576=$D$6))*(($D$7="")+($D$7&lt;&gt;"")*(ISNUMBER(SEARCH($D$7,DB!G$2:G$2576))))*(($F$7="전체")+($F$7&lt;&gt;"전체")*(DB!H$2:H$2576=$F$7))),ROW()-13)-1,"")</f>
        <v>394</v>
      </c>
      <c r="Q50" t="str" cm="1">
        <f t="array" ref="Q50">IFERROR(INDEX(DB!G$2:G$2576,P50),"")</f>
        <v>굴착기</v>
      </c>
      <c r="R50" t="str" cm="1">
        <f t="array" ref="R50">IFERROR(INDEX(DB!O$2:O$2576,P50),"")</f>
        <v>부딪힘 접촉</v>
      </c>
      <c r="S50">
        <f t="shared" si="1"/>
        <v>244741.03700000001</v>
      </c>
      <c r="T50">
        <f t="shared" si="2"/>
        <v>1163</v>
      </c>
      <c r="U50" s="138" t="str" cm="1">
        <f t="array" ref="U50">IFERROR(INDEX(AA$14:AA$63,_xlfn.AGGREGATE(15,6,ROW(AA$14:AA$63)-ROW(AA$14)+1/(AB$14:AB$63=LARGE(AB$14:AB$63,ROW()-13)),COUNTIF(V$14:V49,LARGE(AB$14:AB$63,ROW()-13))+1)),"")</f>
        <v/>
      </c>
      <c r="V50" s="131" t="str">
        <f t="shared" si="3"/>
        <v/>
      </c>
      <c r="W50" s="43"/>
      <c r="X50" s="130" t="str" cm="1">
        <f t="array" ref="X50">IFERROR(INDEX(AD$14:AD$63,_xlfn.AGGREGATE(15,6,ROW(AD$14:AD$63)-ROW(AD$14)+1/(AE$14:AE$63=LARGE(AE$14:AE$63,ROW()-13)),COUNTIF(Y$14:Y49,LARGE(AE$14:AE$63,ROW()-13))+1)),"")</f>
        <v/>
      </c>
      <c r="Y50" s="136" t="str">
        <f t="shared" si="4"/>
        <v/>
      </c>
      <c r="AA50" t="str" cm="1">
        <f t="array" ref="AA50">IFERROR(INDEX(DB!$C$2:$C$2576,_xlfn.AGGREGATE(15,6,ROW(DB!$C$2:$C$2576)-1/((($D$3&lt;&gt;"YES")+($D$3="YES")*(DB!$E$2:$E$2576="YES"))*(($D$4="")+($D$4&lt;&gt;"")*(DB!$B$2:$B$2576=$D$4))*(($F$7="전체")+($F$7&lt;&gt;"전체")*(DB!$H$2:$H$2576=$F$7))*(COUNTIF(AA$13:AA49,DB!$C$2:$C$2576)=0)),1)),"")</f>
        <v/>
      </c>
      <c r="AB50" t="str" cm="1">
        <f t="array" ref="AB50">IF(AA50="","",SUMPRODUCT(((($D$3&lt;&gt;"YES")+($D$3="YES")*(DB!$E$2:$E$2576="YES"))*(($D$4="")+($D$4&lt;&gt;"")*(DB!$B$2:$B$2576=$D$4))*(($F$7="전체")+($F$7&lt;&gt;"전체")*(DB!$H$2:$H$2576=$F$7)))*(DB!$C$2:$C$2576=AA50)*1))</f>
        <v/>
      </c>
      <c r="AD50" t="str" cm="1">
        <f t="array" ref="AD50">IFERROR(INDEX(DB!$G$2:$G$2576,_xlfn.AGGREGATE(15,6,ROW(DB!$G$2:$G$2576)-1/((($D$3&lt;&gt;"YES")+($D$3="YES")*(DB!$E$2:$E$2576="YES"))*(($D$4="")+($D$4&lt;&gt;"")*(DB!$B$2:$B$2576=$D$4))*(($D$5="")+($D$5&lt;&gt;"")*(DB!$C$2:$C$2576=$D$5))*(($D$6="")+($D$6&lt;&gt;"")*(DB!$D$2:$D$2576=$D$6))*(($D$7="")+($D$7&lt;&gt;"")*(ISNUMBER(SEARCH($D$7,DB!$G$2:$G$2576))))*(($F$7="전체")+($F$7&lt;&gt;"전체")*(DB!$H$2:$H$2576=$F$7))*(COUNTIF(AD$13:AD49,DB!$G$2:$G$2576)=0)),1)),"")</f>
        <v/>
      </c>
      <c r="AE50" t="str" cm="1">
        <f t="array" ref="AE50">IF(AD50="","",SUMPRODUCT(((($D$3&lt;&gt;"YES")+($D$3="YES")*(DB!$E$2:$E$2576="YES"))*(($D$4="")+($D$4&lt;&gt;"")*(DB!$B$2:$B$2576=$D$4))*(($D$5="")+($D$5&lt;&gt;"")*(DB!$C$2:$C$2576=$D$5))*(($D$6="")+($D$6&lt;&gt;"")*(DB!$D$2:$D$2576=$D$6))*(($D$7="")+($D$7&lt;&gt;"")*(ISNUMBER(SEARCH($D$7,DB!$G$2:$G$2576))))*(($F$7="전체")+($F$7&lt;&gt;"전체")*(DB!$H$2:$H$2576=$F$7)))*(DB!$G$2:$G$2576=AD50)*1))</f>
        <v/>
      </c>
    </row>
    <row r="51" spans="1:31" ht="100" customHeight="1">
      <c r="A51" s="26"/>
      <c r="B51" s="42">
        <f t="shared" si="0"/>
        <v>38</v>
      </c>
      <c r="C51" s="43"/>
      <c r="D51" s="51" t="str" cm="1">
        <f t="array" ref="D51">IFERROR(INDEX(DB!G$2:G$2576,T51),"")</f>
        <v>기타구조물</v>
      </c>
      <c r="E51" s="43"/>
      <c r="F51" s="52" t="str" cm="1">
        <f t="array" ref="F51">IFERROR(INDEX(DB!O$2:O$2576,T51),"")</f>
        <v>깔림 뒤집힘</v>
      </c>
      <c r="G51" s="43"/>
      <c r="H51" s="40" t="str" cm="1">
        <f t="array" ref="H51">IFERROR(INDEX(DB!P$2:P$2576,T51),"")</f>
        <v>2020년 5월경 골재 생산 신설공사 현장에서 재해자가 보강토 옹벽 공사 중 보강토 옹벽(6단, 높이 3m)이 붕괴되면서 깔려 사망</v>
      </c>
      <c r="I51" s="43"/>
      <c r="J51" s="53" t="str" cm="1">
        <f t="array" ref="J51">IFERROR(INDEX(DB!Q$2:Q$2576,T51),"")</f>
        <v>보강토 옹벽 공사 중 보강토 옹벽이 붕괴되면서 깔림</v>
      </c>
      <c r="K51" s="43"/>
      <c r="L51" s="41" t="str" cm="1">
        <f t="array" ref="L51">IFERROR(INDEX(DB!R$2:R$2576,T51),"")</f>
        <v>▶ 옹벽 상부 인근에 중량물 또는 토사적치 금지
▶ 옹벽, 콘크리트 벽 등의 건설물에 근접한 장소에서 굴착 시 붕괴 위험 요인 보강 또는 이설, 제거 등의 위험 방지 조치 실시
▶ 충분한 다짐과 뒷채움 작업을 수행하고 무리한 공사진행 금지
▶ 옹벽작업 주변 지반 사전조사 및 작업계획서 작성</v>
      </c>
      <c r="M51" s="43"/>
      <c r="P51" cm="1">
        <f t="array" ref="P51">IFERROR(_xlfn.AGGREGATE(15,6,ROW(DB!A$2:A$2576)/((($D$3&lt;&gt;"YES")+($D$3="YES")*(DB!E$2:E$2576="YES"))*(($D$4="")+($D$4&lt;&gt;"")*( DB!B$2:B$2576=$D$4))*(($D$5="")+($D$5&lt;&gt;"")*( DB!C$2:C$2576=$D$5))*(($D$6="")+($D$6&lt;&gt;"")*( DB!D$2:D$2576=$D$6))*(($D$7="")+($D$7&lt;&gt;"")*(ISNUMBER(SEARCH($D$7,DB!G$2:G$2576))))*(($F$7="전체")+($F$7&lt;&gt;"전체")*(DB!H$2:H$2576=$F$7))),ROW()-13)-1,"")</f>
        <v>395</v>
      </c>
      <c r="Q51" t="str" cm="1">
        <f t="array" ref="Q51">IFERROR(INDEX(DB!G$2:G$2576,P51),"")</f>
        <v>트럭</v>
      </c>
      <c r="R51" t="str" cm="1">
        <f t="array" ref="R51">IFERROR(INDEX(DB!O$2:O$2576,P51),"")</f>
        <v>깔림 뒤집힘</v>
      </c>
      <c r="S51">
        <f t="shared" si="1"/>
        <v>258020.038</v>
      </c>
      <c r="T51">
        <f t="shared" si="2"/>
        <v>1165</v>
      </c>
      <c r="U51" s="138" t="str" cm="1">
        <f t="array" ref="U51">IFERROR(INDEX(AA$14:AA$63,_xlfn.AGGREGATE(15,6,ROW(AA$14:AA$63)-ROW(AA$14)+1/(AB$14:AB$63=LARGE(AB$14:AB$63,ROW()-13)),COUNTIF(V$14:V50,LARGE(AB$14:AB$63,ROW()-13))+1)),"")</f>
        <v/>
      </c>
      <c r="V51" s="131" t="str">
        <f t="shared" si="3"/>
        <v/>
      </c>
      <c r="W51" s="43"/>
      <c r="X51" s="130" t="str" cm="1">
        <f t="array" ref="X51">IFERROR(INDEX(AD$14:AD$63,_xlfn.AGGREGATE(15,6,ROW(AD$14:AD$63)-ROW(AD$14)+1/(AE$14:AE$63=LARGE(AE$14:AE$63,ROW()-13)),COUNTIF(Y$14:Y50,LARGE(AE$14:AE$63,ROW()-13))+1)),"")</f>
        <v/>
      </c>
      <c r="Y51" s="136" t="str">
        <f t="shared" si="4"/>
        <v/>
      </c>
      <c r="AA51" t="str" cm="1">
        <f t="array" ref="AA51">IFERROR(INDEX(DB!$C$2:$C$2576,_xlfn.AGGREGATE(15,6,ROW(DB!$C$2:$C$2576)-1/((($D$3&lt;&gt;"YES")+($D$3="YES")*(DB!$E$2:$E$2576="YES"))*(($D$4="")+($D$4&lt;&gt;"")*(DB!$B$2:$B$2576=$D$4))*(($F$7="전체")+($F$7&lt;&gt;"전체")*(DB!$H$2:$H$2576=$F$7))*(COUNTIF(AA$13:AA50,DB!$C$2:$C$2576)=0)),1)),"")</f>
        <v/>
      </c>
      <c r="AB51" t="str" cm="1">
        <f t="array" ref="AB51">IF(AA51="","",SUMPRODUCT(((($D$3&lt;&gt;"YES")+($D$3="YES")*(DB!$E$2:$E$2576="YES"))*(($D$4="")+($D$4&lt;&gt;"")*(DB!$B$2:$B$2576=$D$4))*(($F$7="전체")+($F$7&lt;&gt;"전체")*(DB!$H$2:$H$2576=$F$7)))*(DB!$C$2:$C$2576=AA51)*1))</f>
        <v/>
      </c>
      <c r="AD51" t="str" cm="1">
        <f t="array" ref="AD51">IFERROR(INDEX(DB!$G$2:$G$2576,_xlfn.AGGREGATE(15,6,ROW(DB!$G$2:$G$2576)-1/((($D$3&lt;&gt;"YES")+($D$3="YES")*(DB!$E$2:$E$2576="YES"))*(($D$4="")+($D$4&lt;&gt;"")*(DB!$B$2:$B$2576=$D$4))*(($D$5="")+($D$5&lt;&gt;"")*(DB!$C$2:$C$2576=$D$5))*(($D$6="")+($D$6&lt;&gt;"")*(DB!$D$2:$D$2576=$D$6))*(($D$7="")+($D$7&lt;&gt;"")*(ISNUMBER(SEARCH($D$7,DB!$G$2:$G$2576))))*(($F$7="전체")+($F$7&lt;&gt;"전체")*(DB!$H$2:$H$2576=$F$7))*(COUNTIF(AD$13:AD50,DB!$G$2:$G$2576)=0)),1)),"")</f>
        <v/>
      </c>
      <c r="AE51" t="str" cm="1">
        <f t="array" ref="AE51">IF(AD51="","",SUMPRODUCT(((($D$3&lt;&gt;"YES")+($D$3="YES")*(DB!$E$2:$E$2576="YES"))*(($D$4="")+($D$4&lt;&gt;"")*(DB!$B$2:$B$2576=$D$4))*(($D$5="")+($D$5&lt;&gt;"")*(DB!$C$2:$C$2576=$D$5))*(($D$6="")+($D$6&lt;&gt;"")*(DB!$D$2:$D$2576=$D$6))*(($D$7="")+($D$7&lt;&gt;"")*(ISNUMBER(SEARCH($D$7,DB!$G$2:$G$2576))))*(($F$7="전체")+($F$7&lt;&gt;"전체")*(DB!$H$2:$H$2576=$F$7)))*(DB!$G$2:$G$2576=AD51)*1))</f>
        <v/>
      </c>
    </row>
    <row r="52" spans="1:31" ht="100" customHeight="1">
      <c r="A52" s="26"/>
      <c r="B52" s="39">
        <f t="shared" si="0"/>
        <v>39</v>
      </c>
      <c r="C52" s="43"/>
      <c r="D52" s="51" t="str" cm="1">
        <f t="array" ref="D52">IFERROR(INDEX(DB!G$2:G$2576,T52),"")</f>
        <v>기타구조물</v>
      </c>
      <c r="E52" s="43"/>
      <c r="F52" s="52" t="str" cm="1">
        <f t="array" ref="F52">IFERROR(INDEX(DB!O$2:O$2576,T52),"")</f>
        <v>깔림 뒤집힘</v>
      </c>
      <c r="G52" s="43"/>
      <c r="H52" s="40" t="str" cm="1">
        <f t="array" ref="H52">IFERROR(INDEX(DB!P$2:P$2576,T52),"")</f>
        <v>2019년 6월경 OOO도 OO군 소재 OOOO(주) OOOO 시설공사 현장에서 개착식 흙막이구간 강관부설 받침작업을 위하여 지상에서 제작한 콘크리트 구조물(2.7×1.9×0.32m, 약 4톤) 인양용 고리(굵은철선※-반생 6번선)에 줄걸이기구(샤클, 섬유벨트)를 체결하여 굴삭기를 이용하여 흙막이 굴착 저면으로 내리는 작업과정에서 인양용 고리(반생 6번선)가 파단되어 하부에서 바닥 평탄작업을 하던 있던 재해자가 콘크리트 구조물에 깔려 사망한 재해임_x000D_</v>
      </c>
      <c r="I52" s="43"/>
      <c r="J52" s="53" t="str" cm="1">
        <f t="array" ref="J52">IFERROR(INDEX(DB!Q$2:Q$2576,T52),"")</f>
        <v>사전 제작한 관 기초 콘크리트(2.7×1.9×0.32m, 약 4톤) 양중 작업 중 굵은 철선(6번선)으로 만든 인양용 고리가 파단되어 낙하하여 하부 작업자가 깔림</v>
      </c>
      <c r="K52" s="43"/>
      <c r="L52" s="41" t="str" cm="1">
        <f t="array" ref="L52">IFERROR(INDEX(DB!R$2:R$2576,T52),"")</f>
        <v>▶ 중량물 인양 시 굴삭기의 정격하중을 준수하여 무리한 중량물 인양 금지
▶ 차량계 건설기계 사용시 작업 장소 내에 근로자의 출입 통제
▶ 유도자를 배치하여 차량계 건설기계 유도</v>
      </c>
      <c r="M52" s="43"/>
      <c r="P52" cm="1">
        <f t="array" ref="P52">IFERROR(_xlfn.AGGREGATE(15,6,ROW(DB!A$2:A$2576)/((($D$3&lt;&gt;"YES")+($D$3="YES")*(DB!E$2:E$2576="YES"))*(($D$4="")+($D$4&lt;&gt;"")*( DB!B$2:B$2576=$D$4))*(($D$5="")+($D$5&lt;&gt;"")*( DB!C$2:C$2576=$D$5))*(($D$6="")+($D$6&lt;&gt;"")*( DB!D$2:D$2576=$D$6))*(($D$7="")+($D$7&lt;&gt;"")*(ISNUMBER(SEARCH($D$7,DB!G$2:G$2576))))*(($F$7="전체")+($F$7&lt;&gt;"전체")*(DB!H$2:H$2576=$F$7))),ROW()-13)-1,"")</f>
        <v>396</v>
      </c>
      <c r="Q52" t="str" cm="1">
        <f t="array" ref="Q52">IFERROR(INDEX(DB!G$2:G$2576,P52),"")</f>
        <v>트럭</v>
      </c>
      <c r="R52" t="str" cm="1">
        <f t="array" ref="R52">IFERROR(INDEX(DB!O$2:O$2576,P52),"")</f>
        <v>깔림 뒤집힘</v>
      </c>
      <c r="S52">
        <f t="shared" si="1"/>
        <v>258020.03899999999</v>
      </c>
      <c r="T52">
        <f t="shared" si="2"/>
        <v>1168</v>
      </c>
      <c r="U52" s="138" t="str" cm="1">
        <f t="array" ref="U52">IFERROR(INDEX(AA$14:AA$63,_xlfn.AGGREGATE(15,6,ROW(AA$14:AA$63)-ROW(AA$14)+1/(AB$14:AB$63=LARGE(AB$14:AB$63,ROW()-13)),COUNTIF(V$14:V51,LARGE(AB$14:AB$63,ROW()-13))+1)),"")</f>
        <v/>
      </c>
      <c r="V52" s="131" t="str">
        <f t="shared" si="3"/>
        <v/>
      </c>
      <c r="W52" s="43"/>
      <c r="X52" s="130" t="str" cm="1">
        <f t="array" ref="X52">IFERROR(INDEX(AD$14:AD$63,_xlfn.AGGREGATE(15,6,ROW(AD$14:AD$63)-ROW(AD$14)+1/(AE$14:AE$63=LARGE(AE$14:AE$63,ROW()-13)),COUNTIF(Y$14:Y51,LARGE(AE$14:AE$63,ROW()-13))+1)),"")</f>
        <v/>
      </c>
      <c r="Y52" s="136" t="str">
        <f t="shared" si="4"/>
        <v/>
      </c>
      <c r="AA52" t="str" cm="1">
        <f t="array" ref="AA52">IFERROR(INDEX(DB!$C$2:$C$2576,_xlfn.AGGREGATE(15,6,ROW(DB!$C$2:$C$2576)-1/((($D$3&lt;&gt;"YES")+($D$3="YES")*(DB!$E$2:$E$2576="YES"))*(($D$4="")+($D$4&lt;&gt;"")*(DB!$B$2:$B$2576=$D$4))*(($F$7="전체")+($F$7&lt;&gt;"전체")*(DB!$H$2:$H$2576=$F$7))*(COUNTIF(AA$13:AA51,DB!$C$2:$C$2576)=0)),1)),"")</f>
        <v/>
      </c>
      <c r="AB52" t="str" cm="1">
        <f t="array" ref="AB52">IF(AA52="","",SUMPRODUCT(((($D$3&lt;&gt;"YES")+($D$3="YES")*(DB!$E$2:$E$2576="YES"))*(($D$4="")+($D$4&lt;&gt;"")*(DB!$B$2:$B$2576=$D$4))*(($F$7="전체")+($F$7&lt;&gt;"전체")*(DB!$H$2:$H$2576=$F$7)))*(DB!$C$2:$C$2576=AA52)*1))</f>
        <v/>
      </c>
      <c r="AD52" t="str" cm="1">
        <f t="array" ref="AD52">IFERROR(INDEX(DB!$G$2:$G$2576,_xlfn.AGGREGATE(15,6,ROW(DB!$G$2:$G$2576)-1/((($D$3&lt;&gt;"YES")+($D$3="YES")*(DB!$E$2:$E$2576="YES"))*(($D$4="")+($D$4&lt;&gt;"")*(DB!$B$2:$B$2576=$D$4))*(($D$5="")+($D$5&lt;&gt;"")*(DB!$C$2:$C$2576=$D$5))*(($D$6="")+($D$6&lt;&gt;"")*(DB!$D$2:$D$2576=$D$6))*(($D$7="")+($D$7&lt;&gt;"")*(ISNUMBER(SEARCH($D$7,DB!$G$2:$G$2576))))*(($F$7="전체")+($F$7&lt;&gt;"전체")*(DB!$H$2:$H$2576=$F$7))*(COUNTIF(AD$13:AD51,DB!$G$2:$G$2576)=0)),1)),"")</f>
        <v/>
      </c>
      <c r="AE52" t="str" cm="1">
        <f t="array" ref="AE52">IF(AD52="","",SUMPRODUCT(((($D$3&lt;&gt;"YES")+($D$3="YES")*(DB!$E$2:$E$2576="YES"))*(($D$4="")+($D$4&lt;&gt;"")*(DB!$B$2:$B$2576=$D$4))*(($D$5="")+($D$5&lt;&gt;"")*(DB!$C$2:$C$2576=$D$5))*(($D$6="")+($D$6&lt;&gt;"")*(DB!$D$2:$D$2576=$D$6))*(($D$7="")+($D$7&lt;&gt;"")*(ISNUMBER(SEARCH($D$7,DB!$G$2:$G$2576))))*(($F$7="전체")+($F$7&lt;&gt;"전체")*(DB!$H$2:$H$2576=$F$7)))*(DB!$G$2:$G$2576=AD52)*1))</f>
        <v/>
      </c>
    </row>
    <row r="53" spans="1:31" ht="100" customHeight="1">
      <c r="A53" s="26"/>
      <c r="B53" s="42">
        <f t="shared" si="0"/>
        <v>40</v>
      </c>
      <c r="C53" s="43"/>
      <c r="D53" s="51" t="str" cm="1">
        <f t="array" ref="D53">IFERROR(INDEX(DB!G$2:G$2576,T53),"")</f>
        <v>기타구조물</v>
      </c>
      <c r="E53" s="43"/>
      <c r="F53" s="52" t="str" cm="1">
        <f t="array" ref="F53">IFERROR(INDEX(DB!O$2:O$2576,T53),"")</f>
        <v>끼임</v>
      </c>
      <c r="G53" s="43"/>
      <c r="H53" s="40" t="str" cm="1">
        <f t="array" ref="H53">IFERROR(INDEX(DB!P$2:P$2576,T53),"")</f>
        <v>2019년 6월경 도로 확장공사에서 PC옹벽 판넬을 설치하던 중 미고정된 PC판넬이 전도되면서 협착으로 1명 사망, 전도되는 PC판넬을 잡다 1명 부상</v>
      </c>
      <c r="I53" s="43"/>
      <c r="J53" s="53" t="str" cm="1">
        <f t="array" ref="J53">IFERROR(INDEX(DB!Q$2:Q$2576,T53),"")</f>
        <v>PC옹벽 판넬 설치 중 미고정된 PC판넬이 전도되면서 근로자가 협착</v>
      </c>
      <c r="K53" s="43"/>
      <c r="L53" s="41" t="str" cm="1">
        <f t="array" ref="L53">IFERROR(INDEX(DB!R$2:R$2576,T53),"")</f>
        <v>▶ P.C 판넬을 임시 거치하는 경우 고정이 되지 않은 판넬 하부에서 작업을 금지하고거나 가고정하는 등의 전도방지조치 실시
▶ 안전성이 확보된 시공방법(골재 뒷채움 선행 등) 사용
▶ 중량물을 운반하여 설치하는 경우 작업계획서를 작성하고 작업계획에 맞게 작업실시</v>
      </c>
      <c r="M53" s="43"/>
      <c r="P53" cm="1">
        <f t="array" ref="P53">IFERROR(_xlfn.AGGREGATE(15,6,ROW(DB!A$2:A$2576)/((($D$3&lt;&gt;"YES")+($D$3="YES")*(DB!E$2:E$2576="YES"))*(($D$4="")+($D$4&lt;&gt;"")*( DB!B$2:B$2576=$D$4))*(($D$5="")+($D$5&lt;&gt;"")*( DB!C$2:C$2576=$D$5))*(($D$6="")+($D$6&lt;&gt;"")*( DB!D$2:D$2576=$D$6))*(($D$7="")+($D$7&lt;&gt;"")*(ISNUMBER(SEARCH($D$7,DB!G$2:G$2576))))*(($F$7="전체")+($F$7&lt;&gt;"전체")*(DB!H$2:H$2576=$F$7))),ROW()-13)-1,"")</f>
        <v>397</v>
      </c>
      <c r="Q53" t="str" cm="1">
        <f t="array" ref="Q53">IFERROR(INDEX(DB!G$2:G$2576,P53),"")</f>
        <v>굴착기</v>
      </c>
      <c r="R53" t="str" cm="1">
        <f t="array" ref="R53">IFERROR(INDEX(DB!O$2:O$2576,P53),"")</f>
        <v>맞음(낙하물체)</v>
      </c>
      <c r="S53">
        <f t="shared" si="1"/>
        <v>244686.04</v>
      </c>
      <c r="T53">
        <f t="shared" si="2"/>
        <v>1164</v>
      </c>
      <c r="U53" s="138" t="str" cm="1">
        <f t="array" ref="U53">IFERROR(INDEX(AA$14:AA$63,_xlfn.AGGREGATE(15,6,ROW(AA$14:AA$63)-ROW(AA$14)+1/(AB$14:AB$63=LARGE(AB$14:AB$63,ROW()-13)),COUNTIF(V$14:V52,LARGE(AB$14:AB$63,ROW()-13))+1)),"")</f>
        <v/>
      </c>
      <c r="V53" s="131" t="str">
        <f t="shared" si="3"/>
        <v/>
      </c>
      <c r="W53" s="43"/>
      <c r="X53" s="130" t="str" cm="1">
        <f t="array" ref="X53">IFERROR(INDEX(AD$14:AD$63,_xlfn.AGGREGATE(15,6,ROW(AD$14:AD$63)-ROW(AD$14)+1/(AE$14:AE$63=LARGE(AE$14:AE$63,ROW()-13)),COUNTIF(Y$14:Y52,LARGE(AE$14:AE$63,ROW()-13))+1)),"")</f>
        <v/>
      </c>
      <c r="Y53" s="136" t="str">
        <f t="shared" si="4"/>
        <v/>
      </c>
      <c r="AA53" t="str" cm="1">
        <f t="array" ref="AA53">IFERROR(INDEX(DB!$C$2:$C$2576,_xlfn.AGGREGATE(15,6,ROW(DB!$C$2:$C$2576)-1/((($D$3&lt;&gt;"YES")+($D$3="YES")*(DB!$E$2:$E$2576="YES"))*(($D$4="")+($D$4&lt;&gt;"")*(DB!$B$2:$B$2576=$D$4))*(($F$7="전체")+($F$7&lt;&gt;"전체")*(DB!$H$2:$H$2576=$F$7))*(COUNTIF(AA$13:AA52,DB!$C$2:$C$2576)=0)),1)),"")</f>
        <v/>
      </c>
      <c r="AB53" t="str" cm="1">
        <f t="array" ref="AB53">IF(AA53="","",SUMPRODUCT(((($D$3&lt;&gt;"YES")+($D$3="YES")*(DB!$E$2:$E$2576="YES"))*(($D$4="")+($D$4&lt;&gt;"")*(DB!$B$2:$B$2576=$D$4))*(($F$7="전체")+($F$7&lt;&gt;"전체")*(DB!$H$2:$H$2576=$F$7)))*(DB!$C$2:$C$2576=AA53)*1))</f>
        <v/>
      </c>
      <c r="AD53" t="str" cm="1">
        <f t="array" ref="AD53">IFERROR(INDEX(DB!$G$2:$G$2576,_xlfn.AGGREGATE(15,6,ROW(DB!$G$2:$G$2576)-1/((($D$3&lt;&gt;"YES")+($D$3="YES")*(DB!$E$2:$E$2576="YES"))*(($D$4="")+($D$4&lt;&gt;"")*(DB!$B$2:$B$2576=$D$4))*(($D$5="")+($D$5&lt;&gt;"")*(DB!$C$2:$C$2576=$D$5))*(($D$6="")+($D$6&lt;&gt;"")*(DB!$D$2:$D$2576=$D$6))*(($D$7="")+($D$7&lt;&gt;"")*(ISNUMBER(SEARCH($D$7,DB!$G$2:$G$2576))))*(($F$7="전체")+($F$7&lt;&gt;"전체")*(DB!$H$2:$H$2576=$F$7))*(COUNTIF(AD$13:AD52,DB!$G$2:$G$2576)=0)),1)),"")</f>
        <v/>
      </c>
      <c r="AE53" t="str" cm="1">
        <f t="array" ref="AE53">IF(AD53="","",SUMPRODUCT(((($D$3&lt;&gt;"YES")+($D$3="YES")*(DB!$E$2:$E$2576="YES"))*(($D$4="")+($D$4&lt;&gt;"")*(DB!$B$2:$B$2576=$D$4))*(($D$5="")+($D$5&lt;&gt;"")*(DB!$C$2:$C$2576=$D$5))*(($D$6="")+($D$6&lt;&gt;"")*(DB!$D$2:$D$2576=$D$6))*(($D$7="")+($D$7&lt;&gt;"")*(ISNUMBER(SEARCH($D$7,DB!$G$2:$G$2576))))*(($F$7="전체")+($F$7&lt;&gt;"전체")*(DB!$H$2:$H$2576=$F$7)))*(DB!$G$2:$G$2576=AD53)*1))</f>
        <v/>
      </c>
    </row>
    <row r="54" spans="1:31" ht="100" customHeight="1">
      <c r="A54" s="26"/>
      <c r="B54" s="39">
        <f t="shared" si="0"/>
        <v>41</v>
      </c>
      <c r="C54" s="43"/>
      <c r="D54" s="51" t="str" cm="1">
        <f t="array" ref="D54">IFERROR(INDEX(DB!G$2:G$2576,T54),"")</f>
        <v>기타구조물</v>
      </c>
      <c r="E54" s="43"/>
      <c r="F54" s="52" t="str" cm="1">
        <f t="array" ref="F54">IFERROR(INDEX(DB!O$2:O$2576,T54),"")</f>
        <v>떨어짐</v>
      </c>
      <c r="G54" s="43"/>
      <c r="H54" s="40" t="str" cm="1">
        <f t="array" ref="H54">IFERROR(INDEX(DB!P$2:P$2576,T54),"")</f>
        <v>2017년 12월경 도로 건설공사에서 재해자가 보강토 옹벽 단부에 안전난간을 체결하던 중 안전난간 기둥이 자중과 재해자의 몸무게를 이기지 못하고 12m 바닥으로 추락하여 사망</v>
      </c>
      <c r="I54" s="43"/>
      <c r="J54" s="53" t="str" cm="1">
        <f t="array" ref="J54">IFERROR(INDEX(DB!Q$2:Q$2576,T54),"")</f>
        <v>옹벽 단부의 안전난간 기둥에 안전난간을 체결하던 중 안전난간 기둥이 안전난간 자중과 피재자의 몸무게를 이기지 못하여 안전난간과 함께 지면으로 추락</v>
      </c>
      <c r="K54" s="43"/>
      <c r="L54" s="41" t="str" cm="1">
        <f t="array" ref="L54">IFERROR(INDEX(DB!R$2:R$2576,T54),"")</f>
        <v>▶ 보강토옹벽에 안전난간 설치 시 기존의 안전난간을 고정하기 어려운 경우, 보강토블록 전용 브라켓 사용하여 안전난간 설치
▶ 안전난간 기둥, 수평재 등이 완벽하게 고정되지 않은 상태에서 안전난간 기둥에 기대는 행위 금지</v>
      </c>
      <c r="M54" s="43"/>
      <c r="P54" cm="1">
        <f t="array" ref="P54">IFERROR(_xlfn.AGGREGATE(15,6,ROW(DB!A$2:A$2576)/((($D$3&lt;&gt;"YES")+($D$3="YES")*(DB!E$2:E$2576="YES"))*(($D$4="")+($D$4&lt;&gt;"")*( DB!B$2:B$2576=$D$4))*(($D$5="")+($D$5&lt;&gt;"")*( DB!C$2:C$2576=$D$5))*(($D$6="")+($D$6&lt;&gt;"")*( DB!D$2:D$2576=$D$6))*(($D$7="")+($D$7&lt;&gt;"")*(ISNUMBER(SEARCH($D$7,DB!G$2:G$2576))))*(($F$7="전체")+($F$7&lt;&gt;"전체")*(DB!H$2:H$2576=$F$7))),ROW()-13)-1,"")</f>
        <v>398</v>
      </c>
      <c r="Q54" t="str" cm="1">
        <f t="array" ref="Q54">IFERROR(INDEX(DB!G$2:G$2576,P54),"")</f>
        <v>굴착기</v>
      </c>
      <c r="R54" t="str" cm="1">
        <f t="array" ref="R54">IFERROR(INDEX(DB!O$2:O$2576,P54),"")</f>
        <v>깔림 뒤집힘</v>
      </c>
      <c r="S54">
        <f t="shared" si="1"/>
        <v>244620.041</v>
      </c>
      <c r="T54">
        <f t="shared" si="2"/>
        <v>1162</v>
      </c>
      <c r="U54" s="138" t="str" cm="1">
        <f t="array" ref="U54">IFERROR(INDEX(AA$14:AA$63,_xlfn.AGGREGATE(15,6,ROW(AA$14:AA$63)-ROW(AA$14)+1/(AB$14:AB$63=LARGE(AB$14:AB$63,ROW()-13)),COUNTIF(V$14:V53,LARGE(AB$14:AB$63,ROW()-13))+1)),"")</f>
        <v/>
      </c>
      <c r="V54" s="131" t="str">
        <f t="shared" si="3"/>
        <v/>
      </c>
      <c r="W54" s="43"/>
      <c r="X54" s="130" t="str" cm="1">
        <f t="array" ref="X54">IFERROR(INDEX(AD$14:AD$63,_xlfn.AGGREGATE(15,6,ROW(AD$14:AD$63)-ROW(AD$14)+1/(AE$14:AE$63=LARGE(AE$14:AE$63,ROW()-13)),COUNTIF(Y$14:Y53,LARGE(AE$14:AE$63,ROW()-13))+1)),"")</f>
        <v/>
      </c>
      <c r="Y54" s="136" t="str">
        <f t="shared" si="4"/>
        <v/>
      </c>
      <c r="AA54" t="str" cm="1">
        <f t="array" ref="AA54">IFERROR(INDEX(DB!$C$2:$C$2576,_xlfn.AGGREGATE(15,6,ROW(DB!$C$2:$C$2576)-1/((($D$3&lt;&gt;"YES")+($D$3="YES")*(DB!$E$2:$E$2576="YES"))*(($D$4="")+($D$4&lt;&gt;"")*(DB!$B$2:$B$2576=$D$4))*(($F$7="전체")+($F$7&lt;&gt;"전체")*(DB!$H$2:$H$2576=$F$7))*(COUNTIF(AA$13:AA53,DB!$C$2:$C$2576)=0)),1)),"")</f>
        <v/>
      </c>
      <c r="AB54" t="str" cm="1">
        <f t="array" ref="AB54">IF(AA54="","",SUMPRODUCT(((($D$3&lt;&gt;"YES")+($D$3="YES")*(DB!$E$2:$E$2576="YES"))*(($D$4="")+($D$4&lt;&gt;"")*(DB!$B$2:$B$2576=$D$4))*(($F$7="전체")+($F$7&lt;&gt;"전체")*(DB!$H$2:$H$2576=$F$7)))*(DB!$C$2:$C$2576=AA54)*1))</f>
        <v/>
      </c>
      <c r="AD54" t="str" cm="1">
        <f t="array" ref="AD54">IFERROR(INDEX(DB!$G$2:$G$2576,_xlfn.AGGREGATE(15,6,ROW(DB!$G$2:$G$2576)-1/((($D$3&lt;&gt;"YES")+($D$3="YES")*(DB!$E$2:$E$2576="YES"))*(($D$4="")+($D$4&lt;&gt;"")*(DB!$B$2:$B$2576=$D$4))*(($D$5="")+($D$5&lt;&gt;"")*(DB!$C$2:$C$2576=$D$5))*(($D$6="")+($D$6&lt;&gt;"")*(DB!$D$2:$D$2576=$D$6))*(($D$7="")+($D$7&lt;&gt;"")*(ISNUMBER(SEARCH($D$7,DB!$G$2:$G$2576))))*(($F$7="전체")+($F$7&lt;&gt;"전체")*(DB!$H$2:$H$2576=$F$7))*(COUNTIF(AD$13:AD53,DB!$G$2:$G$2576)=0)),1)),"")</f>
        <v/>
      </c>
      <c r="AE54" t="str" cm="1">
        <f t="array" ref="AE54">IF(AD54="","",SUMPRODUCT(((($D$3&lt;&gt;"YES")+($D$3="YES")*(DB!$E$2:$E$2576="YES"))*(($D$4="")+($D$4&lt;&gt;"")*(DB!$B$2:$B$2576=$D$4))*(($D$5="")+($D$5&lt;&gt;"")*(DB!$C$2:$C$2576=$D$5))*(($D$6="")+($D$6&lt;&gt;"")*(DB!$D$2:$D$2576=$D$6))*(($D$7="")+($D$7&lt;&gt;"")*(ISNUMBER(SEARCH($D$7,DB!$G$2:$G$2576))))*(($F$7="전체")+($F$7&lt;&gt;"전체")*(DB!$H$2:$H$2576=$F$7)))*(DB!$G$2:$G$2576=AD54)*1))</f>
        <v/>
      </c>
    </row>
    <row r="55" spans="1:31" ht="100" customHeight="1">
      <c r="A55" s="26"/>
      <c r="B55" s="42">
        <f t="shared" si="0"/>
        <v>42</v>
      </c>
      <c r="C55" s="43"/>
      <c r="D55" s="51" t="str" cm="1">
        <f t="array" ref="D55">IFERROR(INDEX(DB!G$2:G$2576,T55),"")</f>
        <v>기타구조물</v>
      </c>
      <c r="E55" s="43"/>
      <c r="F55" s="52" t="str" cm="1">
        <f t="array" ref="F55">IFERROR(INDEX(DB!O$2:O$2576,T55),"")</f>
        <v>떨어짐</v>
      </c>
      <c r="G55" s="43"/>
      <c r="H55" s="40" t="str" cm="1">
        <f t="array" ref="H55">IFERROR(INDEX(DB!P$2:P$2576,T55),"")</f>
        <v xml:space="preserve">2016년 6월경 OOO도 OO군 OO읍 소재 OOOOO(주)가 시공하는 OOO유도배수로공사 현장에서 OOOO(주) 현장소장 OOO과 OOOO(주) 전무 OOO이 공사 착공전 기존 수로구조물 내부를 사전조사 하려고 기존 수로 구조물 내부로 들어가 구조물에 고정 설치되어 있던 PP로프(Poly Propylene Rope)를 손으로 잡고 급경사구간(경사도 약 45도)을 내려가다가 OOO은 잡고 있던 PP로프를 놓치면서 경사로(약 20~30m)를 굴러 떨어져 인근병원으로 후송 치료중 사망하였고, OOO은 수로 구조물에 부딪혀 부상을 당한 재해임  </v>
      </c>
      <c r="I55" s="43"/>
      <c r="J55" s="53" t="str" cm="1">
        <f t="array" ref="J55">IFERROR(INDEX(DB!Q$2:Q$2576,T55),"")</f>
        <v>기존 관로 구조물 내부 사전조사를 위해 PP로프를 잡고 급경사구간 하강 중 PP로프를 놓쳐 떨어짐</v>
      </c>
      <c r="K55" s="43"/>
      <c r="L55" s="41" t="str" cm="1">
        <f t="array" ref="L55">IFERROR(INDEX(DB!R$2:R$2576,T55),"")</f>
        <v>▶ 추락위험 장소에 대해 근로자가 임의 출입을 방지하도록 방책 등 설치
▶ 관로부설 위치로의 이동을 위해 근로자 이동 통로 설치 또는 가설계단 등 안전한 통로 설치</v>
      </c>
      <c r="M55" s="43"/>
      <c r="P55" cm="1">
        <f t="array" ref="P55">IFERROR(_xlfn.AGGREGATE(15,6,ROW(DB!A$2:A$2576)/((($D$3&lt;&gt;"YES")+($D$3="YES")*(DB!E$2:E$2576="YES"))*(($D$4="")+($D$4&lt;&gt;"")*( DB!B$2:B$2576=$D$4))*(($D$5="")+($D$5&lt;&gt;"")*( DB!C$2:C$2576=$D$5))*(($D$6="")+($D$6&lt;&gt;"")*( DB!D$2:D$2576=$D$6))*(($D$7="")+($D$7&lt;&gt;"")*(ISNUMBER(SEARCH($D$7,DB!G$2:G$2576))))*(($F$7="전체")+($F$7&lt;&gt;"전체")*(DB!H$2:H$2576=$F$7))),ROW()-13)-1,"")</f>
        <v>399</v>
      </c>
      <c r="Q55" t="str" cm="1">
        <f t="array" ref="Q55">IFERROR(INDEX(DB!G$2:G$2576,P55),"")</f>
        <v>굴착기</v>
      </c>
      <c r="R55" t="str" cm="1">
        <f t="array" ref="R55">IFERROR(INDEX(DB!O$2:O$2576,P55),"")</f>
        <v>깔림 뒤집힘</v>
      </c>
      <c r="S55">
        <f t="shared" si="1"/>
        <v>244620.04199999999</v>
      </c>
      <c r="T55">
        <f t="shared" si="2"/>
        <v>1166</v>
      </c>
      <c r="U55" s="138" t="str" cm="1">
        <f t="array" ref="U55">IFERROR(INDEX(AA$14:AA$63,_xlfn.AGGREGATE(15,6,ROW(AA$14:AA$63)-ROW(AA$14)+1/(AB$14:AB$63=LARGE(AB$14:AB$63,ROW()-13)),COUNTIF(V$14:V54,LARGE(AB$14:AB$63,ROW()-13))+1)),"")</f>
        <v/>
      </c>
      <c r="V55" s="131" t="str">
        <f t="shared" si="3"/>
        <v/>
      </c>
      <c r="W55" s="43"/>
      <c r="X55" s="130" t="str" cm="1">
        <f t="array" ref="X55">IFERROR(INDEX(AD$14:AD$63,_xlfn.AGGREGATE(15,6,ROW(AD$14:AD$63)-ROW(AD$14)+1/(AE$14:AE$63=LARGE(AE$14:AE$63,ROW()-13)),COUNTIF(Y$14:Y54,LARGE(AE$14:AE$63,ROW()-13))+1)),"")</f>
        <v/>
      </c>
      <c r="Y55" s="136" t="str">
        <f t="shared" si="4"/>
        <v/>
      </c>
      <c r="AA55" t="str" cm="1">
        <f t="array" ref="AA55">IFERROR(INDEX(DB!$C$2:$C$2576,_xlfn.AGGREGATE(15,6,ROW(DB!$C$2:$C$2576)-1/((($D$3&lt;&gt;"YES")+($D$3="YES")*(DB!$E$2:$E$2576="YES"))*(($D$4="")+($D$4&lt;&gt;"")*(DB!$B$2:$B$2576=$D$4))*(($F$7="전체")+($F$7&lt;&gt;"전체")*(DB!$H$2:$H$2576=$F$7))*(COUNTIF(AA$13:AA54,DB!$C$2:$C$2576)=0)),1)),"")</f>
        <v/>
      </c>
      <c r="AB55" t="str" cm="1">
        <f t="array" ref="AB55">IF(AA55="","",SUMPRODUCT(((($D$3&lt;&gt;"YES")+($D$3="YES")*(DB!$E$2:$E$2576="YES"))*(($D$4="")+($D$4&lt;&gt;"")*(DB!$B$2:$B$2576=$D$4))*(($F$7="전체")+($F$7&lt;&gt;"전체")*(DB!$H$2:$H$2576=$F$7)))*(DB!$C$2:$C$2576=AA55)*1))</f>
        <v/>
      </c>
      <c r="AD55" t="str" cm="1">
        <f t="array" ref="AD55">IFERROR(INDEX(DB!$G$2:$G$2576,_xlfn.AGGREGATE(15,6,ROW(DB!$G$2:$G$2576)-1/((($D$3&lt;&gt;"YES")+($D$3="YES")*(DB!$E$2:$E$2576="YES"))*(($D$4="")+($D$4&lt;&gt;"")*(DB!$B$2:$B$2576=$D$4))*(($D$5="")+($D$5&lt;&gt;"")*(DB!$C$2:$C$2576=$D$5))*(($D$6="")+($D$6&lt;&gt;"")*(DB!$D$2:$D$2576=$D$6))*(($D$7="")+($D$7&lt;&gt;"")*(ISNUMBER(SEARCH($D$7,DB!$G$2:$G$2576))))*(($F$7="전체")+($F$7&lt;&gt;"전체")*(DB!$H$2:$H$2576=$F$7))*(COUNTIF(AD$13:AD54,DB!$G$2:$G$2576)=0)),1)),"")</f>
        <v/>
      </c>
      <c r="AE55" t="str" cm="1">
        <f t="array" ref="AE55">IF(AD55="","",SUMPRODUCT(((($D$3&lt;&gt;"YES")+($D$3="YES")*(DB!$E$2:$E$2576="YES"))*(($D$4="")+($D$4&lt;&gt;"")*(DB!$B$2:$B$2576=$D$4))*(($D$5="")+($D$5&lt;&gt;"")*(DB!$C$2:$C$2576=$D$5))*(($D$6="")+($D$6&lt;&gt;"")*(DB!$D$2:$D$2576=$D$6))*(($D$7="")+($D$7&lt;&gt;"")*(ISNUMBER(SEARCH($D$7,DB!$G$2:$G$2576))))*(($F$7="전체")+($F$7&lt;&gt;"전체")*(DB!$H$2:$H$2576=$F$7)))*(DB!$G$2:$G$2576=AD55)*1))</f>
        <v/>
      </c>
    </row>
    <row r="56" spans="1:31" ht="100" customHeight="1">
      <c r="A56" s="26"/>
      <c r="B56" s="39">
        <f t="shared" si="0"/>
        <v>43</v>
      </c>
      <c r="C56" s="43"/>
      <c r="D56" s="51" t="str" cm="1">
        <f t="array" ref="D56">IFERROR(INDEX(DB!G$2:G$2576,T56),"")</f>
        <v>기타구조물</v>
      </c>
      <c r="E56" s="43"/>
      <c r="F56" s="52" t="str" cm="1">
        <f t="array" ref="F56">IFERROR(INDEX(DB!O$2:O$2576,T56),"")</f>
        <v>부딪힘 접촉</v>
      </c>
      <c r="G56" s="43"/>
      <c r="H56" s="40" t="str" cm="1">
        <f t="array" ref="H56">IFERROR(INDEX(DB!P$2:P$2576,T56),"")</f>
        <v>2019년 6월경 OOO도 OO군 소재 OOOO(주)「OOOO도로 개선공사」현장에서 재해자 OOO가 PE이중벽관 설치를 위해 굴착구간에 내려가 있던 중, 굴삭기에 의해 운반되어 온 PE이중벽관에 1차로 맞아 넘어졌고 이에 놀란 굴삭기 기사가 빠르게 PE이중벽관을 굴착저면에 내려놓는 순간 쓰러져 있던 재해자의 머리와 가슴 등에 충격이 가해지고 굴착사면과 관 사이에 끼이며 사망한 재해임.</v>
      </c>
      <c r="I56" s="43"/>
      <c r="J56" s="53" t="str" cm="1">
        <f t="array" ref="J56">IFERROR(INDEX(DB!Q$2:Q$2576,T56),"")</f>
        <v>관부설 작업을 위해 굴삭기로 관 운반 작업 중 근로자와 충돌</v>
      </c>
      <c r="K56" s="43"/>
      <c r="L56" s="41" t="str" cm="1">
        <f t="array" ref="L56">IFERROR(INDEX(DB!R$2:R$2576,T56),"")</f>
        <v>▶ 관로를 굴삭기로 굴착하단부에 운반하는 작업을 하는 경우 관로가 회전하거나 슬링벨트에서 빠지는 것을 막기위해 두줄걸이를 시행하고, 관이 회전을 방지하기 위한 조치 실시
▶ 중량물 취급 시 작업지휘자 및 신호수 배치</v>
      </c>
      <c r="M56" s="43"/>
      <c r="P56" cm="1">
        <f t="array" ref="P56">IFERROR(_xlfn.AGGREGATE(15,6,ROW(DB!A$2:A$2576)/((($D$3&lt;&gt;"YES")+($D$3="YES")*(DB!E$2:E$2576="YES"))*(($D$4="")+($D$4&lt;&gt;"")*( DB!B$2:B$2576=$D$4))*(($D$5="")+($D$5&lt;&gt;"")*( DB!C$2:C$2576=$D$5))*(($D$6="")+($D$6&lt;&gt;"")*( DB!D$2:D$2576=$D$6))*(($D$7="")+($D$7&lt;&gt;"")*(ISNUMBER(SEARCH($D$7,DB!G$2:G$2576))))*(($F$7="전체")+($F$7&lt;&gt;"전체")*(DB!H$2:H$2576=$F$7))),ROW()-13)-1,"")</f>
        <v>400</v>
      </c>
      <c r="Q56" t="str" cm="1">
        <f t="array" ref="Q56">IFERROR(INDEX(DB!G$2:G$2576,P56),"")</f>
        <v>굴착기</v>
      </c>
      <c r="R56" t="str" cm="1">
        <f t="array" ref="R56">IFERROR(INDEX(DB!O$2:O$2576,P56),"")</f>
        <v>맞음(낙하물체)</v>
      </c>
      <c r="S56">
        <f t="shared" si="1"/>
        <v>244686.04300000001</v>
      </c>
      <c r="T56">
        <f t="shared" si="2"/>
        <v>1167</v>
      </c>
      <c r="U56" s="138" t="str" cm="1">
        <f t="array" ref="U56">IFERROR(INDEX(AA$14:AA$63,_xlfn.AGGREGATE(15,6,ROW(AA$14:AA$63)-ROW(AA$14)+1/(AB$14:AB$63=LARGE(AB$14:AB$63,ROW()-13)),COUNTIF(V$14:V55,LARGE(AB$14:AB$63,ROW()-13))+1)),"")</f>
        <v/>
      </c>
      <c r="V56" s="131" t="str">
        <f t="shared" si="3"/>
        <v/>
      </c>
      <c r="W56" s="43"/>
      <c r="X56" s="130" t="str" cm="1">
        <f t="array" ref="X56">IFERROR(INDEX(AD$14:AD$63,_xlfn.AGGREGATE(15,6,ROW(AD$14:AD$63)-ROW(AD$14)+1/(AE$14:AE$63=LARGE(AE$14:AE$63,ROW()-13)),COUNTIF(Y$14:Y55,LARGE(AE$14:AE$63,ROW()-13))+1)),"")</f>
        <v/>
      </c>
      <c r="Y56" s="136" t="str">
        <f t="shared" si="4"/>
        <v/>
      </c>
      <c r="AA56" t="str" cm="1">
        <f t="array" ref="AA56">IFERROR(INDEX(DB!$C$2:$C$2576,_xlfn.AGGREGATE(15,6,ROW(DB!$C$2:$C$2576)-1/((($D$3&lt;&gt;"YES")+($D$3="YES")*(DB!$E$2:$E$2576="YES"))*(($D$4="")+($D$4&lt;&gt;"")*(DB!$B$2:$B$2576=$D$4))*(($F$7="전체")+($F$7&lt;&gt;"전체")*(DB!$H$2:$H$2576=$F$7))*(COUNTIF(AA$13:AA55,DB!$C$2:$C$2576)=0)),1)),"")</f>
        <v/>
      </c>
      <c r="AB56" t="str" cm="1">
        <f t="array" ref="AB56">IF(AA56="","",SUMPRODUCT(((($D$3&lt;&gt;"YES")+($D$3="YES")*(DB!$E$2:$E$2576="YES"))*(($D$4="")+($D$4&lt;&gt;"")*(DB!$B$2:$B$2576=$D$4))*(($F$7="전체")+($F$7&lt;&gt;"전체")*(DB!$H$2:$H$2576=$F$7)))*(DB!$C$2:$C$2576=AA56)*1))</f>
        <v/>
      </c>
      <c r="AD56" t="str" cm="1">
        <f t="array" ref="AD56">IFERROR(INDEX(DB!$G$2:$G$2576,_xlfn.AGGREGATE(15,6,ROW(DB!$G$2:$G$2576)-1/((($D$3&lt;&gt;"YES")+($D$3="YES")*(DB!$E$2:$E$2576="YES"))*(($D$4="")+($D$4&lt;&gt;"")*(DB!$B$2:$B$2576=$D$4))*(($D$5="")+($D$5&lt;&gt;"")*(DB!$C$2:$C$2576=$D$5))*(($D$6="")+($D$6&lt;&gt;"")*(DB!$D$2:$D$2576=$D$6))*(($D$7="")+($D$7&lt;&gt;"")*(ISNUMBER(SEARCH($D$7,DB!$G$2:$G$2576))))*(($F$7="전체")+($F$7&lt;&gt;"전체")*(DB!$H$2:$H$2576=$F$7))*(COUNTIF(AD$13:AD55,DB!$G$2:$G$2576)=0)),1)),"")</f>
        <v/>
      </c>
      <c r="AE56" t="str" cm="1">
        <f t="array" ref="AE56">IF(AD56="","",SUMPRODUCT(((($D$3&lt;&gt;"YES")+($D$3="YES")*(DB!$E$2:$E$2576="YES"))*(($D$4="")+($D$4&lt;&gt;"")*(DB!$B$2:$B$2576=$D$4))*(($D$5="")+($D$5&lt;&gt;"")*(DB!$C$2:$C$2576=$D$5))*(($D$6="")+($D$6&lt;&gt;"")*(DB!$D$2:$D$2576=$D$6))*(($D$7="")+($D$7&lt;&gt;"")*(ISNUMBER(SEARCH($D$7,DB!$G$2:$G$2576))))*(($F$7="전체")+($F$7&lt;&gt;"전체")*(DB!$H$2:$H$2576=$F$7)))*(DB!$G$2:$G$2576=AD56)*1))</f>
        <v/>
      </c>
    </row>
    <row r="57" spans="1:31" ht="100" customHeight="1">
      <c r="A57" s="26"/>
      <c r="B57" s="42">
        <f t="shared" si="0"/>
        <v>44</v>
      </c>
      <c r="C57" s="43"/>
      <c r="D57" s="51" t="str" cm="1">
        <f t="array" ref="D57">IFERROR(INDEX(DB!G$2:G$2576,T57),"")</f>
        <v>기타자재(내부마감재,시멘트,마대)</v>
      </c>
      <c r="E57" s="43"/>
      <c r="F57" s="52" t="str" cm="1">
        <f t="array" ref="F57">IFERROR(INDEX(DB!O$2:O$2576,T57),"")</f>
        <v>깔림 뒤집힘</v>
      </c>
      <c r="G57" s="43"/>
      <c r="H57" s="40" t="str" cm="1">
        <f t="array" ref="H57">IFERROR(INDEX(DB!P$2:P$2576,T57),"")</f>
        <v>2020년 7월경 ㈜OOOO 소속 재해자(OOO)는 근린생활시설 건설공사 상수도 연결 관로공사 현장에서 덤프트럭 통행을 위한 굴착구간 상부면 철판 설치작업을 하다가 굴삭기에 철판을 결속한 슬링벨트가 파단되며 철판에 깔려 사망함</v>
      </c>
      <c r="I57" s="43"/>
      <c r="J57" s="53" t="str" cm="1">
        <f t="array" ref="J57">IFERROR(INDEX(DB!Q$2:Q$2576,T57),"")</f>
        <v>덤프트럭 통행을 위한 굴착구간 상부면 철판 설치작업을 하다가 굴삭기에 철판을 결속한 슬링벨트가 파단되며 철판에 깔림</v>
      </c>
      <c r="K57" s="43"/>
      <c r="L57" s="41" t="str" cm="1">
        <f t="array" ref="L57">IFERROR(INDEX(DB!R$2:R$2576,T57),"")</f>
        <v>▶ 작업 전 슬링벨트의 노후상태를 확인하고 사용불가 시 즉시교체
▶ 인양물 양중 시 슬링벨트를 감고 샤클 등으로 견고하게 고정한 후 양중 준수
▶ 인양물 작업 시 인양물이 작업자 머리 위에 위치하거나 통과하지 않도록 작업지휘자 및 전담 신호수 배치</v>
      </c>
      <c r="M57" s="43"/>
      <c r="P57" cm="1">
        <f t="array" ref="P57">IFERROR(_xlfn.AGGREGATE(15,6,ROW(DB!A$2:A$2576)/((($D$3&lt;&gt;"YES")+($D$3="YES")*(DB!E$2:E$2576="YES"))*(($D$4="")+($D$4&lt;&gt;"")*( DB!B$2:B$2576=$D$4))*(($D$5="")+($D$5&lt;&gt;"")*( DB!C$2:C$2576=$D$5))*(($D$6="")+($D$6&lt;&gt;"")*( DB!D$2:D$2576=$D$6))*(($D$7="")+($D$7&lt;&gt;"")*(ISNUMBER(SEARCH($D$7,DB!G$2:G$2576))))*(($F$7="전체")+($F$7&lt;&gt;"전체")*(DB!H$2:H$2576=$F$7))),ROW()-13)-1,"")</f>
        <v>401</v>
      </c>
      <c r="Q57" t="str" cm="1">
        <f t="array" ref="Q57">IFERROR(INDEX(DB!G$2:G$2576,P57),"")</f>
        <v>굴착기</v>
      </c>
      <c r="R57" t="str" cm="1">
        <f t="array" ref="R57">IFERROR(INDEX(DB!O$2:O$2576,P57),"")</f>
        <v>부딪힘 접촉</v>
      </c>
      <c r="S57">
        <f t="shared" si="1"/>
        <v>244741.04399999999</v>
      </c>
      <c r="T57">
        <f t="shared" si="2"/>
        <v>687</v>
      </c>
      <c r="U57" s="138" t="str" cm="1">
        <f t="array" ref="U57">IFERROR(INDEX(AA$14:AA$63,_xlfn.AGGREGATE(15,6,ROW(AA$14:AA$63)-ROW(AA$14)+1/(AB$14:AB$63=LARGE(AB$14:AB$63,ROW()-13)),COUNTIF(V$14:V56,LARGE(AB$14:AB$63,ROW()-13))+1)),"")</f>
        <v/>
      </c>
      <c r="V57" s="131" t="str">
        <f t="shared" si="3"/>
        <v/>
      </c>
      <c r="W57" s="43"/>
      <c r="X57" s="130" t="str" cm="1">
        <f t="array" ref="X57">IFERROR(INDEX(AD$14:AD$63,_xlfn.AGGREGATE(15,6,ROW(AD$14:AD$63)-ROW(AD$14)+1/(AE$14:AE$63=LARGE(AE$14:AE$63,ROW()-13)),COUNTIF(Y$14:Y56,LARGE(AE$14:AE$63,ROW()-13))+1)),"")</f>
        <v/>
      </c>
      <c r="Y57" s="136" t="str">
        <f t="shared" si="4"/>
        <v/>
      </c>
      <c r="AA57" t="str" cm="1">
        <f t="array" ref="AA57">IFERROR(INDEX(DB!$C$2:$C$2576,_xlfn.AGGREGATE(15,6,ROW(DB!$C$2:$C$2576)-1/((($D$3&lt;&gt;"YES")+($D$3="YES")*(DB!$E$2:$E$2576="YES"))*(($D$4="")+($D$4&lt;&gt;"")*(DB!$B$2:$B$2576=$D$4))*(($F$7="전체")+($F$7&lt;&gt;"전체")*(DB!$H$2:$H$2576=$F$7))*(COUNTIF(AA$13:AA56,DB!$C$2:$C$2576)=0)),1)),"")</f>
        <v/>
      </c>
      <c r="AB57" t="str" cm="1">
        <f t="array" ref="AB57">IF(AA57="","",SUMPRODUCT(((($D$3&lt;&gt;"YES")+($D$3="YES")*(DB!$E$2:$E$2576="YES"))*(($D$4="")+($D$4&lt;&gt;"")*(DB!$B$2:$B$2576=$D$4))*(($F$7="전체")+($F$7&lt;&gt;"전체")*(DB!$H$2:$H$2576=$F$7)))*(DB!$C$2:$C$2576=AA57)*1))</f>
        <v/>
      </c>
      <c r="AD57" t="str" cm="1">
        <f t="array" ref="AD57">IFERROR(INDEX(DB!$G$2:$G$2576,_xlfn.AGGREGATE(15,6,ROW(DB!$G$2:$G$2576)-1/((($D$3&lt;&gt;"YES")+($D$3="YES")*(DB!$E$2:$E$2576="YES"))*(($D$4="")+($D$4&lt;&gt;"")*(DB!$B$2:$B$2576=$D$4))*(($D$5="")+($D$5&lt;&gt;"")*(DB!$C$2:$C$2576=$D$5))*(($D$6="")+($D$6&lt;&gt;"")*(DB!$D$2:$D$2576=$D$6))*(($D$7="")+($D$7&lt;&gt;"")*(ISNUMBER(SEARCH($D$7,DB!$G$2:$G$2576))))*(($F$7="전체")+($F$7&lt;&gt;"전체")*(DB!$H$2:$H$2576=$F$7))*(COUNTIF(AD$13:AD56,DB!$G$2:$G$2576)=0)),1)),"")</f>
        <v/>
      </c>
      <c r="AE57" t="str" cm="1">
        <f t="array" ref="AE57">IF(AD57="","",SUMPRODUCT(((($D$3&lt;&gt;"YES")+($D$3="YES")*(DB!$E$2:$E$2576="YES"))*(($D$4="")+($D$4&lt;&gt;"")*(DB!$B$2:$B$2576=$D$4))*(($D$5="")+($D$5&lt;&gt;"")*(DB!$C$2:$C$2576=$D$5))*(($D$6="")+($D$6&lt;&gt;"")*(DB!$D$2:$D$2576=$D$6))*(($D$7="")+($D$7&lt;&gt;"")*(ISNUMBER(SEARCH($D$7,DB!$G$2:$G$2576))))*(($F$7="전체")+($F$7&lt;&gt;"전체")*(DB!$H$2:$H$2576=$F$7)))*(DB!$G$2:$G$2576=AD57)*1))</f>
        <v/>
      </c>
    </row>
    <row r="58" spans="1:31" ht="100" customHeight="1">
      <c r="A58" s="26"/>
      <c r="B58" s="39">
        <f t="shared" si="0"/>
        <v>45</v>
      </c>
      <c r="C58" s="43"/>
      <c r="D58" s="51" t="str" cm="1">
        <f t="array" ref="D58">IFERROR(INDEX(DB!G$2:G$2576,T58),"")</f>
        <v>기타자재(내부마감재,시멘트,마대)</v>
      </c>
      <c r="E58" s="43"/>
      <c r="F58" s="52" t="str" cm="1">
        <f t="array" ref="F58">IFERROR(INDEX(DB!O$2:O$2576,T58),"")</f>
        <v>끼임</v>
      </c>
      <c r="G58" s="43"/>
      <c r="H58" s="40" t="str" cm="1">
        <f t="array" ref="H58">IFERROR(INDEX(DB!P$2:P$2576,T58),"")</f>
        <v>2020년 3월경 아파트 신축공사장에서 재해자가 영구식 앵커 PC판넬 설치작업 중 판넬 후면의 버팀목이 부러져 넘어지면서 깔려 사망</v>
      </c>
      <c r="I58" s="43"/>
      <c r="J58" s="53" t="str" cm="1">
        <f t="array" ref="J58">IFERROR(INDEX(DB!Q$2:Q$2576,T58),"")</f>
        <v>PC옹벽 판넬 설치 중 미고정된 PC판넬이 전도되면서 근로자가 협착</v>
      </c>
      <c r="K58" s="43"/>
      <c r="L58" s="41" t="str" cm="1">
        <f t="array" ref="L58">IFERROR(INDEX(DB!R$2:R$2576,T58),"")</f>
        <v>▶ P.C 판넬을 임시 거치하는 경우 고정이 되지 않은 판넬 하부에서 작업을 금지하고거나 가고정하는 등의 전도방지조치 실시
▶ 안전성이 확보된 시공방법(골재 뒷채움 선행 등) 사용
▶ 중량물을 운반하여 설치하는 경우 작업계획서를 작성하고 작업계획에 맞게 작업실시</v>
      </c>
      <c r="M58" s="43"/>
      <c r="P58" cm="1">
        <f t="array" ref="P58">IFERROR(_xlfn.AGGREGATE(15,6,ROW(DB!A$2:A$2576)/((($D$3&lt;&gt;"YES")+($D$3="YES")*(DB!E$2:E$2576="YES"))*(($D$4="")+($D$4&lt;&gt;"")*( DB!B$2:B$2576=$D$4))*(($D$5="")+($D$5&lt;&gt;"")*( DB!C$2:C$2576=$D$5))*(($D$6="")+($D$6&lt;&gt;"")*( DB!D$2:D$2576=$D$6))*(($D$7="")+($D$7&lt;&gt;"")*(ISNUMBER(SEARCH($D$7,DB!G$2:G$2576))))*(($F$7="전체")+($F$7&lt;&gt;"전체")*(DB!H$2:H$2576=$F$7))),ROW()-13)-1,"")</f>
        <v>402</v>
      </c>
      <c r="Q58" t="str" cm="1">
        <f t="array" ref="Q58">IFERROR(INDEX(DB!G$2:G$2576,P58),"")</f>
        <v>굴착기</v>
      </c>
      <c r="R58" t="str" cm="1">
        <f t="array" ref="R58">IFERROR(INDEX(DB!O$2:O$2576,P58),"")</f>
        <v>부딪힘 접촉</v>
      </c>
      <c r="S58">
        <f t="shared" si="1"/>
        <v>244741.04500000001</v>
      </c>
      <c r="T58">
        <f t="shared" si="2"/>
        <v>686</v>
      </c>
      <c r="U58" s="138" t="str" cm="1">
        <f t="array" ref="U58">IFERROR(INDEX(AA$14:AA$63,_xlfn.AGGREGATE(15,6,ROW(AA$14:AA$63)-ROW(AA$14)+1/(AB$14:AB$63=LARGE(AB$14:AB$63,ROW()-13)),COUNTIF(V$14:V57,LARGE(AB$14:AB$63,ROW()-13))+1)),"")</f>
        <v/>
      </c>
      <c r="V58" s="131" t="str">
        <f t="shared" si="3"/>
        <v/>
      </c>
      <c r="W58" s="43"/>
      <c r="X58" s="130" t="str" cm="1">
        <f t="array" ref="X58">IFERROR(INDEX(AD$14:AD$63,_xlfn.AGGREGATE(15,6,ROW(AD$14:AD$63)-ROW(AD$14)+1/(AE$14:AE$63=LARGE(AE$14:AE$63,ROW()-13)),COUNTIF(Y$14:Y57,LARGE(AE$14:AE$63,ROW()-13))+1)),"")</f>
        <v/>
      </c>
      <c r="Y58" s="136" t="str">
        <f t="shared" si="4"/>
        <v/>
      </c>
      <c r="AA58" t="str" cm="1">
        <f t="array" ref="AA58">IFERROR(INDEX(DB!$C$2:$C$2576,_xlfn.AGGREGATE(15,6,ROW(DB!$C$2:$C$2576)-1/((($D$3&lt;&gt;"YES")+($D$3="YES")*(DB!$E$2:$E$2576="YES"))*(($D$4="")+($D$4&lt;&gt;"")*(DB!$B$2:$B$2576=$D$4))*(($F$7="전체")+($F$7&lt;&gt;"전체")*(DB!$H$2:$H$2576=$F$7))*(COUNTIF(AA$13:AA57,DB!$C$2:$C$2576)=0)),1)),"")</f>
        <v/>
      </c>
      <c r="AB58" t="str" cm="1">
        <f t="array" ref="AB58">IF(AA58="","",SUMPRODUCT(((($D$3&lt;&gt;"YES")+($D$3="YES")*(DB!$E$2:$E$2576="YES"))*(($D$4="")+($D$4&lt;&gt;"")*(DB!$B$2:$B$2576=$D$4))*(($F$7="전체")+($F$7&lt;&gt;"전체")*(DB!$H$2:$H$2576=$F$7)))*(DB!$C$2:$C$2576=AA58)*1))</f>
        <v/>
      </c>
      <c r="AD58" t="str" cm="1">
        <f t="array" ref="AD58">IFERROR(INDEX(DB!$G$2:$G$2576,_xlfn.AGGREGATE(15,6,ROW(DB!$G$2:$G$2576)-1/((($D$3&lt;&gt;"YES")+($D$3="YES")*(DB!$E$2:$E$2576="YES"))*(($D$4="")+($D$4&lt;&gt;"")*(DB!$B$2:$B$2576=$D$4))*(($D$5="")+($D$5&lt;&gt;"")*(DB!$C$2:$C$2576=$D$5))*(($D$6="")+($D$6&lt;&gt;"")*(DB!$D$2:$D$2576=$D$6))*(($D$7="")+($D$7&lt;&gt;"")*(ISNUMBER(SEARCH($D$7,DB!$G$2:$G$2576))))*(($F$7="전체")+($F$7&lt;&gt;"전체")*(DB!$H$2:$H$2576=$F$7))*(COUNTIF(AD$13:AD57,DB!$G$2:$G$2576)=0)),1)),"")</f>
        <v/>
      </c>
      <c r="AE58" t="str" cm="1">
        <f t="array" ref="AE58">IF(AD58="","",SUMPRODUCT(((($D$3&lt;&gt;"YES")+($D$3="YES")*(DB!$E$2:$E$2576="YES"))*(($D$4="")+($D$4&lt;&gt;"")*(DB!$B$2:$B$2576=$D$4))*(($D$5="")+($D$5&lt;&gt;"")*(DB!$C$2:$C$2576=$D$5))*(($D$6="")+($D$6&lt;&gt;"")*(DB!$D$2:$D$2576=$D$6))*(($D$7="")+($D$7&lt;&gt;"")*(ISNUMBER(SEARCH($D$7,DB!$G$2:$G$2576))))*(($F$7="전체")+($F$7&lt;&gt;"전체")*(DB!$H$2:$H$2576=$F$7)))*(DB!$G$2:$G$2576=AD58)*1))</f>
        <v/>
      </c>
    </row>
    <row r="59" spans="1:31" ht="100" customHeight="1">
      <c r="A59" s="26"/>
      <c r="B59" s="42">
        <f t="shared" si="0"/>
        <v>46</v>
      </c>
      <c r="C59" s="43"/>
      <c r="D59" s="51" t="str" cm="1">
        <f t="array" ref="D59">IFERROR(INDEX(DB!G$2:G$2576,T59),"")</f>
        <v>기타자재(내부마감재,시멘트,마대)</v>
      </c>
      <c r="E59" s="43"/>
      <c r="F59" s="52" t="str" cm="1">
        <f t="array" ref="F59">IFERROR(INDEX(DB!O$2:O$2576,T59),"")</f>
        <v>맞음</v>
      </c>
      <c r="G59" s="43"/>
      <c r="H59" s="40" t="str" cm="1">
        <f t="array" ref="H59">IFERROR(INDEX(DB!P$2:P$2576,T59),"")</f>
        <v>2019년 10월경 OOO도 OO시 OO동 소재 OOOO(주)에서 시공하는 아파트 건설공사 현장에서 OOOO(주) 소속 재해자는 오수 맨홀 구조물 설치작업을 하던 중 굴삭기 훅에 연결된 P.E(Poly-Ethylene)로프가 파단 되면서 떨어진 오수 맨홀 구조물에 가슴부위를 맞아 사망한 재해임.</v>
      </c>
      <c r="I59" s="43"/>
      <c r="J59" s="53" t="str" cm="1">
        <f t="array" ref="J59">IFERROR(INDEX(DB!Q$2:Q$2576,T59),"")</f>
        <v>굴삭기로 맨홀 양중 설치작업 중 인양줄걸이가 파단되면서 떨어지는 맨홀에 맞음</v>
      </c>
      <c r="K59" s="43"/>
      <c r="L59" s="41" t="str" cm="1">
        <f t="array" ref="L59">IFERROR(INDEX(DB!R$2:R$2576,T59),"")</f>
        <v>▶ 추락위험 장소에 대해 근로자가 임의 출입을 방지하도록 방책 등 설치
▶ 관로부설 위치로의 이동을 위해 근로자 이동 통로 설치 또는 가설계단 등 안전한 통로 설치</v>
      </c>
      <c r="M59" s="43"/>
      <c r="P59" cm="1">
        <f t="array" ref="P59">IFERROR(_xlfn.AGGREGATE(15,6,ROW(DB!A$2:A$2576)/((($D$3&lt;&gt;"YES")+($D$3="YES")*(DB!E$2:E$2576="YES"))*(($D$4="")+($D$4&lt;&gt;"")*( DB!B$2:B$2576=$D$4))*(($D$5="")+($D$5&lt;&gt;"")*( DB!C$2:C$2576=$D$5))*(($D$6="")+($D$6&lt;&gt;"")*( DB!D$2:D$2576=$D$6))*(($D$7="")+($D$7&lt;&gt;"")*(ISNUMBER(SEARCH($D$7,DB!G$2:G$2576))))*(($F$7="전체")+($F$7&lt;&gt;"전체")*(DB!H$2:H$2576=$F$7))),ROW()-13)-1,"")</f>
        <v>403</v>
      </c>
      <c r="Q59" t="str" cm="1">
        <f t="array" ref="Q59">IFERROR(INDEX(DB!G$2:G$2576,P59),"")</f>
        <v>트럭</v>
      </c>
      <c r="R59" t="str" cm="1">
        <f t="array" ref="R59">IFERROR(INDEX(DB!O$2:O$2576,P59),"")</f>
        <v>떨어짐</v>
      </c>
      <c r="S59">
        <f t="shared" si="1"/>
        <v>258051.046</v>
      </c>
      <c r="T59">
        <f t="shared" si="2"/>
        <v>690</v>
      </c>
      <c r="U59" s="138" t="str" cm="1">
        <f t="array" ref="U59">IFERROR(INDEX(AA$14:AA$63,_xlfn.AGGREGATE(15,6,ROW(AA$14:AA$63)-ROW(AA$14)+1/(AB$14:AB$63=LARGE(AB$14:AB$63,ROW()-13)),COUNTIF(V$14:V58,LARGE(AB$14:AB$63,ROW()-13))+1)),"")</f>
        <v/>
      </c>
      <c r="V59" s="131" t="str">
        <f t="shared" si="3"/>
        <v/>
      </c>
      <c r="W59" s="43"/>
      <c r="X59" s="130" t="str" cm="1">
        <f t="array" ref="X59">IFERROR(INDEX(AD$14:AD$63,_xlfn.AGGREGATE(15,6,ROW(AD$14:AD$63)-ROW(AD$14)+1/(AE$14:AE$63=LARGE(AE$14:AE$63,ROW()-13)),COUNTIF(Y$14:Y58,LARGE(AE$14:AE$63,ROW()-13))+1)),"")</f>
        <v/>
      </c>
      <c r="Y59" s="136" t="str">
        <f t="shared" si="4"/>
        <v/>
      </c>
      <c r="AA59" t="str" cm="1">
        <f t="array" ref="AA59">IFERROR(INDEX(DB!$C$2:$C$2576,_xlfn.AGGREGATE(15,6,ROW(DB!$C$2:$C$2576)-1/((($D$3&lt;&gt;"YES")+($D$3="YES")*(DB!$E$2:$E$2576="YES"))*(($D$4="")+($D$4&lt;&gt;"")*(DB!$B$2:$B$2576=$D$4))*(($F$7="전체")+($F$7&lt;&gt;"전체")*(DB!$H$2:$H$2576=$F$7))*(COUNTIF(AA$13:AA58,DB!$C$2:$C$2576)=0)),1)),"")</f>
        <v/>
      </c>
      <c r="AB59" t="str" cm="1">
        <f t="array" ref="AB59">IF(AA59="","",SUMPRODUCT(((($D$3&lt;&gt;"YES")+($D$3="YES")*(DB!$E$2:$E$2576="YES"))*(($D$4="")+($D$4&lt;&gt;"")*(DB!$B$2:$B$2576=$D$4))*(($F$7="전체")+($F$7&lt;&gt;"전체")*(DB!$H$2:$H$2576=$F$7)))*(DB!$C$2:$C$2576=AA59)*1))</f>
        <v/>
      </c>
      <c r="AD59" t="str" cm="1">
        <f t="array" ref="AD59">IFERROR(INDEX(DB!$G$2:$G$2576,_xlfn.AGGREGATE(15,6,ROW(DB!$G$2:$G$2576)-1/((($D$3&lt;&gt;"YES")+($D$3="YES")*(DB!$E$2:$E$2576="YES"))*(($D$4="")+($D$4&lt;&gt;"")*(DB!$B$2:$B$2576=$D$4))*(($D$5="")+($D$5&lt;&gt;"")*(DB!$C$2:$C$2576=$D$5))*(($D$6="")+($D$6&lt;&gt;"")*(DB!$D$2:$D$2576=$D$6))*(($D$7="")+($D$7&lt;&gt;"")*(ISNUMBER(SEARCH($D$7,DB!$G$2:$G$2576))))*(($F$7="전체")+($F$7&lt;&gt;"전체")*(DB!$H$2:$H$2576=$F$7))*(COUNTIF(AD$13:AD58,DB!$G$2:$G$2576)=0)),1)),"")</f>
        <v/>
      </c>
      <c r="AE59" t="str" cm="1">
        <f t="array" ref="AE59">IF(AD59="","",SUMPRODUCT(((($D$3&lt;&gt;"YES")+($D$3="YES")*(DB!$E$2:$E$2576="YES"))*(($D$4="")+($D$4&lt;&gt;"")*(DB!$B$2:$B$2576=$D$4))*(($D$5="")+($D$5&lt;&gt;"")*(DB!$C$2:$C$2576=$D$5))*(($D$6="")+($D$6&lt;&gt;"")*(DB!$D$2:$D$2576=$D$6))*(($D$7="")+($D$7&lt;&gt;"")*(ISNUMBER(SEARCH($D$7,DB!$G$2:$G$2576))))*(($F$7="전체")+($F$7&lt;&gt;"전체")*(DB!$H$2:$H$2576=$F$7)))*(DB!$G$2:$G$2576=AD59)*1))</f>
        <v/>
      </c>
    </row>
    <row r="60" spans="1:31" ht="100" customHeight="1">
      <c r="A60" s="26"/>
      <c r="B60" s="39">
        <f t="shared" si="0"/>
        <v>47</v>
      </c>
      <c r="C60" s="43"/>
      <c r="D60" s="51" t="str" cm="1">
        <f t="array" ref="D60">IFERROR(INDEX(DB!G$2:G$2576,T60),"")</f>
        <v>기타자재(내부마감재,시멘트,마대)</v>
      </c>
      <c r="E60" s="43"/>
      <c r="F60" s="52" t="str" cm="1">
        <f t="array" ref="F60">IFERROR(INDEX(DB!O$2:O$2576,T60),"")</f>
        <v>맞음</v>
      </c>
      <c r="G60" s="43"/>
      <c r="H60" s="40" t="str" cm="1">
        <f t="array" ref="H60">IFERROR(INDEX(DB!P$2:P$2576,T60),"")</f>
        <v>2021년 2월경 OOO도 OO군 OO면 소재 「OOOO 구축사업」 현장에서 ㈜OO 소속 근로자가 상수도관(D=200mm) 설치 후 누설시험(기압시험)을 수행하던 중 배관 내부 압력(약 0.7Mpa)에 의해 이탈된 누설시험용 연결 배관부에 맞아(안면부) 사망한 재해임</v>
      </c>
      <c r="I60" s="43"/>
      <c r="J60" s="53" t="str" cm="1">
        <f t="array" ref="J60">IFERROR(INDEX(DB!Q$2:Q$2576,T60),"")</f>
        <v>상수도관 설치 후 누설시험(기압시험)을 수행하던 중 배관 내부 압력에 의해 이탈된 누설시험용 연결 배관부에 맞음</v>
      </c>
      <c r="K60" s="43"/>
      <c r="L60" s="41" t="str" cm="1">
        <f t="array" ref="L60">IFERROR(INDEX(DB!R$2:R$2576,T60),"")</f>
        <v>▶ 관리감독자를 두어 기계, 기구 또는 설비의 안전점검 및 이상 유무의 확인 실시
▶ 관로 내부 가압중 갑작스러운 파단 등에 대비하기 위한 상황에 맞는 개인보호구 지급 및 착용</v>
      </c>
      <c r="M60" s="43"/>
      <c r="P60" cm="1">
        <f t="array" ref="P60">IFERROR(_xlfn.AGGREGATE(15,6,ROW(DB!A$2:A$2576)/((($D$3&lt;&gt;"YES")+($D$3="YES")*(DB!E$2:E$2576="YES"))*(($D$4="")+($D$4&lt;&gt;"")*( DB!B$2:B$2576=$D$4))*(($D$5="")+($D$5&lt;&gt;"")*( DB!C$2:C$2576=$D$5))*(($D$6="")+($D$6&lt;&gt;"")*( DB!D$2:D$2576=$D$6))*(($D$7="")+($D$7&lt;&gt;"")*(ISNUMBER(SEARCH($D$7,DB!G$2:G$2576))))*(($F$7="전체")+($F$7&lt;&gt;"전체")*(DB!H$2:H$2576=$F$7))),ROW()-13)-1,"")</f>
        <v>404</v>
      </c>
      <c r="Q60" t="str" cm="1">
        <f t="array" ref="Q60">IFERROR(INDEX(DB!G$2:G$2576,P60),"")</f>
        <v>교통수단</v>
      </c>
      <c r="R60" t="str" cm="1">
        <f t="array" ref="R60">IFERROR(INDEX(DB!O$2:O$2576,P60),"")</f>
        <v>부딪힘 접촉</v>
      </c>
      <c r="S60">
        <f t="shared" si="1"/>
        <v>244641.04699999999</v>
      </c>
      <c r="T60">
        <f t="shared" si="2"/>
        <v>691</v>
      </c>
      <c r="U60" s="138" t="str" cm="1">
        <f t="array" ref="U60">IFERROR(INDEX(AA$14:AA$63,_xlfn.AGGREGATE(15,6,ROW(AA$14:AA$63)-ROW(AA$14)+1/(AB$14:AB$63=LARGE(AB$14:AB$63,ROW()-13)),COUNTIF(V$14:V59,LARGE(AB$14:AB$63,ROW()-13))+1)),"")</f>
        <v/>
      </c>
      <c r="V60" s="131" t="str">
        <f t="shared" si="3"/>
        <v/>
      </c>
      <c r="W60" s="43"/>
      <c r="X60" s="130" t="str" cm="1">
        <f t="array" ref="X60">IFERROR(INDEX(AD$14:AD$63,_xlfn.AGGREGATE(15,6,ROW(AD$14:AD$63)-ROW(AD$14)+1/(AE$14:AE$63=LARGE(AE$14:AE$63,ROW()-13)),COUNTIF(Y$14:Y59,LARGE(AE$14:AE$63,ROW()-13))+1)),"")</f>
        <v/>
      </c>
      <c r="Y60" s="136" t="str">
        <f t="shared" si="4"/>
        <v/>
      </c>
      <c r="AA60" t="str" cm="1">
        <f t="array" ref="AA60">IFERROR(INDEX(DB!$C$2:$C$2576,_xlfn.AGGREGATE(15,6,ROW(DB!$C$2:$C$2576)-1/((($D$3&lt;&gt;"YES")+($D$3="YES")*(DB!$E$2:$E$2576="YES"))*(($D$4="")+($D$4&lt;&gt;"")*(DB!$B$2:$B$2576=$D$4))*(($F$7="전체")+($F$7&lt;&gt;"전체")*(DB!$H$2:$H$2576=$F$7))*(COUNTIF(AA$13:AA59,DB!$C$2:$C$2576)=0)),1)),"")</f>
        <v/>
      </c>
      <c r="AB60" t="str" cm="1">
        <f t="array" ref="AB60">IF(AA60="","",SUMPRODUCT(((($D$3&lt;&gt;"YES")+($D$3="YES")*(DB!$E$2:$E$2576="YES"))*(($D$4="")+($D$4&lt;&gt;"")*(DB!$B$2:$B$2576=$D$4))*(($F$7="전체")+($F$7&lt;&gt;"전체")*(DB!$H$2:$H$2576=$F$7)))*(DB!$C$2:$C$2576=AA60)*1))</f>
        <v/>
      </c>
      <c r="AD60" t="str" cm="1">
        <f t="array" ref="AD60">IFERROR(INDEX(DB!$G$2:$G$2576,_xlfn.AGGREGATE(15,6,ROW(DB!$G$2:$G$2576)-1/((($D$3&lt;&gt;"YES")+($D$3="YES")*(DB!$E$2:$E$2576="YES"))*(($D$4="")+($D$4&lt;&gt;"")*(DB!$B$2:$B$2576=$D$4))*(($D$5="")+($D$5&lt;&gt;"")*(DB!$C$2:$C$2576=$D$5))*(($D$6="")+($D$6&lt;&gt;"")*(DB!$D$2:$D$2576=$D$6))*(($D$7="")+($D$7&lt;&gt;"")*(ISNUMBER(SEARCH($D$7,DB!$G$2:$G$2576))))*(($F$7="전체")+($F$7&lt;&gt;"전체")*(DB!$H$2:$H$2576=$F$7))*(COUNTIF(AD$13:AD59,DB!$G$2:$G$2576)=0)),1)),"")</f>
        <v/>
      </c>
      <c r="AE60" t="str" cm="1">
        <f t="array" ref="AE60">IF(AD60="","",SUMPRODUCT(((($D$3&lt;&gt;"YES")+($D$3="YES")*(DB!$E$2:$E$2576="YES"))*(($D$4="")+($D$4&lt;&gt;"")*(DB!$B$2:$B$2576=$D$4))*(($D$5="")+($D$5&lt;&gt;"")*(DB!$C$2:$C$2576=$D$5))*(($D$6="")+($D$6&lt;&gt;"")*(DB!$D$2:$D$2576=$D$6))*(($D$7="")+($D$7&lt;&gt;"")*(ISNUMBER(SEARCH($D$7,DB!$G$2:$G$2576))))*(($F$7="전체")+($F$7&lt;&gt;"전체")*(DB!$H$2:$H$2576=$F$7)))*(DB!$G$2:$G$2576=AD60)*1))</f>
        <v/>
      </c>
    </row>
    <row r="61" spans="1:31" ht="100" customHeight="1">
      <c r="A61" s="26"/>
      <c r="B61" s="42">
        <f t="shared" si="0"/>
        <v>48</v>
      </c>
      <c r="C61" s="43"/>
      <c r="D61" s="51" t="str" cm="1">
        <f t="array" ref="D61">IFERROR(INDEX(DB!G$2:G$2576,T61),"")</f>
        <v>로울러</v>
      </c>
      <c r="E61" s="43"/>
      <c r="F61" s="52" t="str" cm="1">
        <f t="array" ref="F61">IFERROR(INDEX(DB!O$2:O$2576,T61),"")</f>
        <v>떨어짐</v>
      </c>
      <c r="G61" s="43"/>
      <c r="H61" s="40" t="str" cm="1">
        <f t="array" ref="H61">IFERROR(INDEX(DB!P$2:P$2576,T61),"")</f>
        <v>2019년 7월경 근린생활시설 신축공사에서 재해자가 방호벽 설치를 위해 수동형 진동롤러를 사용하여 다짐을 진행하던 중 진동롤러와 함께 13m 아래 하천 바닥으로 떨어져 사망</v>
      </c>
      <c r="I61" s="43"/>
      <c r="J61" s="53" t="str" cm="1">
        <f t="array" ref="J61">IFERROR(INDEX(DB!Q$2:Q$2576,T61),"")</f>
        <v>근로자가 수동형 진동롤러를 사용하여 기초 터파기가 완료된 바닥면 다짐을 진행하던 중 수동형 진동롤러와 함께 보강토옹벽 배면 상단에서 아래 하천으로 떨어짐</v>
      </c>
      <c r="K61" s="43"/>
      <c r="L61" s="41" t="str" cm="1">
        <f t="array" ref="L61">IFERROR(INDEX(DB!R$2:R$2576,T61),"")</f>
        <v>▶ 옹벽상부에서 진동롤러로 다짐을 실시하는 경우 무리하게 단부에 접근을 금지
▶ 단부에서 다짐을 실시할 경우 안전대를 착용하여 추락방지조치 실시
▶ 기계 운전 시작 시 근로자 배치 및 교육, 작업방법, 방호장치 등 위험방지를 위한 조치 실시</v>
      </c>
      <c r="M61" s="43"/>
      <c r="P61" cm="1">
        <f t="array" ref="P61">IFERROR(_xlfn.AGGREGATE(15,6,ROW(DB!A$2:A$2576)/((($D$3&lt;&gt;"YES")+($D$3="YES")*(DB!E$2:E$2576="YES"))*(($D$4="")+($D$4&lt;&gt;"")*( DB!B$2:B$2576=$D$4))*(($D$5="")+($D$5&lt;&gt;"")*( DB!C$2:C$2576=$D$5))*(($D$6="")+($D$6&lt;&gt;"")*( DB!D$2:D$2576=$D$6))*(($D$7="")+($D$7&lt;&gt;"")*(ISNUMBER(SEARCH($D$7,DB!G$2:G$2576))))*(($F$7="전체")+($F$7&lt;&gt;"전체")*(DB!H$2:H$2576=$F$7))),ROW()-13)-1,"")</f>
        <v>405</v>
      </c>
      <c r="Q61" t="str" cm="1">
        <f t="array" ref="Q61">IFERROR(INDEX(DB!G$2:G$2576,P61),"")</f>
        <v>트럭</v>
      </c>
      <c r="R61" t="str" cm="1">
        <f t="array" ref="R61">IFERROR(INDEX(DB!O$2:O$2576,P61),"")</f>
        <v>깔림 뒤집힘</v>
      </c>
      <c r="S61">
        <f t="shared" si="1"/>
        <v>258020.04800000001</v>
      </c>
      <c r="T61">
        <f t="shared" si="2"/>
        <v>365</v>
      </c>
      <c r="U61" s="138" t="str" cm="1">
        <f t="array" ref="U61">IFERROR(INDEX(AA$14:AA$63,_xlfn.AGGREGATE(15,6,ROW(AA$14:AA$63)-ROW(AA$14)+1/(AB$14:AB$63=LARGE(AB$14:AB$63,ROW()-13)),COUNTIF(V$14:V60,LARGE(AB$14:AB$63,ROW()-13))+1)),"")</f>
        <v/>
      </c>
      <c r="V61" s="131" t="str">
        <f t="shared" si="3"/>
        <v/>
      </c>
      <c r="W61" s="43"/>
      <c r="X61" s="130" t="str" cm="1">
        <f t="array" ref="X61">IFERROR(INDEX(AD$14:AD$63,_xlfn.AGGREGATE(15,6,ROW(AD$14:AD$63)-ROW(AD$14)+1/(AE$14:AE$63=LARGE(AE$14:AE$63,ROW()-13)),COUNTIF(Y$14:Y60,LARGE(AE$14:AE$63,ROW()-13))+1)),"")</f>
        <v/>
      </c>
      <c r="Y61" s="136" t="str">
        <f t="shared" si="4"/>
        <v/>
      </c>
      <c r="AA61" t="str" cm="1">
        <f t="array" ref="AA61">IFERROR(INDEX(DB!$C$2:$C$2576,_xlfn.AGGREGATE(15,6,ROW(DB!$C$2:$C$2576)-1/((($D$3&lt;&gt;"YES")+($D$3="YES")*(DB!$E$2:$E$2576="YES"))*(($D$4="")+($D$4&lt;&gt;"")*(DB!$B$2:$B$2576=$D$4))*(($F$7="전체")+($F$7&lt;&gt;"전체")*(DB!$H$2:$H$2576=$F$7))*(COUNTIF(AA$13:AA60,DB!$C$2:$C$2576)=0)),1)),"")</f>
        <v/>
      </c>
      <c r="AB61" t="str" cm="1">
        <f t="array" ref="AB61">IF(AA61="","",SUMPRODUCT(((($D$3&lt;&gt;"YES")+($D$3="YES")*(DB!$E$2:$E$2576="YES"))*(($D$4="")+($D$4&lt;&gt;"")*(DB!$B$2:$B$2576=$D$4))*(($F$7="전체")+($F$7&lt;&gt;"전체")*(DB!$H$2:$H$2576=$F$7)))*(DB!$C$2:$C$2576=AA61)*1))</f>
        <v/>
      </c>
      <c r="AD61" t="str" cm="1">
        <f t="array" ref="AD61">IFERROR(INDEX(DB!$G$2:$G$2576,_xlfn.AGGREGATE(15,6,ROW(DB!$G$2:$G$2576)-1/((($D$3&lt;&gt;"YES")+($D$3="YES")*(DB!$E$2:$E$2576="YES"))*(($D$4="")+($D$4&lt;&gt;"")*(DB!$B$2:$B$2576=$D$4))*(($D$5="")+($D$5&lt;&gt;"")*(DB!$C$2:$C$2576=$D$5))*(($D$6="")+($D$6&lt;&gt;"")*(DB!$D$2:$D$2576=$D$6))*(($D$7="")+($D$7&lt;&gt;"")*(ISNUMBER(SEARCH($D$7,DB!$G$2:$G$2576))))*(($F$7="전체")+($F$7&lt;&gt;"전체")*(DB!$H$2:$H$2576=$F$7))*(COUNTIF(AD$13:AD60,DB!$G$2:$G$2576)=0)),1)),"")</f>
        <v/>
      </c>
      <c r="AE61" t="str" cm="1">
        <f t="array" ref="AE61">IF(AD61="","",SUMPRODUCT(((($D$3&lt;&gt;"YES")+($D$3="YES")*(DB!$E$2:$E$2576="YES"))*(($D$4="")+($D$4&lt;&gt;"")*(DB!$B$2:$B$2576=$D$4))*(($D$5="")+($D$5&lt;&gt;"")*(DB!$C$2:$C$2576=$D$5))*(($D$6="")+($D$6&lt;&gt;"")*(DB!$D$2:$D$2576=$D$6))*(($D$7="")+($D$7&lt;&gt;"")*(ISNUMBER(SEARCH($D$7,DB!$G$2:$G$2576))))*(($F$7="전체")+($F$7&lt;&gt;"전체")*(DB!$H$2:$H$2576=$F$7)))*(DB!$G$2:$G$2576=AD61)*1))</f>
        <v/>
      </c>
    </row>
    <row r="62" spans="1:31" ht="100" customHeight="1">
      <c r="A62" s="26"/>
      <c r="B62" s="39">
        <f t="shared" si="0"/>
        <v>49</v>
      </c>
      <c r="C62" s="43"/>
      <c r="D62" s="51" t="str" cm="1">
        <f t="array" ref="D62">IFERROR(INDEX(DB!G$2:G$2576,T62),"")</f>
        <v>로울러</v>
      </c>
      <c r="E62" s="43"/>
      <c r="F62" s="52" t="str" cm="1">
        <f t="array" ref="F62">IFERROR(INDEX(DB!O$2:O$2576,T62),"")</f>
        <v>떨어짐</v>
      </c>
      <c r="G62" s="43"/>
      <c r="H62" s="40" t="str" cm="1">
        <f t="array" ref="H62">IFERROR(INDEX(DB!P$2:P$2576,T62),"")</f>
        <v>2017년 7월경 시험실 건설공사 현장에서 재해자가 가설도로 지반다짐 작업을 하던 중 경사면을 따라 하향으로 이동하는 진동 롤러에서 지면으로 떨어져 사망</v>
      </c>
      <c r="I62" s="43"/>
      <c r="J62" s="53" t="str" cm="1">
        <f t="array" ref="J62">IFERROR(INDEX(DB!Q$2:Q$2576,T62),"")</f>
        <v>브레이크 등이 파열되어 정상작동이 불가능한 진동 롤러에서 운전원이 추락</v>
      </c>
      <c r="K62" s="43"/>
      <c r="L62" s="41" t="str" cm="1">
        <f t="array" ref="L62">IFERROR(INDEX(DB!R$2:R$2576,T62),"")</f>
        <v>▶ 건설기계 운전자는 작업중에는 안전벨트를 착용하고 장비운행 중 불필요한 자리이탈 금지
▶ 위험기계(진동 롤러) 대여시 점검 및 작업시작 전 점검 실시(브레이크, 클러치 등 기능, 유압유 누출, 레버 스위치)
▶ 위험기계(진동 롤러) 대여 받는 자는 운전 자격이 있는 인원만 운행 가능</v>
      </c>
      <c r="M62" s="43"/>
      <c r="P62" cm="1">
        <f t="array" ref="P62">IFERROR(_xlfn.AGGREGATE(15,6,ROW(DB!A$2:A$2576)/((($D$3&lt;&gt;"YES")+($D$3="YES")*(DB!E$2:E$2576="YES"))*(($D$4="")+($D$4&lt;&gt;"")*( DB!B$2:B$2576=$D$4))*(($D$5="")+($D$5&lt;&gt;"")*( DB!C$2:C$2576=$D$5))*(($D$6="")+($D$6&lt;&gt;"")*( DB!D$2:D$2576=$D$6))*(($D$7="")+($D$7&lt;&gt;"")*(ISNUMBER(SEARCH($D$7,DB!G$2:G$2576))))*(($F$7="전체")+($F$7&lt;&gt;"전체")*(DB!H$2:H$2576=$F$7))),ROW()-13)-1,"")</f>
        <v>406</v>
      </c>
      <c r="Q62" t="str" cm="1">
        <f t="array" ref="Q62">IFERROR(INDEX(DB!G$2:G$2576,P62),"")</f>
        <v>굴착기</v>
      </c>
      <c r="R62" t="str" cm="1">
        <f t="array" ref="R62">IFERROR(INDEX(DB!O$2:O$2576,P62),"")</f>
        <v>부딪힘 접촉</v>
      </c>
      <c r="S62">
        <f t="shared" si="1"/>
        <v>244741.049</v>
      </c>
      <c r="T62">
        <f t="shared" si="2"/>
        <v>377</v>
      </c>
      <c r="U62" s="138" t="str" cm="1">
        <f t="array" ref="U62">IFERROR(INDEX(AA$14:AA$63,_xlfn.AGGREGATE(15,6,ROW(AA$14:AA$63)-ROW(AA$14)+1/(AB$14:AB$63=LARGE(AB$14:AB$63,ROW()-13)),COUNTIF(V$14:V61,LARGE(AB$14:AB$63,ROW()-13))+1)),"")</f>
        <v/>
      </c>
      <c r="V62" s="131" t="str">
        <f t="shared" si="3"/>
        <v/>
      </c>
      <c r="W62" s="43"/>
      <c r="X62" s="130" t="str" cm="1">
        <f t="array" ref="X62">IFERROR(INDEX(AD$14:AD$63,_xlfn.AGGREGATE(15,6,ROW(AD$14:AD$63)-ROW(AD$14)+1/(AE$14:AE$63=LARGE(AE$14:AE$63,ROW()-13)),COUNTIF(Y$14:Y61,LARGE(AE$14:AE$63,ROW()-13))+1)),"")</f>
        <v/>
      </c>
      <c r="Y62" s="136" t="str">
        <f t="shared" si="4"/>
        <v/>
      </c>
      <c r="AA62" t="str" cm="1">
        <f t="array" ref="AA62">IFERROR(INDEX(DB!$C$2:$C$2576,_xlfn.AGGREGATE(15,6,ROW(DB!$C$2:$C$2576)-1/((($D$3&lt;&gt;"YES")+($D$3="YES")*(DB!$E$2:$E$2576="YES"))*(($D$4="")+($D$4&lt;&gt;"")*(DB!$B$2:$B$2576=$D$4))*(($F$7="전체")+($F$7&lt;&gt;"전체")*(DB!$H$2:$H$2576=$F$7))*(COUNTIF(AA$13:AA61,DB!$C$2:$C$2576)=0)),1)),"")</f>
        <v/>
      </c>
      <c r="AB62" t="str" cm="1">
        <f t="array" ref="AB62">IF(AA62="","",SUMPRODUCT(((($D$3&lt;&gt;"YES")+($D$3="YES")*(DB!$E$2:$E$2576="YES"))*(($D$4="")+($D$4&lt;&gt;"")*(DB!$B$2:$B$2576=$D$4))*(($F$7="전체")+($F$7&lt;&gt;"전체")*(DB!$H$2:$H$2576=$F$7)))*(DB!$C$2:$C$2576=AA62)*1))</f>
        <v/>
      </c>
      <c r="AD62" t="str" cm="1">
        <f t="array" ref="AD62">IFERROR(INDEX(DB!$G$2:$G$2576,_xlfn.AGGREGATE(15,6,ROW(DB!$G$2:$G$2576)-1/((($D$3&lt;&gt;"YES")+($D$3="YES")*(DB!$E$2:$E$2576="YES"))*(($D$4="")+($D$4&lt;&gt;"")*(DB!$B$2:$B$2576=$D$4))*(($D$5="")+($D$5&lt;&gt;"")*(DB!$C$2:$C$2576=$D$5))*(($D$6="")+($D$6&lt;&gt;"")*(DB!$D$2:$D$2576=$D$6))*(($D$7="")+($D$7&lt;&gt;"")*(ISNUMBER(SEARCH($D$7,DB!$G$2:$G$2576))))*(($F$7="전체")+($F$7&lt;&gt;"전체")*(DB!$H$2:$H$2576=$F$7))*(COUNTIF(AD$13:AD61,DB!$G$2:$G$2576)=0)),1)),"")</f>
        <v/>
      </c>
      <c r="AE62" t="str" cm="1">
        <f t="array" ref="AE62">IF(AD62="","",SUMPRODUCT(((($D$3&lt;&gt;"YES")+($D$3="YES")*(DB!$E$2:$E$2576="YES"))*(($D$4="")+($D$4&lt;&gt;"")*(DB!$B$2:$B$2576=$D$4))*(($D$5="")+($D$5&lt;&gt;"")*(DB!$C$2:$C$2576=$D$5))*(($D$6="")+($D$6&lt;&gt;"")*(DB!$D$2:$D$2576=$D$6))*(($D$7="")+($D$7&lt;&gt;"")*(ISNUMBER(SEARCH($D$7,DB!$G$2:$G$2576))))*(($F$7="전체")+($F$7&lt;&gt;"전체")*(DB!$H$2:$H$2576=$F$7)))*(DB!$G$2:$G$2576=AD62)*1))</f>
        <v/>
      </c>
    </row>
    <row r="63" spans="1:31" ht="100" customHeight="1">
      <c r="A63" s="26"/>
      <c r="B63" s="42">
        <f t="shared" si="0"/>
        <v>50</v>
      </c>
      <c r="C63" s="43"/>
      <c r="D63" s="51" t="str" cm="1">
        <f t="array" ref="D63">IFERROR(INDEX(DB!G$2:G$2576,T63),"")</f>
        <v>물</v>
      </c>
      <c r="E63" s="43"/>
      <c r="F63" s="52" t="str" cm="1">
        <f t="array" ref="F63">IFERROR(INDEX(DB!O$2:O$2576,T63),"")</f>
        <v>떨어짐</v>
      </c>
      <c r="G63" s="43"/>
      <c r="H63" s="40" t="str" cm="1">
        <f t="array" ref="H63">IFERROR(INDEX(DB!P$2:P$2576,T63),"")</f>
        <v>2020년 11월경 OOO시 OO구 소재 OOOO(주)가 시공 중인 「OOOO」현장에서 협력업체 OOOO(주) 소속 재해자가 집수정 설치를 위해 굴착해놓은 피트(우천으로 물이 고인상태)에 빠져있는 것을 동료근로자가 발견 구조하여 병원으로 이송하였으나 당일 사망한 재해임.</v>
      </c>
      <c r="I63" s="43"/>
      <c r="J63" s="53" t="str" cm="1">
        <f t="array" ref="J63">IFERROR(INDEX(DB!Q$2:Q$2576,T63),"")</f>
        <v>집수정 설치를 위해 굴착해놓은 피트(우천으로 물이 고인상태)에 빠져 익사</v>
      </c>
      <c r="K63" s="43"/>
      <c r="L63" s="41" t="str" cm="1">
        <f t="array" ref="L63">IFERROR(INDEX(DB!R$2:R$2576,T63),"")</f>
        <v>▶ 후속시공이 연속하여 이어지지 않는 경우, 발생한 개구부(집수정 등)는 개구부 덮개 등을 이용하여 막음조치
▶ 개구부 부근에서 작업 시 안전난간 설치 등 추락방지조치 실시</v>
      </c>
      <c r="M63" s="43"/>
      <c r="P63" cm="1">
        <f t="array" ref="P63">IFERROR(_xlfn.AGGREGATE(15,6,ROW(DB!A$2:A$2576)/((($D$3&lt;&gt;"YES")+($D$3="YES")*(DB!E$2:E$2576="YES"))*(($D$4="")+($D$4&lt;&gt;"")*( DB!B$2:B$2576=$D$4))*(($D$5="")+($D$5&lt;&gt;"")*( DB!C$2:C$2576=$D$5))*(($D$6="")+($D$6&lt;&gt;"")*( DB!D$2:D$2576=$D$6))*(($D$7="")+($D$7&lt;&gt;"")*(ISNUMBER(SEARCH($D$7,DB!G$2:G$2576))))*(($F$7="전체")+($F$7&lt;&gt;"전체")*(DB!H$2:H$2576=$F$7))),ROW()-13)-1,"")</f>
        <v>407</v>
      </c>
      <c r="Q63" t="str" cm="1">
        <f t="array" ref="Q63">IFERROR(INDEX(DB!G$2:G$2576,P63),"")</f>
        <v>굴착기</v>
      </c>
      <c r="R63" t="str" cm="1">
        <f t="array" ref="R63">IFERROR(INDEX(DB!O$2:O$2576,P63),"")</f>
        <v>부딪힘 접촉</v>
      </c>
      <c r="S63">
        <f t="shared" si="1"/>
        <v>244741.05</v>
      </c>
      <c r="T63">
        <f t="shared" si="2"/>
        <v>1537</v>
      </c>
      <c r="U63" s="138" t="str" cm="1">
        <f t="array" ref="U63">IFERROR(INDEX(AA$14:AA$63,_xlfn.AGGREGATE(15,6,ROW(AA$14:AA$63)-ROW(AA$14)+1/(AB$14:AB$63=LARGE(AB$14:AB$63,ROW()-13)),COUNTIF(V$14:V62,LARGE(AB$14:AB$63,ROW()-13))+1)),"")</f>
        <v/>
      </c>
      <c r="V63" s="131" t="str">
        <f t="shared" si="3"/>
        <v/>
      </c>
      <c r="W63" s="43"/>
      <c r="X63" s="130" t="str" cm="1">
        <f t="array" ref="X63">IFERROR(INDEX(AD$14:AD$63,_xlfn.AGGREGATE(15,6,ROW(AD$14:AD$63)-ROW(AD$14)+1/(AE$14:AE$63=LARGE(AE$14:AE$63,ROW()-13)),COUNTIF(Y$14:Y62,LARGE(AE$14:AE$63,ROW()-13))+1)),"")</f>
        <v/>
      </c>
      <c r="Y63" s="136" t="str">
        <f t="shared" si="4"/>
        <v/>
      </c>
      <c r="AA63" t="str" cm="1">
        <f t="array" ref="AA63">IFERROR(INDEX(DB!$C$2:$C$2576,_xlfn.AGGREGATE(15,6,ROW(DB!$C$2:$C$2576)-1/((($D$3&lt;&gt;"YES")+($D$3="YES")*(DB!$E$2:$E$2576="YES"))*(($D$4="")+($D$4&lt;&gt;"")*(DB!$B$2:$B$2576=$D$4))*(($F$7="전체")+($F$7&lt;&gt;"전체")*(DB!$H$2:$H$2576=$F$7))*(COUNTIF(AA$13:AA62,DB!$C$2:$C$2576)=0)),1)),"")</f>
        <v/>
      </c>
      <c r="AB63" t="str" cm="1">
        <f t="array" ref="AB63">IF(AA63="","",SUMPRODUCT(((($D$3&lt;&gt;"YES")+($D$3="YES")*(DB!$E$2:$E$2576="YES"))*(($D$4="")+($D$4&lt;&gt;"")*(DB!$B$2:$B$2576=$D$4))*(($F$7="전체")+($F$7&lt;&gt;"전체")*(DB!$H$2:$H$2576=$F$7)))*(DB!$C$2:$C$2576=AA63)*1))</f>
        <v/>
      </c>
      <c r="AD63" t="str" cm="1">
        <f t="array" ref="AD63">IFERROR(INDEX(DB!$G$2:$G$2576,_xlfn.AGGREGATE(15,6,ROW(DB!$G$2:$G$2576)-1/((($D$3&lt;&gt;"YES")+($D$3="YES")*(DB!$E$2:$E$2576="YES"))*(($D$4="")+($D$4&lt;&gt;"")*(DB!$B$2:$B$2576=$D$4))*(($D$5="")+($D$5&lt;&gt;"")*(DB!$C$2:$C$2576=$D$5))*(($D$6="")+($D$6&lt;&gt;"")*(DB!$D$2:$D$2576=$D$6))*(($D$7="")+($D$7&lt;&gt;"")*(ISNUMBER(SEARCH($D$7,DB!$G$2:$G$2576))))*(($F$7="전체")+($F$7&lt;&gt;"전체")*(DB!$H$2:$H$2576=$F$7))*(COUNTIF(AD$13:AD62,DB!$G$2:$G$2576)=0)),1)),"")</f>
        <v/>
      </c>
      <c r="AE63" t="str" cm="1">
        <f t="array" ref="AE63">IF(AD63="","",SUMPRODUCT(((($D$3&lt;&gt;"YES")+($D$3="YES")*(DB!$E$2:$E$2576="YES"))*(($D$4="")+($D$4&lt;&gt;"")*(DB!$B$2:$B$2576=$D$4))*(($D$5="")+($D$5&lt;&gt;"")*(DB!$C$2:$C$2576=$D$5))*(($D$6="")+($D$6&lt;&gt;"")*(DB!$D$2:$D$2576=$D$6))*(($D$7="")+($D$7&lt;&gt;"")*(ISNUMBER(SEARCH($D$7,DB!$G$2:$G$2576))))*(($F$7="전체")+($F$7&lt;&gt;"전체")*(DB!$H$2:$H$2576=$F$7)))*(DB!$G$2:$G$2576=AD63)*1))</f>
        <v/>
      </c>
    </row>
    <row r="64" spans="1:31" ht="100" customHeight="1">
      <c r="A64" s="26"/>
      <c r="B64" s="39">
        <f t="shared" si="0"/>
        <v>51</v>
      </c>
      <c r="C64" s="43"/>
      <c r="D64" s="51" t="str" cm="1">
        <f t="array" ref="D64">IFERROR(INDEX(DB!G$2:G$2576,T64),"")</f>
        <v>물</v>
      </c>
      <c r="E64" s="43"/>
      <c r="F64" s="52" t="str" cm="1">
        <f t="array" ref="F64">IFERROR(INDEX(DB!O$2:O$2576,T64),"")</f>
        <v>떨어짐</v>
      </c>
      <c r="G64" s="43"/>
      <c r="H64" s="40" t="str" cm="1">
        <f t="array" ref="H64">IFERROR(INDEX(DB!P$2:P$2576,T64),"")</f>
        <v>2021년 9월경, OOO시 OO구 OO동 소재 신축공사 현장에서 OOOO 긴급누수복구공사 연간단가 계약업체인 OOOOO(주) 소속근로자 재해자 OOO이 현장내부 물웅덩이에 빠져 익사한 재해임.</v>
      </c>
      <c r="I64" s="43"/>
      <c r="J64" s="53" t="str" cm="1">
        <f t="array" ref="J64">IFERROR(INDEX(DB!Q$2:Q$2576,T64),"")</f>
        <v>상수도 긴급누수복구공사 현장에서 현장내부 물웅덩이에 빠져 익사</v>
      </c>
      <c r="K64" s="43"/>
      <c r="L64" s="41" t="str" cm="1">
        <f t="array" ref="L64">IFERROR(INDEX(DB!R$2:R$2576,T64),"")</f>
        <v xml:space="preserve">
▶ 수돗물이 유입되는 것을 막기 위한 시설물 설치 시 수압 등 외력에 의한 파손의 위험에 예방하기 위해 구조검토 실시
▶ 관리감독자를 두어 기계, 기구 또는 설비의 안전보건점검 및 이상 유무의 확인 실시</v>
      </c>
      <c r="M64" s="43"/>
      <c r="P64" cm="1">
        <f t="array" ref="P64">IFERROR(_xlfn.AGGREGATE(15,6,ROW(DB!A$2:A$2576)/((($D$3&lt;&gt;"YES")+($D$3="YES")*(DB!E$2:E$2576="YES"))*(($D$4="")+($D$4&lt;&gt;"")*( DB!B$2:B$2576=$D$4))*(($D$5="")+($D$5&lt;&gt;"")*( DB!C$2:C$2576=$D$5))*(($D$6="")+($D$6&lt;&gt;"")*( DB!D$2:D$2576=$D$6))*(($D$7="")+($D$7&lt;&gt;"")*(ISNUMBER(SEARCH($D$7,DB!G$2:G$2576))))*(($F$7="전체")+($F$7&lt;&gt;"전체")*(DB!H$2:H$2576=$F$7))),ROW()-13)-1,"")</f>
        <v>408</v>
      </c>
      <c r="Q64" t="str" cm="1">
        <f t="array" ref="Q64">IFERROR(INDEX(DB!G$2:G$2576,P64),"")</f>
        <v>굴착기</v>
      </c>
      <c r="R64" t="str" cm="1">
        <f t="array" ref="R64">IFERROR(INDEX(DB!O$2:O$2576,P64),"")</f>
        <v>부딪힘 접촉</v>
      </c>
      <c r="S64">
        <f t="shared" si="1"/>
        <v>244741.05100000001</v>
      </c>
      <c r="T64">
        <f t="shared" si="2"/>
        <v>1541</v>
      </c>
    </row>
    <row r="65" spans="1:20" ht="100" customHeight="1">
      <c r="A65" s="26"/>
      <c r="B65" s="42">
        <f t="shared" si="0"/>
        <v>52</v>
      </c>
      <c r="C65" s="43"/>
      <c r="D65" s="51" t="str" cm="1">
        <f t="array" ref="D65">IFERROR(INDEX(DB!G$2:G$2576,T65),"")</f>
        <v>물</v>
      </c>
      <c r="E65" s="43"/>
      <c r="F65" s="52" t="str" cm="1">
        <f t="array" ref="F65">IFERROR(INDEX(DB!O$2:O$2576,T65),"")</f>
        <v>맞음</v>
      </c>
      <c r="G65" s="43"/>
      <c r="H65" s="40" t="str" cm="1">
        <f t="array" ref="H65">IFERROR(INDEX(DB!P$2:P$2576,T65),"")</f>
        <v>2016년 11월 경 OOOO(주)이 시공하는 OO도 OO시 OO면 OOOO 일원의 OOOO 조성사업 현장에서 출렁다리 공사 협력업체인 ㈜OOOO 소속 착암공 4명 및 측량공 3명이 파도가 거세지자 출렁다리 주탑 기초부에서 철수하기 위해 갯바위상으로 이동하던 중, 협곡의 저지대를 통과하던 OOOO이 너울성 파도에 휩쓸려 실종되어 해경 및 119에서 수색, 사고발생지점 인근에서 구조하였으나 사망한 재해임</v>
      </c>
      <c r="I65" s="43"/>
      <c r="J65" s="53" t="str" cm="1">
        <f t="array" ref="J65">IFERROR(INDEX(DB!Q$2:Q$2576,T65),"")</f>
        <v>출렁다리 주탑 기초부 공사에서 악천 후 및 강풍 시 작업을 강행하였으나 작업철수시 너울성 파도로 인한 익사</v>
      </c>
      <c r="K65" s="43"/>
      <c r="L65" s="41" t="str" cm="1">
        <f t="array" ref="L65">IFERROR(INDEX(DB!R$2:R$2576,T65),"")</f>
        <v>▶ 작업 전 기상상태를 파악하여 악천후 또는 강풍이 예상될 경우 작업중지 
▶ 해상 등에 빠질위험이 있는 경우 구명대 등을 곳곳에 배치하여 익사사고 예방</v>
      </c>
      <c r="M65" s="43"/>
      <c r="P65" cm="1">
        <f t="array" ref="P65">IFERROR(_xlfn.AGGREGATE(15,6,ROW(DB!A$2:A$2576)/((($D$3&lt;&gt;"YES")+($D$3="YES")*(DB!E$2:E$2576="YES"))*(($D$4="")+($D$4&lt;&gt;"")*( DB!B$2:B$2576=$D$4))*(($D$5="")+($D$5&lt;&gt;"")*( DB!C$2:C$2576=$D$5))*(($D$6="")+($D$6&lt;&gt;"")*( DB!D$2:D$2576=$D$6))*(($D$7="")+($D$7&lt;&gt;"")*(ISNUMBER(SEARCH($D$7,DB!G$2:G$2576))))*(($F$7="전체")+($F$7&lt;&gt;"전체")*(DB!H$2:H$2576=$F$7))),ROW()-13)-1,"")</f>
        <v>686</v>
      </c>
      <c r="Q65" t="str" cm="1">
        <f t="array" ref="Q65">IFERROR(INDEX(DB!G$2:G$2576,P65),"")</f>
        <v>기타자재(내부마감재,시멘트,마대)</v>
      </c>
      <c r="R65" t="str" cm="1">
        <f t="array" ref="R65">IFERROR(INDEX(DB!O$2:O$2576,P65),"")</f>
        <v>끼임</v>
      </c>
      <c r="S65">
        <f t="shared" si="1"/>
        <v>248544.052</v>
      </c>
      <c r="T65">
        <f t="shared" si="2"/>
        <v>1536</v>
      </c>
    </row>
    <row r="66" spans="1:20" ht="100" customHeight="1">
      <c r="A66" s="26"/>
      <c r="B66" s="39">
        <f t="shared" si="0"/>
        <v>53</v>
      </c>
      <c r="C66" s="43"/>
      <c r="D66" s="51" t="str" cm="1">
        <f t="array" ref="D66">IFERROR(INDEX(DB!G$2:G$2576,T66),"")</f>
        <v>물</v>
      </c>
      <c r="E66" s="43"/>
      <c r="F66" s="52" t="str" cm="1">
        <f t="array" ref="F66">IFERROR(INDEX(DB!O$2:O$2576,T66),"")</f>
        <v>익사</v>
      </c>
      <c r="G66" s="43"/>
      <c r="H66" s="40" t="str" cm="1">
        <f t="array" ref="H66">IFERROR(INDEX(DB!P$2:P$2576,T66),"")</f>
        <v>2020년 9월경 OOO도 OO시 OO구 소재 (주)OO이 시공하는「OOOO 하수도 준설공사(연간단가)」현장에서 협력업체 소속 보통인부가 원형 콘크리트 오수맨홀 내부 바닥(깊이 4.4m, 직경 1m)에서 토사 및 돌 등으로 막혀 있던 유입관로(PE관, D300mm)를 뚫기 위해  준설차 흡입 호스(D125mm)로 준설작업을 하던 중 갑자기 뚫리면서 관로 내부(약 50m 구간)에 고여 있던 오수가 유입되면서 맨홀 내부에 오수가 순식간에 차올라(발목이 찰 정도에서 약 1.8m로 수위 상승)  익사한 재해임</v>
      </c>
      <c r="I66" s="43"/>
      <c r="J66" s="53" t="str" cm="1">
        <f t="array" ref="J66">IFERROR(INDEX(DB!Q$2:Q$2576,T66),"")</f>
        <v>준설작업 중 관로 내부에 고여 있던 오수가 유입되며 오수가 순식간에 차올라 익사</v>
      </c>
      <c r="K66" s="43"/>
      <c r="L66" s="41" t="str" cm="1">
        <f t="array" ref="L66">IFERROR(INDEX(DB!R$2:R$2576,T66),"")</f>
        <v xml:space="preserve">▶ 대피용 기구(사다리, 섬유로프, 구조용 삼각대 등) 비치 내부 작업자와 연락을 할 수 있는 무전기 등 통신장비 지급
▶ 관로 내부에서 작업을 하는 경우 해당 작업장의 지형ㆍ지반, 기상작용에 의한 위험성 등을 사전에 조사하고 그 결과를 고려하여 근로자에게 주지시킬 것 </v>
      </c>
      <c r="M66" s="43"/>
      <c r="P66" cm="1">
        <f t="array" ref="P66">IFERROR(_xlfn.AGGREGATE(15,6,ROW(DB!A$2:A$2576)/((($D$3&lt;&gt;"YES")+($D$3="YES")*(DB!E$2:E$2576="YES"))*(($D$4="")+($D$4&lt;&gt;"")*( DB!B$2:B$2576=$D$4))*(($D$5="")+($D$5&lt;&gt;"")*( DB!C$2:C$2576=$D$5))*(($D$6="")+($D$6&lt;&gt;"")*( DB!D$2:D$2576=$D$6))*(($D$7="")+($D$7&lt;&gt;"")*(ISNUMBER(SEARCH($D$7,DB!G$2:G$2576))))*(($F$7="전체")+($F$7&lt;&gt;"전체")*(DB!H$2:H$2576=$F$7))),ROW()-13)-1,"")</f>
        <v>687</v>
      </c>
      <c r="Q66" t="str" cm="1">
        <f t="array" ref="Q66">IFERROR(INDEX(DB!G$2:G$2576,P66),"")</f>
        <v>기타자재(내부마감재,시멘트,마대)</v>
      </c>
      <c r="R66" t="str" cm="1">
        <f t="array" ref="R66">IFERROR(INDEX(DB!O$2:O$2576,P66),"")</f>
        <v>깔림 뒤집힘</v>
      </c>
      <c r="S66">
        <f t="shared" si="1"/>
        <v>248520.05300000001</v>
      </c>
      <c r="T66">
        <f t="shared" si="2"/>
        <v>1539</v>
      </c>
    </row>
    <row r="67" spans="1:20" ht="100" customHeight="1">
      <c r="A67" s="26"/>
      <c r="B67" s="42">
        <f t="shared" si="0"/>
        <v>54</v>
      </c>
      <c r="C67" s="43"/>
      <c r="D67" s="51" t="str" cm="1">
        <f t="array" ref="D67">IFERROR(INDEX(DB!G$2:G$2576,T67),"")</f>
        <v>물</v>
      </c>
      <c r="E67" s="43"/>
      <c r="F67" s="52" t="str" cm="1">
        <f t="array" ref="F67">IFERROR(INDEX(DB!O$2:O$2576,T67),"")</f>
        <v>익사</v>
      </c>
      <c r="G67" s="43"/>
      <c r="H67" s="40" t="str" cm="1">
        <f t="array" ref="H67">IFERROR(INDEX(DB!P$2:P$2576,T67),"")</f>
        <v>2021년 6월경 OOO도 OO시 OO구 소재 (주)OOOO 「OOOO 상수도공사」 현장에서 협력업체 OOOO 소속 재해자와 동료작업자 1명이 #7번 작업구를 통해 기존 노후 상수도관(￠500mm) 내부로 들어가서 세관갱생작업 중 갑작스러운 집중호우로 인해 관로 안으로 물이 차오르자 뒤늦게 나오던 재해자가 빠져나오지 못하고 사망한 재해임._x000D_</v>
      </c>
      <c r="I67" s="43"/>
      <c r="J67" s="53" t="str" cm="1">
        <f t="array" ref="J67">IFERROR(INDEX(DB!Q$2:Q$2576,T67),"")</f>
        <v>작업구를 통해 기존 노후 상수도관 내부로 들어가서 세관갱생작업 중 갑작스러운 집중호우로 인해 관로 안으로 물이 차오르자 뒤늦게 나오던 재해자가 빠져나오지 못하고 익사</v>
      </c>
      <c r="K67" s="43"/>
      <c r="L67" s="41" t="str" cm="1">
        <f t="array" ref="L67">IFERROR(INDEX(DB!R$2:R$2576,T67),"")</f>
        <v>▶ 관로 내부에서 작업을 하는 경우 해당 작업장의 지형ㆍ지반, 기상작용에 의한 위험성 등을 사전에 조사하고 그 결과를 고려하여 근로자에게 주지시킬 것 
▶ 사업주는 산업재해가 발생할 급박한 위험이 있을 경우 즉시 작업 중지 후 근로자를 대피시키는 등 필요한 조치 준수
▶ 대피용 기구(사다리, 섬유로프, 구조용 삼각대 등) 비치 내부 작업자와 연락을 할 수 있는 무전기 등 통신장비 지급</v>
      </c>
      <c r="M67" s="43"/>
      <c r="P67" cm="1">
        <f t="array" ref="P67">IFERROR(_xlfn.AGGREGATE(15,6,ROW(DB!A$2:A$2576)/((($D$3&lt;&gt;"YES")+($D$3="YES")*(DB!E$2:E$2576="YES"))*(($D$4="")+($D$4&lt;&gt;"")*( DB!B$2:B$2576=$D$4))*(($D$5="")+($D$5&lt;&gt;"")*( DB!C$2:C$2576=$D$5))*(($D$6="")+($D$6&lt;&gt;"")*( DB!D$2:D$2576=$D$6))*(($D$7="")+($D$7&lt;&gt;"")*(ISNUMBER(SEARCH($D$7,DB!G$2:G$2576))))*(($F$7="전체")+($F$7&lt;&gt;"전체")*(DB!H$2:H$2576=$F$7))),ROW()-13)-1,"")</f>
        <v>688</v>
      </c>
      <c r="Q67" t="str" cm="1">
        <f t="array" ref="Q67">IFERROR(INDEX(DB!G$2:G$2576,P67),"")</f>
        <v>철근콘크리트자재(철근,콘크리트,PC)</v>
      </c>
      <c r="R67" t="str" cm="1">
        <f t="array" ref="R67">IFERROR(INDEX(DB!O$2:O$2576,P67),"")</f>
        <v>깔림 뒤집힘</v>
      </c>
      <c r="S67">
        <f t="shared" si="1"/>
        <v>252820.054</v>
      </c>
      <c r="T67">
        <f t="shared" si="2"/>
        <v>1540</v>
      </c>
    </row>
    <row r="68" spans="1:20" ht="100" customHeight="1">
      <c r="A68" s="26"/>
      <c r="B68" s="39">
        <f t="shared" si="0"/>
        <v>55</v>
      </c>
      <c r="C68" s="43"/>
      <c r="D68" s="51" t="str" cm="1">
        <f t="array" ref="D68">IFERROR(INDEX(DB!G$2:G$2576,T68),"")</f>
        <v>물</v>
      </c>
      <c r="E68" s="43"/>
      <c r="F68" s="52" t="str" cm="1">
        <f t="array" ref="F68">IFERROR(INDEX(DB!O$2:O$2576,T68),"")</f>
        <v>폭발</v>
      </c>
      <c r="G68" s="43"/>
      <c r="H68" s="40" t="str" cm="1">
        <f t="array" ref="H68">IFERROR(INDEX(DB!P$2:P$2576,T68),"")</f>
        <v>2020년 5월경 OOO시 OO구에 소재한 ㈜OOOO이 시공하는 상수도 시설물 정비공사 현장에서 ㈜OOOO 소속 근로자 OOO이 신설된 상수도관(Ø1200㎜, L=5.2m) 내부에서 용접작업을 하던 중 상수도 임시 차단밸브(라인스토퍼)가 파손되며 누수된 수돗물의 압력으로 상수도관 밖으로 밀려나와 물이 차 오른 피트(가로 5.2m * 세로 3.6m * 깊이 2.4m)에서 익사한 재해임.</v>
      </c>
      <c r="I68" s="43"/>
      <c r="J68" s="53" t="str" cm="1">
        <f t="array" ref="J68">IFERROR(INDEX(DB!Q$2:Q$2576,T68),"")</f>
        <v>상수도관 내부에서 용접작업을 하던 중 상수도 임시 차단밸브가 파손되어 누수된 수돗물의 압력으로 상수도 관 밖으로 밀려나와 물이 차오른 피트에서 근로자가 익사</v>
      </c>
      <c r="K68" s="43"/>
      <c r="L68" s="41" t="str" cm="1">
        <f t="array" ref="L68">IFERROR(INDEX(DB!R$2:R$2576,T68),"")</f>
        <v xml:space="preserve">
▶ 수돗물이 유입되는 것을 막기 위한 시설물 설치 시 수압 등 외력에 의한 파손의 위험에 예방하기 위해 구조검토 실시
▶ 관리감독자를 두어 기계, 기구 또는 설비의 안전보건점검 및 이상 유무의 확인 실시</v>
      </c>
      <c r="M68" s="43"/>
      <c r="P68" cm="1">
        <f t="array" ref="P68">IFERROR(_xlfn.AGGREGATE(15,6,ROW(DB!A$2:A$2576)/((($D$3&lt;&gt;"YES")+($D$3="YES")*(DB!E$2:E$2576="YES"))*(($D$4="")+($D$4&lt;&gt;"")*( DB!B$2:B$2576=$D$4))*(($D$5="")+($D$5&lt;&gt;"")*( DB!C$2:C$2576=$D$5))*(($D$6="")+($D$6&lt;&gt;"")*( DB!D$2:D$2576=$D$6))*(($D$7="")+($D$7&lt;&gt;"")*(ISNUMBER(SEARCH($D$7,DB!G$2:G$2576))))*(($F$7="전체")+($F$7&lt;&gt;"전체")*(DB!H$2:H$2576=$F$7))),ROW()-13)-1,"")</f>
        <v>689</v>
      </c>
      <c r="Q68" t="str" cm="1">
        <f t="array" ref="Q68">IFERROR(INDEX(DB!G$2:G$2576,P68),"")</f>
        <v>철근콘크리트자재(철근,콘크리트,PC)</v>
      </c>
      <c r="R68" t="str" cm="1">
        <f t="array" ref="R68">IFERROR(INDEX(DB!O$2:O$2576,P68),"")</f>
        <v>깔림 뒤집힘</v>
      </c>
      <c r="S68">
        <f t="shared" si="1"/>
        <v>252820.05499999999</v>
      </c>
      <c r="T68">
        <f t="shared" si="2"/>
        <v>1538</v>
      </c>
    </row>
    <row r="69" spans="1:20" ht="100" customHeight="1">
      <c r="A69" s="26"/>
      <c r="B69" s="42">
        <f t="shared" si="0"/>
        <v>56</v>
      </c>
      <c r="C69" s="43"/>
      <c r="D69" s="51" t="str" cm="1">
        <f t="array" ref="D69">IFERROR(INDEX(DB!G$2:G$2576,T69),"")</f>
        <v>바닥(바닥에 걸려 넘어짐)</v>
      </c>
      <c r="E69" s="43"/>
      <c r="F69" s="52" t="str" cm="1">
        <f t="array" ref="F69">IFERROR(INDEX(DB!O$2:O$2576,T69),"")</f>
        <v>떨어짐</v>
      </c>
      <c r="G69" s="43"/>
      <c r="H69" s="40" t="str" cm="1">
        <f t="array" ref="H69">IFERROR(INDEX(DB!P$2:P$2576,T69),"")</f>
        <v>2020년 5월경, OOO도 OO군 OO면 소재 OOOO(주) OOOO 보강개발사업 현장에서 재해자가 저수지 농업용수 토출조 구조물내의 플랩밸브에 연결된 송수관 용접 및 설치작업을 하다가 인근 작업차량에서 물을 마시고 토출조 내부로 돌아오던 중 제방 법면 사석위에서 미끄러져 토출조 내부로 미끄러져 추락 사망한 재해임.</v>
      </c>
      <c r="I69" s="43"/>
      <c r="J69" s="53" t="str" cm="1">
        <f t="array" ref="J69">IFERROR(INDEX(DB!Q$2:Q$2576,T69),"")</f>
        <v>근로자가 이동 중 제방 법면 사석위에서 저수지 토출조 내부로 미끄러져 추락</v>
      </c>
      <c r="K69" s="43"/>
      <c r="L69" s="41" t="str" cm="1">
        <f t="array" ref="L69">IFERROR(INDEX(DB!R$2:R$2576,T69),"")</f>
        <v>▶ 작업자가 법면 상부 등으로 불필요한 이동을 금하고 작업자 이동통로 설치
▶ 근로자가 추락하거나 넘어질 위험이 있는 상부에서 작업 시 안전난간을 설치하고 추락방지조치 실시하고 부득이한 경우 접근방책 등을 설치
▶ 근로자가 추락하거나 넘어질 위험이 있는 상부에서 작업 시 개인보호구(안전모, 안전대 등) 지급 및 착용</v>
      </c>
      <c r="M69" s="43"/>
      <c r="P69" cm="1">
        <f t="array" ref="P69">IFERROR(_xlfn.AGGREGATE(15,6,ROW(DB!A$2:A$2576)/((($D$3&lt;&gt;"YES")+($D$3="YES")*(DB!E$2:E$2576="YES"))*(($D$4="")+($D$4&lt;&gt;"")*( DB!B$2:B$2576=$D$4))*(($D$5="")+($D$5&lt;&gt;"")*( DB!C$2:C$2576=$D$5))*(($D$6="")+($D$6&lt;&gt;"")*( DB!D$2:D$2576=$D$6))*(($D$7="")+($D$7&lt;&gt;"")*(ISNUMBER(SEARCH($D$7,DB!G$2:G$2576))))*(($F$7="전체")+($F$7&lt;&gt;"전체")*(DB!H$2:H$2576=$F$7))),ROW()-13)-1,"")</f>
        <v>690</v>
      </c>
      <c r="Q69" t="str" cm="1">
        <f t="array" ref="Q69">IFERROR(INDEX(DB!G$2:G$2576,P69),"")</f>
        <v>기타자재(내부마감재,시멘트,마대)</v>
      </c>
      <c r="R69" t="str" cm="1">
        <f t="array" ref="R69">IFERROR(INDEX(DB!O$2:O$2576,P69),"")</f>
        <v>맞음</v>
      </c>
      <c r="S69">
        <f t="shared" si="1"/>
        <v>248575.05600000001</v>
      </c>
      <c r="T69">
        <f t="shared" si="2"/>
        <v>1548</v>
      </c>
    </row>
    <row r="70" spans="1:20" ht="100" customHeight="1">
      <c r="A70" s="26"/>
      <c r="B70" s="39">
        <f t="shared" si="0"/>
        <v>57</v>
      </c>
      <c r="C70" s="43"/>
      <c r="D70" s="51" t="str" cm="1">
        <f t="array" ref="D70">IFERROR(INDEX(DB!G$2:G$2576,T70),"")</f>
        <v>배관</v>
      </c>
      <c r="E70" s="43"/>
      <c r="F70" s="52" t="str" cm="1">
        <f t="array" ref="F70">IFERROR(INDEX(DB!O$2:O$2576,T70),"")</f>
        <v>깔림 뒤집힘</v>
      </c>
      <c r="G70" s="43"/>
      <c r="H70" s="40" t="str" cm="1">
        <f t="array" ref="H70">IFERROR(INDEX(DB!P$2:P$2576,T70),"")</f>
        <v xml:space="preserve"> 2018년 5월경 OOO도 OO시 OOO읍 소재 OOOO 현장에서 OOOO 소속 재해자가 동료작업자 1명과 함께 기존에 설치했던 관로를 수정하기 위해 터파기 하부에서 흄관(D=800mm)을 새로 부설하던 중, 경사면 상부에 적치해 놓았던 흄관이 미끄러지면서 재해자가 깔려 사망한 재해임.</v>
      </c>
      <c r="I70" s="43"/>
      <c r="J70" s="53" t="str" cm="1">
        <f t="array" ref="J70">IFERROR(INDEX(DB!Q$2:Q$2576,T70),"")</f>
        <v>크레인으로 인양된 강관파이프를 차량에 적재하던 중, 3단으로 불안정하게 적재된 강관파이프가 붕괴되어 강관파이프에 깔림</v>
      </c>
      <c r="K70" s="43"/>
      <c r="L70" s="41" t="str" cm="1">
        <f t="array" ref="L70">IFERROR(INDEX(DB!R$2:R$2576,T70),"")</f>
        <v>▶ 자재를 야적하는 경우 평탄한 곳에 적재하며 구름방지조치 실시
▶ 경사면에서 흄관을 고정하기 위해 쐐기 등을 이용
▶ 강관파이프를 3단이상 등 과도하게 적재 금지</v>
      </c>
      <c r="M70" s="43"/>
      <c r="P70" cm="1">
        <f t="array" ref="P70">IFERROR(_xlfn.AGGREGATE(15,6,ROW(DB!A$2:A$2576)/((($D$3&lt;&gt;"YES")+($D$3="YES")*(DB!E$2:E$2576="YES"))*(($D$4="")+($D$4&lt;&gt;"")*( DB!B$2:B$2576=$D$4))*(($D$5="")+($D$5&lt;&gt;"")*( DB!C$2:C$2576=$D$5))*(($D$6="")+($D$6&lt;&gt;"")*( DB!D$2:D$2576=$D$6))*(($D$7="")+($D$7&lt;&gt;"")*(ISNUMBER(SEARCH($D$7,DB!G$2:G$2576))))*(($F$7="전체")+($F$7&lt;&gt;"전체")*(DB!H$2:H$2576=$F$7))),ROW()-13)-1,"")</f>
        <v>691</v>
      </c>
      <c r="Q70" t="str" cm="1">
        <f t="array" ref="Q70">IFERROR(INDEX(DB!G$2:G$2576,P70),"")</f>
        <v>기타자재(내부마감재,시멘트,마대)</v>
      </c>
      <c r="R70" t="str" cm="1">
        <f t="array" ref="R70">IFERROR(INDEX(DB!O$2:O$2576,P70),"")</f>
        <v>맞음</v>
      </c>
      <c r="S70">
        <f t="shared" si="1"/>
        <v>248575.057</v>
      </c>
      <c r="T70">
        <f t="shared" si="2"/>
        <v>1576</v>
      </c>
    </row>
    <row r="71" spans="1:20" ht="100" customHeight="1">
      <c r="A71" s="26"/>
      <c r="B71" s="42">
        <f t="shared" si="0"/>
        <v>58</v>
      </c>
      <c r="C71" s="43"/>
      <c r="D71" s="51" t="str" cm="1">
        <f t="array" ref="D71">IFERROR(INDEX(DB!G$2:G$2576,T71),"")</f>
        <v>배관</v>
      </c>
      <c r="E71" s="43"/>
      <c r="F71" s="52" t="str" cm="1">
        <f t="array" ref="F71">IFERROR(INDEX(DB!O$2:O$2576,T71),"")</f>
        <v>부딪힘 접촉</v>
      </c>
      <c r="G71" s="43"/>
      <c r="H71" s="40" t="str" cm="1">
        <f t="array" ref="H71">IFERROR(INDEX(DB!P$2:P$2576,T71),"")</f>
        <v>2018년 5월경 OOOO(주) OO시 관내 국도대체 우회도로 현장에서 직영근로자인 재해자가 우수관 배치작업 중 마지막 우수관을 굴삭기로 당겨 끼워넣던 중 순간적으로 우수관이 빠지면서 회전하는 우수관과 토사면 사이에 재해자의 가슴이 끼여 치료 중 사망한 재해임</v>
      </c>
      <c r="I71" s="43"/>
      <c r="J71" s="53" t="str" cm="1">
        <f t="array" ref="J71">IFERROR(INDEX(DB!Q$2:Q$2576,T71),"")</f>
        <v>굴삭기로 관부설 작업 중 관이 이탈하며 근로자와 충돌</v>
      </c>
      <c r="K71" s="43"/>
      <c r="L71" s="41" t="str" cm="1">
        <f t="array" ref="L71">IFERROR(INDEX(DB!R$2:R$2576,T71),"")</f>
        <v>▶ 관로를 굴삭기로 굴착하단부에 운반하는 작업을 하는 경우 관로가 회전하거나 슬링벨트에서 빠지는 것을 막기위해 두줄걸이를 시행하고, 관이 회전을 방지하기 위한 조치 실시
▶ 중량물 취급 시 작업지휘자 및 신호수 배치</v>
      </c>
      <c r="M71" s="43"/>
      <c r="P71" cm="1">
        <f t="array" ref="P71">IFERROR(_xlfn.AGGREGATE(15,6,ROW(DB!A$2:A$2576)/((($D$3&lt;&gt;"YES")+($D$3="YES")*(DB!E$2:E$2576="YES"))*(($D$4="")+($D$4&lt;&gt;"")*( DB!B$2:B$2576=$D$4))*(($D$5="")+($D$5&lt;&gt;"")*( DB!C$2:C$2576=$D$5))*(($D$6="")+($D$6&lt;&gt;"")*( DB!D$2:D$2576=$D$6))*(($D$7="")+($D$7&lt;&gt;"")*(ISNUMBER(SEARCH($D$7,DB!G$2:G$2576))))*(($F$7="전체")+($F$7&lt;&gt;"전체")*(DB!H$2:H$2576=$F$7))),ROW()-13)-1,"")</f>
        <v>1162</v>
      </c>
      <c r="Q71" t="str" cm="1">
        <f t="array" ref="Q71">IFERROR(INDEX(DB!G$2:G$2576,P71),"")</f>
        <v>기타구조물</v>
      </c>
      <c r="R71" t="str" cm="1">
        <f t="array" ref="R71">IFERROR(INDEX(DB!O$2:O$2576,P71),"")</f>
        <v>떨어짐</v>
      </c>
      <c r="S71">
        <f t="shared" si="1"/>
        <v>247851.05799999999</v>
      </c>
      <c r="T71">
        <f t="shared" si="2"/>
        <v>1577</v>
      </c>
    </row>
    <row r="72" spans="1:20" ht="100" customHeight="1">
      <c r="A72" s="26"/>
      <c r="B72" s="39">
        <f t="shared" si="0"/>
        <v>59</v>
      </c>
      <c r="C72" s="43"/>
      <c r="D72" s="51" t="str" cm="1">
        <f t="array" ref="D72">IFERROR(INDEX(DB!G$2:G$2576,T72),"")</f>
        <v>배관</v>
      </c>
      <c r="E72" s="43"/>
      <c r="F72" s="52" t="str" cm="1">
        <f t="array" ref="F72">IFERROR(INDEX(DB!O$2:O$2576,T72),"")</f>
        <v>부딪힘 접촉</v>
      </c>
      <c r="G72" s="43"/>
      <c r="H72" s="40" t="str" cm="1">
        <f t="array" ref="H72">IFERROR(INDEX(DB!P$2:P$2576,T72),"")</f>
        <v>2018년 12월경 OOO도 OO군 OO면 소재 OOOO보완사업 현장에서, 우수유도용 배수관(플륨관,400×400mm,L=2m,430kg)을 백호(06LC)로 양중하던 중, 플륨관이 낙하되면서 재해자 머리를 강타하여 사망한 것으로 추정되는 재해임.</v>
      </c>
      <c r="I72" s="43"/>
      <c r="J72" s="53" t="str" cm="1">
        <f t="array" ref="J72">IFERROR(INDEX(DB!Q$2:Q$2576,T72),"")</f>
        <v>관부설 작업을 위해 굴삭기로 관 운반 작업 중 근로자와 충돌</v>
      </c>
      <c r="K72" s="43"/>
      <c r="L72" s="41" t="str" cm="1">
        <f t="array" ref="L72">IFERROR(INDEX(DB!R$2:R$2576,T72),"")</f>
        <v>▶ 관로를 굴삭기로 굴착하단부에 운반하는 작업을 하는 경우 관로가 회전하거나 슬링벨트에서 빠지는 것을 막기위해 두줄걸이를 시행하고, 관이 회전을 방지하기 위한 조치 실시
▶ 중량물 취급 시 작업지휘자 및 신호수 배치</v>
      </c>
      <c r="M72" s="43"/>
      <c r="P72" cm="1">
        <f t="array" ref="P72">IFERROR(_xlfn.AGGREGATE(15,6,ROW(DB!A$2:A$2576)/((($D$3&lt;&gt;"YES")+($D$3="YES")*(DB!E$2:E$2576="YES"))*(($D$4="")+($D$4&lt;&gt;"")*( DB!B$2:B$2576=$D$4))*(($D$5="")+($D$5&lt;&gt;"")*( DB!C$2:C$2576=$D$5))*(($D$6="")+($D$6&lt;&gt;"")*( DB!D$2:D$2576=$D$6))*(($D$7="")+($D$7&lt;&gt;"")*(ISNUMBER(SEARCH($D$7,DB!G$2:G$2576))))*(($F$7="전체")+($F$7&lt;&gt;"전체")*(DB!H$2:H$2576=$F$7))),ROW()-13)-1,"")</f>
        <v>1163</v>
      </c>
      <c r="Q72" t="str" cm="1">
        <f t="array" ref="Q72">IFERROR(INDEX(DB!G$2:G$2576,P72),"")</f>
        <v>기타구조물</v>
      </c>
      <c r="R72" t="str" cm="1">
        <f t="array" ref="R72">IFERROR(INDEX(DB!O$2:O$2576,P72),"")</f>
        <v>깔림 뒤집힘</v>
      </c>
      <c r="S72">
        <f t="shared" si="1"/>
        <v>247820.05900000001</v>
      </c>
      <c r="T72">
        <f t="shared" si="2"/>
        <v>1579</v>
      </c>
    </row>
    <row r="73" spans="1:20" ht="100" customHeight="1">
      <c r="A73" s="26"/>
      <c r="B73" s="42">
        <f t="shared" si="0"/>
        <v>60</v>
      </c>
      <c r="C73" s="43"/>
      <c r="D73" s="51" t="str" cm="1">
        <f t="array" ref="D73">IFERROR(INDEX(DB!G$2:G$2576,T73),"")</f>
        <v>배관</v>
      </c>
      <c r="E73" s="43"/>
      <c r="F73" s="52" t="str" cm="1">
        <f t="array" ref="F73">IFERROR(INDEX(DB!O$2:O$2576,T73),"")</f>
        <v>부딪힘 접촉</v>
      </c>
      <c r="G73" s="43"/>
      <c r="H73" s="40" t="str" cm="1">
        <f t="array" ref="H73">IFERROR(INDEX(DB!P$2:P$2576,T73),"")</f>
        <v>2020년 4월경 OOO도 OO시 OO면 소재 『OOOO 토목건축기계공사』현장에서, 재해자가 이동식 크레인(7톤, 카고크레인) 적재함에 적재되어 있는 강관(직경 700mm, 길이 6m)을 떨어지지 않도록 섬유벨트(폭 50mm, 슬링벨트)로 거는 작업 중, 강관이 재해자 방향으로 굴러 떨어지면서 재해자의 얼굴 및 가슴을 덮쳐 사망한 재해임.</v>
      </c>
      <c r="I73" s="43"/>
      <c r="J73" s="53" t="str" cm="1">
        <f t="array" ref="J73">IFERROR(INDEX(DB!Q$2:Q$2576,T73),"")</f>
        <v>카고크레인 적재함에 있는 강관 하역 중 강관이 굴러 떨어지면서 충돌</v>
      </c>
      <c r="K73" s="43"/>
      <c r="L73" s="41" t="str" cm="1">
        <f t="array" ref="L73">IFERROR(INDEX(DB!R$2:R$2576,T73),"")</f>
        <v>▶ 관로를 굴삭기로 굴착하단부에 운반하는 작업을 하는 경우 관로가 회전하거나 슬링벨트에서 빠지는 것을 막기위해 두줄걸이를 시행하고, 관이 회전을 방지하기 위한 조치 실시
▶ 중량물 취급 시 작업지휘자 및 신호수 배치</v>
      </c>
      <c r="M73" s="43"/>
      <c r="P73" cm="1">
        <f t="array" ref="P73">IFERROR(_xlfn.AGGREGATE(15,6,ROW(DB!A$2:A$2576)/((($D$3&lt;&gt;"YES")+($D$3="YES")*(DB!E$2:E$2576="YES"))*(($D$4="")+($D$4&lt;&gt;"")*( DB!B$2:B$2576=$D$4))*(($D$5="")+($D$5&lt;&gt;"")*( DB!C$2:C$2576=$D$5))*(($D$6="")+($D$6&lt;&gt;"")*( DB!D$2:D$2576=$D$6))*(($D$7="")+($D$7&lt;&gt;"")*(ISNUMBER(SEARCH($D$7,DB!G$2:G$2576))))*(($F$7="전체")+($F$7&lt;&gt;"전체")*(DB!H$2:H$2576=$F$7))),ROW()-13)-1,"")</f>
        <v>1164</v>
      </c>
      <c r="Q73" t="str" cm="1">
        <f t="array" ref="Q73">IFERROR(INDEX(DB!G$2:G$2576,P73),"")</f>
        <v>기타구조물</v>
      </c>
      <c r="R73" t="str" cm="1">
        <f t="array" ref="R73">IFERROR(INDEX(DB!O$2:O$2576,P73),"")</f>
        <v>끼임</v>
      </c>
      <c r="S73">
        <f t="shared" si="1"/>
        <v>247844.06</v>
      </c>
      <c r="T73">
        <f t="shared" si="2"/>
        <v>1580</v>
      </c>
    </row>
    <row r="74" spans="1:20" ht="100" customHeight="1">
      <c r="A74" s="26"/>
      <c r="B74" s="39">
        <f t="shared" si="0"/>
        <v>61</v>
      </c>
      <c r="C74" s="43"/>
      <c r="D74" s="51" t="str" cm="1">
        <f t="array" ref="D74">IFERROR(INDEX(DB!G$2:G$2576,T74),"")</f>
        <v>배관</v>
      </c>
      <c r="E74" s="43"/>
      <c r="F74" s="52" t="str" cm="1">
        <f t="array" ref="F74">IFERROR(INDEX(DB!O$2:O$2576,T74),"")</f>
        <v>절단 베임 찔림</v>
      </c>
      <c r="G74" s="43"/>
      <c r="H74" s="40" t="str" cm="1">
        <f t="array" ref="H74">IFERROR(INDEX(DB!P$2:P$2576,T74),"")</f>
        <v>2018년 6월경 OO시 OO군 소재 (주) OOOO/OOOO 심정공사 현장에서 협력사 소속 재해자가 천공이 완료된 심정의 공벽 붕괴 방지를 위해 PVC수도관 설치 작업을 실시하던 중 PVC관을 매달아 지지하던 와이어로프가 파단되면서 재해자의 오른쪽 다리를 절단하여 병원으로 이송하여 치료  중, 사망한 재해임.</v>
      </c>
      <c r="I74" s="43"/>
      <c r="J74" s="53" t="str" cm="1">
        <f t="array" ref="J74">IFERROR(INDEX(DB!Q$2:Q$2576,T74),"")</f>
        <v>PVC수도관 설치 작업 중 PVC관을 매달던 와이어로프가 손상(변형) 및 파단되어 근로자 베임</v>
      </c>
      <c r="K74" s="43"/>
      <c r="L74" s="41" t="str" cm="1">
        <f t="array" ref="L74">IFERROR(INDEX(DB!R$2:R$2576,T74),"")</f>
        <v>▶ 작업 전 와이어로프의 손상여부를 확인하고, 작업 중 와이어로프 손상 시 즉시교체 후 작업 실시
▶ 자재 등 중량물 운반 중 작업자의 불필요한 접촉 금지</v>
      </c>
      <c r="M74" s="43"/>
      <c r="P74" cm="1">
        <f t="array" ref="P74">IFERROR(_xlfn.AGGREGATE(15,6,ROW(DB!A$2:A$2576)/((($D$3&lt;&gt;"YES")+($D$3="YES")*(DB!E$2:E$2576="YES"))*(($D$4="")+($D$4&lt;&gt;"")*( DB!B$2:B$2576=$D$4))*(($D$5="")+($D$5&lt;&gt;"")*( DB!C$2:C$2576=$D$5))*(($D$6="")+($D$6&lt;&gt;"")*( DB!D$2:D$2576=$D$6))*(($D$7="")+($D$7&lt;&gt;"")*(ISNUMBER(SEARCH($D$7,DB!G$2:G$2576))))*(($F$7="전체")+($F$7&lt;&gt;"전체")*(DB!H$2:H$2576=$F$7))),ROW()-13)-1,"")</f>
        <v>1165</v>
      </c>
      <c r="Q74" t="str" cm="1">
        <f t="array" ref="Q74">IFERROR(INDEX(DB!G$2:G$2576,P74),"")</f>
        <v>기타구조물</v>
      </c>
      <c r="R74" t="str" cm="1">
        <f t="array" ref="R74">IFERROR(INDEX(DB!O$2:O$2576,P74),"")</f>
        <v>깔림 뒤집힘</v>
      </c>
      <c r="S74">
        <f t="shared" si="1"/>
        <v>247820.06099999999</v>
      </c>
      <c r="T74">
        <f t="shared" si="2"/>
        <v>1578</v>
      </c>
    </row>
    <row r="75" spans="1:20" ht="100" customHeight="1">
      <c r="A75" s="26"/>
      <c r="B75" s="42">
        <f t="shared" si="0"/>
        <v>62</v>
      </c>
      <c r="C75" s="43"/>
      <c r="D75" s="51" t="str" cm="1">
        <f t="array" ref="D75">IFERROR(INDEX(DB!G$2:G$2576,T75),"")</f>
        <v>배관</v>
      </c>
      <c r="E75" s="43"/>
      <c r="F75" s="52" t="str" cm="1">
        <f t="array" ref="F75">IFERROR(INDEX(DB!O$2:O$2576,T75),"")</f>
        <v>폭발</v>
      </c>
      <c r="G75" s="43"/>
      <c r="H75" s="40" t="str" cm="1">
        <f t="array" ref="H75">IFERROR(INDEX(DB!P$2:P$2576,T75),"")</f>
        <v>2020년 7월경 OOO도 OO시 OO읍 소재 OOOO(주) OOOO상수관로 유지사업 구간 내 5번 이토밸브실(깊이:4.8m) 내부에서 재해자가 전일 설치한 제수밸브의 밀림방지용 임시 지지대를 교체하기 위하여 임시 지지대(강관파이프: D48.6㎜) 4개 중 1개를 제거하는 순간, 밸브 반대편 주철관(이토관, D400㎜) 접합부가 벌어지며(이탈방지압륜이 관에서 이탈) 물이 터져 나왔고, 이로 인한 수압으로 재해자가 지상으로 튀어나와 이토밸브실로부터 약 4m 떨어진 위치에 떨어져 사망한 재해임.</v>
      </c>
      <c r="I75" s="43"/>
      <c r="J75" s="53" t="str" cm="1">
        <f t="array" ref="J75">IFERROR(INDEX(DB!Q$2:Q$2576,T75),"")</f>
        <v>상수도관 이토변실 내부에서 제수밸브 교체 작업 중 주철관 접합부가 벌어지며 물이 터져 나와 수압으로 이토변실 밖으로 튕겨져 약 4m 떨어진 위치에 떨어져 사망</v>
      </c>
      <c r="K75" s="43"/>
      <c r="L75" s="41" t="str" cm="1">
        <f t="array" ref="L75">IFERROR(INDEX(DB!R$2:R$2576,T75),"")</f>
        <v>▶ 관리감독자를 두어 기계, 기구 또는 설비의 안전점검 및 이상 유무의 확인 실시
▶ 관로 내부 가압중 갑작스러운 파단 등에 대비하기 위한 상황에 맞는 개인보호구 지급 및 착용</v>
      </c>
      <c r="M75" s="43"/>
      <c r="P75" cm="1">
        <f t="array" ref="P75">IFERROR(_xlfn.AGGREGATE(15,6,ROW(DB!A$2:A$2576)/((($D$3&lt;&gt;"YES")+($D$3="YES")*(DB!E$2:E$2576="YES"))*(($D$4="")+($D$4&lt;&gt;"")*( DB!B$2:B$2576=$D$4))*(($D$5="")+($D$5&lt;&gt;"")*( DB!C$2:C$2576=$D$5))*(($D$6="")+($D$6&lt;&gt;"")*( DB!D$2:D$2576=$D$6))*(($D$7="")+($D$7&lt;&gt;"")*(ISNUMBER(SEARCH($D$7,DB!G$2:G$2576))))*(($F$7="전체")+($F$7&lt;&gt;"전체")*(DB!H$2:H$2576=$F$7))),ROW()-13)-1,"")</f>
        <v>1166</v>
      </c>
      <c r="Q75" t="str" cm="1">
        <f t="array" ref="Q75">IFERROR(INDEX(DB!G$2:G$2576,P75),"")</f>
        <v>기타구조물</v>
      </c>
      <c r="R75" t="str" cm="1">
        <f t="array" ref="R75">IFERROR(INDEX(DB!O$2:O$2576,P75),"")</f>
        <v>떨어짐</v>
      </c>
      <c r="S75">
        <f t="shared" si="1"/>
        <v>247851.06200000001</v>
      </c>
      <c r="T75">
        <f t="shared" si="2"/>
        <v>1581</v>
      </c>
    </row>
    <row r="76" spans="1:20" ht="100" customHeight="1">
      <c r="A76" s="26"/>
      <c r="B76" s="39">
        <f t="shared" si="0"/>
        <v>63</v>
      </c>
      <c r="C76" s="43"/>
      <c r="D76" s="51" t="str" cm="1">
        <f t="array" ref="D76">IFERROR(INDEX(DB!G$2:G$2576,T76),"")</f>
        <v>벽체</v>
      </c>
      <c r="E76" s="43"/>
      <c r="F76" s="52" t="str" cm="1">
        <f t="array" ref="F76">IFERROR(INDEX(DB!O$2:O$2576,T76),"")</f>
        <v>무너짐</v>
      </c>
      <c r="G76" s="43"/>
      <c r="H76" s="40" t="str" cm="1">
        <f t="array" ref="H76">IFERROR(INDEX(DB!P$2:P$2576,T76),"")</f>
        <v xml:space="preserve">2017년 10월경 OO시 OO구 OO동 소재 OOOO(주)에서 시공하는 OOOO개선사업 현장에서 배수관로(PVC, Φ450) 설치를 위한 굴착작업 중 굴착부와 인접해 있는 주택의 노후된 담장이 굴착부 방향으로 전도되면서 굴착부 저면의 평탄 및 정리작업 중이던 재해자(관로공)을 덮쳐 병원으로 후송, 치료하였으나 1명은 사망, 1명은 부상당한 재해임 </v>
      </c>
      <c r="I76" s="43"/>
      <c r="J76" s="53" t="str" cm="1">
        <f t="array" ref="J76">IFERROR(INDEX(DB!Q$2:Q$2576,T76),"")</f>
        <v>관로 부설을 위한 굴착 중 굴착사면과 옹벽(담장)이 무너지면서 근로자 매몰</v>
      </c>
      <c r="K76" s="43"/>
      <c r="L76" s="41" t="str" cm="1">
        <f t="array" ref="L76">IFERROR(INDEX(DB!R$2:R$2576,T76),"")</f>
        <v>▶ 굴착작업 중 인접 구조물의 전도위험 방지(견고한 지지대 설치 등) 조치 실시
▶ 기존 구조물 등이 근접해있는 경우 진동 및 충격 등에 의한 사전 안전성평가 실시
▶ 굴착면의 기울기 기준 준수 및 간이 흙막이 등 설치 
▶ 굴착작업 주변 지반 사전조사 및 작업계획서 작성</v>
      </c>
      <c r="M76" s="43"/>
      <c r="P76" cm="1">
        <f t="array" ref="P76">IFERROR(_xlfn.AGGREGATE(15,6,ROW(DB!A$2:A$2576)/((($D$3&lt;&gt;"YES")+($D$3="YES")*(DB!E$2:E$2576="YES"))*(($D$4="")+($D$4&lt;&gt;"")*( DB!B$2:B$2576=$D$4))*(($D$5="")+($D$5&lt;&gt;"")*( DB!C$2:C$2576=$D$5))*(($D$6="")+($D$6&lt;&gt;"")*( DB!D$2:D$2576=$D$6))*(($D$7="")+($D$7&lt;&gt;"")*(ISNUMBER(SEARCH($D$7,DB!G$2:G$2576))))*(($F$7="전체")+($F$7&lt;&gt;"전체")*(DB!H$2:H$2576=$F$7))),ROW()-13)-1,"")</f>
        <v>1167</v>
      </c>
      <c r="Q76" t="str" cm="1">
        <f t="array" ref="Q76">IFERROR(INDEX(DB!G$2:G$2576,P76),"")</f>
        <v>기타구조물</v>
      </c>
      <c r="R76" t="str" cm="1">
        <f t="array" ref="R76">IFERROR(INDEX(DB!O$2:O$2576,P76),"")</f>
        <v>부딪힘 접촉</v>
      </c>
      <c r="S76">
        <f t="shared" si="1"/>
        <v>247941.06299999999</v>
      </c>
      <c r="T76">
        <f t="shared" si="2"/>
        <v>1595</v>
      </c>
    </row>
    <row r="77" spans="1:20" ht="100" customHeight="1">
      <c r="A77" s="26"/>
      <c r="B77" s="42">
        <f t="shared" si="0"/>
        <v>64</v>
      </c>
      <c r="C77" s="43"/>
      <c r="D77" s="51" t="str" cm="1">
        <f t="array" ref="D77">IFERROR(INDEX(DB!G$2:G$2576,T77),"")</f>
        <v>벽체</v>
      </c>
      <c r="E77" s="43"/>
      <c r="F77" s="52" t="str" cm="1">
        <f t="array" ref="F77">IFERROR(INDEX(DB!O$2:O$2576,T77),"")</f>
        <v>무너짐</v>
      </c>
      <c r="G77" s="43"/>
      <c r="H77" s="40" t="str" cm="1">
        <f t="array" ref="H77">IFERROR(INDEX(DB!P$2:P$2576,T77),"")</f>
        <v>2018년 5월경, OOO도 OO군 소재 OOOO 중앙처리구역(10분구) 하수관로 정비사업 현장에서 협력업체 소속 관로공인 재해자가 굴착저면(폭1.1m, 깊이1.6m)에서 스타프(Staff)를 들고 레벨 측량을 마치고 나오던 중 굴착 사면과 굴착사면 상부의 주차장 옹벽(조적조, 높이 약 1.6m)이 무너지면서 매몰되어 동료 작업자들에 의해 구조, 병원으로 이송하였으나 사망한 재해임.</v>
      </c>
      <c r="I77" s="43"/>
      <c r="J77" s="53" t="str" cm="1">
        <f t="array" ref="J77">IFERROR(INDEX(DB!Q$2:Q$2576,T77),"")</f>
        <v>관로 부설을 위한 굴착 중 굴착사면과 옹벽(담장)이 무너지면서 근로자 매몰</v>
      </c>
      <c r="K77" s="43"/>
      <c r="L77" s="41" t="str" cm="1">
        <f t="array" ref="L77">IFERROR(INDEX(DB!R$2:R$2576,T77),"")</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77" s="43"/>
      <c r="P77" cm="1">
        <f t="array" ref="P77">IFERROR(_xlfn.AGGREGATE(15,6,ROW(DB!A$2:A$2576)/((($D$3&lt;&gt;"YES")+($D$3="YES")*(DB!E$2:E$2576="YES"))*(($D$4="")+($D$4&lt;&gt;"")*( DB!B$2:B$2576=$D$4))*(($D$5="")+($D$5&lt;&gt;"")*( DB!C$2:C$2576=$D$5))*(($D$6="")+($D$6&lt;&gt;"")*( DB!D$2:D$2576=$D$6))*(($D$7="")+($D$7&lt;&gt;"")*(ISNUMBER(SEARCH($D$7,DB!G$2:G$2576))))*(($F$7="전체")+($F$7&lt;&gt;"전체")*(DB!H$2:H$2576=$F$7))),ROW()-13)-1,"")</f>
        <v>1168</v>
      </c>
      <c r="Q77" t="str" cm="1">
        <f t="array" ref="Q77">IFERROR(INDEX(DB!G$2:G$2576,P77),"")</f>
        <v>기타구조물</v>
      </c>
      <c r="R77" t="str" cm="1">
        <f t="array" ref="R77">IFERROR(INDEX(DB!O$2:O$2576,P77),"")</f>
        <v>깔림 뒤집힘</v>
      </c>
      <c r="S77">
        <f t="shared" si="1"/>
        <v>247820.06400000001</v>
      </c>
      <c r="T77">
        <f t="shared" si="2"/>
        <v>1596</v>
      </c>
    </row>
    <row r="78" spans="1:20" ht="100" customHeight="1">
      <c r="A78" s="26"/>
      <c r="B78" s="39">
        <f t="shared" si="0"/>
        <v>65</v>
      </c>
      <c r="C78" s="43"/>
      <c r="D78" s="51" t="str" cm="1">
        <f t="array" ref="D78">IFERROR(INDEX(DB!G$2:G$2576,T78),"")</f>
        <v>벽체</v>
      </c>
      <c r="E78" s="43"/>
      <c r="F78" s="52" t="str" cm="1">
        <f t="array" ref="F78">IFERROR(INDEX(DB!O$2:O$2576,T78),"")</f>
        <v>무너짐</v>
      </c>
      <c r="G78" s="43"/>
      <c r="H78" s="40" t="str" cm="1">
        <f t="array" ref="H78">IFERROR(INDEX(DB!P$2:P$2576,T78),"")</f>
        <v>2019년 5월경 OOOO(주)이 시공중인 OO시 OO군 소재  OOOO 개보수공사 현장에서 직영 근로자인 OOO이 지상1층 바닥에 기 설치된 상수도 계량기 이전 설치를 위하여 약 0.8m 굴착작업 중 근처에 있던 담장의 일부(1.8m×1.6m, w≒1,457kg)가 재해자 방향으로 쓰러지며, 지면과 쓰러진 담장사이에 협착되어 병원으로 후송 치료 중 재해발생당일 사망한 재해임.</v>
      </c>
      <c r="I78" s="43"/>
      <c r="J78" s="53" t="str" cm="1">
        <f t="array" ref="J78">IFERROR(INDEX(DB!Q$2:Q$2576,T78),"")</f>
        <v>관로 부설을 위한 굴착 중 굴착사면과 옹벽(담장)이 무너지면서 근로자 매몰</v>
      </c>
      <c r="K78" s="43"/>
      <c r="L78" s="41" t="str" cm="1">
        <f t="array" ref="L78">IFERROR(INDEX(DB!R$2:R$2576,T78),"")</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78" s="43"/>
      <c r="P78" cm="1">
        <f t="array" ref="P78">IFERROR(_xlfn.AGGREGATE(15,6,ROW(DB!A$2:A$2576)/((($D$3&lt;&gt;"YES")+($D$3="YES")*(DB!E$2:E$2576="YES"))*(($D$4="")+($D$4&lt;&gt;"")*( DB!B$2:B$2576=$D$4))*(($D$5="")+($D$5&lt;&gt;"")*( DB!C$2:C$2576=$D$5))*(($D$6="")+($D$6&lt;&gt;"")*( DB!D$2:D$2576=$D$6))*(($D$7="")+($D$7&lt;&gt;"")*(ISNUMBER(SEARCH($D$7,DB!G$2:G$2576))))*(($F$7="전체")+($F$7&lt;&gt;"전체")*(DB!H$2:H$2576=$F$7))),ROW()-13)-1,"")</f>
        <v>1536</v>
      </c>
      <c r="Q78" t="str" cm="1">
        <f t="array" ref="Q78">IFERROR(INDEX(DB!G$2:G$2576,P78),"")</f>
        <v>물</v>
      </c>
      <c r="R78" t="str" cm="1">
        <f t="array" ref="R78">IFERROR(INDEX(DB!O$2:O$2576,P78),"")</f>
        <v>맞음</v>
      </c>
      <c r="S78">
        <f t="shared" si="1"/>
        <v>249175.065</v>
      </c>
      <c r="T78">
        <f t="shared" si="2"/>
        <v>1597</v>
      </c>
    </row>
    <row r="79" spans="1:20" ht="100" customHeight="1">
      <c r="A79" s="26"/>
      <c r="B79" s="42">
        <f t="shared" ref="B79:B142" si="5">IFERROR(IF(T79="","",ROW()-13),"")</f>
        <v>66</v>
      </c>
      <c r="C79" s="43"/>
      <c r="D79" s="51" t="str" cm="1">
        <f t="array" ref="D79">IFERROR(INDEX(DB!G$2:G$2576,T79),"")</f>
        <v>벽체</v>
      </c>
      <c r="E79" s="43"/>
      <c r="F79" s="52" t="str" cm="1">
        <f t="array" ref="F79">IFERROR(INDEX(DB!O$2:O$2576,T79),"")</f>
        <v>무너짐</v>
      </c>
      <c r="G79" s="43"/>
      <c r="H79" s="40" t="str" cm="1">
        <f t="array" ref="H79">IFERROR(INDEX(DB!P$2:P$2576,T79),"")</f>
        <v>2020년 4월경 OOO시 OO구 OO동 소재 OOOO정비사업 현장에서 직영 근로자인 재해자가 굴착구간 하부(H=1.6m)에서 관로 접합 작업 중 작업구간에 인접한 노후된 담장(H=2.0m, L=13m)이 무너지며 재해자가 이를 피하지 못하고 깔려 병원으로 이송 중 사망함.</v>
      </c>
      <c r="I79" s="43"/>
      <c r="J79" s="53" t="str" cm="1">
        <f t="array" ref="J79">IFERROR(INDEX(DB!Q$2:Q$2576,T79),"")</f>
        <v>관로 부설을 위한 굴착 중 굴착사면과 옹벽(담장)이 무너지면서 근로자 매몰</v>
      </c>
      <c r="K79" s="43"/>
      <c r="L79" s="41" t="str" cm="1">
        <f t="array" ref="L79">IFERROR(INDEX(DB!R$2:R$2576,T79),"")</f>
        <v>▶ 굴착작업 중 인접 구조물의 전도위험 방지(견고한 지지대 설치 등) 조치 실시
▶ 기존 구조물 등이 근접해있는 경우 진동 및 충격 등에 의한 사전 안전성평가 실시
▶ 굴착면의 기울기 기준 준수 및 간이 흙막이 등 설치 
▶ 굴착작업 주변 지반 사전조사 및 작업계획서 작성</v>
      </c>
      <c r="M79" s="43"/>
      <c r="P79" cm="1">
        <f t="array" ref="P79">IFERROR(_xlfn.AGGREGATE(15,6,ROW(DB!A$2:A$2576)/((($D$3&lt;&gt;"YES")+($D$3="YES")*(DB!E$2:E$2576="YES"))*(($D$4="")+($D$4&lt;&gt;"")*( DB!B$2:B$2576=$D$4))*(($D$5="")+($D$5&lt;&gt;"")*( DB!C$2:C$2576=$D$5))*(($D$6="")+($D$6&lt;&gt;"")*( DB!D$2:D$2576=$D$6))*(($D$7="")+($D$7&lt;&gt;"")*(ISNUMBER(SEARCH($D$7,DB!G$2:G$2576))))*(($F$7="전체")+($F$7&lt;&gt;"전체")*(DB!H$2:H$2576=$F$7))),ROW()-13)-1,"")</f>
        <v>1537</v>
      </c>
      <c r="Q79" t="str" cm="1">
        <f t="array" ref="Q79">IFERROR(INDEX(DB!G$2:G$2576,P79),"")</f>
        <v>물</v>
      </c>
      <c r="R79" t="str" cm="1">
        <f t="array" ref="R79">IFERROR(INDEX(DB!O$2:O$2576,P79),"")</f>
        <v>떨어짐</v>
      </c>
      <c r="S79">
        <f t="shared" ref="S79:S142" si="6">IF(P79="","",COUNTIF($Q$14:$Q$2587,"&lt;"&amp;Q79)*100+COUNTIF($R$14:$R$2587,"&lt;"&amp;R79)+(ROW()-13)*0.001)</f>
        <v>249151.06599999999</v>
      </c>
      <c r="T79">
        <f t="shared" ref="T79:T142" si="7">IFERROR(INDEX($P$14:$P$2587,MATCH(SMALL($S$14:$S$2587,ROW()-13),$S$14:$S$2587,0)),"")</f>
        <v>1598</v>
      </c>
    </row>
    <row r="80" spans="1:20" ht="100" customHeight="1">
      <c r="A80" s="26"/>
      <c r="B80" s="39">
        <f t="shared" si="5"/>
        <v>67</v>
      </c>
      <c r="C80" s="43"/>
      <c r="D80" s="51" t="str" cm="1">
        <f t="array" ref="D80">IFERROR(INDEX(DB!G$2:G$2576,T80),"")</f>
        <v>분류불능</v>
      </c>
      <c r="E80" s="43"/>
      <c r="F80" s="52" t="str" cm="1">
        <f t="array" ref="F80">IFERROR(INDEX(DB!O$2:O$2576,T80),"")</f>
        <v>떨어짐</v>
      </c>
      <c r="G80" s="43"/>
      <c r="H80" s="40" t="str" cm="1">
        <f t="array" ref="H80">IFERROR(INDEX(DB!P$2:P$2576,T80),"")</f>
        <v>2017년 12월경 산사태 개량공사 현장에서 재해자가 절토사면 상부 60m 지점에서 낙석방지용 고정 와이어로프 설치작업 중 50m 아래 절토사면으로 추락하여 사망</v>
      </c>
      <c r="I80" s="43"/>
      <c r="J80" s="53" t="str" cm="1">
        <f t="array" ref="J80">IFERROR(INDEX(DB!Q$2:Q$2576,T80),"")</f>
        <v>안전대를 착용하지 않고 낙석방지망 고정용 와이어로프 설치작업 중 절토사면으로 추락</v>
      </c>
      <c r="K80" s="43"/>
      <c r="L80" s="41" t="str" cm="1">
        <f t="array" ref="L80">IFERROR(INDEX(DB!R$2:R$2576,T80),"")</f>
        <v>▶ 추락 위험이 있는 작업 시 안전대 부착설비 설치를 통한 추락방호조치 실시
▶ 작업 전 안전대 지급 및 체결상태 관리</v>
      </c>
      <c r="M80" s="43"/>
      <c r="P80" cm="1">
        <f t="array" ref="P80">IFERROR(_xlfn.AGGREGATE(15,6,ROW(DB!A$2:A$2576)/((($D$3&lt;&gt;"YES")+($D$3="YES")*(DB!E$2:E$2576="YES"))*(($D$4="")+($D$4&lt;&gt;"")*( DB!B$2:B$2576=$D$4))*(($D$5="")+($D$5&lt;&gt;"")*( DB!C$2:C$2576=$D$5))*(($D$6="")+($D$6&lt;&gt;"")*( DB!D$2:D$2576=$D$6))*(($D$7="")+($D$7&lt;&gt;"")*(ISNUMBER(SEARCH($D$7,DB!G$2:G$2576))))*(($F$7="전체")+($F$7&lt;&gt;"전체")*(DB!H$2:H$2576=$F$7))),ROW()-13)-1,"")</f>
        <v>1538</v>
      </c>
      <c r="Q80" t="str" cm="1">
        <f t="array" ref="Q80">IFERROR(INDEX(DB!G$2:G$2576,P80),"")</f>
        <v>물</v>
      </c>
      <c r="R80" t="str" cm="1">
        <f t="array" ref="R80">IFERROR(INDEX(DB!O$2:O$2576,P80),"")</f>
        <v>폭발</v>
      </c>
      <c r="S80">
        <f t="shared" si="6"/>
        <v>249272.06700000001</v>
      </c>
      <c r="T80">
        <f t="shared" si="7"/>
        <v>1635</v>
      </c>
    </row>
    <row r="81" spans="1:20" ht="100" customHeight="1">
      <c r="A81" s="26"/>
      <c r="B81" s="42">
        <f t="shared" si="5"/>
        <v>68</v>
      </c>
      <c r="C81" s="43"/>
      <c r="D81" s="51" t="str" cm="1">
        <f t="array" ref="D81">IFERROR(INDEX(DB!G$2:G$2576,T81),"")</f>
        <v>비계</v>
      </c>
      <c r="E81" s="43"/>
      <c r="F81" s="52" t="str" cm="1">
        <f t="array" ref="F81">IFERROR(INDEX(DB!O$2:O$2576,T81),"")</f>
        <v>떨어짐</v>
      </c>
      <c r="G81" s="43"/>
      <c r="H81" s="40" t="str" cm="1">
        <f t="array" ref="H81">IFERROR(INDEX(DB!P$2:P$2576,T81),"")</f>
        <v>2016년 4월경 근린생활시설 증축공사에서 재해자가 지상 2층 바닥위치의 외부비계에서 도장작업을 하던 중 몸의 중심을 잃고 지상 1층(높이 3.7m)으로 추락하여 사망</v>
      </c>
      <c r="I81" s="43"/>
      <c r="J81" s="53" t="str" cm="1">
        <f t="array" ref="J81">IFERROR(INDEX(DB!Q$2:Q$2576,T81),"")</f>
        <v>외부비계 위에서 옥상 외벽 도장작업 중 몸의 중심을 잃고 안전난간이 설치되지 않은 작업발판 단부로 추락</v>
      </c>
      <c r="K81" s="43"/>
      <c r="L81" s="41" t="str" cm="1">
        <f t="array" ref="L81">IFERROR(INDEX(DB!R$2:R$2576,T81),"")</f>
        <v>▶ 비계 내·외측에 안전난간 2단으로 견고하게 설치
▶ 외벽 마감작업을 위해 비계 내측 안전난간을 임의 해체하는 경우 구조물과 비계 작업발판 사이에 추락방지망 설치하고 안전대를 체결한 후 작업토록 관리감독</v>
      </c>
      <c r="M81" s="43"/>
      <c r="P81" cm="1">
        <f t="array" ref="P81">IFERROR(_xlfn.AGGREGATE(15,6,ROW(DB!A$2:A$2576)/((($D$3&lt;&gt;"YES")+($D$3="YES")*(DB!E$2:E$2576="YES"))*(($D$4="")+($D$4&lt;&gt;"")*( DB!B$2:B$2576=$D$4))*(($D$5="")+($D$5&lt;&gt;"")*( DB!C$2:C$2576=$D$5))*(($D$6="")+($D$6&lt;&gt;"")*( DB!D$2:D$2576=$D$6))*(($D$7="")+($D$7&lt;&gt;"")*(ISNUMBER(SEARCH($D$7,DB!G$2:G$2576))))*(($F$7="전체")+($F$7&lt;&gt;"전체")*(DB!H$2:H$2576=$F$7))),ROW()-13)-1,"")</f>
        <v>1539</v>
      </c>
      <c r="Q81" t="str" cm="1">
        <f t="array" ref="Q81">IFERROR(INDEX(DB!G$2:G$2576,P81),"")</f>
        <v>물</v>
      </c>
      <c r="R81" t="str" cm="1">
        <f t="array" ref="R81">IFERROR(INDEX(DB!O$2:O$2576,P81),"")</f>
        <v>익사</v>
      </c>
      <c r="S81">
        <f t="shared" si="6"/>
        <v>249268.068</v>
      </c>
      <c r="T81">
        <f t="shared" si="7"/>
        <v>1673</v>
      </c>
    </row>
    <row r="82" spans="1:20" ht="100" customHeight="1">
      <c r="A82" s="26"/>
      <c r="B82" s="39">
        <f t="shared" si="5"/>
        <v>69</v>
      </c>
      <c r="C82" s="43"/>
      <c r="D82" s="51" t="str" cm="1">
        <f t="array" ref="D82">IFERROR(INDEX(DB!G$2:G$2576,T82),"")</f>
        <v>수목</v>
      </c>
      <c r="E82" s="43"/>
      <c r="F82" s="52" t="str" cm="1">
        <f t="array" ref="F82">IFERROR(INDEX(DB!O$2:O$2576,T82),"")</f>
        <v>깔림 뒤집힘</v>
      </c>
      <c r="G82" s="43"/>
      <c r="H82" s="40" t="str" cm="1">
        <f t="array" ref="H82">IFERROR(INDEX(DB!P$2:P$2576,T82),"")</f>
        <v>2016년 10월경 부지조성공사에서 재해자가 벌목 작업을 하던 중 벌목 대상 나무에 기대어있던 나무가 넘어지면서 깔려 사망</v>
      </c>
      <c r="I82" s="43"/>
      <c r="J82" s="53" t="str" cm="1">
        <f t="array" ref="J82">IFERROR(INDEX(DB!Q$2:Q$2576,T82),"")</f>
        <v>근로자가 벌목 작업을 하던 중 나무 밑둥 부분이 절단된 순간 나무가 넘어져 근로자가 깔림</v>
      </c>
      <c r="K82" s="43"/>
      <c r="L82" s="41" t="str" cm="1">
        <f t="array" ref="L82">IFERROR(INDEX(DB!R$2:R$2576,T82),"")</f>
        <v>▶ 절단 대상수목의 수구작업 실시
▶ 벌도목이 쓰러지는 방향쪽은 위험구역으로 설정하여 접근금지 실시
▶ 벌목작업 시 대피로 및 대피장소 지정, 벌목작업 시 신호방법 지정
▶ 개인 보호구 지급 및 착용 철저</v>
      </c>
      <c r="M82" s="43"/>
      <c r="P82" cm="1">
        <f t="array" ref="P82">IFERROR(_xlfn.AGGREGATE(15,6,ROW(DB!A$2:A$2576)/((($D$3&lt;&gt;"YES")+($D$3="YES")*(DB!E$2:E$2576="YES"))*(($D$4="")+($D$4&lt;&gt;"")*( DB!B$2:B$2576=$D$4))*(($D$5="")+($D$5&lt;&gt;"")*( DB!C$2:C$2576=$D$5))*(($D$6="")+($D$6&lt;&gt;"")*( DB!D$2:D$2576=$D$6))*(($D$7="")+($D$7&lt;&gt;"")*(ISNUMBER(SEARCH($D$7,DB!G$2:G$2576))))*(($F$7="전체")+($F$7&lt;&gt;"전체")*(DB!H$2:H$2576=$F$7))),ROW()-13)-1,"")</f>
        <v>1540</v>
      </c>
      <c r="Q82" t="str" cm="1">
        <f t="array" ref="Q82">IFERROR(INDEX(DB!G$2:G$2576,P82),"")</f>
        <v>물</v>
      </c>
      <c r="R82" t="str" cm="1">
        <f t="array" ref="R82">IFERROR(INDEX(DB!O$2:O$2576,P82),"")</f>
        <v>익사</v>
      </c>
      <c r="S82">
        <f t="shared" si="6"/>
        <v>249268.06899999999</v>
      </c>
      <c r="T82">
        <f t="shared" si="7"/>
        <v>1999</v>
      </c>
    </row>
    <row r="83" spans="1:20" ht="100" customHeight="1">
      <c r="A83" s="26"/>
      <c r="B83" s="42">
        <f t="shared" si="5"/>
        <v>70</v>
      </c>
      <c r="C83" s="43"/>
      <c r="D83" s="51" t="str" cm="1">
        <f t="array" ref="D83">IFERROR(INDEX(DB!G$2:G$2576,T83),"")</f>
        <v>수목</v>
      </c>
      <c r="E83" s="43"/>
      <c r="F83" s="52" t="str" cm="1">
        <f t="array" ref="F83">IFERROR(INDEX(DB!O$2:O$2576,T83),"")</f>
        <v>깔림 뒤집힘</v>
      </c>
      <c r="G83" s="43"/>
      <c r="H83" s="40" t="str" cm="1">
        <f t="array" ref="H83">IFERROR(INDEX(DB!P$2:P$2576,T83),"")</f>
        <v>2019년 4월경 마을진입도로 개설공사에서 재해자가 느티나무를 벌목하던 중 쓰러지는 벌도목에 깔려 사망</v>
      </c>
      <c r="I83" s="43"/>
      <c r="J83" s="53" t="str" cm="1">
        <f t="array" ref="J83">IFERROR(INDEX(DB!Q$2:Q$2576,T83),"")</f>
        <v>근로자가 벌목 작업을 하던 중 나무 밑둥 부분이 절단된 순간 나무가 넘어져 근로자가 깔림</v>
      </c>
      <c r="K83" s="43"/>
      <c r="L83" s="41" t="str" cm="1">
        <f t="array" ref="L83">IFERROR(INDEX(DB!R$2:R$2576,T83),"")</f>
        <v>▶ 절단 대상수목의 수구작업 실시
▶ 벌도목이 쓰러지는 방향쪽은 위험구역으로 설정하여 접근금지 실시
▶ 벌목작업 시 대피로 및 대피장소 지정, 벌목작업 시 신호방법 지정
▶ 개인 보호구 지급 및 착용 철저</v>
      </c>
      <c r="M83" s="43"/>
      <c r="P83" cm="1">
        <f t="array" ref="P83">IFERROR(_xlfn.AGGREGATE(15,6,ROW(DB!A$2:A$2576)/((($D$3&lt;&gt;"YES")+($D$3="YES")*(DB!E$2:E$2576="YES"))*(($D$4="")+($D$4&lt;&gt;"")*( DB!B$2:B$2576=$D$4))*(($D$5="")+($D$5&lt;&gt;"")*( DB!C$2:C$2576=$D$5))*(($D$6="")+($D$6&lt;&gt;"")*( DB!D$2:D$2576=$D$6))*(($D$7="")+($D$7&lt;&gt;"")*(ISNUMBER(SEARCH($D$7,DB!G$2:G$2576))))*(($F$7="전체")+($F$7&lt;&gt;"전체")*(DB!H$2:H$2576=$F$7))),ROW()-13)-1,"")</f>
        <v>1541</v>
      </c>
      <c r="Q83" t="str" cm="1">
        <f t="array" ref="Q83">IFERROR(INDEX(DB!G$2:G$2576,P83),"")</f>
        <v>물</v>
      </c>
      <c r="R83" t="str" cm="1">
        <f t="array" ref="R83">IFERROR(INDEX(DB!O$2:O$2576,P83),"")</f>
        <v>떨어짐</v>
      </c>
      <c r="S83">
        <f t="shared" si="6"/>
        <v>249151.07</v>
      </c>
      <c r="T83">
        <f t="shared" si="7"/>
        <v>2000</v>
      </c>
    </row>
    <row r="84" spans="1:20" ht="100" customHeight="1">
      <c r="A84" s="26"/>
      <c r="B84" s="39">
        <f t="shared" si="5"/>
        <v>71</v>
      </c>
      <c r="C84" s="43"/>
      <c r="D84" s="51" t="str" cm="1">
        <f t="array" ref="D84">IFERROR(INDEX(DB!G$2:G$2576,T84),"")</f>
        <v>수목</v>
      </c>
      <c r="E84" s="43"/>
      <c r="F84" s="52" t="str" cm="1">
        <f t="array" ref="F84">IFERROR(INDEX(DB!O$2:O$2576,T84),"")</f>
        <v>깔림 뒤집힘</v>
      </c>
      <c r="G84" s="43"/>
      <c r="H84" s="40" t="str" cm="1">
        <f t="array" ref="H84">IFERROR(INDEX(DB!P$2:P$2576,T84),"")</f>
        <v>2019년 7월경 도로 사면정비공사에서 재해자가 로프에 의지하여 벌목작업을 하던 중 이동하다 20m 아래의 사면으로 추락하여 사망</v>
      </c>
      <c r="I84" s="43"/>
      <c r="J84" s="53" t="str" cm="1">
        <f t="array" ref="J84">IFERROR(INDEX(DB!Q$2:Q$2576,T84),"")</f>
        <v>근로자가 벌목 작업을 하던 중 나무 밑둥 부분이 절단된 순간 나무가 넘어져 근로자가 깔림</v>
      </c>
      <c r="K84" s="43"/>
      <c r="L84" s="41" t="str" cm="1">
        <f t="array" ref="L84">IFERROR(INDEX(DB!R$2:R$2576,T84),"")</f>
        <v>▶ 절단 대상수목의 수구작업 실시
▶ 벌도목이 쓰러지는 방향쪽은 위험구역으로 설정하여 접근금지 실시
▶ 벌목작업 시 대피로 및 대피장소 지정, 벌목작업 시 신호방법 지정
▶ 개인 보호구 지급 및 착용 철저</v>
      </c>
      <c r="M84" s="43"/>
      <c r="P84" cm="1">
        <f t="array" ref="P84">IFERROR(_xlfn.AGGREGATE(15,6,ROW(DB!A$2:A$2576)/((($D$3&lt;&gt;"YES")+($D$3="YES")*(DB!E$2:E$2576="YES"))*(($D$4="")+($D$4&lt;&gt;"")*( DB!B$2:B$2576=$D$4))*(($D$5="")+($D$5&lt;&gt;"")*( DB!C$2:C$2576=$D$5))*(($D$6="")+($D$6&lt;&gt;"")*( DB!D$2:D$2576=$D$6))*(($D$7="")+($D$7&lt;&gt;"")*(ISNUMBER(SEARCH($D$7,DB!G$2:G$2576))))*(($F$7="전체")+($F$7&lt;&gt;"전체")*(DB!H$2:H$2576=$F$7))),ROW()-13)-1,"")</f>
        <v>1548</v>
      </c>
      <c r="Q84" t="str" cm="1">
        <f t="array" ref="Q84">IFERROR(INDEX(DB!G$2:G$2576,P84),"")</f>
        <v>바닥(바닥에 걸려 넘어짐)</v>
      </c>
      <c r="R84" t="str" cm="1">
        <f t="array" ref="R84">IFERROR(INDEX(DB!O$2:O$2576,P84),"")</f>
        <v>떨어짐</v>
      </c>
      <c r="S84">
        <f t="shared" si="6"/>
        <v>249751.071</v>
      </c>
      <c r="T84">
        <f t="shared" si="7"/>
        <v>2001</v>
      </c>
    </row>
    <row r="85" spans="1:20" ht="100" customHeight="1">
      <c r="A85" s="26"/>
      <c r="B85" s="42">
        <f t="shared" si="5"/>
        <v>72</v>
      </c>
      <c r="C85" s="43"/>
      <c r="D85" s="51" t="str" cm="1">
        <f t="array" ref="D85">IFERROR(INDEX(DB!G$2:G$2576,T85),"")</f>
        <v>수목</v>
      </c>
      <c r="E85" s="43"/>
      <c r="F85" s="52" t="str" cm="1">
        <f t="array" ref="F85">IFERROR(INDEX(DB!O$2:O$2576,T85),"")</f>
        <v>맞음</v>
      </c>
      <c r="G85" s="43"/>
      <c r="H85" s="40" t="str" cm="1">
        <f t="array" ref="H85">IFERROR(INDEX(DB!P$2:P$2576,T85),"")</f>
        <v>2020년 3월경 나들목 개량공사에서 재해자가 램프구간 벌도목을 베어 넘기던 중 인접 소나무에 걸려 부러진 소나무 가지(중량 47kg, 높이 11m)에 머리를 맞아 사망</v>
      </c>
      <c r="I85" s="43"/>
      <c r="J85" s="53" t="str" cm="1">
        <f t="array" ref="J85">IFERROR(INDEX(DB!Q$2:Q$2576,T85),"")</f>
        <v>벌목작업 중 벌도목이 쓰러지며 부러진(또는 걸쳐져 있던) 나뭇가지가 낙하하여 인근 작업자의 머리를 강타</v>
      </c>
      <c r="K85" s="43"/>
      <c r="L85" s="41" t="str" cm="1">
        <f t="array" ref="L85">IFERROR(INDEX(DB!R$2:R$2576,T85),"")</f>
        <v>▶ 나뭇가지 등 낙하물에 의한 위험 방지를 위해 낙하위험지역의 근로자 불필요한 출입 통제(출입 시 관리감독자 등 감독하에 출입)
▶ 안전모 및 개인보호구 지급 및 착용관리</v>
      </c>
      <c r="M85" s="43"/>
      <c r="P85" cm="1">
        <f t="array" ref="P85">IFERROR(_xlfn.AGGREGATE(15,6,ROW(DB!A$2:A$2576)/((($D$3&lt;&gt;"YES")+($D$3="YES")*(DB!E$2:E$2576="YES"))*(($D$4="")+($D$4&lt;&gt;"")*( DB!B$2:B$2576=$D$4))*(($D$5="")+($D$5&lt;&gt;"")*( DB!C$2:C$2576=$D$5))*(($D$6="")+($D$6&lt;&gt;"")*( DB!D$2:D$2576=$D$6))*(($D$7="")+($D$7&lt;&gt;"")*(ISNUMBER(SEARCH($D$7,DB!G$2:G$2576))))*(($F$7="전체")+($F$7&lt;&gt;"전체")*(DB!H$2:H$2576=$F$7))),ROW()-13)-1,"")</f>
        <v>1576</v>
      </c>
      <c r="Q85" t="str" cm="1">
        <f t="array" ref="Q85">IFERROR(INDEX(DB!G$2:G$2576,P85),"")</f>
        <v>배관</v>
      </c>
      <c r="R85" t="str" cm="1">
        <f t="array" ref="R85">IFERROR(INDEX(DB!O$2:O$2576,P85),"")</f>
        <v>깔림 뒤집힘</v>
      </c>
      <c r="S85">
        <f t="shared" si="6"/>
        <v>249820.07199999999</v>
      </c>
      <c r="T85">
        <f t="shared" si="7"/>
        <v>2002</v>
      </c>
    </row>
    <row r="86" spans="1:20" ht="100" customHeight="1">
      <c r="A86" s="26"/>
      <c r="B86" s="39">
        <f t="shared" si="5"/>
        <v>73</v>
      </c>
      <c r="C86" s="43"/>
      <c r="D86" s="51" t="str" cm="1">
        <f t="array" ref="D86">IFERROR(INDEX(DB!G$2:G$2576,T86),"")</f>
        <v>슬라브단부</v>
      </c>
      <c r="E86" s="43"/>
      <c r="F86" s="52" t="str" cm="1">
        <f t="array" ref="F86">IFERROR(INDEX(DB!O$2:O$2576,T86),"")</f>
        <v>떨어짐</v>
      </c>
      <c r="G86" s="43"/>
      <c r="H86" s="40" t="str" cm="1">
        <f t="array" ref="H86">IFERROR(INDEX(DB!P$2:P$2576,T86),"")</f>
        <v>2016년 1월경 아파트 신축공사에서 재해자가 조립식 패널 옹벽을 설치하던 중 옹벽 소단부에서 이동 중 미끄러지면서 몸의 중심을 잃고 10m 아래 바닥으로 추락하여 사망</v>
      </c>
      <c r="I86" s="43"/>
      <c r="J86" s="53" t="str" cm="1">
        <f t="array" ref="J86">IFERROR(INDEX(DB!Q$2:Q$2576,T86),"")</f>
        <v>안전난간이 설치되지 않은 소단부에서 이동 중 미끄러져 몸의 중심을 잃고 지면으로 떨어짐</v>
      </c>
      <c r="K86" s="43"/>
      <c r="L86" s="41" t="str" cm="1">
        <f t="array" ref="L86">IFERROR(INDEX(DB!R$2:R$2576,T86),"")</f>
        <v>▶ 작업자가 법면 상부 등으로 불필요한 이동을 금하고 작업자 이동통로 설치
▶ 근로자가 추락하거나 넘어질 위험이 있는 상부에서 작업 시 안전난간을 설치하고 추락방지조치 실시하고 부득이한 경우 접근방책 등을 설치
▶ 근로자가 추락하거나 넘어질 위험이 있는 상부에서 작업 시 개인보호구(안전모, 안전대 등) 지급 및 착용</v>
      </c>
      <c r="M86" s="43"/>
      <c r="P86" cm="1">
        <f t="array" ref="P86">IFERROR(_xlfn.AGGREGATE(15,6,ROW(DB!A$2:A$2576)/((($D$3&lt;&gt;"YES")+($D$3="YES")*(DB!E$2:E$2576="YES"))*(($D$4="")+($D$4&lt;&gt;"")*( DB!B$2:B$2576=$D$4))*(($D$5="")+($D$5&lt;&gt;"")*( DB!C$2:C$2576=$D$5))*(($D$6="")+($D$6&lt;&gt;"")*( DB!D$2:D$2576=$D$6))*(($D$7="")+($D$7&lt;&gt;"")*(ISNUMBER(SEARCH($D$7,DB!G$2:G$2576))))*(($F$7="전체")+($F$7&lt;&gt;"전체")*(DB!H$2:H$2576=$F$7))),ROW()-13)-1,"")</f>
        <v>1577</v>
      </c>
      <c r="Q86" t="str" cm="1">
        <f t="array" ref="Q86">IFERROR(INDEX(DB!G$2:G$2576,P86),"")</f>
        <v>배관</v>
      </c>
      <c r="R86" t="str" cm="1">
        <f t="array" ref="R86">IFERROR(INDEX(DB!O$2:O$2576,P86),"")</f>
        <v>부딪힘 접촉</v>
      </c>
      <c r="S86">
        <f t="shared" si="6"/>
        <v>249941.073</v>
      </c>
      <c r="T86">
        <f t="shared" si="7"/>
        <v>2025</v>
      </c>
    </row>
    <row r="87" spans="1:20" ht="100" customHeight="1">
      <c r="A87" s="26"/>
      <c r="B87" s="42">
        <f t="shared" si="5"/>
        <v>74</v>
      </c>
      <c r="C87" s="43"/>
      <c r="D87" s="51" t="str" cm="1">
        <f t="array" ref="D87">IFERROR(INDEX(DB!G$2:G$2576,T87),"")</f>
        <v>슬라브단부</v>
      </c>
      <c r="E87" s="43"/>
      <c r="F87" s="52" t="str" cm="1">
        <f t="array" ref="F87">IFERROR(INDEX(DB!O$2:O$2576,T87),"")</f>
        <v>떨어짐</v>
      </c>
      <c r="G87" s="43"/>
      <c r="H87" s="40" t="str" cm="1">
        <f t="array" ref="H87">IFERROR(INDEX(DB!P$2:P$2576,T87),"")</f>
        <v>2017년 12월 수리시설 보수공사에서 재해자가 계단식 옹벽 위에서 보양작업 중 실족하여 6.6m 아래 바닥으로 추락하여 사망</v>
      </c>
      <c r="I87" s="43"/>
      <c r="J87" s="53" t="str" cm="1">
        <f t="array" ref="J87">IFERROR(INDEX(DB!Q$2:Q$2576,T87),"")</f>
        <v>안전난간이 설치되지 않은 소단부에서 이동 중 미끄러져 몸의 중심을 잃고 지면으로 떨어짐</v>
      </c>
      <c r="K87" s="43"/>
      <c r="L87" s="41" t="str" cm="1">
        <f t="array" ref="L87">IFERROR(INDEX(DB!R$2:R$2576,T87),"")</f>
        <v>▶ 작업자가 법면 상부 등으로 불필요한 이동을 금하고 작업자 이동통로 설치
▶ 근로자가 추락하거나 넘어질 위험이 있는 상부에서 작업 시 안전난간을 설치하고 추락방지조치 실시하고 부득이한 경우 접근방책 등을 설치
▶ 근로자가 추락하거나 넘어질 위험이 있는 상부에서 작업 시 개인보호구(안전모, 안전대 등) 지급 및 착용</v>
      </c>
      <c r="M87" s="43"/>
      <c r="P87" cm="1">
        <f t="array" ref="P87">IFERROR(_xlfn.AGGREGATE(15,6,ROW(DB!A$2:A$2576)/((($D$3&lt;&gt;"YES")+($D$3="YES")*(DB!E$2:E$2576="YES"))*(($D$4="")+($D$4&lt;&gt;"")*( DB!B$2:B$2576=$D$4))*(($D$5="")+($D$5&lt;&gt;"")*( DB!C$2:C$2576=$D$5))*(($D$6="")+($D$6&lt;&gt;"")*( DB!D$2:D$2576=$D$6))*(($D$7="")+($D$7&lt;&gt;"")*(ISNUMBER(SEARCH($D$7,DB!G$2:G$2576))))*(($F$7="전체")+($F$7&lt;&gt;"전체")*(DB!H$2:H$2576=$F$7))),ROW()-13)-1,"")</f>
        <v>1578</v>
      </c>
      <c r="Q87" t="str" cm="1">
        <f t="array" ref="Q87">IFERROR(INDEX(DB!G$2:G$2576,P87),"")</f>
        <v>배관</v>
      </c>
      <c r="R87" t="str" cm="1">
        <f t="array" ref="R87">IFERROR(INDEX(DB!O$2:O$2576,P87),"")</f>
        <v>절단 베임 찔림</v>
      </c>
      <c r="S87">
        <f t="shared" si="6"/>
        <v>249970.07399999999</v>
      </c>
      <c r="T87">
        <f t="shared" si="7"/>
        <v>2026</v>
      </c>
    </row>
    <row r="88" spans="1:20" ht="100" customHeight="1">
      <c r="A88" s="26"/>
      <c r="B88" s="39">
        <f t="shared" si="5"/>
        <v>75</v>
      </c>
      <c r="C88" s="43"/>
      <c r="D88" s="51" t="str" cm="1">
        <f t="array" ref="D88">IFERROR(INDEX(DB!G$2:G$2576,T88),"")</f>
        <v>슬라브단부</v>
      </c>
      <c r="E88" s="43"/>
      <c r="F88" s="52" t="str" cm="1">
        <f t="array" ref="F88">IFERROR(INDEX(DB!O$2:O$2576,T88),"")</f>
        <v>떨어짐</v>
      </c>
      <c r="G88" s="43"/>
      <c r="H88" s="40" t="str" cm="1">
        <f t="array" ref="H88">IFERROR(INDEX(DB!P$2:P$2576,T88),"")</f>
        <v>2021년 4월경 생활주택 신축공사에서 재해자가 옹벽단부에서 자재를 옮기던 중 몸의 중심을 잃고 3.5m 바닥으로 추락하여 사망</v>
      </c>
      <c r="I88" s="43"/>
      <c r="J88" s="53" t="str" cm="1">
        <f t="array" ref="J88">IFERROR(INDEX(DB!Q$2:Q$2576,T88),"")</f>
        <v>안전난간이 설치되지 않은 소단부에서 이동 중 미끄러져 몸의 중심을 잃고 지면으로 떨어짐</v>
      </c>
      <c r="K88" s="43"/>
      <c r="L88" s="41" t="str" cm="1">
        <f t="array" ref="L88">IFERROR(INDEX(DB!R$2:R$2576,T88),"")</f>
        <v>▶ 작업자가 법면 상부 등으로 불필요한 이동을 금하고 작업자 이동통로 설치
▶ 근로자가 추락하거나 넘어질 위험이 있는 상부에서 작업 시 안전난간을 설치하고 추락방지조치 실시하고 부득이한 경우 접근방책 등을 설치
▶ 근로자가 추락하거나 넘어질 위험이 있는 상부에서 작업 시 개인보호구(안전모, 안전대 등) 지급 및 착용</v>
      </c>
      <c r="M88" s="43"/>
      <c r="P88" cm="1">
        <f t="array" ref="P88">IFERROR(_xlfn.AGGREGATE(15,6,ROW(DB!A$2:A$2576)/((($D$3&lt;&gt;"YES")+($D$3="YES")*(DB!E$2:E$2576="YES"))*(($D$4="")+($D$4&lt;&gt;"")*( DB!B$2:B$2576=$D$4))*(($D$5="")+($D$5&lt;&gt;"")*( DB!C$2:C$2576=$D$5))*(($D$6="")+($D$6&lt;&gt;"")*( DB!D$2:D$2576=$D$6))*(($D$7="")+($D$7&lt;&gt;"")*(ISNUMBER(SEARCH($D$7,DB!G$2:G$2576))))*(($F$7="전체")+($F$7&lt;&gt;"전체")*(DB!H$2:H$2576=$F$7))),ROW()-13)-1,"")</f>
        <v>1579</v>
      </c>
      <c r="Q88" t="str" cm="1">
        <f t="array" ref="Q88">IFERROR(INDEX(DB!G$2:G$2576,P88),"")</f>
        <v>배관</v>
      </c>
      <c r="R88" t="str" cm="1">
        <f t="array" ref="R88">IFERROR(INDEX(DB!O$2:O$2576,P88),"")</f>
        <v>부딪힘 접촉</v>
      </c>
      <c r="S88">
        <f t="shared" si="6"/>
        <v>249941.07500000001</v>
      </c>
      <c r="T88">
        <f t="shared" si="7"/>
        <v>2027</v>
      </c>
    </row>
    <row r="89" spans="1:20" ht="100" customHeight="1">
      <c r="A89" s="26"/>
      <c r="B89" s="42">
        <f t="shared" si="5"/>
        <v>76</v>
      </c>
      <c r="C89" s="43"/>
      <c r="D89" s="51" t="str" cm="1">
        <f t="array" ref="D89">IFERROR(INDEX(DB!G$2:G$2576,T89),"")</f>
        <v>슬라브단부</v>
      </c>
      <c r="E89" s="43"/>
      <c r="F89" s="52" t="str" cm="1">
        <f t="array" ref="F89">IFERROR(INDEX(DB!O$2:O$2576,T89),"")</f>
        <v>떨어짐</v>
      </c>
      <c r="G89" s="43"/>
      <c r="H89" s="40" t="str" cm="1">
        <f t="array" ref="H89">IFERROR(INDEX(DB!P$2:P$2576,T89),"")</f>
        <v>2015년 4월경 하천 정비사업 현장에서 재해자가 폭 90cm 소단 위에서 석축쌓기 작업을 하던 중 몸의 중심을 잃고 2.3m 아래 하천바닥으로 떨어져 사망</v>
      </c>
      <c r="I89" s="43"/>
      <c r="J89" s="53" t="str" cm="1">
        <f t="array" ref="J89">IFERROR(INDEX(DB!Q$2:Q$2576,T89),"")</f>
        <v>절토사면 보강을 위해 숏크리트가 시공된 사면에서 상부 요철을 제거하던 중 안전난간이 미설치된 사면 단부로 추락</v>
      </c>
      <c r="K89" s="43"/>
      <c r="L89" s="41" t="str" cm="1">
        <f t="array" ref="L89">IFERROR(INDEX(DB!R$2:R$2576,T89),"")</f>
        <v>▶ 작업자가 법면 상부 등으로 불필요한 이동을 금하고 작업자 이동통로 설치
▶ 근로자가 추락하거나 넘어질 위험이 있는 상부에서 작업 시 안전난간을 설치하고 추락방지조치 실시하고 부득이한 경우 접근방책 등을 설치
▶ 근로자가 추락하거나 넘어질 위험이 있는 상부에서 작업 시 개인보호구(안전모, 안전대 등) 지급 및 착용</v>
      </c>
      <c r="M89" s="43"/>
      <c r="P89" cm="1">
        <f t="array" ref="P89">IFERROR(_xlfn.AGGREGATE(15,6,ROW(DB!A$2:A$2576)/((($D$3&lt;&gt;"YES")+($D$3="YES")*(DB!E$2:E$2576="YES"))*(($D$4="")+($D$4&lt;&gt;"")*( DB!B$2:B$2576=$D$4))*(($D$5="")+($D$5&lt;&gt;"")*( DB!C$2:C$2576=$D$5))*(($D$6="")+($D$6&lt;&gt;"")*( DB!D$2:D$2576=$D$6))*(($D$7="")+($D$7&lt;&gt;"")*(ISNUMBER(SEARCH($D$7,DB!G$2:G$2576))))*(($F$7="전체")+($F$7&lt;&gt;"전체")*(DB!H$2:H$2576=$F$7))),ROW()-13)-1,"")</f>
        <v>1580</v>
      </c>
      <c r="Q89" t="str" cm="1">
        <f t="array" ref="Q89">IFERROR(INDEX(DB!G$2:G$2576,P89),"")</f>
        <v>배관</v>
      </c>
      <c r="R89" t="str" cm="1">
        <f t="array" ref="R89">IFERROR(INDEX(DB!O$2:O$2576,P89),"")</f>
        <v>부딪힘 접촉</v>
      </c>
      <c r="S89">
        <f t="shared" si="6"/>
        <v>249941.076</v>
      </c>
      <c r="T89">
        <f t="shared" si="7"/>
        <v>2028</v>
      </c>
    </row>
    <row r="90" spans="1:20" ht="100" customHeight="1">
      <c r="A90" s="26"/>
      <c r="B90" s="39">
        <f t="shared" si="5"/>
        <v>77</v>
      </c>
      <c r="C90" s="43"/>
      <c r="D90" s="51" t="str" cm="1">
        <f t="array" ref="D90">IFERROR(INDEX(DB!G$2:G$2576,T90),"")</f>
        <v>암석</v>
      </c>
      <c r="E90" s="43"/>
      <c r="F90" s="52" t="str" cm="1">
        <f t="array" ref="F90">IFERROR(INDEX(DB!O$2:O$2576,T90),"")</f>
        <v>떨어짐</v>
      </c>
      <c r="G90" s="43"/>
      <c r="H90" s="40" t="str" cm="1">
        <f t="array" ref="H90">IFERROR(INDEX(DB!P$2:P$2576,T90),"")</f>
        <v xml:space="preserve">2018년 3월경, OOO도 OO군 소재 ㈜OOOO이 시공하는  OOOO정비사업 현장에서 재해자가 우수관(콘크리트 U관) 설치작업 중 우수관 연결부 이음재료인 모르타르의 비빔에 필요한 물을 긷기 위해 현장에서 약 5m 떨어진 곳에 있는 개울로 양동이를 들고 내려가던 중 몸의 중심을 잃고 높이 약 1.8m 아래 개울로 떨어지면서 그 충격으로 기절한 뒤 익사하여 사망한 재해임. </v>
      </c>
      <c r="I90" s="43"/>
      <c r="J90" s="53" t="str" cm="1">
        <f t="array" ref="J90">IFERROR(INDEX(DB!Q$2:Q$2576,T90),"")</f>
        <v>관 연결부 이음재료인 모르타르 비빔을 위해 인근 개울로 물을 뜨러 내려가던 중 개울에 떨어져 익사</v>
      </c>
      <c r="K90" s="43"/>
      <c r="L90" s="41" t="str" cm="1">
        <f t="array" ref="L90">IFERROR(INDEX(DB!R$2:R$2576,T90),"")</f>
        <v>▶ 작업자가 법면 상부 등으로 불필요한 이동을 금하고 작업자 이동통로 설치
▶ 근로자가 추락하거나 넘어질 위험이 있는 상부에서 작업 시 안전난간을 설치하고 추락방지조치 실시하고 부득이한 경우 접근방책 등을 설치
▶ 근로자가 추락하거나 넘어질 위험이 있는 상부에서 작업 시 개인보호구(안전모, 안전대 등) 지급 및 착용</v>
      </c>
      <c r="M90" s="43"/>
      <c r="P90" cm="1">
        <f t="array" ref="P90">IFERROR(_xlfn.AGGREGATE(15,6,ROW(DB!A$2:A$2576)/((($D$3&lt;&gt;"YES")+($D$3="YES")*(DB!E$2:E$2576="YES"))*(($D$4="")+($D$4&lt;&gt;"")*( DB!B$2:B$2576=$D$4))*(($D$5="")+($D$5&lt;&gt;"")*( DB!C$2:C$2576=$D$5))*(($D$6="")+($D$6&lt;&gt;"")*( DB!D$2:D$2576=$D$6))*(($D$7="")+($D$7&lt;&gt;"")*(ISNUMBER(SEARCH($D$7,DB!G$2:G$2576))))*(($F$7="전체")+($F$7&lt;&gt;"전체")*(DB!H$2:H$2576=$F$7))),ROW()-13)-1,"")</f>
        <v>1581</v>
      </c>
      <c r="Q90" t="str" cm="1">
        <f t="array" ref="Q90">IFERROR(INDEX(DB!G$2:G$2576,P90),"")</f>
        <v>배관</v>
      </c>
      <c r="R90" t="str" cm="1">
        <f t="array" ref="R90">IFERROR(INDEX(DB!O$2:O$2576,P90),"")</f>
        <v>폭발</v>
      </c>
      <c r="S90">
        <f t="shared" si="6"/>
        <v>249972.07699999999</v>
      </c>
      <c r="T90">
        <f t="shared" si="7"/>
        <v>2121</v>
      </c>
    </row>
    <row r="91" spans="1:20" ht="100" customHeight="1">
      <c r="A91" s="26"/>
      <c r="B91" s="42">
        <f t="shared" si="5"/>
        <v>78</v>
      </c>
      <c r="C91" s="43"/>
      <c r="D91" s="51" t="str" cm="1">
        <f t="array" ref="D91">IFERROR(INDEX(DB!G$2:G$2576,T91),"")</f>
        <v>암석</v>
      </c>
      <c r="E91" s="43"/>
      <c r="F91" s="52" t="str" cm="1">
        <f t="array" ref="F91">IFERROR(INDEX(DB!O$2:O$2576,T91),"")</f>
        <v>무너짐</v>
      </c>
      <c r="G91" s="43"/>
      <c r="H91" s="40" t="str" cm="1">
        <f t="array" ref="H91">IFERROR(INDEX(DB!P$2:P$2576,T91),"")</f>
        <v>2020년 9월경, OOO도 OO시 소재 OOOO(주) OOOO 기반시설공사 현장에서, 하도급업체 OOOO(주) 소속 재해자 두 명이 오수관로 설치를 위해 굴착저면에서 작업 중 굴착법면 및 조경석이 붕괴되면서 재해자 2명이 매몰되어 1명은 사망하고 1명이 부상한 재해임.</v>
      </c>
      <c r="I91" s="43"/>
      <c r="J91" s="53" t="str" cm="1">
        <f t="array" ref="J91">IFERROR(INDEX(DB!Q$2:Q$2576,T91),"")</f>
        <v>관로 부설을 위한 굴착 중 굴착사면과 조경석이 무너지면서 근로자 매몰</v>
      </c>
      <c r="K91" s="43"/>
      <c r="L91" s="41" t="str" cm="1">
        <f t="array" ref="L91">IFERROR(INDEX(DB!R$2:R$2576,T91),"")</f>
        <v>▶ 굴착작업 중 인접 구조물의 전도위험 방지(견고한 지지대 설치 등) 조치 실시
▶ 기존 구조물 등이 근접해있는 경우 진동 및 충격 등에 의한 사전 안전성평가 실시
▶ 굴착면의 기울기 기준 준수 및 간이 흙막이 등 설치 
▶ 굴착작업 주변 지반 사전조사 및 작업계획서 작성</v>
      </c>
      <c r="M91" s="43"/>
      <c r="P91" cm="1">
        <f t="array" ref="P91">IFERROR(_xlfn.AGGREGATE(15,6,ROW(DB!A$2:A$2576)/((($D$3&lt;&gt;"YES")+($D$3="YES")*(DB!E$2:E$2576="YES"))*(($D$4="")+($D$4&lt;&gt;"")*( DB!B$2:B$2576=$D$4))*(($D$5="")+($D$5&lt;&gt;"")*( DB!C$2:C$2576=$D$5))*(($D$6="")+($D$6&lt;&gt;"")*( DB!D$2:D$2576=$D$6))*(($D$7="")+($D$7&lt;&gt;"")*(ISNUMBER(SEARCH($D$7,DB!G$2:G$2576))))*(($F$7="전체")+($F$7&lt;&gt;"전체")*(DB!H$2:H$2576=$F$7))),ROW()-13)-1,"")</f>
        <v>1595</v>
      </c>
      <c r="Q91" t="str" cm="1">
        <f t="array" ref="Q91">IFERROR(INDEX(DB!G$2:G$2576,P91),"")</f>
        <v>벽체</v>
      </c>
      <c r="R91" t="str" cm="1">
        <f t="array" ref="R91">IFERROR(INDEX(DB!O$2:O$2576,P91),"")</f>
        <v>무너짐</v>
      </c>
      <c r="S91">
        <f t="shared" si="6"/>
        <v>250490.07800000001</v>
      </c>
      <c r="T91">
        <f t="shared" si="7"/>
        <v>2120</v>
      </c>
    </row>
    <row r="92" spans="1:20" ht="100" customHeight="1">
      <c r="A92" s="26"/>
      <c r="B92" s="39">
        <f t="shared" si="5"/>
        <v>79</v>
      </c>
      <c r="C92" s="43"/>
      <c r="D92" s="51" t="str" cm="1">
        <f t="array" ref="D92">IFERROR(INDEX(DB!G$2:G$2576,T92),"")</f>
        <v>암석</v>
      </c>
      <c r="E92" s="43"/>
      <c r="F92" s="52" t="str" cm="1">
        <f t="array" ref="F92">IFERROR(INDEX(DB!O$2:O$2576,T92),"")</f>
        <v>무너짐</v>
      </c>
      <c r="G92" s="43"/>
      <c r="H92" s="40" t="str" cm="1">
        <f t="array" ref="H92">IFERROR(INDEX(DB!P$2:P$2576,T92),"")</f>
        <v>2021년 9월경 OOO도 OO시 OO동 소재 상수도관 신설공사 현장에서 상수도관 매설을 위해 폭 0.7m, 깊이 0.8m로 굴착된 관로에 재해자 2명이 내려가 바닥 평탄화 작업 및 상수도관 매설 작업 중 굴착구간에 인접한 조경석이 굴착된 관로로 무너지며 1명은 사망하고 1명은 부상을 입음.</v>
      </c>
      <c r="I92" s="43"/>
      <c r="J92" s="53" t="str" cm="1">
        <f t="array" ref="J92">IFERROR(INDEX(DB!Q$2:Q$2576,T92),"")</f>
        <v>관로 부설을 위한 굴착 중 굴착사면과 조경석이 무너지면서 근로자 매몰</v>
      </c>
      <c r="K92" s="43"/>
      <c r="L92" s="41" t="str" cm="1">
        <f t="array" ref="L92">IFERROR(INDEX(DB!R$2:R$2576,T92),"")</f>
        <v>▶ 굴착작업 중 인접 구조물의 전도위험 방지(견고한 지지대 설치 등) 조치 실시
▶ 기존 구조물 등이 근접해있는 경우 진동 및 충격 등에 의한 사전 안전성평가 실시
▶ 굴착면의 기울기 기준 준수 및 간이 흙막이 등 설치 
▶ 굴착작업 주변 지반 사전조사 및 작업계획서 작성</v>
      </c>
      <c r="M92" s="43"/>
      <c r="P92" cm="1">
        <f t="array" ref="P92">IFERROR(_xlfn.AGGREGATE(15,6,ROW(DB!A$2:A$2576)/((($D$3&lt;&gt;"YES")+($D$3="YES")*(DB!E$2:E$2576="YES"))*(($D$4="")+($D$4&lt;&gt;"")*( DB!B$2:B$2576=$D$4))*(($D$5="")+($D$5&lt;&gt;"")*( DB!C$2:C$2576=$D$5))*(($D$6="")+($D$6&lt;&gt;"")*( DB!D$2:D$2576=$D$6))*(($D$7="")+($D$7&lt;&gt;"")*(ISNUMBER(SEARCH($D$7,DB!G$2:G$2576))))*(($F$7="전체")+($F$7&lt;&gt;"전체")*(DB!H$2:H$2576=$F$7))),ROW()-13)-1,"")</f>
        <v>1596</v>
      </c>
      <c r="Q92" t="str" cm="1">
        <f t="array" ref="Q92">IFERROR(INDEX(DB!G$2:G$2576,P92),"")</f>
        <v>벽체</v>
      </c>
      <c r="R92" t="str" cm="1">
        <f t="array" ref="R92">IFERROR(INDEX(DB!O$2:O$2576,P92),"")</f>
        <v>무너짐</v>
      </c>
      <c r="S92">
        <f t="shared" si="6"/>
        <v>250490.079</v>
      </c>
      <c r="T92">
        <f t="shared" si="7"/>
        <v>2122</v>
      </c>
    </row>
    <row r="93" spans="1:20" ht="100" customHeight="1">
      <c r="A93" s="26"/>
      <c r="B93" s="42">
        <f t="shared" si="5"/>
        <v>80</v>
      </c>
      <c r="C93" s="43"/>
      <c r="D93" s="51" t="str" cm="1">
        <f t="array" ref="D93">IFERROR(INDEX(DB!G$2:G$2576,T93),"")</f>
        <v>이동식크레인</v>
      </c>
      <c r="E93" s="43"/>
      <c r="F93" s="52" t="str" cm="1">
        <f t="array" ref="F93">IFERROR(INDEX(DB!O$2:O$2576,T93),"")</f>
        <v>떨어짐</v>
      </c>
      <c r="G93" s="43"/>
      <c r="H93" s="40" t="str" cm="1">
        <f t="array" ref="H93">IFERROR(INDEX(DB!P$2:P$2576,T93),"")</f>
        <v>2018년 12월경 도로확포장공사에서 재해자가 작업대차에 탑승한채로 이동식 크레인을 사용하여 작업장소 주변으로 이동하던 중 와이어로프 이탈로 8.5m 아래 바닥으로 추락하여 사망</v>
      </c>
      <c r="I93" s="43"/>
      <c r="J93" s="53" t="str" cm="1">
        <f t="array" ref="J93">IFERROR(INDEX(DB!Q$2:Q$2576,T93),"")</f>
        <v>이동식 크레인 후크에 연결된 와이어로프 파단으로 인양중인 작업대차와 함께 추락</v>
      </c>
      <c r="K93" s="43"/>
      <c r="L93" s="41" t="str" cm="1">
        <f t="array" ref="L93">IFERROR(INDEX(DB!R$2:R$2576,T93),"")</f>
        <v>▶ 중량물을 인양 전 작업계획서를 작성하고 인양하중, 양중기 제원 등을 확인하여 작업계획에 맞게 작업실시
▶ 작업 전 와이어로프의 손상여부를 확인하고, 작업 중 와이어로프 손상 시 즉시교체 후 작업 실시</v>
      </c>
      <c r="M93" s="43"/>
      <c r="P93" cm="1">
        <f t="array" ref="P93">IFERROR(_xlfn.AGGREGATE(15,6,ROW(DB!A$2:A$2576)/((($D$3&lt;&gt;"YES")+($D$3="YES")*(DB!E$2:E$2576="YES"))*(($D$4="")+($D$4&lt;&gt;"")*( DB!B$2:B$2576=$D$4))*(($D$5="")+($D$5&lt;&gt;"")*( DB!C$2:C$2576=$D$5))*(($D$6="")+($D$6&lt;&gt;"")*( DB!D$2:D$2576=$D$6))*(($D$7="")+($D$7&lt;&gt;"")*(ISNUMBER(SEARCH($D$7,DB!G$2:G$2576))))*(($F$7="전체")+($F$7&lt;&gt;"전체")*(DB!H$2:H$2576=$F$7))),ROW()-13)-1,"")</f>
        <v>1597</v>
      </c>
      <c r="Q93" t="str" cm="1">
        <f t="array" ref="Q93">IFERROR(INDEX(DB!G$2:G$2576,P93),"")</f>
        <v>벽체</v>
      </c>
      <c r="R93" t="str" cm="1">
        <f t="array" ref="R93">IFERROR(INDEX(DB!O$2:O$2576,P93),"")</f>
        <v>무너짐</v>
      </c>
      <c r="S93">
        <f t="shared" si="6"/>
        <v>250490.08</v>
      </c>
      <c r="T93">
        <f t="shared" si="7"/>
        <v>363</v>
      </c>
    </row>
    <row r="94" spans="1:20" ht="100" customHeight="1">
      <c r="A94" s="26"/>
      <c r="B94" s="39">
        <f t="shared" si="5"/>
        <v>81</v>
      </c>
      <c r="C94" s="43"/>
      <c r="D94" s="51" t="str" cm="1">
        <f t="array" ref="D94">IFERROR(INDEX(DB!G$2:G$2576,T94),"")</f>
        <v>원인미상</v>
      </c>
      <c r="E94" s="43"/>
      <c r="F94" s="52" t="str" cm="1">
        <f t="array" ref="F94">IFERROR(INDEX(DB!O$2:O$2576,T94),"")</f>
        <v>원인미상</v>
      </c>
      <c r="G94" s="43"/>
      <c r="H94" s="40" t="str" cm="1">
        <f t="array" ref="H94">IFERROR(INDEX(DB!P$2:P$2576,T94),"")</f>
        <v>2017년 7월경 공공주택지구 조경공사에서 재해자가 자재 전달 작업을 하던 중 이상증세를 보여 쉬던 중 쓰러져 사망</v>
      </c>
      <c r="I94" s="43"/>
      <c r="J94" s="53" t="str" cm="1">
        <f t="array" ref="J94">IFERROR(INDEX(DB!Q$2:Q$2576,T94),"")</f>
        <v>옹벽 거푸집 공사를 위해 사면에 걸쳐있는 무늬목을 형틀공에게 전달하는 작업 중 몸을 가누지 못하는 등 이상증세를 보여 들고 있던 무늬목을 놓고 앉은 상태에서 바로 쓰러짐</v>
      </c>
      <c r="K94" s="43"/>
      <c r="L94" s="41" t="str" cm="1">
        <f t="array" ref="L94">IFERROR(INDEX(DB!R$2:R$2576,T94),"")</f>
        <v>▶ 원인 미상</v>
      </c>
      <c r="M94" s="43"/>
      <c r="P94" cm="1">
        <f t="array" ref="P94">IFERROR(_xlfn.AGGREGATE(15,6,ROW(DB!A$2:A$2576)/((($D$3&lt;&gt;"YES")+($D$3="YES")*(DB!E$2:E$2576="YES"))*(($D$4="")+($D$4&lt;&gt;"")*( DB!B$2:B$2576=$D$4))*(($D$5="")+($D$5&lt;&gt;"")*( DB!C$2:C$2576=$D$5))*(($D$6="")+($D$6&lt;&gt;"")*( DB!D$2:D$2576=$D$6))*(($D$7="")+($D$7&lt;&gt;"")*(ISNUMBER(SEARCH($D$7,DB!G$2:G$2576))))*(($F$7="전체")+($F$7&lt;&gt;"전체")*(DB!H$2:H$2576=$F$7))),ROW()-13)-1,"")</f>
        <v>1598</v>
      </c>
      <c r="Q94" t="str" cm="1">
        <f t="array" ref="Q94">IFERROR(INDEX(DB!G$2:G$2576,P94),"")</f>
        <v>벽체</v>
      </c>
      <c r="R94" t="str" cm="1">
        <f t="array" ref="R94">IFERROR(INDEX(DB!O$2:O$2576,P94),"")</f>
        <v>무너짐</v>
      </c>
      <c r="S94">
        <f t="shared" si="6"/>
        <v>250490.08100000001</v>
      </c>
      <c r="T94">
        <f t="shared" si="7"/>
        <v>1634</v>
      </c>
    </row>
    <row r="95" spans="1:20" ht="100" customHeight="1">
      <c r="A95" s="26"/>
      <c r="B95" s="42">
        <f t="shared" si="5"/>
        <v>82</v>
      </c>
      <c r="C95" s="43"/>
      <c r="D95" s="51" t="str" cm="1">
        <f t="array" ref="D95">IFERROR(INDEX(DB!G$2:G$2576,T95),"")</f>
        <v>작업발판/가설계단</v>
      </c>
      <c r="E95" s="43"/>
      <c r="F95" s="52" t="str" cm="1">
        <f t="array" ref="F95">IFERROR(INDEX(DB!O$2:O$2576,T95),"")</f>
        <v>떨어짐</v>
      </c>
      <c r="G95" s="43"/>
      <c r="H95" s="40" t="str" cm="1">
        <f t="array" ref="H95">IFERROR(INDEX(DB!P$2:P$2576,T95),"")</f>
        <v>2016년 4월경 공장부지 옹벽공사 현장에서 재해자가 거푸집 조립작업 중 2.4m 높이의 작업발판에서 추락하여 사망</v>
      </c>
      <c r="I95" s="43"/>
      <c r="J95" s="53" t="str" cm="1">
        <f t="array" ref="J95">IFERROR(INDEX(DB!Q$2:Q$2576,T95),"")</f>
        <v>안전난간이 미설치된 비계 작업발판, 가설계단 위에서 이동 또는 작업 중 추락</v>
      </c>
      <c r="K95" s="43"/>
      <c r="L95" s="41" t="str" cm="1">
        <f t="array" ref="L95">IFERROR(INDEX(DB!R$2:R$2576,T95),"")</f>
        <v>▶ 떨어짐 위험이 있는 고소작업의 경우 작업자의 무게 등의 하중을 지지할 수 있는 견고한 구조로 작업발판 설치
▶ 2m 이상 높이의 장소에서 작업 시 안전난간이나 추락방호망을 설치하기 곤란할 경우 안전대 착용 및 안전대 부착설비 설치</v>
      </c>
      <c r="M95" s="43"/>
      <c r="P95" cm="1">
        <f t="array" ref="P95">IFERROR(_xlfn.AGGREGATE(15,6,ROW(DB!A$2:A$2576)/((($D$3&lt;&gt;"YES")+($D$3="YES")*(DB!E$2:E$2576="YES"))*(($D$4="")+($D$4&lt;&gt;"")*( DB!B$2:B$2576=$D$4))*(($D$5="")+($D$5&lt;&gt;"")*( DB!C$2:C$2576=$D$5))*(($D$6="")+($D$6&lt;&gt;"")*( DB!D$2:D$2576=$D$6))*(($D$7="")+($D$7&lt;&gt;"")*(ISNUMBER(SEARCH($D$7,DB!G$2:G$2576))))*(($F$7="전체")+($F$7&lt;&gt;"전체")*(DB!H$2:H$2576=$F$7))),ROW()-13)-1,"")</f>
        <v>1634</v>
      </c>
      <c r="Q95" t="str" cm="1">
        <f t="array" ref="Q95">IFERROR(INDEX(DB!G$2:G$2576,P95),"")</f>
        <v>원인미상</v>
      </c>
      <c r="R95" t="str" cm="1">
        <f t="array" ref="R95">IFERROR(INDEX(DB!O$2:O$2576,P95),"")</f>
        <v>원인미상</v>
      </c>
      <c r="S95">
        <f t="shared" si="6"/>
        <v>252265.08199999999</v>
      </c>
      <c r="T95">
        <f t="shared" si="7"/>
        <v>2245</v>
      </c>
    </row>
    <row r="96" spans="1:20" ht="100" customHeight="1">
      <c r="A96" s="26"/>
      <c r="B96" s="39">
        <f t="shared" si="5"/>
        <v>83</v>
      </c>
      <c r="C96" s="43"/>
      <c r="D96" s="51" t="str" cm="1">
        <f t="array" ref="D96">IFERROR(INDEX(DB!G$2:G$2576,T96),"")</f>
        <v>전주</v>
      </c>
      <c r="E96" s="43"/>
      <c r="F96" s="52" t="str" cm="1">
        <f t="array" ref="F96">IFERROR(INDEX(DB!O$2:O$2576,T96),"")</f>
        <v>떨어짐</v>
      </c>
      <c r="G96" s="43"/>
      <c r="H96" s="40" t="str" cm="1">
        <f t="array" ref="H96">IFERROR(INDEX(DB!P$2:P$2576,T96),"")</f>
        <v>2017년 3월경 통신선로 이설공사에서 재해자가 강관전주 근입 터파기 부위에서 되메우기 작업 중 미끄러져 3.5m 아래 하천바닥으로 추락하여 사망</v>
      </c>
      <c r="I96" s="43"/>
      <c r="J96" s="53" t="str" cm="1">
        <f t="array" ref="J96">IFERROR(INDEX(DB!Q$2:Q$2576,T96),"")</f>
        <v>전주 위에서 전선 이설작업 후 지상으로 내려오던 중 몸의 균형을 잃고 바닥으로 추락</v>
      </c>
      <c r="K96" s="43"/>
      <c r="L96" s="41" t="str" cm="1">
        <f t="array" ref="L96">IFERROR(INDEX(DB!R$2:R$2576,T96),"")</f>
        <v>▶ 전주로의 승하강 시, 발판볼트, 고소작업차, 안전대부착설비 등 추락방지조치 실시
▶ 작업 전 안전대 지급 및 체결상태 관리</v>
      </c>
      <c r="M96" s="43"/>
      <c r="P96" cm="1">
        <f t="array" ref="P96">IFERROR(_xlfn.AGGREGATE(15,6,ROW(DB!A$2:A$2576)/((($D$3&lt;&gt;"YES")+($D$3="YES")*(DB!E$2:E$2576="YES"))*(($D$4="")+($D$4&lt;&gt;"")*( DB!B$2:B$2576=$D$4))*(($D$5="")+($D$5&lt;&gt;"")*( DB!C$2:C$2576=$D$5))*(($D$6="")+($D$6&lt;&gt;"")*( DB!D$2:D$2576=$D$6))*(($D$7="")+($D$7&lt;&gt;"")*(ISNUMBER(SEARCH($D$7,DB!G$2:G$2576))))*(($F$7="전체")+($F$7&lt;&gt;"전체")*(DB!H$2:H$2576=$F$7))),ROW()-13)-1,"")</f>
        <v>1635</v>
      </c>
      <c r="Q96" t="str" cm="1">
        <f t="array" ref="Q96">IFERROR(INDEX(DB!G$2:G$2576,P96),"")</f>
        <v>분류불능</v>
      </c>
      <c r="R96" t="str" cm="1">
        <f t="array" ref="R96">IFERROR(INDEX(DB!O$2:O$2576,P96),"")</f>
        <v>떨어짐</v>
      </c>
      <c r="S96">
        <f t="shared" si="6"/>
        <v>250851.08300000001</v>
      </c>
      <c r="T96">
        <f t="shared" si="7"/>
        <v>2331</v>
      </c>
    </row>
    <row r="97" spans="1:20" ht="100" customHeight="1">
      <c r="A97" s="26"/>
      <c r="B97" s="42">
        <f t="shared" si="5"/>
        <v>84</v>
      </c>
      <c r="C97" s="43"/>
      <c r="D97" s="51" t="str" cm="1">
        <f t="array" ref="D97">IFERROR(INDEX(DB!G$2:G$2576,T97),"")</f>
        <v>전주</v>
      </c>
      <c r="E97" s="43"/>
      <c r="F97" s="52" t="str" cm="1">
        <f t="array" ref="F97">IFERROR(INDEX(DB!O$2:O$2576,T97),"")</f>
        <v>떨어짐</v>
      </c>
      <c r="G97" s="43"/>
      <c r="H97" s="40" t="str" cm="1">
        <f t="array" ref="H97">IFERROR(INDEX(DB!P$2:P$2576,T97),"")</f>
        <v>2018년 9월경 지장전주 이설공사에서 재해자가 전선 이설작업 후 지상으로 내려오던 중 4.5m 지상 바닥으로 추락하여 사망</v>
      </c>
      <c r="I97" s="43"/>
      <c r="J97" s="53" t="str" cm="1">
        <f t="array" ref="J97">IFERROR(INDEX(DB!Q$2:Q$2576,T97),"")</f>
        <v>전주 위에서 전선 이설작업 후 지상으로 내려오던 중 몸의 균형을 잃고 바닥으로 추락</v>
      </c>
      <c r="K97" s="43"/>
      <c r="L97" s="41" t="str" cm="1">
        <f t="array" ref="L97">IFERROR(INDEX(DB!R$2:R$2576,T97),"")</f>
        <v>▶ 전주로의 승하강 시, 발판볼트, 고소작업차, 안전대부착설비 등 추락방지조치 실시
▶ 작업 전 안전대 지급 및 체결상태 관리</v>
      </c>
      <c r="M97" s="43"/>
      <c r="P97" cm="1">
        <f t="array" ref="P97">IFERROR(_xlfn.AGGREGATE(15,6,ROW(DB!A$2:A$2576)/((($D$3&lt;&gt;"YES")+($D$3="YES")*(DB!E$2:E$2576="YES"))*(($D$4="")+($D$4&lt;&gt;"")*( DB!B$2:B$2576=$D$4))*(($D$5="")+($D$5&lt;&gt;"")*( DB!C$2:C$2576=$D$5))*(($D$6="")+($D$6&lt;&gt;"")*( DB!D$2:D$2576=$D$6))*(($D$7="")+($D$7&lt;&gt;"")*(ISNUMBER(SEARCH($D$7,DB!G$2:G$2576))))*(($F$7="전체")+($F$7&lt;&gt;"전체")*(DB!H$2:H$2576=$F$7))),ROW()-13)-1,"")</f>
        <v>1673</v>
      </c>
      <c r="Q97" t="str" cm="1">
        <f t="array" ref="Q97">IFERROR(INDEX(DB!G$2:G$2576,P97),"")</f>
        <v>비계</v>
      </c>
      <c r="R97" t="str" cm="1">
        <f t="array" ref="R97">IFERROR(INDEX(DB!O$2:O$2576,P97),"")</f>
        <v>떨어짐</v>
      </c>
      <c r="S97">
        <f t="shared" si="6"/>
        <v>250951.084</v>
      </c>
      <c r="T97">
        <f t="shared" si="7"/>
        <v>2333</v>
      </c>
    </row>
    <row r="98" spans="1:20" ht="100" customHeight="1">
      <c r="A98" s="26"/>
      <c r="B98" s="39">
        <f t="shared" si="5"/>
        <v>85</v>
      </c>
      <c r="C98" s="43"/>
      <c r="D98" s="51" t="str" cm="1">
        <f t="array" ref="D98">IFERROR(INDEX(DB!G$2:G$2576,T98),"")</f>
        <v>절단기/톱</v>
      </c>
      <c r="E98" s="43"/>
      <c r="F98" s="52" t="str" cm="1">
        <f t="array" ref="F98">IFERROR(INDEX(DB!O$2:O$2576,T98),"")</f>
        <v>맞음</v>
      </c>
      <c r="G98" s="43"/>
      <c r="H98" s="40" t="str" cm="1">
        <f t="array" ref="H98">IFERROR(INDEX(DB!P$2:P$2576,T98),"")</f>
        <v>2017년 5월경, OOO도 OO시 소재 OOOO공공주택지구 조성공사 현장에서 재해자가 휴대용 엔진절단기를 사용하여 우수관로(콘크리트흄관, D=250mm)를 절단 작업 중 휴대용 엔진절단기가 튀어 오르면서 재해자의 상체를 강타하여 사망.</v>
      </c>
      <c r="I98" s="43"/>
      <c r="J98" s="53" t="str" cm="1">
        <f t="array" ref="J98">IFERROR(INDEX(DB!Q$2:Q$2576,T98),"")</f>
        <v>근로자가 휴대용 엔진절단기를 사용하여 우수관로를 절단 작업 중 휴대용 엔진 절단기가 튀어 오르면서 근로자를 강타</v>
      </c>
      <c r="K98" s="43"/>
      <c r="L98" s="41" t="str" cm="1">
        <f t="array" ref="L98">IFERROR(INDEX(DB!R$2:R$2576,T98),"")</f>
        <v>▶ 엔진절단기 사용시 절단 작업 중 회전날 노출이 최소화 되도록 날 접촉예방장치 보완 설치
▶ 엔진절단기 사용시 물체를 고정한 상태에서 작업을 수행하며 물체에 크기에 따른 엔진절단기 장비 사용</v>
      </c>
      <c r="M98" s="43"/>
      <c r="P98" cm="1">
        <f t="array" ref="P98">IFERROR(_xlfn.AGGREGATE(15,6,ROW(DB!A$2:A$2576)/((($D$3&lt;&gt;"YES")+($D$3="YES")*(DB!E$2:E$2576="YES"))*(($D$4="")+($D$4&lt;&gt;"")*( DB!B$2:B$2576=$D$4))*(($D$5="")+($D$5&lt;&gt;"")*( DB!C$2:C$2576=$D$5))*(($D$6="")+($D$6&lt;&gt;"")*( DB!D$2:D$2576=$D$6))*(($D$7="")+($D$7&lt;&gt;"")*(ISNUMBER(SEARCH($D$7,DB!G$2:G$2576))))*(($F$7="전체")+($F$7&lt;&gt;"전체")*(DB!H$2:H$2576=$F$7))),ROW()-13)-1,"")</f>
        <v>1999</v>
      </c>
      <c r="Q98" t="str" cm="1">
        <f t="array" ref="Q98">IFERROR(INDEX(DB!G$2:G$2576,P98),"")</f>
        <v>수목</v>
      </c>
      <c r="R98" t="str" cm="1">
        <f t="array" ref="R98">IFERROR(INDEX(DB!O$2:O$2576,P98),"")</f>
        <v>깔림 뒤집힘</v>
      </c>
      <c r="S98">
        <f t="shared" si="6"/>
        <v>251020.08499999999</v>
      </c>
      <c r="T98">
        <f t="shared" si="7"/>
        <v>2162</v>
      </c>
    </row>
    <row r="99" spans="1:20" ht="100" customHeight="1">
      <c r="A99" s="26"/>
      <c r="B99" s="42">
        <f t="shared" si="5"/>
        <v>86</v>
      </c>
      <c r="C99" s="43"/>
      <c r="D99" s="51" t="str" cm="1">
        <f t="array" ref="D99">IFERROR(INDEX(DB!G$2:G$2576,T99),"")</f>
        <v>절단기/톱</v>
      </c>
      <c r="E99" s="43"/>
      <c r="F99" s="52" t="str" cm="1">
        <f t="array" ref="F99">IFERROR(INDEX(DB!O$2:O$2576,T99),"")</f>
        <v>절단 베임 찔림</v>
      </c>
      <c r="G99" s="43"/>
      <c r="H99" s="40" t="str" cm="1">
        <f t="array" ref="H99">IFERROR(INDEX(DB!P$2:P$2576,T99),"")</f>
        <v>2018년 7월경 OO(주) OO지구 지중화 정비 현장에서 재해자가 기계톱을 사용하여 토류판 절단작업 중 토류판에 끼인 톱날을 빼다가 톱날에 목 부위를 베여 사망</v>
      </c>
      <c r="I99" s="43"/>
      <c r="J99" s="53" t="str" cm="1">
        <f t="array" ref="J99">IFERROR(INDEX(DB!Q$2:Q$2576,T99),"")</f>
        <v>토류판 절단 작업 중 토류판에 끼인 톱날을 빼다가 톱날에 목 부위를 베어 사망</v>
      </c>
      <c r="K99" s="43"/>
      <c r="L99" s="41" t="str" cm="1">
        <f t="array" ref="L99">IFERROR(INDEX(DB!R$2:R$2576,T99),"")</f>
        <v>▶ 기계톱을 사용하여 토류판 절단작업 중 토류판이 내려앉아 톱날이 끼이지 않도록 톱날 양측에 받침목 설치
▶ 기계톱을 사용 전 취급방법 숙지 및 방호장치 설치</v>
      </c>
      <c r="M99" s="43"/>
      <c r="P99" cm="1">
        <f t="array" ref="P99">IFERROR(_xlfn.AGGREGATE(15,6,ROW(DB!A$2:A$2576)/((($D$3&lt;&gt;"YES")+($D$3="YES")*(DB!E$2:E$2576="YES"))*(($D$4="")+($D$4&lt;&gt;"")*( DB!B$2:B$2576=$D$4))*(($D$5="")+($D$5&lt;&gt;"")*( DB!C$2:C$2576=$D$5))*(($D$6="")+($D$6&lt;&gt;"")*( DB!D$2:D$2576=$D$6))*(($D$7="")+($D$7&lt;&gt;"")*(ISNUMBER(SEARCH($D$7,DB!G$2:G$2576))))*(($F$7="전체")+($F$7&lt;&gt;"전체")*(DB!H$2:H$2576=$F$7))),ROW()-13)-1,"")</f>
        <v>2000</v>
      </c>
      <c r="Q99" t="str" cm="1">
        <f t="array" ref="Q99">IFERROR(INDEX(DB!G$2:G$2576,P99),"")</f>
        <v>수목</v>
      </c>
      <c r="R99" t="str" cm="1">
        <f t="array" ref="R99">IFERROR(INDEX(DB!O$2:O$2576,P99),"")</f>
        <v>깔림 뒤집힘</v>
      </c>
      <c r="S99">
        <f t="shared" si="6"/>
        <v>251020.08600000001</v>
      </c>
      <c r="T99">
        <f t="shared" si="7"/>
        <v>2163</v>
      </c>
    </row>
    <row r="100" spans="1:20" ht="100" customHeight="1">
      <c r="A100" s="26"/>
      <c r="B100" s="39">
        <f t="shared" si="5"/>
        <v>87</v>
      </c>
      <c r="C100" s="43"/>
      <c r="D100" s="51" t="str" cm="1">
        <f t="array" ref="D100">IFERROR(INDEX(DB!G$2:G$2576,T100),"")</f>
        <v>철근콘크리트자재(철근,콘크리트,PC)</v>
      </c>
      <c r="E100" s="43"/>
      <c r="F100" s="52" t="str" cm="1">
        <f t="array" ref="F100">IFERROR(INDEX(DB!O$2:O$2576,T100),"")</f>
        <v>깔림 뒤집힘</v>
      </c>
      <c r="G100" s="43"/>
      <c r="H100" s="40" t="str" cm="1">
        <f t="array" ref="H100">IFERROR(INDEX(DB!P$2:P$2576,T100),"")</f>
        <v xml:space="preserve"> 2018년 9월경 OOOO도 OO시 OO읍 소재 OOOO 배수로 정비공사 현장에서 콘크리트 수로관(규격:1500B, 길이:2m)을 설치하던 재해자가 기존 토사 배수로 상단에 적재된 수로관 인양을 위해 줄걸이용 슬링벨트를 걸어주는 작업을 진행하던 중수로관이 미끄러지면서 넘어져 재해자가 콘크리트 포장도로 가장자리와 수로관 사이에 흉부가 협착되어 사망한 재해임</v>
      </c>
      <c r="I100" s="43"/>
      <c r="J100" s="53" t="str" cm="1">
        <f t="array" ref="J100">IFERROR(INDEX(DB!Q$2:Q$2576,T100),"")</f>
        <v>크레인으로 인양된 강관파이프를 차량에 적재하던 중, 3단으로 불안정하게 적재된 강관파이프가 붕괴되어 강관파이프에 깔림</v>
      </c>
      <c r="K100" s="43"/>
      <c r="L100" s="41" t="str" cm="1">
        <f t="array" ref="L100">IFERROR(INDEX(DB!R$2:R$2576,T100),"")</f>
        <v>▶ 자재를 야적하는 경우 평탄한 곳에 적재하며 구름방지조치 실시
▶ 경사면에서 흄관을 고정하기 위해 쐐기 등을 이용
▶ 강관파이프를 3단이상 등 과도하게 적재 금지</v>
      </c>
      <c r="M100" s="43"/>
      <c r="P100" cm="1">
        <f t="array" ref="P100">IFERROR(_xlfn.AGGREGATE(15,6,ROW(DB!A$2:A$2576)/((($D$3&lt;&gt;"YES")+($D$3="YES")*(DB!E$2:E$2576="YES"))*(($D$4="")+($D$4&lt;&gt;"")*( DB!B$2:B$2576=$D$4))*(($D$5="")+($D$5&lt;&gt;"")*( DB!C$2:C$2576=$D$5))*(($D$6="")+($D$6&lt;&gt;"")*( DB!D$2:D$2576=$D$6))*(($D$7="")+($D$7&lt;&gt;"")*(ISNUMBER(SEARCH($D$7,DB!G$2:G$2576))))*(($F$7="전체")+($F$7&lt;&gt;"전체")*(DB!H$2:H$2576=$F$7))),ROW()-13)-1,"")</f>
        <v>2001</v>
      </c>
      <c r="Q100" t="str" cm="1">
        <f t="array" ref="Q100">IFERROR(INDEX(DB!G$2:G$2576,P100),"")</f>
        <v>수목</v>
      </c>
      <c r="R100" t="str" cm="1">
        <f t="array" ref="R100">IFERROR(INDEX(DB!O$2:O$2576,P100),"")</f>
        <v>깔림 뒤집힘</v>
      </c>
      <c r="S100">
        <f t="shared" si="6"/>
        <v>251020.087</v>
      </c>
      <c r="T100">
        <f t="shared" si="7"/>
        <v>688</v>
      </c>
    </row>
    <row r="101" spans="1:20" ht="100" customHeight="1">
      <c r="A101" s="26"/>
      <c r="B101" s="42">
        <f t="shared" si="5"/>
        <v>88</v>
      </c>
      <c r="C101" s="43"/>
      <c r="D101" s="51" t="str" cm="1">
        <f t="array" ref="D101">IFERROR(INDEX(DB!G$2:G$2576,T101),"")</f>
        <v>철근콘크리트자재(철근,콘크리트,PC)</v>
      </c>
      <c r="E101" s="43"/>
      <c r="F101" s="52" t="str" cm="1">
        <f t="array" ref="F101">IFERROR(INDEX(DB!O$2:O$2576,T101),"")</f>
        <v>깔림 뒤집힘</v>
      </c>
      <c r="G101" s="43"/>
      <c r="H101" s="40" t="str" cm="1">
        <f t="array" ref="H101">IFERROR(INDEX(DB!P$2:P$2576,T101),"")</f>
        <v>2019년 1월경, OOO도 OO시 OO면 소재 「OOOO조성공사」현장에서 직영공사 소속 OOO가 배수관로 설치작업을 위해 콘크리트 맨홀(1.2×1.2×1m, 2.4톤)에 슬링벨트를 고정한 후 굴삭기 후크에 걸어 끌어당겨 옮기던 중 맨홀이 배수관로 굴착 법면 아래로 떨어져(H=1.3m) 굴착면 아래에서 바닥면 고르기 작업중에 있는 재해자의 머리를 강타하여 사망한 재해임.</v>
      </c>
      <c r="I101" s="43"/>
      <c r="J101" s="53" t="str" cm="1">
        <f t="array" ref="J101">IFERROR(INDEX(DB!Q$2:Q$2576,T101),"")</f>
        <v>맨홀에 슬링벨트를 걸어 굴삭기를 사용하여 끌어당겨 옮기던 중 맨홀이 굴착법면 아래로 떨어져 하부 작업자 깔림</v>
      </c>
      <c r="K101" s="43"/>
      <c r="L101" s="41" t="str" cm="1">
        <f t="array" ref="L101">IFERROR(INDEX(DB!R$2:R$2576,T101),"")</f>
        <v>▶ 중량물 인양 시 굴삭기의 정격하중을 준수하여 무리한 중량물 인양 금지
▶ 차량계 건설기계 사용시 작업 장소 내에 근로자의 출입 통제
▶ 유도자를 배치하여 차량계 건설기계 유도</v>
      </c>
      <c r="M101" s="43"/>
      <c r="P101" cm="1">
        <f t="array" ref="P101">IFERROR(_xlfn.AGGREGATE(15,6,ROW(DB!A$2:A$2576)/((($D$3&lt;&gt;"YES")+($D$3="YES")*(DB!E$2:E$2576="YES"))*(($D$4="")+($D$4&lt;&gt;"")*( DB!B$2:B$2576=$D$4))*(($D$5="")+($D$5&lt;&gt;"")*( DB!C$2:C$2576=$D$5))*(($D$6="")+($D$6&lt;&gt;"")*( DB!D$2:D$2576=$D$6))*(($D$7="")+($D$7&lt;&gt;"")*(ISNUMBER(SEARCH($D$7,DB!G$2:G$2576))))*(($F$7="전체")+($F$7&lt;&gt;"전체")*(DB!H$2:H$2576=$F$7))),ROW()-13)-1,"")</f>
        <v>2002</v>
      </c>
      <c r="Q101" t="str" cm="1">
        <f t="array" ref="Q101">IFERROR(INDEX(DB!G$2:G$2576,P101),"")</f>
        <v>수목</v>
      </c>
      <c r="R101" t="str" cm="1">
        <f t="array" ref="R101">IFERROR(INDEX(DB!O$2:O$2576,P101),"")</f>
        <v>맞음</v>
      </c>
      <c r="S101">
        <f t="shared" si="6"/>
        <v>251075.08799999999</v>
      </c>
      <c r="T101">
        <f t="shared" si="7"/>
        <v>689</v>
      </c>
    </row>
    <row r="102" spans="1:20" ht="100" customHeight="1">
      <c r="A102" s="26"/>
      <c r="B102" s="39">
        <f t="shared" si="5"/>
        <v>89</v>
      </c>
      <c r="C102" s="43"/>
      <c r="D102" s="51" t="str" cm="1">
        <f t="array" ref="D102">IFERROR(INDEX(DB!G$2:G$2576,T102),"")</f>
        <v>충전부</v>
      </c>
      <c r="E102" s="43"/>
      <c r="F102" s="52" t="str" cm="1">
        <f t="array" ref="F102">IFERROR(INDEX(DB!O$2:O$2576,T102),"")</f>
        <v>감전</v>
      </c>
      <c r="G102" s="43"/>
      <c r="H102" s="40" t="str" cm="1">
        <f t="array" ref="H102">IFERROR(INDEX(DB!P$2:P$2576,T102),"")</f>
        <v>2018년 4월경 송전선로 순시점검 현장에서 재해자가 철탑 점검을 마친 후 전선을 밟고 손으로 접지선을 분리하던 중 유도전류(353V이상 추정)에 감전되어 사망</v>
      </c>
      <c r="I102" s="43"/>
      <c r="J102" s="53" t="str" cm="1">
        <f t="array" ref="J102">IFERROR(INDEX(DB!Q$2:Q$2576,T102),"")</f>
        <v>철탑 점검 완료 후 손으로 접지선 분리 후 인접활선에서 유도된 전류에 의해 감전</v>
      </c>
      <c r="K102" s="43"/>
      <c r="L102" s="41" t="str" cm="1">
        <f t="array" ref="L102">IFERROR(INDEX(DB!R$2:R$2576,T102),"")</f>
        <v>▶ 감전 위험이 있는 작업 시, 절연장갑, 절연용 보호구 등 지급 및 착용상태 관리
▶ 활선작업용 장치(고소작업대차 등), 안전대 부착설비 등의 안전방호조치 실시
▶ 활선 인근에서 작업 시, 감전방지를 위해 적정 이격거리 준수
▶ 감전 위험이 있는 작업 시, 배선의 절연조치, 충전부 방호조치 등 안전방호조치 실시</v>
      </c>
      <c r="M102" s="43"/>
      <c r="P102" cm="1">
        <f t="array" ref="P102">IFERROR(_xlfn.AGGREGATE(15,6,ROW(DB!A$2:A$2576)/((($D$3&lt;&gt;"YES")+($D$3="YES")*(DB!E$2:E$2576="YES"))*(($D$4="")+($D$4&lt;&gt;"")*( DB!B$2:B$2576=$D$4))*(($D$5="")+($D$5&lt;&gt;"")*( DB!C$2:C$2576=$D$5))*(($D$6="")+($D$6&lt;&gt;"")*( DB!D$2:D$2576=$D$6))*(($D$7="")+($D$7&lt;&gt;"")*(ISNUMBER(SEARCH($D$7,DB!G$2:G$2576))))*(($F$7="전체")+($F$7&lt;&gt;"전체")*(DB!H$2:H$2576=$F$7))),ROW()-13)-1,"")</f>
        <v>2025</v>
      </c>
      <c r="Q102" t="str" cm="1">
        <f t="array" ref="Q102">IFERROR(INDEX(DB!G$2:G$2576,P102),"")</f>
        <v>슬라브단부</v>
      </c>
      <c r="R102" t="str" cm="1">
        <f t="array" ref="R102">IFERROR(INDEX(DB!O$2:O$2576,P102),"")</f>
        <v>떨어짐</v>
      </c>
      <c r="S102">
        <f t="shared" si="6"/>
        <v>251451.08900000001</v>
      </c>
      <c r="T102">
        <f t="shared" si="7"/>
        <v>2332</v>
      </c>
    </row>
    <row r="103" spans="1:20" ht="100" customHeight="1">
      <c r="A103" s="26"/>
      <c r="B103" s="42">
        <f t="shared" si="5"/>
        <v>90</v>
      </c>
      <c r="C103" s="43"/>
      <c r="D103" s="51" t="str" cm="1">
        <f t="array" ref="D103">IFERROR(INDEX(DB!G$2:G$2576,T103),"")</f>
        <v>충전부</v>
      </c>
      <c r="E103" s="43"/>
      <c r="F103" s="52" t="str" cm="1">
        <f t="array" ref="F103">IFERROR(INDEX(DB!O$2:O$2576,T103),"")</f>
        <v>감전</v>
      </c>
      <c r="G103" s="43"/>
      <c r="H103" s="40" t="str" cm="1">
        <f t="array" ref="H103">IFERROR(INDEX(DB!P$2:P$2576,T103),"")</f>
        <v>2016년 4월경 OO도 OO군 소재 OOOO에서 시공하는「OOOO 하수관로 정비사업」 현장에서 협력업체 ㈜OOOO 소속 OOO이 하수관로 맨홀(PE)에 하수관로(PE, D200)를 연결하기 위해 맨홀 하부를 휴대용 천공기를 이용하여 천공작업 중 절연이 파괴되어 천공기 금속제 외함에 인가된 누설전류에 감전되어 병원으로 후송 치료 중 사망한 재해임</v>
      </c>
      <c r="I103" s="43"/>
      <c r="J103" s="53" t="str" cm="1">
        <f t="array" ref="J103">IFERROR(INDEX(DB!Q$2:Q$2576,T103),"")</f>
        <v>하수관로 맨홀(PE)에 하수관로를 연결하기 위해 맨홀 하부를 휴대용 천공기를 이용하여 천공 작업 중 절연의 파괴로 천공기 금속제 외함에 인가된 누설전류에 근로자가 감전</v>
      </c>
      <c r="K103" s="43"/>
      <c r="L103" s="41" t="str" cm="1">
        <f t="array" ref="L103">IFERROR(INDEX(DB!R$2:R$2576,T103),"")</f>
        <v>▶ 금속제 외함, 금속제 외피, 철대 등은 접지를 실시 
▶ 전기기계에 대하여 누전에 의한 감전위험을 방지하기 위해 감전방지용 누전차단기 설치
▶ 이동형 또는 휴대용 전기기계 사용시 절연손상에 의한 감전위험 방지를 위해 이중절연구조 또는 보호되는 전기기구 사용</v>
      </c>
      <c r="M103" s="43"/>
      <c r="P103" cm="1">
        <f t="array" ref="P103">IFERROR(_xlfn.AGGREGATE(15,6,ROW(DB!A$2:A$2576)/((($D$3&lt;&gt;"YES")+($D$3="YES")*(DB!E$2:E$2576="YES"))*(($D$4="")+($D$4&lt;&gt;"")*( DB!B$2:B$2576=$D$4))*(($D$5="")+($D$5&lt;&gt;"")*( DB!C$2:C$2576=$D$5))*(($D$6="")+($D$6&lt;&gt;"")*( DB!D$2:D$2576=$D$6))*(($D$7="")+($D$7&lt;&gt;"")*(ISNUMBER(SEARCH($D$7,DB!G$2:G$2576))))*(($F$7="전체")+($F$7&lt;&gt;"전체")*(DB!H$2:H$2576=$F$7))),ROW()-13)-1,"")</f>
        <v>2026</v>
      </c>
      <c r="Q103" t="str" cm="1">
        <f t="array" ref="Q103">IFERROR(INDEX(DB!G$2:G$2576,P103),"")</f>
        <v>슬라브단부</v>
      </c>
      <c r="R103" t="str" cm="1">
        <f t="array" ref="R103">IFERROR(INDEX(DB!O$2:O$2576,P103),"")</f>
        <v>떨어짐</v>
      </c>
      <c r="S103">
        <f t="shared" si="6"/>
        <v>251451.09</v>
      </c>
      <c r="T103">
        <f t="shared" si="7"/>
        <v>2334</v>
      </c>
    </row>
    <row r="104" spans="1:20" ht="100" customHeight="1">
      <c r="A104" s="26"/>
      <c r="B104" s="39">
        <f t="shared" si="5"/>
        <v>91</v>
      </c>
      <c r="C104" s="43"/>
      <c r="D104" s="51" t="str" cm="1">
        <f t="array" ref="D104">IFERROR(INDEX(DB!G$2:G$2576,T104),"")</f>
        <v>콘크리트펌프카</v>
      </c>
      <c r="E104" s="43"/>
      <c r="F104" s="52" t="str" cm="1">
        <f t="array" ref="F104">IFERROR(INDEX(DB!O$2:O$2576,T104),"")</f>
        <v>맞음</v>
      </c>
      <c r="G104" s="43"/>
      <c r="H104" s="40" t="str" cm="1">
        <f t="array" ref="H104">IFERROR(INDEX(DB!P$2:P$2576,T104),"")</f>
        <v>2017년 11월경 도로 개설공사에서 재해자가 옹벽 벽체 콘크리트 타설 중 콘크리트 펌프카 붐대가 파단되면서 등부분을 타격당해 사망</v>
      </c>
      <c r="I104" s="43"/>
      <c r="J104" s="53" t="str" cm="1">
        <f t="array" ref="J104">IFERROR(INDEX(DB!Q$2:Q$2576,T104),"")</f>
        <v>옹벽 콘크리트 타설 중 콘크리트 펌프카 붐대가 파단됨에 따라 근로자 가격</v>
      </c>
      <c r="K104" s="43"/>
      <c r="L104" s="41" t="str" cm="1">
        <f t="array" ref="L104">IFERROR(INDEX(DB!R$2:R$2576,T104),"")</f>
        <v>▶ 차량계 건설기계(펌프카)를 사용하여 작업하는 경우에는 사용하는 차량계 건설기계(펌프카)의 종류 및 성능, 운행경로 및 적정한 작업방법에 대한 작업계획을 수립
▶ 차량계 건설기계를 사용하여 작업 시 붐∙암의 파괴를 방지하기 위해 최대사용하중 준수
▶ 펌프카의 법적 안전검사 주기적 실시</v>
      </c>
      <c r="M104" s="43"/>
      <c r="P104" cm="1">
        <f t="array" ref="P104">IFERROR(_xlfn.AGGREGATE(15,6,ROW(DB!A$2:A$2576)/((($D$3&lt;&gt;"YES")+($D$3="YES")*(DB!E$2:E$2576="YES"))*(($D$4="")+($D$4&lt;&gt;"")*( DB!B$2:B$2576=$D$4))*(($D$5="")+($D$5&lt;&gt;"")*( DB!C$2:C$2576=$D$5))*(($D$6="")+($D$6&lt;&gt;"")*( DB!D$2:D$2576=$D$6))*(($D$7="")+($D$7&lt;&gt;"")*(ISNUMBER(SEARCH($D$7,DB!G$2:G$2576))))*(($F$7="전체")+($F$7&lt;&gt;"전체")*(DB!H$2:H$2576=$F$7))),ROW()-13)-1,"")</f>
        <v>2027</v>
      </c>
      <c r="Q104" t="str" cm="1">
        <f t="array" ref="Q104">IFERROR(INDEX(DB!G$2:G$2576,P104),"")</f>
        <v>슬라브단부</v>
      </c>
      <c r="R104" t="str" cm="1">
        <f t="array" ref="R104">IFERROR(INDEX(DB!O$2:O$2576,P104),"")</f>
        <v>떨어짐</v>
      </c>
      <c r="S104">
        <f t="shared" si="6"/>
        <v>251451.09099999999</v>
      </c>
      <c r="T104">
        <f t="shared" si="7"/>
        <v>362</v>
      </c>
    </row>
    <row r="105" spans="1:20" ht="100" customHeight="1">
      <c r="A105" s="26"/>
      <c r="B105" s="42">
        <f t="shared" si="5"/>
        <v>92</v>
      </c>
      <c r="C105" s="43"/>
      <c r="D105" s="51" t="str" cm="1">
        <f t="array" ref="D105">IFERROR(INDEX(DB!G$2:G$2576,T105),"")</f>
        <v>토사</v>
      </c>
      <c r="E105" s="43"/>
      <c r="F105" s="52" t="str" cm="1">
        <f t="array" ref="F105">IFERROR(INDEX(DB!O$2:O$2576,T105),"")</f>
        <v>깔림 뒤집힘</v>
      </c>
      <c r="G105" s="43"/>
      <c r="H105" s="40" t="str" cm="1">
        <f t="array" ref="H105">IFERROR(INDEX(DB!P$2:P$2576,T105),"")</f>
        <v xml:space="preserve">2017년 11월경 간선임도 신설현장에서 재해자가 전석을 운반하기 위해 곡선부 가설도로에서 덤프트럭을 운행하던 중 차량이 전도되어 15m 아래로 추락하여 사망 </v>
      </c>
      <c r="I105" s="43"/>
      <c r="J105" s="53" t="str" cm="1">
        <f t="array" ref="J105">IFERROR(INDEX(DB!Q$2:Q$2576,T105),"")</f>
        <v>덤프트럭으로 이동 중 폭이 좁은 가설도로 측면으로 전도되어 근로자 사망</v>
      </c>
      <c r="K105" s="43"/>
      <c r="L105" s="41" t="str" cm="1">
        <f t="array" ref="L105">IFERROR(INDEX(DB!R$2:R$2576,T105),"")</f>
        <v>▶ 차량계 건설기계를 사용하는 작업 시 장비유도자를 협소한 가설도로 곡선부 등에 배치 
▶ 지반의 부등침하, 갓길의 붕괴 방지 및 도로 폭을 유지한 뒤 작업 실시</v>
      </c>
      <c r="M105" s="43"/>
      <c r="P105" cm="1">
        <f t="array" ref="P105">IFERROR(_xlfn.AGGREGATE(15,6,ROW(DB!A$2:A$2576)/((($D$3&lt;&gt;"YES")+($D$3="YES")*(DB!E$2:E$2576="YES"))*(($D$4="")+($D$4&lt;&gt;"")*( DB!B$2:B$2576=$D$4))*(($D$5="")+($D$5&lt;&gt;"")*( DB!C$2:C$2576=$D$5))*(($D$6="")+($D$6&lt;&gt;"")*( DB!D$2:D$2576=$D$6))*(($D$7="")+($D$7&lt;&gt;"")*(ISNUMBER(SEARCH($D$7,DB!G$2:G$2576))))*(($F$7="전체")+($F$7&lt;&gt;"전체")*(DB!H$2:H$2576=$F$7))),ROW()-13)-1,"")</f>
        <v>2028</v>
      </c>
      <c r="Q105" t="str" cm="1">
        <f t="array" ref="Q105">IFERROR(INDEX(DB!G$2:G$2576,P105),"")</f>
        <v>슬라브단부</v>
      </c>
      <c r="R105" t="str" cm="1">
        <f t="array" ref="R105">IFERROR(INDEX(DB!O$2:O$2576,P105),"")</f>
        <v>떨어짐</v>
      </c>
      <c r="S105">
        <f t="shared" si="6"/>
        <v>251451.092</v>
      </c>
      <c r="T105">
        <f t="shared" si="7"/>
        <v>2451</v>
      </c>
    </row>
    <row r="106" spans="1:20" ht="100" customHeight="1">
      <c r="A106" s="26"/>
      <c r="B106" s="39">
        <f t="shared" si="5"/>
        <v>93</v>
      </c>
      <c r="C106" s="43"/>
      <c r="D106" s="51" t="str" cm="1">
        <f t="array" ref="D106">IFERROR(INDEX(DB!G$2:G$2576,T106),"")</f>
        <v>토사</v>
      </c>
      <c r="E106" s="43"/>
      <c r="F106" s="52" t="str" cm="1">
        <f t="array" ref="F106">IFERROR(INDEX(DB!O$2:O$2576,T106),"")</f>
        <v>떨어짐</v>
      </c>
      <c r="G106" s="43"/>
      <c r="H106" s="40" t="str" cm="1">
        <f t="array" ref="H106">IFERROR(INDEX(DB!P$2:P$2576,T106),"")</f>
        <v>2021년 7월경 댐 절토사면 보강공사 현장에서 재해자가 절토사면 상부의 요철을 제거하던 중 70m 아래 바닥으로 추락하여 사망</v>
      </c>
      <c r="I106" s="43"/>
      <c r="J106" s="53" t="str" cm="1">
        <f t="array" ref="J106">IFERROR(INDEX(DB!Q$2:Q$2576,T106),"")</f>
        <v>절토사면 보강을 위해 숏크리트가 시공된 사면에서 상부 요철을 제거하던 중 추락</v>
      </c>
      <c r="K106" s="43"/>
      <c r="L106" s="41" t="str" cm="1">
        <f t="array" ref="L106">IFERROR(INDEX(DB!R$2:R$2576,T106),"")</f>
        <v>▶ 작업자가 법면 상부 등으로 불필요한 이동을 금하고 작업자 이동통로 설치
▶ 근로자가 추락하거나 넘어질 위험이 있는 상부에서 작업 시 안전난간을 설치하고 추락방지조치 실시하고 부득이한 경우 접근방책 등을 설치
▶ 근로자가 추락하거나 넘어질 위험이 있는 상부에서 작업 시 개인보호구(안전모, 안전대 등) 지급 및 착용</v>
      </c>
      <c r="M106" s="43"/>
      <c r="P106" cm="1">
        <f t="array" ref="P106">IFERROR(_xlfn.AGGREGATE(15,6,ROW(DB!A$2:A$2576)/((($D$3&lt;&gt;"YES")+($D$3="YES")*(DB!E$2:E$2576="YES"))*(($D$4="")+($D$4&lt;&gt;"")*( DB!B$2:B$2576=$D$4))*(($D$5="")+($D$5&lt;&gt;"")*( DB!C$2:C$2576=$D$5))*(($D$6="")+($D$6&lt;&gt;"")*( DB!D$2:D$2576=$D$6))*(($D$7="")+($D$7&lt;&gt;"")*(ISNUMBER(SEARCH($D$7,DB!G$2:G$2576))))*(($F$7="전체")+($F$7&lt;&gt;"전체")*(DB!H$2:H$2576=$F$7))),ROW()-13)-1,"")</f>
        <v>2120</v>
      </c>
      <c r="Q106" t="str" cm="1">
        <f t="array" ref="Q106">IFERROR(INDEX(DB!G$2:G$2576,P106),"")</f>
        <v>암석</v>
      </c>
      <c r="R106" t="str" cm="1">
        <f t="array" ref="R106">IFERROR(INDEX(DB!O$2:O$2576,P106),"")</f>
        <v>무너짐</v>
      </c>
      <c r="S106">
        <f t="shared" si="6"/>
        <v>251890.09299999999</v>
      </c>
      <c r="T106">
        <f t="shared" si="7"/>
        <v>2450</v>
      </c>
    </row>
    <row r="107" spans="1:20" ht="100" customHeight="1">
      <c r="A107" s="26"/>
      <c r="B107" s="42">
        <f t="shared" si="5"/>
        <v>94</v>
      </c>
      <c r="C107" s="43"/>
      <c r="D107" s="51" t="str" cm="1">
        <f t="array" ref="D107">IFERROR(INDEX(DB!G$2:G$2576,T107),"")</f>
        <v>토사</v>
      </c>
      <c r="E107" s="43"/>
      <c r="F107" s="52" t="str" cm="1">
        <f t="array" ref="F107">IFERROR(INDEX(DB!O$2:O$2576,T107),"")</f>
        <v>무너짐</v>
      </c>
      <c r="G107" s="43"/>
      <c r="H107" s="40" t="str" cm="1">
        <f t="array" ref="H107">IFERROR(INDEX(DB!P$2:P$2576,T107),"")</f>
        <v>2016년 2월경 공장 신축공사 현장에서 보강토 옹벽에서 콘크리트 철거 작업 중 보강토 옹벽(10m) 일부가 무너지면서 토사 및 자재에 매몰되어3명 사망, 1명 부상</v>
      </c>
      <c r="I107" s="43"/>
      <c r="J107" s="53" t="str" cm="1">
        <f t="array" ref="J107">IFERROR(INDEX(DB!Q$2:Q$2576,T107),"")</f>
        <v>보강토 옹벽 상부에서 천단 콘크리트 철거 작업 중 옹벽의 일부가 무너지며 토사 및 자재에 매몰</v>
      </c>
      <c r="K107" s="43"/>
      <c r="L107" s="41" t="str" cm="1">
        <f t="array" ref="L107">IFERROR(INDEX(DB!R$2:R$2576,T107),"")</f>
        <v>▶ 보강도 옹벽 상부의 천단 콘크리트 철거작업 시, 구조물에 균열, 들뜸, 부동침하 등이 발생하였을 경우, 안전진단 및 구조검토 후 적절한 보수 보강 실시
▶ 보강토 옹벽와 같이 우수 등에 취약한 구조물에 대해 배수로 설치 등 유지관리 철저</v>
      </c>
      <c r="M107" s="43"/>
      <c r="P107" cm="1">
        <f t="array" ref="P107">IFERROR(_xlfn.AGGREGATE(15,6,ROW(DB!A$2:A$2576)/((($D$3&lt;&gt;"YES")+($D$3="YES")*(DB!E$2:E$2576="YES"))*(($D$4="")+($D$4&lt;&gt;"")*( DB!B$2:B$2576=$D$4))*(($D$5="")+($D$5&lt;&gt;"")*( DB!C$2:C$2576=$D$5))*(($D$6="")+($D$6&lt;&gt;"")*( DB!D$2:D$2576=$D$6))*(($D$7="")+($D$7&lt;&gt;"")*(ISNUMBER(SEARCH($D$7,DB!G$2:G$2576))))*(($F$7="전체")+($F$7&lt;&gt;"전체")*(DB!H$2:H$2576=$F$7))),ROW()-13)-1,"")</f>
        <v>2121</v>
      </c>
      <c r="Q107" t="str" cm="1">
        <f t="array" ref="Q107">IFERROR(INDEX(DB!G$2:G$2576,P107),"")</f>
        <v>암석</v>
      </c>
      <c r="R107" t="str" cm="1">
        <f t="array" ref="R107">IFERROR(INDEX(DB!O$2:O$2576,P107),"")</f>
        <v>떨어짐</v>
      </c>
      <c r="S107">
        <f t="shared" si="6"/>
        <v>251851.09400000001</v>
      </c>
      <c r="T107">
        <f t="shared" si="7"/>
        <v>2444</v>
      </c>
    </row>
    <row r="108" spans="1:20" ht="100" customHeight="1">
      <c r="A108" s="26"/>
      <c r="B108" s="39">
        <f t="shared" si="5"/>
        <v>95</v>
      </c>
      <c r="C108" s="43"/>
      <c r="D108" s="51" t="str" cm="1">
        <f t="array" ref="D108">IFERROR(INDEX(DB!G$2:G$2576,T108),"")</f>
        <v>토사</v>
      </c>
      <c r="E108" s="43"/>
      <c r="F108" s="52" t="str" cm="1">
        <f t="array" ref="F108">IFERROR(INDEX(DB!O$2:O$2576,T108),"")</f>
        <v>무너짐</v>
      </c>
      <c r="G108" s="43"/>
      <c r="H108" s="40" t="str" cm="1">
        <f t="array" ref="H108">IFERROR(INDEX(DB!P$2:P$2576,T108),"")</f>
        <v>2018년 5월경 단지조성공사에서 암석제거 및 다짐작업을 하던 중 옹벽 설치를 위해 굴착해 놓은 법면이 붕괴되면서 매몰되어 1명 사망, 2명 부상</v>
      </c>
      <c r="I108" s="43"/>
      <c r="J108" s="53" t="str" cm="1">
        <f t="array" ref="J108">IFERROR(INDEX(DB!Q$2:Q$2576,T108),"")</f>
        <v>보강압성토옹벽 위에서 근로자가 흙고르기 및 다짐작업을 하던 중 굴착해놓은 법면이 무너지면서 근로자가 토사에 매몰</v>
      </c>
      <c r="K108" s="43"/>
      <c r="L108" s="41" t="str" cm="1">
        <f t="array" ref="L108">IFERROR(INDEX(DB!R$2:R$2576,T108),"")</f>
        <v>▶ 굴착작업 사전에 지반점검 및 안전조치(근로자 출입 통제, 사면보강, 방호망 설치)
▶ 굴착면의 토층이 균일하지 않은 경우 흙막이가시설 설치 후 작업 수행
▶ 굴착 시 굴착면 기울기를 준수하고 굴착사면 인근에 중량물 또는 토사적치 금지
▶ 옹벽, 콘크리트 벽 등의 건설물에 근접한 장소에서 굴착 시 붕괴 위험 요인 보강 또는 이설, 제거 등의 위험 방지 조치 실시
▶ 굴착작업 주변 지반 사전조사 및 작업계획서 작성</v>
      </c>
      <c r="M108" s="43"/>
      <c r="P108" cm="1">
        <f t="array" ref="P108">IFERROR(_xlfn.AGGREGATE(15,6,ROW(DB!A$2:A$2576)/((($D$3&lt;&gt;"YES")+($D$3="YES")*(DB!E$2:E$2576="YES"))*(($D$4="")+($D$4&lt;&gt;"")*( DB!B$2:B$2576=$D$4))*(($D$5="")+($D$5&lt;&gt;"")*( DB!C$2:C$2576=$D$5))*(($D$6="")+($D$6&lt;&gt;"")*( DB!D$2:D$2576=$D$6))*(($D$7="")+($D$7&lt;&gt;"")*(ISNUMBER(SEARCH($D$7,DB!G$2:G$2576))))*(($F$7="전체")+($F$7&lt;&gt;"전체")*(DB!H$2:H$2576=$F$7))),ROW()-13)-1,"")</f>
        <v>2122</v>
      </c>
      <c r="Q108" t="str" cm="1">
        <f t="array" ref="Q108">IFERROR(INDEX(DB!G$2:G$2576,P108),"")</f>
        <v>암석</v>
      </c>
      <c r="R108" t="str" cm="1">
        <f t="array" ref="R108">IFERROR(INDEX(DB!O$2:O$2576,P108),"")</f>
        <v>무너짐</v>
      </c>
      <c r="S108">
        <f t="shared" si="6"/>
        <v>251890.095</v>
      </c>
      <c r="T108">
        <f t="shared" si="7"/>
        <v>2445</v>
      </c>
    </row>
    <row r="109" spans="1:20" ht="100" customHeight="1">
      <c r="A109" s="26"/>
      <c r="B109" s="42">
        <f t="shared" si="5"/>
        <v>96</v>
      </c>
      <c r="C109" s="43"/>
      <c r="D109" s="51" t="str" cm="1">
        <f t="array" ref="D109">IFERROR(INDEX(DB!G$2:G$2576,T109),"")</f>
        <v>토사</v>
      </c>
      <c r="E109" s="43"/>
      <c r="F109" s="52" t="str" cm="1">
        <f t="array" ref="F109">IFERROR(INDEX(DB!O$2:O$2576,T109),"")</f>
        <v>무너짐</v>
      </c>
      <c r="G109" s="43"/>
      <c r="H109" s="40" t="str" cm="1">
        <f t="array" ref="H109">IFERROR(INDEX(DB!P$2:P$2576,T109),"")</f>
        <v>2018년 9월경 옹벽설치 공사현장에서 옹벽 앞에서 건축물 부지 측량을 하던 중 4.5m 높이로 쌓아 놓은 식생축조블록 옹벽이 토압을 견디지 못하고 무너지면서 토사에 매몰되어 2명 사망, 1명 부상</v>
      </c>
      <c r="I109" s="43"/>
      <c r="J109" s="53" t="str" cm="1">
        <f t="array" ref="J109">IFERROR(INDEX(DB!Q$2:Q$2576,T109),"")</f>
        <v>보강압성토옹벽 위에서 근로자가 흙고르기 및 다짐작업을 하던 중 굴착해놓은 법면이 무너지면서 근로자가 토사에 매몰</v>
      </c>
      <c r="K109" s="43"/>
      <c r="L109" s="41" t="str" cm="1">
        <f t="array" ref="L109">IFERROR(INDEX(DB!R$2:R$2576,T109),"")</f>
        <v>▶ 굴착작업 사전에 지반점검 및 안전조치(근로자 출입 통제, 사면보강, 방호망 설치)
▶ 굴착면의 토층이 균일하지 않은 경우 흙막이가시설 설치 후 작업 수행
▶ 굴착 시 굴착면 기울기를 준수하고 굴착사면 인근에 중량물 또는 토사적치 금지
▶ 옹벽, 콘크리트 벽 등의 건설물에 근접한 장소에서 굴착 시 붕괴 위험 요인 보강 또는 이설, 제거 등의 위험 방지 조치 실시
▶ 굴착작업 주변 지반 사전조사 및 작업계획서 작성</v>
      </c>
      <c r="M109" s="43"/>
      <c r="P109" cm="1">
        <f t="array" ref="P109">IFERROR(_xlfn.AGGREGATE(15,6,ROW(DB!A$2:A$2576)/((($D$3&lt;&gt;"YES")+($D$3="YES")*(DB!E$2:E$2576="YES"))*(($D$4="")+($D$4&lt;&gt;"")*( DB!B$2:B$2576=$D$4))*(($D$5="")+($D$5&lt;&gt;"")*( DB!C$2:C$2576=$D$5))*(($D$6="")+($D$6&lt;&gt;"")*( DB!D$2:D$2576=$D$6))*(($D$7="")+($D$7&lt;&gt;"")*(ISNUMBER(SEARCH($D$7,DB!G$2:G$2576))))*(($F$7="전체")+($F$7&lt;&gt;"전체")*(DB!H$2:H$2576=$F$7))),ROW()-13)-1,"")</f>
        <v>2162</v>
      </c>
      <c r="Q109" t="str" cm="1">
        <f t="array" ref="Q109">IFERROR(INDEX(DB!G$2:G$2576,P109),"")</f>
        <v>절단기/톱</v>
      </c>
      <c r="R109" t="str" cm="1">
        <f t="array" ref="R109">IFERROR(INDEX(DB!O$2:O$2576,P109),"")</f>
        <v>맞음</v>
      </c>
      <c r="S109">
        <f t="shared" si="6"/>
        <v>252675.09599999999</v>
      </c>
      <c r="T109">
        <f t="shared" si="7"/>
        <v>2446</v>
      </c>
    </row>
    <row r="110" spans="1:20" ht="100" customHeight="1">
      <c r="A110" s="26"/>
      <c r="B110" s="39">
        <f t="shared" si="5"/>
        <v>97</v>
      </c>
      <c r="C110" s="43"/>
      <c r="D110" s="51" t="str" cm="1">
        <f t="array" ref="D110">IFERROR(INDEX(DB!G$2:G$2576,T110),"")</f>
        <v>토사</v>
      </c>
      <c r="E110" s="43"/>
      <c r="F110" s="52" t="str" cm="1">
        <f t="array" ref="F110">IFERROR(INDEX(DB!O$2:O$2576,T110),"")</f>
        <v>무너짐</v>
      </c>
      <c r="G110" s="43"/>
      <c r="H110" s="40" t="str" cm="1">
        <f t="array" ref="H110">IFERROR(INDEX(DB!P$2:P$2576,T110),"")</f>
        <v>2018년 11월경 석축공사 현장에서 재해자가 돌쌓기 하부 기초부분 작업 중 사면 붕괴로 매몰되어 사망</v>
      </c>
      <c r="I110" s="43"/>
      <c r="J110" s="53" t="str" cm="1">
        <f t="array" ref="J110">IFERROR(INDEX(DB!Q$2:Q$2576,T110),"")</f>
        <v>돌쌓기 하부 기초부분 작업 중 기존 석축을 제거한 부위의 사면이 붕괴되며 그 아래 근로자 매몰</v>
      </c>
      <c r="K110" s="43"/>
      <c r="L110" s="41" t="str" cm="1">
        <f t="array" ref="L110">IFERROR(INDEX(DB!R$2:R$2576,T110),"")</f>
        <v>▶ 기존 석축 해체 후 노출 사면에 대한 사면 구배를 준수하여 흙깎기 실시
▶ 사전 구조검토에 따라 흙깎기가 곤란한 경우 흙막이 가시설 설치</v>
      </c>
      <c r="M110" s="43"/>
      <c r="P110" cm="1">
        <f t="array" ref="P110">IFERROR(_xlfn.AGGREGATE(15,6,ROW(DB!A$2:A$2576)/((($D$3&lt;&gt;"YES")+($D$3="YES")*(DB!E$2:E$2576="YES"))*(($D$4="")+($D$4&lt;&gt;"")*( DB!B$2:B$2576=$D$4))*(($D$5="")+($D$5&lt;&gt;"")*( DB!C$2:C$2576=$D$5))*(($D$6="")+($D$6&lt;&gt;"")*( DB!D$2:D$2576=$D$6))*(($D$7="")+($D$7&lt;&gt;"")*(ISNUMBER(SEARCH($D$7,DB!G$2:G$2576))))*(($F$7="전체")+($F$7&lt;&gt;"전체")*(DB!H$2:H$2576=$F$7))),ROW()-13)-1,"")</f>
        <v>2163</v>
      </c>
      <c r="Q110" t="str" cm="1">
        <f t="array" ref="Q110">IFERROR(INDEX(DB!G$2:G$2576,P110),"")</f>
        <v>절단기/톱</v>
      </c>
      <c r="R110" t="str" cm="1">
        <f t="array" ref="R110">IFERROR(INDEX(DB!O$2:O$2576,P110),"")</f>
        <v>절단 베임 찔림</v>
      </c>
      <c r="S110">
        <f t="shared" si="6"/>
        <v>252770.09700000001</v>
      </c>
      <c r="T110">
        <f t="shared" si="7"/>
        <v>2447</v>
      </c>
    </row>
    <row r="111" spans="1:20" ht="100" customHeight="1">
      <c r="A111" s="26"/>
      <c r="B111" s="42">
        <f t="shared" si="5"/>
        <v>98</v>
      </c>
      <c r="C111" s="43"/>
      <c r="D111" s="51" t="str" cm="1">
        <f t="array" ref="D111">IFERROR(INDEX(DB!G$2:G$2576,T111),"")</f>
        <v>토사</v>
      </c>
      <c r="E111" s="43"/>
      <c r="F111" s="52" t="str" cm="1">
        <f t="array" ref="F111">IFERROR(INDEX(DB!O$2:O$2576,T111),"")</f>
        <v>무너짐</v>
      </c>
      <c r="G111" s="43"/>
      <c r="H111" s="40" t="str" cm="1">
        <f t="array" ref="H111">IFERROR(INDEX(DB!P$2:P$2576,T111),"")</f>
        <v>2019년 5월경 옹벽설치 및 포장공사현장에서 재해자가 옹벽 앞 바닥정리를 하던 중 배면토압을 견디지 못하고 갑자기 옹벽이 무너지면서 옹벽과 토사에 매몰되어 사망</v>
      </c>
      <c r="I111" s="43"/>
      <c r="J111" s="53" t="str" cm="1">
        <f t="array" ref="J111">IFERROR(INDEX(DB!Q$2:Q$2576,T111),"")</f>
        <v>보강압성토옹벽 위에서 근로자가 흙고르기 및 다짐작업을 하던 중 굴착해놓은 법면이 무너지면서 근로자가 토사에 매몰</v>
      </c>
      <c r="K111" s="43"/>
      <c r="L111" s="41" t="str" cm="1">
        <f t="array" ref="L111">IFERROR(INDEX(DB!R$2:R$2576,T111),"")</f>
        <v>▶ 굴착작업 사전에 지반점검 및 안전조치(근로자 출입 통제, 사면보강, 방호망 설치)
▶ 굴착면의 토층이 균일하지 않은 경우 흙막이가시설 설치 후 작업 수행
▶ 굴착 시 굴착면 기울기를 준수하고 굴착사면 인근에 중량물 또는 토사적치 금지
▶ 옹벽, 콘크리트 벽 등의 건설물에 근접한 장소에서 굴착 시 붕괴 위험 요인 보강 또는 이설, 제거 등의 위험 방지 조치 실시
▶ 굴착작업 주변 지반 사전조사 및 작업계획서 작성</v>
      </c>
      <c r="M111" s="43"/>
      <c r="P111" cm="1">
        <f t="array" ref="P111">IFERROR(_xlfn.AGGREGATE(15,6,ROW(DB!A$2:A$2576)/((($D$3&lt;&gt;"YES")+($D$3="YES")*(DB!E$2:E$2576="YES"))*(($D$4="")+($D$4&lt;&gt;"")*( DB!B$2:B$2576=$D$4))*(($D$5="")+($D$5&lt;&gt;"")*( DB!C$2:C$2576=$D$5))*(($D$6="")+($D$6&lt;&gt;"")*( DB!D$2:D$2576=$D$6))*(($D$7="")+($D$7&lt;&gt;"")*(ISNUMBER(SEARCH($D$7,DB!G$2:G$2576))))*(($F$7="전체")+($F$7&lt;&gt;"전체")*(DB!H$2:H$2576=$F$7))),ROW()-13)-1,"")</f>
        <v>2245</v>
      </c>
      <c r="Q111" t="str" cm="1">
        <f t="array" ref="Q111">IFERROR(INDEX(DB!G$2:G$2576,P111),"")</f>
        <v>작업발판/가설계단</v>
      </c>
      <c r="R111" t="str" cm="1">
        <f t="array" ref="R111">IFERROR(INDEX(DB!O$2:O$2576,P111),"")</f>
        <v>떨어짐</v>
      </c>
      <c r="S111">
        <f t="shared" si="6"/>
        <v>252351.098</v>
      </c>
      <c r="T111">
        <f t="shared" si="7"/>
        <v>2448</v>
      </c>
    </row>
    <row r="112" spans="1:20" ht="100" customHeight="1">
      <c r="A112" s="26"/>
      <c r="B112" s="39">
        <f t="shared" si="5"/>
        <v>99</v>
      </c>
      <c r="C112" s="43"/>
      <c r="D112" s="51" t="str" cm="1">
        <f t="array" ref="D112">IFERROR(INDEX(DB!G$2:G$2576,T112),"")</f>
        <v>토사</v>
      </c>
      <c r="E112" s="43"/>
      <c r="F112" s="52" t="str" cm="1">
        <f t="array" ref="F112">IFERROR(INDEX(DB!O$2:O$2576,T112),"")</f>
        <v>무너짐</v>
      </c>
      <c r="G112" s="43"/>
      <c r="H112" s="40" t="str" cm="1">
        <f t="array" ref="H112">IFERROR(INDEX(DB!P$2:P$2576,T112),"")</f>
        <v>2021년 3월경 제조업소 신축공사 현장에서 재해자 옹벽 벽체거푸집 설치 중 굴착사면 토사 붕괴로 매몰되어 사망</v>
      </c>
      <c r="I112" s="43"/>
      <c r="J112" s="53" t="str" cm="1">
        <f t="array" ref="J112">IFERROR(INDEX(DB!Q$2:Q$2576,T112),"")</f>
        <v>보강압성토옹벽 위에서 근로자가 흙고르기 및 다짐작업을 하던 중 굴착해놓은 법면이 무너지면서 근로자가 토사에 매몰</v>
      </c>
      <c r="K112" s="43"/>
      <c r="L112" s="41" t="str" cm="1">
        <f t="array" ref="L112">IFERROR(INDEX(DB!R$2:R$2576,T112),"")</f>
        <v>▶ 굴착작업 사전에 지반점검 및 안전조치(근로자 출입 통제, 사면보강, 방호망 설치)
▶ 굴착면의 토층이 균일하지 않은 경우 흙막이가시설 설치 후 작업 수행
▶ 굴착 시 굴착면 기울기를 준수하고 굴착사면 인근에 중량물 또는 토사적치 금지
▶ 옹벽, 콘크리트 벽 등의 건설물에 근접한 장소에서 굴착 시 붕괴 위험 요인 보강 또는 이설, 제거 등의 위험 방지 조치 실시
▶ 굴착작업 주변 지반 사전조사 및 작업계획서 작성</v>
      </c>
      <c r="M112" s="43"/>
      <c r="P112" cm="1">
        <f t="array" ref="P112">IFERROR(_xlfn.AGGREGATE(15,6,ROW(DB!A$2:A$2576)/((($D$3&lt;&gt;"YES")+($D$3="YES")*(DB!E$2:E$2576="YES"))*(($D$4="")+($D$4&lt;&gt;"")*( DB!B$2:B$2576=$D$4))*(($D$5="")+($D$5&lt;&gt;"")*( DB!C$2:C$2576=$D$5))*(($D$6="")+($D$6&lt;&gt;"")*( DB!D$2:D$2576=$D$6))*(($D$7="")+($D$7&lt;&gt;"")*(ISNUMBER(SEARCH($D$7,DB!G$2:G$2576))))*(($F$7="전체")+($F$7&lt;&gt;"전체")*(DB!H$2:H$2576=$F$7))),ROW()-13)-1,"")</f>
        <v>2331</v>
      </c>
      <c r="Q112" t="str" cm="1">
        <f t="array" ref="Q112">IFERROR(INDEX(DB!G$2:G$2576,P112),"")</f>
        <v>전주</v>
      </c>
      <c r="R112" t="str" cm="1">
        <f t="array" ref="R112">IFERROR(INDEX(DB!O$2:O$2576,P112),"")</f>
        <v>떨어짐</v>
      </c>
      <c r="S112">
        <f t="shared" si="6"/>
        <v>252451.09899999999</v>
      </c>
      <c r="T112">
        <f t="shared" si="7"/>
        <v>2449</v>
      </c>
    </row>
    <row r="113" spans="1:20" ht="100" customHeight="1">
      <c r="A113" s="26"/>
      <c r="B113" s="42">
        <f t="shared" si="5"/>
        <v>100</v>
      </c>
      <c r="C113" s="43"/>
      <c r="D113" s="51" t="str" cm="1">
        <f t="array" ref="D113">IFERROR(INDEX(DB!G$2:G$2576,T113),"")</f>
        <v>토사</v>
      </c>
      <c r="E113" s="43"/>
      <c r="F113" s="52" t="str" cm="1">
        <f t="array" ref="F113">IFERROR(INDEX(DB!O$2:O$2576,T113),"")</f>
        <v>무너짐</v>
      </c>
      <c r="G113" s="43"/>
      <c r="H113" s="40" t="str" cm="1">
        <f t="array" ref="H113">IFERROR(INDEX(DB!P$2:P$2576,T113),"")</f>
        <v xml:space="preserve">2016년 5월경 OO도 OO시 OO동 소재 OOOO(주) OOOO 시설공사현장에서 재해자 OOO가 오수관(D 0.3m, L 42m(6m*7) 매설작업을 위해 터파기 작업을 실시 후, 관로하부로 내려가 굴착바닥면 고르기 작업을 하던 중 굴착사면이 붕괴되면서 매몰되어 사망한 재해임. </v>
      </c>
      <c r="I113" s="43"/>
      <c r="J113" s="53" t="str" cm="1">
        <f t="array" ref="J113">IFERROR(INDEX(DB!Q$2:Q$2576,T113),"")</f>
        <v>관로 부설을 위한 굴착 중 굴착사면이 무너지면서 근로자 매몰</v>
      </c>
      <c r="K113" s="43"/>
      <c r="L113" s="41" t="str" cm="1">
        <f t="array" ref="L113">IFERROR(INDEX(DB!R$2:R$2576,T113),"")</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113" s="43"/>
      <c r="P113" cm="1">
        <f t="array" ref="P113">IFERROR(_xlfn.AGGREGATE(15,6,ROW(DB!A$2:A$2576)/((($D$3&lt;&gt;"YES")+($D$3="YES")*(DB!E$2:E$2576="YES"))*(($D$4="")+($D$4&lt;&gt;"")*( DB!B$2:B$2576=$D$4))*(($D$5="")+($D$5&lt;&gt;"")*( DB!C$2:C$2576=$D$5))*(($D$6="")+($D$6&lt;&gt;"")*( DB!D$2:D$2576=$D$6))*(($D$7="")+($D$7&lt;&gt;"")*(ISNUMBER(SEARCH($D$7,DB!G$2:G$2576))))*(($F$7="전체")+($F$7&lt;&gt;"전체")*(DB!H$2:H$2576=$F$7))),ROW()-13)-1,"")</f>
        <v>2332</v>
      </c>
      <c r="Q113" t="str" cm="1">
        <f t="array" ref="Q113">IFERROR(INDEX(DB!G$2:G$2576,P113),"")</f>
        <v>충전부</v>
      </c>
      <c r="R113" t="str" cm="1">
        <f t="array" ref="R113">IFERROR(INDEX(DB!O$2:O$2576,P113),"")</f>
        <v>감전</v>
      </c>
      <c r="S113">
        <f t="shared" si="6"/>
        <v>253018.1</v>
      </c>
      <c r="T113">
        <f t="shared" si="7"/>
        <v>2452</v>
      </c>
    </row>
    <row r="114" spans="1:20" ht="100" customHeight="1">
      <c r="A114" s="26"/>
      <c r="B114" s="39">
        <f t="shared" si="5"/>
        <v>101</v>
      </c>
      <c r="C114" s="43"/>
      <c r="D114" s="51" t="str" cm="1">
        <f t="array" ref="D114">IFERROR(INDEX(DB!G$2:G$2576,T114),"")</f>
        <v>토사</v>
      </c>
      <c r="E114" s="43"/>
      <c r="F114" s="52" t="str" cm="1">
        <f t="array" ref="F114">IFERROR(INDEX(DB!O$2:O$2576,T114),"")</f>
        <v>무너짐</v>
      </c>
      <c r="G114" s="43"/>
      <c r="H114" s="40" t="str" cm="1">
        <f t="array" ref="H114">IFERROR(INDEX(DB!P$2:P$2576,T114),"")</f>
        <v>2016년 7월경 OOO도 OO시 OO동 소재 OOOO 공업용수 호환관로 설치공사 현장 STA No.84 지점에서 원청업체 소속 배관공인 재해자가 굴착깊이 2.5m에 매설된 관로 모래 포설 작업 중 수직으로 굴착된 굴착사면 일부가 무너지면서 하반신이 매몰되어 사망한 재해임.</v>
      </c>
      <c r="I114" s="43"/>
      <c r="J114" s="53" t="str" cm="1">
        <f t="array" ref="J114">IFERROR(INDEX(DB!Q$2:Q$2576,T114),"")</f>
        <v>관로 부설을 위한 굴착 중 굴착사면이 무너지면서 근로자 매몰</v>
      </c>
      <c r="K114" s="43"/>
      <c r="L114" s="41" t="str" cm="1">
        <f t="array" ref="L114">IFERROR(INDEX(DB!R$2:R$2576,T114),"")</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114" s="43"/>
      <c r="P114" cm="1">
        <f t="array" ref="P114">IFERROR(_xlfn.AGGREGATE(15,6,ROW(DB!A$2:A$2576)/((($D$3&lt;&gt;"YES")+($D$3="YES")*(DB!E$2:E$2576="YES"))*(($D$4="")+($D$4&lt;&gt;"")*( DB!B$2:B$2576=$D$4))*(($D$5="")+($D$5&lt;&gt;"")*( DB!C$2:C$2576=$D$5))*(($D$6="")+($D$6&lt;&gt;"")*( DB!D$2:D$2576=$D$6))*(($D$7="")+($D$7&lt;&gt;"")*(ISNUMBER(SEARCH($D$7,DB!G$2:G$2576))))*(($F$7="전체")+($F$7&lt;&gt;"전체")*(DB!H$2:H$2576=$F$7))),ROW()-13)-1,"")</f>
        <v>2333</v>
      </c>
      <c r="Q114" t="str" cm="1">
        <f t="array" ref="Q114">IFERROR(INDEX(DB!G$2:G$2576,P114),"")</f>
        <v>전주</v>
      </c>
      <c r="R114" t="str" cm="1">
        <f t="array" ref="R114">IFERROR(INDEX(DB!O$2:O$2576,P114),"")</f>
        <v>떨어짐</v>
      </c>
      <c r="S114">
        <f t="shared" si="6"/>
        <v>252451.101</v>
      </c>
      <c r="T114">
        <f t="shared" si="7"/>
        <v>2453</v>
      </c>
    </row>
    <row r="115" spans="1:20" ht="100" customHeight="1">
      <c r="A115" s="26"/>
      <c r="B115" s="42">
        <f t="shared" si="5"/>
        <v>102</v>
      </c>
      <c r="C115" s="43"/>
      <c r="D115" s="51" t="str" cm="1">
        <f t="array" ref="D115">IFERROR(INDEX(DB!G$2:G$2576,T115),"")</f>
        <v>토사</v>
      </c>
      <c r="E115" s="43"/>
      <c r="F115" s="52" t="str" cm="1">
        <f t="array" ref="F115">IFERROR(INDEX(DB!O$2:O$2576,T115),"")</f>
        <v>무너짐</v>
      </c>
      <c r="G115" s="43"/>
      <c r="H115" s="40" t="str" cm="1">
        <f t="array" ref="H115">IFERROR(INDEX(DB!P$2:P$2576,T115),"")</f>
        <v>2016년 10월경, OOO도 OO군 소재 ㈜OOOO, OOOO 공사 현장에서 관로 매설 공사를 위한 굴착 법면의 토사가 붕괴되면서, 굴착면 하부에 있던 근로자가 붕괴 토사에 매몰되어 사망한 재해임</v>
      </c>
      <c r="I115" s="43"/>
      <c r="J115" s="53" t="str" cm="1">
        <f t="array" ref="J115">IFERROR(INDEX(DB!Q$2:Q$2576,T115),"")</f>
        <v>관로 부설을 위한 굴착 중 굴착사면이 무너지면서 근로자 매몰</v>
      </c>
      <c r="K115" s="43"/>
      <c r="L115" s="41" t="str" cm="1">
        <f t="array" ref="L115">IFERROR(INDEX(DB!R$2:R$2576,T115),"")</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115" s="43"/>
      <c r="P115" cm="1">
        <f t="array" ref="P115">IFERROR(_xlfn.AGGREGATE(15,6,ROW(DB!A$2:A$2576)/((($D$3&lt;&gt;"YES")+($D$3="YES")*(DB!E$2:E$2576="YES"))*(($D$4="")+($D$4&lt;&gt;"")*( DB!B$2:B$2576=$D$4))*(($D$5="")+($D$5&lt;&gt;"")*( DB!C$2:C$2576=$D$5))*(($D$6="")+($D$6&lt;&gt;"")*( DB!D$2:D$2576=$D$6))*(($D$7="")+($D$7&lt;&gt;"")*(ISNUMBER(SEARCH($D$7,DB!G$2:G$2576))))*(($F$7="전체")+($F$7&lt;&gt;"전체")*(DB!H$2:H$2576=$F$7))),ROW()-13)-1,"")</f>
        <v>2334</v>
      </c>
      <c r="Q115" t="str" cm="1">
        <f t="array" ref="Q115">IFERROR(INDEX(DB!G$2:G$2576,P115),"")</f>
        <v>충전부</v>
      </c>
      <c r="R115" t="str" cm="1">
        <f t="array" ref="R115">IFERROR(INDEX(DB!O$2:O$2576,P115),"")</f>
        <v>감전</v>
      </c>
      <c r="S115">
        <f t="shared" si="6"/>
        <v>253018.10200000001</v>
      </c>
      <c r="T115">
        <f t="shared" si="7"/>
        <v>2454</v>
      </c>
    </row>
    <row r="116" spans="1:20" ht="100" customHeight="1">
      <c r="A116" s="26"/>
      <c r="B116" s="39">
        <f t="shared" si="5"/>
        <v>103</v>
      </c>
      <c r="C116" s="43"/>
      <c r="D116" s="51" t="str" cm="1">
        <f t="array" ref="D116">IFERROR(INDEX(DB!G$2:G$2576,T116),"")</f>
        <v>토사</v>
      </c>
      <c r="E116" s="43"/>
      <c r="F116" s="52" t="str" cm="1">
        <f t="array" ref="F116">IFERROR(INDEX(DB!O$2:O$2576,T116),"")</f>
        <v>무너짐</v>
      </c>
      <c r="G116" s="43"/>
      <c r="H116" s="40" t="str" cm="1">
        <f t="array" ref="H116">IFERROR(INDEX(DB!P$2:P$2576,T116),"")</f>
        <v xml:space="preserve">2016년 10월경 OOO도 OO군 OO면 소재 OOOO(주) OOOO 통합상수도 시설공사 현장에서 재해자가 지상 약 5m 아래 우수관로 터파기 저면에서 우수관(콘크리트흄관) 접합부의 몰탈작업중 굴착사면이 붕괴되면서 토사에 매몰되어 구출하였으나 사망한 재해임  </v>
      </c>
      <c r="I116" s="43"/>
      <c r="J116" s="53" t="str" cm="1">
        <f t="array" ref="J116">IFERROR(INDEX(DB!Q$2:Q$2576,T116),"")</f>
        <v>관로 부설을 위한 굴착 중 굴착사면이 무너지면서 근로자 매몰</v>
      </c>
      <c r="K116" s="43"/>
      <c r="L116" s="41" t="str" cm="1">
        <f t="array" ref="L116">IFERROR(INDEX(DB!R$2:R$2576,T116),"")</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116" s="43"/>
      <c r="P116" cm="1">
        <f t="array" ref="P116">IFERROR(_xlfn.AGGREGATE(15,6,ROW(DB!A$2:A$2576)/((($D$3&lt;&gt;"YES")+($D$3="YES")*(DB!E$2:E$2576="YES"))*(($D$4="")+($D$4&lt;&gt;"")*( DB!B$2:B$2576=$D$4))*(($D$5="")+($D$5&lt;&gt;"")*( DB!C$2:C$2576=$D$5))*(($D$6="")+($D$6&lt;&gt;"")*( DB!D$2:D$2576=$D$6))*(($D$7="")+($D$7&lt;&gt;"")*(ISNUMBER(SEARCH($D$7,DB!G$2:G$2576))))*(($F$7="전체")+($F$7&lt;&gt;"전체")*(DB!H$2:H$2576=$F$7))),ROW()-13)-1,"")</f>
        <v>2444</v>
      </c>
      <c r="Q116" t="str" cm="1">
        <f t="array" ref="Q116">IFERROR(INDEX(DB!G$2:G$2576,P116),"")</f>
        <v>토사</v>
      </c>
      <c r="R116" t="str" cm="1">
        <f t="array" ref="R116">IFERROR(INDEX(DB!O$2:O$2576,P116),"")</f>
        <v>무너짐</v>
      </c>
      <c r="S116">
        <f t="shared" si="6"/>
        <v>253390.103</v>
      </c>
      <c r="T116">
        <f t="shared" si="7"/>
        <v>2455</v>
      </c>
    </row>
    <row r="117" spans="1:20" ht="100" customHeight="1">
      <c r="A117" s="26"/>
      <c r="B117" s="42">
        <f t="shared" si="5"/>
        <v>104</v>
      </c>
      <c r="C117" s="43"/>
      <c r="D117" s="51" t="str" cm="1">
        <f t="array" ref="D117">IFERROR(INDEX(DB!G$2:G$2576,T117),"")</f>
        <v>토사</v>
      </c>
      <c r="E117" s="43"/>
      <c r="F117" s="52" t="str" cm="1">
        <f t="array" ref="F117">IFERROR(INDEX(DB!O$2:O$2576,T117),"")</f>
        <v>무너짐</v>
      </c>
      <c r="G117" s="43"/>
      <c r="H117" s="40" t="str" cm="1">
        <f t="array" ref="H117">IFERROR(INDEX(DB!P$2:P$2576,T117),"")</f>
        <v>2017년 2월경 OOO도 OO군 OO면 소재 OOOO하수도 설치공사현장에서 협력업체 소속 배관공인 재해자가 굴착깊이 약 2.5m인 터파기 구간 하부에서 맨홀 접속관 주변 토사 제거 작업 중 굴착면 일부가 무너지면서 상부의 기존 도로포장 일부 파손, 아래로 떨어지면서 재해자의 머리를 가격하여  사망함.</v>
      </c>
      <c r="I117" s="43"/>
      <c r="J117" s="53" t="str" cm="1">
        <f t="array" ref="J117">IFERROR(INDEX(DB!Q$2:Q$2576,T117),"")</f>
        <v>관로 부설을 위한 굴착 중 굴착사면이 무너지면서 근로자 매몰</v>
      </c>
      <c r="K117" s="43"/>
      <c r="L117" s="41" t="str" cm="1">
        <f t="array" ref="L117">IFERROR(INDEX(DB!R$2:R$2576,T117),"")</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117" s="43"/>
      <c r="P117" cm="1">
        <f t="array" ref="P117">IFERROR(_xlfn.AGGREGATE(15,6,ROW(DB!A$2:A$2576)/((($D$3&lt;&gt;"YES")+($D$3="YES")*(DB!E$2:E$2576="YES"))*(($D$4="")+($D$4&lt;&gt;"")*( DB!B$2:B$2576=$D$4))*(($D$5="")+($D$5&lt;&gt;"")*( DB!C$2:C$2576=$D$5))*(($D$6="")+($D$6&lt;&gt;"")*( DB!D$2:D$2576=$D$6))*(($D$7="")+($D$7&lt;&gt;"")*(ISNUMBER(SEARCH($D$7,DB!G$2:G$2576))))*(($F$7="전체")+($F$7&lt;&gt;"전체")*(DB!H$2:H$2576=$F$7))),ROW()-13)-1,"")</f>
        <v>2445</v>
      </c>
      <c r="Q117" t="str" cm="1">
        <f t="array" ref="Q117">IFERROR(INDEX(DB!G$2:G$2576,P117),"")</f>
        <v>토사</v>
      </c>
      <c r="R117" t="str" cm="1">
        <f t="array" ref="R117">IFERROR(INDEX(DB!O$2:O$2576,P117),"")</f>
        <v>무너짐</v>
      </c>
      <c r="S117">
        <f t="shared" si="6"/>
        <v>253390.10399999999</v>
      </c>
      <c r="T117">
        <f t="shared" si="7"/>
        <v>2456</v>
      </c>
    </row>
    <row r="118" spans="1:20" ht="100" customHeight="1">
      <c r="A118" s="26"/>
      <c r="B118" s="39">
        <f t="shared" si="5"/>
        <v>105</v>
      </c>
      <c r="C118" s="43"/>
      <c r="D118" s="51" t="str" cm="1">
        <f t="array" ref="D118">IFERROR(INDEX(DB!G$2:G$2576,T118),"")</f>
        <v>토사</v>
      </c>
      <c r="E118" s="43"/>
      <c r="F118" s="52" t="str" cm="1">
        <f t="array" ref="F118">IFERROR(INDEX(DB!O$2:O$2576,T118),"")</f>
        <v>무너짐</v>
      </c>
      <c r="G118" s="43"/>
      <c r="H118" s="40" t="str" cm="1">
        <f t="array" ref="H118">IFERROR(INDEX(DB!P$2:P$2576,T118),"")</f>
        <v>2018년 7월경 OO도 OO시 OO 소재 OOOO(주) OOOO 하수관로 정비사업 현장에서 재해자 OOO이 굴착 저면(폭 0.87m, 깊이 1.5m)에서 바닥면 고르기 작업 중 굴착면이 무너져 매몰되었고, 동시에 기존 매설된 상수관(∮40mm, 재질 : PVC)이 파손 되면서 누수된 수돗물에 잠겨 사망한 재해임.</v>
      </c>
      <c r="I118" s="43"/>
      <c r="J118" s="53" t="str" cm="1">
        <f t="array" ref="J118">IFERROR(INDEX(DB!Q$2:Q$2576,T118),"")</f>
        <v>관로 부설을 위한 굴착 중 굴착사면이 무너지면서 근로자 매몰</v>
      </c>
      <c r="K118" s="43"/>
      <c r="L118" s="41" t="str" cm="1">
        <f t="array" ref="L118">IFERROR(INDEX(DB!R$2:R$2576,T118),"")</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118" s="43"/>
      <c r="P118" cm="1">
        <f t="array" ref="P118">IFERROR(_xlfn.AGGREGATE(15,6,ROW(DB!A$2:A$2576)/((($D$3&lt;&gt;"YES")+($D$3="YES")*(DB!E$2:E$2576="YES"))*(($D$4="")+($D$4&lt;&gt;"")*( DB!B$2:B$2576=$D$4))*(($D$5="")+($D$5&lt;&gt;"")*( DB!C$2:C$2576=$D$5))*(($D$6="")+($D$6&lt;&gt;"")*( DB!D$2:D$2576=$D$6))*(($D$7="")+($D$7&lt;&gt;"")*(ISNUMBER(SEARCH($D$7,DB!G$2:G$2576))))*(($F$7="전체")+($F$7&lt;&gt;"전체")*(DB!H$2:H$2576=$F$7))),ROW()-13)-1,"")</f>
        <v>2446</v>
      </c>
      <c r="Q118" t="str" cm="1">
        <f t="array" ref="Q118">IFERROR(INDEX(DB!G$2:G$2576,P118),"")</f>
        <v>토사</v>
      </c>
      <c r="R118" t="str" cm="1">
        <f t="array" ref="R118">IFERROR(INDEX(DB!O$2:O$2576,P118),"")</f>
        <v>무너짐</v>
      </c>
      <c r="S118">
        <f t="shared" si="6"/>
        <v>253390.10500000001</v>
      </c>
      <c r="T118">
        <f t="shared" si="7"/>
        <v>2457</v>
      </c>
    </row>
    <row r="119" spans="1:20" ht="100" customHeight="1">
      <c r="A119" s="26"/>
      <c r="B119" s="42">
        <f t="shared" si="5"/>
        <v>106</v>
      </c>
      <c r="C119" s="43"/>
      <c r="D119" s="51" t="str" cm="1">
        <f t="array" ref="D119">IFERROR(INDEX(DB!G$2:G$2576,T119),"")</f>
        <v>토사</v>
      </c>
      <c r="E119" s="43"/>
      <c r="F119" s="52" t="str" cm="1">
        <f t="array" ref="F119">IFERROR(INDEX(DB!O$2:O$2576,T119),"")</f>
        <v>무너짐</v>
      </c>
      <c r="G119" s="43"/>
      <c r="H119" s="40" t="str" cm="1">
        <f t="array" ref="H119">IFERROR(INDEX(DB!P$2:P$2576,T119),"")</f>
        <v>2018년 8월경 OO도 OO시 OO동 소재 ㈜OOOO, OO지구 열배관공사 현장에서 백호를 사용하여 열배관 터파기(L=5.5m) 작업 중 터파기 사면 한쪽 면 일부(12m3)가 붕괴되어 바닥면에서 면고르기 및 측량 작업 중이던 재해자 2인이 매몰되어 1명이 사망하고, 1명이 대피 중 부상한 재해임.</v>
      </c>
      <c r="I119" s="43"/>
      <c r="J119" s="53" t="str" cm="1">
        <f t="array" ref="J119">IFERROR(INDEX(DB!Q$2:Q$2576,T119),"")</f>
        <v>관로 부설을 위한 굴착 중 굴착사면이 무너지면서 근로자 매몰</v>
      </c>
      <c r="K119" s="43"/>
      <c r="L119" s="41" t="str" cm="1">
        <f t="array" ref="L119">IFERROR(INDEX(DB!R$2:R$2576,T119),"")</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119" s="43"/>
      <c r="P119" cm="1">
        <f t="array" ref="P119">IFERROR(_xlfn.AGGREGATE(15,6,ROW(DB!A$2:A$2576)/((($D$3&lt;&gt;"YES")+($D$3="YES")*(DB!E$2:E$2576="YES"))*(($D$4="")+($D$4&lt;&gt;"")*( DB!B$2:B$2576=$D$4))*(($D$5="")+($D$5&lt;&gt;"")*( DB!C$2:C$2576=$D$5))*(($D$6="")+($D$6&lt;&gt;"")*( DB!D$2:D$2576=$D$6))*(($D$7="")+($D$7&lt;&gt;"")*(ISNUMBER(SEARCH($D$7,DB!G$2:G$2576))))*(($F$7="전체")+($F$7&lt;&gt;"전체")*(DB!H$2:H$2576=$F$7))),ROW()-13)-1,"")</f>
        <v>2447</v>
      </c>
      <c r="Q119" t="str" cm="1">
        <f t="array" ref="Q119">IFERROR(INDEX(DB!G$2:G$2576,P119),"")</f>
        <v>토사</v>
      </c>
      <c r="R119" t="str" cm="1">
        <f t="array" ref="R119">IFERROR(INDEX(DB!O$2:O$2576,P119),"")</f>
        <v>무너짐</v>
      </c>
      <c r="S119">
        <f t="shared" si="6"/>
        <v>253390.106</v>
      </c>
      <c r="T119">
        <f t="shared" si="7"/>
        <v>2458</v>
      </c>
    </row>
    <row r="120" spans="1:20" ht="100" customHeight="1">
      <c r="A120" s="26"/>
      <c r="B120" s="39">
        <f t="shared" si="5"/>
        <v>107</v>
      </c>
      <c r="C120" s="43"/>
      <c r="D120" s="51" t="str" cm="1">
        <f t="array" ref="D120">IFERROR(INDEX(DB!G$2:G$2576,T120),"")</f>
        <v>토사</v>
      </c>
      <c r="E120" s="43"/>
      <c r="F120" s="52" t="str" cm="1">
        <f t="array" ref="F120">IFERROR(INDEX(DB!O$2:O$2576,T120),"")</f>
        <v>무너짐</v>
      </c>
      <c r="G120" s="43"/>
      <c r="H120" s="40" t="str" cm="1">
        <f t="array" ref="H120">IFERROR(INDEX(DB!P$2:P$2576,T120),"")</f>
        <v>2018년 10월경 OOO남 OO군 소재, OOOO 일원 OOOO(주)가 시공하는 OOOO 하수관로 정비 공사현장에서 협력업체 소속 재해자가 파손된 오수관 (D250㎜, PE이중벽관)을 교체하기 위해 맨홀 설치지점 주변 폭 2.4m, 깊이 2.7m 정도의 트렌치(Trench) 굴착 바닥면에 내려가 작업 중 굴착면 일부가 무너지면서(약 5.5톤) 토사에 매몰되어 사망한 재해임.</v>
      </c>
      <c r="I120" s="43"/>
      <c r="J120" s="53" t="str" cm="1">
        <f t="array" ref="J120">IFERROR(INDEX(DB!Q$2:Q$2576,T120),"")</f>
        <v>관로 부설을 위한 굴착 중 굴착사면이 무너지면서 근로자 매몰</v>
      </c>
      <c r="K120" s="43"/>
      <c r="L120" s="41" t="str" cm="1">
        <f t="array" ref="L120">IFERROR(INDEX(DB!R$2:R$2576,T120),"")</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120" s="43"/>
      <c r="P120" cm="1">
        <f t="array" ref="P120">IFERROR(_xlfn.AGGREGATE(15,6,ROW(DB!A$2:A$2576)/((($D$3&lt;&gt;"YES")+($D$3="YES")*(DB!E$2:E$2576="YES"))*(($D$4="")+($D$4&lt;&gt;"")*( DB!B$2:B$2576=$D$4))*(($D$5="")+($D$5&lt;&gt;"")*( DB!C$2:C$2576=$D$5))*(($D$6="")+($D$6&lt;&gt;"")*( DB!D$2:D$2576=$D$6))*(($D$7="")+($D$7&lt;&gt;"")*(ISNUMBER(SEARCH($D$7,DB!G$2:G$2576))))*(($F$7="전체")+($F$7&lt;&gt;"전체")*(DB!H$2:H$2576=$F$7))),ROW()-13)-1,"")</f>
        <v>2448</v>
      </c>
      <c r="Q120" t="str" cm="1">
        <f t="array" ref="Q120">IFERROR(INDEX(DB!G$2:G$2576,P120),"")</f>
        <v>토사</v>
      </c>
      <c r="R120" t="str" cm="1">
        <f t="array" ref="R120">IFERROR(INDEX(DB!O$2:O$2576,P120),"")</f>
        <v>무너짐</v>
      </c>
      <c r="S120">
        <f t="shared" si="6"/>
        <v>253390.10699999999</v>
      </c>
      <c r="T120">
        <f t="shared" si="7"/>
        <v>2459</v>
      </c>
    </row>
    <row r="121" spans="1:20" ht="100" customHeight="1">
      <c r="A121" s="26"/>
      <c r="B121" s="42">
        <f t="shared" si="5"/>
        <v>108</v>
      </c>
      <c r="C121" s="43"/>
      <c r="D121" s="51" t="str" cm="1">
        <f t="array" ref="D121">IFERROR(INDEX(DB!G$2:G$2576,T121),"")</f>
        <v>토사</v>
      </c>
      <c r="E121" s="43"/>
      <c r="F121" s="52" t="str" cm="1">
        <f t="array" ref="F121">IFERROR(INDEX(DB!O$2:O$2576,T121),"")</f>
        <v>무너짐</v>
      </c>
      <c r="G121" s="43"/>
      <c r="H121" s="40" t="str" cm="1">
        <f t="array" ref="H121">IFERROR(INDEX(DB!P$2:P$2576,T121),"")</f>
        <v>2019년 2월경 OO시 OO구 소재 OOOO(주)에서 시공하는 OOOO 지하배관 설치공사 현장에서 트렌치 굴착*(h≒3.3m) 저면에서 재해자가 핀홀 테스트기를 사용하기 위해 접지선을 연결하던 중 굴착법면 토사가 무너지면서 매몰되어 사망한 재해임._x000D_</v>
      </c>
      <c r="I121" s="43"/>
      <c r="J121" s="53" t="str" cm="1">
        <f t="array" ref="J121">IFERROR(INDEX(DB!Q$2:Q$2576,T121),"")</f>
        <v>관로 부설을 위한 굴착 중 굴착사면이 무너지면서 근로자 매몰</v>
      </c>
      <c r="K121" s="43"/>
      <c r="L121" s="41" t="str" cm="1">
        <f t="array" ref="L121">IFERROR(INDEX(DB!R$2:R$2576,T121),"")</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121" s="43"/>
      <c r="P121" cm="1">
        <f t="array" ref="P121">IFERROR(_xlfn.AGGREGATE(15,6,ROW(DB!A$2:A$2576)/((($D$3&lt;&gt;"YES")+($D$3="YES")*(DB!E$2:E$2576="YES"))*(($D$4="")+($D$4&lt;&gt;"")*( DB!B$2:B$2576=$D$4))*(($D$5="")+($D$5&lt;&gt;"")*( DB!C$2:C$2576=$D$5))*(($D$6="")+($D$6&lt;&gt;"")*( DB!D$2:D$2576=$D$6))*(($D$7="")+($D$7&lt;&gt;"")*(ISNUMBER(SEARCH($D$7,DB!G$2:G$2576))))*(($F$7="전체")+($F$7&lt;&gt;"전체")*(DB!H$2:H$2576=$F$7))),ROW()-13)-1,"")</f>
        <v>2449</v>
      </c>
      <c r="Q121" t="str" cm="1">
        <f t="array" ref="Q121">IFERROR(INDEX(DB!G$2:G$2576,P121),"")</f>
        <v>토사</v>
      </c>
      <c r="R121" t="str" cm="1">
        <f t="array" ref="R121">IFERROR(INDEX(DB!O$2:O$2576,P121),"")</f>
        <v>무너짐</v>
      </c>
      <c r="S121">
        <f t="shared" si="6"/>
        <v>253390.10800000001</v>
      </c>
      <c r="T121">
        <f t="shared" si="7"/>
        <v>2460</v>
      </c>
    </row>
    <row r="122" spans="1:20" ht="100" customHeight="1">
      <c r="A122" s="26"/>
      <c r="B122" s="39">
        <f t="shared" si="5"/>
        <v>109</v>
      </c>
      <c r="C122" s="43"/>
      <c r="D122" s="51" t="str" cm="1">
        <f t="array" ref="D122">IFERROR(INDEX(DB!G$2:G$2576,T122),"")</f>
        <v>토사</v>
      </c>
      <c r="E122" s="43"/>
      <c r="F122" s="52" t="str" cm="1">
        <f t="array" ref="F122">IFERROR(INDEX(DB!O$2:O$2576,T122),"")</f>
        <v>무너짐</v>
      </c>
      <c r="G122" s="43"/>
      <c r="H122" s="40" t="str" cm="1">
        <f t="array" ref="H122">IFERROR(INDEX(DB!P$2:P$2576,T122),"")</f>
        <v>2019년 9월경 OOO시 OO구 소재 OOOO 노후하수관로 정비 공사 현장에서 OOOO(주) 소속 노동자인 재해자가 배관 합류구간에 맨홀설치를 위해 굴삭기로 굴착된 굴착저면(H≒1.9M)을 정리하던 중 굴착법면 토사가 일부 무너져 재해자가 넘어지면서 골반이 골절되어 병원으로 이송되었으나, 저혈량성 쇼크로 인해 사망한 재해임.</v>
      </c>
      <c r="I122" s="43"/>
      <c r="J122" s="53" t="str" cm="1">
        <f t="array" ref="J122">IFERROR(INDEX(DB!Q$2:Q$2576,T122),"")</f>
        <v>관로 부설을 위한 굴착 중 굴착사면이 무너지면서 근로자 매몰</v>
      </c>
      <c r="K122" s="43"/>
      <c r="L122" s="41" t="str" cm="1">
        <f t="array" ref="L122">IFERROR(INDEX(DB!R$2:R$2576,T122),"")</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122" s="43"/>
      <c r="P122" cm="1">
        <f t="array" ref="P122">IFERROR(_xlfn.AGGREGATE(15,6,ROW(DB!A$2:A$2576)/((($D$3&lt;&gt;"YES")+($D$3="YES")*(DB!E$2:E$2576="YES"))*(($D$4="")+($D$4&lt;&gt;"")*( DB!B$2:B$2576=$D$4))*(($D$5="")+($D$5&lt;&gt;"")*( DB!C$2:C$2576=$D$5))*(($D$6="")+($D$6&lt;&gt;"")*( DB!D$2:D$2576=$D$6))*(($D$7="")+($D$7&lt;&gt;"")*(ISNUMBER(SEARCH($D$7,DB!G$2:G$2576))))*(($F$7="전체")+($F$7&lt;&gt;"전체")*(DB!H$2:H$2576=$F$7))),ROW()-13)-1,"")</f>
        <v>2450</v>
      </c>
      <c r="Q122" t="str" cm="1">
        <f t="array" ref="Q122">IFERROR(INDEX(DB!G$2:G$2576,P122),"")</f>
        <v>토사</v>
      </c>
      <c r="R122" t="str" cm="1">
        <f t="array" ref="R122">IFERROR(INDEX(DB!O$2:O$2576,P122),"")</f>
        <v>떨어짐</v>
      </c>
      <c r="S122">
        <f t="shared" si="6"/>
        <v>253351.109</v>
      </c>
      <c r="T122">
        <f t="shared" si="7"/>
        <v>2461</v>
      </c>
    </row>
    <row r="123" spans="1:20" ht="100" customHeight="1">
      <c r="A123" s="26"/>
      <c r="B123" s="42">
        <f t="shared" si="5"/>
        <v>110</v>
      </c>
      <c r="C123" s="43"/>
      <c r="D123" s="51" t="str" cm="1">
        <f t="array" ref="D123">IFERROR(INDEX(DB!G$2:G$2576,T123),"")</f>
        <v>토사</v>
      </c>
      <c r="E123" s="43"/>
      <c r="F123" s="52" t="str" cm="1">
        <f t="array" ref="F123">IFERROR(INDEX(DB!O$2:O$2576,T123),"")</f>
        <v>무너짐</v>
      </c>
      <c r="G123" s="43"/>
      <c r="H123" s="40" t="str" cm="1">
        <f t="array" ref="H123">IFERROR(INDEX(DB!P$2:P$2576,T123),"")</f>
        <v>2020년 5월경 OOO도 OO시 소재 OOOO(주) OOOO 신축공사 현장에서 오수관로(D300, L=6.0m) 부설을 위한 지반 굴착 작업을 하던 중, 한 쪽 사면(H=2.7m)이 무너져 굴착면 바닥에 있던 작업자가 토사에 매몰, 병원으로 이송하였으나 사망한 재해임.</v>
      </c>
      <c r="I123" s="43"/>
      <c r="J123" s="53" t="str" cm="1">
        <f t="array" ref="J123">IFERROR(INDEX(DB!Q$2:Q$2576,T123),"")</f>
        <v>관로 부설을 위한 굴착 중 굴착사면이 무너지면서 근로자 매몰</v>
      </c>
      <c r="K123" s="43"/>
      <c r="L123" s="41" t="str" cm="1">
        <f t="array" ref="L123">IFERROR(INDEX(DB!R$2:R$2576,T123),"")</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123" s="43"/>
      <c r="P123" cm="1">
        <f t="array" ref="P123">IFERROR(_xlfn.AGGREGATE(15,6,ROW(DB!A$2:A$2576)/((($D$3&lt;&gt;"YES")+($D$3="YES")*(DB!E$2:E$2576="YES"))*(($D$4="")+($D$4&lt;&gt;"")*( DB!B$2:B$2576=$D$4))*(($D$5="")+($D$5&lt;&gt;"")*( DB!C$2:C$2576=$D$5))*(($D$6="")+($D$6&lt;&gt;"")*( DB!D$2:D$2576=$D$6))*(($D$7="")+($D$7&lt;&gt;"")*(ISNUMBER(SEARCH($D$7,DB!G$2:G$2576))))*(($F$7="전체")+($F$7&lt;&gt;"전체")*(DB!H$2:H$2576=$F$7))),ROW()-13)-1,"")</f>
        <v>2451</v>
      </c>
      <c r="Q123" t="str" cm="1">
        <f t="array" ref="Q123">IFERROR(INDEX(DB!G$2:G$2576,P123),"")</f>
        <v>토사</v>
      </c>
      <c r="R123" t="str" cm="1">
        <f t="array" ref="R123">IFERROR(INDEX(DB!O$2:O$2576,P123),"")</f>
        <v>깔림 뒤집힘</v>
      </c>
      <c r="S123">
        <f t="shared" si="6"/>
        <v>253320.11</v>
      </c>
      <c r="T123">
        <f t="shared" si="7"/>
        <v>2462</v>
      </c>
    </row>
    <row r="124" spans="1:20" ht="100" customHeight="1">
      <c r="A124" s="26"/>
      <c r="B124" s="39">
        <f t="shared" si="5"/>
        <v>111</v>
      </c>
      <c r="C124" s="43"/>
      <c r="D124" s="51" t="str" cm="1">
        <f t="array" ref="D124">IFERROR(INDEX(DB!G$2:G$2576,T124),"")</f>
        <v>토사</v>
      </c>
      <c r="E124" s="43"/>
      <c r="F124" s="52" t="str" cm="1">
        <f t="array" ref="F124">IFERROR(INDEX(DB!O$2:O$2576,T124),"")</f>
        <v>무너짐</v>
      </c>
      <c r="G124" s="43"/>
      <c r="H124" s="40" t="str" cm="1">
        <f t="array" ref="H124">IFERROR(INDEX(DB!P$2:P$2576,T124),"")</f>
        <v>2020년 6월경 OO시 OOO구 OO동 소재 OOOOO(주)가 시공하는 OOOO 하수관로 보수공사 현장에서 재해자가 트렌치 굴착면 바닥(수직굴착, 깊이 약 2m, 폭 약 2.5m)에서 맨홀 천공 작업 중 굴착면이 붕괴되면서 토사에 매몰되어 사망한 재해임.</v>
      </c>
      <c r="I124" s="43"/>
      <c r="J124" s="53" t="str" cm="1">
        <f t="array" ref="J124">IFERROR(INDEX(DB!Q$2:Q$2576,T124),"")</f>
        <v>관로 부설을 위한 굴착 중 굴착사면이 무너지면서 근로자 매몰</v>
      </c>
      <c r="K124" s="43"/>
      <c r="L124" s="41" t="str" cm="1">
        <f t="array" ref="L124">IFERROR(INDEX(DB!R$2:R$2576,T124),"")</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124" s="43"/>
      <c r="P124" cm="1">
        <f t="array" ref="P124">IFERROR(_xlfn.AGGREGATE(15,6,ROW(DB!A$2:A$2576)/((($D$3&lt;&gt;"YES")+($D$3="YES")*(DB!E$2:E$2576="YES"))*(($D$4="")+($D$4&lt;&gt;"")*( DB!B$2:B$2576=$D$4))*(($D$5="")+($D$5&lt;&gt;"")*( DB!C$2:C$2576=$D$5))*(($D$6="")+($D$6&lt;&gt;"")*( DB!D$2:D$2576=$D$6))*(($D$7="")+($D$7&lt;&gt;"")*(ISNUMBER(SEARCH($D$7,DB!G$2:G$2576))))*(($F$7="전체")+($F$7&lt;&gt;"전체")*(DB!H$2:H$2576=$F$7))),ROW()-13)-1,"")</f>
        <v>2452</v>
      </c>
      <c r="Q124" t="str" cm="1">
        <f t="array" ref="Q124">IFERROR(INDEX(DB!G$2:G$2576,P124),"")</f>
        <v>토사</v>
      </c>
      <c r="R124" t="str" cm="1">
        <f t="array" ref="R124">IFERROR(INDEX(DB!O$2:O$2576,P124),"")</f>
        <v>무너짐</v>
      </c>
      <c r="S124">
        <f t="shared" si="6"/>
        <v>253390.111</v>
      </c>
      <c r="T124">
        <f t="shared" si="7"/>
        <v>2463</v>
      </c>
    </row>
    <row r="125" spans="1:20" ht="100" customHeight="1">
      <c r="A125" s="26"/>
      <c r="B125" s="42">
        <f t="shared" si="5"/>
        <v>112</v>
      </c>
      <c r="C125" s="43"/>
      <c r="D125" s="51" t="str" cm="1">
        <f t="array" ref="D125">IFERROR(INDEX(DB!G$2:G$2576,T125),"")</f>
        <v>토사</v>
      </c>
      <c r="E125" s="43"/>
      <c r="F125" s="52" t="str" cm="1">
        <f t="array" ref="F125">IFERROR(INDEX(DB!O$2:O$2576,T125),"")</f>
        <v>무너짐</v>
      </c>
      <c r="G125" s="43"/>
      <c r="H125" s="40" t="str" cm="1">
        <f t="array" ref="H125">IFERROR(INDEX(DB!P$2:P$2576,T125),"")</f>
        <v>2020년 8월경, OOO도 OO시 소재 ㈜OOOO 시공하는 ㈜OOOO 공장부지 보수공사 현장에서, 배관공이 콘크리트 포장면을 파쇄한 후 수직 굴착한 사면(깊이 약 3.7m, 폭 약 1.5m) 바닥에서 파형강관(D500, L=6m) 설치 작업 중 콘크리트 포장면 하부의 토사와 콘크리트 덩어리(약 1.7톤)가 붕괴되면서 재해자를 덮쳐 사망한 재해임.</v>
      </c>
      <c r="I125" s="43"/>
      <c r="J125" s="53" t="str" cm="1">
        <f t="array" ref="J125">IFERROR(INDEX(DB!Q$2:Q$2576,T125),"")</f>
        <v>관로 부설을 위한 굴착 중 굴착사면이 무너지면서 근로자 매몰</v>
      </c>
      <c r="K125" s="43"/>
      <c r="L125" s="41" t="str" cm="1">
        <f t="array" ref="L125">IFERROR(INDEX(DB!R$2:R$2576,T125),"")</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125" s="43"/>
      <c r="P125" cm="1">
        <f t="array" ref="P125">IFERROR(_xlfn.AGGREGATE(15,6,ROW(DB!A$2:A$2576)/((($D$3&lt;&gt;"YES")+($D$3="YES")*(DB!E$2:E$2576="YES"))*(($D$4="")+($D$4&lt;&gt;"")*( DB!B$2:B$2576=$D$4))*(($D$5="")+($D$5&lt;&gt;"")*( DB!C$2:C$2576=$D$5))*(($D$6="")+($D$6&lt;&gt;"")*( DB!D$2:D$2576=$D$6))*(($D$7="")+($D$7&lt;&gt;"")*(ISNUMBER(SEARCH($D$7,DB!G$2:G$2576))))*(($F$7="전체")+($F$7&lt;&gt;"전체")*(DB!H$2:H$2576=$F$7))),ROW()-13)-1,"")</f>
        <v>2453</v>
      </c>
      <c r="Q125" t="str" cm="1">
        <f t="array" ref="Q125">IFERROR(INDEX(DB!G$2:G$2576,P125),"")</f>
        <v>토사</v>
      </c>
      <c r="R125" t="str" cm="1">
        <f t="array" ref="R125">IFERROR(INDEX(DB!O$2:O$2576,P125),"")</f>
        <v>무너짐</v>
      </c>
      <c r="S125">
        <f t="shared" si="6"/>
        <v>253390.11199999999</v>
      </c>
      <c r="T125">
        <f t="shared" si="7"/>
        <v>2464</v>
      </c>
    </row>
    <row r="126" spans="1:20" ht="100" customHeight="1">
      <c r="A126" s="26"/>
      <c r="B126" s="39">
        <f t="shared" si="5"/>
        <v>113</v>
      </c>
      <c r="C126" s="43"/>
      <c r="D126" s="51" t="str" cm="1">
        <f t="array" ref="D126">IFERROR(INDEX(DB!G$2:G$2576,T126),"")</f>
        <v>토사</v>
      </c>
      <c r="E126" s="43"/>
      <c r="F126" s="52" t="str" cm="1">
        <f t="array" ref="F126">IFERROR(INDEX(DB!O$2:O$2576,T126),"")</f>
        <v>무너짐</v>
      </c>
      <c r="G126" s="43"/>
      <c r="H126" s="40" t="str" cm="1">
        <f t="array" ref="H126">IFERROR(INDEX(DB!P$2:P$2576,T126),"")</f>
        <v>2020년 10월경 OO시 OO군 소재 OOOO(주) OOOO 오수관로 설치공사 현장에서 협력업체 ㈜OOOO 소속 근로자 OOO가 오수관로 설치를 하기 위해 지장물인 우수암거(1.4m×1.6m) 하부 터파기 저면 바닥고르기 작업 중 굴착 진행방향 좌측사면의 토사가 붕괴되면서 근로자가 매몰되어 사망한 재해임.</v>
      </c>
      <c r="I126" s="43"/>
      <c r="J126" s="53" t="str" cm="1">
        <f t="array" ref="J126">IFERROR(INDEX(DB!Q$2:Q$2576,T126),"")</f>
        <v>관로 부설을 위한 굴착 중 굴착사면이 무너지면서 근로자 매몰</v>
      </c>
      <c r="K126" s="43"/>
      <c r="L126" s="41" t="str" cm="1">
        <f t="array" ref="L126">IFERROR(INDEX(DB!R$2:R$2576,T126),"")</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126" s="43"/>
      <c r="P126" cm="1">
        <f t="array" ref="P126">IFERROR(_xlfn.AGGREGATE(15,6,ROW(DB!A$2:A$2576)/((($D$3&lt;&gt;"YES")+($D$3="YES")*(DB!E$2:E$2576="YES"))*(($D$4="")+($D$4&lt;&gt;"")*( DB!B$2:B$2576=$D$4))*(($D$5="")+($D$5&lt;&gt;"")*( DB!C$2:C$2576=$D$5))*(($D$6="")+($D$6&lt;&gt;"")*( DB!D$2:D$2576=$D$6))*(($D$7="")+($D$7&lt;&gt;"")*(ISNUMBER(SEARCH($D$7,DB!G$2:G$2576))))*(($F$7="전체")+($F$7&lt;&gt;"전체")*(DB!H$2:H$2576=$F$7))),ROW()-13)-1,"")</f>
        <v>2454</v>
      </c>
      <c r="Q126" t="str" cm="1">
        <f t="array" ref="Q126">IFERROR(INDEX(DB!G$2:G$2576,P126),"")</f>
        <v>토사</v>
      </c>
      <c r="R126" t="str" cm="1">
        <f t="array" ref="R126">IFERROR(INDEX(DB!O$2:O$2576,P126),"")</f>
        <v>무너짐</v>
      </c>
      <c r="S126">
        <f t="shared" si="6"/>
        <v>253390.11300000001</v>
      </c>
      <c r="T126">
        <f t="shared" si="7"/>
        <v>2465</v>
      </c>
    </row>
    <row r="127" spans="1:20" ht="100" customHeight="1">
      <c r="A127" s="26"/>
      <c r="B127" s="42">
        <f t="shared" si="5"/>
        <v>114</v>
      </c>
      <c r="C127" s="43"/>
      <c r="D127" s="51" t="str" cm="1">
        <f t="array" ref="D127">IFERROR(INDEX(DB!G$2:G$2576,T127),"")</f>
        <v>토사</v>
      </c>
      <c r="E127" s="43"/>
      <c r="F127" s="52" t="str" cm="1">
        <f t="array" ref="F127">IFERROR(INDEX(DB!O$2:O$2576,T127),"")</f>
        <v>무너짐</v>
      </c>
      <c r="G127" s="43"/>
      <c r="H127" s="40" t="str" cm="1">
        <f t="array" ref="H127">IFERROR(INDEX(DB!P$2:P$2576,T127),"")</f>
        <v>2020년 10월경 OOO도 OO시 OO구 소재 OOO 공장 신축공사 현장에서 OOOO 소속 재해자 OOO이 우수관로 흄관(D600㎜) 부설작업을 위하여 굴착한 굴착면의 토사(길이 4.2m×높이 2.4m×두께 0.7m, 약 13톤)가 무너지면서 매몰되어 사망한 재해임.</v>
      </c>
      <c r="I127" s="43"/>
      <c r="J127" s="53" t="str" cm="1">
        <f t="array" ref="J127">IFERROR(INDEX(DB!Q$2:Q$2576,T127),"")</f>
        <v>관로 부설을 위한 굴착 중 굴착사면이 무너지면서 근로자 매몰</v>
      </c>
      <c r="K127" s="43"/>
      <c r="L127" s="41" t="str" cm="1">
        <f t="array" ref="L127">IFERROR(INDEX(DB!R$2:R$2576,T127),"")</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127" s="43"/>
      <c r="P127" cm="1">
        <f t="array" ref="P127">IFERROR(_xlfn.AGGREGATE(15,6,ROW(DB!A$2:A$2576)/((($D$3&lt;&gt;"YES")+($D$3="YES")*(DB!E$2:E$2576="YES"))*(($D$4="")+($D$4&lt;&gt;"")*( DB!B$2:B$2576=$D$4))*(($D$5="")+($D$5&lt;&gt;"")*( DB!C$2:C$2576=$D$5))*(($D$6="")+($D$6&lt;&gt;"")*( DB!D$2:D$2576=$D$6))*(($D$7="")+($D$7&lt;&gt;"")*(ISNUMBER(SEARCH($D$7,DB!G$2:G$2576))))*(($F$7="전체")+($F$7&lt;&gt;"전체")*(DB!H$2:H$2576=$F$7))),ROW()-13)-1,"")</f>
        <v>2455</v>
      </c>
      <c r="Q127" t="str" cm="1">
        <f t="array" ref="Q127">IFERROR(INDEX(DB!G$2:G$2576,P127),"")</f>
        <v>토사</v>
      </c>
      <c r="R127" t="str" cm="1">
        <f t="array" ref="R127">IFERROR(INDEX(DB!O$2:O$2576,P127),"")</f>
        <v>무너짐</v>
      </c>
      <c r="S127">
        <f t="shared" si="6"/>
        <v>253390.114</v>
      </c>
      <c r="T127">
        <f t="shared" si="7"/>
        <v>2466</v>
      </c>
    </row>
    <row r="128" spans="1:20" ht="100" customHeight="1">
      <c r="A128" s="26"/>
      <c r="B128" s="39">
        <f t="shared" si="5"/>
        <v>115</v>
      </c>
      <c r="C128" s="43"/>
      <c r="D128" s="51" t="str" cm="1">
        <f t="array" ref="D128">IFERROR(INDEX(DB!G$2:G$2576,T128),"")</f>
        <v>토사</v>
      </c>
      <c r="E128" s="43"/>
      <c r="F128" s="52" t="str" cm="1">
        <f t="array" ref="F128">IFERROR(INDEX(DB!O$2:O$2576,T128),"")</f>
        <v>무너짐</v>
      </c>
      <c r="G128" s="43"/>
      <c r="H128" s="40" t="str" cm="1">
        <f t="array" ref="H128">IFERROR(INDEX(DB!P$2:P$2576,T128),"")</f>
        <v>2021년 6월경 OO도 OO시 OO구 소재 ㈜OOOO, OOOO 신축공사 중 토목공사 현장에서, 토공사 협력업체 소속의 재해자(남, 관로공) 2명이 오수관로 부설 후 모래 되메우기 작업을 하던 중, 트렌치 굴착부위에 인접한 약 9m 높이 굴착사면이 붕괴되면서 재해자를 덮쳐 매몰된 재해임._x000D_</v>
      </c>
      <c r="I128" s="43"/>
      <c r="J128" s="53" t="str" cm="1">
        <f t="array" ref="J128">IFERROR(INDEX(DB!Q$2:Q$2576,T128),"")</f>
        <v>관로 부설을 위한 굴착 중 굴착사면이 무너지면서 근로자 매몰</v>
      </c>
      <c r="K128" s="43"/>
      <c r="L128" s="41" t="str" cm="1">
        <f t="array" ref="L128">IFERROR(INDEX(DB!R$2:R$2576,T128),"")</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128" s="43"/>
      <c r="P128" cm="1">
        <f t="array" ref="P128">IFERROR(_xlfn.AGGREGATE(15,6,ROW(DB!A$2:A$2576)/((($D$3&lt;&gt;"YES")+($D$3="YES")*(DB!E$2:E$2576="YES"))*(($D$4="")+($D$4&lt;&gt;"")*( DB!B$2:B$2576=$D$4))*(($D$5="")+($D$5&lt;&gt;"")*( DB!C$2:C$2576=$D$5))*(($D$6="")+($D$6&lt;&gt;"")*( DB!D$2:D$2576=$D$6))*(($D$7="")+($D$7&lt;&gt;"")*(ISNUMBER(SEARCH($D$7,DB!G$2:G$2576))))*(($F$7="전체")+($F$7&lt;&gt;"전체")*(DB!H$2:H$2576=$F$7))),ROW()-13)-1,"")</f>
        <v>2456</v>
      </c>
      <c r="Q128" t="str" cm="1">
        <f t="array" ref="Q128">IFERROR(INDEX(DB!G$2:G$2576,P128),"")</f>
        <v>토사</v>
      </c>
      <c r="R128" t="str" cm="1">
        <f t="array" ref="R128">IFERROR(INDEX(DB!O$2:O$2576,P128),"")</f>
        <v>무너짐</v>
      </c>
      <c r="S128">
        <f t="shared" si="6"/>
        <v>253390.11499999999</v>
      </c>
      <c r="T128">
        <f t="shared" si="7"/>
        <v>2467</v>
      </c>
    </row>
    <row r="129" spans="1:20" ht="100" customHeight="1">
      <c r="A129" s="26"/>
      <c r="B129" s="42">
        <f t="shared" si="5"/>
        <v>116</v>
      </c>
      <c r="C129" s="43"/>
      <c r="D129" s="51" t="str" cm="1">
        <f t="array" ref="D129">IFERROR(INDEX(DB!G$2:G$2576,T129),"")</f>
        <v>토사</v>
      </c>
      <c r="E129" s="43"/>
      <c r="F129" s="52" t="str" cm="1">
        <f t="array" ref="F129">IFERROR(INDEX(DB!O$2:O$2576,T129),"")</f>
        <v>무너짐</v>
      </c>
      <c r="G129" s="43"/>
      <c r="H129" s="40" t="str" cm="1">
        <f t="array" ref="H129">IFERROR(INDEX(DB!P$2:P$2576,T129),"")</f>
        <v>2021년 12월경 근린시설신축공사 현장에서 재해자는 현장입구 진입로를 굴착하여 우수관로 설치 작업중 높이 약 2.1m의 굴착면 상부의 붕괴된 토사에 매몰되면서 두부를 암석에 부딪혀 구조 후 병원 이송중 사망한 재해임.</v>
      </c>
      <c r="I129" s="43"/>
      <c r="J129" s="53" t="str" cm="1">
        <f t="array" ref="J129">IFERROR(INDEX(DB!Q$2:Q$2576,T129),"")</f>
        <v>관로 부설을 위한 굴착 중 굴착사면이 무너지면서 근로자 매몰</v>
      </c>
      <c r="K129" s="43"/>
      <c r="L129" s="41" t="str" cm="1">
        <f t="array" ref="L129">IFERROR(INDEX(DB!R$2:R$2576,T129),"")</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129" s="43"/>
      <c r="P129" cm="1">
        <f t="array" ref="P129">IFERROR(_xlfn.AGGREGATE(15,6,ROW(DB!A$2:A$2576)/((($D$3&lt;&gt;"YES")+($D$3="YES")*(DB!E$2:E$2576="YES"))*(($D$4="")+($D$4&lt;&gt;"")*( DB!B$2:B$2576=$D$4))*(($D$5="")+($D$5&lt;&gt;"")*( DB!C$2:C$2576=$D$5))*(($D$6="")+($D$6&lt;&gt;"")*( DB!D$2:D$2576=$D$6))*(($D$7="")+($D$7&lt;&gt;"")*(ISNUMBER(SEARCH($D$7,DB!G$2:G$2576))))*(($F$7="전체")+($F$7&lt;&gt;"전체")*(DB!H$2:H$2576=$F$7))),ROW()-13)-1,"")</f>
        <v>2457</v>
      </c>
      <c r="Q129" t="str" cm="1">
        <f t="array" ref="Q129">IFERROR(INDEX(DB!G$2:G$2576,P129),"")</f>
        <v>토사</v>
      </c>
      <c r="R129" t="str" cm="1">
        <f t="array" ref="R129">IFERROR(INDEX(DB!O$2:O$2576,P129),"")</f>
        <v>무너짐</v>
      </c>
      <c r="S129">
        <f t="shared" si="6"/>
        <v>253390.11600000001</v>
      </c>
      <c r="T129">
        <f t="shared" si="7"/>
        <v>2468</v>
      </c>
    </row>
    <row r="130" spans="1:20" ht="100" customHeight="1">
      <c r="A130" s="26"/>
      <c r="B130" s="39">
        <f t="shared" si="5"/>
        <v>117</v>
      </c>
      <c r="C130" s="43"/>
      <c r="D130" s="51" t="str" cm="1">
        <f t="array" ref="D130">IFERROR(INDEX(DB!G$2:G$2576,T130),"")</f>
        <v>토사</v>
      </c>
      <c r="E130" s="43"/>
      <c r="F130" s="52" t="str" cm="1">
        <f t="array" ref="F130">IFERROR(INDEX(DB!O$2:O$2576,T130),"")</f>
        <v>무너짐</v>
      </c>
      <c r="G130" s="43"/>
      <c r="H130" s="40" t="str" cm="1">
        <f t="array" ref="H130">IFERROR(INDEX(DB!P$2:P$2576,T130),"")</f>
        <v>2021년 12월경, 흙막이 가시설 설치 전 지장물(한전관로 등) 확인을 위하여 약 1.8m 수직 줄파기 작업한 상태에서, 재해자가 굴착한 장소에 들어가 지장물 확인 중 한쪽 굴착면 붕괴로 40cm 정도 토사에 깔림</v>
      </c>
      <c r="I130" s="43"/>
      <c r="J130" s="53" t="str" cm="1">
        <f t="array" ref="J130">IFERROR(INDEX(DB!Q$2:Q$2576,T130),"")</f>
        <v>관로 부설을 위한 굴착 중 굴착사면이 무너지면서 근로자 매몰</v>
      </c>
      <c r="K130" s="43"/>
      <c r="L130" s="41" t="str" cm="1">
        <f t="array" ref="L130">IFERROR(INDEX(DB!R$2:R$2576,T130),"")</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130" s="43"/>
      <c r="P130" cm="1">
        <f t="array" ref="P130">IFERROR(_xlfn.AGGREGATE(15,6,ROW(DB!A$2:A$2576)/((($D$3&lt;&gt;"YES")+($D$3="YES")*(DB!E$2:E$2576="YES"))*(($D$4="")+($D$4&lt;&gt;"")*( DB!B$2:B$2576=$D$4))*(($D$5="")+($D$5&lt;&gt;"")*( DB!C$2:C$2576=$D$5))*(($D$6="")+($D$6&lt;&gt;"")*( DB!D$2:D$2576=$D$6))*(($D$7="")+($D$7&lt;&gt;"")*(ISNUMBER(SEARCH($D$7,DB!G$2:G$2576))))*(($F$7="전체")+($F$7&lt;&gt;"전체")*(DB!H$2:H$2576=$F$7))),ROW()-13)-1,"")</f>
        <v>2458</v>
      </c>
      <c r="Q130" t="str" cm="1">
        <f t="array" ref="Q130">IFERROR(INDEX(DB!G$2:G$2576,P130),"")</f>
        <v>토사</v>
      </c>
      <c r="R130" t="str" cm="1">
        <f t="array" ref="R130">IFERROR(INDEX(DB!O$2:O$2576,P130),"")</f>
        <v>무너짐</v>
      </c>
      <c r="S130">
        <f t="shared" si="6"/>
        <v>253390.117</v>
      </c>
      <c r="T130">
        <f t="shared" si="7"/>
        <v>2469</v>
      </c>
    </row>
    <row r="131" spans="1:20" ht="100" customHeight="1">
      <c r="A131" s="26"/>
      <c r="B131" s="42">
        <f t="shared" si="5"/>
        <v>118</v>
      </c>
      <c r="C131" s="43"/>
      <c r="D131" s="51" t="str" cm="1">
        <f t="array" ref="D131">IFERROR(INDEX(DB!G$2:G$2576,T131),"")</f>
        <v>토사</v>
      </c>
      <c r="E131" s="43"/>
      <c r="F131" s="52" t="str" cm="1">
        <f t="array" ref="F131">IFERROR(INDEX(DB!O$2:O$2576,T131),"")</f>
        <v>무너짐</v>
      </c>
      <c r="G131" s="43"/>
      <c r="H131" s="40" t="str" cm="1">
        <f t="array" ref="H131">IFERROR(INDEX(DB!P$2:P$2576,T131),"")</f>
        <v>2015년 9월경 OO시 OO읍 소재 OOOO 농지에서 PVC관(길이 4m, 지름 20Cm) 매설 작업중이던 재해자가 관을 매설하기 위해 굴삭기가 파놓은 트렌치 내에서 작업 중 깊이 2m의 굴착면 토사가 갑자기 무너져 매몰되어 병원으로 이송 중 사망한 재해임.</v>
      </c>
      <c r="I131" s="43"/>
      <c r="J131" s="53" t="str" cm="1">
        <f t="array" ref="J131">IFERROR(INDEX(DB!Q$2:Q$2576,T131),"")</f>
        <v>관로 부설을 위한 굴착 중 굴착사면이 무너지면서 근로자 매몰</v>
      </c>
      <c r="K131" s="43"/>
      <c r="L131" s="41" t="str" cm="1">
        <f t="array" ref="L131">IFERROR(INDEX(DB!R$2:R$2576,T131),"")</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131" s="43"/>
      <c r="P131" cm="1">
        <f t="array" ref="P131">IFERROR(_xlfn.AGGREGATE(15,6,ROW(DB!A$2:A$2576)/((($D$3&lt;&gt;"YES")+($D$3="YES")*(DB!E$2:E$2576="YES"))*(($D$4="")+($D$4&lt;&gt;"")*( DB!B$2:B$2576=$D$4))*(($D$5="")+($D$5&lt;&gt;"")*( DB!C$2:C$2576=$D$5))*(($D$6="")+($D$6&lt;&gt;"")*( DB!D$2:D$2576=$D$6))*(($D$7="")+($D$7&lt;&gt;"")*(ISNUMBER(SEARCH($D$7,DB!G$2:G$2576))))*(($F$7="전체")+($F$7&lt;&gt;"전체")*(DB!H$2:H$2576=$F$7))),ROW()-13)-1,"")</f>
        <v>2459</v>
      </c>
      <c r="Q131" t="str" cm="1">
        <f t="array" ref="Q131">IFERROR(INDEX(DB!G$2:G$2576,P131),"")</f>
        <v>토사</v>
      </c>
      <c r="R131" t="str" cm="1">
        <f t="array" ref="R131">IFERROR(INDEX(DB!O$2:O$2576,P131),"")</f>
        <v>무너짐</v>
      </c>
      <c r="S131">
        <f t="shared" si="6"/>
        <v>253390.11799999999</v>
      </c>
      <c r="T131">
        <f t="shared" si="7"/>
        <v>2470</v>
      </c>
    </row>
    <row r="132" spans="1:20" ht="100" customHeight="1">
      <c r="A132" s="26"/>
      <c r="B132" s="39">
        <f t="shared" si="5"/>
        <v>119</v>
      </c>
      <c r="C132" s="43"/>
      <c r="D132" s="51" t="str" cm="1">
        <f t="array" ref="D132">IFERROR(INDEX(DB!G$2:G$2576,T132),"")</f>
        <v>토사</v>
      </c>
      <c r="E132" s="43"/>
      <c r="F132" s="52" t="str" cm="1">
        <f t="array" ref="F132">IFERROR(INDEX(DB!O$2:O$2576,T132),"")</f>
        <v>무너짐</v>
      </c>
      <c r="G132" s="43"/>
      <c r="H132" s="40" t="str" cm="1">
        <f t="array" ref="H132">IFERROR(INDEX(DB!P$2:P$2576,T132),"")</f>
        <v>2016년 4월경 OOO도 OO군 OO읍 소재 OOOO(주) 『OOOO 하수관거정비사업』현장에서 오수관교체 작업 후 되메우기 작업 중 굴착 법면의 토사가 유실되면서 아스콘 조각이 굴착 하부에서 진동다짐을 준비하던 재해자 방향으로 떨어지면서 가격한 재해임.</v>
      </c>
      <c r="I132" s="43"/>
      <c r="J132" s="53" t="str" cm="1">
        <f t="array" ref="J132">IFERROR(INDEX(DB!Q$2:Q$2576,T132),"")</f>
        <v>관로 부설을 위한 굴착 중 굴착사면이 무너지면서 근로자 매몰</v>
      </c>
      <c r="K132" s="43"/>
      <c r="L132" s="41" t="str" cm="1">
        <f t="array" ref="L132">IFERROR(INDEX(DB!R$2:R$2576,T132),"")</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132" s="43"/>
      <c r="P132" cm="1">
        <f t="array" ref="P132">IFERROR(_xlfn.AGGREGATE(15,6,ROW(DB!A$2:A$2576)/((($D$3&lt;&gt;"YES")+($D$3="YES")*(DB!E$2:E$2576="YES"))*(($D$4="")+($D$4&lt;&gt;"")*( DB!B$2:B$2576=$D$4))*(($D$5="")+($D$5&lt;&gt;"")*( DB!C$2:C$2576=$D$5))*(($D$6="")+($D$6&lt;&gt;"")*( DB!D$2:D$2576=$D$6))*(($D$7="")+($D$7&lt;&gt;"")*(ISNUMBER(SEARCH($D$7,DB!G$2:G$2576))))*(($F$7="전체")+($F$7&lt;&gt;"전체")*(DB!H$2:H$2576=$F$7))),ROW()-13)-1,"")</f>
        <v>2460</v>
      </c>
      <c r="Q132" t="str" cm="1">
        <f t="array" ref="Q132">IFERROR(INDEX(DB!G$2:G$2576,P132),"")</f>
        <v>토사</v>
      </c>
      <c r="R132" t="str" cm="1">
        <f t="array" ref="R132">IFERROR(INDEX(DB!O$2:O$2576,P132),"")</f>
        <v>무너짐</v>
      </c>
      <c r="S132">
        <f t="shared" si="6"/>
        <v>253390.11900000001</v>
      </c>
      <c r="T132">
        <f t="shared" si="7"/>
        <v>2471</v>
      </c>
    </row>
    <row r="133" spans="1:20" ht="100" customHeight="1">
      <c r="A133" s="26"/>
      <c r="B133" s="42">
        <f t="shared" si="5"/>
        <v>120</v>
      </c>
      <c r="C133" s="43"/>
      <c r="D133" s="51" t="str" cm="1">
        <f t="array" ref="D133">IFERROR(INDEX(DB!G$2:G$2576,T133),"")</f>
        <v>토사</v>
      </c>
      <c r="E133" s="43"/>
      <c r="F133" s="52" t="str" cm="1">
        <f t="array" ref="F133">IFERROR(INDEX(DB!O$2:O$2576,T133),"")</f>
        <v>무너짐</v>
      </c>
      <c r="G133" s="43"/>
      <c r="H133" s="40" t="str" cm="1">
        <f t="array" ref="H133">IFERROR(INDEX(DB!P$2:P$2576,T133),"")</f>
        <v>2016년 4월경 OO도 OO시 OO동 소재 OOOO(주) 부지조성 공사현장에서 재해자가 흄관(D 0.6m, L 2.5m) 매설작업 중 굴착사면이 붕괴되면서 매몰되어 사망한 재해임</v>
      </c>
      <c r="I133" s="43"/>
      <c r="J133" s="53" t="str" cm="1">
        <f t="array" ref="J133">IFERROR(INDEX(DB!Q$2:Q$2576,T133),"")</f>
        <v>관로 부설을 위한 굴착 중 굴착사면이 무너지면서 근로자 매몰</v>
      </c>
      <c r="K133" s="43"/>
      <c r="L133" s="41" t="str" cm="1">
        <f t="array" ref="L133">IFERROR(INDEX(DB!R$2:R$2576,T133),"")</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133" s="43"/>
      <c r="P133" cm="1">
        <f t="array" ref="P133">IFERROR(_xlfn.AGGREGATE(15,6,ROW(DB!A$2:A$2576)/((($D$3&lt;&gt;"YES")+($D$3="YES")*(DB!E$2:E$2576="YES"))*(($D$4="")+($D$4&lt;&gt;"")*( DB!B$2:B$2576=$D$4))*(($D$5="")+($D$5&lt;&gt;"")*( DB!C$2:C$2576=$D$5))*(($D$6="")+($D$6&lt;&gt;"")*( DB!D$2:D$2576=$D$6))*(($D$7="")+($D$7&lt;&gt;"")*(ISNUMBER(SEARCH($D$7,DB!G$2:G$2576))))*(($F$7="전체")+($F$7&lt;&gt;"전체")*(DB!H$2:H$2576=$F$7))),ROW()-13)-1,"")</f>
        <v>2461</v>
      </c>
      <c r="Q133" t="str" cm="1">
        <f t="array" ref="Q133">IFERROR(INDEX(DB!G$2:G$2576,P133),"")</f>
        <v>토사</v>
      </c>
      <c r="R133" t="str" cm="1">
        <f t="array" ref="R133">IFERROR(INDEX(DB!O$2:O$2576,P133),"")</f>
        <v>무너짐</v>
      </c>
      <c r="S133">
        <f t="shared" si="6"/>
        <v>253390.12</v>
      </c>
      <c r="T133">
        <f t="shared" si="7"/>
        <v>2472</v>
      </c>
    </row>
    <row r="134" spans="1:20" ht="100" customHeight="1">
      <c r="A134" s="26"/>
      <c r="B134" s="39">
        <f t="shared" si="5"/>
        <v>121</v>
      </c>
      <c r="C134" s="43"/>
      <c r="D134" s="51" t="str" cm="1">
        <f t="array" ref="D134">IFERROR(INDEX(DB!G$2:G$2576,T134),"")</f>
        <v>토사</v>
      </c>
      <c r="E134" s="43"/>
      <c r="F134" s="52" t="str" cm="1">
        <f t="array" ref="F134">IFERROR(INDEX(DB!O$2:O$2576,T134),"")</f>
        <v>무너짐</v>
      </c>
      <c r="G134" s="43"/>
      <c r="H134" s="40" t="str" cm="1">
        <f t="array" ref="H134">IFERROR(INDEX(DB!P$2:P$2576,T134),"")</f>
        <v xml:space="preserve">2016년 5월경, OOO도 OO시 OO면 소재 ㈜OOOO OOOO상수도사업 제O공구 OOOO시설공사현장에서 협력업체 소속 배관공이 관로매설을 위해 3M 깊이의 굴착저면에 들어가,부설해 놓은 관로(직경1.1M/길이6M/주철관)의 접합(볼팅)작업 중 적정한 기울기(보통흙 습지/1:1이상)를 확보하지 못한 굴착사면이 붕괴되면서 매몰되어 사망한 재해임. </v>
      </c>
      <c r="I134" s="43"/>
      <c r="J134" s="53" t="str" cm="1">
        <f t="array" ref="J134">IFERROR(INDEX(DB!Q$2:Q$2576,T134),"")</f>
        <v>관로 부설을 위한 굴착 중 굴착사면이 무너지면서 근로자 매몰</v>
      </c>
      <c r="K134" s="43"/>
      <c r="L134" s="41" t="str" cm="1">
        <f t="array" ref="L134">IFERROR(INDEX(DB!R$2:R$2576,T134),"")</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134" s="43"/>
      <c r="P134" cm="1">
        <f t="array" ref="P134">IFERROR(_xlfn.AGGREGATE(15,6,ROW(DB!A$2:A$2576)/((($D$3&lt;&gt;"YES")+($D$3="YES")*(DB!E$2:E$2576="YES"))*(($D$4="")+($D$4&lt;&gt;"")*( DB!B$2:B$2576=$D$4))*(($D$5="")+($D$5&lt;&gt;"")*( DB!C$2:C$2576=$D$5))*(($D$6="")+($D$6&lt;&gt;"")*( DB!D$2:D$2576=$D$6))*(($D$7="")+($D$7&lt;&gt;"")*(ISNUMBER(SEARCH($D$7,DB!G$2:G$2576))))*(($F$7="전체")+($F$7&lt;&gt;"전체")*(DB!H$2:H$2576=$F$7))),ROW()-13)-1,"")</f>
        <v>2462</v>
      </c>
      <c r="Q134" t="str" cm="1">
        <f t="array" ref="Q134">IFERROR(INDEX(DB!G$2:G$2576,P134),"")</f>
        <v>토사</v>
      </c>
      <c r="R134" t="str" cm="1">
        <f t="array" ref="R134">IFERROR(INDEX(DB!O$2:O$2576,P134),"")</f>
        <v>무너짐</v>
      </c>
      <c r="S134">
        <f t="shared" si="6"/>
        <v>253390.12100000001</v>
      </c>
      <c r="T134">
        <f t="shared" si="7"/>
        <v>2473</v>
      </c>
    </row>
    <row r="135" spans="1:20" ht="100" customHeight="1">
      <c r="A135" s="26"/>
      <c r="B135" s="42">
        <f t="shared" si="5"/>
        <v>122</v>
      </c>
      <c r="C135" s="43"/>
      <c r="D135" s="51" t="str" cm="1">
        <f t="array" ref="D135">IFERROR(INDEX(DB!G$2:G$2576,T135),"")</f>
        <v>토사</v>
      </c>
      <c r="E135" s="43"/>
      <c r="F135" s="52" t="str" cm="1">
        <f t="array" ref="F135">IFERROR(INDEX(DB!O$2:O$2576,T135),"")</f>
        <v>무너짐</v>
      </c>
      <c r="G135" s="43"/>
      <c r="H135" s="40" t="str" cm="1">
        <f t="array" ref="H135">IFERROR(INDEX(DB!P$2:P$2576,T135),"")</f>
        <v>2016년 10월경 OOO도 OO시 소재 OOOO하수관로 정비공사 현장에서 원청 직영 근로자가 약2.7m 굴착 저면에서 하수관로 매설작업 중 인접 굴착사면의 토사붕괴(약 2.16㎥)로 매몰되어 사망한 재해임.</v>
      </c>
      <c r="I135" s="43"/>
      <c r="J135" s="53" t="str" cm="1">
        <f t="array" ref="J135">IFERROR(INDEX(DB!Q$2:Q$2576,T135),"")</f>
        <v>관로 부설을 위한 굴착 중 굴착사면이 무너지면서 근로자 매몰</v>
      </c>
      <c r="K135" s="43"/>
      <c r="L135" s="41" t="str" cm="1">
        <f t="array" ref="L135">IFERROR(INDEX(DB!R$2:R$2576,T135),"")</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135" s="43"/>
      <c r="P135" cm="1">
        <f t="array" ref="P135">IFERROR(_xlfn.AGGREGATE(15,6,ROW(DB!A$2:A$2576)/((($D$3&lt;&gt;"YES")+($D$3="YES")*(DB!E$2:E$2576="YES"))*(($D$4="")+($D$4&lt;&gt;"")*( DB!B$2:B$2576=$D$4))*(($D$5="")+($D$5&lt;&gt;"")*( DB!C$2:C$2576=$D$5))*(($D$6="")+($D$6&lt;&gt;"")*( DB!D$2:D$2576=$D$6))*(($D$7="")+($D$7&lt;&gt;"")*(ISNUMBER(SEARCH($D$7,DB!G$2:G$2576))))*(($F$7="전체")+($F$7&lt;&gt;"전체")*(DB!H$2:H$2576=$F$7))),ROW()-13)-1,"")</f>
        <v>2463</v>
      </c>
      <c r="Q135" t="str" cm="1">
        <f t="array" ref="Q135">IFERROR(INDEX(DB!G$2:G$2576,P135),"")</f>
        <v>토사</v>
      </c>
      <c r="R135" t="str" cm="1">
        <f t="array" ref="R135">IFERROR(INDEX(DB!O$2:O$2576,P135),"")</f>
        <v>무너짐</v>
      </c>
      <c r="S135">
        <f t="shared" si="6"/>
        <v>253390.122</v>
      </c>
      <c r="T135">
        <f t="shared" si="7"/>
        <v>2474</v>
      </c>
    </row>
    <row r="136" spans="1:20" ht="100" customHeight="1">
      <c r="A136" s="26"/>
      <c r="B136" s="39">
        <f t="shared" si="5"/>
        <v>123</v>
      </c>
      <c r="C136" s="43"/>
      <c r="D136" s="51" t="str" cm="1">
        <f t="array" ref="D136">IFERROR(INDEX(DB!G$2:G$2576,T136),"")</f>
        <v>토사</v>
      </c>
      <c r="E136" s="43"/>
      <c r="F136" s="52" t="str" cm="1">
        <f t="array" ref="F136">IFERROR(INDEX(DB!O$2:O$2576,T136),"")</f>
        <v>무너짐</v>
      </c>
      <c r="G136" s="43"/>
      <c r="H136" s="40" t="str" cm="1">
        <f t="array" ref="H136">IFERROR(INDEX(DB!P$2:P$2576,T136),"")</f>
        <v>2018년 8월경 OOO도 OO시 OO면 소재 ㈜OOOO, OOOO주변도로 통신공사 현장에서 재해자가 통신관로 매설을 위해 굴착된 바닥면에서 모래포설 등의 작업 중 굴착 사면 일부가 붕괴되면서 토사에 매몰되어 사망한 재해임.</v>
      </c>
      <c r="I136" s="43"/>
      <c r="J136" s="53" t="str" cm="1">
        <f t="array" ref="J136">IFERROR(INDEX(DB!Q$2:Q$2576,T136),"")</f>
        <v>관로 부설을 위한 굴착 중 굴착사면이 무너지면서 근로자 매몰</v>
      </c>
      <c r="K136" s="43"/>
      <c r="L136" s="41" t="str" cm="1">
        <f t="array" ref="L136">IFERROR(INDEX(DB!R$2:R$2576,T136),"")</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136" s="43"/>
      <c r="P136" cm="1">
        <f t="array" ref="P136">IFERROR(_xlfn.AGGREGATE(15,6,ROW(DB!A$2:A$2576)/((($D$3&lt;&gt;"YES")+($D$3="YES")*(DB!E$2:E$2576="YES"))*(($D$4="")+($D$4&lt;&gt;"")*( DB!B$2:B$2576=$D$4))*(($D$5="")+($D$5&lt;&gt;"")*( DB!C$2:C$2576=$D$5))*(($D$6="")+($D$6&lt;&gt;"")*( DB!D$2:D$2576=$D$6))*(($D$7="")+($D$7&lt;&gt;"")*(ISNUMBER(SEARCH($D$7,DB!G$2:G$2576))))*(($F$7="전체")+($F$7&lt;&gt;"전체")*(DB!H$2:H$2576=$F$7))),ROW()-13)-1,"")</f>
        <v>2464</v>
      </c>
      <c r="Q136" t="str" cm="1">
        <f t="array" ref="Q136">IFERROR(INDEX(DB!G$2:G$2576,P136),"")</f>
        <v>토사</v>
      </c>
      <c r="R136" t="str" cm="1">
        <f t="array" ref="R136">IFERROR(INDEX(DB!O$2:O$2576,P136),"")</f>
        <v>무너짐</v>
      </c>
      <c r="S136">
        <f t="shared" si="6"/>
        <v>253390.12299999999</v>
      </c>
      <c r="T136">
        <f t="shared" si="7"/>
        <v>2475</v>
      </c>
    </row>
    <row r="137" spans="1:20" ht="100" customHeight="1">
      <c r="A137" s="26"/>
      <c r="B137" s="42">
        <f t="shared" si="5"/>
        <v>124</v>
      </c>
      <c r="C137" s="43"/>
      <c r="D137" s="51" t="str" cm="1">
        <f t="array" ref="D137">IFERROR(INDEX(DB!G$2:G$2576,T137),"")</f>
        <v>토사</v>
      </c>
      <c r="E137" s="43"/>
      <c r="F137" s="52" t="str" cm="1">
        <f t="array" ref="F137">IFERROR(INDEX(DB!O$2:O$2576,T137),"")</f>
        <v>무너짐</v>
      </c>
      <c r="G137" s="43"/>
      <c r="H137" s="40" t="str" cm="1">
        <f t="array" ref="H137">IFERROR(INDEX(DB!P$2:P$2576,T137),"")</f>
        <v>2018년 10월경 OOO도 OO군 소재 OOOO(주) OOOO 하수관거 정비사업 현장에서 재해자가 맨홀내부에서 토사제거 작업 중 무너지는 토사에 매몰되어 사망.</v>
      </c>
      <c r="I137" s="43"/>
      <c r="J137" s="53" t="str" cm="1">
        <f t="array" ref="J137">IFERROR(INDEX(DB!Q$2:Q$2576,T137),"")</f>
        <v>관로 부설을 위한 굴착 중 굴착사면이 무너지면서 근로자 매몰</v>
      </c>
      <c r="K137" s="43"/>
      <c r="L137" s="41" t="str" cm="1">
        <f t="array" ref="L137">IFERROR(INDEX(DB!R$2:R$2576,T137),"")</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137" s="43"/>
      <c r="P137" cm="1">
        <f t="array" ref="P137">IFERROR(_xlfn.AGGREGATE(15,6,ROW(DB!A$2:A$2576)/((($D$3&lt;&gt;"YES")+($D$3="YES")*(DB!E$2:E$2576="YES"))*(($D$4="")+($D$4&lt;&gt;"")*( DB!B$2:B$2576=$D$4))*(($D$5="")+($D$5&lt;&gt;"")*( DB!C$2:C$2576=$D$5))*(($D$6="")+($D$6&lt;&gt;"")*( DB!D$2:D$2576=$D$6))*(($D$7="")+($D$7&lt;&gt;"")*(ISNUMBER(SEARCH($D$7,DB!G$2:G$2576))))*(($F$7="전체")+($F$7&lt;&gt;"전체")*(DB!H$2:H$2576=$F$7))),ROW()-13)-1,"")</f>
        <v>2465</v>
      </c>
      <c r="Q137" t="str" cm="1">
        <f t="array" ref="Q137">IFERROR(INDEX(DB!G$2:G$2576,P137),"")</f>
        <v>토사</v>
      </c>
      <c r="R137" t="str" cm="1">
        <f t="array" ref="R137">IFERROR(INDEX(DB!O$2:O$2576,P137),"")</f>
        <v>무너짐</v>
      </c>
      <c r="S137">
        <f t="shared" si="6"/>
        <v>253390.12400000001</v>
      </c>
      <c r="T137">
        <f t="shared" si="7"/>
        <v>2476</v>
      </c>
    </row>
    <row r="138" spans="1:20" ht="100" customHeight="1">
      <c r="A138" s="26"/>
      <c r="B138" s="39">
        <f t="shared" si="5"/>
        <v>125</v>
      </c>
      <c r="C138" s="43"/>
      <c r="D138" s="51" t="str" cm="1">
        <f t="array" ref="D138">IFERROR(INDEX(DB!G$2:G$2576,T138),"")</f>
        <v>토사</v>
      </c>
      <c r="E138" s="43"/>
      <c r="F138" s="52" t="str" cm="1">
        <f t="array" ref="F138">IFERROR(INDEX(DB!O$2:O$2576,T138),"")</f>
        <v>무너짐</v>
      </c>
      <c r="G138" s="43"/>
      <c r="H138" s="40" t="str" cm="1">
        <f t="array" ref="H138">IFERROR(INDEX(DB!P$2:P$2576,T138),"")</f>
        <v xml:space="preserve"> 2018년 11월경 OO도 OO시 소재 OOOO(주) OOOO보행안전 및 가로환경 현장에서 우수관로 흄관 매설작업 중 굴착면 붕괴로 재해자가 매몰되어 1명 사망, 1명 부상</v>
      </c>
      <c r="I138" s="43"/>
      <c r="J138" s="53" t="str" cm="1">
        <f t="array" ref="J138">IFERROR(INDEX(DB!Q$2:Q$2576,T138),"")</f>
        <v>관로 부설을 위한 굴착 중 굴착사면이 무너지면서 근로자 매몰</v>
      </c>
      <c r="K138" s="43"/>
      <c r="L138" s="41" t="str" cm="1">
        <f t="array" ref="L138">IFERROR(INDEX(DB!R$2:R$2576,T138),"")</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138" s="43"/>
      <c r="P138" cm="1">
        <f t="array" ref="P138">IFERROR(_xlfn.AGGREGATE(15,6,ROW(DB!A$2:A$2576)/((($D$3&lt;&gt;"YES")+($D$3="YES")*(DB!E$2:E$2576="YES"))*(($D$4="")+($D$4&lt;&gt;"")*( DB!B$2:B$2576=$D$4))*(($D$5="")+($D$5&lt;&gt;"")*( DB!C$2:C$2576=$D$5))*(($D$6="")+($D$6&lt;&gt;"")*( DB!D$2:D$2576=$D$6))*(($D$7="")+($D$7&lt;&gt;"")*(ISNUMBER(SEARCH($D$7,DB!G$2:G$2576))))*(($F$7="전체")+($F$7&lt;&gt;"전체")*(DB!H$2:H$2576=$F$7))),ROW()-13)-1,"")</f>
        <v>2466</v>
      </c>
      <c r="Q138" t="str" cm="1">
        <f t="array" ref="Q138">IFERROR(INDEX(DB!G$2:G$2576,P138),"")</f>
        <v>토사</v>
      </c>
      <c r="R138" t="str" cm="1">
        <f t="array" ref="R138">IFERROR(INDEX(DB!O$2:O$2576,P138),"")</f>
        <v>무너짐</v>
      </c>
      <c r="S138">
        <f t="shared" si="6"/>
        <v>253390.125</v>
      </c>
      <c r="T138">
        <f t="shared" si="7"/>
        <v>2477</v>
      </c>
    </row>
    <row r="139" spans="1:20" ht="100" customHeight="1">
      <c r="A139" s="26"/>
      <c r="B139" s="42">
        <f t="shared" si="5"/>
        <v>126</v>
      </c>
      <c r="C139" s="43"/>
      <c r="D139" s="51" t="str" cm="1">
        <f t="array" ref="D139">IFERROR(INDEX(DB!G$2:G$2576,T139),"")</f>
        <v>토사</v>
      </c>
      <c r="E139" s="43"/>
      <c r="F139" s="52" t="str" cm="1">
        <f t="array" ref="F139">IFERROR(INDEX(DB!O$2:O$2576,T139),"")</f>
        <v>무너짐</v>
      </c>
      <c r="G139" s="43"/>
      <c r="H139" s="40" t="str" cm="1">
        <f t="array" ref="H139">IFERROR(INDEX(DB!P$2:P$2576,T139),"")</f>
        <v>2018년 12월경 OOOO(주) OO시 OOO동 OOOO배수공사 현장의 트랜치 굴착(h≒3.5m) 저면에서 작업자 2명이 콘크리트 흄관(D=300mm, L=2.5m) 매설작업을 진행하던 중 무너지는 굴착법면 토사에 매몰되어 사망한 재해임.</v>
      </c>
      <c r="I139" s="43"/>
      <c r="J139" s="53" t="str" cm="1">
        <f t="array" ref="J139">IFERROR(INDEX(DB!Q$2:Q$2576,T139),"")</f>
        <v>관로 부설을 위한 굴착 중 굴착사면이 무너지면서 근로자 매몰</v>
      </c>
      <c r="K139" s="43"/>
      <c r="L139" s="41" t="str" cm="1">
        <f t="array" ref="L139">IFERROR(INDEX(DB!R$2:R$2576,T139),"")</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139" s="43"/>
      <c r="P139" cm="1">
        <f t="array" ref="P139">IFERROR(_xlfn.AGGREGATE(15,6,ROW(DB!A$2:A$2576)/((($D$3&lt;&gt;"YES")+($D$3="YES")*(DB!E$2:E$2576="YES"))*(($D$4="")+($D$4&lt;&gt;"")*( DB!B$2:B$2576=$D$4))*(($D$5="")+($D$5&lt;&gt;"")*( DB!C$2:C$2576=$D$5))*(($D$6="")+($D$6&lt;&gt;"")*( DB!D$2:D$2576=$D$6))*(($D$7="")+($D$7&lt;&gt;"")*(ISNUMBER(SEARCH($D$7,DB!G$2:G$2576))))*(($F$7="전체")+($F$7&lt;&gt;"전체")*(DB!H$2:H$2576=$F$7))),ROW()-13)-1,"")</f>
        <v>2467</v>
      </c>
      <c r="Q139" t="str" cm="1">
        <f t="array" ref="Q139">IFERROR(INDEX(DB!G$2:G$2576,P139),"")</f>
        <v>토사</v>
      </c>
      <c r="R139" t="str" cm="1">
        <f t="array" ref="R139">IFERROR(INDEX(DB!O$2:O$2576,P139),"")</f>
        <v>무너짐</v>
      </c>
      <c r="S139">
        <f t="shared" si="6"/>
        <v>253390.12599999999</v>
      </c>
      <c r="T139">
        <f t="shared" si="7"/>
        <v>2478</v>
      </c>
    </row>
    <row r="140" spans="1:20" ht="100" customHeight="1">
      <c r="A140" s="26"/>
      <c r="B140" s="39">
        <f t="shared" si="5"/>
        <v>127</v>
      </c>
      <c r="C140" s="43"/>
      <c r="D140" s="51" t="str" cm="1">
        <f t="array" ref="D140">IFERROR(INDEX(DB!G$2:G$2576,T140),"")</f>
        <v>토사</v>
      </c>
      <c r="E140" s="43"/>
      <c r="F140" s="52" t="str" cm="1">
        <f t="array" ref="F140">IFERROR(INDEX(DB!O$2:O$2576,T140),"")</f>
        <v>무너짐</v>
      </c>
      <c r="G140" s="43"/>
      <c r="H140" s="40" t="str" cm="1">
        <f t="array" ref="H140">IFERROR(INDEX(DB!P$2:P$2576,T140),"")</f>
        <v>2019년 5월경 OO시 OO읍 소재 ㈜OOOO 하수관로 정비공사 현장에서 재해자 OOO가 하수관로 연결 작업을 위해 굴착구간(H≒2.5m)내부에서 동료작업자(OOO)와 하수관로 연결 작업을 하던 중 차도방향의 굴착면이 붕괴되어 무너진 토사에 재해자가 매몰됨</v>
      </c>
      <c r="I140" s="43"/>
      <c r="J140" s="53" t="str" cm="1">
        <f t="array" ref="J140">IFERROR(INDEX(DB!Q$2:Q$2576,T140),"")</f>
        <v>관로 부설을 위한 굴착 중 굴착사면이 무너지면서 근로자 매몰</v>
      </c>
      <c r="K140" s="43"/>
      <c r="L140" s="41" t="str" cm="1">
        <f t="array" ref="L140">IFERROR(INDEX(DB!R$2:R$2576,T140),"")</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140" s="43"/>
      <c r="P140" cm="1">
        <f t="array" ref="P140">IFERROR(_xlfn.AGGREGATE(15,6,ROW(DB!A$2:A$2576)/((($D$3&lt;&gt;"YES")+($D$3="YES")*(DB!E$2:E$2576="YES"))*(($D$4="")+($D$4&lt;&gt;"")*( DB!B$2:B$2576=$D$4))*(($D$5="")+($D$5&lt;&gt;"")*( DB!C$2:C$2576=$D$5))*(($D$6="")+($D$6&lt;&gt;"")*( DB!D$2:D$2576=$D$6))*(($D$7="")+($D$7&lt;&gt;"")*(ISNUMBER(SEARCH($D$7,DB!G$2:G$2576))))*(($F$7="전체")+($F$7&lt;&gt;"전체")*(DB!H$2:H$2576=$F$7))),ROW()-13)-1,"")</f>
        <v>2468</v>
      </c>
      <c r="Q140" t="str" cm="1">
        <f t="array" ref="Q140">IFERROR(INDEX(DB!G$2:G$2576,P140),"")</f>
        <v>토사</v>
      </c>
      <c r="R140" t="str" cm="1">
        <f t="array" ref="R140">IFERROR(INDEX(DB!O$2:O$2576,P140),"")</f>
        <v>무너짐</v>
      </c>
      <c r="S140">
        <f t="shared" si="6"/>
        <v>253390.12700000001</v>
      </c>
      <c r="T140">
        <f t="shared" si="7"/>
        <v>2479</v>
      </c>
    </row>
    <row r="141" spans="1:20" ht="100" customHeight="1">
      <c r="A141" s="26"/>
      <c r="B141" s="42">
        <f t="shared" si="5"/>
        <v>128</v>
      </c>
      <c r="C141" s="43"/>
      <c r="D141" s="51" t="str" cm="1">
        <f t="array" ref="D141">IFERROR(INDEX(DB!G$2:G$2576,T141),"")</f>
        <v>토사</v>
      </c>
      <c r="E141" s="43"/>
      <c r="F141" s="52" t="str" cm="1">
        <f t="array" ref="F141">IFERROR(INDEX(DB!O$2:O$2576,T141),"")</f>
        <v>무너짐</v>
      </c>
      <c r="G141" s="43"/>
      <c r="H141" s="40" t="str" cm="1">
        <f t="array" ref="H141">IFERROR(INDEX(DB!P$2:P$2576,T141),"")</f>
        <v>2019년 5월경 OO도 OO시 OO면 소재 OOOO(주) OOOO정비사업 현장의 OO교 취수보 설치구간 내 가배수로 재설치 작업 장소에서 재해자는 배수관(흄관, D=1,000mm, L=2,500mm) 연결부 접합을 위해 관 내부에서 모르타르(시멘트, 모래를 섞어서 물에 갠 것)를 연결부위에 채우고 외부로 나오던 중 굴착사면 토사가 붕괴, 매몰되어 사망한 재해임.</v>
      </c>
      <c r="I141" s="43"/>
      <c r="J141" s="53" t="str" cm="1">
        <f t="array" ref="J141">IFERROR(INDEX(DB!Q$2:Q$2576,T141),"")</f>
        <v>관로 부설을 위한 굴착 중 굴착사면이 무너지면서 근로자 매몰</v>
      </c>
      <c r="K141" s="43"/>
      <c r="L141" s="41" t="str" cm="1">
        <f t="array" ref="L141">IFERROR(INDEX(DB!R$2:R$2576,T141),"")</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141" s="43"/>
      <c r="P141" cm="1">
        <f t="array" ref="P141">IFERROR(_xlfn.AGGREGATE(15,6,ROW(DB!A$2:A$2576)/((($D$3&lt;&gt;"YES")+($D$3="YES")*(DB!E$2:E$2576="YES"))*(($D$4="")+($D$4&lt;&gt;"")*( DB!B$2:B$2576=$D$4))*(($D$5="")+($D$5&lt;&gt;"")*( DB!C$2:C$2576=$D$5))*(($D$6="")+($D$6&lt;&gt;"")*( DB!D$2:D$2576=$D$6))*(($D$7="")+($D$7&lt;&gt;"")*(ISNUMBER(SEARCH($D$7,DB!G$2:G$2576))))*(($F$7="전체")+($F$7&lt;&gt;"전체")*(DB!H$2:H$2576=$F$7))),ROW()-13)-1,"")</f>
        <v>2469</v>
      </c>
      <c r="Q141" t="str" cm="1">
        <f t="array" ref="Q141">IFERROR(INDEX(DB!G$2:G$2576,P141),"")</f>
        <v>토사</v>
      </c>
      <c r="R141" t="str" cm="1">
        <f t="array" ref="R141">IFERROR(INDEX(DB!O$2:O$2576,P141),"")</f>
        <v>무너짐</v>
      </c>
      <c r="S141">
        <f t="shared" si="6"/>
        <v>253390.128</v>
      </c>
      <c r="T141">
        <f t="shared" si="7"/>
        <v>2480</v>
      </c>
    </row>
    <row r="142" spans="1:20" ht="100" customHeight="1">
      <c r="A142" s="26"/>
      <c r="B142" s="39">
        <f t="shared" si="5"/>
        <v>129</v>
      </c>
      <c r="C142" s="43"/>
      <c r="D142" s="51" t="str" cm="1">
        <f t="array" ref="D142">IFERROR(INDEX(DB!G$2:G$2576,T142),"")</f>
        <v>토사</v>
      </c>
      <c r="E142" s="43"/>
      <c r="F142" s="52" t="str" cm="1">
        <f t="array" ref="F142">IFERROR(INDEX(DB!O$2:O$2576,T142),"")</f>
        <v>무너짐</v>
      </c>
      <c r="G142" s="43"/>
      <c r="H142" s="40" t="str" cm="1">
        <f t="array" ref="H142">IFERROR(INDEX(DB!P$2:P$2576,T142),"")</f>
        <v>2019년 8월경 OO시 소재, OOOO(주)이 시공하는 상구도관(D600mm, L=6.0m) 매설현장에서 재해자가 깊이 약3m 굴착 저면에서 상수도관 연결작업중 굴착사면 토사가 일부 붕괴되면서 재해자를 덮쳐, 가슴이 상수관에 충돌하여 갈비뼈 손상으로 사망한 재해임.</v>
      </c>
      <c r="I142" s="43"/>
      <c r="J142" s="53" t="str" cm="1">
        <f t="array" ref="J142">IFERROR(INDEX(DB!Q$2:Q$2576,T142),"")</f>
        <v>관로 부설을 위한 굴착 중 굴착사면이 무너지면서 근로자 매몰</v>
      </c>
      <c r="K142" s="43"/>
      <c r="L142" s="41" t="str" cm="1">
        <f t="array" ref="L142">IFERROR(INDEX(DB!R$2:R$2576,T142),"")</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142" s="43"/>
      <c r="P142" cm="1">
        <f t="array" ref="P142">IFERROR(_xlfn.AGGREGATE(15,6,ROW(DB!A$2:A$2576)/((($D$3&lt;&gt;"YES")+($D$3="YES")*(DB!E$2:E$2576="YES"))*(($D$4="")+($D$4&lt;&gt;"")*( DB!B$2:B$2576=$D$4))*(($D$5="")+($D$5&lt;&gt;"")*( DB!C$2:C$2576=$D$5))*(($D$6="")+($D$6&lt;&gt;"")*( DB!D$2:D$2576=$D$6))*(($D$7="")+($D$7&lt;&gt;"")*(ISNUMBER(SEARCH($D$7,DB!G$2:G$2576))))*(($F$7="전체")+($F$7&lt;&gt;"전체")*(DB!H$2:H$2576=$F$7))),ROW()-13)-1,"")</f>
        <v>2470</v>
      </c>
      <c r="Q142" t="str" cm="1">
        <f t="array" ref="Q142">IFERROR(INDEX(DB!G$2:G$2576,P142),"")</f>
        <v>토사</v>
      </c>
      <c r="R142" t="str" cm="1">
        <f t="array" ref="R142">IFERROR(INDEX(DB!O$2:O$2576,P142),"")</f>
        <v>무너짐</v>
      </c>
      <c r="S142">
        <f t="shared" si="6"/>
        <v>253390.12899999999</v>
      </c>
      <c r="T142">
        <f t="shared" si="7"/>
        <v>2481</v>
      </c>
    </row>
    <row r="143" spans="1:20" ht="100" customHeight="1">
      <c r="A143" s="26"/>
      <c r="B143" s="42">
        <f t="shared" ref="B143:B206" si="8">IFERROR(IF(T143="","",ROW()-13),"")</f>
        <v>130</v>
      </c>
      <c r="C143" s="43"/>
      <c r="D143" s="51" t="str" cm="1">
        <f t="array" ref="D143">IFERROR(INDEX(DB!G$2:G$2576,T143),"")</f>
        <v>토사</v>
      </c>
      <c r="E143" s="43"/>
      <c r="F143" s="52" t="str" cm="1">
        <f t="array" ref="F143">IFERROR(INDEX(DB!O$2:O$2576,T143),"")</f>
        <v>무너짐</v>
      </c>
      <c r="G143" s="43"/>
      <c r="H143" s="40" t="str" cm="1">
        <f t="array" ref="H143">IFERROR(INDEX(DB!P$2:P$2576,T143),"")</f>
        <v xml:space="preserve">2019년 10월경 OO시 OO면 소재 ㈜OOOO이 시공하는 OOOO마을하수도 설치사업 현장에서 ㈜OOOO 소속 재해자(관로공) 2명이 트렌치 굴착(깊이≒1.8m~1.9m, 폭≒1m)저면에서 오수관 매설작업 중 굴착 사면(사질토) 붕괴와 함께 지반 상부 콘크리트 포장이 붕괴되면서 재해자를 덮쳐 1명 사망, 1명이 부상당한 재해임  </v>
      </c>
      <c r="I143" s="43"/>
      <c r="J143" s="53" t="str" cm="1">
        <f t="array" ref="J143">IFERROR(INDEX(DB!Q$2:Q$2576,T143),"")</f>
        <v>관로 부설을 위한 굴착 중 굴착사면이 무너지면서 근로자 매몰</v>
      </c>
      <c r="K143" s="43"/>
      <c r="L143" s="41" t="str" cm="1">
        <f t="array" ref="L143">IFERROR(INDEX(DB!R$2:R$2576,T143),"")</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143" s="43"/>
      <c r="P143" cm="1">
        <f t="array" ref="P143">IFERROR(_xlfn.AGGREGATE(15,6,ROW(DB!A$2:A$2576)/((($D$3&lt;&gt;"YES")+($D$3="YES")*(DB!E$2:E$2576="YES"))*(($D$4="")+($D$4&lt;&gt;"")*( DB!B$2:B$2576=$D$4))*(($D$5="")+($D$5&lt;&gt;"")*( DB!C$2:C$2576=$D$5))*(($D$6="")+($D$6&lt;&gt;"")*( DB!D$2:D$2576=$D$6))*(($D$7="")+($D$7&lt;&gt;"")*(ISNUMBER(SEARCH($D$7,DB!G$2:G$2576))))*(($F$7="전체")+($F$7&lt;&gt;"전체")*(DB!H$2:H$2576=$F$7))),ROW()-13)-1,"")</f>
        <v>2471</v>
      </c>
      <c r="Q143" t="str" cm="1">
        <f t="array" ref="Q143">IFERROR(INDEX(DB!G$2:G$2576,P143),"")</f>
        <v>토사</v>
      </c>
      <c r="R143" t="str" cm="1">
        <f t="array" ref="R143">IFERROR(INDEX(DB!O$2:O$2576,P143),"")</f>
        <v>무너짐</v>
      </c>
      <c r="S143">
        <f t="shared" ref="S143:S206" si="9">IF(P143="","",COUNTIF($Q$14:$Q$2587,"&lt;"&amp;Q143)*100+COUNTIF($R$14:$R$2587,"&lt;"&amp;R143)+(ROW()-13)*0.001)</f>
        <v>253390.13</v>
      </c>
      <c r="T143">
        <f t="shared" ref="T143:T206" si="10">IFERROR(INDEX($P$14:$P$2587,MATCH(SMALL($S$14:$S$2587,ROW()-13),$S$14:$S$2587,0)),"")</f>
        <v>2482</v>
      </c>
    </row>
    <row r="144" spans="1:20" ht="100" customHeight="1">
      <c r="A144" s="26"/>
      <c r="B144" s="39">
        <f t="shared" si="8"/>
        <v>131</v>
      </c>
      <c r="C144" s="43"/>
      <c r="D144" s="51" t="str" cm="1">
        <f t="array" ref="D144">IFERROR(INDEX(DB!G$2:G$2576,T144),"")</f>
        <v>토사</v>
      </c>
      <c r="E144" s="43"/>
      <c r="F144" s="52" t="str" cm="1">
        <f t="array" ref="F144">IFERROR(INDEX(DB!O$2:O$2576,T144),"")</f>
        <v>무너짐</v>
      </c>
      <c r="G144" s="43"/>
      <c r="H144" s="40" t="str" cm="1">
        <f t="array" ref="H144">IFERROR(INDEX(DB!P$2:P$2576,T144),"")</f>
        <v>2019년 11월경,  OO시 OO구 일대 OOOO(주) OOOO구역 인근 정압기 및 본·공급관 공사 현장에서 재해자 2명이 도시가스 공급관(Φ315mm) 설치 작업중 토사 일부가 붕괴, 매몰되어 3개월 이상의 요양이 필요한 재해 발생.</v>
      </c>
      <c r="I144" s="43"/>
      <c r="J144" s="53" t="str" cm="1">
        <f t="array" ref="J144">IFERROR(INDEX(DB!Q$2:Q$2576,T144),"")</f>
        <v>관로 부설을 위한 굴착 중 굴착사면이 무너지면서 근로자 매몰</v>
      </c>
      <c r="K144" s="43"/>
      <c r="L144" s="41" t="str" cm="1">
        <f t="array" ref="L144">IFERROR(INDEX(DB!R$2:R$2576,T144),"")</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144" s="43"/>
      <c r="P144" cm="1">
        <f t="array" ref="P144">IFERROR(_xlfn.AGGREGATE(15,6,ROW(DB!A$2:A$2576)/((($D$3&lt;&gt;"YES")+($D$3="YES")*(DB!E$2:E$2576="YES"))*(($D$4="")+($D$4&lt;&gt;"")*( DB!B$2:B$2576=$D$4))*(($D$5="")+($D$5&lt;&gt;"")*( DB!C$2:C$2576=$D$5))*(($D$6="")+($D$6&lt;&gt;"")*( DB!D$2:D$2576=$D$6))*(($D$7="")+($D$7&lt;&gt;"")*(ISNUMBER(SEARCH($D$7,DB!G$2:G$2576))))*(($F$7="전체")+($F$7&lt;&gt;"전체")*(DB!H$2:H$2576=$F$7))),ROW()-13)-1,"")</f>
        <v>2472</v>
      </c>
      <c r="Q144" t="str" cm="1">
        <f t="array" ref="Q144">IFERROR(INDEX(DB!G$2:G$2576,P144),"")</f>
        <v>토사</v>
      </c>
      <c r="R144" t="str" cm="1">
        <f t="array" ref="R144">IFERROR(INDEX(DB!O$2:O$2576,P144),"")</f>
        <v>무너짐</v>
      </c>
      <c r="S144">
        <f t="shared" si="9"/>
        <v>253390.13099999999</v>
      </c>
      <c r="T144">
        <f t="shared" si="10"/>
        <v>2483</v>
      </c>
    </row>
    <row r="145" spans="1:20" ht="100" customHeight="1">
      <c r="A145" s="26"/>
      <c r="B145" s="42">
        <f t="shared" si="8"/>
        <v>132</v>
      </c>
      <c r="C145" s="43"/>
      <c r="D145" s="51" t="str" cm="1">
        <f t="array" ref="D145">IFERROR(INDEX(DB!G$2:G$2576,T145),"")</f>
        <v>토사</v>
      </c>
      <c r="E145" s="43"/>
      <c r="F145" s="52" t="str" cm="1">
        <f t="array" ref="F145">IFERROR(INDEX(DB!O$2:O$2576,T145),"")</f>
        <v>무너짐</v>
      </c>
      <c r="G145" s="43"/>
      <c r="H145" s="40" t="str" cm="1">
        <f t="array" ref="H145">IFERROR(INDEX(DB!P$2:P$2576,T145),"")</f>
        <v>2020년 4월경 OOO도 OO군 OO읍 소재 OOOO현장에서 재해자가 굴착면 바닥(수직으로 굴착, 깊이 약 2m, 폭 1.1m)에서 우수관로(내경 300mm, pvc이중주름관) 연결작업을 하던 중 굴착면이 붕괴(약 1.4㎥) 되면서 매몰되어 사망한 재해임.</v>
      </c>
      <c r="I145" s="43"/>
      <c r="J145" s="53" t="str" cm="1">
        <f t="array" ref="J145">IFERROR(INDEX(DB!Q$2:Q$2576,T145),"")</f>
        <v>관로 부설을 위한 굴착 중 굴착사면이 무너지면서 근로자 매몰</v>
      </c>
      <c r="K145" s="43"/>
      <c r="L145" s="41" t="str" cm="1">
        <f t="array" ref="L145">IFERROR(INDEX(DB!R$2:R$2576,T145),"")</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145" s="43"/>
      <c r="P145" cm="1">
        <f t="array" ref="P145">IFERROR(_xlfn.AGGREGATE(15,6,ROW(DB!A$2:A$2576)/((($D$3&lt;&gt;"YES")+($D$3="YES")*(DB!E$2:E$2576="YES"))*(($D$4="")+($D$4&lt;&gt;"")*( DB!B$2:B$2576=$D$4))*(($D$5="")+($D$5&lt;&gt;"")*( DB!C$2:C$2576=$D$5))*(($D$6="")+($D$6&lt;&gt;"")*( DB!D$2:D$2576=$D$6))*(($D$7="")+($D$7&lt;&gt;"")*(ISNUMBER(SEARCH($D$7,DB!G$2:G$2576))))*(($F$7="전체")+($F$7&lt;&gt;"전체")*(DB!H$2:H$2576=$F$7))),ROW()-13)-1,"")</f>
        <v>2473</v>
      </c>
      <c r="Q145" t="str" cm="1">
        <f t="array" ref="Q145">IFERROR(INDEX(DB!G$2:G$2576,P145),"")</f>
        <v>토사</v>
      </c>
      <c r="R145" t="str" cm="1">
        <f t="array" ref="R145">IFERROR(INDEX(DB!O$2:O$2576,P145),"")</f>
        <v>무너짐</v>
      </c>
      <c r="S145">
        <f t="shared" si="9"/>
        <v>253390.13200000001</v>
      </c>
      <c r="T145">
        <f t="shared" si="10"/>
        <v>2484</v>
      </c>
    </row>
    <row r="146" spans="1:20" ht="100" customHeight="1">
      <c r="A146" s="26"/>
      <c r="B146" s="39">
        <f t="shared" si="8"/>
        <v>133</v>
      </c>
      <c r="C146" s="43"/>
      <c r="D146" s="51" t="str" cm="1">
        <f t="array" ref="D146">IFERROR(INDEX(DB!G$2:G$2576,T146),"")</f>
        <v>토사</v>
      </c>
      <c r="E146" s="43"/>
      <c r="F146" s="52" t="str" cm="1">
        <f t="array" ref="F146">IFERROR(INDEX(DB!O$2:O$2576,T146),"")</f>
        <v>무너짐</v>
      </c>
      <c r="G146" s="43"/>
      <c r="H146" s="40" t="str" cm="1">
        <f t="array" ref="H146">IFERROR(INDEX(DB!P$2:P$2576,T146),"")</f>
        <v>2020년 8월경, OOO도 OO군 소재 ㈜OOOO이 시공하는 OOOO신축공사 현장에서, 협력업체 소속 보통인부가 굴착저면에서 오수관로(D200, L=6.0m) 연결작업을 하던중, 굴착사면(H=1.5~2.0m)의 토사가 붕괴 되어 재해자의 하반신이 매몰, 병원으로 이송되어 치료 중 사망한 재해임</v>
      </c>
      <c r="I146" s="43"/>
      <c r="J146" s="53" t="str" cm="1">
        <f t="array" ref="J146">IFERROR(INDEX(DB!Q$2:Q$2576,T146),"")</f>
        <v>관로 부설을 위한 굴착 중 굴착사면이 무너지면서 근로자 매몰</v>
      </c>
      <c r="K146" s="43"/>
      <c r="L146" s="41" t="str" cm="1">
        <f t="array" ref="L146">IFERROR(INDEX(DB!R$2:R$2576,T146),"")</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146" s="43"/>
      <c r="P146" cm="1">
        <f t="array" ref="P146">IFERROR(_xlfn.AGGREGATE(15,6,ROW(DB!A$2:A$2576)/((($D$3&lt;&gt;"YES")+($D$3="YES")*(DB!E$2:E$2576="YES"))*(($D$4="")+($D$4&lt;&gt;"")*( DB!B$2:B$2576=$D$4))*(($D$5="")+($D$5&lt;&gt;"")*( DB!C$2:C$2576=$D$5))*(($D$6="")+($D$6&lt;&gt;"")*( DB!D$2:D$2576=$D$6))*(($D$7="")+($D$7&lt;&gt;"")*(ISNUMBER(SEARCH($D$7,DB!G$2:G$2576))))*(($F$7="전체")+($F$7&lt;&gt;"전체")*(DB!H$2:H$2576=$F$7))),ROW()-13)-1,"")</f>
        <v>2474</v>
      </c>
      <c r="Q146" t="str" cm="1">
        <f t="array" ref="Q146">IFERROR(INDEX(DB!G$2:G$2576,P146),"")</f>
        <v>토사</v>
      </c>
      <c r="R146" t="str" cm="1">
        <f t="array" ref="R146">IFERROR(INDEX(DB!O$2:O$2576,P146),"")</f>
        <v>무너짐</v>
      </c>
      <c r="S146">
        <f t="shared" si="9"/>
        <v>253390.133</v>
      </c>
      <c r="T146">
        <f t="shared" si="10"/>
        <v>2485</v>
      </c>
    </row>
    <row r="147" spans="1:20" ht="100" customHeight="1">
      <c r="A147" s="26"/>
      <c r="B147" s="42">
        <f t="shared" si="8"/>
        <v>134</v>
      </c>
      <c r="C147" s="43"/>
      <c r="D147" s="51" t="str" cm="1">
        <f t="array" ref="D147">IFERROR(INDEX(DB!G$2:G$2576,T147),"")</f>
        <v>토사</v>
      </c>
      <c r="E147" s="43"/>
      <c r="F147" s="52" t="str" cm="1">
        <f t="array" ref="F147">IFERROR(INDEX(DB!O$2:O$2576,T147),"")</f>
        <v>무너짐</v>
      </c>
      <c r="G147" s="43"/>
      <c r="H147" s="40" t="str" cm="1">
        <f t="array" ref="H147">IFERROR(INDEX(DB!P$2:P$2576,T147),"")</f>
        <v>2020년 10월경 OO시 OO구 소재 ㈜OOOO이 시공하는 OO지구 도로개설공사 현장에서 협력업체 OOOO(주) 소속 재해자가 우수관로 매설작업 중 굴착면이 무너지며 토사에 깔려 병원으로 이송치료 중 사망한 재해임</v>
      </c>
      <c r="I147" s="43"/>
      <c r="J147" s="53" t="str" cm="1">
        <f t="array" ref="J147">IFERROR(INDEX(DB!Q$2:Q$2576,T147),"")</f>
        <v>관로 부설을 위한 굴착 중 굴착사면이 무너지면서 근로자 매몰</v>
      </c>
      <c r="K147" s="43"/>
      <c r="L147" s="41" t="str" cm="1">
        <f t="array" ref="L147">IFERROR(INDEX(DB!R$2:R$2576,T147),"")</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147" s="43"/>
      <c r="P147" cm="1">
        <f t="array" ref="P147">IFERROR(_xlfn.AGGREGATE(15,6,ROW(DB!A$2:A$2576)/((($D$3&lt;&gt;"YES")+($D$3="YES")*(DB!E$2:E$2576="YES"))*(($D$4="")+($D$4&lt;&gt;"")*( DB!B$2:B$2576=$D$4))*(($D$5="")+($D$5&lt;&gt;"")*( DB!C$2:C$2576=$D$5))*(($D$6="")+($D$6&lt;&gt;"")*( DB!D$2:D$2576=$D$6))*(($D$7="")+($D$7&lt;&gt;"")*(ISNUMBER(SEARCH($D$7,DB!G$2:G$2576))))*(($F$7="전체")+($F$7&lt;&gt;"전체")*(DB!H$2:H$2576=$F$7))),ROW()-13)-1,"")</f>
        <v>2475</v>
      </c>
      <c r="Q147" t="str" cm="1">
        <f t="array" ref="Q147">IFERROR(INDEX(DB!G$2:G$2576,P147),"")</f>
        <v>토사</v>
      </c>
      <c r="R147" t="str" cm="1">
        <f t="array" ref="R147">IFERROR(INDEX(DB!O$2:O$2576,P147),"")</f>
        <v>무너짐</v>
      </c>
      <c r="S147">
        <f t="shared" si="9"/>
        <v>253390.13399999999</v>
      </c>
      <c r="T147">
        <f t="shared" si="10"/>
        <v>2486</v>
      </c>
    </row>
    <row r="148" spans="1:20" ht="100" customHeight="1">
      <c r="A148" s="26"/>
      <c r="B148" s="39">
        <f t="shared" si="8"/>
        <v>135</v>
      </c>
      <c r="C148" s="43"/>
      <c r="D148" s="51" t="str" cm="1">
        <f t="array" ref="D148">IFERROR(INDEX(DB!G$2:G$2576,T148),"")</f>
        <v>토사</v>
      </c>
      <c r="E148" s="43"/>
      <c r="F148" s="52" t="str" cm="1">
        <f t="array" ref="F148">IFERROR(INDEX(DB!O$2:O$2576,T148),"")</f>
        <v>무너짐</v>
      </c>
      <c r="G148" s="43"/>
      <c r="H148" s="40" t="str" cm="1">
        <f t="array" ref="H148">IFERROR(INDEX(DB!P$2:P$2576,T148),"")</f>
        <v>2020년 11월경 OOO도 OO군 OO면 OOOO일원 ㈜OOOO이 시공하는 OOOO 생활용수 급수구역 확장공사 현장에서 재해자(현장관리자)가 상수도 유량계실(철재)를 부설한 후 기존도로와 수평을 맞추기 위해 깊이 2.6m 굴착 바닥면으로 내려가 삽으로 평탄작업 중 굴착면 일부가 무너져(약2.8톤) 토사에 매몰되면서 유량계실 보강재에 머리를 부딪혀 사망한 재해임.</v>
      </c>
      <c r="I148" s="43"/>
      <c r="J148" s="53" t="str" cm="1">
        <f t="array" ref="J148">IFERROR(INDEX(DB!Q$2:Q$2576,T148),"")</f>
        <v>관로 부설을 위한 굴착 중 굴착사면이 무너지면서 근로자 매몰</v>
      </c>
      <c r="K148" s="43"/>
      <c r="L148" s="41" t="str" cm="1">
        <f t="array" ref="L148">IFERROR(INDEX(DB!R$2:R$2576,T148),"")</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148" s="43"/>
      <c r="P148" cm="1">
        <f t="array" ref="P148">IFERROR(_xlfn.AGGREGATE(15,6,ROW(DB!A$2:A$2576)/((($D$3&lt;&gt;"YES")+($D$3="YES")*(DB!E$2:E$2576="YES"))*(($D$4="")+($D$4&lt;&gt;"")*( DB!B$2:B$2576=$D$4))*(($D$5="")+($D$5&lt;&gt;"")*( DB!C$2:C$2576=$D$5))*(($D$6="")+($D$6&lt;&gt;"")*( DB!D$2:D$2576=$D$6))*(($D$7="")+($D$7&lt;&gt;"")*(ISNUMBER(SEARCH($D$7,DB!G$2:G$2576))))*(($F$7="전체")+($F$7&lt;&gt;"전체")*(DB!H$2:H$2576=$F$7))),ROW()-13)-1,"")</f>
        <v>2476</v>
      </c>
      <c r="Q148" t="str" cm="1">
        <f t="array" ref="Q148">IFERROR(INDEX(DB!G$2:G$2576,P148),"")</f>
        <v>토사</v>
      </c>
      <c r="R148" t="str" cm="1">
        <f t="array" ref="R148">IFERROR(INDEX(DB!O$2:O$2576,P148),"")</f>
        <v>무너짐</v>
      </c>
      <c r="S148">
        <f t="shared" si="9"/>
        <v>253390.13500000001</v>
      </c>
      <c r="T148">
        <f t="shared" si="10"/>
        <v>2487</v>
      </c>
    </row>
    <row r="149" spans="1:20" ht="100" customHeight="1">
      <c r="A149" s="26"/>
      <c r="B149" s="42">
        <f t="shared" si="8"/>
        <v>136</v>
      </c>
      <c r="C149" s="43"/>
      <c r="D149" s="51" t="str" cm="1">
        <f t="array" ref="D149">IFERROR(INDEX(DB!G$2:G$2576,T149),"")</f>
        <v>토사</v>
      </c>
      <c r="E149" s="43"/>
      <c r="F149" s="52" t="str" cm="1">
        <f t="array" ref="F149">IFERROR(INDEX(DB!O$2:O$2576,T149),"")</f>
        <v>무너짐</v>
      </c>
      <c r="G149" s="43"/>
      <c r="H149" s="40" t="str" cm="1">
        <f t="array" ref="H149">IFERROR(INDEX(DB!P$2:P$2576,T149),"")</f>
        <v>2021년 5월경 OO도 OO면 소재, OOOO현장에서 재해자가 굴착면 바닥(깊이 약 1.5m)에서 우수관로(내경 450㎜) 연결부 청소작업 중 굴착면이 붕괴되며 붕괴물에 매몰되어 사망한 재해임.</v>
      </c>
      <c r="I149" s="43"/>
      <c r="J149" s="53" t="str" cm="1">
        <f t="array" ref="J149">IFERROR(INDEX(DB!Q$2:Q$2576,T149),"")</f>
        <v>관로 부설을 위한 굴착 중 굴착사면이 무너지면서 근로자 매몰</v>
      </c>
      <c r="K149" s="43"/>
      <c r="L149" s="41" t="str" cm="1">
        <f t="array" ref="L149">IFERROR(INDEX(DB!R$2:R$2576,T149),"")</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149" s="43"/>
      <c r="P149" cm="1">
        <f t="array" ref="P149">IFERROR(_xlfn.AGGREGATE(15,6,ROW(DB!A$2:A$2576)/((($D$3&lt;&gt;"YES")+($D$3="YES")*(DB!E$2:E$2576="YES"))*(($D$4="")+($D$4&lt;&gt;"")*( DB!B$2:B$2576=$D$4))*(($D$5="")+($D$5&lt;&gt;"")*( DB!C$2:C$2576=$D$5))*(($D$6="")+($D$6&lt;&gt;"")*( DB!D$2:D$2576=$D$6))*(($D$7="")+($D$7&lt;&gt;"")*(ISNUMBER(SEARCH($D$7,DB!G$2:G$2576))))*(($F$7="전체")+($F$7&lt;&gt;"전체")*(DB!H$2:H$2576=$F$7))),ROW()-13)-1,"")</f>
        <v>2477</v>
      </c>
      <c r="Q149" t="str" cm="1">
        <f t="array" ref="Q149">IFERROR(INDEX(DB!G$2:G$2576,P149),"")</f>
        <v>토사</v>
      </c>
      <c r="R149" t="str" cm="1">
        <f t="array" ref="R149">IFERROR(INDEX(DB!O$2:O$2576,P149),"")</f>
        <v>무너짐</v>
      </c>
      <c r="S149">
        <f t="shared" si="9"/>
        <v>253390.136</v>
      </c>
      <c r="T149">
        <f t="shared" si="10"/>
        <v>2488</v>
      </c>
    </row>
    <row r="150" spans="1:20" ht="100" customHeight="1">
      <c r="A150" s="26"/>
      <c r="B150" s="39">
        <f t="shared" si="8"/>
        <v>137</v>
      </c>
      <c r="C150" s="43"/>
      <c r="D150" s="51" t="str" cm="1">
        <f t="array" ref="D150">IFERROR(INDEX(DB!G$2:G$2576,T150),"")</f>
        <v>토사</v>
      </c>
      <c r="E150" s="43"/>
      <c r="F150" s="52" t="str" cm="1">
        <f t="array" ref="F150">IFERROR(INDEX(DB!O$2:O$2576,T150),"")</f>
        <v>무너짐</v>
      </c>
      <c r="G150" s="43"/>
      <c r="H150" s="40" t="str" cm="1">
        <f t="array" ref="H150">IFERROR(INDEX(DB!P$2:P$2576,T150),"")</f>
        <v>2021년 6월경, OOO도 OO시 OO읍 소재 『OOOO 개축공사』 현장에서 기 설치 된 보강토 옹벽 하부 우수관로 공사를 위한 터파기 후, 굴착저면에서 우수배관(PE,φ=600mm,L=4.0m) 연결작업을 하던 재해자가 굴착사면 및 보강토 옹벽이 붕괴되면서 매몰되어 사망한 재해로 추정됨.</v>
      </c>
      <c r="I150" s="43"/>
      <c r="J150" s="53" t="str" cm="1">
        <f t="array" ref="J150">IFERROR(INDEX(DB!Q$2:Q$2576,T150),"")</f>
        <v>관로 부설을 위한 굴착 중 굴착사면이 무너지면서 근로자 매몰</v>
      </c>
      <c r="K150" s="43"/>
      <c r="L150" s="41" t="str" cm="1">
        <f t="array" ref="L150">IFERROR(INDEX(DB!R$2:R$2576,T150),"")</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150" s="43"/>
      <c r="P150" cm="1">
        <f t="array" ref="P150">IFERROR(_xlfn.AGGREGATE(15,6,ROW(DB!A$2:A$2576)/((($D$3&lt;&gt;"YES")+($D$3="YES")*(DB!E$2:E$2576="YES"))*(($D$4="")+($D$4&lt;&gt;"")*( DB!B$2:B$2576=$D$4))*(($D$5="")+($D$5&lt;&gt;"")*( DB!C$2:C$2576=$D$5))*(($D$6="")+($D$6&lt;&gt;"")*( DB!D$2:D$2576=$D$6))*(($D$7="")+($D$7&lt;&gt;"")*(ISNUMBER(SEARCH($D$7,DB!G$2:G$2576))))*(($F$7="전체")+($F$7&lt;&gt;"전체")*(DB!H$2:H$2576=$F$7))),ROW()-13)-1,"")</f>
        <v>2478</v>
      </c>
      <c r="Q150" t="str" cm="1">
        <f t="array" ref="Q150">IFERROR(INDEX(DB!G$2:G$2576,P150),"")</f>
        <v>토사</v>
      </c>
      <c r="R150" t="str" cm="1">
        <f t="array" ref="R150">IFERROR(INDEX(DB!O$2:O$2576,P150),"")</f>
        <v>무너짐</v>
      </c>
      <c r="S150">
        <f t="shared" si="9"/>
        <v>253390.13699999999</v>
      </c>
      <c r="T150">
        <f t="shared" si="10"/>
        <v>2489</v>
      </c>
    </row>
    <row r="151" spans="1:20" ht="100" customHeight="1">
      <c r="A151" s="26"/>
      <c r="B151" s="42">
        <f t="shared" si="8"/>
        <v>138</v>
      </c>
      <c r="C151" s="43"/>
      <c r="D151" s="51" t="str" cm="1">
        <f t="array" ref="D151">IFERROR(INDEX(DB!G$2:G$2576,T151),"")</f>
        <v>토사</v>
      </c>
      <c r="E151" s="43"/>
      <c r="F151" s="52" t="str" cm="1">
        <f t="array" ref="F151">IFERROR(INDEX(DB!O$2:O$2576,T151),"")</f>
        <v>무너짐</v>
      </c>
      <c r="G151" s="43"/>
      <c r="H151" s="40" t="str" cm="1">
        <f t="array" ref="H151">IFERROR(INDEX(DB!P$2:P$2576,T151),"")</f>
        <v>2021년 11월경 OOOO도 OO시 OO읍 소재 OOOO신축공사 현장에서 토공사 협력업체인 ㈜OOOO에서 우수관 매설작업을 위해 흙막이지보공 없이 굴착기를 이용하여 3.5m 깊이(경사≒1:0.18)로 터파기를 진행하던 중, 재해자가 우수관(흄관) 연결부에 토사를 제거하기 위하여 굴착면으로 내려가 작업하려는 순간 굴착 사면 토사가 붕괴ㆍ매몰되어 사망한 재해임. _x000D_</v>
      </c>
      <c r="I151" s="43"/>
      <c r="J151" s="53" t="str" cm="1">
        <f t="array" ref="J151">IFERROR(INDEX(DB!Q$2:Q$2576,T151),"")</f>
        <v>관로 부설을 위한 굴착 중 굴착사면이 무너지면서 근로자 매몰</v>
      </c>
      <c r="K151" s="43"/>
      <c r="L151" s="41" t="str" cm="1">
        <f t="array" ref="L151">IFERROR(INDEX(DB!R$2:R$2576,T151),"")</f>
        <v>▶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v>
      </c>
      <c r="M151" s="43"/>
      <c r="P151" cm="1">
        <f t="array" ref="P151">IFERROR(_xlfn.AGGREGATE(15,6,ROW(DB!A$2:A$2576)/((($D$3&lt;&gt;"YES")+($D$3="YES")*(DB!E$2:E$2576="YES"))*(($D$4="")+($D$4&lt;&gt;"")*( DB!B$2:B$2576=$D$4))*(($D$5="")+($D$5&lt;&gt;"")*( DB!C$2:C$2576=$D$5))*(($D$6="")+($D$6&lt;&gt;"")*( DB!D$2:D$2576=$D$6))*(($D$7="")+($D$7&lt;&gt;"")*(ISNUMBER(SEARCH($D$7,DB!G$2:G$2576))))*(($F$7="전체")+($F$7&lt;&gt;"전체")*(DB!H$2:H$2576=$F$7))),ROW()-13)-1,"")</f>
        <v>2479</v>
      </c>
      <c r="Q151" t="str" cm="1">
        <f t="array" ref="Q151">IFERROR(INDEX(DB!G$2:G$2576,P151),"")</f>
        <v>토사</v>
      </c>
      <c r="R151" t="str" cm="1">
        <f t="array" ref="R151">IFERROR(INDEX(DB!O$2:O$2576,P151),"")</f>
        <v>무너짐</v>
      </c>
      <c r="S151">
        <f t="shared" si="9"/>
        <v>253390.13800000001</v>
      </c>
      <c r="T151">
        <f t="shared" si="10"/>
        <v>2490</v>
      </c>
    </row>
    <row r="152" spans="1:20" ht="100" customHeight="1">
      <c r="A152" s="26"/>
      <c r="B152" s="39">
        <f t="shared" si="8"/>
        <v>139</v>
      </c>
      <c r="C152" s="43"/>
      <c r="D152" s="51" t="str" cm="1">
        <f t="array" ref="D152">IFERROR(INDEX(DB!G$2:G$2576,T152),"")</f>
        <v>트럭</v>
      </c>
      <c r="E152" s="43"/>
      <c r="F152" s="52" t="str" cm="1">
        <f t="array" ref="F152">IFERROR(INDEX(DB!O$2:O$2576,T152),"")</f>
        <v>깔림 뒤집힘</v>
      </c>
      <c r="G152" s="43"/>
      <c r="H152" s="40" t="str" cm="1">
        <f t="array" ref="H152">IFERROR(INDEX(DB!P$2:P$2576,T152),"")</f>
        <v>2018년 1월경 대지조성공사에서 골재를 지면에 쏟아 내리던 중 균형을 잃고 넘어지는 덤프트럭에 1명 부상, 골재에 매몰되어 1명 사망</v>
      </c>
      <c r="I152" s="43"/>
      <c r="J152" s="53" t="str" cm="1">
        <f t="array" ref="J152">IFERROR(INDEX(DB!Q$2:Q$2576,T152),"")</f>
        <v>덤프트럭이 적재함을 들어올리고 이동중 균형을 잃고 전도됨</v>
      </c>
      <c r="K152" s="43"/>
      <c r="L152" s="41" t="str" cm="1">
        <f t="array" ref="L152">IFERROR(INDEX(DB!R$2:R$2576,T152),"")</f>
        <v>▶ 근로자가 건설기계에 근접하여 작업을 수행하는 경우 유도자를 배치하여 안전한 상태에서 작업 진행
▶ 차량계 건설기계 접촉 가능 장소 및 사각지대 발생가능성이 높은 건설기계 사용 시 근로자 출입금지 및 유도자 배치
▶ 건설장비 작업 시 근로자와 장비의 동선을 분리
▶ 카메라 부착 또는 후방에 근로자의 접근을 알리는 후방센서, 경보장치 등 부착
▶ 차량계 건설기계 작업전 안전 점검 실시 및 후방카메라 등 방호장치 확인</v>
      </c>
      <c r="M152" s="43"/>
      <c r="P152" cm="1">
        <f t="array" ref="P152">IFERROR(_xlfn.AGGREGATE(15,6,ROW(DB!A$2:A$2576)/((($D$3&lt;&gt;"YES")+($D$3="YES")*(DB!E$2:E$2576="YES"))*(($D$4="")+($D$4&lt;&gt;"")*( DB!B$2:B$2576=$D$4))*(($D$5="")+($D$5&lt;&gt;"")*( DB!C$2:C$2576=$D$5))*(($D$6="")+($D$6&lt;&gt;"")*( DB!D$2:D$2576=$D$6))*(($D$7="")+($D$7&lt;&gt;"")*(ISNUMBER(SEARCH($D$7,DB!G$2:G$2576))))*(($F$7="전체")+($F$7&lt;&gt;"전체")*(DB!H$2:H$2576=$F$7))),ROW()-13)-1,"")</f>
        <v>2480</v>
      </c>
      <c r="Q152" t="str" cm="1">
        <f t="array" ref="Q152">IFERROR(INDEX(DB!G$2:G$2576,P152),"")</f>
        <v>토사</v>
      </c>
      <c r="R152" t="str" cm="1">
        <f t="array" ref="R152">IFERROR(INDEX(DB!O$2:O$2576,P152),"")</f>
        <v>무너짐</v>
      </c>
      <c r="S152">
        <f t="shared" si="9"/>
        <v>253390.139</v>
      </c>
      <c r="T152">
        <f t="shared" si="10"/>
        <v>372</v>
      </c>
    </row>
    <row r="153" spans="1:20" ht="100" customHeight="1">
      <c r="A153" s="26"/>
      <c r="B153" s="42">
        <f t="shared" si="8"/>
        <v>140</v>
      </c>
      <c r="C153" s="43"/>
      <c r="D153" s="51" t="str" cm="1">
        <f t="array" ref="D153">IFERROR(INDEX(DB!G$2:G$2576,T153),"")</f>
        <v>트럭</v>
      </c>
      <c r="E153" s="43"/>
      <c r="F153" s="52" t="str" cm="1">
        <f t="array" ref="F153">IFERROR(INDEX(DB!O$2:O$2576,T153),"")</f>
        <v>깔림 뒤집힘</v>
      </c>
      <c r="G153" s="43"/>
      <c r="H153" s="40" t="str" cm="1">
        <f t="array" ref="H153">IFERROR(INDEX(DB!P$2:P$2576,T153),"")</f>
        <v>2016년 12월경 OOO도 OO군 OO읍 소재 OOOO상수관로 설치공사현장에서 재해자가 폐기물 운반용 트럭(2.5ton)을 운전하여 적재장소(경사지) 상부에 도착하였을 때, 차량 작동 상태 이상을 감지하여 차량 하부를 점검하던 중 유니버셜 조인트가 탈락되면서 차량이 아래로 굴러 바퀴에 깔린 것으로 추정되는 재해임_x000D__x000D_</v>
      </c>
      <c r="I153" s="43"/>
      <c r="J153" s="53" t="str" cm="1">
        <f t="array" ref="J153">IFERROR(INDEX(DB!Q$2:Q$2576,T153),"")</f>
        <v>차량 하부를 점검 시 유니버셜 조인트가 탈락되면서 차량이 아래로 굴러 근로자가 깔림</v>
      </c>
      <c r="K153" s="43"/>
      <c r="L153" s="41" t="str" cm="1">
        <f t="array" ref="L153">IFERROR(INDEX(DB!R$2:R$2576,T153),"")</f>
        <v>▶ 차량계 하역운반기계에서 운전자가 운전석을 이탈하는 경우 주차 브레이크의 확실한 체결 및 차량 고임목 설치
▶ 차량계 건설기계 사용 작업시 사전에 차량의 제동장치 기능 이상 유무 점검
▶ 경사로의 주차하는 경우 핸드(주차) 브레이크와 풋 브레이크를 함께 사용
▶ 차량계 하역운반기계가 경사로로 밀려 내러가는 경우, 무리하게 인력으로 차량 앞을 막아서는 행위 금지</v>
      </c>
      <c r="M153" s="43"/>
      <c r="P153" cm="1">
        <f t="array" ref="P153">IFERROR(_xlfn.AGGREGATE(15,6,ROW(DB!A$2:A$2576)/((($D$3&lt;&gt;"YES")+($D$3="YES")*(DB!E$2:E$2576="YES"))*(($D$4="")+($D$4&lt;&gt;"")*( DB!B$2:B$2576=$D$4))*(($D$5="")+($D$5&lt;&gt;"")*( DB!C$2:C$2576=$D$5))*(($D$6="")+($D$6&lt;&gt;"")*( DB!D$2:D$2576=$D$6))*(($D$7="")+($D$7&lt;&gt;"")*(ISNUMBER(SEARCH($D$7,DB!G$2:G$2576))))*(($F$7="전체")+($F$7&lt;&gt;"전체")*(DB!H$2:H$2576=$F$7))),ROW()-13)-1,"")</f>
        <v>2481</v>
      </c>
      <c r="Q153" t="str" cm="1">
        <f t="array" ref="Q153">IFERROR(INDEX(DB!G$2:G$2576,P153),"")</f>
        <v>토사</v>
      </c>
      <c r="R153" t="str" cm="1">
        <f t="array" ref="R153">IFERROR(INDEX(DB!O$2:O$2576,P153),"")</f>
        <v>무너짐</v>
      </c>
      <c r="S153">
        <f t="shared" si="9"/>
        <v>253390.14</v>
      </c>
      <c r="T153">
        <f t="shared" si="10"/>
        <v>388</v>
      </c>
    </row>
    <row r="154" spans="1:20" ht="100" customHeight="1">
      <c r="A154" s="26"/>
      <c r="B154" s="39">
        <f t="shared" si="8"/>
        <v>141</v>
      </c>
      <c r="C154" s="43"/>
      <c r="D154" s="51" t="str" cm="1">
        <f t="array" ref="D154">IFERROR(INDEX(DB!G$2:G$2576,T154),"")</f>
        <v>트럭</v>
      </c>
      <c r="E154" s="43"/>
      <c r="F154" s="52" t="str" cm="1">
        <f t="array" ref="F154">IFERROR(INDEX(DB!O$2:O$2576,T154),"")</f>
        <v>깔림 뒤집힘</v>
      </c>
      <c r="G154" s="43"/>
      <c r="H154" s="40" t="str" cm="1">
        <f t="array" ref="H154">IFERROR(INDEX(DB!P$2:P$2576,T154),"")</f>
        <v>2018년 9월경, OOO도 OO군 OO면 소재 (자)OOOO OOOO 농촌 생활용수 개발공사현장에서 유도자 OOO이 상수도 관로매설작업 진행 도로(왕복2차선)에서 이동차량 및 차량계건설기계 유도업무 중 후진하는 덤프트럭 (14.5톤)에 접촉되며 뒷바퀴에 깔려 사망한 재해임</v>
      </c>
      <c r="I154" s="43"/>
      <c r="J154" s="53" t="str" cm="1">
        <f t="array" ref="J154">IFERROR(INDEX(DB!Q$2:Q$2576,T154),"")</f>
        <v>관로매설작업 중 유도업무를 하는 작업자가 후진하는 덤프트럭에 접촉되며 뒷바퀴에 깔림</v>
      </c>
      <c r="K154" s="43"/>
      <c r="L154" s="41" t="str" cm="1">
        <f t="array" ref="L154">IFERROR(INDEX(DB!R$2:R$2576,T154),"")</f>
        <v>▶ 근로자가 건설기계에 근접하여 작업을 수행하는 경우 유도자를 배치하여 안전한 상태에서 작업 진행
▶ 차량계 건설기계 접촉 가능 장소 및 사각지대 발생가능성이 높은 건설기계 사용 시 근로자 출입금지 및 유도자 배치
▶ 카메라 부착 또는 후방에 근로자의 접근을 알리는 후방센서, 경보장치 등 부착
▶ 차량계 건설기계 작업전 안전 점검 실시 및 후방카메라 등 방호장치 확인</v>
      </c>
      <c r="M154" s="43"/>
      <c r="P154" cm="1">
        <f t="array" ref="P154">IFERROR(_xlfn.AGGREGATE(15,6,ROW(DB!A$2:A$2576)/((($D$3&lt;&gt;"YES")+($D$3="YES")*(DB!E$2:E$2576="YES"))*(($D$4="")+($D$4&lt;&gt;"")*( DB!B$2:B$2576=$D$4))*(($D$5="")+($D$5&lt;&gt;"")*( DB!C$2:C$2576=$D$5))*(($D$6="")+($D$6&lt;&gt;"")*( DB!D$2:D$2576=$D$6))*(($D$7="")+($D$7&lt;&gt;"")*(ISNUMBER(SEARCH($D$7,DB!G$2:G$2576))))*(($F$7="전체")+($F$7&lt;&gt;"전체")*(DB!H$2:H$2576=$F$7))),ROW()-13)-1,"")</f>
        <v>2482</v>
      </c>
      <c r="Q154" t="str" cm="1">
        <f t="array" ref="Q154">IFERROR(INDEX(DB!G$2:G$2576,P154),"")</f>
        <v>토사</v>
      </c>
      <c r="R154" t="str" cm="1">
        <f t="array" ref="R154">IFERROR(INDEX(DB!O$2:O$2576,P154),"")</f>
        <v>무너짐</v>
      </c>
      <c r="S154">
        <f t="shared" si="9"/>
        <v>253390.141</v>
      </c>
      <c r="T154">
        <f t="shared" si="10"/>
        <v>393</v>
      </c>
    </row>
    <row r="155" spans="1:20" ht="100" customHeight="1">
      <c r="A155" s="26"/>
      <c r="B155" s="42">
        <f t="shared" si="8"/>
        <v>142</v>
      </c>
      <c r="C155" s="43"/>
      <c r="D155" s="51" t="str" cm="1">
        <f t="array" ref="D155">IFERROR(INDEX(DB!G$2:G$2576,T155),"")</f>
        <v>트럭</v>
      </c>
      <c r="E155" s="43"/>
      <c r="F155" s="52" t="str" cm="1">
        <f t="array" ref="F155">IFERROR(INDEX(DB!O$2:O$2576,T155),"")</f>
        <v>깔림 뒤집힘</v>
      </c>
      <c r="G155" s="43"/>
      <c r="H155" s="40" t="str" cm="1">
        <f t="array" ref="H155">IFERROR(INDEX(DB!P$2:P$2576,T155),"")</f>
        <v>2019년 4월경, OOO도 OO시 소재 OOOO파쇄공사 현장에서, 재해자가 폐기물 상차용 덤프트럭을 후방에서 신호하던 중, 정차된 집게차 측면부와 덤프트럭 후미 사이에 협착</v>
      </c>
      <c r="I155" s="43"/>
      <c r="J155" s="53" t="str" cm="1">
        <f t="array" ref="J155">IFERROR(INDEX(DB!Q$2:Q$2576,T155),"")</f>
        <v>관로매설작업 중 유도업무를 하는 작업자가 후진하는 덤프트럭에 접촉되며 뒷바퀴에 깔림</v>
      </c>
      <c r="K155" s="43"/>
      <c r="L155" s="41" t="str" cm="1">
        <f t="array" ref="L155">IFERROR(INDEX(DB!R$2:R$2576,T155),"")</f>
        <v>▶ 근로자가 건설기계에 근접하여 작업을 수행하는 경우 유도자를 배치하여 안전한 상태에서 작업 진행
▶ 차량계 건설기계 접촉 가능 장소 및 사각지대 발생가능성이 높은 건설기계 사용 시 근로자 출입금지 및 유도자 배치
▶ 카메라 부착 또는 후방에 근로자의 접근을 알리는 후방센서, 경보장치 등 부착
▶ 차량계 건설기계 작업전 안전 점검 실시 및 후방카메라 등 방호장치 확인</v>
      </c>
      <c r="M155" s="43"/>
      <c r="P155" cm="1">
        <f t="array" ref="P155">IFERROR(_xlfn.AGGREGATE(15,6,ROW(DB!A$2:A$2576)/((($D$3&lt;&gt;"YES")+($D$3="YES")*(DB!E$2:E$2576="YES"))*(($D$4="")+($D$4&lt;&gt;"")*( DB!B$2:B$2576=$D$4))*(($D$5="")+($D$5&lt;&gt;"")*( DB!C$2:C$2576=$D$5))*(($D$6="")+($D$6&lt;&gt;"")*( DB!D$2:D$2576=$D$6))*(($D$7="")+($D$7&lt;&gt;"")*(ISNUMBER(SEARCH($D$7,DB!G$2:G$2576))))*(($F$7="전체")+($F$7&lt;&gt;"전체")*(DB!H$2:H$2576=$F$7))),ROW()-13)-1,"")</f>
        <v>2483</v>
      </c>
      <c r="Q155" t="str" cm="1">
        <f t="array" ref="Q155">IFERROR(INDEX(DB!G$2:G$2576,P155),"")</f>
        <v>토사</v>
      </c>
      <c r="R155" t="str" cm="1">
        <f t="array" ref="R155">IFERROR(INDEX(DB!O$2:O$2576,P155),"")</f>
        <v>무너짐</v>
      </c>
      <c r="S155">
        <f t="shared" si="9"/>
        <v>253390.14199999999</v>
      </c>
      <c r="T155">
        <f t="shared" si="10"/>
        <v>395</v>
      </c>
    </row>
    <row r="156" spans="1:20" ht="100" customHeight="1">
      <c r="A156" s="26"/>
      <c r="B156" s="39">
        <f t="shared" si="8"/>
        <v>143</v>
      </c>
      <c r="C156" s="43"/>
      <c r="D156" s="51" t="str" cm="1">
        <f t="array" ref="D156">IFERROR(INDEX(DB!G$2:G$2576,T156),"")</f>
        <v>트럭</v>
      </c>
      <c r="E156" s="43"/>
      <c r="F156" s="52" t="str" cm="1">
        <f t="array" ref="F156">IFERROR(INDEX(DB!O$2:O$2576,T156),"")</f>
        <v>깔림 뒤집힘</v>
      </c>
      <c r="G156" s="43"/>
      <c r="H156" s="40" t="str" cm="1">
        <f t="array" ref="H156">IFERROR(INDEX(DB!P$2:P$2576,T156),"")</f>
        <v>2019년 4월경 OOO도 OO시 OO면 소재 OOOOOO(주)가 시공하는「OOOO생활용수 개발 확충사업」 현장에서 지방도 포장면 아스콘을 컷팅 및 굴착 후 상수도관을 매설하고, 토사 되메우기와 골재를 덤프트럭으로 다짐하는 과정에서 직영 보통인부인 재해자가 주변에서 빗자루로 청소·정리작업을 하던 중, 후진하던 덤프트럭에 깔려 사망한 재해임.</v>
      </c>
      <c r="I156" s="43"/>
      <c r="J156" s="53" t="str" cm="1">
        <f t="array" ref="J156">IFERROR(INDEX(DB!Q$2:Q$2576,T156),"")</f>
        <v>관로매설작업 중 유도업무를 하는 작업자가 후진하는 덤프트럭에 접촉되며 뒷바퀴에 깔림</v>
      </c>
      <c r="K156" s="43"/>
      <c r="L156" s="41" t="str" cm="1">
        <f t="array" ref="L156">IFERROR(INDEX(DB!R$2:R$2576,T156),"")</f>
        <v>▶ 근로자가 건설기계에 근접하여 작업을 수행하는 경우 유도자를 배치하여 안전한 상태에서 작업 진행
▶ 차량계 건설기계 접촉 가능 장소 및 사각지대 발생가능성이 높은 건설기계 사용 시 근로자 출입금지 및 유도자 배치
▶ 카메라 부착 또는 후방에 근로자의 접근을 알리는 후방센서, 경보장치 등 부착
▶ 차량계 건설기계 작업전 안전 점검 실시 및 후방카메라 등 방호장치 확인</v>
      </c>
      <c r="M156" s="43"/>
      <c r="P156" cm="1">
        <f t="array" ref="P156">IFERROR(_xlfn.AGGREGATE(15,6,ROW(DB!A$2:A$2576)/((($D$3&lt;&gt;"YES")+($D$3="YES")*(DB!E$2:E$2576="YES"))*(($D$4="")+($D$4&lt;&gt;"")*( DB!B$2:B$2576=$D$4))*(($D$5="")+($D$5&lt;&gt;"")*( DB!C$2:C$2576=$D$5))*(($D$6="")+($D$6&lt;&gt;"")*( DB!D$2:D$2576=$D$6))*(($D$7="")+($D$7&lt;&gt;"")*(ISNUMBER(SEARCH($D$7,DB!G$2:G$2576))))*(($F$7="전체")+($F$7&lt;&gt;"전체")*(DB!H$2:H$2576=$F$7))),ROW()-13)-1,"")</f>
        <v>2484</v>
      </c>
      <c r="Q156" t="str" cm="1">
        <f t="array" ref="Q156">IFERROR(INDEX(DB!G$2:G$2576,P156),"")</f>
        <v>토사</v>
      </c>
      <c r="R156" t="str" cm="1">
        <f t="array" ref="R156">IFERROR(INDEX(DB!O$2:O$2576,P156),"")</f>
        <v>무너짐</v>
      </c>
      <c r="S156">
        <f t="shared" si="9"/>
        <v>253390.14300000001</v>
      </c>
      <c r="T156">
        <f t="shared" si="10"/>
        <v>396</v>
      </c>
    </row>
    <row r="157" spans="1:20" ht="100" customHeight="1">
      <c r="A157" s="26"/>
      <c r="B157" s="42">
        <f t="shared" si="8"/>
        <v>144</v>
      </c>
      <c r="C157" s="43"/>
      <c r="D157" s="51" t="str" cm="1">
        <f t="array" ref="D157">IFERROR(INDEX(DB!G$2:G$2576,T157),"")</f>
        <v>트럭</v>
      </c>
      <c r="E157" s="43"/>
      <c r="F157" s="52" t="str" cm="1">
        <f t="array" ref="F157">IFERROR(INDEX(DB!O$2:O$2576,T157),"")</f>
        <v>깔림 뒤집힘</v>
      </c>
      <c r="G157" s="43"/>
      <c r="H157" s="40" t="str" cm="1">
        <f t="array" ref="H157">IFERROR(INDEX(DB!P$2:P$2576,T157),"")</f>
        <v>2020년 12월경 OOOO 노후된 상수도 배관 교체공사 현장에서 배관교체와 되메우기가 완료된 구간에 비산먼지 방지를 위한 부직포 씌우기 작업을 하던 재해자가 잔여 토사를 싣고 전진하는 덤프트럭에 깔려 치료 중 사망한 재해임</v>
      </c>
      <c r="I157" s="43"/>
      <c r="J157" s="53" t="str" cm="1">
        <f t="array" ref="J157">IFERROR(INDEX(DB!Q$2:Q$2576,T157),"")</f>
        <v>비산먼지 방지를 위한 부직포 씌우기 작업 중 전진하던 덤프트럭에 깔림</v>
      </c>
      <c r="K157" s="43"/>
      <c r="L157" s="41" t="str" cm="1">
        <f t="array" ref="L157">IFERROR(INDEX(DB!R$2:R$2576,T157),"")</f>
        <v>▶ 근로자가 건설기계에 근접하여 작업을 수행하는 경우 유도자를 배치하여 안전한 상태에서 작업 진행
▶ 차량계 건설기계 접촉 가능 장소 및 사각지대 발생가능성이 높은 건설기계 사용 시 근로자 출입금지 및 유도자 배치
▶ 건설장비 작업 시 근로자와 장비의 동선을 분리
▶ 카메라 부착 또는 후방에 근로자의 접근을 알리는 후방센서, 경보장치 등 부착
▶ 차량계 건설기계 작업전 안전 점검 실시 및 후방카메라 등 방호장치 확인</v>
      </c>
      <c r="M157" s="43"/>
      <c r="P157" cm="1">
        <f t="array" ref="P157">IFERROR(_xlfn.AGGREGATE(15,6,ROW(DB!A$2:A$2576)/((($D$3&lt;&gt;"YES")+($D$3="YES")*(DB!E$2:E$2576="YES"))*(($D$4="")+($D$4&lt;&gt;"")*( DB!B$2:B$2576=$D$4))*(($D$5="")+($D$5&lt;&gt;"")*( DB!C$2:C$2576=$D$5))*(($D$6="")+($D$6&lt;&gt;"")*( DB!D$2:D$2576=$D$6))*(($D$7="")+($D$7&lt;&gt;"")*(ISNUMBER(SEARCH($D$7,DB!G$2:G$2576))))*(($F$7="전체")+($F$7&lt;&gt;"전체")*(DB!H$2:H$2576=$F$7))),ROW()-13)-1,"")</f>
        <v>2485</v>
      </c>
      <c r="Q157" t="str" cm="1">
        <f t="array" ref="Q157">IFERROR(INDEX(DB!G$2:G$2576,P157),"")</f>
        <v>토사</v>
      </c>
      <c r="R157" t="str" cm="1">
        <f t="array" ref="R157">IFERROR(INDEX(DB!O$2:O$2576,P157),"")</f>
        <v>무너짐</v>
      </c>
      <c r="S157">
        <f t="shared" si="9"/>
        <v>253390.144</v>
      </c>
      <c r="T157">
        <f t="shared" si="10"/>
        <v>405</v>
      </c>
    </row>
    <row r="158" spans="1:20" ht="100" customHeight="1">
      <c r="A158" s="26"/>
      <c r="B158" s="39">
        <f t="shared" si="8"/>
        <v>145</v>
      </c>
      <c r="C158" s="43"/>
      <c r="D158" s="51" t="str" cm="1">
        <f t="array" ref="D158">IFERROR(INDEX(DB!G$2:G$2576,T158),"")</f>
        <v>트럭</v>
      </c>
      <c r="E158" s="43"/>
      <c r="F158" s="52" t="str" cm="1">
        <f t="array" ref="F158">IFERROR(INDEX(DB!O$2:O$2576,T158),"")</f>
        <v>끼임</v>
      </c>
      <c r="G158" s="43"/>
      <c r="H158" s="40" t="str" cm="1">
        <f t="array" ref="H158">IFERROR(INDEX(DB!P$2:P$2576,T158),"")</f>
        <v>2020년 1월경 OO시 OO구 소재 하수관로 정비 현장에서 ㈜OOOO 소속 재해자(OOO)는 파쇄된 콘크리트 등을 덤프트럭에 싣기 위해 차량 시동 후 하차하여 고임목을 제거하였고, 차량이 경사진 도로 전방으로 미끄러지자 차량을 정지 시키려하다 벽과 덤프트럭 사이에 끼여 사망한 재해임._x000D_</v>
      </c>
      <c r="I158" s="43"/>
      <c r="J158" s="53" t="str" cm="1">
        <f t="array" ref="J158">IFERROR(INDEX(DB!Q$2:Q$2576,T158),"")</f>
        <v>차량운행을 위해 고임목 제거 후 갑자기 차량이 경사면으로 미끄러져 운전자가 벽과 덤프트럭 사이에 끼임</v>
      </c>
      <c r="K158" s="43"/>
      <c r="L158" s="41" t="str" cm="1">
        <f t="array" ref="L158">IFERROR(INDEX(DB!R$2:R$2576,T158),"")</f>
        <v>▶ 차량계 하역운반기계에서 운전자가 운전석을 이탈하는 경우 주차 브레이크의 확실한 체결 및 차량 고임목 설치
▶ 차량계 건설기계 사용 작업시 사전에 차량의 제동장치 기능 이상 유무 점검
▶ 경사로의 주차하는 경우 핸드(주차) 브레이크와 풋 브레이크를 함께 사용
▶ 차량계 하역운반기계가 경사로로 밀려 내러가는 경우, 무리하게 인력으로 차량 앞을 막아서는 행위 금지</v>
      </c>
      <c r="M158" s="43"/>
      <c r="P158" cm="1">
        <f t="array" ref="P158">IFERROR(_xlfn.AGGREGATE(15,6,ROW(DB!A$2:A$2576)/((($D$3&lt;&gt;"YES")+($D$3="YES")*(DB!E$2:E$2576="YES"))*(($D$4="")+($D$4&lt;&gt;"")*( DB!B$2:B$2576=$D$4))*(($D$5="")+($D$5&lt;&gt;"")*( DB!C$2:C$2576=$D$5))*(($D$6="")+($D$6&lt;&gt;"")*( DB!D$2:D$2576=$D$6))*(($D$7="")+($D$7&lt;&gt;"")*(ISNUMBER(SEARCH($D$7,DB!G$2:G$2576))))*(($F$7="전체")+($F$7&lt;&gt;"전체")*(DB!H$2:H$2576=$F$7))),ROW()-13)-1,"")</f>
        <v>2486</v>
      </c>
      <c r="Q158" t="str" cm="1">
        <f t="array" ref="Q158">IFERROR(INDEX(DB!G$2:G$2576,P158),"")</f>
        <v>토사</v>
      </c>
      <c r="R158" t="str" cm="1">
        <f t="array" ref="R158">IFERROR(INDEX(DB!O$2:O$2576,P158),"")</f>
        <v>무너짐</v>
      </c>
      <c r="S158">
        <f t="shared" si="9"/>
        <v>253390.14499999999</v>
      </c>
      <c r="T158">
        <f t="shared" si="10"/>
        <v>381</v>
      </c>
    </row>
    <row r="159" spans="1:20" ht="100" customHeight="1">
      <c r="A159" s="26"/>
      <c r="B159" s="42">
        <f t="shared" si="8"/>
        <v>146</v>
      </c>
      <c r="C159" s="43"/>
      <c r="D159" s="51" t="str" cm="1">
        <f t="array" ref="D159">IFERROR(INDEX(DB!G$2:G$2576,T159),"")</f>
        <v>트럭</v>
      </c>
      <c r="E159" s="43"/>
      <c r="F159" s="52" t="str" cm="1">
        <f t="array" ref="F159">IFERROR(INDEX(DB!O$2:O$2576,T159),"")</f>
        <v>끼임</v>
      </c>
      <c r="G159" s="43"/>
      <c r="H159" s="40" t="str" cm="1">
        <f t="array" ref="H159">IFERROR(INDEX(DB!P$2:P$2576,T159),"")</f>
        <v>11월경, OOO시 소재 OO지구 지방상수도 매설공사 현장에서 재해자 OOO이 경사도로면 토사 상차작업을 위해 트럭에 탑승한 상태로 정차하여 대기하던 중 덤프트럭이 갑자기 내리막길로 움직여 약 40m 아래 반대편 차선의 옹벽에 충돌하면서 재해자가 트럭에서 이탈되어 쓰러진 채로 발견됨._x000D_</v>
      </c>
      <c r="I159" s="43"/>
      <c r="J159" s="53" t="str" cm="1">
        <f t="array" ref="J159">IFERROR(INDEX(DB!Q$2:Q$2576,T159),"")</f>
        <v>차량운행을 위해 고임목 제거 후 갑자기 차량이 경사면으로 미끄러져 운전자가 벽과 덤프트럭 사이에 끼임</v>
      </c>
      <c r="K159" s="43"/>
      <c r="L159" s="41" t="str" cm="1">
        <f t="array" ref="L159">IFERROR(INDEX(DB!R$2:R$2576,T159),"")</f>
        <v>▶ 차량계 하역운반기계에서 운전자가 운전석을 이탈하는 경우 주차 브레이크의 확실한 체결 및 차량 고임목 설치
▶ 차량계 건설기계 사용 작업시 사전에 차량의 제동장치 기능 이상 유무 점검
▶ 경사로의 주차하는 경우 핸드(주차) 브레이크와 풋 브레이크를 함께 사용
▶ 차량계 하역운반기계가 경사로로 밀려 내러가는 경우, 무리하게 인력으로 차량 앞을 막아서는 행위 금지</v>
      </c>
      <c r="M159" s="43"/>
      <c r="P159" cm="1">
        <f t="array" ref="P159">IFERROR(_xlfn.AGGREGATE(15,6,ROW(DB!A$2:A$2576)/((($D$3&lt;&gt;"YES")+($D$3="YES")*(DB!E$2:E$2576="YES"))*(($D$4="")+($D$4&lt;&gt;"")*( DB!B$2:B$2576=$D$4))*(($D$5="")+($D$5&lt;&gt;"")*( DB!C$2:C$2576=$D$5))*(($D$6="")+($D$6&lt;&gt;"")*( DB!D$2:D$2576=$D$6))*(($D$7="")+($D$7&lt;&gt;"")*(ISNUMBER(SEARCH($D$7,DB!G$2:G$2576))))*(($F$7="전체")+($F$7&lt;&gt;"전체")*(DB!H$2:H$2576=$F$7))),ROW()-13)-1,"")</f>
        <v>2487</v>
      </c>
      <c r="Q159" t="str" cm="1">
        <f t="array" ref="Q159">IFERROR(INDEX(DB!G$2:G$2576,P159),"")</f>
        <v>토사</v>
      </c>
      <c r="R159" t="str" cm="1">
        <f t="array" ref="R159">IFERROR(INDEX(DB!O$2:O$2576,P159),"")</f>
        <v>무너짐</v>
      </c>
      <c r="S159">
        <f t="shared" si="9"/>
        <v>253390.14600000001</v>
      </c>
      <c r="T159">
        <f t="shared" si="10"/>
        <v>384</v>
      </c>
    </row>
    <row r="160" spans="1:20" ht="100" customHeight="1">
      <c r="A160" s="26"/>
      <c r="B160" s="39">
        <f t="shared" si="8"/>
        <v>147</v>
      </c>
      <c r="C160" s="43"/>
      <c r="D160" s="51" t="str" cm="1">
        <f t="array" ref="D160">IFERROR(INDEX(DB!G$2:G$2576,T160),"")</f>
        <v>트럭</v>
      </c>
      <c r="E160" s="43"/>
      <c r="F160" s="52" t="str" cm="1">
        <f t="array" ref="F160">IFERROR(INDEX(DB!O$2:O$2576,T160),"")</f>
        <v>떨어짐</v>
      </c>
      <c r="G160" s="43"/>
      <c r="H160" s="40" t="str" cm="1">
        <f t="array" ref="H160">IFERROR(INDEX(DB!P$2:P$2576,T160),"")</f>
        <v>2021년 3월경 옹벽설치공사에서 재해자가 식생축조블럭 자재 하역작업 중 화물자동차 적재함 후미에서 몸의 중심을 잃고 1.5m 아래로 추락하여 사망</v>
      </c>
      <c r="I160" s="43"/>
      <c r="J160" s="53" t="str" cm="1">
        <f t="array" ref="J160">IFERROR(INDEX(DB!Q$2:Q$2576,T160),"")</f>
        <v>식생축조블럭 자재 하역작업 중 블럭을 실은 화물자동차 적재함 후미에서 몸의 중심을 잃고 추락</v>
      </c>
      <c r="K160" s="43"/>
      <c r="L160" s="41" t="str" cm="1">
        <f t="array" ref="L160">IFERROR(INDEX(DB!R$2:R$2576,T160),"")</f>
        <v>▶ 추락할 위험이 있는 장소에서 작업할 경우 이에 맞는 안전 보호구(안전모)착용
▶ 불안정한 상태에서 하역작업(로프 해체, 덮개 제거 등) 금지</v>
      </c>
      <c r="M160" s="43"/>
      <c r="P160" cm="1">
        <f t="array" ref="P160">IFERROR(_xlfn.AGGREGATE(15,6,ROW(DB!A$2:A$2576)/((($D$3&lt;&gt;"YES")+($D$3="YES")*(DB!E$2:E$2576="YES"))*(($D$4="")+($D$4&lt;&gt;"")*( DB!B$2:B$2576=$D$4))*(($D$5="")+($D$5&lt;&gt;"")*( DB!C$2:C$2576=$D$5))*(($D$6="")+($D$6&lt;&gt;"")*( DB!D$2:D$2576=$D$6))*(($D$7="")+($D$7&lt;&gt;"")*(ISNUMBER(SEARCH($D$7,DB!G$2:G$2576))))*(($F$7="전체")+($F$7&lt;&gt;"전체")*(DB!H$2:H$2576=$F$7))),ROW()-13)-1,"")</f>
        <v>2488</v>
      </c>
      <c r="Q160" t="str" cm="1">
        <f t="array" ref="Q160">IFERROR(INDEX(DB!G$2:G$2576,P160),"")</f>
        <v>토사</v>
      </c>
      <c r="R160" t="str" cm="1">
        <f t="array" ref="R160">IFERROR(INDEX(DB!O$2:O$2576,P160),"")</f>
        <v>무너짐</v>
      </c>
      <c r="S160">
        <f t="shared" si="9"/>
        <v>253390.147</v>
      </c>
      <c r="T160">
        <f t="shared" si="10"/>
        <v>369</v>
      </c>
    </row>
    <row r="161" spans="1:20" ht="100" customHeight="1">
      <c r="A161" s="26"/>
      <c r="B161" s="42">
        <f t="shared" si="8"/>
        <v>148</v>
      </c>
      <c r="C161" s="43"/>
      <c r="D161" s="51" t="str" cm="1">
        <f t="array" ref="D161">IFERROR(INDEX(DB!G$2:G$2576,T161),"")</f>
        <v>트럭</v>
      </c>
      <c r="E161" s="43"/>
      <c r="F161" s="52" t="str" cm="1">
        <f t="array" ref="F161">IFERROR(INDEX(DB!O$2:O$2576,T161),"")</f>
        <v>떨어짐</v>
      </c>
      <c r="G161" s="43"/>
      <c r="H161" s="40" t="str" cm="1">
        <f t="array" ref="H161">IFERROR(INDEX(DB!P$2:P$2576,T161),"")</f>
        <v>2020년 10월경 OO도 OO군 소재 ㈜OOOO OOOO오수(압송)관로 신설공사 현장에서 오수관로 설치 작업을 하기 위해 재해자가 트럭 적재함에 있는 오수관로(약60kg)를 하역작업 중 몸의 중심을 잃고 추락(H≒80cm)하여   병원으로 이송 치료 중에 사망함</v>
      </c>
      <c r="I161" s="43"/>
      <c r="J161" s="53" t="str" cm="1">
        <f t="array" ref="J161">IFERROR(INDEX(DB!Q$2:Q$2576,T161),"")</f>
        <v>관로 하역작업 중 트럭 적재함에서 균형을 잃고 추락</v>
      </c>
      <c r="K161" s="43"/>
      <c r="L161" s="41" t="str" cm="1">
        <f t="array" ref="L161">IFERROR(INDEX(DB!R$2:R$2576,T161),"")</f>
        <v>▶ 추락할 위험이 있는 장소에서 작업할 경우 이에 맞는 안전 보호구(안전모)착용
▶ 하역작업 등으로 트럭 적재함을 오를 경우 승강 사다리를 이용
▶ 불안정한 상태에서 하역작업(로프 해체, 덮개 제거 등) 금지</v>
      </c>
      <c r="M161" s="43"/>
      <c r="P161" cm="1">
        <f t="array" ref="P161">IFERROR(_xlfn.AGGREGATE(15,6,ROW(DB!A$2:A$2576)/((($D$3&lt;&gt;"YES")+($D$3="YES")*(DB!E$2:E$2576="YES"))*(($D$4="")+($D$4&lt;&gt;"")*( DB!B$2:B$2576=$D$4))*(($D$5="")+($D$5&lt;&gt;"")*( DB!C$2:C$2576=$D$5))*(($D$6="")+($D$6&lt;&gt;"")*( DB!D$2:D$2576=$D$6))*(($D$7="")+($D$7&lt;&gt;"")*(ISNUMBER(SEARCH($D$7,DB!G$2:G$2576))))*(($F$7="전체")+($F$7&lt;&gt;"전체")*(DB!H$2:H$2576=$F$7))),ROW()-13)-1,"")</f>
        <v>2489</v>
      </c>
      <c r="Q161" t="str" cm="1">
        <f t="array" ref="Q161">IFERROR(INDEX(DB!G$2:G$2576,P161),"")</f>
        <v>토사</v>
      </c>
      <c r="R161" t="str" cm="1">
        <f t="array" ref="R161">IFERROR(INDEX(DB!O$2:O$2576,P161),"")</f>
        <v>무너짐</v>
      </c>
      <c r="S161">
        <f t="shared" si="9"/>
        <v>253390.14799999999</v>
      </c>
      <c r="T161">
        <f t="shared" si="10"/>
        <v>403</v>
      </c>
    </row>
    <row r="162" spans="1:20" ht="100" customHeight="1">
      <c r="A162" s="26"/>
      <c r="B162" s="39">
        <f t="shared" si="8"/>
        <v>149</v>
      </c>
      <c r="C162" s="43"/>
      <c r="D162" s="51" t="str" cm="1">
        <f t="array" ref="D162">IFERROR(INDEX(DB!G$2:G$2576,T162),"")</f>
        <v>트럭</v>
      </c>
      <c r="E162" s="43"/>
      <c r="F162" s="52" t="str" cm="1">
        <f t="array" ref="F162">IFERROR(INDEX(DB!O$2:O$2576,T162),"")</f>
        <v>부딪힘 접촉</v>
      </c>
      <c r="G162" s="43"/>
      <c r="H162" s="40" t="str" cm="1">
        <f t="array" ref="H162">IFERROR(INDEX(DB!P$2:P$2576,T162),"")</f>
        <v>2019년 8월경 철도 건설공사에서 재해자가 폐기물 처리차량(24t)에 상차작업 중 압롤트럭이 비탈면으로 밀리면서 운전원이 차량 밖으로 뛰어내린 후 트럭 운전석 뒷바퀴에 깔려 사망</v>
      </c>
      <c r="I162" s="43"/>
      <c r="J162" s="53" t="str" cm="1">
        <f t="array" ref="J162">IFERROR(INDEX(DB!Q$2:Q$2576,T162),"")</f>
        <v>경사로에 주차 중인 차량의 제동장치 이상으로 굴러 내려오는 차량에 충돌</v>
      </c>
      <c r="K162" s="43"/>
      <c r="L162" s="41" t="str" cm="1">
        <f t="array" ref="L162">IFERROR(INDEX(DB!R$2:R$2576,T162),"")</f>
        <v>▶ 차량계 하역운반기계에서 운전자가 운전석을 이탈하는 경우 주차 브레이크의 확실한 체결 및 차량 고임목 설치
▶ 차량계 건설기계 사용 작업시 사전에 차량의 제동장치 기능 이상 유무 점검
▶ 경사로의 주차하는 경우 핸드(주차) 브레이크와 풋 브레이크를 함께 사용</v>
      </c>
      <c r="M162" s="43"/>
      <c r="P162" cm="1">
        <f t="array" ref="P162">IFERROR(_xlfn.AGGREGATE(15,6,ROW(DB!A$2:A$2576)/((($D$3&lt;&gt;"YES")+($D$3="YES")*(DB!E$2:E$2576="YES"))*(($D$4="")+($D$4&lt;&gt;"")*( DB!B$2:B$2576=$D$4))*(($D$5="")+($D$5&lt;&gt;"")*( DB!C$2:C$2576=$D$5))*(($D$6="")+($D$6&lt;&gt;"")*( DB!D$2:D$2576=$D$6))*(($D$7="")+($D$7&lt;&gt;"")*(ISNUMBER(SEARCH($D$7,DB!G$2:G$2576))))*(($F$7="전체")+($F$7&lt;&gt;"전체")*(DB!H$2:H$2576=$F$7))),ROW()-13)-1,"")</f>
        <v>2490</v>
      </c>
      <c r="Q162" t="str" cm="1">
        <f t="array" ref="Q162">IFERROR(INDEX(DB!G$2:G$2576,P162),"")</f>
        <v>토사</v>
      </c>
      <c r="R162" t="str" cm="1">
        <f t="array" ref="R162">IFERROR(INDEX(DB!O$2:O$2576,P162),"")</f>
        <v>무너짐</v>
      </c>
      <c r="S162">
        <f t="shared" si="9"/>
        <v>253390.149</v>
      </c>
      <c r="T162">
        <f t="shared" si="10"/>
        <v>376</v>
      </c>
    </row>
    <row r="163" spans="1:20" ht="100" customHeight="1">
      <c r="A163" s="26"/>
      <c r="B163" s="42">
        <f t="shared" si="8"/>
        <v>150</v>
      </c>
      <c r="C163" s="43"/>
      <c r="D163" s="51" t="str" cm="1">
        <f t="array" ref="D163">IFERROR(INDEX(DB!G$2:G$2576,T163),"")</f>
        <v>화학물질</v>
      </c>
      <c r="E163" s="43"/>
      <c r="F163" s="52" t="str" cm="1">
        <f t="array" ref="F163">IFERROR(INDEX(DB!O$2:O$2576,T163),"")</f>
        <v>떨어짐</v>
      </c>
      <c r="G163" s="43"/>
      <c r="H163" s="40" t="str" cm="1">
        <f t="array" ref="H163">IFERROR(INDEX(DB!P$2:P$2576,T163),"")</f>
        <v>2017년 6경, OO시 OO구 OO동 소재 OOOO(주) OOOO토양환경개선공사 현장에서, 재해자가 유류탱크 상부 맨홀 접속관(맨홀가이드)을 탱크 곡면에 맞춰 설치하기 위해 산소절단기로 접속관의 아래부위를 용단하던 중, 불티가 탱크 속으로 들어가 유증기에 발화, 폭발하면서 그 충격으로 높이 5.1m 상부 주유소 천장에 부딪힌 후 바닥에 떨어져 사망한 재해임.</v>
      </c>
      <c r="I163" s="43"/>
      <c r="J163" s="53" t="str" cm="1">
        <f t="array" ref="J163">IFERROR(INDEX(DB!Q$2:Q$2576,T163),"")</f>
        <v>근로자가 유류탱크 상부 맨홀가이드를 탱크 곡면에 맞춰 산소절단기로 접속관의 아래부위를 용단하던 중 발생한 불티가 유증기에 발화, 폭발하면서 천장에 부딪힌 후 바닥으로 떨어짐</v>
      </c>
      <c r="K163" s="43"/>
      <c r="L163" s="41" t="str" cm="1">
        <f t="array" ref="L163">IFERROR(INDEX(DB!R$2:R$2576,T163),"")</f>
        <v>▶ 유증기 발생을 고려하여 청소 후 지속적으로 환기 실시
▶ 현장에 가스 검지 및 경보성능을 갖춘 장치 설치
▶ 사전에 작업현장 내에 위험성 평가를 실시하여 폭발사고 발생위험 예방</v>
      </c>
      <c r="M163" s="43"/>
      <c r="P163" cm="1">
        <f t="array" ref="P163">IFERROR(_xlfn.AGGREGATE(15,6,ROW(DB!A$2:A$2576)/((($D$3&lt;&gt;"YES")+($D$3="YES")*(DB!E$2:E$2576="YES"))*(($D$4="")+($D$4&lt;&gt;"")*( DB!B$2:B$2576=$D$4))*(($D$5="")+($D$5&lt;&gt;"")*( DB!C$2:C$2576=$D$5))*(($D$6="")+($D$6&lt;&gt;"")*( DB!D$2:D$2576=$D$6))*(($D$7="")+($D$7&lt;&gt;"")*(ISNUMBER(SEARCH($D$7,DB!G$2:G$2576))))*(($F$7="전체")+($F$7&lt;&gt;"전체")*(DB!H$2:H$2576=$F$7))),ROW()-13)-1,"")</f>
        <v>2497</v>
      </c>
      <c r="Q163" t="str" cm="1">
        <f t="array" ref="Q163">IFERROR(INDEX(DB!G$2:G$2576,P163),"")</f>
        <v>화학물질</v>
      </c>
      <c r="R163" t="str" cm="1">
        <f t="array" ref="R163">IFERROR(INDEX(DB!O$2:O$2576,P163),"")</f>
        <v>산소결핍 질식</v>
      </c>
      <c r="S163">
        <f t="shared" si="9"/>
        <v>259263.15</v>
      </c>
      <c r="T163">
        <f t="shared" si="10"/>
        <v>2499</v>
      </c>
    </row>
    <row r="164" spans="1:20" ht="100" customHeight="1">
      <c r="A164" s="26"/>
      <c r="B164" s="39">
        <f t="shared" si="8"/>
        <v>151</v>
      </c>
      <c r="C164" s="43"/>
      <c r="D164" s="51" t="str" cm="1">
        <f t="array" ref="D164">IFERROR(INDEX(DB!G$2:G$2576,T164),"")</f>
        <v>화학물질</v>
      </c>
      <c r="E164" s="43"/>
      <c r="F164" s="52" t="str" cm="1">
        <f t="array" ref="F164">IFERROR(INDEX(DB!O$2:O$2576,T164),"")</f>
        <v>떨어짐</v>
      </c>
      <c r="G164" s="43"/>
      <c r="H164" s="40" t="str" cm="1">
        <f t="array" ref="H164">IFERROR(INDEX(DB!P$2:P$2576,T164),"")</f>
        <v>2020년 6월경 OOOOOO 앞 빗물받이 신설공사 현장에서 빗물받이 설치를 위한 사전조사 작업 중 재해자1(OOO)이 맨홀뚜껑을 열고 맨홀내부로 들어가기 위해 맨홀입구에 양팔꿈치로상체를 걸친 후 내려가려다 맨홀내부에 약 2.8m 높이로 쌓여있던 슬러지가 쌓여 있는물로 떨어져 재해자1(OOO)의 신체가 확인되지 않자 사고맨홀 주변에 있던 포크레인 기사 재해자2(OOO)가 포크레인 버켓에 로프(길이 약 2m)를 묶은 후 로프를 잡고 맨홀내부로 진입하여 한손엔 로프, 다른한손엔 맨홀내부 사다리를 잡은 상태에서 발로 슬러지를 수 초간 휘저으며 재해자1(OOO)을 찾으려다 산소결핍으로 인하여 슬러지가 있는 물에 빠진 것으로 추정. 이 후 소방서 구조작업에 의해 재해자(OOO, OOO)가 사망한 상태로 발견된 재해임</v>
      </c>
      <c r="I164" s="43"/>
      <c r="J164" s="53" t="str" cm="1">
        <f t="array" ref="J164">IFERROR(INDEX(DB!Q$2:Q$2576,T164),"")</f>
        <v xml:space="preserve">빗물받이 설치 사전조사를 위해 맨홀내부로 들어가던 중 유해가스에 질식되어 작업자 추락. 이를 구하려던 굴삭기 기사도 질식되어 함께 추락 </v>
      </c>
      <c r="K164" s="43"/>
      <c r="L164" s="41" t="str" cm="1">
        <f t="array" ref="L164">IFERROR(INDEX(DB!R$2:R$2576,T164),"")</f>
        <v>▶ 밀폐공간 내부 작업 시 작업 전 산소 및 유해가스 농도 측정을 통한 작업여부 확인 
▶ 밀폐공간 내부 작업 시 송기마스크, 구명밧줄, 안전대 및 사다리 등 대피용 기구 비치</v>
      </c>
      <c r="M164" s="43"/>
      <c r="P164" cm="1">
        <f t="array" ref="P164">IFERROR(_xlfn.AGGREGATE(15,6,ROW(DB!A$2:A$2576)/((($D$3&lt;&gt;"YES")+($D$3="YES")*(DB!E$2:E$2576="YES"))*(($D$4="")+($D$4&lt;&gt;"")*( DB!B$2:B$2576=$D$4))*(($D$5="")+($D$5&lt;&gt;"")*( DB!C$2:C$2576=$D$5))*(($D$6="")+($D$6&lt;&gt;"")*( DB!D$2:D$2576=$D$6))*(($D$7="")+($D$7&lt;&gt;"")*(ISNUMBER(SEARCH($D$7,DB!G$2:G$2576))))*(($F$7="전체")+($F$7&lt;&gt;"전체")*(DB!H$2:H$2576=$F$7))),ROW()-13)-1,"")</f>
        <v>2498</v>
      </c>
      <c r="Q164" t="str" cm="1">
        <f t="array" ref="Q164">IFERROR(INDEX(DB!G$2:G$2576,P164),"")</f>
        <v>화학물질</v>
      </c>
      <c r="R164" t="str" cm="1">
        <f t="array" ref="R164">IFERROR(INDEX(DB!O$2:O$2576,P164),"")</f>
        <v>산소결핍 질식</v>
      </c>
      <c r="S164">
        <f t="shared" si="9"/>
        <v>259263.15100000001</v>
      </c>
      <c r="T164">
        <f t="shared" si="10"/>
        <v>2502</v>
      </c>
    </row>
    <row r="165" spans="1:20" ht="100" customHeight="1">
      <c r="A165" s="26"/>
      <c r="B165" s="42">
        <f t="shared" si="8"/>
        <v>152</v>
      </c>
      <c r="C165" s="43"/>
      <c r="D165" s="51" t="str" cm="1">
        <f t="array" ref="D165">IFERROR(INDEX(DB!G$2:G$2576,T165),"")</f>
        <v>화학물질</v>
      </c>
      <c r="E165" s="43"/>
      <c r="F165" s="52" t="str" cm="1">
        <f t="array" ref="F165">IFERROR(INDEX(DB!O$2:O$2576,T165),"")</f>
        <v>산소결핍 질식</v>
      </c>
      <c r="G165" s="43"/>
      <c r="H165" s="40" t="str" cm="1">
        <f t="array" ref="H165">IFERROR(INDEX(DB!P$2:P$2576,T165),"")</f>
        <v>2019년 11월경 가스배관 이설공사 현장에서 재해자가 가스배관(직경 500mm) 내부로 들어가 용접작업 하던 중 갑자기 의식을 잃고 쓰러져 사망</v>
      </c>
      <c r="I165" s="43"/>
      <c r="J165" s="53" t="str" cm="1">
        <f t="array" ref="J165">IFERROR(INDEX(DB!Q$2:Q$2576,T165),"")</f>
        <v>곡관 부위 티그 용접작업 후 내부 용접 비드 확인 및 사상작업 실시를 위한 배관내부 진입 후 산소결핍에 의한 의식상실</v>
      </c>
      <c r="K165" s="43"/>
      <c r="L165" s="41" t="str" cm="1">
        <f t="array" ref="L165">IFERROR(INDEX(DB!R$2:R$2576,T165),"")</f>
        <v xml:space="preserve">▶ 질식 위험이 있는 작업 시 질식위험공간 파악 후 출입금지조치 실시
▶ 작업 전 가스농도 측정을 통한 환기조치 후 작업 실시 </v>
      </c>
      <c r="M165" s="43"/>
      <c r="P165" cm="1">
        <f t="array" ref="P165">IFERROR(_xlfn.AGGREGATE(15,6,ROW(DB!A$2:A$2576)/((($D$3&lt;&gt;"YES")+($D$3="YES")*(DB!E$2:E$2576="YES"))*(($D$4="")+($D$4&lt;&gt;"")*( DB!B$2:B$2576=$D$4))*(($D$5="")+($D$5&lt;&gt;"")*( DB!C$2:C$2576=$D$5))*(($D$6="")+($D$6&lt;&gt;"")*( DB!D$2:D$2576=$D$6))*(($D$7="")+($D$7&lt;&gt;"")*(ISNUMBER(SEARCH($D$7,DB!G$2:G$2576))))*(($F$7="전체")+($F$7&lt;&gt;"전체")*(DB!H$2:H$2576=$F$7))),ROW()-13)-1,"")</f>
        <v>2499</v>
      </c>
      <c r="Q165" t="str" cm="1">
        <f t="array" ref="Q165">IFERROR(INDEX(DB!G$2:G$2576,P165),"")</f>
        <v>화학물질</v>
      </c>
      <c r="R165" t="str" cm="1">
        <f t="array" ref="R165">IFERROR(INDEX(DB!O$2:O$2576,P165),"")</f>
        <v>떨어짐</v>
      </c>
      <c r="S165">
        <f t="shared" si="9"/>
        <v>259151.152</v>
      </c>
      <c r="T165">
        <f t="shared" si="10"/>
        <v>2497</v>
      </c>
    </row>
    <row r="166" spans="1:20" ht="100" customHeight="1">
      <c r="A166" s="26"/>
      <c r="B166" s="39">
        <f t="shared" si="8"/>
        <v>153</v>
      </c>
      <c r="C166" s="43"/>
      <c r="D166" s="51" t="str" cm="1">
        <f t="array" ref="D166">IFERROR(INDEX(DB!G$2:G$2576,T166),"")</f>
        <v>화학물질</v>
      </c>
      <c r="E166" s="43"/>
      <c r="F166" s="52" t="str" cm="1">
        <f t="array" ref="F166">IFERROR(INDEX(DB!O$2:O$2576,T166),"")</f>
        <v>산소결핍 질식</v>
      </c>
      <c r="G166" s="43"/>
      <c r="H166" s="40" t="str" cm="1">
        <f t="array" ref="H166">IFERROR(INDEX(DB!P$2:P$2576,T166),"")</f>
        <v>2016년 3월경 OOO시 OO면에 위치한 OOOO상수도 노후관 갱생공사현장 OO번 작업구로부터 OO번 작업구 방향으로891m지점에서 ㈜OOOO 소속 작업자 3명이 지하상수도관 내부 물을 빼내기 위해 제수변실 내 상수도관 천공작업 중 유해가스 질식</v>
      </c>
      <c r="I166" s="43"/>
      <c r="J166" s="53" t="str" cm="1">
        <f t="array" ref="J166">IFERROR(INDEX(DB!Q$2:Q$2576,T166),"")</f>
        <v>노후 상수도관 교체를 위해 제수변실에서 상수도관 천공 중 유해가스 질식</v>
      </c>
      <c r="K166" s="43"/>
      <c r="L166" s="41" t="str" cm="1">
        <f t="array" ref="L166">IFERROR(INDEX(DB!R$2:R$2576,T166),"")</f>
        <v>▶ 밀폐공간 내부 작업 시 작업 전 산소 및 유해가스 농도 측정을 통한 작업여부 확인 
▶ 밀폐공간 내부 작업 시 송기마스크, 구명밧줄, 안전대 및 사다리 등 대피용 기구 비치</v>
      </c>
      <c r="M166" s="43"/>
      <c r="P166" cm="1">
        <f t="array" ref="P166">IFERROR(_xlfn.AGGREGATE(15,6,ROW(DB!A$2:A$2576)/((($D$3&lt;&gt;"YES")+($D$3="YES")*(DB!E$2:E$2576="YES"))*(($D$4="")+($D$4&lt;&gt;"")*( DB!B$2:B$2576=$D$4))*(($D$5="")+($D$5&lt;&gt;"")*( DB!C$2:C$2576=$D$5))*(($D$6="")+($D$6&lt;&gt;"")*( DB!D$2:D$2576=$D$6))*(($D$7="")+($D$7&lt;&gt;"")*(ISNUMBER(SEARCH($D$7,DB!G$2:G$2576))))*(($F$7="전체")+($F$7&lt;&gt;"전체")*(DB!H$2:H$2576=$F$7))),ROW()-13)-1,"")</f>
        <v>2500</v>
      </c>
      <c r="Q166" t="str" cm="1">
        <f t="array" ref="Q166">IFERROR(INDEX(DB!G$2:G$2576,P166),"")</f>
        <v>화학물질</v>
      </c>
      <c r="R166" t="str" cm="1">
        <f t="array" ref="R166">IFERROR(INDEX(DB!O$2:O$2576,P166),"")</f>
        <v>유해위험물질 노출 접촉</v>
      </c>
      <c r="S166">
        <f t="shared" si="9"/>
        <v>259266.15299999999</v>
      </c>
      <c r="T166">
        <f t="shared" si="10"/>
        <v>2498</v>
      </c>
    </row>
    <row r="167" spans="1:20" ht="100" customHeight="1">
      <c r="A167" s="26"/>
      <c r="B167" s="42">
        <f t="shared" si="8"/>
        <v>154</v>
      </c>
      <c r="C167" s="43"/>
      <c r="D167" s="51" t="str" cm="1">
        <f t="array" ref="D167">IFERROR(INDEX(DB!G$2:G$2576,T167),"")</f>
        <v>화학물질</v>
      </c>
      <c r="E167" s="43"/>
      <c r="F167" s="52" t="str" cm="1">
        <f t="array" ref="F167">IFERROR(INDEX(DB!O$2:O$2576,T167),"")</f>
        <v>유해위험물질 노출 접촉</v>
      </c>
      <c r="G167" s="43"/>
      <c r="H167" s="40" t="str" cm="1">
        <f t="array" ref="H167">IFERROR(INDEX(DB!P$2:P$2576,T167),"")</f>
        <v>2019년 5월경 OOO시 OO구 소재, OOOO 상수도 맨홀 작업장에서 작업자 3명이 맨홀 내부 배수 작업에 이용한 양수기(내연기관)에서 발생한 일산화탄소 등 유해가스에 의해 중독되어, 1명이 사망하고 2명이 부상을 입은 재해임</v>
      </c>
      <c r="I167" s="43"/>
      <c r="J167" s="53" t="str" cm="1">
        <f t="array" ref="J167">IFERROR(INDEX(DB!Q$2:Q$2576,T167),"")</f>
        <v>맨홀내부에서 배수 작업에 이용한 양수기 일산화탄소에 중독</v>
      </c>
      <c r="K167" s="43"/>
      <c r="L167" s="41" t="str" cm="1">
        <f t="array" ref="L167">IFERROR(INDEX(DB!R$2:R$2576,T167),"")</f>
        <v>▶ 밀폐공간 내부 작업 시 작업 전 산소 및 유해가스 농도 측정을 통한 작업여부 확인 
▶ 밀폐공간 내부 작업 시 송기마스크, 구명밧줄, 안전대 및 사다리 등 대피용 기구 비치</v>
      </c>
      <c r="M167" s="43"/>
      <c r="P167" cm="1">
        <f t="array" ref="P167">IFERROR(_xlfn.AGGREGATE(15,6,ROW(DB!A$2:A$2576)/((($D$3&lt;&gt;"YES")+($D$3="YES")*(DB!E$2:E$2576="YES"))*(($D$4="")+($D$4&lt;&gt;"")*( DB!B$2:B$2576=$D$4))*(($D$5="")+($D$5&lt;&gt;"")*( DB!C$2:C$2576=$D$5))*(($D$6="")+($D$6&lt;&gt;"")*( DB!D$2:D$2576=$D$6))*(($D$7="")+($D$7&lt;&gt;"")*(ISNUMBER(SEARCH($D$7,DB!G$2:G$2576))))*(($F$7="전체")+($F$7&lt;&gt;"전체")*(DB!H$2:H$2576=$F$7))),ROW()-13)-1,"")</f>
        <v>2501</v>
      </c>
      <c r="Q167" t="str" cm="1">
        <f t="array" ref="Q167">IFERROR(INDEX(DB!G$2:G$2576,P167),"")</f>
        <v>화학물질</v>
      </c>
      <c r="R167" t="str" cm="1">
        <f t="array" ref="R167">IFERROR(INDEX(DB!O$2:O$2576,P167),"")</f>
        <v>유해위험물질 노출 접촉</v>
      </c>
      <c r="S167">
        <f t="shared" si="9"/>
        <v>259266.15400000001</v>
      </c>
      <c r="T167">
        <f t="shared" si="10"/>
        <v>2500</v>
      </c>
    </row>
    <row r="168" spans="1:20" ht="100" customHeight="1">
      <c r="A168" s="26"/>
      <c r="B168" s="39">
        <f t="shared" si="8"/>
        <v>155</v>
      </c>
      <c r="C168" s="43"/>
      <c r="D168" s="51" t="str" cm="1">
        <f t="array" ref="D168">IFERROR(INDEX(DB!G$2:G$2576,T168),"")</f>
        <v>화학물질</v>
      </c>
      <c r="E168" s="43"/>
      <c r="F168" s="52" t="str" cm="1">
        <f t="array" ref="F168">IFERROR(INDEX(DB!O$2:O$2576,T168),"")</f>
        <v>유해위험물질 노출 접촉</v>
      </c>
      <c r="G168" s="43"/>
      <c r="H168" s="40" t="str" cm="1">
        <f t="array" ref="H168">IFERROR(INDEX(DB!P$2:P$2576,T168),"")</f>
        <v>2020년 4월경 OO시 OO구 소재 OOOO앞 하수관로신설(확충)공사[OOOO] 현장에서 지하 하수관 신설공사(직경800mm 강관압입공법) 중 강관내부 폐기물(철근, 쇠, 철재류 등으로 추정) 용단작업을 위해 재해자(OOO)가 용단용 토치(산소+LPG)를 가지고 들어간 후 폭발이 발생하였고, 폭발음을 감지한 동료 재해자(OOO, OOO)가 구출을 위해 강관내부로 차례로 들어가 폭발연소 시 발생한 일산화탄소에 재해자 모두 중독 사망한 재해임</v>
      </c>
      <c r="I168" s="43"/>
      <c r="J168" s="53" t="str" cm="1">
        <f t="array" ref="J168">IFERROR(INDEX(DB!Q$2:Q$2576,T168),"")</f>
        <v xml:space="preserve">하수관 강관압입공사 현장에서 강관내부 폐기물 용단작업 중 폭발 발생. 이 후 구조를 위해 들어간 동료근로자 2명이 폭발로 인해 발생한 일산화탄소에 중독 </v>
      </c>
      <c r="K168" s="43"/>
      <c r="L168" s="41" t="str" cm="1">
        <f t="array" ref="L168">IFERROR(INDEX(DB!R$2:R$2576,T168),"")</f>
        <v>▶ 밀폐공간 내부 작업 시 작업 전 산소 및 유해가스 농도 측정을 통한 작업여부 확인 
▶ 밀폐공간 내부 작업 시 송기마스크, 구명밧줄, 안전대 및 사다리 등 대피용 기구 비치</v>
      </c>
      <c r="M168" s="43"/>
      <c r="P168" cm="1">
        <f t="array" ref="P168">IFERROR(_xlfn.AGGREGATE(15,6,ROW(DB!A$2:A$2576)/((($D$3&lt;&gt;"YES")+($D$3="YES")*(DB!E$2:E$2576="YES"))*(($D$4="")+($D$4&lt;&gt;"")*( DB!B$2:B$2576=$D$4))*(($D$5="")+($D$5&lt;&gt;"")*( DB!C$2:C$2576=$D$5))*(($D$6="")+($D$6&lt;&gt;"")*( DB!D$2:D$2576=$D$6))*(($D$7="")+($D$7&lt;&gt;"")*(ISNUMBER(SEARCH($D$7,DB!G$2:G$2576))))*(($F$7="전체")+($F$7&lt;&gt;"전체")*(DB!H$2:H$2576=$F$7))),ROW()-13)-1,"")</f>
        <v>2502</v>
      </c>
      <c r="Q168" t="str" cm="1">
        <f t="array" ref="Q168">IFERROR(INDEX(DB!G$2:G$2576,P168),"")</f>
        <v>화학물질</v>
      </c>
      <c r="R168" t="str" cm="1">
        <f t="array" ref="R168">IFERROR(INDEX(DB!O$2:O$2576,P168),"")</f>
        <v>떨어짐</v>
      </c>
      <c r="S168">
        <f t="shared" si="9"/>
        <v>259151.155</v>
      </c>
      <c r="T168">
        <f t="shared" si="10"/>
        <v>2501</v>
      </c>
    </row>
    <row r="169" spans="1:20" ht="100" customHeight="1">
      <c r="A169" s="26"/>
      <c r="B169" s="42">
        <f t="shared" si="8"/>
        <v>156</v>
      </c>
      <c r="C169" s="43"/>
      <c r="D169" s="51" t="str" cm="1">
        <f t="array" ref="D169">IFERROR(INDEX(DB!G$2:G$2576,T169),"")</f>
        <v>흙막이가시설</v>
      </c>
      <c r="E169" s="43"/>
      <c r="F169" s="52" t="str" cm="1">
        <f t="array" ref="F169">IFERROR(INDEX(DB!O$2:O$2576,T169),"")</f>
        <v>떨어짐</v>
      </c>
      <c r="G169" s="43"/>
      <c r="H169" s="40" t="str" cm="1">
        <f t="array" ref="H169">IFERROR(INDEX(DB!P$2:P$2576,T169),"")</f>
        <v>2019년 9월경 OO도 OO시 OO동 소재 OOOO(주) OOOO 주상복합 신축공사 현장에서 강제 집수정 양중 작업을 지휘하던 재해자가 집수정 하부에 설치되어 있던 유도로프가 흙막이 버팀대에 걸려있는 것을 확인하고 유도로프를 반대방향으로 넘겨주기 위하여 안전대 미착용 상태로 버팀대 상부를 걸어가던 중 기초 버림 콘크리트 바닥으로 떨어져(H≒7.3m) 사망</v>
      </c>
      <c r="I169" s="43"/>
      <c r="J169" s="53" t="str" cm="1">
        <f t="array" ref="J169">IFERROR(INDEX(DB!Q$2:Q$2576,T169),"")</f>
        <v>강제 집수정 양중 작업 중 유도로프가 흙막이 버팀대에 걸려 버팀대 상부 이동 중 추락</v>
      </c>
      <c r="K169" s="43"/>
      <c r="L169" s="41" t="str" cm="1">
        <f t="array" ref="L169">IFERROR(INDEX(DB!R$2:R$2576,T169),"")</f>
        <v>▶ 작업자가 법면 상부 등으로 불필요한 이동을 금하고 작업자 이동통로 설치
▶ 근로자가 추락하거나 넘어질 위험이 있는 상부에서 작업 시 안전난간을 설치하고 추락방지조치 실시하고 부득이한 경우 접근방책 등을 설치
▶ 근로자가 추락하거나 넘어질 위험이 있는 상부에서 작업 시 개인보호구(안전모, 안전대 등) 지급 및 착용</v>
      </c>
      <c r="M169" s="43"/>
      <c r="P169" cm="1">
        <f t="array" ref="P169">IFERROR(_xlfn.AGGREGATE(15,6,ROW(DB!A$2:A$2576)/((($D$3&lt;&gt;"YES")+($D$3="YES")*(DB!E$2:E$2576="YES"))*(($D$4="")+($D$4&lt;&gt;"")*( DB!B$2:B$2576=$D$4))*(($D$5="")+($D$5&lt;&gt;"")*( DB!C$2:C$2576=$D$5))*(($D$6="")+($D$6&lt;&gt;"")*( DB!D$2:D$2576=$D$6))*(($D$7="")+($D$7&lt;&gt;"")*(ISNUMBER(SEARCH($D$7,DB!G$2:G$2576))))*(($F$7="전체")+($F$7&lt;&gt;"전체")*(DB!H$2:H$2576=$F$7))),ROW()-13)-1,"")</f>
        <v>2569</v>
      </c>
      <c r="Q169" t="str" cm="1">
        <f t="array" ref="Q169">IFERROR(INDEX(DB!G$2:G$2576,P169),"")</f>
        <v>흙막이가시설</v>
      </c>
      <c r="R169" t="str" cm="1">
        <f t="array" ref="R169">IFERROR(INDEX(DB!O$2:O$2576,P169),"")</f>
        <v>떨어짐</v>
      </c>
      <c r="S169">
        <f t="shared" si="9"/>
        <v>259751.15599999999</v>
      </c>
      <c r="T169">
        <f t="shared" si="10"/>
        <v>2569</v>
      </c>
    </row>
    <row r="170" spans="1:20" ht="100" customHeight="1">
      <c r="A170" s="26"/>
      <c r="B170" s="39" t="str">
        <f t="shared" si="8"/>
        <v/>
      </c>
      <c r="C170" s="43"/>
      <c r="D170" s="51" t="str" cm="1">
        <f t="array" ref="D170">IFERROR(INDEX(DB!G$2:G$2576,T170),"")</f>
        <v/>
      </c>
      <c r="E170" s="43"/>
      <c r="F170" s="52" t="str" cm="1">
        <f t="array" ref="F170">IFERROR(INDEX(DB!O$2:O$2576,T170),"")</f>
        <v/>
      </c>
      <c r="G170" s="43"/>
      <c r="H170" s="40" t="str" cm="1">
        <f t="array" ref="H170">IFERROR(INDEX(DB!P$2:P$2576,T170),"")</f>
        <v/>
      </c>
      <c r="I170" s="43"/>
      <c r="J170" s="53" t="str" cm="1">
        <f t="array" ref="J170">IFERROR(INDEX(DB!Q$2:Q$2576,T170),"")</f>
        <v/>
      </c>
      <c r="K170" s="43"/>
      <c r="L170" s="41" t="str" cm="1">
        <f t="array" ref="L170">IFERROR(INDEX(DB!R$2:R$2576,T170),"")</f>
        <v/>
      </c>
      <c r="M170" s="43"/>
      <c r="P170" t="str" cm="1">
        <f t="array" ref="P170">IFERROR(_xlfn.AGGREGATE(15,6,ROW(DB!A$2:A$2576)/((($D$3&lt;&gt;"YES")+($D$3="YES")*(DB!E$2:E$2576="YES"))*(($D$4="")+($D$4&lt;&gt;"")*( DB!B$2:B$2576=$D$4))*(($D$5="")+($D$5&lt;&gt;"")*( DB!C$2:C$2576=$D$5))*(($D$6="")+($D$6&lt;&gt;"")*( DB!D$2:D$2576=$D$6))*(($D$7="")+($D$7&lt;&gt;"")*(ISNUMBER(SEARCH($D$7,DB!G$2:G$2576))))*(($F$7="전체")+($F$7&lt;&gt;"전체")*(DB!H$2:H$2576=$F$7))),ROW()-13)-1,"")</f>
        <v/>
      </c>
      <c r="Q170" t="str" cm="1">
        <f t="array" ref="Q170">IFERROR(INDEX(DB!G$2:G$2576,P170),"")</f>
        <v/>
      </c>
      <c r="R170" t="str" cm="1">
        <f t="array" ref="R170">IFERROR(INDEX(DB!O$2:O$2576,P170),"")</f>
        <v/>
      </c>
      <c r="S170" t="str">
        <f t="shared" si="9"/>
        <v/>
      </c>
      <c r="T170" t="str">
        <f t="shared" si="10"/>
        <v/>
      </c>
    </row>
    <row r="171" spans="1:20" ht="100" customHeight="1">
      <c r="A171" s="26"/>
      <c r="B171" s="42" t="str">
        <f t="shared" si="8"/>
        <v/>
      </c>
      <c r="C171" s="43"/>
      <c r="D171" s="51" t="str" cm="1">
        <f t="array" ref="D171">IFERROR(INDEX(DB!G$2:G$2576,T171),"")</f>
        <v/>
      </c>
      <c r="E171" s="43"/>
      <c r="F171" s="52" t="str" cm="1">
        <f t="array" ref="F171">IFERROR(INDEX(DB!O$2:O$2576,T171),"")</f>
        <v/>
      </c>
      <c r="G171" s="43"/>
      <c r="H171" s="40" t="str" cm="1">
        <f t="array" ref="H171">IFERROR(INDEX(DB!P$2:P$2576,T171),"")</f>
        <v/>
      </c>
      <c r="I171" s="43"/>
      <c r="J171" s="53" t="str" cm="1">
        <f t="array" ref="J171">IFERROR(INDEX(DB!Q$2:Q$2576,T171),"")</f>
        <v/>
      </c>
      <c r="K171" s="43"/>
      <c r="L171" s="41" t="str" cm="1">
        <f t="array" ref="L171">IFERROR(INDEX(DB!R$2:R$2576,T171),"")</f>
        <v/>
      </c>
      <c r="M171" s="43"/>
      <c r="P171" t="str" cm="1">
        <f t="array" ref="P171">IFERROR(_xlfn.AGGREGATE(15,6,ROW(DB!A$2:A$2576)/((($D$3&lt;&gt;"YES")+($D$3="YES")*(DB!E$2:E$2576="YES"))*(($D$4="")+($D$4&lt;&gt;"")*( DB!B$2:B$2576=$D$4))*(($D$5="")+($D$5&lt;&gt;"")*( DB!C$2:C$2576=$D$5))*(($D$6="")+($D$6&lt;&gt;"")*( DB!D$2:D$2576=$D$6))*(($D$7="")+($D$7&lt;&gt;"")*(ISNUMBER(SEARCH($D$7,DB!G$2:G$2576))))*(($F$7="전체")+($F$7&lt;&gt;"전체")*(DB!H$2:H$2576=$F$7))),ROW()-13)-1,"")</f>
        <v/>
      </c>
      <c r="Q171" t="str" cm="1">
        <f t="array" ref="Q171">IFERROR(INDEX(DB!G$2:G$2576,P171),"")</f>
        <v/>
      </c>
      <c r="R171" t="str" cm="1">
        <f t="array" ref="R171">IFERROR(INDEX(DB!O$2:O$2576,P171),"")</f>
        <v/>
      </c>
      <c r="S171" t="str">
        <f t="shared" si="9"/>
        <v/>
      </c>
      <c r="T171" t="str">
        <f t="shared" si="10"/>
        <v/>
      </c>
    </row>
    <row r="172" spans="1:20" ht="100" customHeight="1">
      <c r="A172" s="26"/>
      <c r="B172" s="39" t="str">
        <f t="shared" si="8"/>
        <v/>
      </c>
      <c r="C172" s="43"/>
      <c r="D172" s="51" t="str" cm="1">
        <f t="array" ref="D172">IFERROR(INDEX(DB!G$2:G$2576,T172),"")</f>
        <v/>
      </c>
      <c r="E172" s="43"/>
      <c r="F172" s="52" t="str" cm="1">
        <f t="array" ref="F172">IFERROR(INDEX(DB!O$2:O$2576,T172),"")</f>
        <v/>
      </c>
      <c r="G172" s="43"/>
      <c r="H172" s="40" t="str" cm="1">
        <f t="array" ref="H172">IFERROR(INDEX(DB!P$2:P$2576,T172),"")</f>
        <v/>
      </c>
      <c r="I172" s="43"/>
      <c r="J172" s="53" t="str" cm="1">
        <f t="array" ref="J172">IFERROR(INDEX(DB!Q$2:Q$2576,T172),"")</f>
        <v/>
      </c>
      <c r="K172" s="43"/>
      <c r="L172" s="41" t="str" cm="1">
        <f t="array" ref="L172">IFERROR(INDEX(DB!R$2:R$2576,T172),"")</f>
        <v/>
      </c>
      <c r="M172" s="43"/>
      <c r="P172" t="str" cm="1">
        <f t="array" ref="P172">IFERROR(_xlfn.AGGREGATE(15,6,ROW(DB!A$2:A$2576)/((($D$3&lt;&gt;"YES")+($D$3="YES")*(DB!E$2:E$2576="YES"))*(($D$4="")+($D$4&lt;&gt;"")*( DB!B$2:B$2576=$D$4))*(($D$5="")+($D$5&lt;&gt;"")*( DB!C$2:C$2576=$D$5))*(($D$6="")+($D$6&lt;&gt;"")*( DB!D$2:D$2576=$D$6))*(($D$7="")+($D$7&lt;&gt;"")*(ISNUMBER(SEARCH($D$7,DB!G$2:G$2576))))*(($F$7="전체")+($F$7&lt;&gt;"전체")*(DB!H$2:H$2576=$F$7))),ROW()-13)-1,"")</f>
        <v/>
      </c>
      <c r="Q172" t="str" cm="1">
        <f t="array" ref="Q172">IFERROR(INDEX(DB!G$2:G$2576,P172),"")</f>
        <v/>
      </c>
      <c r="R172" t="str" cm="1">
        <f t="array" ref="R172">IFERROR(INDEX(DB!O$2:O$2576,P172),"")</f>
        <v/>
      </c>
      <c r="S172" t="str">
        <f t="shared" si="9"/>
        <v/>
      </c>
      <c r="T172" t="str">
        <f t="shared" si="10"/>
        <v/>
      </c>
    </row>
    <row r="173" spans="1:20" ht="100" customHeight="1">
      <c r="A173" s="26"/>
      <c r="B173" s="42" t="str">
        <f t="shared" si="8"/>
        <v/>
      </c>
      <c r="C173" s="43"/>
      <c r="D173" s="51" t="str" cm="1">
        <f t="array" ref="D173">IFERROR(INDEX(DB!G$2:G$2576,T173),"")</f>
        <v/>
      </c>
      <c r="E173" s="43"/>
      <c r="F173" s="52" t="str" cm="1">
        <f t="array" ref="F173">IFERROR(INDEX(DB!O$2:O$2576,T173),"")</f>
        <v/>
      </c>
      <c r="G173" s="43"/>
      <c r="H173" s="40" t="str" cm="1">
        <f t="array" ref="H173">IFERROR(INDEX(DB!P$2:P$2576,T173),"")</f>
        <v/>
      </c>
      <c r="I173" s="43"/>
      <c r="J173" s="53" t="str" cm="1">
        <f t="array" ref="J173">IFERROR(INDEX(DB!Q$2:Q$2576,T173),"")</f>
        <v/>
      </c>
      <c r="K173" s="43"/>
      <c r="L173" s="41" t="str" cm="1">
        <f t="array" ref="L173">IFERROR(INDEX(DB!R$2:R$2576,T173),"")</f>
        <v/>
      </c>
      <c r="M173" s="43"/>
      <c r="P173" t="str" cm="1">
        <f t="array" ref="P173">IFERROR(_xlfn.AGGREGATE(15,6,ROW(DB!A$2:A$2576)/((($D$3&lt;&gt;"YES")+($D$3="YES")*(DB!E$2:E$2576="YES"))*(($D$4="")+($D$4&lt;&gt;"")*( DB!B$2:B$2576=$D$4))*(($D$5="")+($D$5&lt;&gt;"")*( DB!C$2:C$2576=$D$5))*(($D$6="")+($D$6&lt;&gt;"")*( DB!D$2:D$2576=$D$6))*(($D$7="")+($D$7&lt;&gt;"")*(ISNUMBER(SEARCH($D$7,DB!G$2:G$2576))))*(($F$7="전체")+($F$7&lt;&gt;"전체")*(DB!H$2:H$2576=$F$7))),ROW()-13)-1,"")</f>
        <v/>
      </c>
      <c r="Q173" t="str" cm="1">
        <f t="array" ref="Q173">IFERROR(INDEX(DB!G$2:G$2576,P173),"")</f>
        <v/>
      </c>
      <c r="R173" t="str" cm="1">
        <f t="array" ref="R173">IFERROR(INDEX(DB!O$2:O$2576,P173),"")</f>
        <v/>
      </c>
      <c r="S173" t="str">
        <f t="shared" si="9"/>
        <v/>
      </c>
      <c r="T173" t="str">
        <f t="shared" si="10"/>
        <v/>
      </c>
    </row>
    <row r="174" spans="1:20" ht="100" customHeight="1">
      <c r="A174" s="26"/>
      <c r="B174" s="39" t="str">
        <f t="shared" si="8"/>
        <v/>
      </c>
      <c r="C174" s="43"/>
      <c r="D174" s="51" t="str" cm="1">
        <f t="array" ref="D174">IFERROR(INDEX(DB!G$2:G$2576,T174),"")</f>
        <v/>
      </c>
      <c r="E174" s="43"/>
      <c r="F174" s="52" t="str" cm="1">
        <f t="array" ref="F174">IFERROR(INDEX(DB!O$2:O$2576,T174),"")</f>
        <v/>
      </c>
      <c r="G174" s="43"/>
      <c r="H174" s="40" t="str" cm="1">
        <f t="array" ref="H174">IFERROR(INDEX(DB!P$2:P$2576,T174),"")</f>
        <v/>
      </c>
      <c r="I174" s="43"/>
      <c r="J174" s="53" t="str" cm="1">
        <f t="array" ref="J174">IFERROR(INDEX(DB!Q$2:Q$2576,T174),"")</f>
        <v/>
      </c>
      <c r="K174" s="43"/>
      <c r="L174" s="41" t="str" cm="1">
        <f t="array" ref="L174">IFERROR(INDEX(DB!R$2:R$2576,T174),"")</f>
        <v/>
      </c>
      <c r="M174" s="43"/>
      <c r="P174" t="str" cm="1">
        <f t="array" ref="P174">IFERROR(_xlfn.AGGREGATE(15,6,ROW(DB!A$2:A$2576)/((($D$3&lt;&gt;"YES")+($D$3="YES")*(DB!E$2:E$2576="YES"))*(($D$4="")+($D$4&lt;&gt;"")*( DB!B$2:B$2576=$D$4))*(($D$5="")+($D$5&lt;&gt;"")*( DB!C$2:C$2576=$D$5))*(($D$6="")+($D$6&lt;&gt;"")*( DB!D$2:D$2576=$D$6))*(($D$7="")+($D$7&lt;&gt;"")*(ISNUMBER(SEARCH($D$7,DB!G$2:G$2576))))*(($F$7="전체")+($F$7&lt;&gt;"전체")*(DB!H$2:H$2576=$F$7))),ROW()-13)-1,"")</f>
        <v/>
      </c>
      <c r="Q174" t="str" cm="1">
        <f t="array" ref="Q174">IFERROR(INDEX(DB!G$2:G$2576,P174),"")</f>
        <v/>
      </c>
      <c r="R174" t="str" cm="1">
        <f t="array" ref="R174">IFERROR(INDEX(DB!O$2:O$2576,P174),"")</f>
        <v/>
      </c>
      <c r="S174" t="str">
        <f t="shared" si="9"/>
        <v/>
      </c>
      <c r="T174" t="str">
        <f t="shared" si="10"/>
        <v/>
      </c>
    </row>
    <row r="175" spans="1:20" ht="100" customHeight="1">
      <c r="A175" s="26"/>
      <c r="B175" s="42" t="str">
        <f t="shared" si="8"/>
        <v/>
      </c>
      <c r="C175" s="43"/>
      <c r="D175" s="51" t="str" cm="1">
        <f t="array" ref="D175">IFERROR(INDEX(DB!G$2:G$2576,T175),"")</f>
        <v/>
      </c>
      <c r="E175" s="43"/>
      <c r="F175" s="52" t="str" cm="1">
        <f t="array" ref="F175">IFERROR(INDEX(DB!O$2:O$2576,T175),"")</f>
        <v/>
      </c>
      <c r="G175" s="43"/>
      <c r="H175" s="40" t="str" cm="1">
        <f t="array" ref="H175">IFERROR(INDEX(DB!P$2:P$2576,T175),"")</f>
        <v/>
      </c>
      <c r="I175" s="43"/>
      <c r="J175" s="53" t="str" cm="1">
        <f t="array" ref="J175">IFERROR(INDEX(DB!Q$2:Q$2576,T175),"")</f>
        <v/>
      </c>
      <c r="K175" s="43"/>
      <c r="L175" s="41" t="str" cm="1">
        <f t="array" ref="L175">IFERROR(INDEX(DB!R$2:R$2576,T175),"")</f>
        <v/>
      </c>
      <c r="M175" s="43"/>
      <c r="P175" t="str" cm="1">
        <f t="array" ref="P175">IFERROR(_xlfn.AGGREGATE(15,6,ROW(DB!A$2:A$2576)/((($D$3&lt;&gt;"YES")+($D$3="YES")*(DB!E$2:E$2576="YES"))*(($D$4="")+($D$4&lt;&gt;"")*( DB!B$2:B$2576=$D$4))*(($D$5="")+($D$5&lt;&gt;"")*( DB!C$2:C$2576=$D$5))*(($D$6="")+($D$6&lt;&gt;"")*( DB!D$2:D$2576=$D$6))*(($D$7="")+($D$7&lt;&gt;"")*(ISNUMBER(SEARCH($D$7,DB!G$2:G$2576))))*(($F$7="전체")+($F$7&lt;&gt;"전체")*(DB!H$2:H$2576=$F$7))),ROW()-13)-1,"")</f>
        <v/>
      </c>
      <c r="Q175" t="str" cm="1">
        <f t="array" ref="Q175">IFERROR(INDEX(DB!G$2:G$2576,P175),"")</f>
        <v/>
      </c>
      <c r="R175" t="str" cm="1">
        <f t="array" ref="R175">IFERROR(INDEX(DB!O$2:O$2576,P175),"")</f>
        <v/>
      </c>
      <c r="S175" t="str">
        <f t="shared" si="9"/>
        <v/>
      </c>
      <c r="T175" t="str">
        <f t="shared" si="10"/>
        <v/>
      </c>
    </row>
    <row r="176" spans="1:20" ht="100" customHeight="1">
      <c r="A176" s="26"/>
      <c r="B176" s="39" t="str">
        <f t="shared" si="8"/>
        <v/>
      </c>
      <c r="C176" s="43"/>
      <c r="D176" s="51" t="str" cm="1">
        <f t="array" ref="D176">IFERROR(INDEX(DB!G$2:G$2576,T176),"")</f>
        <v/>
      </c>
      <c r="E176" s="43"/>
      <c r="F176" s="52" t="str" cm="1">
        <f t="array" ref="F176">IFERROR(INDEX(DB!O$2:O$2576,T176),"")</f>
        <v/>
      </c>
      <c r="G176" s="43"/>
      <c r="H176" s="40" t="str" cm="1">
        <f t="array" ref="H176">IFERROR(INDEX(DB!P$2:P$2576,T176),"")</f>
        <v/>
      </c>
      <c r="I176" s="43"/>
      <c r="J176" s="53" t="str" cm="1">
        <f t="array" ref="J176">IFERROR(INDEX(DB!Q$2:Q$2576,T176),"")</f>
        <v/>
      </c>
      <c r="K176" s="43"/>
      <c r="L176" s="41" t="str" cm="1">
        <f t="array" ref="L176">IFERROR(INDEX(DB!R$2:R$2576,T176),"")</f>
        <v/>
      </c>
      <c r="M176" s="43"/>
      <c r="P176" t="str" cm="1">
        <f t="array" ref="P176">IFERROR(_xlfn.AGGREGATE(15,6,ROW(DB!A$2:A$2576)/((($D$3&lt;&gt;"YES")+($D$3="YES")*(DB!E$2:E$2576="YES"))*(($D$4="")+($D$4&lt;&gt;"")*( DB!B$2:B$2576=$D$4))*(($D$5="")+($D$5&lt;&gt;"")*( DB!C$2:C$2576=$D$5))*(($D$6="")+($D$6&lt;&gt;"")*( DB!D$2:D$2576=$D$6))*(($D$7="")+($D$7&lt;&gt;"")*(ISNUMBER(SEARCH($D$7,DB!G$2:G$2576))))*(($F$7="전체")+($F$7&lt;&gt;"전체")*(DB!H$2:H$2576=$F$7))),ROW()-13)-1,"")</f>
        <v/>
      </c>
      <c r="Q176" t="str" cm="1">
        <f t="array" ref="Q176">IFERROR(INDEX(DB!G$2:G$2576,P176),"")</f>
        <v/>
      </c>
      <c r="R176" t="str" cm="1">
        <f t="array" ref="R176">IFERROR(INDEX(DB!O$2:O$2576,P176),"")</f>
        <v/>
      </c>
      <c r="S176" t="str">
        <f t="shared" si="9"/>
        <v/>
      </c>
      <c r="T176" t="str">
        <f t="shared" si="10"/>
        <v/>
      </c>
    </row>
    <row r="177" spans="1:20" ht="100" customHeight="1">
      <c r="A177" s="26"/>
      <c r="B177" s="42" t="str">
        <f t="shared" si="8"/>
        <v/>
      </c>
      <c r="C177" s="43"/>
      <c r="D177" s="51" t="str" cm="1">
        <f t="array" ref="D177">IFERROR(INDEX(DB!G$2:G$2576,T177),"")</f>
        <v/>
      </c>
      <c r="E177" s="43"/>
      <c r="F177" s="52" t="str" cm="1">
        <f t="array" ref="F177">IFERROR(INDEX(DB!O$2:O$2576,T177),"")</f>
        <v/>
      </c>
      <c r="G177" s="43"/>
      <c r="H177" s="40" t="str" cm="1">
        <f t="array" ref="H177">IFERROR(INDEX(DB!P$2:P$2576,T177),"")</f>
        <v/>
      </c>
      <c r="I177" s="43"/>
      <c r="J177" s="53" t="str" cm="1">
        <f t="array" ref="J177">IFERROR(INDEX(DB!Q$2:Q$2576,T177),"")</f>
        <v/>
      </c>
      <c r="K177" s="43"/>
      <c r="L177" s="41" t="str" cm="1">
        <f t="array" ref="L177">IFERROR(INDEX(DB!R$2:R$2576,T177),"")</f>
        <v/>
      </c>
      <c r="M177" s="43"/>
      <c r="P177" t="str" cm="1">
        <f t="array" ref="P177">IFERROR(_xlfn.AGGREGATE(15,6,ROW(DB!A$2:A$2576)/((($D$3&lt;&gt;"YES")+($D$3="YES")*(DB!E$2:E$2576="YES"))*(($D$4="")+($D$4&lt;&gt;"")*( DB!B$2:B$2576=$D$4))*(($D$5="")+($D$5&lt;&gt;"")*( DB!C$2:C$2576=$D$5))*(($D$6="")+($D$6&lt;&gt;"")*( DB!D$2:D$2576=$D$6))*(($D$7="")+($D$7&lt;&gt;"")*(ISNUMBER(SEARCH($D$7,DB!G$2:G$2576))))*(($F$7="전체")+($F$7&lt;&gt;"전체")*(DB!H$2:H$2576=$F$7))),ROW()-13)-1,"")</f>
        <v/>
      </c>
      <c r="Q177" t="str" cm="1">
        <f t="array" ref="Q177">IFERROR(INDEX(DB!G$2:G$2576,P177),"")</f>
        <v/>
      </c>
      <c r="R177" t="str" cm="1">
        <f t="array" ref="R177">IFERROR(INDEX(DB!O$2:O$2576,P177),"")</f>
        <v/>
      </c>
      <c r="S177" t="str">
        <f t="shared" si="9"/>
        <v/>
      </c>
      <c r="T177" t="str">
        <f t="shared" si="10"/>
        <v/>
      </c>
    </row>
    <row r="178" spans="1:20" ht="100" customHeight="1">
      <c r="A178" s="26"/>
      <c r="B178" s="39" t="str">
        <f t="shared" si="8"/>
        <v/>
      </c>
      <c r="C178" s="43"/>
      <c r="D178" s="51" t="str" cm="1">
        <f t="array" ref="D178">IFERROR(INDEX(DB!G$2:G$2576,T178),"")</f>
        <v/>
      </c>
      <c r="E178" s="43"/>
      <c r="F178" s="52" t="str" cm="1">
        <f t="array" ref="F178">IFERROR(INDEX(DB!O$2:O$2576,T178),"")</f>
        <v/>
      </c>
      <c r="G178" s="43"/>
      <c r="H178" s="40" t="str" cm="1">
        <f t="array" ref="H178">IFERROR(INDEX(DB!P$2:P$2576,T178),"")</f>
        <v/>
      </c>
      <c r="I178" s="43"/>
      <c r="J178" s="53" t="str" cm="1">
        <f t="array" ref="J178">IFERROR(INDEX(DB!Q$2:Q$2576,T178),"")</f>
        <v/>
      </c>
      <c r="K178" s="43"/>
      <c r="L178" s="41" t="str" cm="1">
        <f t="array" ref="L178">IFERROR(INDEX(DB!R$2:R$2576,T178),"")</f>
        <v/>
      </c>
      <c r="M178" s="43"/>
      <c r="P178" t="str" cm="1">
        <f t="array" ref="P178">IFERROR(_xlfn.AGGREGATE(15,6,ROW(DB!A$2:A$2576)/((($D$3&lt;&gt;"YES")+($D$3="YES")*(DB!E$2:E$2576="YES"))*(($D$4="")+($D$4&lt;&gt;"")*( DB!B$2:B$2576=$D$4))*(($D$5="")+($D$5&lt;&gt;"")*( DB!C$2:C$2576=$D$5))*(($D$6="")+($D$6&lt;&gt;"")*( DB!D$2:D$2576=$D$6))*(($D$7="")+($D$7&lt;&gt;"")*(ISNUMBER(SEARCH($D$7,DB!G$2:G$2576))))*(($F$7="전체")+($F$7&lt;&gt;"전체")*(DB!H$2:H$2576=$F$7))),ROW()-13)-1,"")</f>
        <v/>
      </c>
      <c r="Q178" t="str" cm="1">
        <f t="array" ref="Q178">IFERROR(INDEX(DB!G$2:G$2576,P178),"")</f>
        <v/>
      </c>
      <c r="R178" t="str" cm="1">
        <f t="array" ref="R178">IFERROR(INDEX(DB!O$2:O$2576,P178),"")</f>
        <v/>
      </c>
      <c r="S178" t="str">
        <f t="shared" si="9"/>
        <v/>
      </c>
      <c r="T178" t="str">
        <f t="shared" si="10"/>
        <v/>
      </c>
    </row>
    <row r="179" spans="1:20" ht="100" customHeight="1">
      <c r="A179" s="26"/>
      <c r="B179" s="42" t="str">
        <f t="shared" si="8"/>
        <v/>
      </c>
      <c r="C179" s="43"/>
      <c r="D179" s="51" t="str" cm="1">
        <f t="array" ref="D179">IFERROR(INDEX(DB!G$2:G$2576,T179),"")</f>
        <v/>
      </c>
      <c r="E179" s="43"/>
      <c r="F179" s="52" t="str" cm="1">
        <f t="array" ref="F179">IFERROR(INDEX(DB!O$2:O$2576,T179),"")</f>
        <v/>
      </c>
      <c r="G179" s="43"/>
      <c r="H179" s="40" t="str" cm="1">
        <f t="array" ref="H179">IFERROR(INDEX(DB!P$2:P$2576,T179),"")</f>
        <v/>
      </c>
      <c r="I179" s="43"/>
      <c r="J179" s="53" t="str" cm="1">
        <f t="array" ref="J179">IFERROR(INDEX(DB!Q$2:Q$2576,T179),"")</f>
        <v/>
      </c>
      <c r="K179" s="43"/>
      <c r="L179" s="41" t="str" cm="1">
        <f t="array" ref="L179">IFERROR(INDEX(DB!R$2:R$2576,T179),"")</f>
        <v/>
      </c>
      <c r="M179" s="43"/>
      <c r="P179" t="str" cm="1">
        <f t="array" ref="P179">IFERROR(_xlfn.AGGREGATE(15,6,ROW(DB!A$2:A$2576)/((($D$3&lt;&gt;"YES")+($D$3="YES")*(DB!E$2:E$2576="YES"))*(($D$4="")+($D$4&lt;&gt;"")*( DB!B$2:B$2576=$D$4))*(($D$5="")+($D$5&lt;&gt;"")*( DB!C$2:C$2576=$D$5))*(($D$6="")+($D$6&lt;&gt;"")*( DB!D$2:D$2576=$D$6))*(($D$7="")+($D$7&lt;&gt;"")*(ISNUMBER(SEARCH($D$7,DB!G$2:G$2576))))*(($F$7="전체")+($F$7&lt;&gt;"전체")*(DB!H$2:H$2576=$F$7))),ROW()-13)-1,"")</f>
        <v/>
      </c>
      <c r="Q179" t="str" cm="1">
        <f t="array" ref="Q179">IFERROR(INDEX(DB!G$2:G$2576,P179),"")</f>
        <v/>
      </c>
      <c r="R179" t="str" cm="1">
        <f t="array" ref="R179">IFERROR(INDEX(DB!O$2:O$2576,P179),"")</f>
        <v/>
      </c>
      <c r="S179" t="str">
        <f t="shared" si="9"/>
        <v/>
      </c>
      <c r="T179" t="str">
        <f t="shared" si="10"/>
        <v/>
      </c>
    </row>
    <row r="180" spans="1:20" ht="100" customHeight="1">
      <c r="A180" s="26"/>
      <c r="B180" s="39" t="str">
        <f t="shared" si="8"/>
        <v/>
      </c>
      <c r="C180" s="43"/>
      <c r="D180" s="51" t="str" cm="1">
        <f t="array" ref="D180">IFERROR(INDEX(DB!G$2:G$2576,T180),"")</f>
        <v/>
      </c>
      <c r="E180" s="43"/>
      <c r="F180" s="52" t="str" cm="1">
        <f t="array" ref="F180">IFERROR(INDEX(DB!O$2:O$2576,T180),"")</f>
        <v/>
      </c>
      <c r="G180" s="43"/>
      <c r="H180" s="40" t="str" cm="1">
        <f t="array" ref="H180">IFERROR(INDEX(DB!P$2:P$2576,T180),"")</f>
        <v/>
      </c>
      <c r="I180" s="43"/>
      <c r="J180" s="53" t="str" cm="1">
        <f t="array" ref="J180">IFERROR(INDEX(DB!Q$2:Q$2576,T180),"")</f>
        <v/>
      </c>
      <c r="K180" s="43"/>
      <c r="L180" s="41" t="str" cm="1">
        <f t="array" ref="L180">IFERROR(INDEX(DB!R$2:R$2576,T180),"")</f>
        <v/>
      </c>
      <c r="M180" s="43"/>
      <c r="P180" t="str" cm="1">
        <f t="array" ref="P180">IFERROR(_xlfn.AGGREGATE(15,6,ROW(DB!A$2:A$2576)/((($D$3&lt;&gt;"YES")+($D$3="YES")*(DB!E$2:E$2576="YES"))*(($D$4="")+($D$4&lt;&gt;"")*( DB!B$2:B$2576=$D$4))*(($D$5="")+($D$5&lt;&gt;"")*( DB!C$2:C$2576=$D$5))*(($D$6="")+($D$6&lt;&gt;"")*( DB!D$2:D$2576=$D$6))*(($D$7="")+($D$7&lt;&gt;"")*(ISNUMBER(SEARCH($D$7,DB!G$2:G$2576))))*(($F$7="전체")+($F$7&lt;&gt;"전체")*(DB!H$2:H$2576=$F$7))),ROW()-13)-1,"")</f>
        <v/>
      </c>
      <c r="Q180" t="str" cm="1">
        <f t="array" ref="Q180">IFERROR(INDEX(DB!G$2:G$2576,P180),"")</f>
        <v/>
      </c>
      <c r="R180" t="str" cm="1">
        <f t="array" ref="R180">IFERROR(INDEX(DB!O$2:O$2576,P180),"")</f>
        <v/>
      </c>
      <c r="S180" t="str">
        <f t="shared" si="9"/>
        <v/>
      </c>
      <c r="T180" t="str">
        <f t="shared" si="10"/>
        <v/>
      </c>
    </row>
    <row r="181" spans="1:20" ht="100" customHeight="1">
      <c r="A181" s="26"/>
      <c r="B181" s="42" t="str">
        <f t="shared" si="8"/>
        <v/>
      </c>
      <c r="C181" s="43"/>
      <c r="D181" s="51" t="str" cm="1">
        <f t="array" ref="D181">IFERROR(INDEX(DB!G$2:G$2576,T181),"")</f>
        <v/>
      </c>
      <c r="E181" s="43"/>
      <c r="F181" s="52" t="str" cm="1">
        <f t="array" ref="F181">IFERROR(INDEX(DB!O$2:O$2576,T181),"")</f>
        <v/>
      </c>
      <c r="G181" s="43"/>
      <c r="H181" s="40" t="str" cm="1">
        <f t="array" ref="H181">IFERROR(INDEX(DB!P$2:P$2576,T181),"")</f>
        <v/>
      </c>
      <c r="I181" s="43"/>
      <c r="J181" s="53" t="str" cm="1">
        <f t="array" ref="J181">IFERROR(INDEX(DB!Q$2:Q$2576,T181),"")</f>
        <v/>
      </c>
      <c r="K181" s="43"/>
      <c r="L181" s="41" t="str" cm="1">
        <f t="array" ref="L181">IFERROR(INDEX(DB!R$2:R$2576,T181),"")</f>
        <v/>
      </c>
      <c r="M181" s="43"/>
      <c r="P181" t="str" cm="1">
        <f t="array" ref="P181">IFERROR(_xlfn.AGGREGATE(15,6,ROW(DB!A$2:A$2576)/((($D$3&lt;&gt;"YES")+($D$3="YES")*(DB!E$2:E$2576="YES"))*(($D$4="")+($D$4&lt;&gt;"")*( DB!B$2:B$2576=$D$4))*(($D$5="")+($D$5&lt;&gt;"")*( DB!C$2:C$2576=$D$5))*(($D$6="")+($D$6&lt;&gt;"")*( DB!D$2:D$2576=$D$6))*(($D$7="")+($D$7&lt;&gt;"")*(ISNUMBER(SEARCH($D$7,DB!G$2:G$2576))))*(($F$7="전체")+($F$7&lt;&gt;"전체")*(DB!H$2:H$2576=$F$7))),ROW()-13)-1,"")</f>
        <v/>
      </c>
      <c r="Q181" t="str" cm="1">
        <f t="array" ref="Q181">IFERROR(INDEX(DB!G$2:G$2576,P181),"")</f>
        <v/>
      </c>
      <c r="R181" t="str" cm="1">
        <f t="array" ref="R181">IFERROR(INDEX(DB!O$2:O$2576,P181),"")</f>
        <v/>
      </c>
      <c r="S181" t="str">
        <f t="shared" si="9"/>
        <v/>
      </c>
      <c r="T181" t="str">
        <f t="shared" si="10"/>
        <v/>
      </c>
    </row>
    <row r="182" spans="1:20" ht="100" customHeight="1">
      <c r="A182" s="26"/>
      <c r="B182" s="39" t="str">
        <f t="shared" si="8"/>
        <v/>
      </c>
      <c r="C182" s="43"/>
      <c r="D182" s="51" t="str" cm="1">
        <f t="array" ref="D182">IFERROR(INDEX(DB!G$2:G$2576,T182),"")</f>
        <v/>
      </c>
      <c r="E182" s="43"/>
      <c r="F182" s="52" t="str" cm="1">
        <f t="array" ref="F182">IFERROR(INDEX(DB!O$2:O$2576,T182),"")</f>
        <v/>
      </c>
      <c r="G182" s="43"/>
      <c r="H182" s="40" t="str" cm="1">
        <f t="array" ref="H182">IFERROR(INDEX(DB!P$2:P$2576,T182),"")</f>
        <v/>
      </c>
      <c r="I182" s="43"/>
      <c r="J182" s="53" t="str" cm="1">
        <f t="array" ref="J182">IFERROR(INDEX(DB!Q$2:Q$2576,T182),"")</f>
        <v/>
      </c>
      <c r="K182" s="43"/>
      <c r="L182" s="41" t="str" cm="1">
        <f t="array" ref="L182">IFERROR(INDEX(DB!R$2:R$2576,T182),"")</f>
        <v/>
      </c>
      <c r="M182" s="43"/>
      <c r="P182" t="str" cm="1">
        <f t="array" ref="P182">IFERROR(_xlfn.AGGREGATE(15,6,ROW(DB!A$2:A$2576)/((($D$3&lt;&gt;"YES")+($D$3="YES")*(DB!E$2:E$2576="YES"))*(($D$4="")+($D$4&lt;&gt;"")*( DB!B$2:B$2576=$D$4))*(($D$5="")+($D$5&lt;&gt;"")*( DB!C$2:C$2576=$D$5))*(($D$6="")+($D$6&lt;&gt;"")*( DB!D$2:D$2576=$D$6))*(($D$7="")+($D$7&lt;&gt;"")*(ISNUMBER(SEARCH($D$7,DB!G$2:G$2576))))*(($F$7="전체")+($F$7&lt;&gt;"전체")*(DB!H$2:H$2576=$F$7))),ROW()-13)-1,"")</f>
        <v/>
      </c>
      <c r="Q182" t="str" cm="1">
        <f t="array" ref="Q182">IFERROR(INDEX(DB!G$2:G$2576,P182),"")</f>
        <v/>
      </c>
      <c r="R182" t="str" cm="1">
        <f t="array" ref="R182">IFERROR(INDEX(DB!O$2:O$2576,P182),"")</f>
        <v/>
      </c>
      <c r="S182" t="str">
        <f t="shared" si="9"/>
        <v/>
      </c>
      <c r="T182" t="str">
        <f t="shared" si="10"/>
        <v/>
      </c>
    </row>
    <row r="183" spans="1:20" ht="100" customHeight="1">
      <c r="A183" s="26"/>
      <c r="B183" s="42" t="str">
        <f t="shared" si="8"/>
        <v/>
      </c>
      <c r="C183" s="43"/>
      <c r="D183" s="51" t="str" cm="1">
        <f t="array" ref="D183">IFERROR(INDEX(DB!G$2:G$2576,T183),"")</f>
        <v/>
      </c>
      <c r="E183" s="43"/>
      <c r="F183" s="52" t="str" cm="1">
        <f t="array" ref="F183">IFERROR(INDEX(DB!O$2:O$2576,T183),"")</f>
        <v/>
      </c>
      <c r="G183" s="43"/>
      <c r="H183" s="40" t="str" cm="1">
        <f t="array" ref="H183">IFERROR(INDEX(DB!P$2:P$2576,T183),"")</f>
        <v/>
      </c>
      <c r="I183" s="43"/>
      <c r="J183" s="53" t="str" cm="1">
        <f t="array" ref="J183">IFERROR(INDEX(DB!Q$2:Q$2576,T183),"")</f>
        <v/>
      </c>
      <c r="K183" s="43"/>
      <c r="L183" s="41" t="str" cm="1">
        <f t="array" ref="L183">IFERROR(INDEX(DB!R$2:R$2576,T183),"")</f>
        <v/>
      </c>
      <c r="M183" s="43"/>
      <c r="P183" t="str" cm="1">
        <f t="array" ref="P183">IFERROR(_xlfn.AGGREGATE(15,6,ROW(DB!A$2:A$2576)/((($D$3&lt;&gt;"YES")+($D$3="YES")*(DB!E$2:E$2576="YES"))*(($D$4="")+($D$4&lt;&gt;"")*( DB!B$2:B$2576=$D$4))*(($D$5="")+($D$5&lt;&gt;"")*( DB!C$2:C$2576=$D$5))*(($D$6="")+($D$6&lt;&gt;"")*( DB!D$2:D$2576=$D$6))*(($D$7="")+($D$7&lt;&gt;"")*(ISNUMBER(SEARCH($D$7,DB!G$2:G$2576))))*(($F$7="전체")+($F$7&lt;&gt;"전체")*(DB!H$2:H$2576=$F$7))),ROW()-13)-1,"")</f>
        <v/>
      </c>
      <c r="Q183" t="str" cm="1">
        <f t="array" ref="Q183">IFERROR(INDEX(DB!G$2:G$2576,P183),"")</f>
        <v/>
      </c>
      <c r="R183" t="str" cm="1">
        <f t="array" ref="R183">IFERROR(INDEX(DB!O$2:O$2576,P183),"")</f>
        <v/>
      </c>
      <c r="S183" t="str">
        <f t="shared" si="9"/>
        <v/>
      </c>
      <c r="T183" t="str">
        <f t="shared" si="10"/>
        <v/>
      </c>
    </row>
    <row r="184" spans="1:20" ht="100" customHeight="1">
      <c r="A184" s="26"/>
      <c r="B184" s="39" t="str">
        <f t="shared" si="8"/>
        <v/>
      </c>
      <c r="C184" s="43"/>
      <c r="D184" s="51" t="str" cm="1">
        <f t="array" ref="D184">IFERROR(INDEX(DB!G$2:G$2576,T184),"")</f>
        <v/>
      </c>
      <c r="E184" s="43"/>
      <c r="F184" s="52" t="str" cm="1">
        <f t="array" ref="F184">IFERROR(INDEX(DB!O$2:O$2576,T184),"")</f>
        <v/>
      </c>
      <c r="G184" s="43"/>
      <c r="H184" s="40" t="str" cm="1">
        <f t="array" ref="H184">IFERROR(INDEX(DB!P$2:P$2576,T184),"")</f>
        <v/>
      </c>
      <c r="I184" s="43"/>
      <c r="J184" s="53" t="str" cm="1">
        <f t="array" ref="J184">IFERROR(INDEX(DB!Q$2:Q$2576,T184),"")</f>
        <v/>
      </c>
      <c r="K184" s="43"/>
      <c r="L184" s="41" t="str" cm="1">
        <f t="array" ref="L184">IFERROR(INDEX(DB!R$2:R$2576,T184),"")</f>
        <v/>
      </c>
      <c r="M184" s="43"/>
      <c r="P184" t="str" cm="1">
        <f t="array" ref="P184">IFERROR(_xlfn.AGGREGATE(15,6,ROW(DB!A$2:A$2576)/((($D$3&lt;&gt;"YES")+($D$3="YES")*(DB!E$2:E$2576="YES"))*(($D$4="")+($D$4&lt;&gt;"")*( DB!B$2:B$2576=$D$4))*(($D$5="")+($D$5&lt;&gt;"")*( DB!C$2:C$2576=$D$5))*(($D$6="")+($D$6&lt;&gt;"")*( DB!D$2:D$2576=$D$6))*(($D$7="")+($D$7&lt;&gt;"")*(ISNUMBER(SEARCH($D$7,DB!G$2:G$2576))))*(($F$7="전체")+($F$7&lt;&gt;"전체")*(DB!H$2:H$2576=$F$7))),ROW()-13)-1,"")</f>
        <v/>
      </c>
      <c r="Q184" t="str" cm="1">
        <f t="array" ref="Q184">IFERROR(INDEX(DB!G$2:G$2576,P184),"")</f>
        <v/>
      </c>
      <c r="R184" t="str" cm="1">
        <f t="array" ref="R184">IFERROR(INDEX(DB!O$2:O$2576,P184),"")</f>
        <v/>
      </c>
      <c r="S184" t="str">
        <f t="shared" si="9"/>
        <v/>
      </c>
      <c r="T184" t="str">
        <f t="shared" si="10"/>
        <v/>
      </c>
    </row>
    <row r="185" spans="1:20" ht="100" customHeight="1">
      <c r="A185" s="26"/>
      <c r="B185" s="42" t="str">
        <f t="shared" si="8"/>
        <v/>
      </c>
      <c r="C185" s="43"/>
      <c r="D185" s="51" t="str" cm="1">
        <f t="array" ref="D185">IFERROR(INDEX(DB!G$2:G$2576,T185),"")</f>
        <v/>
      </c>
      <c r="E185" s="43"/>
      <c r="F185" s="52" t="str" cm="1">
        <f t="array" ref="F185">IFERROR(INDEX(DB!O$2:O$2576,T185),"")</f>
        <v/>
      </c>
      <c r="G185" s="43"/>
      <c r="H185" s="40" t="str" cm="1">
        <f t="array" ref="H185">IFERROR(INDEX(DB!P$2:P$2576,T185),"")</f>
        <v/>
      </c>
      <c r="I185" s="43"/>
      <c r="J185" s="53" t="str" cm="1">
        <f t="array" ref="J185">IFERROR(INDEX(DB!Q$2:Q$2576,T185),"")</f>
        <v/>
      </c>
      <c r="K185" s="43"/>
      <c r="L185" s="41" t="str" cm="1">
        <f t="array" ref="L185">IFERROR(INDEX(DB!R$2:R$2576,T185),"")</f>
        <v/>
      </c>
      <c r="M185" s="43"/>
      <c r="P185" t="str" cm="1">
        <f t="array" ref="P185">IFERROR(_xlfn.AGGREGATE(15,6,ROW(DB!A$2:A$2576)/((($D$3&lt;&gt;"YES")+($D$3="YES")*(DB!E$2:E$2576="YES"))*(($D$4="")+($D$4&lt;&gt;"")*( DB!B$2:B$2576=$D$4))*(($D$5="")+($D$5&lt;&gt;"")*( DB!C$2:C$2576=$D$5))*(($D$6="")+($D$6&lt;&gt;"")*( DB!D$2:D$2576=$D$6))*(($D$7="")+($D$7&lt;&gt;"")*(ISNUMBER(SEARCH($D$7,DB!G$2:G$2576))))*(($F$7="전체")+($F$7&lt;&gt;"전체")*(DB!H$2:H$2576=$F$7))),ROW()-13)-1,"")</f>
        <v/>
      </c>
      <c r="Q185" t="str" cm="1">
        <f t="array" ref="Q185">IFERROR(INDEX(DB!G$2:G$2576,P185),"")</f>
        <v/>
      </c>
      <c r="R185" t="str" cm="1">
        <f t="array" ref="R185">IFERROR(INDEX(DB!O$2:O$2576,P185),"")</f>
        <v/>
      </c>
      <c r="S185" t="str">
        <f t="shared" si="9"/>
        <v/>
      </c>
      <c r="T185" t="str">
        <f t="shared" si="10"/>
        <v/>
      </c>
    </row>
    <row r="186" spans="1:20" ht="100" customHeight="1">
      <c r="A186" s="26"/>
      <c r="B186" s="39" t="str">
        <f t="shared" si="8"/>
        <v/>
      </c>
      <c r="C186" s="43"/>
      <c r="D186" s="51" t="str" cm="1">
        <f t="array" ref="D186">IFERROR(INDEX(DB!G$2:G$2576,T186),"")</f>
        <v/>
      </c>
      <c r="E186" s="43"/>
      <c r="F186" s="52" t="str" cm="1">
        <f t="array" ref="F186">IFERROR(INDEX(DB!O$2:O$2576,T186),"")</f>
        <v/>
      </c>
      <c r="G186" s="43"/>
      <c r="H186" s="40" t="str" cm="1">
        <f t="array" ref="H186">IFERROR(INDEX(DB!P$2:P$2576,T186),"")</f>
        <v/>
      </c>
      <c r="I186" s="43"/>
      <c r="J186" s="53" t="str" cm="1">
        <f t="array" ref="J186">IFERROR(INDEX(DB!Q$2:Q$2576,T186),"")</f>
        <v/>
      </c>
      <c r="K186" s="43"/>
      <c r="L186" s="41" t="str" cm="1">
        <f t="array" ref="L186">IFERROR(INDEX(DB!R$2:R$2576,T186),"")</f>
        <v/>
      </c>
      <c r="M186" s="43"/>
      <c r="P186" t="str" cm="1">
        <f t="array" ref="P186">IFERROR(_xlfn.AGGREGATE(15,6,ROW(DB!A$2:A$2576)/((($D$3&lt;&gt;"YES")+($D$3="YES")*(DB!E$2:E$2576="YES"))*(($D$4="")+($D$4&lt;&gt;"")*( DB!B$2:B$2576=$D$4))*(($D$5="")+($D$5&lt;&gt;"")*( DB!C$2:C$2576=$D$5))*(($D$6="")+($D$6&lt;&gt;"")*( DB!D$2:D$2576=$D$6))*(($D$7="")+($D$7&lt;&gt;"")*(ISNUMBER(SEARCH($D$7,DB!G$2:G$2576))))*(($F$7="전체")+($F$7&lt;&gt;"전체")*(DB!H$2:H$2576=$F$7))),ROW()-13)-1,"")</f>
        <v/>
      </c>
      <c r="Q186" t="str" cm="1">
        <f t="array" ref="Q186">IFERROR(INDEX(DB!G$2:G$2576,P186),"")</f>
        <v/>
      </c>
      <c r="R186" t="str" cm="1">
        <f t="array" ref="R186">IFERROR(INDEX(DB!O$2:O$2576,P186),"")</f>
        <v/>
      </c>
      <c r="S186" t="str">
        <f t="shared" si="9"/>
        <v/>
      </c>
      <c r="T186" t="str">
        <f t="shared" si="10"/>
        <v/>
      </c>
    </row>
    <row r="187" spans="1:20" ht="100" customHeight="1">
      <c r="A187" s="26"/>
      <c r="B187" s="42" t="str">
        <f t="shared" si="8"/>
        <v/>
      </c>
      <c r="C187" s="43"/>
      <c r="D187" s="51" t="str" cm="1">
        <f t="array" ref="D187">IFERROR(INDEX(DB!G$2:G$2576,T187),"")</f>
        <v/>
      </c>
      <c r="E187" s="43"/>
      <c r="F187" s="52" t="str" cm="1">
        <f t="array" ref="F187">IFERROR(INDEX(DB!O$2:O$2576,T187),"")</f>
        <v/>
      </c>
      <c r="G187" s="43"/>
      <c r="H187" s="40" t="str" cm="1">
        <f t="array" ref="H187">IFERROR(INDEX(DB!P$2:P$2576,T187),"")</f>
        <v/>
      </c>
      <c r="I187" s="43"/>
      <c r="J187" s="53" t="str" cm="1">
        <f t="array" ref="J187">IFERROR(INDEX(DB!Q$2:Q$2576,T187),"")</f>
        <v/>
      </c>
      <c r="K187" s="43"/>
      <c r="L187" s="41" t="str" cm="1">
        <f t="array" ref="L187">IFERROR(INDEX(DB!R$2:R$2576,T187),"")</f>
        <v/>
      </c>
      <c r="M187" s="43"/>
      <c r="P187" t="str" cm="1">
        <f t="array" ref="P187">IFERROR(_xlfn.AGGREGATE(15,6,ROW(DB!A$2:A$2576)/((($D$3&lt;&gt;"YES")+($D$3="YES")*(DB!E$2:E$2576="YES"))*(($D$4="")+($D$4&lt;&gt;"")*( DB!B$2:B$2576=$D$4))*(($D$5="")+($D$5&lt;&gt;"")*( DB!C$2:C$2576=$D$5))*(($D$6="")+($D$6&lt;&gt;"")*( DB!D$2:D$2576=$D$6))*(($D$7="")+($D$7&lt;&gt;"")*(ISNUMBER(SEARCH($D$7,DB!G$2:G$2576))))*(($F$7="전체")+($F$7&lt;&gt;"전체")*(DB!H$2:H$2576=$F$7))),ROW()-13)-1,"")</f>
        <v/>
      </c>
      <c r="Q187" t="str" cm="1">
        <f t="array" ref="Q187">IFERROR(INDEX(DB!G$2:G$2576,P187),"")</f>
        <v/>
      </c>
      <c r="R187" t="str" cm="1">
        <f t="array" ref="R187">IFERROR(INDEX(DB!O$2:O$2576,P187),"")</f>
        <v/>
      </c>
      <c r="S187" t="str">
        <f t="shared" si="9"/>
        <v/>
      </c>
      <c r="T187" t="str">
        <f t="shared" si="10"/>
        <v/>
      </c>
    </row>
    <row r="188" spans="1:20" ht="100" customHeight="1">
      <c r="A188" s="26"/>
      <c r="B188" s="39" t="str">
        <f t="shared" si="8"/>
        <v/>
      </c>
      <c r="C188" s="43"/>
      <c r="D188" s="51" t="str" cm="1">
        <f t="array" ref="D188">IFERROR(INDEX(DB!G$2:G$2576,T188),"")</f>
        <v/>
      </c>
      <c r="E188" s="43"/>
      <c r="F188" s="52" t="str" cm="1">
        <f t="array" ref="F188">IFERROR(INDEX(DB!O$2:O$2576,T188),"")</f>
        <v/>
      </c>
      <c r="G188" s="43"/>
      <c r="H188" s="40" t="str" cm="1">
        <f t="array" ref="H188">IFERROR(INDEX(DB!P$2:P$2576,T188),"")</f>
        <v/>
      </c>
      <c r="I188" s="43"/>
      <c r="J188" s="53" t="str" cm="1">
        <f t="array" ref="J188">IFERROR(INDEX(DB!Q$2:Q$2576,T188),"")</f>
        <v/>
      </c>
      <c r="K188" s="43"/>
      <c r="L188" s="41" t="str" cm="1">
        <f t="array" ref="L188">IFERROR(INDEX(DB!R$2:R$2576,T188),"")</f>
        <v/>
      </c>
      <c r="M188" s="43"/>
      <c r="P188" t="str" cm="1">
        <f t="array" ref="P188">IFERROR(_xlfn.AGGREGATE(15,6,ROW(DB!A$2:A$2576)/((($D$3&lt;&gt;"YES")+($D$3="YES")*(DB!E$2:E$2576="YES"))*(($D$4="")+($D$4&lt;&gt;"")*( DB!B$2:B$2576=$D$4))*(($D$5="")+($D$5&lt;&gt;"")*( DB!C$2:C$2576=$D$5))*(($D$6="")+($D$6&lt;&gt;"")*( DB!D$2:D$2576=$D$6))*(($D$7="")+($D$7&lt;&gt;"")*(ISNUMBER(SEARCH($D$7,DB!G$2:G$2576))))*(($F$7="전체")+($F$7&lt;&gt;"전체")*(DB!H$2:H$2576=$F$7))),ROW()-13)-1,"")</f>
        <v/>
      </c>
      <c r="Q188" t="str" cm="1">
        <f t="array" ref="Q188">IFERROR(INDEX(DB!G$2:G$2576,P188),"")</f>
        <v/>
      </c>
      <c r="R188" t="str" cm="1">
        <f t="array" ref="R188">IFERROR(INDEX(DB!O$2:O$2576,P188),"")</f>
        <v/>
      </c>
      <c r="S188" t="str">
        <f t="shared" si="9"/>
        <v/>
      </c>
      <c r="T188" t="str">
        <f t="shared" si="10"/>
        <v/>
      </c>
    </row>
    <row r="189" spans="1:20" ht="100" customHeight="1">
      <c r="A189" s="26"/>
      <c r="B189" s="42" t="str">
        <f t="shared" si="8"/>
        <v/>
      </c>
      <c r="C189" s="43"/>
      <c r="D189" s="51" t="str" cm="1">
        <f t="array" ref="D189">IFERROR(INDEX(DB!G$2:G$2576,T189),"")</f>
        <v/>
      </c>
      <c r="E189" s="43"/>
      <c r="F189" s="52" t="str" cm="1">
        <f t="array" ref="F189">IFERROR(INDEX(DB!O$2:O$2576,T189),"")</f>
        <v/>
      </c>
      <c r="G189" s="43"/>
      <c r="H189" s="40" t="str" cm="1">
        <f t="array" ref="H189">IFERROR(INDEX(DB!P$2:P$2576,T189),"")</f>
        <v/>
      </c>
      <c r="I189" s="43"/>
      <c r="J189" s="53" t="str" cm="1">
        <f t="array" ref="J189">IFERROR(INDEX(DB!Q$2:Q$2576,T189),"")</f>
        <v/>
      </c>
      <c r="K189" s="43"/>
      <c r="L189" s="41" t="str" cm="1">
        <f t="array" ref="L189">IFERROR(INDEX(DB!R$2:R$2576,T189),"")</f>
        <v/>
      </c>
      <c r="M189" s="43"/>
      <c r="P189" t="str" cm="1">
        <f t="array" ref="P189">IFERROR(_xlfn.AGGREGATE(15,6,ROW(DB!A$2:A$2576)/((($D$3&lt;&gt;"YES")+($D$3="YES")*(DB!E$2:E$2576="YES"))*(($D$4="")+($D$4&lt;&gt;"")*( DB!B$2:B$2576=$D$4))*(($D$5="")+($D$5&lt;&gt;"")*( DB!C$2:C$2576=$D$5))*(($D$6="")+($D$6&lt;&gt;"")*( DB!D$2:D$2576=$D$6))*(($D$7="")+($D$7&lt;&gt;"")*(ISNUMBER(SEARCH($D$7,DB!G$2:G$2576))))*(($F$7="전체")+($F$7&lt;&gt;"전체")*(DB!H$2:H$2576=$F$7))),ROW()-13)-1,"")</f>
        <v/>
      </c>
      <c r="Q189" t="str" cm="1">
        <f t="array" ref="Q189">IFERROR(INDEX(DB!G$2:G$2576,P189),"")</f>
        <v/>
      </c>
      <c r="R189" t="str" cm="1">
        <f t="array" ref="R189">IFERROR(INDEX(DB!O$2:O$2576,P189),"")</f>
        <v/>
      </c>
      <c r="S189" t="str">
        <f t="shared" si="9"/>
        <v/>
      </c>
      <c r="T189" t="str">
        <f t="shared" si="10"/>
        <v/>
      </c>
    </row>
    <row r="190" spans="1:20" ht="100" customHeight="1">
      <c r="A190" s="26"/>
      <c r="B190" s="39" t="str">
        <f t="shared" si="8"/>
        <v/>
      </c>
      <c r="C190" s="43"/>
      <c r="D190" s="51" t="str" cm="1">
        <f t="array" ref="D190">IFERROR(INDEX(DB!G$2:G$2576,T190),"")</f>
        <v/>
      </c>
      <c r="E190" s="43"/>
      <c r="F190" s="52" t="str" cm="1">
        <f t="array" ref="F190">IFERROR(INDEX(DB!O$2:O$2576,T190),"")</f>
        <v/>
      </c>
      <c r="G190" s="43"/>
      <c r="H190" s="40" t="str" cm="1">
        <f t="array" ref="H190">IFERROR(INDEX(DB!P$2:P$2576,T190),"")</f>
        <v/>
      </c>
      <c r="I190" s="43"/>
      <c r="J190" s="53" t="str" cm="1">
        <f t="array" ref="J190">IFERROR(INDEX(DB!Q$2:Q$2576,T190),"")</f>
        <v/>
      </c>
      <c r="K190" s="43"/>
      <c r="L190" s="41" t="str" cm="1">
        <f t="array" ref="L190">IFERROR(INDEX(DB!R$2:R$2576,T190),"")</f>
        <v/>
      </c>
      <c r="M190" s="43"/>
      <c r="P190" t="str" cm="1">
        <f t="array" ref="P190">IFERROR(_xlfn.AGGREGATE(15,6,ROW(DB!A$2:A$2576)/((($D$3&lt;&gt;"YES")+($D$3="YES")*(DB!E$2:E$2576="YES"))*(($D$4="")+($D$4&lt;&gt;"")*( DB!B$2:B$2576=$D$4))*(($D$5="")+($D$5&lt;&gt;"")*( DB!C$2:C$2576=$D$5))*(($D$6="")+($D$6&lt;&gt;"")*( DB!D$2:D$2576=$D$6))*(($D$7="")+($D$7&lt;&gt;"")*(ISNUMBER(SEARCH($D$7,DB!G$2:G$2576))))*(($F$7="전체")+($F$7&lt;&gt;"전체")*(DB!H$2:H$2576=$F$7))),ROW()-13)-1,"")</f>
        <v/>
      </c>
      <c r="Q190" t="str" cm="1">
        <f t="array" ref="Q190">IFERROR(INDEX(DB!G$2:G$2576,P190),"")</f>
        <v/>
      </c>
      <c r="R190" t="str" cm="1">
        <f t="array" ref="R190">IFERROR(INDEX(DB!O$2:O$2576,P190),"")</f>
        <v/>
      </c>
      <c r="S190" t="str">
        <f t="shared" si="9"/>
        <v/>
      </c>
      <c r="T190" t="str">
        <f t="shared" si="10"/>
        <v/>
      </c>
    </row>
    <row r="191" spans="1:20" ht="100" customHeight="1">
      <c r="A191" s="26"/>
      <c r="B191" s="42" t="str">
        <f t="shared" si="8"/>
        <v/>
      </c>
      <c r="C191" s="43"/>
      <c r="D191" s="51" t="str" cm="1">
        <f t="array" ref="D191">IFERROR(INDEX(DB!G$2:G$2576,T191),"")</f>
        <v/>
      </c>
      <c r="E191" s="43"/>
      <c r="F191" s="52" t="str" cm="1">
        <f t="array" ref="F191">IFERROR(INDEX(DB!O$2:O$2576,T191),"")</f>
        <v/>
      </c>
      <c r="G191" s="43"/>
      <c r="H191" s="40" t="str" cm="1">
        <f t="array" ref="H191">IFERROR(INDEX(DB!P$2:P$2576,T191),"")</f>
        <v/>
      </c>
      <c r="I191" s="43"/>
      <c r="J191" s="53" t="str" cm="1">
        <f t="array" ref="J191">IFERROR(INDEX(DB!Q$2:Q$2576,T191),"")</f>
        <v/>
      </c>
      <c r="K191" s="43"/>
      <c r="L191" s="41" t="str" cm="1">
        <f t="array" ref="L191">IFERROR(INDEX(DB!R$2:R$2576,T191),"")</f>
        <v/>
      </c>
      <c r="M191" s="43"/>
      <c r="P191" t="str" cm="1">
        <f t="array" ref="P191">IFERROR(_xlfn.AGGREGATE(15,6,ROW(DB!A$2:A$2576)/((($D$3&lt;&gt;"YES")+($D$3="YES")*(DB!E$2:E$2576="YES"))*(($D$4="")+($D$4&lt;&gt;"")*( DB!B$2:B$2576=$D$4))*(($D$5="")+($D$5&lt;&gt;"")*( DB!C$2:C$2576=$D$5))*(($D$6="")+($D$6&lt;&gt;"")*( DB!D$2:D$2576=$D$6))*(($D$7="")+($D$7&lt;&gt;"")*(ISNUMBER(SEARCH($D$7,DB!G$2:G$2576))))*(($F$7="전체")+($F$7&lt;&gt;"전체")*(DB!H$2:H$2576=$F$7))),ROW()-13)-1,"")</f>
        <v/>
      </c>
      <c r="Q191" t="str" cm="1">
        <f t="array" ref="Q191">IFERROR(INDEX(DB!G$2:G$2576,P191),"")</f>
        <v/>
      </c>
      <c r="R191" t="str" cm="1">
        <f t="array" ref="R191">IFERROR(INDEX(DB!O$2:O$2576,P191),"")</f>
        <v/>
      </c>
      <c r="S191" t="str">
        <f t="shared" si="9"/>
        <v/>
      </c>
      <c r="T191" t="str">
        <f t="shared" si="10"/>
        <v/>
      </c>
    </row>
    <row r="192" spans="1:20" ht="100" customHeight="1">
      <c r="A192" s="26"/>
      <c r="B192" s="39" t="str">
        <f t="shared" si="8"/>
        <v/>
      </c>
      <c r="C192" s="43"/>
      <c r="D192" s="51" t="str" cm="1">
        <f t="array" ref="D192">IFERROR(INDEX(DB!G$2:G$2576,T192),"")</f>
        <v/>
      </c>
      <c r="E192" s="43"/>
      <c r="F192" s="52" t="str" cm="1">
        <f t="array" ref="F192">IFERROR(INDEX(DB!O$2:O$2576,T192),"")</f>
        <v/>
      </c>
      <c r="G192" s="43"/>
      <c r="H192" s="40" t="str" cm="1">
        <f t="array" ref="H192">IFERROR(INDEX(DB!P$2:P$2576,T192),"")</f>
        <v/>
      </c>
      <c r="I192" s="43"/>
      <c r="J192" s="53" t="str" cm="1">
        <f t="array" ref="J192">IFERROR(INDEX(DB!Q$2:Q$2576,T192),"")</f>
        <v/>
      </c>
      <c r="K192" s="43"/>
      <c r="L192" s="41" t="str" cm="1">
        <f t="array" ref="L192">IFERROR(INDEX(DB!R$2:R$2576,T192),"")</f>
        <v/>
      </c>
      <c r="M192" s="43"/>
      <c r="P192" t="str" cm="1">
        <f t="array" ref="P192">IFERROR(_xlfn.AGGREGATE(15,6,ROW(DB!A$2:A$2576)/((($D$3&lt;&gt;"YES")+($D$3="YES")*(DB!E$2:E$2576="YES"))*(($D$4="")+($D$4&lt;&gt;"")*( DB!B$2:B$2576=$D$4))*(($D$5="")+($D$5&lt;&gt;"")*( DB!C$2:C$2576=$D$5))*(($D$6="")+($D$6&lt;&gt;"")*( DB!D$2:D$2576=$D$6))*(($D$7="")+($D$7&lt;&gt;"")*(ISNUMBER(SEARCH($D$7,DB!G$2:G$2576))))*(($F$7="전체")+($F$7&lt;&gt;"전체")*(DB!H$2:H$2576=$F$7))),ROW()-13)-1,"")</f>
        <v/>
      </c>
      <c r="Q192" t="str" cm="1">
        <f t="array" ref="Q192">IFERROR(INDEX(DB!G$2:G$2576,P192),"")</f>
        <v/>
      </c>
      <c r="R192" t="str" cm="1">
        <f t="array" ref="R192">IFERROR(INDEX(DB!O$2:O$2576,P192),"")</f>
        <v/>
      </c>
      <c r="S192" t="str">
        <f t="shared" si="9"/>
        <v/>
      </c>
      <c r="T192" t="str">
        <f t="shared" si="10"/>
        <v/>
      </c>
    </row>
    <row r="193" spans="1:20" ht="100" customHeight="1">
      <c r="A193" s="26"/>
      <c r="B193" s="42" t="str">
        <f t="shared" si="8"/>
        <v/>
      </c>
      <c r="C193" s="43"/>
      <c r="D193" s="51" t="str" cm="1">
        <f t="array" ref="D193">IFERROR(INDEX(DB!G$2:G$2576,T193),"")</f>
        <v/>
      </c>
      <c r="E193" s="43"/>
      <c r="F193" s="52" t="str" cm="1">
        <f t="array" ref="F193">IFERROR(INDEX(DB!O$2:O$2576,T193),"")</f>
        <v/>
      </c>
      <c r="G193" s="43"/>
      <c r="H193" s="40" t="str" cm="1">
        <f t="array" ref="H193">IFERROR(INDEX(DB!P$2:P$2576,T193),"")</f>
        <v/>
      </c>
      <c r="I193" s="43"/>
      <c r="J193" s="53" t="str" cm="1">
        <f t="array" ref="J193">IFERROR(INDEX(DB!Q$2:Q$2576,T193),"")</f>
        <v/>
      </c>
      <c r="K193" s="43"/>
      <c r="L193" s="41" t="str" cm="1">
        <f t="array" ref="L193">IFERROR(INDEX(DB!R$2:R$2576,T193),"")</f>
        <v/>
      </c>
      <c r="M193" s="43"/>
      <c r="P193" t="str" cm="1">
        <f t="array" ref="P193">IFERROR(_xlfn.AGGREGATE(15,6,ROW(DB!A$2:A$2576)/((($D$3&lt;&gt;"YES")+($D$3="YES")*(DB!E$2:E$2576="YES"))*(($D$4="")+($D$4&lt;&gt;"")*( DB!B$2:B$2576=$D$4))*(($D$5="")+($D$5&lt;&gt;"")*( DB!C$2:C$2576=$D$5))*(($D$6="")+($D$6&lt;&gt;"")*( DB!D$2:D$2576=$D$6))*(($D$7="")+($D$7&lt;&gt;"")*(ISNUMBER(SEARCH($D$7,DB!G$2:G$2576))))*(($F$7="전체")+($F$7&lt;&gt;"전체")*(DB!H$2:H$2576=$F$7))),ROW()-13)-1,"")</f>
        <v/>
      </c>
      <c r="Q193" t="str" cm="1">
        <f t="array" ref="Q193">IFERROR(INDEX(DB!G$2:G$2576,P193),"")</f>
        <v/>
      </c>
      <c r="R193" t="str" cm="1">
        <f t="array" ref="R193">IFERROR(INDEX(DB!O$2:O$2576,P193),"")</f>
        <v/>
      </c>
      <c r="S193" t="str">
        <f t="shared" si="9"/>
        <v/>
      </c>
      <c r="T193" t="str">
        <f t="shared" si="10"/>
        <v/>
      </c>
    </row>
    <row r="194" spans="1:20" ht="100" customHeight="1">
      <c r="A194" s="26"/>
      <c r="B194" s="39" t="str">
        <f t="shared" si="8"/>
        <v/>
      </c>
      <c r="C194" s="43"/>
      <c r="D194" s="51" t="str" cm="1">
        <f t="array" ref="D194">IFERROR(INDEX(DB!G$2:G$2576,T194),"")</f>
        <v/>
      </c>
      <c r="E194" s="43"/>
      <c r="F194" s="52" t="str" cm="1">
        <f t="array" ref="F194">IFERROR(INDEX(DB!O$2:O$2576,T194),"")</f>
        <v/>
      </c>
      <c r="G194" s="43"/>
      <c r="H194" s="40" t="str" cm="1">
        <f t="array" ref="H194">IFERROR(INDEX(DB!P$2:P$2576,T194),"")</f>
        <v/>
      </c>
      <c r="I194" s="43"/>
      <c r="J194" s="53" t="str" cm="1">
        <f t="array" ref="J194">IFERROR(INDEX(DB!Q$2:Q$2576,T194),"")</f>
        <v/>
      </c>
      <c r="K194" s="43"/>
      <c r="L194" s="41" t="str" cm="1">
        <f t="array" ref="L194">IFERROR(INDEX(DB!R$2:R$2576,T194),"")</f>
        <v/>
      </c>
      <c r="M194" s="43"/>
      <c r="P194" t="str" cm="1">
        <f t="array" ref="P194">IFERROR(_xlfn.AGGREGATE(15,6,ROW(DB!A$2:A$2576)/((($D$3&lt;&gt;"YES")+($D$3="YES")*(DB!E$2:E$2576="YES"))*(($D$4="")+($D$4&lt;&gt;"")*( DB!B$2:B$2576=$D$4))*(($D$5="")+($D$5&lt;&gt;"")*( DB!C$2:C$2576=$D$5))*(($D$6="")+($D$6&lt;&gt;"")*( DB!D$2:D$2576=$D$6))*(($D$7="")+($D$7&lt;&gt;"")*(ISNUMBER(SEARCH($D$7,DB!G$2:G$2576))))*(($F$7="전체")+($F$7&lt;&gt;"전체")*(DB!H$2:H$2576=$F$7))),ROW()-13)-1,"")</f>
        <v/>
      </c>
      <c r="Q194" t="str" cm="1">
        <f t="array" ref="Q194">IFERROR(INDEX(DB!G$2:G$2576,P194),"")</f>
        <v/>
      </c>
      <c r="R194" t="str" cm="1">
        <f t="array" ref="R194">IFERROR(INDEX(DB!O$2:O$2576,P194),"")</f>
        <v/>
      </c>
      <c r="S194" t="str">
        <f t="shared" si="9"/>
        <v/>
      </c>
      <c r="T194" t="str">
        <f t="shared" si="10"/>
        <v/>
      </c>
    </row>
    <row r="195" spans="1:20" ht="100" customHeight="1">
      <c r="A195" s="26"/>
      <c r="B195" s="42" t="str">
        <f t="shared" si="8"/>
        <v/>
      </c>
      <c r="C195" s="43"/>
      <c r="D195" s="51" t="str" cm="1">
        <f t="array" ref="D195">IFERROR(INDEX(DB!G$2:G$2576,T195),"")</f>
        <v/>
      </c>
      <c r="E195" s="43"/>
      <c r="F195" s="52" t="str" cm="1">
        <f t="array" ref="F195">IFERROR(INDEX(DB!O$2:O$2576,T195),"")</f>
        <v/>
      </c>
      <c r="G195" s="43"/>
      <c r="H195" s="40" t="str" cm="1">
        <f t="array" ref="H195">IFERROR(INDEX(DB!P$2:P$2576,T195),"")</f>
        <v/>
      </c>
      <c r="I195" s="43"/>
      <c r="J195" s="53" t="str" cm="1">
        <f t="array" ref="J195">IFERROR(INDEX(DB!Q$2:Q$2576,T195),"")</f>
        <v/>
      </c>
      <c r="K195" s="43"/>
      <c r="L195" s="41" t="str" cm="1">
        <f t="array" ref="L195">IFERROR(INDEX(DB!R$2:R$2576,T195),"")</f>
        <v/>
      </c>
      <c r="M195" s="43"/>
      <c r="P195" t="str" cm="1">
        <f t="array" ref="P195">IFERROR(_xlfn.AGGREGATE(15,6,ROW(DB!A$2:A$2576)/((($D$3&lt;&gt;"YES")+($D$3="YES")*(DB!E$2:E$2576="YES"))*(($D$4="")+($D$4&lt;&gt;"")*( DB!B$2:B$2576=$D$4))*(($D$5="")+($D$5&lt;&gt;"")*( DB!C$2:C$2576=$D$5))*(($D$6="")+($D$6&lt;&gt;"")*( DB!D$2:D$2576=$D$6))*(($D$7="")+($D$7&lt;&gt;"")*(ISNUMBER(SEARCH($D$7,DB!G$2:G$2576))))*(($F$7="전체")+($F$7&lt;&gt;"전체")*(DB!H$2:H$2576=$F$7))),ROW()-13)-1,"")</f>
        <v/>
      </c>
      <c r="Q195" t="str" cm="1">
        <f t="array" ref="Q195">IFERROR(INDEX(DB!G$2:G$2576,P195),"")</f>
        <v/>
      </c>
      <c r="R195" t="str" cm="1">
        <f t="array" ref="R195">IFERROR(INDEX(DB!O$2:O$2576,P195),"")</f>
        <v/>
      </c>
      <c r="S195" t="str">
        <f t="shared" si="9"/>
        <v/>
      </c>
      <c r="T195" t="str">
        <f t="shared" si="10"/>
        <v/>
      </c>
    </row>
    <row r="196" spans="1:20" ht="100" customHeight="1">
      <c r="A196" s="26"/>
      <c r="B196" s="39" t="str">
        <f t="shared" si="8"/>
        <v/>
      </c>
      <c r="C196" s="43"/>
      <c r="D196" s="51" t="str" cm="1">
        <f t="array" ref="D196">IFERROR(INDEX(DB!G$2:G$2576,T196),"")</f>
        <v/>
      </c>
      <c r="E196" s="43"/>
      <c r="F196" s="52" t="str" cm="1">
        <f t="array" ref="F196">IFERROR(INDEX(DB!O$2:O$2576,T196),"")</f>
        <v/>
      </c>
      <c r="G196" s="43"/>
      <c r="H196" s="40" t="str" cm="1">
        <f t="array" ref="H196">IFERROR(INDEX(DB!P$2:P$2576,T196),"")</f>
        <v/>
      </c>
      <c r="I196" s="43"/>
      <c r="J196" s="53" t="str" cm="1">
        <f t="array" ref="J196">IFERROR(INDEX(DB!Q$2:Q$2576,T196),"")</f>
        <v/>
      </c>
      <c r="K196" s="43"/>
      <c r="L196" s="41" t="str" cm="1">
        <f t="array" ref="L196">IFERROR(INDEX(DB!R$2:R$2576,T196),"")</f>
        <v/>
      </c>
      <c r="M196" s="43"/>
      <c r="P196" t="str" cm="1">
        <f t="array" ref="P196">IFERROR(_xlfn.AGGREGATE(15,6,ROW(DB!A$2:A$2576)/((($D$3&lt;&gt;"YES")+($D$3="YES")*(DB!E$2:E$2576="YES"))*(($D$4="")+($D$4&lt;&gt;"")*( DB!B$2:B$2576=$D$4))*(($D$5="")+($D$5&lt;&gt;"")*( DB!C$2:C$2576=$D$5))*(($D$6="")+($D$6&lt;&gt;"")*( DB!D$2:D$2576=$D$6))*(($D$7="")+($D$7&lt;&gt;"")*(ISNUMBER(SEARCH($D$7,DB!G$2:G$2576))))*(($F$7="전체")+($F$7&lt;&gt;"전체")*(DB!H$2:H$2576=$F$7))),ROW()-13)-1,"")</f>
        <v/>
      </c>
      <c r="Q196" t="str" cm="1">
        <f t="array" ref="Q196">IFERROR(INDEX(DB!G$2:G$2576,P196),"")</f>
        <v/>
      </c>
      <c r="R196" t="str" cm="1">
        <f t="array" ref="R196">IFERROR(INDEX(DB!O$2:O$2576,P196),"")</f>
        <v/>
      </c>
      <c r="S196" t="str">
        <f t="shared" si="9"/>
        <v/>
      </c>
      <c r="T196" t="str">
        <f t="shared" si="10"/>
        <v/>
      </c>
    </row>
    <row r="197" spans="1:20" ht="100" customHeight="1">
      <c r="A197" s="26"/>
      <c r="B197" s="42" t="str">
        <f t="shared" si="8"/>
        <v/>
      </c>
      <c r="C197" s="43"/>
      <c r="D197" s="51" t="str" cm="1">
        <f t="array" ref="D197">IFERROR(INDEX(DB!G$2:G$2576,T197),"")</f>
        <v/>
      </c>
      <c r="E197" s="43"/>
      <c r="F197" s="52" t="str" cm="1">
        <f t="array" ref="F197">IFERROR(INDEX(DB!O$2:O$2576,T197),"")</f>
        <v/>
      </c>
      <c r="G197" s="43"/>
      <c r="H197" s="40" t="str" cm="1">
        <f t="array" ref="H197">IFERROR(INDEX(DB!P$2:P$2576,T197),"")</f>
        <v/>
      </c>
      <c r="I197" s="43"/>
      <c r="J197" s="53" t="str" cm="1">
        <f t="array" ref="J197">IFERROR(INDEX(DB!Q$2:Q$2576,T197),"")</f>
        <v/>
      </c>
      <c r="K197" s="43"/>
      <c r="L197" s="41" t="str" cm="1">
        <f t="array" ref="L197">IFERROR(INDEX(DB!R$2:R$2576,T197),"")</f>
        <v/>
      </c>
      <c r="M197" s="43"/>
      <c r="P197" t="str" cm="1">
        <f t="array" ref="P197">IFERROR(_xlfn.AGGREGATE(15,6,ROW(DB!A$2:A$2576)/((($D$3&lt;&gt;"YES")+($D$3="YES")*(DB!E$2:E$2576="YES"))*(($D$4="")+($D$4&lt;&gt;"")*( DB!B$2:B$2576=$D$4))*(($D$5="")+($D$5&lt;&gt;"")*( DB!C$2:C$2576=$D$5))*(($D$6="")+($D$6&lt;&gt;"")*( DB!D$2:D$2576=$D$6))*(($D$7="")+($D$7&lt;&gt;"")*(ISNUMBER(SEARCH($D$7,DB!G$2:G$2576))))*(($F$7="전체")+($F$7&lt;&gt;"전체")*(DB!H$2:H$2576=$F$7))),ROW()-13)-1,"")</f>
        <v/>
      </c>
      <c r="Q197" t="str" cm="1">
        <f t="array" ref="Q197">IFERROR(INDEX(DB!G$2:G$2576,P197),"")</f>
        <v/>
      </c>
      <c r="R197" t="str" cm="1">
        <f t="array" ref="R197">IFERROR(INDEX(DB!O$2:O$2576,P197),"")</f>
        <v/>
      </c>
      <c r="S197" t="str">
        <f t="shared" si="9"/>
        <v/>
      </c>
      <c r="T197" t="str">
        <f t="shared" si="10"/>
        <v/>
      </c>
    </row>
    <row r="198" spans="1:20" ht="100" customHeight="1">
      <c r="A198" s="26"/>
      <c r="B198" s="39" t="str">
        <f t="shared" si="8"/>
        <v/>
      </c>
      <c r="C198" s="43"/>
      <c r="D198" s="51" t="str" cm="1">
        <f t="array" ref="D198">IFERROR(INDEX(DB!G$2:G$2576,T198),"")</f>
        <v/>
      </c>
      <c r="E198" s="43"/>
      <c r="F198" s="52" t="str" cm="1">
        <f t="array" ref="F198">IFERROR(INDEX(DB!O$2:O$2576,T198),"")</f>
        <v/>
      </c>
      <c r="G198" s="43"/>
      <c r="H198" s="40" t="str" cm="1">
        <f t="array" ref="H198">IFERROR(INDEX(DB!P$2:P$2576,T198),"")</f>
        <v/>
      </c>
      <c r="I198" s="43"/>
      <c r="J198" s="53" t="str" cm="1">
        <f t="array" ref="J198">IFERROR(INDEX(DB!Q$2:Q$2576,T198),"")</f>
        <v/>
      </c>
      <c r="K198" s="43"/>
      <c r="L198" s="41" t="str" cm="1">
        <f t="array" ref="L198">IFERROR(INDEX(DB!R$2:R$2576,T198),"")</f>
        <v/>
      </c>
      <c r="M198" s="43"/>
      <c r="P198" t="str" cm="1">
        <f t="array" ref="P198">IFERROR(_xlfn.AGGREGATE(15,6,ROW(DB!A$2:A$2576)/((($D$3&lt;&gt;"YES")+($D$3="YES")*(DB!E$2:E$2576="YES"))*(($D$4="")+($D$4&lt;&gt;"")*( DB!B$2:B$2576=$D$4))*(($D$5="")+($D$5&lt;&gt;"")*( DB!C$2:C$2576=$D$5))*(($D$6="")+($D$6&lt;&gt;"")*( DB!D$2:D$2576=$D$6))*(($D$7="")+($D$7&lt;&gt;"")*(ISNUMBER(SEARCH($D$7,DB!G$2:G$2576))))*(($F$7="전체")+($F$7&lt;&gt;"전체")*(DB!H$2:H$2576=$F$7))),ROW()-13)-1,"")</f>
        <v/>
      </c>
      <c r="Q198" t="str" cm="1">
        <f t="array" ref="Q198">IFERROR(INDEX(DB!G$2:G$2576,P198),"")</f>
        <v/>
      </c>
      <c r="R198" t="str" cm="1">
        <f t="array" ref="R198">IFERROR(INDEX(DB!O$2:O$2576,P198),"")</f>
        <v/>
      </c>
      <c r="S198" t="str">
        <f t="shared" si="9"/>
        <v/>
      </c>
      <c r="T198" t="str">
        <f t="shared" si="10"/>
        <v/>
      </c>
    </row>
    <row r="199" spans="1:20" ht="100" customHeight="1">
      <c r="A199" s="26"/>
      <c r="B199" s="42" t="str">
        <f t="shared" si="8"/>
        <v/>
      </c>
      <c r="C199" s="43"/>
      <c r="D199" s="51" t="str" cm="1">
        <f t="array" ref="D199">IFERROR(INDEX(DB!G$2:G$2576,T199),"")</f>
        <v/>
      </c>
      <c r="E199" s="43"/>
      <c r="F199" s="52" t="str" cm="1">
        <f t="array" ref="F199">IFERROR(INDEX(DB!O$2:O$2576,T199),"")</f>
        <v/>
      </c>
      <c r="G199" s="43"/>
      <c r="H199" s="40" t="str" cm="1">
        <f t="array" ref="H199">IFERROR(INDEX(DB!P$2:P$2576,T199),"")</f>
        <v/>
      </c>
      <c r="I199" s="43"/>
      <c r="J199" s="53" t="str" cm="1">
        <f t="array" ref="J199">IFERROR(INDEX(DB!Q$2:Q$2576,T199),"")</f>
        <v/>
      </c>
      <c r="K199" s="43"/>
      <c r="L199" s="41" t="str" cm="1">
        <f t="array" ref="L199">IFERROR(INDEX(DB!R$2:R$2576,T199),"")</f>
        <v/>
      </c>
      <c r="M199" s="43"/>
      <c r="P199" t="str" cm="1">
        <f t="array" ref="P199">IFERROR(_xlfn.AGGREGATE(15,6,ROW(DB!A$2:A$2576)/((($D$3&lt;&gt;"YES")+($D$3="YES")*(DB!E$2:E$2576="YES"))*(($D$4="")+($D$4&lt;&gt;"")*( DB!B$2:B$2576=$D$4))*(($D$5="")+($D$5&lt;&gt;"")*( DB!C$2:C$2576=$D$5))*(($D$6="")+($D$6&lt;&gt;"")*( DB!D$2:D$2576=$D$6))*(($D$7="")+($D$7&lt;&gt;"")*(ISNUMBER(SEARCH($D$7,DB!G$2:G$2576))))*(($F$7="전체")+($F$7&lt;&gt;"전체")*(DB!H$2:H$2576=$F$7))),ROW()-13)-1,"")</f>
        <v/>
      </c>
      <c r="Q199" t="str" cm="1">
        <f t="array" ref="Q199">IFERROR(INDEX(DB!G$2:G$2576,P199),"")</f>
        <v/>
      </c>
      <c r="R199" t="str" cm="1">
        <f t="array" ref="R199">IFERROR(INDEX(DB!O$2:O$2576,P199),"")</f>
        <v/>
      </c>
      <c r="S199" t="str">
        <f t="shared" si="9"/>
        <v/>
      </c>
      <c r="T199" t="str">
        <f t="shared" si="10"/>
        <v/>
      </c>
    </row>
    <row r="200" spans="1:20" ht="100" customHeight="1">
      <c r="A200" s="26"/>
      <c r="B200" s="39" t="str">
        <f t="shared" si="8"/>
        <v/>
      </c>
      <c r="C200" s="43"/>
      <c r="D200" s="51" t="str" cm="1">
        <f t="array" ref="D200">IFERROR(INDEX(DB!G$2:G$2576,T200),"")</f>
        <v/>
      </c>
      <c r="E200" s="43"/>
      <c r="F200" s="52" t="str" cm="1">
        <f t="array" ref="F200">IFERROR(INDEX(DB!O$2:O$2576,T200),"")</f>
        <v/>
      </c>
      <c r="G200" s="43"/>
      <c r="H200" s="40" t="str" cm="1">
        <f t="array" ref="H200">IFERROR(INDEX(DB!P$2:P$2576,T200),"")</f>
        <v/>
      </c>
      <c r="I200" s="43"/>
      <c r="J200" s="53" t="str" cm="1">
        <f t="array" ref="J200">IFERROR(INDEX(DB!Q$2:Q$2576,T200),"")</f>
        <v/>
      </c>
      <c r="K200" s="43"/>
      <c r="L200" s="41" t="str" cm="1">
        <f t="array" ref="L200">IFERROR(INDEX(DB!R$2:R$2576,T200),"")</f>
        <v/>
      </c>
      <c r="M200" s="43"/>
      <c r="P200" t="str" cm="1">
        <f t="array" ref="P200">IFERROR(_xlfn.AGGREGATE(15,6,ROW(DB!A$2:A$2576)/((($D$3&lt;&gt;"YES")+($D$3="YES")*(DB!E$2:E$2576="YES"))*(($D$4="")+($D$4&lt;&gt;"")*( DB!B$2:B$2576=$D$4))*(($D$5="")+($D$5&lt;&gt;"")*( DB!C$2:C$2576=$D$5))*(($D$6="")+($D$6&lt;&gt;"")*( DB!D$2:D$2576=$D$6))*(($D$7="")+($D$7&lt;&gt;"")*(ISNUMBER(SEARCH($D$7,DB!G$2:G$2576))))*(($F$7="전체")+($F$7&lt;&gt;"전체")*(DB!H$2:H$2576=$F$7))),ROW()-13)-1,"")</f>
        <v/>
      </c>
      <c r="Q200" t="str" cm="1">
        <f t="array" ref="Q200">IFERROR(INDEX(DB!G$2:G$2576,P200),"")</f>
        <v/>
      </c>
      <c r="R200" t="str" cm="1">
        <f t="array" ref="R200">IFERROR(INDEX(DB!O$2:O$2576,P200),"")</f>
        <v/>
      </c>
      <c r="S200" t="str">
        <f t="shared" si="9"/>
        <v/>
      </c>
      <c r="T200" t="str">
        <f t="shared" si="10"/>
        <v/>
      </c>
    </row>
    <row r="201" spans="1:20" ht="100" customHeight="1">
      <c r="A201" s="26"/>
      <c r="B201" s="42" t="str">
        <f t="shared" si="8"/>
        <v/>
      </c>
      <c r="C201" s="43"/>
      <c r="D201" s="51" t="str" cm="1">
        <f t="array" ref="D201">IFERROR(INDEX(DB!G$2:G$2576,T201),"")</f>
        <v/>
      </c>
      <c r="E201" s="43"/>
      <c r="F201" s="52" t="str" cm="1">
        <f t="array" ref="F201">IFERROR(INDEX(DB!O$2:O$2576,T201),"")</f>
        <v/>
      </c>
      <c r="G201" s="43"/>
      <c r="H201" s="40" t="str" cm="1">
        <f t="array" ref="H201">IFERROR(INDEX(DB!P$2:P$2576,T201),"")</f>
        <v/>
      </c>
      <c r="I201" s="43"/>
      <c r="J201" s="53" t="str" cm="1">
        <f t="array" ref="J201">IFERROR(INDEX(DB!Q$2:Q$2576,T201),"")</f>
        <v/>
      </c>
      <c r="K201" s="43"/>
      <c r="L201" s="41" t="str" cm="1">
        <f t="array" ref="L201">IFERROR(INDEX(DB!R$2:R$2576,T201),"")</f>
        <v/>
      </c>
      <c r="M201" s="43"/>
      <c r="P201" t="str" cm="1">
        <f t="array" ref="P201">IFERROR(_xlfn.AGGREGATE(15,6,ROW(DB!A$2:A$2576)/((($D$3&lt;&gt;"YES")+($D$3="YES")*(DB!E$2:E$2576="YES"))*(($D$4="")+($D$4&lt;&gt;"")*( DB!B$2:B$2576=$D$4))*(($D$5="")+($D$5&lt;&gt;"")*( DB!C$2:C$2576=$D$5))*(($D$6="")+($D$6&lt;&gt;"")*( DB!D$2:D$2576=$D$6))*(($D$7="")+($D$7&lt;&gt;"")*(ISNUMBER(SEARCH($D$7,DB!G$2:G$2576))))*(($F$7="전체")+($F$7&lt;&gt;"전체")*(DB!H$2:H$2576=$F$7))),ROW()-13)-1,"")</f>
        <v/>
      </c>
      <c r="Q201" t="str" cm="1">
        <f t="array" ref="Q201">IFERROR(INDEX(DB!G$2:G$2576,P201),"")</f>
        <v/>
      </c>
      <c r="R201" t="str" cm="1">
        <f t="array" ref="R201">IFERROR(INDEX(DB!O$2:O$2576,P201),"")</f>
        <v/>
      </c>
      <c r="S201" t="str">
        <f t="shared" si="9"/>
        <v/>
      </c>
      <c r="T201" t="str">
        <f t="shared" si="10"/>
        <v/>
      </c>
    </row>
    <row r="202" spans="1:20" ht="100" customHeight="1">
      <c r="A202" s="26"/>
      <c r="B202" s="39" t="str">
        <f t="shared" si="8"/>
        <v/>
      </c>
      <c r="C202" s="43"/>
      <c r="D202" s="51" t="str" cm="1">
        <f t="array" ref="D202">IFERROR(INDEX(DB!G$2:G$2576,T202),"")</f>
        <v/>
      </c>
      <c r="E202" s="43"/>
      <c r="F202" s="52" t="str" cm="1">
        <f t="array" ref="F202">IFERROR(INDEX(DB!O$2:O$2576,T202),"")</f>
        <v/>
      </c>
      <c r="G202" s="43"/>
      <c r="H202" s="40" t="str" cm="1">
        <f t="array" ref="H202">IFERROR(INDEX(DB!P$2:P$2576,T202),"")</f>
        <v/>
      </c>
      <c r="I202" s="43"/>
      <c r="J202" s="53" t="str" cm="1">
        <f t="array" ref="J202">IFERROR(INDEX(DB!Q$2:Q$2576,T202),"")</f>
        <v/>
      </c>
      <c r="K202" s="43"/>
      <c r="L202" s="41" t="str" cm="1">
        <f t="array" ref="L202">IFERROR(INDEX(DB!R$2:R$2576,T202),"")</f>
        <v/>
      </c>
      <c r="M202" s="43"/>
      <c r="P202" t="str" cm="1">
        <f t="array" ref="P202">IFERROR(_xlfn.AGGREGATE(15,6,ROW(DB!A$2:A$2576)/((($D$3&lt;&gt;"YES")+($D$3="YES")*(DB!E$2:E$2576="YES"))*(($D$4="")+($D$4&lt;&gt;"")*( DB!B$2:B$2576=$D$4))*(($D$5="")+($D$5&lt;&gt;"")*( DB!C$2:C$2576=$D$5))*(($D$6="")+($D$6&lt;&gt;"")*( DB!D$2:D$2576=$D$6))*(($D$7="")+($D$7&lt;&gt;"")*(ISNUMBER(SEARCH($D$7,DB!G$2:G$2576))))*(($F$7="전체")+($F$7&lt;&gt;"전체")*(DB!H$2:H$2576=$F$7))),ROW()-13)-1,"")</f>
        <v/>
      </c>
      <c r="Q202" t="str" cm="1">
        <f t="array" ref="Q202">IFERROR(INDEX(DB!G$2:G$2576,P202),"")</f>
        <v/>
      </c>
      <c r="R202" t="str" cm="1">
        <f t="array" ref="R202">IFERROR(INDEX(DB!O$2:O$2576,P202),"")</f>
        <v/>
      </c>
      <c r="S202" t="str">
        <f t="shared" si="9"/>
        <v/>
      </c>
      <c r="T202" t="str">
        <f t="shared" si="10"/>
        <v/>
      </c>
    </row>
    <row r="203" spans="1:20" ht="100" customHeight="1">
      <c r="A203" s="26"/>
      <c r="B203" s="42" t="str">
        <f t="shared" si="8"/>
        <v/>
      </c>
      <c r="C203" s="43"/>
      <c r="D203" s="51" t="str" cm="1">
        <f t="array" ref="D203">IFERROR(INDEX(DB!G$2:G$2576,T203),"")</f>
        <v/>
      </c>
      <c r="E203" s="43"/>
      <c r="F203" s="52" t="str" cm="1">
        <f t="array" ref="F203">IFERROR(INDEX(DB!O$2:O$2576,T203),"")</f>
        <v/>
      </c>
      <c r="G203" s="43"/>
      <c r="H203" s="40" t="str" cm="1">
        <f t="array" ref="H203">IFERROR(INDEX(DB!P$2:P$2576,T203),"")</f>
        <v/>
      </c>
      <c r="I203" s="43"/>
      <c r="J203" s="53" t="str" cm="1">
        <f t="array" ref="J203">IFERROR(INDEX(DB!Q$2:Q$2576,T203),"")</f>
        <v/>
      </c>
      <c r="K203" s="43"/>
      <c r="L203" s="41" t="str" cm="1">
        <f t="array" ref="L203">IFERROR(INDEX(DB!R$2:R$2576,T203),"")</f>
        <v/>
      </c>
      <c r="M203" s="43"/>
      <c r="P203" t="str" cm="1">
        <f t="array" ref="P203">IFERROR(_xlfn.AGGREGATE(15,6,ROW(DB!A$2:A$2576)/((($D$3&lt;&gt;"YES")+($D$3="YES")*(DB!E$2:E$2576="YES"))*(($D$4="")+($D$4&lt;&gt;"")*( DB!B$2:B$2576=$D$4))*(($D$5="")+($D$5&lt;&gt;"")*( DB!C$2:C$2576=$D$5))*(($D$6="")+($D$6&lt;&gt;"")*( DB!D$2:D$2576=$D$6))*(($D$7="")+($D$7&lt;&gt;"")*(ISNUMBER(SEARCH($D$7,DB!G$2:G$2576))))*(($F$7="전체")+($F$7&lt;&gt;"전체")*(DB!H$2:H$2576=$F$7))),ROW()-13)-1,"")</f>
        <v/>
      </c>
      <c r="Q203" t="str" cm="1">
        <f t="array" ref="Q203">IFERROR(INDEX(DB!G$2:G$2576,P203),"")</f>
        <v/>
      </c>
      <c r="R203" t="str" cm="1">
        <f t="array" ref="R203">IFERROR(INDEX(DB!O$2:O$2576,P203),"")</f>
        <v/>
      </c>
      <c r="S203" t="str">
        <f t="shared" si="9"/>
        <v/>
      </c>
      <c r="T203" t="str">
        <f t="shared" si="10"/>
        <v/>
      </c>
    </row>
    <row r="204" spans="1:20" ht="100" customHeight="1">
      <c r="A204" s="26"/>
      <c r="B204" s="39" t="str">
        <f t="shared" si="8"/>
        <v/>
      </c>
      <c r="C204" s="43"/>
      <c r="D204" s="51" t="str" cm="1">
        <f t="array" ref="D204">IFERROR(INDEX(DB!G$2:G$2576,T204),"")</f>
        <v/>
      </c>
      <c r="E204" s="43"/>
      <c r="F204" s="52" t="str" cm="1">
        <f t="array" ref="F204">IFERROR(INDEX(DB!O$2:O$2576,T204),"")</f>
        <v/>
      </c>
      <c r="G204" s="43"/>
      <c r="H204" s="40" t="str" cm="1">
        <f t="array" ref="H204">IFERROR(INDEX(DB!P$2:P$2576,T204),"")</f>
        <v/>
      </c>
      <c r="I204" s="43"/>
      <c r="J204" s="53" t="str" cm="1">
        <f t="array" ref="J204">IFERROR(INDEX(DB!Q$2:Q$2576,T204),"")</f>
        <v/>
      </c>
      <c r="K204" s="43"/>
      <c r="L204" s="41" t="str" cm="1">
        <f t="array" ref="L204">IFERROR(INDEX(DB!R$2:R$2576,T204),"")</f>
        <v/>
      </c>
      <c r="M204" s="43"/>
      <c r="P204" t="str" cm="1">
        <f t="array" ref="P204">IFERROR(_xlfn.AGGREGATE(15,6,ROW(DB!A$2:A$2576)/((($D$3&lt;&gt;"YES")+($D$3="YES")*(DB!E$2:E$2576="YES"))*(($D$4="")+($D$4&lt;&gt;"")*( DB!B$2:B$2576=$D$4))*(($D$5="")+($D$5&lt;&gt;"")*( DB!C$2:C$2576=$D$5))*(($D$6="")+($D$6&lt;&gt;"")*( DB!D$2:D$2576=$D$6))*(($D$7="")+($D$7&lt;&gt;"")*(ISNUMBER(SEARCH($D$7,DB!G$2:G$2576))))*(($F$7="전체")+($F$7&lt;&gt;"전체")*(DB!H$2:H$2576=$F$7))),ROW()-13)-1,"")</f>
        <v/>
      </c>
      <c r="Q204" t="str" cm="1">
        <f t="array" ref="Q204">IFERROR(INDEX(DB!G$2:G$2576,P204),"")</f>
        <v/>
      </c>
      <c r="R204" t="str" cm="1">
        <f t="array" ref="R204">IFERROR(INDEX(DB!O$2:O$2576,P204),"")</f>
        <v/>
      </c>
      <c r="S204" t="str">
        <f t="shared" si="9"/>
        <v/>
      </c>
      <c r="T204" t="str">
        <f t="shared" si="10"/>
        <v/>
      </c>
    </row>
    <row r="205" spans="1:20" ht="100" customHeight="1">
      <c r="A205" s="26"/>
      <c r="B205" s="42" t="str">
        <f t="shared" si="8"/>
        <v/>
      </c>
      <c r="C205" s="43"/>
      <c r="D205" s="51" t="str" cm="1">
        <f t="array" ref="D205">IFERROR(INDEX(DB!G$2:G$2576,T205),"")</f>
        <v/>
      </c>
      <c r="E205" s="43"/>
      <c r="F205" s="52" t="str" cm="1">
        <f t="array" ref="F205">IFERROR(INDEX(DB!O$2:O$2576,T205),"")</f>
        <v/>
      </c>
      <c r="G205" s="43"/>
      <c r="H205" s="40" t="str" cm="1">
        <f t="array" ref="H205">IFERROR(INDEX(DB!P$2:P$2576,T205),"")</f>
        <v/>
      </c>
      <c r="I205" s="43"/>
      <c r="J205" s="53" t="str" cm="1">
        <f t="array" ref="J205">IFERROR(INDEX(DB!Q$2:Q$2576,T205),"")</f>
        <v/>
      </c>
      <c r="K205" s="43"/>
      <c r="L205" s="41" t="str" cm="1">
        <f t="array" ref="L205">IFERROR(INDEX(DB!R$2:R$2576,T205),"")</f>
        <v/>
      </c>
      <c r="M205" s="43"/>
      <c r="P205" t="str" cm="1">
        <f t="array" ref="P205">IFERROR(_xlfn.AGGREGATE(15,6,ROW(DB!A$2:A$2576)/((($D$3&lt;&gt;"YES")+($D$3="YES")*(DB!E$2:E$2576="YES"))*(($D$4="")+($D$4&lt;&gt;"")*( DB!B$2:B$2576=$D$4))*(($D$5="")+($D$5&lt;&gt;"")*( DB!C$2:C$2576=$D$5))*(($D$6="")+($D$6&lt;&gt;"")*( DB!D$2:D$2576=$D$6))*(($D$7="")+($D$7&lt;&gt;"")*(ISNUMBER(SEARCH($D$7,DB!G$2:G$2576))))*(($F$7="전체")+($F$7&lt;&gt;"전체")*(DB!H$2:H$2576=$F$7))),ROW()-13)-1,"")</f>
        <v/>
      </c>
      <c r="Q205" t="str" cm="1">
        <f t="array" ref="Q205">IFERROR(INDEX(DB!G$2:G$2576,P205),"")</f>
        <v/>
      </c>
      <c r="R205" t="str" cm="1">
        <f t="array" ref="R205">IFERROR(INDEX(DB!O$2:O$2576,P205),"")</f>
        <v/>
      </c>
      <c r="S205" t="str">
        <f t="shared" si="9"/>
        <v/>
      </c>
      <c r="T205" t="str">
        <f t="shared" si="10"/>
        <v/>
      </c>
    </row>
    <row r="206" spans="1:20" ht="100" customHeight="1">
      <c r="A206" s="26"/>
      <c r="B206" s="39" t="str">
        <f t="shared" si="8"/>
        <v/>
      </c>
      <c r="C206" s="43"/>
      <c r="D206" s="51" t="str" cm="1">
        <f t="array" ref="D206">IFERROR(INDEX(DB!G$2:G$2576,T206),"")</f>
        <v/>
      </c>
      <c r="E206" s="43"/>
      <c r="F206" s="52" t="str" cm="1">
        <f t="array" ref="F206">IFERROR(INDEX(DB!O$2:O$2576,T206),"")</f>
        <v/>
      </c>
      <c r="G206" s="43"/>
      <c r="H206" s="40" t="str" cm="1">
        <f t="array" ref="H206">IFERROR(INDEX(DB!P$2:P$2576,T206),"")</f>
        <v/>
      </c>
      <c r="I206" s="43"/>
      <c r="J206" s="53" t="str" cm="1">
        <f t="array" ref="J206">IFERROR(INDEX(DB!Q$2:Q$2576,T206),"")</f>
        <v/>
      </c>
      <c r="K206" s="43"/>
      <c r="L206" s="41" t="str" cm="1">
        <f t="array" ref="L206">IFERROR(INDEX(DB!R$2:R$2576,T206),"")</f>
        <v/>
      </c>
      <c r="M206" s="43"/>
      <c r="P206" t="str" cm="1">
        <f t="array" ref="P206">IFERROR(_xlfn.AGGREGATE(15,6,ROW(DB!A$2:A$2576)/((($D$3&lt;&gt;"YES")+($D$3="YES")*(DB!E$2:E$2576="YES"))*(($D$4="")+($D$4&lt;&gt;"")*( DB!B$2:B$2576=$D$4))*(($D$5="")+($D$5&lt;&gt;"")*( DB!C$2:C$2576=$D$5))*(($D$6="")+($D$6&lt;&gt;"")*( DB!D$2:D$2576=$D$6))*(($D$7="")+($D$7&lt;&gt;"")*(ISNUMBER(SEARCH($D$7,DB!G$2:G$2576))))*(($F$7="전체")+($F$7&lt;&gt;"전체")*(DB!H$2:H$2576=$F$7))),ROW()-13)-1,"")</f>
        <v/>
      </c>
      <c r="Q206" t="str" cm="1">
        <f t="array" ref="Q206">IFERROR(INDEX(DB!G$2:G$2576,P206),"")</f>
        <v/>
      </c>
      <c r="R206" t="str" cm="1">
        <f t="array" ref="R206">IFERROR(INDEX(DB!O$2:O$2576,P206),"")</f>
        <v/>
      </c>
      <c r="S206" t="str">
        <f t="shared" si="9"/>
        <v/>
      </c>
      <c r="T206" t="str">
        <f t="shared" si="10"/>
        <v/>
      </c>
    </row>
    <row r="207" spans="1:20" ht="100" customHeight="1">
      <c r="A207" s="26"/>
      <c r="B207" s="42" t="str">
        <f t="shared" ref="B207:B270" si="11">IFERROR(IF(T207="","",ROW()-13),"")</f>
        <v/>
      </c>
      <c r="C207" s="43"/>
      <c r="D207" s="51" t="str" cm="1">
        <f t="array" ref="D207">IFERROR(INDEX(DB!G$2:G$2576,T207),"")</f>
        <v/>
      </c>
      <c r="E207" s="43"/>
      <c r="F207" s="52" t="str" cm="1">
        <f t="array" ref="F207">IFERROR(INDEX(DB!O$2:O$2576,T207),"")</f>
        <v/>
      </c>
      <c r="G207" s="43"/>
      <c r="H207" s="40" t="str" cm="1">
        <f t="array" ref="H207">IFERROR(INDEX(DB!P$2:P$2576,T207),"")</f>
        <v/>
      </c>
      <c r="I207" s="43"/>
      <c r="J207" s="53" t="str" cm="1">
        <f t="array" ref="J207">IFERROR(INDEX(DB!Q$2:Q$2576,T207),"")</f>
        <v/>
      </c>
      <c r="K207" s="43"/>
      <c r="L207" s="41" t="str" cm="1">
        <f t="array" ref="L207">IFERROR(INDEX(DB!R$2:R$2576,T207),"")</f>
        <v/>
      </c>
      <c r="M207" s="43"/>
      <c r="P207" t="str" cm="1">
        <f t="array" ref="P207">IFERROR(_xlfn.AGGREGATE(15,6,ROW(DB!A$2:A$2576)/((($D$3&lt;&gt;"YES")+($D$3="YES")*(DB!E$2:E$2576="YES"))*(($D$4="")+($D$4&lt;&gt;"")*( DB!B$2:B$2576=$D$4))*(($D$5="")+($D$5&lt;&gt;"")*( DB!C$2:C$2576=$D$5))*(($D$6="")+($D$6&lt;&gt;"")*( DB!D$2:D$2576=$D$6))*(($D$7="")+($D$7&lt;&gt;"")*(ISNUMBER(SEARCH($D$7,DB!G$2:G$2576))))*(($F$7="전체")+($F$7&lt;&gt;"전체")*(DB!H$2:H$2576=$F$7))),ROW()-13)-1,"")</f>
        <v/>
      </c>
      <c r="Q207" t="str" cm="1">
        <f t="array" ref="Q207">IFERROR(INDEX(DB!G$2:G$2576,P207),"")</f>
        <v/>
      </c>
      <c r="R207" t="str" cm="1">
        <f t="array" ref="R207">IFERROR(INDEX(DB!O$2:O$2576,P207),"")</f>
        <v/>
      </c>
      <c r="S207" t="str">
        <f t="shared" ref="S207:S270" si="12">IF(P207="","",COUNTIF($Q$14:$Q$2587,"&lt;"&amp;Q207)*100+COUNTIF($R$14:$R$2587,"&lt;"&amp;R207)+(ROW()-13)*0.001)</f>
        <v/>
      </c>
      <c r="T207" t="str">
        <f t="shared" ref="T207:T270" si="13">IFERROR(INDEX($P$14:$P$2587,MATCH(SMALL($S$14:$S$2587,ROW()-13),$S$14:$S$2587,0)),"")</f>
        <v/>
      </c>
    </row>
    <row r="208" spans="1:20" ht="100" customHeight="1">
      <c r="A208" s="26"/>
      <c r="B208" s="39" t="str">
        <f t="shared" si="11"/>
        <v/>
      </c>
      <c r="C208" s="43"/>
      <c r="D208" s="51" t="str" cm="1">
        <f t="array" ref="D208">IFERROR(INDEX(DB!G$2:G$2576,T208),"")</f>
        <v/>
      </c>
      <c r="E208" s="43"/>
      <c r="F208" s="52" t="str" cm="1">
        <f t="array" ref="F208">IFERROR(INDEX(DB!O$2:O$2576,T208),"")</f>
        <v/>
      </c>
      <c r="G208" s="43"/>
      <c r="H208" s="40" t="str" cm="1">
        <f t="array" ref="H208">IFERROR(INDEX(DB!P$2:P$2576,T208),"")</f>
        <v/>
      </c>
      <c r="I208" s="43"/>
      <c r="J208" s="53" t="str" cm="1">
        <f t="array" ref="J208">IFERROR(INDEX(DB!Q$2:Q$2576,T208),"")</f>
        <v/>
      </c>
      <c r="K208" s="43"/>
      <c r="L208" s="41" t="str" cm="1">
        <f t="array" ref="L208">IFERROR(INDEX(DB!R$2:R$2576,T208),"")</f>
        <v/>
      </c>
      <c r="M208" s="43"/>
      <c r="P208" t="str" cm="1">
        <f t="array" ref="P208">IFERROR(_xlfn.AGGREGATE(15,6,ROW(DB!A$2:A$2576)/((($D$3&lt;&gt;"YES")+($D$3="YES")*(DB!E$2:E$2576="YES"))*(($D$4="")+($D$4&lt;&gt;"")*( DB!B$2:B$2576=$D$4))*(($D$5="")+($D$5&lt;&gt;"")*( DB!C$2:C$2576=$D$5))*(($D$6="")+($D$6&lt;&gt;"")*( DB!D$2:D$2576=$D$6))*(($D$7="")+($D$7&lt;&gt;"")*(ISNUMBER(SEARCH($D$7,DB!G$2:G$2576))))*(($F$7="전체")+($F$7&lt;&gt;"전체")*(DB!H$2:H$2576=$F$7))),ROW()-13)-1,"")</f>
        <v/>
      </c>
      <c r="Q208" t="str" cm="1">
        <f t="array" ref="Q208">IFERROR(INDEX(DB!G$2:G$2576,P208),"")</f>
        <v/>
      </c>
      <c r="R208" t="str" cm="1">
        <f t="array" ref="R208">IFERROR(INDEX(DB!O$2:O$2576,P208),"")</f>
        <v/>
      </c>
      <c r="S208" t="str">
        <f t="shared" si="12"/>
        <v/>
      </c>
      <c r="T208" t="str">
        <f t="shared" si="13"/>
        <v/>
      </c>
    </row>
    <row r="209" spans="1:20" ht="100" customHeight="1">
      <c r="A209" s="26"/>
      <c r="B209" s="42" t="str">
        <f t="shared" si="11"/>
        <v/>
      </c>
      <c r="C209" s="43"/>
      <c r="D209" s="51" t="str" cm="1">
        <f t="array" ref="D209">IFERROR(INDEX(DB!G$2:G$2576,T209),"")</f>
        <v/>
      </c>
      <c r="E209" s="43"/>
      <c r="F209" s="52" t="str" cm="1">
        <f t="array" ref="F209">IFERROR(INDEX(DB!O$2:O$2576,T209),"")</f>
        <v/>
      </c>
      <c r="G209" s="43"/>
      <c r="H209" s="40" t="str" cm="1">
        <f t="array" ref="H209">IFERROR(INDEX(DB!P$2:P$2576,T209),"")</f>
        <v/>
      </c>
      <c r="I209" s="43"/>
      <c r="J209" s="53" t="str" cm="1">
        <f t="array" ref="J209">IFERROR(INDEX(DB!Q$2:Q$2576,T209),"")</f>
        <v/>
      </c>
      <c r="K209" s="43"/>
      <c r="L209" s="41" t="str" cm="1">
        <f t="array" ref="L209">IFERROR(INDEX(DB!R$2:R$2576,T209),"")</f>
        <v/>
      </c>
      <c r="M209" s="43"/>
      <c r="P209" t="str" cm="1">
        <f t="array" ref="P209">IFERROR(_xlfn.AGGREGATE(15,6,ROW(DB!A$2:A$2576)/((($D$3&lt;&gt;"YES")+($D$3="YES")*(DB!E$2:E$2576="YES"))*(($D$4="")+($D$4&lt;&gt;"")*( DB!B$2:B$2576=$D$4))*(($D$5="")+($D$5&lt;&gt;"")*( DB!C$2:C$2576=$D$5))*(($D$6="")+($D$6&lt;&gt;"")*( DB!D$2:D$2576=$D$6))*(($D$7="")+($D$7&lt;&gt;"")*(ISNUMBER(SEARCH($D$7,DB!G$2:G$2576))))*(($F$7="전체")+($F$7&lt;&gt;"전체")*(DB!H$2:H$2576=$F$7))),ROW()-13)-1,"")</f>
        <v/>
      </c>
      <c r="Q209" t="str" cm="1">
        <f t="array" ref="Q209">IFERROR(INDEX(DB!G$2:G$2576,P209),"")</f>
        <v/>
      </c>
      <c r="R209" t="str" cm="1">
        <f t="array" ref="R209">IFERROR(INDEX(DB!O$2:O$2576,P209),"")</f>
        <v/>
      </c>
      <c r="S209" t="str">
        <f t="shared" si="12"/>
        <v/>
      </c>
      <c r="T209" t="str">
        <f t="shared" si="13"/>
        <v/>
      </c>
    </row>
    <row r="210" spans="1:20" ht="100" customHeight="1">
      <c r="A210" s="26"/>
      <c r="B210" s="39" t="str">
        <f t="shared" si="11"/>
        <v/>
      </c>
      <c r="C210" s="43"/>
      <c r="D210" s="51" t="str" cm="1">
        <f t="array" ref="D210">IFERROR(INDEX(DB!G$2:G$2576,T210),"")</f>
        <v/>
      </c>
      <c r="E210" s="43"/>
      <c r="F210" s="52" t="str" cm="1">
        <f t="array" ref="F210">IFERROR(INDEX(DB!O$2:O$2576,T210),"")</f>
        <v/>
      </c>
      <c r="G210" s="43"/>
      <c r="H210" s="40" t="str" cm="1">
        <f t="array" ref="H210">IFERROR(INDEX(DB!P$2:P$2576,T210),"")</f>
        <v/>
      </c>
      <c r="I210" s="43"/>
      <c r="J210" s="53" t="str" cm="1">
        <f t="array" ref="J210">IFERROR(INDEX(DB!Q$2:Q$2576,T210),"")</f>
        <v/>
      </c>
      <c r="K210" s="43"/>
      <c r="L210" s="41" t="str" cm="1">
        <f t="array" ref="L210">IFERROR(INDEX(DB!R$2:R$2576,T210),"")</f>
        <v/>
      </c>
      <c r="M210" s="43"/>
      <c r="P210" t="str" cm="1">
        <f t="array" ref="P210">IFERROR(_xlfn.AGGREGATE(15,6,ROW(DB!A$2:A$2576)/((($D$3&lt;&gt;"YES")+($D$3="YES")*(DB!E$2:E$2576="YES"))*(($D$4="")+($D$4&lt;&gt;"")*( DB!B$2:B$2576=$D$4))*(($D$5="")+($D$5&lt;&gt;"")*( DB!C$2:C$2576=$D$5))*(($D$6="")+($D$6&lt;&gt;"")*( DB!D$2:D$2576=$D$6))*(($D$7="")+($D$7&lt;&gt;"")*(ISNUMBER(SEARCH($D$7,DB!G$2:G$2576))))*(($F$7="전체")+($F$7&lt;&gt;"전체")*(DB!H$2:H$2576=$F$7))),ROW()-13)-1,"")</f>
        <v/>
      </c>
      <c r="Q210" t="str" cm="1">
        <f t="array" ref="Q210">IFERROR(INDEX(DB!G$2:G$2576,P210),"")</f>
        <v/>
      </c>
      <c r="R210" t="str" cm="1">
        <f t="array" ref="R210">IFERROR(INDEX(DB!O$2:O$2576,P210),"")</f>
        <v/>
      </c>
      <c r="S210" t="str">
        <f t="shared" si="12"/>
        <v/>
      </c>
      <c r="T210" t="str">
        <f t="shared" si="13"/>
        <v/>
      </c>
    </row>
    <row r="211" spans="1:20" ht="100" customHeight="1">
      <c r="A211" s="26"/>
      <c r="B211" s="42" t="str">
        <f t="shared" si="11"/>
        <v/>
      </c>
      <c r="C211" s="43"/>
      <c r="D211" s="51" t="str" cm="1">
        <f t="array" ref="D211">IFERROR(INDEX(DB!G$2:G$2576,T211),"")</f>
        <v/>
      </c>
      <c r="E211" s="43"/>
      <c r="F211" s="52" t="str" cm="1">
        <f t="array" ref="F211">IFERROR(INDEX(DB!O$2:O$2576,T211),"")</f>
        <v/>
      </c>
      <c r="G211" s="43"/>
      <c r="H211" s="40" t="str" cm="1">
        <f t="array" ref="H211">IFERROR(INDEX(DB!P$2:P$2576,T211),"")</f>
        <v/>
      </c>
      <c r="I211" s="43"/>
      <c r="J211" s="53" t="str" cm="1">
        <f t="array" ref="J211">IFERROR(INDEX(DB!Q$2:Q$2576,T211),"")</f>
        <v/>
      </c>
      <c r="K211" s="43"/>
      <c r="L211" s="41" t="str" cm="1">
        <f t="array" ref="L211">IFERROR(INDEX(DB!R$2:R$2576,T211),"")</f>
        <v/>
      </c>
      <c r="M211" s="43"/>
      <c r="P211" t="str" cm="1">
        <f t="array" ref="P211">IFERROR(_xlfn.AGGREGATE(15,6,ROW(DB!A$2:A$2576)/((($D$3&lt;&gt;"YES")+($D$3="YES")*(DB!E$2:E$2576="YES"))*(($D$4="")+($D$4&lt;&gt;"")*( DB!B$2:B$2576=$D$4))*(($D$5="")+($D$5&lt;&gt;"")*( DB!C$2:C$2576=$D$5))*(($D$6="")+($D$6&lt;&gt;"")*( DB!D$2:D$2576=$D$6))*(($D$7="")+($D$7&lt;&gt;"")*(ISNUMBER(SEARCH($D$7,DB!G$2:G$2576))))*(($F$7="전체")+($F$7&lt;&gt;"전체")*(DB!H$2:H$2576=$F$7))),ROW()-13)-1,"")</f>
        <v/>
      </c>
      <c r="Q211" t="str" cm="1">
        <f t="array" ref="Q211">IFERROR(INDEX(DB!G$2:G$2576,P211),"")</f>
        <v/>
      </c>
      <c r="R211" t="str" cm="1">
        <f t="array" ref="R211">IFERROR(INDEX(DB!O$2:O$2576,P211),"")</f>
        <v/>
      </c>
      <c r="S211" t="str">
        <f t="shared" si="12"/>
        <v/>
      </c>
      <c r="T211" t="str">
        <f t="shared" si="13"/>
        <v/>
      </c>
    </row>
    <row r="212" spans="1:20" ht="100" customHeight="1">
      <c r="A212" s="26"/>
      <c r="B212" s="39" t="str">
        <f t="shared" si="11"/>
        <v/>
      </c>
      <c r="C212" s="43"/>
      <c r="D212" s="51" t="str" cm="1">
        <f t="array" ref="D212">IFERROR(INDEX(DB!G$2:G$2576,T212),"")</f>
        <v/>
      </c>
      <c r="E212" s="43"/>
      <c r="F212" s="52" t="str" cm="1">
        <f t="array" ref="F212">IFERROR(INDEX(DB!O$2:O$2576,T212),"")</f>
        <v/>
      </c>
      <c r="G212" s="43"/>
      <c r="H212" s="40" t="str" cm="1">
        <f t="array" ref="H212">IFERROR(INDEX(DB!P$2:P$2576,T212),"")</f>
        <v/>
      </c>
      <c r="I212" s="43"/>
      <c r="J212" s="53" t="str" cm="1">
        <f t="array" ref="J212">IFERROR(INDEX(DB!Q$2:Q$2576,T212),"")</f>
        <v/>
      </c>
      <c r="K212" s="43"/>
      <c r="L212" s="41" t="str" cm="1">
        <f t="array" ref="L212">IFERROR(INDEX(DB!R$2:R$2576,T212),"")</f>
        <v/>
      </c>
      <c r="M212" s="43"/>
      <c r="P212" t="str" cm="1">
        <f t="array" ref="P212">IFERROR(_xlfn.AGGREGATE(15,6,ROW(DB!A$2:A$2576)/((($D$3&lt;&gt;"YES")+($D$3="YES")*(DB!E$2:E$2576="YES"))*(($D$4="")+($D$4&lt;&gt;"")*( DB!B$2:B$2576=$D$4))*(($D$5="")+($D$5&lt;&gt;"")*( DB!C$2:C$2576=$D$5))*(($D$6="")+($D$6&lt;&gt;"")*( DB!D$2:D$2576=$D$6))*(($D$7="")+($D$7&lt;&gt;"")*(ISNUMBER(SEARCH($D$7,DB!G$2:G$2576))))*(($F$7="전체")+($F$7&lt;&gt;"전체")*(DB!H$2:H$2576=$F$7))),ROW()-13)-1,"")</f>
        <v/>
      </c>
      <c r="Q212" t="str" cm="1">
        <f t="array" ref="Q212">IFERROR(INDEX(DB!G$2:G$2576,P212),"")</f>
        <v/>
      </c>
      <c r="R212" t="str" cm="1">
        <f t="array" ref="R212">IFERROR(INDEX(DB!O$2:O$2576,P212),"")</f>
        <v/>
      </c>
      <c r="S212" t="str">
        <f t="shared" si="12"/>
        <v/>
      </c>
      <c r="T212" t="str">
        <f t="shared" si="13"/>
        <v/>
      </c>
    </row>
    <row r="213" spans="1:20" ht="100" customHeight="1">
      <c r="A213" s="26"/>
      <c r="B213" s="42" t="str">
        <f t="shared" si="11"/>
        <v/>
      </c>
      <c r="C213" s="43"/>
      <c r="D213" s="51" t="str" cm="1">
        <f t="array" ref="D213">IFERROR(INDEX(DB!G$2:G$2576,T213),"")</f>
        <v/>
      </c>
      <c r="E213" s="43"/>
      <c r="F213" s="52" t="str" cm="1">
        <f t="array" ref="F213">IFERROR(INDEX(DB!O$2:O$2576,T213),"")</f>
        <v/>
      </c>
      <c r="G213" s="43"/>
      <c r="H213" s="40" t="str" cm="1">
        <f t="array" ref="H213">IFERROR(INDEX(DB!P$2:P$2576,T213),"")</f>
        <v/>
      </c>
      <c r="I213" s="43"/>
      <c r="J213" s="53" t="str" cm="1">
        <f t="array" ref="J213">IFERROR(INDEX(DB!Q$2:Q$2576,T213),"")</f>
        <v/>
      </c>
      <c r="K213" s="43"/>
      <c r="L213" s="41" t="str" cm="1">
        <f t="array" ref="L213">IFERROR(INDEX(DB!R$2:R$2576,T213),"")</f>
        <v/>
      </c>
      <c r="M213" s="43"/>
      <c r="P213" t="str" cm="1">
        <f t="array" ref="P213">IFERROR(_xlfn.AGGREGATE(15,6,ROW(DB!A$2:A$2576)/((($D$3&lt;&gt;"YES")+($D$3="YES")*(DB!E$2:E$2576="YES"))*(($D$4="")+($D$4&lt;&gt;"")*( DB!B$2:B$2576=$D$4))*(($D$5="")+($D$5&lt;&gt;"")*( DB!C$2:C$2576=$D$5))*(($D$6="")+($D$6&lt;&gt;"")*( DB!D$2:D$2576=$D$6))*(($D$7="")+($D$7&lt;&gt;"")*(ISNUMBER(SEARCH($D$7,DB!G$2:G$2576))))*(($F$7="전체")+($F$7&lt;&gt;"전체")*(DB!H$2:H$2576=$F$7))),ROW()-13)-1,"")</f>
        <v/>
      </c>
      <c r="Q213" t="str" cm="1">
        <f t="array" ref="Q213">IFERROR(INDEX(DB!G$2:G$2576,P213),"")</f>
        <v/>
      </c>
      <c r="R213" t="str" cm="1">
        <f t="array" ref="R213">IFERROR(INDEX(DB!O$2:O$2576,P213),"")</f>
        <v/>
      </c>
      <c r="S213" t="str">
        <f t="shared" si="12"/>
        <v/>
      </c>
      <c r="T213" t="str">
        <f t="shared" si="13"/>
        <v/>
      </c>
    </row>
    <row r="214" spans="1:20" ht="100" customHeight="1">
      <c r="A214" s="26"/>
      <c r="B214" s="39" t="str">
        <f t="shared" si="11"/>
        <v/>
      </c>
      <c r="C214" s="43"/>
      <c r="D214" s="51" t="str" cm="1">
        <f t="array" ref="D214">IFERROR(INDEX(DB!G$2:G$2576,T214),"")</f>
        <v/>
      </c>
      <c r="E214" s="43"/>
      <c r="F214" s="52" t="str" cm="1">
        <f t="array" ref="F214">IFERROR(INDEX(DB!O$2:O$2576,T214),"")</f>
        <v/>
      </c>
      <c r="G214" s="43"/>
      <c r="H214" s="40" t="str" cm="1">
        <f t="array" ref="H214">IFERROR(INDEX(DB!P$2:P$2576,T214),"")</f>
        <v/>
      </c>
      <c r="I214" s="43"/>
      <c r="J214" s="53" t="str" cm="1">
        <f t="array" ref="J214">IFERROR(INDEX(DB!Q$2:Q$2576,T214),"")</f>
        <v/>
      </c>
      <c r="K214" s="43"/>
      <c r="L214" s="41" t="str" cm="1">
        <f t="array" ref="L214">IFERROR(INDEX(DB!R$2:R$2576,T214),"")</f>
        <v/>
      </c>
      <c r="M214" s="43"/>
      <c r="P214" t="str" cm="1">
        <f t="array" ref="P214">IFERROR(_xlfn.AGGREGATE(15,6,ROW(DB!A$2:A$2576)/((($D$3&lt;&gt;"YES")+($D$3="YES")*(DB!E$2:E$2576="YES"))*(($D$4="")+($D$4&lt;&gt;"")*( DB!B$2:B$2576=$D$4))*(($D$5="")+($D$5&lt;&gt;"")*( DB!C$2:C$2576=$D$5))*(($D$6="")+($D$6&lt;&gt;"")*( DB!D$2:D$2576=$D$6))*(($D$7="")+($D$7&lt;&gt;"")*(ISNUMBER(SEARCH($D$7,DB!G$2:G$2576))))*(($F$7="전체")+($F$7&lt;&gt;"전체")*(DB!H$2:H$2576=$F$7))),ROW()-13)-1,"")</f>
        <v/>
      </c>
      <c r="Q214" t="str" cm="1">
        <f t="array" ref="Q214">IFERROR(INDEX(DB!G$2:G$2576,P214),"")</f>
        <v/>
      </c>
      <c r="R214" t="str" cm="1">
        <f t="array" ref="R214">IFERROR(INDEX(DB!O$2:O$2576,P214),"")</f>
        <v/>
      </c>
      <c r="S214" t="str">
        <f t="shared" si="12"/>
        <v/>
      </c>
      <c r="T214" t="str">
        <f t="shared" si="13"/>
        <v/>
      </c>
    </row>
    <row r="215" spans="1:20" ht="100" customHeight="1">
      <c r="A215" s="26"/>
      <c r="B215" s="42" t="str">
        <f t="shared" si="11"/>
        <v/>
      </c>
      <c r="C215" s="43"/>
      <c r="D215" s="51" t="str" cm="1">
        <f t="array" ref="D215">IFERROR(INDEX(DB!G$2:G$2576,T215),"")</f>
        <v/>
      </c>
      <c r="E215" s="43"/>
      <c r="F215" s="52" t="str" cm="1">
        <f t="array" ref="F215">IFERROR(INDEX(DB!O$2:O$2576,T215),"")</f>
        <v/>
      </c>
      <c r="G215" s="43"/>
      <c r="H215" s="40" t="str" cm="1">
        <f t="array" ref="H215">IFERROR(INDEX(DB!P$2:P$2576,T215),"")</f>
        <v/>
      </c>
      <c r="I215" s="43"/>
      <c r="J215" s="53" t="str" cm="1">
        <f t="array" ref="J215">IFERROR(INDEX(DB!Q$2:Q$2576,T215),"")</f>
        <v/>
      </c>
      <c r="K215" s="43"/>
      <c r="L215" s="41" t="str" cm="1">
        <f t="array" ref="L215">IFERROR(INDEX(DB!R$2:R$2576,T215),"")</f>
        <v/>
      </c>
      <c r="M215" s="43"/>
      <c r="P215" t="str" cm="1">
        <f t="array" ref="P215">IFERROR(_xlfn.AGGREGATE(15,6,ROW(DB!A$2:A$2576)/((($D$3&lt;&gt;"YES")+($D$3="YES")*(DB!E$2:E$2576="YES"))*(($D$4="")+($D$4&lt;&gt;"")*( DB!B$2:B$2576=$D$4))*(($D$5="")+($D$5&lt;&gt;"")*( DB!C$2:C$2576=$D$5))*(($D$6="")+($D$6&lt;&gt;"")*( DB!D$2:D$2576=$D$6))*(($D$7="")+($D$7&lt;&gt;"")*(ISNUMBER(SEARCH($D$7,DB!G$2:G$2576))))*(($F$7="전체")+($F$7&lt;&gt;"전체")*(DB!H$2:H$2576=$F$7))),ROW()-13)-1,"")</f>
        <v/>
      </c>
      <c r="Q215" t="str" cm="1">
        <f t="array" ref="Q215">IFERROR(INDEX(DB!G$2:G$2576,P215),"")</f>
        <v/>
      </c>
      <c r="R215" t="str" cm="1">
        <f t="array" ref="R215">IFERROR(INDEX(DB!O$2:O$2576,P215),"")</f>
        <v/>
      </c>
      <c r="S215" t="str">
        <f t="shared" si="12"/>
        <v/>
      </c>
      <c r="T215" t="str">
        <f t="shared" si="13"/>
        <v/>
      </c>
    </row>
    <row r="216" spans="1:20" ht="100" customHeight="1">
      <c r="A216" s="26"/>
      <c r="B216" s="39" t="str">
        <f t="shared" si="11"/>
        <v/>
      </c>
      <c r="C216" s="43"/>
      <c r="D216" s="51" t="str" cm="1">
        <f t="array" ref="D216">IFERROR(INDEX(DB!G$2:G$2576,T216),"")</f>
        <v/>
      </c>
      <c r="E216" s="43"/>
      <c r="F216" s="52" t="str" cm="1">
        <f t="array" ref="F216">IFERROR(INDEX(DB!O$2:O$2576,T216),"")</f>
        <v/>
      </c>
      <c r="G216" s="43"/>
      <c r="H216" s="40" t="str" cm="1">
        <f t="array" ref="H216">IFERROR(INDEX(DB!P$2:P$2576,T216),"")</f>
        <v/>
      </c>
      <c r="I216" s="43"/>
      <c r="J216" s="53" t="str" cm="1">
        <f t="array" ref="J216">IFERROR(INDEX(DB!Q$2:Q$2576,T216),"")</f>
        <v/>
      </c>
      <c r="K216" s="43"/>
      <c r="L216" s="41" t="str" cm="1">
        <f t="array" ref="L216">IFERROR(INDEX(DB!R$2:R$2576,T216),"")</f>
        <v/>
      </c>
      <c r="M216" s="43"/>
      <c r="P216" t="str" cm="1">
        <f t="array" ref="P216">IFERROR(_xlfn.AGGREGATE(15,6,ROW(DB!A$2:A$2576)/((($D$3&lt;&gt;"YES")+($D$3="YES")*(DB!E$2:E$2576="YES"))*(($D$4="")+($D$4&lt;&gt;"")*( DB!B$2:B$2576=$D$4))*(($D$5="")+($D$5&lt;&gt;"")*( DB!C$2:C$2576=$D$5))*(($D$6="")+($D$6&lt;&gt;"")*( DB!D$2:D$2576=$D$6))*(($D$7="")+($D$7&lt;&gt;"")*(ISNUMBER(SEARCH($D$7,DB!G$2:G$2576))))*(($F$7="전체")+($F$7&lt;&gt;"전체")*(DB!H$2:H$2576=$F$7))),ROW()-13)-1,"")</f>
        <v/>
      </c>
      <c r="Q216" t="str" cm="1">
        <f t="array" ref="Q216">IFERROR(INDEX(DB!G$2:G$2576,P216),"")</f>
        <v/>
      </c>
      <c r="R216" t="str" cm="1">
        <f t="array" ref="R216">IFERROR(INDEX(DB!O$2:O$2576,P216),"")</f>
        <v/>
      </c>
      <c r="S216" t="str">
        <f t="shared" si="12"/>
        <v/>
      </c>
      <c r="T216" t="str">
        <f t="shared" si="13"/>
        <v/>
      </c>
    </row>
    <row r="217" spans="1:20" ht="100" customHeight="1">
      <c r="A217" s="26"/>
      <c r="B217" s="42" t="str">
        <f t="shared" si="11"/>
        <v/>
      </c>
      <c r="C217" s="43"/>
      <c r="D217" s="51" t="str" cm="1">
        <f t="array" ref="D217">IFERROR(INDEX(DB!G$2:G$2576,T217),"")</f>
        <v/>
      </c>
      <c r="E217" s="43"/>
      <c r="F217" s="52" t="str" cm="1">
        <f t="array" ref="F217">IFERROR(INDEX(DB!O$2:O$2576,T217),"")</f>
        <v/>
      </c>
      <c r="G217" s="43"/>
      <c r="H217" s="40" t="str" cm="1">
        <f t="array" ref="H217">IFERROR(INDEX(DB!P$2:P$2576,T217),"")</f>
        <v/>
      </c>
      <c r="I217" s="43"/>
      <c r="J217" s="53" t="str" cm="1">
        <f t="array" ref="J217">IFERROR(INDEX(DB!Q$2:Q$2576,T217),"")</f>
        <v/>
      </c>
      <c r="K217" s="43"/>
      <c r="L217" s="41" t="str" cm="1">
        <f t="array" ref="L217">IFERROR(INDEX(DB!R$2:R$2576,T217),"")</f>
        <v/>
      </c>
      <c r="M217" s="43"/>
      <c r="P217" t="str" cm="1">
        <f t="array" ref="P217">IFERROR(_xlfn.AGGREGATE(15,6,ROW(DB!A$2:A$2576)/((($D$3&lt;&gt;"YES")+($D$3="YES")*(DB!E$2:E$2576="YES"))*(($D$4="")+($D$4&lt;&gt;"")*( DB!B$2:B$2576=$D$4))*(($D$5="")+($D$5&lt;&gt;"")*( DB!C$2:C$2576=$D$5))*(($D$6="")+($D$6&lt;&gt;"")*( DB!D$2:D$2576=$D$6))*(($D$7="")+($D$7&lt;&gt;"")*(ISNUMBER(SEARCH($D$7,DB!G$2:G$2576))))*(($F$7="전체")+($F$7&lt;&gt;"전체")*(DB!H$2:H$2576=$F$7))),ROW()-13)-1,"")</f>
        <v/>
      </c>
      <c r="Q217" t="str" cm="1">
        <f t="array" ref="Q217">IFERROR(INDEX(DB!G$2:G$2576,P217),"")</f>
        <v/>
      </c>
      <c r="R217" t="str" cm="1">
        <f t="array" ref="R217">IFERROR(INDEX(DB!O$2:O$2576,P217),"")</f>
        <v/>
      </c>
      <c r="S217" t="str">
        <f t="shared" si="12"/>
        <v/>
      </c>
      <c r="T217" t="str">
        <f t="shared" si="13"/>
        <v/>
      </c>
    </row>
    <row r="218" spans="1:20" ht="100" customHeight="1">
      <c r="A218" s="26"/>
      <c r="B218" s="39" t="str">
        <f t="shared" si="11"/>
        <v/>
      </c>
      <c r="C218" s="43"/>
      <c r="D218" s="51" t="str" cm="1">
        <f t="array" ref="D218">IFERROR(INDEX(DB!G$2:G$2576,T218),"")</f>
        <v/>
      </c>
      <c r="E218" s="43"/>
      <c r="F218" s="52" t="str" cm="1">
        <f t="array" ref="F218">IFERROR(INDEX(DB!O$2:O$2576,T218),"")</f>
        <v/>
      </c>
      <c r="G218" s="43"/>
      <c r="H218" s="40" t="str" cm="1">
        <f t="array" ref="H218">IFERROR(INDEX(DB!P$2:P$2576,T218),"")</f>
        <v/>
      </c>
      <c r="I218" s="43"/>
      <c r="J218" s="53" t="str" cm="1">
        <f t="array" ref="J218">IFERROR(INDEX(DB!Q$2:Q$2576,T218),"")</f>
        <v/>
      </c>
      <c r="K218" s="43"/>
      <c r="L218" s="41" t="str" cm="1">
        <f t="array" ref="L218">IFERROR(INDEX(DB!R$2:R$2576,T218),"")</f>
        <v/>
      </c>
      <c r="M218" s="43"/>
      <c r="P218" t="str" cm="1">
        <f t="array" ref="P218">IFERROR(_xlfn.AGGREGATE(15,6,ROW(DB!A$2:A$2576)/((($D$3&lt;&gt;"YES")+($D$3="YES")*(DB!E$2:E$2576="YES"))*(($D$4="")+($D$4&lt;&gt;"")*( DB!B$2:B$2576=$D$4))*(($D$5="")+($D$5&lt;&gt;"")*( DB!C$2:C$2576=$D$5))*(($D$6="")+($D$6&lt;&gt;"")*( DB!D$2:D$2576=$D$6))*(($D$7="")+($D$7&lt;&gt;"")*(ISNUMBER(SEARCH($D$7,DB!G$2:G$2576))))*(($F$7="전체")+($F$7&lt;&gt;"전체")*(DB!H$2:H$2576=$F$7))),ROW()-13)-1,"")</f>
        <v/>
      </c>
      <c r="Q218" t="str" cm="1">
        <f t="array" ref="Q218">IFERROR(INDEX(DB!G$2:G$2576,P218),"")</f>
        <v/>
      </c>
      <c r="R218" t="str" cm="1">
        <f t="array" ref="R218">IFERROR(INDEX(DB!O$2:O$2576,P218),"")</f>
        <v/>
      </c>
      <c r="S218" t="str">
        <f t="shared" si="12"/>
        <v/>
      </c>
      <c r="T218" t="str">
        <f t="shared" si="13"/>
        <v/>
      </c>
    </row>
    <row r="219" spans="1:20" ht="100" customHeight="1">
      <c r="A219" s="26"/>
      <c r="B219" s="42" t="str">
        <f t="shared" si="11"/>
        <v/>
      </c>
      <c r="C219" s="43"/>
      <c r="D219" s="51" t="str" cm="1">
        <f t="array" ref="D219">IFERROR(INDEX(DB!G$2:G$2576,T219),"")</f>
        <v/>
      </c>
      <c r="E219" s="43"/>
      <c r="F219" s="52" t="str" cm="1">
        <f t="array" ref="F219">IFERROR(INDEX(DB!O$2:O$2576,T219),"")</f>
        <v/>
      </c>
      <c r="G219" s="43"/>
      <c r="H219" s="40" t="str" cm="1">
        <f t="array" ref="H219">IFERROR(INDEX(DB!P$2:P$2576,T219),"")</f>
        <v/>
      </c>
      <c r="I219" s="43"/>
      <c r="J219" s="53" t="str" cm="1">
        <f t="array" ref="J219">IFERROR(INDEX(DB!Q$2:Q$2576,T219),"")</f>
        <v/>
      </c>
      <c r="K219" s="43"/>
      <c r="L219" s="41" t="str" cm="1">
        <f t="array" ref="L219">IFERROR(INDEX(DB!R$2:R$2576,T219),"")</f>
        <v/>
      </c>
      <c r="M219" s="43"/>
      <c r="P219" t="str" cm="1">
        <f t="array" ref="P219">IFERROR(_xlfn.AGGREGATE(15,6,ROW(DB!A$2:A$2576)/((($D$3&lt;&gt;"YES")+($D$3="YES")*(DB!E$2:E$2576="YES"))*(($D$4="")+($D$4&lt;&gt;"")*( DB!B$2:B$2576=$D$4))*(($D$5="")+($D$5&lt;&gt;"")*( DB!C$2:C$2576=$D$5))*(($D$6="")+($D$6&lt;&gt;"")*( DB!D$2:D$2576=$D$6))*(($D$7="")+($D$7&lt;&gt;"")*(ISNUMBER(SEARCH($D$7,DB!G$2:G$2576))))*(($F$7="전체")+($F$7&lt;&gt;"전체")*(DB!H$2:H$2576=$F$7))),ROW()-13)-1,"")</f>
        <v/>
      </c>
      <c r="Q219" t="str" cm="1">
        <f t="array" ref="Q219">IFERROR(INDEX(DB!G$2:G$2576,P219),"")</f>
        <v/>
      </c>
      <c r="R219" t="str" cm="1">
        <f t="array" ref="R219">IFERROR(INDEX(DB!O$2:O$2576,P219),"")</f>
        <v/>
      </c>
      <c r="S219" t="str">
        <f t="shared" si="12"/>
        <v/>
      </c>
      <c r="T219" t="str">
        <f t="shared" si="13"/>
        <v/>
      </c>
    </row>
    <row r="220" spans="1:20" ht="100" customHeight="1">
      <c r="A220" s="26"/>
      <c r="B220" s="39" t="str">
        <f t="shared" si="11"/>
        <v/>
      </c>
      <c r="C220" s="43"/>
      <c r="D220" s="51" t="str" cm="1">
        <f t="array" ref="D220">IFERROR(INDEX(DB!G$2:G$2576,T220),"")</f>
        <v/>
      </c>
      <c r="E220" s="43"/>
      <c r="F220" s="52" t="str" cm="1">
        <f t="array" ref="F220">IFERROR(INDEX(DB!O$2:O$2576,T220),"")</f>
        <v/>
      </c>
      <c r="G220" s="43"/>
      <c r="H220" s="40" t="str" cm="1">
        <f t="array" ref="H220">IFERROR(INDEX(DB!P$2:P$2576,T220),"")</f>
        <v/>
      </c>
      <c r="I220" s="43"/>
      <c r="J220" s="53" t="str" cm="1">
        <f t="array" ref="J220">IFERROR(INDEX(DB!Q$2:Q$2576,T220),"")</f>
        <v/>
      </c>
      <c r="K220" s="43"/>
      <c r="L220" s="41" t="str" cm="1">
        <f t="array" ref="L220">IFERROR(INDEX(DB!R$2:R$2576,T220),"")</f>
        <v/>
      </c>
      <c r="M220" s="43"/>
      <c r="P220" t="str" cm="1">
        <f t="array" ref="P220">IFERROR(_xlfn.AGGREGATE(15,6,ROW(DB!A$2:A$2576)/((($D$3&lt;&gt;"YES")+($D$3="YES")*(DB!E$2:E$2576="YES"))*(($D$4="")+($D$4&lt;&gt;"")*( DB!B$2:B$2576=$D$4))*(($D$5="")+($D$5&lt;&gt;"")*( DB!C$2:C$2576=$D$5))*(($D$6="")+($D$6&lt;&gt;"")*( DB!D$2:D$2576=$D$6))*(($D$7="")+($D$7&lt;&gt;"")*(ISNUMBER(SEARCH($D$7,DB!G$2:G$2576))))*(($F$7="전체")+($F$7&lt;&gt;"전체")*(DB!H$2:H$2576=$F$7))),ROW()-13)-1,"")</f>
        <v/>
      </c>
      <c r="Q220" t="str" cm="1">
        <f t="array" ref="Q220">IFERROR(INDEX(DB!G$2:G$2576,P220),"")</f>
        <v/>
      </c>
      <c r="R220" t="str" cm="1">
        <f t="array" ref="R220">IFERROR(INDEX(DB!O$2:O$2576,P220),"")</f>
        <v/>
      </c>
      <c r="S220" t="str">
        <f t="shared" si="12"/>
        <v/>
      </c>
      <c r="T220" t="str">
        <f t="shared" si="13"/>
        <v/>
      </c>
    </row>
    <row r="221" spans="1:20" ht="100" customHeight="1">
      <c r="A221" s="26"/>
      <c r="B221" s="42" t="str">
        <f t="shared" si="11"/>
        <v/>
      </c>
      <c r="C221" s="43"/>
      <c r="D221" s="51" t="str" cm="1">
        <f t="array" ref="D221">IFERROR(INDEX(DB!G$2:G$2576,T221),"")</f>
        <v/>
      </c>
      <c r="E221" s="43"/>
      <c r="F221" s="52" t="str" cm="1">
        <f t="array" ref="F221">IFERROR(INDEX(DB!O$2:O$2576,T221),"")</f>
        <v/>
      </c>
      <c r="G221" s="43"/>
      <c r="H221" s="40" t="str" cm="1">
        <f t="array" ref="H221">IFERROR(INDEX(DB!P$2:P$2576,T221),"")</f>
        <v/>
      </c>
      <c r="I221" s="43"/>
      <c r="J221" s="53" t="str" cm="1">
        <f t="array" ref="J221">IFERROR(INDEX(DB!Q$2:Q$2576,T221),"")</f>
        <v/>
      </c>
      <c r="K221" s="43"/>
      <c r="L221" s="41" t="str" cm="1">
        <f t="array" ref="L221">IFERROR(INDEX(DB!R$2:R$2576,T221),"")</f>
        <v/>
      </c>
      <c r="M221" s="43"/>
      <c r="P221" t="str" cm="1">
        <f t="array" ref="P221">IFERROR(_xlfn.AGGREGATE(15,6,ROW(DB!A$2:A$2576)/((($D$3&lt;&gt;"YES")+($D$3="YES")*(DB!E$2:E$2576="YES"))*(($D$4="")+($D$4&lt;&gt;"")*( DB!B$2:B$2576=$D$4))*(($D$5="")+($D$5&lt;&gt;"")*( DB!C$2:C$2576=$D$5))*(($D$6="")+($D$6&lt;&gt;"")*( DB!D$2:D$2576=$D$6))*(($D$7="")+($D$7&lt;&gt;"")*(ISNUMBER(SEARCH($D$7,DB!G$2:G$2576))))*(($F$7="전체")+($F$7&lt;&gt;"전체")*(DB!H$2:H$2576=$F$7))),ROW()-13)-1,"")</f>
        <v/>
      </c>
      <c r="Q221" t="str" cm="1">
        <f t="array" ref="Q221">IFERROR(INDEX(DB!G$2:G$2576,P221),"")</f>
        <v/>
      </c>
      <c r="R221" t="str" cm="1">
        <f t="array" ref="R221">IFERROR(INDEX(DB!O$2:O$2576,P221),"")</f>
        <v/>
      </c>
      <c r="S221" t="str">
        <f t="shared" si="12"/>
        <v/>
      </c>
      <c r="T221" t="str">
        <f t="shared" si="13"/>
        <v/>
      </c>
    </row>
    <row r="222" spans="1:20" ht="100" customHeight="1">
      <c r="A222" s="26"/>
      <c r="B222" s="39" t="str">
        <f t="shared" si="11"/>
        <v/>
      </c>
      <c r="C222" s="43"/>
      <c r="D222" s="51" t="str" cm="1">
        <f t="array" ref="D222">IFERROR(INDEX(DB!G$2:G$2576,T222),"")</f>
        <v/>
      </c>
      <c r="E222" s="43"/>
      <c r="F222" s="52" t="str" cm="1">
        <f t="array" ref="F222">IFERROR(INDEX(DB!O$2:O$2576,T222),"")</f>
        <v/>
      </c>
      <c r="G222" s="43"/>
      <c r="H222" s="40" t="str" cm="1">
        <f t="array" ref="H222">IFERROR(INDEX(DB!P$2:P$2576,T222),"")</f>
        <v/>
      </c>
      <c r="I222" s="43"/>
      <c r="J222" s="53" t="str" cm="1">
        <f t="array" ref="J222">IFERROR(INDEX(DB!Q$2:Q$2576,T222),"")</f>
        <v/>
      </c>
      <c r="K222" s="43"/>
      <c r="L222" s="41" t="str" cm="1">
        <f t="array" ref="L222">IFERROR(INDEX(DB!R$2:R$2576,T222),"")</f>
        <v/>
      </c>
      <c r="M222" s="43"/>
      <c r="P222" t="str" cm="1">
        <f t="array" ref="P222">IFERROR(_xlfn.AGGREGATE(15,6,ROW(DB!A$2:A$2576)/((($D$3&lt;&gt;"YES")+($D$3="YES")*(DB!E$2:E$2576="YES"))*(($D$4="")+($D$4&lt;&gt;"")*( DB!B$2:B$2576=$D$4))*(($D$5="")+($D$5&lt;&gt;"")*( DB!C$2:C$2576=$D$5))*(($D$6="")+($D$6&lt;&gt;"")*( DB!D$2:D$2576=$D$6))*(($D$7="")+($D$7&lt;&gt;"")*(ISNUMBER(SEARCH($D$7,DB!G$2:G$2576))))*(($F$7="전체")+($F$7&lt;&gt;"전체")*(DB!H$2:H$2576=$F$7))),ROW()-13)-1,"")</f>
        <v/>
      </c>
      <c r="Q222" t="str" cm="1">
        <f t="array" ref="Q222">IFERROR(INDEX(DB!G$2:G$2576,P222),"")</f>
        <v/>
      </c>
      <c r="R222" t="str" cm="1">
        <f t="array" ref="R222">IFERROR(INDEX(DB!O$2:O$2576,P222),"")</f>
        <v/>
      </c>
      <c r="S222" t="str">
        <f t="shared" si="12"/>
        <v/>
      </c>
      <c r="T222" t="str">
        <f t="shared" si="13"/>
        <v/>
      </c>
    </row>
    <row r="223" spans="1:20" ht="100" customHeight="1">
      <c r="A223" s="26"/>
      <c r="B223" s="42" t="str">
        <f t="shared" si="11"/>
        <v/>
      </c>
      <c r="C223" s="43"/>
      <c r="D223" s="51" t="str" cm="1">
        <f t="array" ref="D223">IFERROR(INDEX(DB!G$2:G$2576,T223),"")</f>
        <v/>
      </c>
      <c r="E223" s="43"/>
      <c r="F223" s="52" t="str" cm="1">
        <f t="array" ref="F223">IFERROR(INDEX(DB!O$2:O$2576,T223),"")</f>
        <v/>
      </c>
      <c r="G223" s="43"/>
      <c r="H223" s="40" t="str" cm="1">
        <f t="array" ref="H223">IFERROR(INDEX(DB!P$2:P$2576,T223),"")</f>
        <v/>
      </c>
      <c r="I223" s="43"/>
      <c r="J223" s="53" t="str" cm="1">
        <f t="array" ref="J223">IFERROR(INDEX(DB!Q$2:Q$2576,T223),"")</f>
        <v/>
      </c>
      <c r="K223" s="43"/>
      <c r="L223" s="41" t="str" cm="1">
        <f t="array" ref="L223">IFERROR(INDEX(DB!R$2:R$2576,T223),"")</f>
        <v/>
      </c>
      <c r="M223" s="43"/>
      <c r="P223" t="str" cm="1">
        <f t="array" ref="P223">IFERROR(_xlfn.AGGREGATE(15,6,ROW(DB!A$2:A$2576)/((($D$3&lt;&gt;"YES")+($D$3="YES")*(DB!E$2:E$2576="YES"))*(($D$4="")+($D$4&lt;&gt;"")*( DB!B$2:B$2576=$D$4))*(($D$5="")+($D$5&lt;&gt;"")*( DB!C$2:C$2576=$D$5))*(($D$6="")+($D$6&lt;&gt;"")*( DB!D$2:D$2576=$D$6))*(($D$7="")+($D$7&lt;&gt;"")*(ISNUMBER(SEARCH($D$7,DB!G$2:G$2576))))*(($F$7="전체")+($F$7&lt;&gt;"전체")*(DB!H$2:H$2576=$F$7))),ROW()-13)-1,"")</f>
        <v/>
      </c>
      <c r="Q223" t="str" cm="1">
        <f t="array" ref="Q223">IFERROR(INDEX(DB!G$2:G$2576,P223),"")</f>
        <v/>
      </c>
      <c r="R223" t="str" cm="1">
        <f t="array" ref="R223">IFERROR(INDEX(DB!O$2:O$2576,P223),"")</f>
        <v/>
      </c>
      <c r="S223" t="str">
        <f t="shared" si="12"/>
        <v/>
      </c>
      <c r="T223" t="str">
        <f t="shared" si="13"/>
        <v/>
      </c>
    </row>
    <row r="224" spans="1:20" ht="100" customHeight="1">
      <c r="A224" s="26"/>
      <c r="B224" s="39" t="str">
        <f t="shared" si="11"/>
        <v/>
      </c>
      <c r="C224" s="43"/>
      <c r="D224" s="51" t="str" cm="1">
        <f t="array" ref="D224">IFERROR(INDEX(DB!G$2:G$2576,T224),"")</f>
        <v/>
      </c>
      <c r="E224" s="43"/>
      <c r="F224" s="52" t="str" cm="1">
        <f t="array" ref="F224">IFERROR(INDEX(DB!O$2:O$2576,T224),"")</f>
        <v/>
      </c>
      <c r="G224" s="43"/>
      <c r="H224" s="40" t="str" cm="1">
        <f t="array" ref="H224">IFERROR(INDEX(DB!P$2:P$2576,T224),"")</f>
        <v/>
      </c>
      <c r="I224" s="43"/>
      <c r="J224" s="53" t="str" cm="1">
        <f t="array" ref="J224">IFERROR(INDEX(DB!Q$2:Q$2576,T224),"")</f>
        <v/>
      </c>
      <c r="K224" s="43"/>
      <c r="L224" s="41" t="str" cm="1">
        <f t="array" ref="L224">IFERROR(INDEX(DB!R$2:R$2576,T224),"")</f>
        <v/>
      </c>
      <c r="M224" s="43"/>
      <c r="P224" t="str" cm="1">
        <f t="array" ref="P224">IFERROR(_xlfn.AGGREGATE(15,6,ROW(DB!A$2:A$2576)/((($D$3&lt;&gt;"YES")+($D$3="YES")*(DB!E$2:E$2576="YES"))*(($D$4="")+($D$4&lt;&gt;"")*( DB!B$2:B$2576=$D$4))*(($D$5="")+($D$5&lt;&gt;"")*( DB!C$2:C$2576=$D$5))*(($D$6="")+($D$6&lt;&gt;"")*( DB!D$2:D$2576=$D$6))*(($D$7="")+($D$7&lt;&gt;"")*(ISNUMBER(SEARCH($D$7,DB!G$2:G$2576))))*(($F$7="전체")+($F$7&lt;&gt;"전체")*(DB!H$2:H$2576=$F$7))),ROW()-13)-1,"")</f>
        <v/>
      </c>
      <c r="Q224" t="str" cm="1">
        <f t="array" ref="Q224">IFERROR(INDEX(DB!G$2:G$2576,P224),"")</f>
        <v/>
      </c>
      <c r="R224" t="str" cm="1">
        <f t="array" ref="R224">IFERROR(INDEX(DB!O$2:O$2576,P224),"")</f>
        <v/>
      </c>
      <c r="S224" t="str">
        <f t="shared" si="12"/>
        <v/>
      </c>
      <c r="T224" t="str">
        <f t="shared" si="13"/>
        <v/>
      </c>
    </row>
    <row r="225" spans="1:20" ht="100" customHeight="1">
      <c r="A225" s="26"/>
      <c r="B225" s="42" t="str">
        <f t="shared" si="11"/>
        <v/>
      </c>
      <c r="C225" s="43"/>
      <c r="D225" s="51" t="str" cm="1">
        <f t="array" ref="D225">IFERROR(INDEX(DB!G$2:G$2576,T225),"")</f>
        <v/>
      </c>
      <c r="E225" s="43"/>
      <c r="F225" s="52" t="str" cm="1">
        <f t="array" ref="F225">IFERROR(INDEX(DB!O$2:O$2576,T225),"")</f>
        <v/>
      </c>
      <c r="G225" s="43"/>
      <c r="H225" s="40" t="str" cm="1">
        <f t="array" ref="H225">IFERROR(INDEX(DB!P$2:P$2576,T225),"")</f>
        <v/>
      </c>
      <c r="I225" s="43"/>
      <c r="J225" s="53" t="str" cm="1">
        <f t="array" ref="J225">IFERROR(INDEX(DB!Q$2:Q$2576,T225),"")</f>
        <v/>
      </c>
      <c r="K225" s="43"/>
      <c r="L225" s="41" t="str" cm="1">
        <f t="array" ref="L225">IFERROR(INDEX(DB!R$2:R$2576,T225),"")</f>
        <v/>
      </c>
      <c r="M225" s="43"/>
      <c r="P225" t="str" cm="1">
        <f t="array" ref="P225">IFERROR(_xlfn.AGGREGATE(15,6,ROW(DB!A$2:A$2576)/((($D$3&lt;&gt;"YES")+($D$3="YES")*(DB!E$2:E$2576="YES"))*(($D$4="")+($D$4&lt;&gt;"")*( DB!B$2:B$2576=$D$4))*(($D$5="")+($D$5&lt;&gt;"")*( DB!C$2:C$2576=$D$5))*(($D$6="")+($D$6&lt;&gt;"")*( DB!D$2:D$2576=$D$6))*(($D$7="")+($D$7&lt;&gt;"")*(ISNUMBER(SEARCH($D$7,DB!G$2:G$2576))))*(($F$7="전체")+($F$7&lt;&gt;"전체")*(DB!H$2:H$2576=$F$7))),ROW()-13)-1,"")</f>
        <v/>
      </c>
      <c r="Q225" t="str" cm="1">
        <f t="array" ref="Q225">IFERROR(INDEX(DB!G$2:G$2576,P225),"")</f>
        <v/>
      </c>
      <c r="R225" t="str" cm="1">
        <f t="array" ref="R225">IFERROR(INDEX(DB!O$2:O$2576,P225),"")</f>
        <v/>
      </c>
      <c r="S225" t="str">
        <f t="shared" si="12"/>
        <v/>
      </c>
      <c r="T225" t="str">
        <f t="shared" si="13"/>
        <v/>
      </c>
    </row>
    <row r="226" spans="1:20" ht="100" customHeight="1">
      <c r="A226" s="26"/>
      <c r="B226" s="39" t="str">
        <f t="shared" si="11"/>
        <v/>
      </c>
      <c r="C226" s="43"/>
      <c r="D226" s="51" t="str" cm="1">
        <f t="array" ref="D226">IFERROR(INDEX(DB!G$2:G$2576,T226),"")</f>
        <v/>
      </c>
      <c r="E226" s="43"/>
      <c r="F226" s="52" t="str" cm="1">
        <f t="array" ref="F226">IFERROR(INDEX(DB!O$2:O$2576,T226),"")</f>
        <v/>
      </c>
      <c r="G226" s="43"/>
      <c r="H226" s="40" t="str" cm="1">
        <f t="array" ref="H226">IFERROR(INDEX(DB!P$2:P$2576,T226),"")</f>
        <v/>
      </c>
      <c r="I226" s="43"/>
      <c r="J226" s="53" t="str" cm="1">
        <f t="array" ref="J226">IFERROR(INDEX(DB!Q$2:Q$2576,T226),"")</f>
        <v/>
      </c>
      <c r="K226" s="43"/>
      <c r="L226" s="41" t="str" cm="1">
        <f t="array" ref="L226">IFERROR(INDEX(DB!R$2:R$2576,T226),"")</f>
        <v/>
      </c>
      <c r="M226" s="43"/>
      <c r="P226" t="str" cm="1">
        <f t="array" ref="P226">IFERROR(_xlfn.AGGREGATE(15,6,ROW(DB!A$2:A$2576)/((($D$3&lt;&gt;"YES")+($D$3="YES")*(DB!E$2:E$2576="YES"))*(($D$4="")+($D$4&lt;&gt;"")*( DB!B$2:B$2576=$D$4))*(($D$5="")+($D$5&lt;&gt;"")*( DB!C$2:C$2576=$D$5))*(($D$6="")+($D$6&lt;&gt;"")*( DB!D$2:D$2576=$D$6))*(($D$7="")+($D$7&lt;&gt;"")*(ISNUMBER(SEARCH($D$7,DB!G$2:G$2576))))*(($F$7="전체")+($F$7&lt;&gt;"전체")*(DB!H$2:H$2576=$F$7))),ROW()-13)-1,"")</f>
        <v/>
      </c>
      <c r="Q226" t="str" cm="1">
        <f t="array" ref="Q226">IFERROR(INDEX(DB!G$2:G$2576,P226),"")</f>
        <v/>
      </c>
      <c r="R226" t="str" cm="1">
        <f t="array" ref="R226">IFERROR(INDEX(DB!O$2:O$2576,P226),"")</f>
        <v/>
      </c>
      <c r="S226" t="str">
        <f t="shared" si="12"/>
        <v/>
      </c>
      <c r="T226" t="str">
        <f t="shared" si="13"/>
        <v/>
      </c>
    </row>
    <row r="227" spans="1:20" ht="100" customHeight="1">
      <c r="A227" s="26"/>
      <c r="B227" s="42" t="str">
        <f t="shared" si="11"/>
        <v/>
      </c>
      <c r="C227" s="43"/>
      <c r="D227" s="51" t="str" cm="1">
        <f t="array" ref="D227">IFERROR(INDEX(DB!G$2:G$2576,T227),"")</f>
        <v/>
      </c>
      <c r="E227" s="43"/>
      <c r="F227" s="52" t="str" cm="1">
        <f t="array" ref="F227">IFERROR(INDEX(DB!O$2:O$2576,T227),"")</f>
        <v/>
      </c>
      <c r="G227" s="43"/>
      <c r="H227" s="40" t="str" cm="1">
        <f t="array" ref="H227">IFERROR(INDEX(DB!P$2:P$2576,T227),"")</f>
        <v/>
      </c>
      <c r="I227" s="43"/>
      <c r="J227" s="53" t="str" cm="1">
        <f t="array" ref="J227">IFERROR(INDEX(DB!Q$2:Q$2576,T227),"")</f>
        <v/>
      </c>
      <c r="K227" s="43"/>
      <c r="L227" s="41" t="str" cm="1">
        <f t="array" ref="L227">IFERROR(INDEX(DB!R$2:R$2576,T227),"")</f>
        <v/>
      </c>
      <c r="M227" s="43"/>
      <c r="P227" t="str" cm="1">
        <f t="array" ref="P227">IFERROR(_xlfn.AGGREGATE(15,6,ROW(DB!A$2:A$2576)/((($D$3&lt;&gt;"YES")+($D$3="YES")*(DB!E$2:E$2576="YES"))*(($D$4="")+($D$4&lt;&gt;"")*( DB!B$2:B$2576=$D$4))*(($D$5="")+($D$5&lt;&gt;"")*( DB!C$2:C$2576=$D$5))*(($D$6="")+($D$6&lt;&gt;"")*( DB!D$2:D$2576=$D$6))*(($D$7="")+($D$7&lt;&gt;"")*(ISNUMBER(SEARCH($D$7,DB!G$2:G$2576))))*(($F$7="전체")+($F$7&lt;&gt;"전체")*(DB!H$2:H$2576=$F$7))),ROW()-13)-1,"")</f>
        <v/>
      </c>
      <c r="Q227" t="str" cm="1">
        <f t="array" ref="Q227">IFERROR(INDEX(DB!G$2:G$2576,P227),"")</f>
        <v/>
      </c>
      <c r="R227" t="str" cm="1">
        <f t="array" ref="R227">IFERROR(INDEX(DB!O$2:O$2576,P227),"")</f>
        <v/>
      </c>
      <c r="S227" t="str">
        <f t="shared" si="12"/>
        <v/>
      </c>
      <c r="T227" t="str">
        <f t="shared" si="13"/>
        <v/>
      </c>
    </row>
    <row r="228" spans="1:20" ht="100" customHeight="1">
      <c r="A228" s="26"/>
      <c r="B228" s="39" t="str">
        <f t="shared" si="11"/>
        <v/>
      </c>
      <c r="C228" s="43"/>
      <c r="D228" s="51" t="str" cm="1">
        <f t="array" ref="D228">IFERROR(INDEX(DB!G$2:G$2576,T228),"")</f>
        <v/>
      </c>
      <c r="E228" s="43"/>
      <c r="F228" s="52" t="str" cm="1">
        <f t="array" ref="F228">IFERROR(INDEX(DB!O$2:O$2576,T228),"")</f>
        <v/>
      </c>
      <c r="G228" s="43"/>
      <c r="H228" s="40" t="str" cm="1">
        <f t="array" ref="H228">IFERROR(INDEX(DB!P$2:P$2576,T228),"")</f>
        <v/>
      </c>
      <c r="I228" s="43"/>
      <c r="J228" s="53" t="str" cm="1">
        <f t="array" ref="J228">IFERROR(INDEX(DB!Q$2:Q$2576,T228),"")</f>
        <v/>
      </c>
      <c r="K228" s="43"/>
      <c r="L228" s="41" t="str" cm="1">
        <f t="array" ref="L228">IFERROR(INDEX(DB!R$2:R$2576,T228),"")</f>
        <v/>
      </c>
      <c r="M228" s="43"/>
      <c r="P228" t="str" cm="1">
        <f t="array" ref="P228">IFERROR(_xlfn.AGGREGATE(15,6,ROW(DB!A$2:A$2576)/((($D$3&lt;&gt;"YES")+($D$3="YES")*(DB!E$2:E$2576="YES"))*(($D$4="")+($D$4&lt;&gt;"")*( DB!B$2:B$2576=$D$4))*(($D$5="")+($D$5&lt;&gt;"")*( DB!C$2:C$2576=$D$5))*(($D$6="")+($D$6&lt;&gt;"")*( DB!D$2:D$2576=$D$6))*(($D$7="")+($D$7&lt;&gt;"")*(ISNUMBER(SEARCH($D$7,DB!G$2:G$2576))))*(($F$7="전체")+($F$7&lt;&gt;"전체")*(DB!H$2:H$2576=$F$7))),ROW()-13)-1,"")</f>
        <v/>
      </c>
      <c r="Q228" t="str" cm="1">
        <f t="array" ref="Q228">IFERROR(INDEX(DB!G$2:G$2576,P228),"")</f>
        <v/>
      </c>
      <c r="R228" t="str" cm="1">
        <f t="array" ref="R228">IFERROR(INDEX(DB!O$2:O$2576,P228),"")</f>
        <v/>
      </c>
      <c r="S228" t="str">
        <f t="shared" si="12"/>
        <v/>
      </c>
      <c r="T228" t="str">
        <f t="shared" si="13"/>
        <v/>
      </c>
    </row>
    <row r="229" spans="1:20" ht="100" customHeight="1">
      <c r="A229" s="26"/>
      <c r="B229" s="42" t="str">
        <f t="shared" si="11"/>
        <v/>
      </c>
      <c r="C229" s="43"/>
      <c r="D229" s="51" t="str" cm="1">
        <f t="array" ref="D229">IFERROR(INDEX(DB!G$2:G$2576,T229),"")</f>
        <v/>
      </c>
      <c r="E229" s="43"/>
      <c r="F229" s="52" t="str" cm="1">
        <f t="array" ref="F229">IFERROR(INDEX(DB!O$2:O$2576,T229),"")</f>
        <v/>
      </c>
      <c r="G229" s="43"/>
      <c r="H229" s="40" t="str" cm="1">
        <f t="array" ref="H229">IFERROR(INDEX(DB!P$2:P$2576,T229),"")</f>
        <v/>
      </c>
      <c r="I229" s="43"/>
      <c r="J229" s="53" t="str" cm="1">
        <f t="array" ref="J229">IFERROR(INDEX(DB!Q$2:Q$2576,T229),"")</f>
        <v/>
      </c>
      <c r="K229" s="43"/>
      <c r="L229" s="41" t="str" cm="1">
        <f t="array" ref="L229">IFERROR(INDEX(DB!R$2:R$2576,T229),"")</f>
        <v/>
      </c>
      <c r="M229" s="43"/>
      <c r="P229" t="str" cm="1">
        <f t="array" ref="P229">IFERROR(_xlfn.AGGREGATE(15,6,ROW(DB!A$2:A$2576)/((($D$3&lt;&gt;"YES")+($D$3="YES")*(DB!E$2:E$2576="YES"))*(($D$4="")+($D$4&lt;&gt;"")*( DB!B$2:B$2576=$D$4))*(($D$5="")+($D$5&lt;&gt;"")*( DB!C$2:C$2576=$D$5))*(($D$6="")+($D$6&lt;&gt;"")*( DB!D$2:D$2576=$D$6))*(($D$7="")+($D$7&lt;&gt;"")*(ISNUMBER(SEARCH($D$7,DB!G$2:G$2576))))*(($F$7="전체")+($F$7&lt;&gt;"전체")*(DB!H$2:H$2576=$F$7))),ROW()-13)-1,"")</f>
        <v/>
      </c>
      <c r="Q229" t="str" cm="1">
        <f t="array" ref="Q229">IFERROR(INDEX(DB!G$2:G$2576,P229),"")</f>
        <v/>
      </c>
      <c r="R229" t="str" cm="1">
        <f t="array" ref="R229">IFERROR(INDEX(DB!O$2:O$2576,P229),"")</f>
        <v/>
      </c>
      <c r="S229" t="str">
        <f t="shared" si="12"/>
        <v/>
      </c>
      <c r="T229" t="str">
        <f t="shared" si="13"/>
        <v/>
      </c>
    </row>
    <row r="230" spans="1:20" ht="100" customHeight="1">
      <c r="A230" s="26"/>
      <c r="B230" s="39" t="str">
        <f t="shared" si="11"/>
        <v/>
      </c>
      <c r="C230" s="43"/>
      <c r="D230" s="51" t="str" cm="1">
        <f t="array" ref="D230">IFERROR(INDEX(DB!G$2:G$2576,T230),"")</f>
        <v/>
      </c>
      <c r="E230" s="43"/>
      <c r="F230" s="52" t="str" cm="1">
        <f t="array" ref="F230">IFERROR(INDEX(DB!O$2:O$2576,T230),"")</f>
        <v/>
      </c>
      <c r="G230" s="43"/>
      <c r="H230" s="40" t="str" cm="1">
        <f t="array" ref="H230">IFERROR(INDEX(DB!P$2:P$2576,T230),"")</f>
        <v/>
      </c>
      <c r="I230" s="43"/>
      <c r="J230" s="53" t="str" cm="1">
        <f t="array" ref="J230">IFERROR(INDEX(DB!Q$2:Q$2576,T230),"")</f>
        <v/>
      </c>
      <c r="K230" s="43"/>
      <c r="L230" s="41" t="str" cm="1">
        <f t="array" ref="L230">IFERROR(INDEX(DB!R$2:R$2576,T230),"")</f>
        <v/>
      </c>
      <c r="M230" s="43"/>
      <c r="P230" t="str" cm="1">
        <f t="array" ref="P230">IFERROR(_xlfn.AGGREGATE(15,6,ROW(DB!A$2:A$2576)/((($D$3&lt;&gt;"YES")+($D$3="YES")*(DB!E$2:E$2576="YES"))*(($D$4="")+($D$4&lt;&gt;"")*( DB!B$2:B$2576=$D$4))*(($D$5="")+($D$5&lt;&gt;"")*( DB!C$2:C$2576=$D$5))*(($D$6="")+($D$6&lt;&gt;"")*( DB!D$2:D$2576=$D$6))*(($D$7="")+($D$7&lt;&gt;"")*(ISNUMBER(SEARCH($D$7,DB!G$2:G$2576))))*(($F$7="전체")+($F$7&lt;&gt;"전체")*(DB!H$2:H$2576=$F$7))),ROW()-13)-1,"")</f>
        <v/>
      </c>
      <c r="Q230" t="str" cm="1">
        <f t="array" ref="Q230">IFERROR(INDEX(DB!G$2:G$2576,P230),"")</f>
        <v/>
      </c>
      <c r="R230" t="str" cm="1">
        <f t="array" ref="R230">IFERROR(INDEX(DB!O$2:O$2576,P230),"")</f>
        <v/>
      </c>
      <c r="S230" t="str">
        <f t="shared" si="12"/>
        <v/>
      </c>
      <c r="T230" t="str">
        <f t="shared" si="13"/>
        <v/>
      </c>
    </row>
    <row r="231" spans="1:20" ht="100" customHeight="1">
      <c r="A231" s="26"/>
      <c r="B231" s="42" t="str">
        <f t="shared" si="11"/>
        <v/>
      </c>
      <c r="C231" s="43"/>
      <c r="D231" s="51" t="str" cm="1">
        <f t="array" ref="D231">IFERROR(INDEX(DB!G$2:G$2576,T231),"")</f>
        <v/>
      </c>
      <c r="E231" s="43"/>
      <c r="F231" s="52" t="str" cm="1">
        <f t="array" ref="F231">IFERROR(INDEX(DB!O$2:O$2576,T231),"")</f>
        <v/>
      </c>
      <c r="G231" s="43"/>
      <c r="H231" s="40" t="str" cm="1">
        <f t="array" ref="H231">IFERROR(INDEX(DB!P$2:P$2576,T231),"")</f>
        <v/>
      </c>
      <c r="I231" s="43"/>
      <c r="J231" s="53" t="str" cm="1">
        <f t="array" ref="J231">IFERROR(INDEX(DB!Q$2:Q$2576,T231),"")</f>
        <v/>
      </c>
      <c r="K231" s="43"/>
      <c r="L231" s="41" t="str" cm="1">
        <f t="array" ref="L231">IFERROR(INDEX(DB!R$2:R$2576,T231),"")</f>
        <v/>
      </c>
      <c r="M231" s="43"/>
      <c r="P231" t="str" cm="1">
        <f t="array" ref="P231">IFERROR(_xlfn.AGGREGATE(15,6,ROW(DB!A$2:A$2576)/((($D$3&lt;&gt;"YES")+($D$3="YES")*(DB!E$2:E$2576="YES"))*(($D$4="")+($D$4&lt;&gt;"")*( DB!B$2:B$2576=$D$4))*(($D$5="")+($D$5&lt;&gt;"")*( DB!C$2:C$2576=$D$5))*(($D$6="")+($D$6&lt;&gt;"")*( DB!D$2:D$2576=$D$6))*(($D$7="")+($D$7&lt;&gt;"")*(ISNUMBER(SEARCH($D$7,DB!G$2:G$2576))))*(($F$7="전체")+($F$7&lt;&gt;"전체")*(DB!H$2:H$2576=$F$7))),ROW()-13)-1,"")</f>
        <v/>
      </c>
      <c r="Q231" t="str" cm="1">
        <f t="array" ref="Q231">IFERROR(INDEX(DB!G$2:G$2576,P231),"")</f>
        <v/>
      </c>
      <c r="R231" t="str" cm="1">
        <f t="array" ref="R231">IFERROR(INDEX(DB!O$2:O$2576,P231),"")</f>
        <v/>
      </c>
      <c r="S231" t="str">
        <f t="shared" si="12"/>
        <v/>
      </c>
      <c r="T231" t="str">
        <f t="shared" si="13"/>
        <v/>
      </c>
    </row>
    <row r="232" spans="1:20" ht="100" customHeight="1">
      <c r="A232" s="26"/>
      <c r="B232" s="39" t="str">
        <f t="shared" si="11"/>
        <v/>
      </c>
      <c r="C232" s="43"/>
      <c r="D232" s="51" t="str" cm="1">
        <f t="array" ref="D232">IFERROR(INDEX(DB!G$2:G$2576,T232),"")</f>
        <v/>
      </c>
      <c r="E232" s="43"/>
      <c r="F232" s="52" t="str" cm="1">
        <f t="array" ref="F232">IFERROR(INDEX(DB!O$2:O$2576,T232),"")</f>
        <v/>
      </c>
      <c r="G232" s="43"/>
      <c r="H232" s="40" t="str" cm="1">
        <f t="array" ref="H232">IFERROR(INDEX(DB!P$2:P$2576,T232),"")</f>
        <v/>
      </c>
      <c r="I232" s="43"/>
      <c r="J232" s="53" t="str" cm="1">
        <f t="array" ref="J232">IFERROR(INDEX(DB!Q$2:Q$2576,T232),"")</f>
        <v/>
      </c>
      <c r="K232" s="43"/>
      <c r="L232" s="41" t="str" cm="1">
        <f t="array" ref="L232">IFERROR(INDEX(DB!R$2:R$2576,T232),"")</f>
        <v/>
      </c>
      <c r="M232" s="43"/>
      <c r="P232" t="str" cm="1">
        <f t="array" ref="P232">IFERROR(_xlfn.AGGREGATE(15,6,ROW(DB!A$2:A$2576)/((($D$3&lt;&gt;"YES")+($D$3="YES")*(DB!E$2:E$2576="YES"))*(($D$4="")+($D$4&lt;&gt;"")*( DB!B$2:B$2576=$D$4))*(($D$5="")+($D$5&lt;&gt;"")*( DB!C$2:C$2576=$D$5))*(($D$6="")+($D$6&lt;&gt;"")*( DB!D$2:D$2576=$D$6))*(($D$7="")+($D$7&lt;&gt;"")*(ISNUMBER(SEARCH($D$7,DB!G$2:G$2576))))*(($F$7="전체")+($F$7&lt;&gt;"전체")*(DB!H$2:H$2576=$F$7))),ROW()-13)-1,"")</f>
        <v/>
      </c>
      <c r="Q232" t="str" cm="1">
        <f t="array" ref="Q232">IFERROR(INDEX(DB!G$2:G$2576,P232),"")</f>
        <v/>
      </c>
      <c r="R232" t="str" cm="1">
        <f t="array" ref="R232">IFERROR(INDEX(DB!O$2:O$2576,P232),"")</f>
        <v/>
      </c>
      <c r="S232" t="str">
        <f t="shared" si="12"/>
        <v/>
      </c>
      <c r="T232" t="str">
        <f t="shared" si="13"/>
        <v/>
      </c>
    </row>
    <row r="233" spans="1:20" ht="100" customHeight="1">
      <c r="A233" s="26"/>
      <c r="B233" s="42" t="str">
        <f t="shared" si="11"/>
        <v/>
      </c>
      <c r="C233" s="43"/>
      <c r="D233" s="51" t="str" cm="1">
        <f t="array" ref="D233">IFERROR(INDEX(DB!G$2:G$2576,T233),"")</f>
        <v/>
      </c>
      <c r="E233" s="43"/>
      <c r="F233" s="52" t="str" cm="1">
        <f t="array" ref="F233">IFERROR(INDEX(DB!O$2:O$2576,T233),"")</f>
        <v/>
      </c>
      <c r="G233" s="43"/>
      <c r="H233" s="40" t="str" cm="1">
        <f t="array" ref="H233">IFERROR(INDEX(DB!P$2:P$2576,T233),"")</f>
        <v/>
      </c>
      <c r="I233" s="43"/>
      <c r="J233" s="53" t="str" cm="1">
        <f t="array" ref="J233">IFERROR(INDEX(DB!Q$2:Q$2576,T233),"")</f>
        <v/>
      </c>
      <c r="K233" s="43"/>
      <c r="L233" s="41" t="str" cm="1">
        <f t="array" ref="L233">IFERROR(INDEX(DB!R$2:R$2576,T233),"")</f>
        <v/>
      </c>
      <c r="M233" s="43"/>
      <c r="P233" t="str" cm="1">
        <f t="array" ref="P233">IFERROR(_xlfn.AGGREGATE(15,6,ROW(DB!A$2:A$2576)/((($D$3&lt;&gt;"YES")+($D$3="YES")*(DB!E$2:E$2576="YES"))*(($D$4="")+($D$4&lt;&gt;"")*( DB!B$2:B$2576=$D$4))*(($D$5="")+($D$5&lt;&gt;"")*( DB!C$2:C$2576=$D$5))*(($D$6="")+($D$6&lt;&gt;"")*( DB!D$2:D$2576=$D$6))*(($D$7="")+($D$7&lt;&gt;"")*(ISNUMBER(SEARCH($D$7,DB!G$2:G$2576))))*(($F$7="전체")+($F$7&lt;&gt;"전체")*(DB!H$2:H$2576=$F$7))),ROW()-13)-1,"")</f>
        <v/>
      </c>
      <c r="Q233" t="str" cm="1">
        <f t="array" ref="Q233">IFERROR(INDEX(DB!G$2:G$2576,P233),"")</f>
        <v/>
      </c>
      <c r="R233" t="str" cm="1">
        <f t="array" ref="R233">IFERROR(INDEX(DB!O$2:O$2576,P233),"")</f>
        <v/>
      </c>
      <c r="S233" t="str">
        <f t="shared" si="12"/>
        <v/>
      </c>
      <c r="T233" t="str">
        <f t="shared" si="13"/>
        <v/>
      </c>
    </row>
    <row r="234" spans="1:20" ht="100" customHeight="1">
      <c r="A234" s="26"/>
      <c r="B234" s="39" t="str">
        <f t="shared" si="11"/>
        <v/>
      </c>
      <c r="C234" s="43"/>
      <c r="D234" s="51" t="str" cm="1">
        <f t="array" ref="D234">IFERROR(INDEX(DB!G$2:G$2576,T234),"")</f>
        <v/>
      </c>
      <c r="E234" s="43"/>
      <c r="F234" s="52" t="str" cm="1">
        <f t="array" ref="F234">IFERROR(INDEX(DB!O$2:O$2576,T234),"")</f>
        <v/>
      </c>
      <c r="G234" s="43"/>
      <c r="H234" s="40" t="str" cm="1">
        <f t="array" ref="H234">IFERROR(INDEX(DB!P$2:P$2576,T234),"")</f>
        <v/>
      </c>
      <c r="I234" s="43"/>
      <c r="J234" s="53" t="str" cm="1">
        <f t="array" ref="J234">IFERROR(INDEX(DB!Q$2:Q$2576,T234),"")</f>
        <v/>
      </c>
      <c r="K234" s="43"/>
      <c r="L234" s="41" t="str" cm="1">
        <f t="array" ref="L234">IFERROR(INDEX(DB!R$2:R$2576,T234),"")</f>
        <v/>
      </c>
      <c r="M234" s="43"/>
      <c r="P234" t="str" cm="1">
        <f t="array" ref="P234">IFERROR(_xlfn.AGGREGATE(15,6,ROW(DB!A$2:A$2576)/((($D$3&lt;&gt;"YES")+($D$3="YES")*(DB!E$2:E$2576="YES"))*(($D$4="")+($D$4&lt;&gt;"")*( DB!B$2:B$2576=$D$4))*(($D$5="")+($D$5&lt;&gt;"")*( DB!C$2:C$2576=$D$5))*(($D$6="")+($D$6&lt;&gt;"")*( DB!D$2:D$2576=$D$6))*(($D$7="")+($D$7&lt;&gt;"")*(ISNUMBER(SEARCH($D$7,DB!G$2:G$2576))))*(($F$7="전체")+($F$7&lt;&gt;"전체")*(DB!H$2:H$2576=$F$7))),ROW()-13)-1,"")</f>
        <v/>
      </c>
      <c r="Q234" t="str" cm="1">
        <f t="array" ref="Q234">IFERROR(INDEX(DB!G$2:G$2576,P234),"")</f>
        <v/>
      </c>
      <c r="R234" t="str" cm="1">
        <f t="array" ref="R234">IFERROR(INDEX(DB!O$2:O$2576,P234),"")</f>
        <v/>
      </c>
      <c r="S234" t="str">
        <f t="shared" si="12"/>
        <v/>
      </c>
      <c r="T234" t="str">
        <f t="shared" si="13"/>
        <v/>
      </c>
    </row>
    <row r="235" spans="1:20" ht="100" customHeight="1">
      <c r="A235" s="26"/>
      <c r="B235" s="42" t="str">
        <f t="shared" si="11"/>
        <v/>
      </c>
      <c r="C235" s="43"/>
      <c r="D235" s="51" t="str" cm="1">
        <f t="array" ref="D235">IFERROR(INDEX(DB!G$2:G$2576,T235),"")</f>
        <v/>
      </c>
      <c r="E235" s="43"/>
      <c r="F235" s="52" t="str" cm="1">
        <f t="array" ref="F235">IFERROR(INDEX(DB!O$2:O$2576,T235),"")</f>
        <v/>
      </c>
      <c r="G235" s="43"/>
      <c r="H235" s="40" t="str" cm="1">
        <f t="array" ref="H235">IFERROR(INDEX(DB!P$2:P$2576,T235),"")</f>
        <v/>
      </c>
      <c r="I235" s="43"/>
      <c r="J235" s="53" t="str" cm="1">
        <f t="array" ref="J235">IFERROR(INDEX(DB!Q$2:Q$2576,T235),"")</f>
        <v/>
      </c>
      <c r="K235" s="43"/>
      <c r="L235" s="41" t="str" cm="1">
        <f t="array" ref="L235">IFERROR(INDEX(DB!R$2:R$2576,T235),"")</f>
        <v/>
      </c>
      <c r="M235" s="43"/>
      <c r="P235" t="str" cm="1">
        <f t="array" ref="P235">IFERROR(_xlfn.AGGREGATE(15,6,ROW(DB!A$2:A$2576)/((($D$3&lt;&gt;"YES")+($D$3="YES")*(DB!E$2:E$2576="YES"))*(($D$4="")+($D$4&lt;&gt;"")*( DB!B$2:B$2576=$D$4))*(($D$5="")+($D$5&lt;&gt;"")*( DB!C$2:C$2576=$D$5))*(($D$6="")+($D$6&lt;&gt;"")*( DB!D$2:D$2576=$D$6))*(($D$7="")+($D$7&lt;&gt;"")*(ISNUMBER(SEARCH($D$7,DB!G$2:G$2576))))*(($F$7="전체")+($F$7&lt;&gt;"전체")*(DB!H$2:H$2576=$F$7))),ROW()-13)-1,"")</f>
        <v/>
      </c>
      <c r="Q235" t="str" cm="1">
        <f t="array" ref="Q235">IFERROR(INDEX(DB!G$2:G$2576,P235),"")</f>
        <v/>
      </c>
      <c r="R235" t="str" cm="1">
        <f t="array" ref="R235">IFERROR(INDEX(DB!O$2:O$2576,P235),"")</f>
        <v/>
      </c>
      <c r="S235" t="str">
        <f t="shared" si="12"/>
        <v/>
      </c>
      <c r="T235" t="str">
        <f t="shared" si="13"/>
        <v/>
      </c>
    </row>
    <row r="236" spans="1:20" ht="100" customHeight="1">
      <c r="A236" s="26"/>
      <c r="B236" s="39" t="str">
        <f t="shared" si="11"/>
        <v/>
      </c>
      <c r="C236" s="43"/>
      <c r="D236" s="51" t="str" cm="1">
        <f t="array" ref="D236">IFERROR(INDEX(DB!G$2:G$2576,T236),"")</f>
        <v/>
      </c>
      <c r="E236" s="43"/>
      <c r="F236" s="52" t="str" cm="1">
        <f t="array" ref="F236">IFERROR(INDEX(DB!O$2:O$2576,T236),"")</f>
        <v/>
      </c>
      <c r="G236" s="43"/>
      <c r="H236" s="40" t="str" cm="1">
        <f t="array" ref="H236">IFERROR(INDEX(DB!P$2:P$2576,T236),"")</f>
        <v/>
      </c>
      <c r="I236" s="43"/>
      <c r="J236" s="53" t="str" cm="1">
        <f t="array" ref="J236">IFERROR(INDEX(DB!Q$2:Q$2576,T236),"")</f>
        <v/>
      </c>
      <c r="K236" s="43"/>
      <c r="L236" s="41" t="str" cm="1">
        <f t="array" ref="L236">IFERROR(INDEX(DB!R$2:R$2576,T236),"")</f>
        <v/>
      </c>
      <c r="M236" s="43"/>
      <c r="P236" t="str" cm="1">
        <f t="array" ref="P236">IFERROR(_xlfn.AGGREGATE(15,6,ROW(DB!A$2:A$2576)/((($D$3&lt;&gt;"YES")+($D$3="YES")*(DB!E$2:E$2576="YES"))*(($D$4="")+($D$4&lt;&gt;"")*( DB!B$2:B$2576=$D$4))*(($D$5="")+($D$5&lt;&gt;"")*( DB!C$2:C$2576=$D$5))*(($D$6="")+($D$6&lt;&gt;"")*( DB!D$2:D$2576=$D$6))*(($D$7="")+($D$7&lt;&gt;"")*(ISNUMBER(SEARCH($D$7,DB!G$2:G$2576))))*(($F$7="전체")+($F$7&lt;&gt;"전체")*(DB!H$2:H$2576=$F$7))),ROW()-13)-1,"")</f>
        <v/>
      </c>
      <c r="Q236" t="str" cm="1">
        <f t="array" ref="Q236">IFERROR(INDEX(DB!G$2:G$2576,P236),"")</f>
        <v/>
      </c>
      <c r="R236" t="str" cm="1">
        <f t="array" ref="R236">IFERROR(INDEX(DB!O$2:O$2576,P236),"")</f>
        <v/>
      </c>
      <c r="S236" t="str">
        <f t="shared" si="12"/>
        <v/>
      </c>
      <c r="T236" t="str">
        <f t="shared" si="13"/>
        <v/>
      </c>
    </row>
    <row r="237" spans="1:20" ht="100" customHeight="1">
      <c r="A237" s="26"/>
      <c r="B237" s="42" t="str">
        <f t="shared" si="11"/>
        <v/>
      </c>
      <c r="C237" s="43"/>
      <c r="D237" s="51" t="str" cm="1">
        <f t="array" ref="D237">IFERROR(INDEX(DB!G$2:G$2576,T237),"")</f>
        <v/>
      </c>
      <c r="E237" s="43"/>
      <c r="F237" s="52" t="str" cm="1">
        <f t="array" ref="F237">IFERROR(INDEX(DB!O$2:O$2576,T237),"")</f>
        <v/>
      </c>
      <c r="G237" s="43"/>
      <c r="H237" s="40" t="str" cm="1">
        <f t="array" ref="H237">IFERROR(INDEX(DB!P$2:P$2576,T237),"")</f>
        <v/>
      </c>
      <c r="I237" s="43"/>
      <c r="J237" s="53" t="str" cm="1">
        <f t="array" ref="J237">IFERROR(INDEX(DB!Q$2:Q$2576,T237),"")</f>
        <v/>
      </c>
      <c r="K237" s="43"/>
      <c r="L237" s="41" t="str" cm="1">
        <f t="array" ref="L237">IFERROR(INDEX(DB!R$2:R$2576,T237),"")</f>
        <v/>
      </c>
      <c r="M237" s="43"/>
      <c r="P237" t="str" cm="1">
        <f t="array" ref="P237">IFERROR(_xlfn.AGGREGATE(15,6,ROW(DB!A$2:A$2576)/((($D$3&lt;&gt;"YES")+($D$3="YES")*(DB!E$2:E$2576="YES"))*(($D$4="")+($D$4&lt;&gt;"")*( DB!B$2:B$2576=$D$4))*(($D$5="")+($D$5&lt;&gt;"")*( DB!C$2:C$2576=$D$5))*(($D$6="")+($D$6&lt;&gt;"")*( DB!D$2:D$2576=$D$6))*(($D$7="")+($D$7&lt;&gt;"")*(ISNUMBER(SEARCH($D$7,DB!G$2:G$2576))))*(($F$7="전체")+($F$7&lt;&gt;"전체")*(DB!H$2:H$2576=$F$7))),ROW()-13)-1,"")</f>
        <v/>
      </c>
      <c r="Q237" t="str" cm="1">
        <f t="array" ref="Q237">IFERROR(INDEX(DB!G$2:G$2576,P237),"")</f>
        <v/>
      </c>
      <c r="R237" t="str" cm="1">
        <f t="array" ref="R237">IFERROR(INDEX(DB!O$2:O$2576,P237),"")</f>
        <v/>
      </c>
      <c r="S237" t="str">
        <f t="shared" si="12"/>
        <v/>
      </c>
      <c r="T237" t="str">
        <f t="shared" si="13"/>
        <v/>
      </c>
    </row>
    <row r="238" spans="1:20" ht="100" customHeight="1">
      <c r="A238" s="26"/>
      <c r="B238" s="39" t="str">
        <f t="shared" si="11"/>
        <v/>
      </c>
      <c r="C238" s="43"/>
      <c r="D238" s="51" t="str" cm="1">
        <f t="array" ref="D238">IFERROR(INDEX(DB!G$2:G$2576,T238),"")</f>
        <v/>
      </c>
      <c r="E238" s="43"/>
      <c r="F238" s="52" t="str" cm="1">
        <f t="array" ref="F238">IFERROR(INDEX(DB!O$2:O$2576,T238),"")</f>
        <v/>
      </c>
      <c r="G238" s="43"/>
      <c r="H238" s="40" t="str" cm="1">
        <f t="array" ref="H238">IFERROR(INDEX(DB!P$2:P$2576,T238),"")</f>
        <v/>
      </c>
      <c r="I238" s="43"/>
      <c r="J238" s="53" t="str" cm="1">
        <f t="array" ref="J238">IFERROR(INDEX(DB!Q$2:Q$2576,T238),"")</f>
        <v/>
      </c>
      <c r="K238" s="43"/>
      <c r="L238" s="41" t="str" cm="1">
        <f t="array" ref="L238">IFERROR(INDEX(DB!R$2:R$2576,T238),"")</f>
        <v/>
      </c>
      <c r="M238" s="43"/>
      <c r="P238" t="str" cm="1">
        <f t="array" ref="P238">IFERROR(_xlfn.AGGREGATE(15,6,ROW(DB!A$2:A$2576)/((($D$3&lt;&gt;"YES")+($D$3="YES")*(DB!E$2:E$2576="YES"))*(($D$4="")+($D$4&lt;&gt;"")*( DB!B$2:B$2576=$D$4))*(($D$5="")+($D$5&lt;&gt;"")*( DB!C$2:C$2576=$D$5))*(($D$6="")+($D$6&lt;&gt;"")*( DB!D$2:D$2576=$D$6))*(($D$7="")+($D$7&lt;&gt;"")*(ISNUMBER(SEARCH($D$7,DB!G$2:G$2576))))*(($F$7="전체")+($F$7&lt;&gt;"전체")*(DB!H$2:H$2576=$F$7))),ROW()-13)-1,"")</f>
        <v/>
      </c>
      <c r="Q238" t="str" cm="1">
        <f t="array" ref="Q238">IFERROR(INDEX(DB!G$2:G$2576,P238),"")</f>
        <v/>
      </c>
      <c r="R238" t="str" cm="1">
        <f t="array" ref="R238">IFERROR(INDEX(DB!O$2:O$2576,P238),"")</f>
        <v/>
      </c>
      <c r="S238" t="str">
        <f t="shared" si="12"/>
        <v/>
      </c>
      <c r="T238" t="str">
        <f t="shared" si="13"/>
        <v/>
      </c>
    </row>
    <row r="239" spans="1:20" ht="100" customHeight="1">
      <c r="A239" s="26"/>
      <c r="B239" s="42" t="str">
        <f t="shared" si="11"/>
        <v/>
      </c>
      <c r="C239" s="43"/>
      <c r="D239" s="51" t="str" cm="1">
        <f t="array" ref="D239">IFERROR(INDEX(DB!G$2:G$2576,T239),"")</f>
        <v/>
      </c>
      <c r="E239" s="43"/>
      <c r="F239" s="52" t="str" cm="1">
        <f t="array" ref="F239">IFERROR(INDEX(DB!O$2:O$2576,T239),"")</f>
        <v/>
      </c>
      <c r="G239" s="43"/>
      <c r="H239" s="40" t="str" cm="1">
        <f t="array" ref="H239">IFERROR(INDEX(DB!P$2:P$2576,T239),"")</f>
        <v/>
      </c>
      <c r="I239" s="43"/>
      <c r="J239" s="53" t="str" cm="1">
        <f t="array" ref="J239">IFERROR(INDEX(DB!Q$2:Q$2576,T239),"")</f>
        <v/>
      </c>
      <c r="K239" s="43"/>
      <c r="L239" s="41" t="str" cm="1">
        <f t="array" ref="L239">IFERROR(INDEX(DB!R$2:R$2576,T239),"")</f>
        <v/>
      </c>
      <c r="M239" s="43"/>
      <c r="P239" t="str" cm="1">
        <f t="array" ref="P239">IFERROR(_xlfn.AGGREGATE(15,6,ROW(DB!A$2:A$2576)/((($D$3&lt;&gt;"YES")+($D$3="YES")*(DB!E$2:E$2576="YES"))*(($D$4="")+($D$4&lt;&gt;"")*( DB!B$2:B$2576=$D$4))*(($D$5="")+($D$5&lt;&gt;"")*( DB!C$2:C$2576=$D$5))*(($D$6="")+($D$6&lt;&gt;"")*( DB!D$2:D$2576=$D$6))*(($D$7="")+($D$7&lt;&gt;"")*(ISNUMBER(SEARCH($D$7,DB!G$2:G$2576))))*(($F$7="전체")+($F$7&lt;&gt;"전체")*(DB!H$2:H$2576=$F$7))),ROW()-13)-1,"")</f>
        <v/>
      </c>
      <c r="Q239" t="str" cm="1">
        <f t="array" ref="Q239">IFERROR(INDEX(DB!G$2:G$2576,P239),"")</f>
        <v/>
      </c>
      <c r="R239" t="str" cm="1">
        <f t="array" ref="R239">IFERROR(INDEX(DB!O$2:O$2576,P239),"")</f>
        <v/>
      </c>
      <c r="S239" t="str">
        <f t="shared" si="12"/>
        <v/>
      </c>
      <c r="T239" t="str">
        <f t="shared" si="13"/>
        <v/>
      </c>
    </row>
    <row r="240" spans="1:20" ht="100" customHeight="1">
      <c r="A240" s="26"/>
      <c r="B240" s="39" t="str">
        <f t="shared" si="11"/>
        <v/>
      </c>
      <c r="C240" s="43"/>
      <c r="D240" s="51" t="str" cm="1">
        <f t="array" ref="D240">IFERROR(INDEX(DB!G$2:G$2576,T240),"")</f>
        <v/>
      </c>
      <c r="E240" s="43"/>
      <c r="F240" s="52" t="str" cm="1">
        <f t="array" ref="F240">IFERROR(INDEX(DB!O$2:O$2576,T240),"")</f>
        <v/>
      </c>
      <c r="G240" s="43"/>
      <c r="H240" s="40" t="str" cm="1">
        <f t="array" ref="H240">IFERROR(INDEX(DB!P$2:P$2576,T240),"")</f>
        <v/>
      </c>
      <c r="I240" s="43"/>
      <c r="J240" s="53" t="str" cm="1">
        <f t="array" ref="J240">IFERROR(INDEX(DB!Q$2:Q$2576,T240),"")</f>
        <v/>
      </c>
      <c r="K240" s="43"/>
      <c r="L240" s="41" t="str" cm="1">
        <f t="array" ref="L240">IFERROR(INDEX(DB!R$2:R$2576,T240),"")</f>
        <v/>
      </c>
      <c r="M240" s="43"/>
      <c r="P240" t="str" cm="1">
        <f t="array" ref="P240">IFERROR(_xlfn.AGGREGATE(15,6,ROW(DB!A$2:A$2576)/((($D$3&lt;&gt;"YES")+($D$3="YES")*(DB!E$2:E$2576="YES"))*(($D$4="")+($D$4&lt;&gt;"")*( DB!B$2:B$2576=$D$4))*(($D$5="")+($D$5&lt;&gt;"")*( DB!C$2:C$2576=$D$5))*(($D$6="")+($D$6&lt;&gt;"")*( DB!D$2:D$2576=$D$6))*(($D$7="")+($D$7&lt;&gt;"")*(ISNUMBER(SEARCH($D$7,DB!G$2:G$2576))))*(($F$7="전체")+($F$7&lt;&gt;"전체")*(DB!H$2:H$2576=$F$7))),ROW()-13)-1,"")</f>
        <v/>
      </c>
      <c r="Q240" t="str" cm="1">
        <f t="array" ref="Q240">IFERROR(INDEX(DB!G$2:G$2576,P240),"")</f>
        <v/>
      </c>
      <c r="R240" t="str" cm="1">
        <f t="array" ref="R240">IFERROR(INDEX(DB!O$2:O$2576,P240),"")</f>
        <v/>
      </c>
      <c r="S240" t="str">
        <f t="shared" si="12"/>
        <v/>
      </c>
      <c r="T240" t="str">
        <f t="shared" si="13"/>
        <v/>
      </c>
    </row>
    <row r="241" spans="1:20" ht="100" customHeight="1">
      <c r="A241" s="26"/>
      <c r="B241" s="42" t="str">
        <f t="shared" si="11"/>
        <v/>
      </c>
      <c r="C241" s="43"/>
      <c r="D241" s="51" t="str" cm="1">
        <f t="array" ref="D241">IFERROR(INDEX(DB!G$2:G$2576,T241),"")</f>
        <v/>
      </c>
      <c r="E241" s="43"/>
      <c r="F241" s="52" t="str" cm="1">
        <f t="array" ref="F241">IFERROR(INDEX(DB!O$2:O$2576,T241),"")</f>
        <v/>
      </c>
      <c r="G241" s="43"/>
      <c r="H241" s="40" t="str" cm="1">
        <f t="array" ref="H241">IFERROR(INDEX(DB!P$2:P$2576,T241),"")</f>
        <v/>
      </c>
      <c r="I241" s="43"/>
      <c r="J241" s="53" t="str" cm="1">
        <f t="array" ref="J241">IFERROR(INDEX(DB!Q$2:Q$2576,T241),"")</f>
        <v/>
      </c>
      <c r="K241" s="43"/>
      <c r="L241" s="41" t="str" cm="1">
        <f t="array" ref="L241">IFERROR(INDEX(DB!R$2:R$2576,T241),"")</f>
        <v/>
      </c>
      <c r="M241" s="43"/>
      <c r="P241" t="str" cm="1">
        <f t="array" ref="P241">IFERROR(_xlfn.AGGREGATE(15,6,ROW(DB!A$2:A$2576)/((($D$3&lt;&gt;"YES")+($D$3="YES")*(DB!E$2:E$2576="YES"))*(($D$4="")+($D$4&lt;&gt;"")*( DB!B$2:B$2576=$D$4))*(($D$5="")+($D$5&lt;&gt;"")*( DB!C$2:C$2576=$D$5))*(($D$6="")+($D$6&lt;&gt;"")*( DB!D$2:D$2576=$D$6))*(($D$7="")+($D$7&lt;&gt;"")*(ISNUMBER(SEARCH($D$7,DB!G$2:G$2576))))*(($F$7="전체")+($F$7&lt;&gt;"전체")*(DB!H$2:H$2576=$F$7))),ROW()-13)-1,"")</f>
        <v/>
      </c>
      <c r="Q241" t="str" cm="1">
        <f t="array" ref="Q241">IFERROR(INDEX(DB!G$2:G$2576,P241),"")</f>
        <v/>
      </c>
      <c r="R241" t="str" cm="1">
        <f t="array" ref="R241">IFERROR(INDEX(DB!O$2:O$2576,P241),"")</f>
        <v/>
      </c>
      <c r="S241" t="str">
        <f t="shared" si="12"/>
        <v/>
      </c>
      <c r="T241" t="str">
        <f t="shared" si="13"/>
        <v/>
      </c>
    </row>
    <row r="242" spans="1:20" ht="100" customHeight="1">
      <c r="A242" s="26"/>
      <c r="B242" s="39" t="str">
        <f t="shared" si="11"/>
        <v/>
      </c>
      <c r="C242" s="43"/>
      <c r="D242" s="51" t="str" cm="1">
        <f t="array" ref="D242">IFERROR(INDEX(DB!G$2:G$2576,T242),"")</f>
        <v/>
      </c>
      <c r="E242" s="43"/>
      <c r="F242" s="52" t="str" cm="1">
        <f t="array" ref="F242">IFERROR(INDEX(DB!O$2:O$2576,T242),"")</f>
        <v/>
      </c>
      <c r="G242" s="43"/>
      <c r="H242" s="40" t="str" cm="1">
        <f t="array" ref="H242">IFERROR(INDEX(DB!P$2:P$2576,T242),"")</f>
        <v/>
      </c>
      <c r="I242" s="43"/>
      <c r="J242" s="53" t="str" cm="1">
        <f t="array" ref="J242">IFERROR(INDEX(DB!Q$2:Q$2576,T242),"")</f>
        <v/>
      </c>
      <c r="K242" s="43"/>
      <c r="L242" s="41" t="str" cm="1">
        <f t="array" ref="L242">IFERROR(INDEX(DB!R$2:R$2576,T242),"")</f>
        <v/>
      </c>
      <c r="M242" s="43"/>
      <c r="P242" t="str" cm="1">
        <f t="array" ref="P242">IFERROR(_xlfn.AGGREGATE(15,6,ROW(DB!A$2:A$2576)/((($D$3&lt;&gt;"YES")+($D$3="YES")*(DB!E$2:E$2576="YES"))*(($D$4="")+($D$4&lt;&gt;"")*( DB!B$2:B$2576=$D$4))*(($D$5="")+($D$5&lt;&gt;"")*( DB!C$2:C$2576=$D$5))*(($D$6="")+($D$6&lt;&gt;"")*( DB!D$2:D$2576=$D$6))*(($D$7="")+($D$7&lt;&gt;"")*(ISNUMBER(SEARCH($D$7,DB!G$2:G$2576))))*(($F$7="전체")+($F$7&lt;&gt;"전체")*(DB!H$2:H$2576=$F$7))),ROW()-13)-1,"")</f>
        <v/>
      </c>
      <c r="Q242" t="str" cm="1">
        <f t="array" ref="Q242">IFERROR(INDEX(DB!G$2:G$2576,P242),"")</f>
        <v/>
      </c>
      <c r="R242" t="str" cm="1">
        <f t="array" ref="R242">IFERROR(INDEX(DB!O$2:O$2576,P242),"")</f>
        <v/>
      </c>
      <c r="S242" t="str">
        <f t="shared" si="12"/>
        <v/>
      </c>
      <c r="T242" t="str">
        <f t="shared" si="13"/>
        <v/>
      </c>
    </row>
    <row r="243" spans="1:20" ht="100" customHeight="1">
      <c r="A243" s="26"/>
      <c r="B243" s="42" t="str">
        <f t="shared" si="11"/>
        <v/>
      </c>
      <c r="C243" s="43"/>
      <c r="D243" s="51" t="str" cm="1">
        <f t="array" ref="D243">IFERROR(INDEX(DB!G$2:G$2576,T243),"")</f>
        <v/>
      </c>
      <c r="E243" s="43"/>
      <c r="F243" s="52" t="str" cm="1">
        <f t="array" ref="F243">IFERROR(INDEX(DB!O$2:O$2576,T243),"")</f>
        <v/>
      </c>
      <c r="G243" s="43"/>
      <c r="H243" s="40" t="str" cm="1">
        <f t="array" ref="H243">IFERROR(INDEX(DB!P$2:P$2576,T243),"")</f>
        <v/>
      </c>
      <c r="I243" s="43"/>
      <c r="J243" s="53" t="str" cm="1">
        <f t="array" ref="J243">IFERROR(INDEX(DB!Q$2:Q$2576,T243),"")</f>
        <v/>
      </c>
      <c r="K243" s="43"/>
      <c r="L243" s="41" t="str" cm="1">
        <f t="array" ref="L243">IFERROR(INDEX(DB!R$2:R$2576,T243),"")</f>
        <v/>
      </c>
      <c r="M243" s="43"/>
      <c r="P243" t="str" cm="1">
        <f t="array" ref="P243">IFERROR(_xlfn.AGGREGATE(15,6,ROW(DB!A$2:A$2576)/((($D$3&lt;&gt;"YES")+($D$3="YES")*(DB!E$2:E$2576="YES"))*(($D$4="")+($D$4&lt;&gt;"")*( DB!B$2:B$2576=$D$4))*(($D$5="")+($D$5&lt;&gt;"")*( DB!C$2:C$2576=$D$5))*(($D$6="")+($D$6&lt;&gt;"")*( DB!D$2:D$2576=$D$6))*(($D$7="")+($D$7&lt;&gt;"")*(ISNUMBER(SEARCH($D$7,DB!G$2:G$2576))))*(($F$7="전체")+($F$7&lt;&gt;"전체")*(DB!H$2:H$2576=$F$7))),ROW()-13)-1,"")</f>
        <v/>
      </c>
      <c r="Q243" t="str" cm="1">
        <f t="array" ref="Q243">IFERROR(INDEX(DB!G$2:G$2576,P243),"")</f>
        <v/>
      </c>
      <c r="R243" t="str" cm="1">
        <f t="array" ref="R243">IFERROR(INDEX(DB!O$2:O$2576,P243),"")</f>
        <v/>
      </c>
      <c r="S243" t="str">
        <f t="shared" si="12"/>
        <v/>
      </c>
      <c r="T243" t="str">
        <f t="shared" si="13"/>
        <v/>
      </c>
    </row>
    <row r="244" spans="1:20" ht="100" customHeight="1">
      <c r="A244" s="26"/>
      <c r="B244" s="39" t="str">
        <f t="shared" si="11"/>
        <v/>
      </c>
      <c r="C244" s="43"/>
      <c r="D244" s="51" t="str" cm="1">
        <f t="array" ref="D244">IFERROR(INDEX(DB!G$2:G$2576,T244),"")</f>
        <v/>
      </c>
      <c r="E244" s="43"/>
      <c r="F244" s="52" t="str" cm="1">
        <f t="array" ref="F244">IFERROR(INDEX(DB!O$2:O$2576,T244),"")</f>
        <v/>
      </c>
      <c r="G244" s="43"/>
      <c r="H244" s="40" t="str" cm="1">
        <f t="array" ref="H244">IFERROR(INDEX(DB!P$2:P$2576,T244),"")</f>
        <v/>
      </c>
      <c r="I244" s="43"/>
      <c r="J244" s="53" t="str" cm="1">
        <f t="array" ref="J244">IFERROR(INDEX(DB!Q$2:Q$2576,T244),"")</f>
        <v/>
      </c>
      <c r="K244" s="43"/>
      <c r="L244" s="41" t="str" cm="1">
        <f t="array" ref="L244">IFERROR(INDEX(DB!R$2:R$2576,T244),"")</f>
        <v/>
      </c>
      <c r="M244" s="43"/>
      <c r="P244" t="str" cm="1">
        <f t="array" ref="P244">IFERROR(_xlfn.AGGREGATE(15,6,ROW(DB!A$2:A$2576)/((($D$3&lt;&gt;"YES")+($D$3="YES")*(DB!E$2:E$2576="YES"))*(($D$4="")+($D$4&lt;&gt;"")*( DB!B$2:B$2576=$D$4))*(($D$5="")+($D$5&lt;&gt;"")*( DB!C$2:C$2576=$D$5))*(($D$6="")+($D$6&lt;&gt;"")*( DB!D$2:D$2576=$D$6))*(($D$7="")+($D$7&lt;&gt;"")*(ISNUMBER(SEARCH($D$7,DB!G$2:G$2576))))*(($F$7="전체")+($F$7&lt;&gt;"전체")*(DB!H$2:H$2576=$F$7))),ROW()-13)-1,"")</f>
        <v/>
      </c>
      <c r="Q244" t="str" cm="1">
        <f t="array" ref="Q244">IFERROR(INDEX(DB!G$2:G$2576,P244),"")</f>
        <v/>
      </c>
      <c r="R244" t="str" cm="1">
        <f t="array" ref="R244">IFERROR(INDEX(DB!O$2:O$2576,P244),"")</f>
        <v/>
      </c>
      <c r="S244" t="str">
        <f t="shared" si="12"/>
        <v/>
      </c>
      <c r="T244" t="str">
        <f t="shared" si="13"/>
        <v/>
      </c>
    </row>
    <row r="245" spans="1:20" ht="100" customHeight="1">
      <c r="A245" s="26"/>
      <c r="B245" s="42" t="str">
        <f t="shared" si="11"/>
        <v/>
      </c>
      <c r="C245" s="43"/>
      <c r="D245" s="51" t="str" cm="1">
        <f t="array" ref="D245">IFERROR(INDEX(DB!G$2:G$2576,T245),"")</f>
        <v/>
      </c>
      <c r="E245" s="43"/>
      <c r="F245" s="52" t="str" cm="1">
        <f t="array" ref="F245">IFERROR(INDEX(DB!O$2:O$2576,T245),"")</f>
        <v/>
      </c>
      <c r="G245" s="43"/>
      <c r="H245" s="40" t="str" cm="1">
        <f t="array" ref="H245">IFERROR(INDEX(DB!P$2:P$2576,T245),"")</f>
        <v/>
      </c>
      <c r="I245" s="43"/>
      <c r="J245" s="53" t="str" cm="1">
        <f t="array" ref="J245">IFERROR(INDEX(DB!Q$2:Q$2576,T245),"")</f>
        <v/>
      </c>
      <c r="K245" s="43"/>
      <c r="L245" s="41" t="str" cm="1">
        <f t="array" ref="L245">IFERROR(INDEX(DB!R$2:R$2576,T245),"")</f>
        <v/>
      </c>
      <c r="M245" s="43"/>
      <c r="P245" t="str" cm="1">
        <f t="array" ref="P245">IFERROR(_xlfn.AGGREGATE(15,6,ROW(DB!A$2:A$2576)/((($D$3&lt;&gt;"YES")+($D$3="YES")*(DB!E$2:E$2576="YES"))*(($D$4="")+($D$4&lt;&gt;"")*( DB!B$2:B$2576=$D$4))*(($D$5="")+($D$5&lt;&gt;"")*( DB!C$2:C$2576=$D$5))*(($D$6="")+($D$6&lt;&gt;"")*( DB!D$2:D$2576=$D$6))*(($D$7="")+($D$7&lt;&gt;"")*(ISNUMBER(SEARCH($D$7,DB!G$2:G$2576))))*(($F$7="전체")+($F$7&lt;&gt;"전체")*(DB!H$2:H$2576=$F$7))),ROW()-13)-1,"")</f>
        <v/>
      </c>
      <c r="Q245" t="str" cm="1">
        <f t="array" ref="Q245">IFERROR(INDEX(DB!G$2:G$2576,P245),"")</f>
        <v/>
      </c>
      <c r="R245" t="str" cm="1">
        <f t="array" ref="R245">IFERROR(INDEX(DB!O$2:O$2576,P245),"")</f>
        <v/>
      </c>
      <c r="S245" t="str">
        <f t="shared" si="12"/>
        <v/>
      </c>
      <c r="T245" t="str">
        <f t="shared" si="13"/>
        <v/>
      </c>
    </row>
    <row r="246" spans="1:20" ht="100" customHeight="1">
      <c r="A246" s="26"/>
      <c r="B246" s="39" t="str">
        <f t="shared" si="11"/>
        <v/>
      </c>
      <c r="C246" s="43"/>
      <c r="D246" s="51" t="str" cm="1">
        <f t="array" ref="D246">IFERROR(INDEX(DB!G$2:G$2576,T246),"")</f>
        <v/>
      </c>
      <c r="E246" s="43"/>
      <c r="F246" s="52" t="str" cm="1">
        <f t="array" ref="F246">IFERROR(INDEX(DB!O$2:O$2576,T246),"")</f>
        <v/>
      </c>
      <c r="G246" s="43"/>
      <c r="H246" s="40" t="str" cm="1">
        <f t="array" ref="H246">IFERROR(INDEX(DB!P$2:P$2576,T246),"")</f>
        <v/>
      </c>
      <c r="I246" s="43"/>
      <c r="J246" s="53" t="str" cm="1">
        <f t="array" ref="J246">IFERROR(INDEX(DB!Q$2:Q$2576,T246),"")</f>
        <v/>
      </c>
      <c r="K246" s="43"/>
      <c r="L246" s="41" t="str" cm="1">
        <f t="array" ref="L246">IFERROR(INDEX(DB!R$2:R$2576,T246),"")</f>
        <v/>
      </c>
      <c r="M246" s="43"/>
      <c r="P246" t="str" cm="1">
        <f t="array" ref="P246">IFERROR(_xlfn.AGGREGATE(15,6,ROW(DB!A$2:A$2576)/((($D$3&lt;&gt;"YES")+($D$3="YES")*(DB!E$2:E$2576="YES"))*(($D$4="")+($D$4&lt;&gt;"")*( DB!B$2:B$2576=$D$4))*(($D$5="")+($D$5&lt;&gt;"")*( DB!C$2:C$2576=$D$5))*(($D$6="")+($D$6&lt;&gt;"")*( DB!D$2:D$2576=$D$6))*(($D$7="")+($D$7&lt;&gt;"")*(ISNUMBER(SEARCH($D$7,DB!G$2:G$2576))))*(($F$7="전체")+($F$7&lt;&gt;"전체")*(DB!H$2:H$2576=$F$7))),ROW()-13)-1,"")</f>
        <v/>
      </c>
      <c r="Q246" t="str" cm="1">
        <f t="array" ref="Q246">IFERROR(INDEX(DB!G$2:G$2576,P246),"")</f>
        <v/>
      </c>
      <c r="R246" t="str" cm="1">
        <f t="array" ref="R246">IFERROR(INDEX(DB!O$2:O$2576,P246),"")</f>
        <v/>
      </c>
      <c r="S246" t="str">
        <f t="shared" si="12"/>
        <v/>
      </c>
      <c r="T246" t="str">
        <f t="shared" si="13"/>
        <v/>
      </c>
    </row>
    <row r="247" spans="1:20" ht="100" customHeight="1">
      <c r="A247" s="26"/>
      <c r="B247" s="42" t="str">
        <f t="shared" si="11"/>
        <v/>
      </c>
      <c r="C247" s="43"/>
      <c r="D247" s="51" t="str" cm="1">
        <f t="array" ref="D247">IFERROR(INDEX(DB!G$2:G$2576,T247),"")</f>
        <v/>
      </c>
      <c r="E247" s="43"/>
      <c r="F247" s="52" t="str" cm="1">
        <f t="array" ref="F247">IFERROR(INDEX(DB!O$2:O$2576,T247),"")</f>
        <v/>
      </c>
      <c r="G247" s="43"/>
      <c r="H247" s="40" t="str" cm="1">
        <f t="array" ref="H247">IFERROR(INDEX(DB!P$2:P$2576,T247),"")</f>
        <v/>
      </c>
      <c r="I247" s="43"/>
      <c r="J247" s="53" t="str" cm="1">
        <f t="array" ref="J247">IFERROR(INDEX(DB!Q$2:Q$2576,T247),"")</f>
        <v/>
      </c>
      <c r="K247" s="43"/>
      <c r="L247" s="41" t="str" cm="1">
        <f t="array" ref="L247">IFERROR(INDEX(DB!R$2:R$2576,T247),"")</f>
        <v/>
      </c>
      <c r="M247" s="43"/>
      <c r="P247" t="str" cm="1">
        <f t="array" ref="P247">IFERROR(_xlfn.AGGREGATE(15,6,ROW(DB!A$2:A$2576)/((($D$3&lt;&gt;"YES")+($D$3="YES")*(DB!E$2:E$2576="YES"))*(($D$4="")+($D$4&lt;&gt;"")*( DB!B$2:B$2576=$D$4))*(($D$5="")+($D$5&lt;&gt;"")*( DB!C$2:C$2576=$D$5))*(($D$6="")+($D$6&lt;&gt;"")*( DB!D$2:D$2576=$D$6))*(($D$7="")+($D$7&lt;&gt;"")*(ISNUMBER(SEARCH($D$7,DB!G$2:G$2576))))*(($F$7="전체")+($F$7&lt;&gt;"전체")*(DB!H$2:H$2576=$F$7))),ROW()-13)-1,"")</f>
        <v/>
      </c>
      <c r="Q247" t="str" cm="1">
        <f t="array" ref="Q247">IFERROR(INDEX(DB!G$2:G$2576,P247),"")</f>
        <v/>
      </c>
      <c r="R247" t="str" cm="1">
        <f t="array" ref="R247">IFERROR(INDEX(DB!O$2:O$2576,P247),"")</f>
        <v/>
      </c>
      <c r="S247" t="str">
        <f t="shared" si="12"/>
        <v/>
      </c>
      <c r="T247" t="str">
        <f t="shared" si="13"/>
        <v/>
      </c>
    </row>
    <row r="248" spans="1:20" ht="100" customHeight="1">
      <c r="A248" s="26"/>
      <c r="B248" s="39" t="str">
        <f t="shared" si="11"/>
        <v/>
      </c>
      <c r="C248" s="43"/>
      <c r="D248" s="51" t="str" cm="1">
        <f t="array" ref="D248">IFERROR(INDEX(DB!G$2:G$2576,T248),"")</f>
        <v/>
      </c>
      <c r="E248" s="43"/>
      <c r="F248" s="52" t="str" cm="1">
        <f t="array" ref="F248">IFERROR(INDEX(DB!O$2:O$2576,T248),"")</f>
        <v/>
      </c>
      <c r="G248" s="43"/>
      <c r="H248" s="40" t="str" cm="1">
        <f t="array" ref="H248">IFERROR(INDEX(DB!P$2:P$2576,T248),"")</f>
        <v/>
      </c>
      <c r="I248" s="43"/>
      <c r="J248" s="53" t="str" cm="1">
        <f t="array" ref="J248">IFERROR(INDEX(DB!Q$2:Q$2576,T248),"")</f>
        <v/>
      </c>
      <c r="K248" s="43"/>
      <c r="L248" s="41" t="str" cm="1">
        <f t="array" ref="L248">IFERROR(INDEX(DB!R$2:R$2576,T248),"")</f>
        <v/>
      </c>
      <c r="M248" s="43"/>
      <c r="P248" t="str" cm="1">
        <f t="array" ref="P248">IFERROR(_xlfn.AGGREGATE(15,6,ROW(DB!A$2:A$2576)/((($D$3&lt;&gt;"YES")+($D$3="YES")*(DB!E$2:E$2576="YES"))*(($D$4="")+($D$4&lt;&gt;"")*( DB!B$2:B$2576=$D$4))*(($D$5="")+($D$5&lt;&gt;"")*( DB!C$2:C$2576=$D$5))*(($D$6="")+($D$6&lt;&gt;"")*( DB!D$2:D$2576=$D$6))*(($D$7="")+($D$7&lt;&gt;"")*(ISNUMBER(SEARCH($D$7,DB!G$2:G$2576))))*(($F$7="전체")+($F$7&lt;&gt;"전체")*(DB!H$2:H$2576=$F$7))),ROW()-13)-1,"")</f>
        <v/>
      </c>
      <c r="Q248" t="str" cm="1">
        <f t="array" ref="Q248">IFERROR(INDEX(DB!G$2:G$2576,P248),"")</f>
        <v/>
      </c>
      <c r="R248" t="str" cm="1">
        <f t="array" ref="R248">IFERROR(INDEX(DB!O$2:O$2576,P248),"")</f>
        <v/>
      </c>
      <c r="S248" t="str">
        <f t="shared" si="12"/>
        <v/>
      </c>
      <c r="T248" t="str">
        <f t="shared" si="13"/>
        <v/>
      </c>
    </row>
    <row r="249" spans="1:20" ht="100" customHeight="1">
      <c r="A249" s="26"/>
      <c r="B249" s="42" t="str">
        <f t="shared" si="11"/>
        <v/>
      </c>
      <c r="C249" s="43"/>
      <c r="D249" s="51" t="str" cm="1">
        <f t="array" ref="D249">IFERROR(INDEX(DB!G$2:G$2576,T249),"")</f>
        <v/>
      </c>
      <c r="E249" s="43"/>
      <c r="F249" s="52" t="str" cm="1">
        <f t="array" ref="F249">IFERROR(INDEX(DB!O$2:O$2576,T249),"")</f>
        <v/>
      </c>
      <c r="G249" s="43"/>
      <c r="H249" s="40" t="str" cm="1">
        <f t="array" ref="H249">IFERROR(INDEX(DB!P$2:P$2576,T249),"")</f>
        <v/>
      </c>
      <c r="I249" s="43"/>
      <c r="J249" s="53" t="str" cm="1">
        <f t="array" ref="J249">IFERROR(INDEX(DB!Q$2:Q$2576,T249),"")</f>
        <v/>
      </c>
      <c r="K249" s="43"/>
      <c r="L249" s="41" t="str" cm="1">
        <f t="array" ref="L249">IFERROR(INDEX(DB!R$2:R$2576,T249),"")</f>
        <v/>
      </c>
      <c r="M249" s="43"/>
      <c r="P249" t="str" cm="1">
        <f t="array" ref="P249">IFERROR(_xlfn.AGGREGATE(15,6,ROW(DB!A$2:A$2576)/((($D$3&lt;&gt;"YES")+($D$3="YES")*(DB!E$2:E$2576="YES"))*(($D$4="")+($D$4&lt;&gt;"")*( DB!B$2:B$2576=$D$4))*(($D$5="")+($D$5&lt;&gt;"")*( DB!C$2:C$2576=$D$5))*(($D$6="")+($D$6&lt;&gt;"")*( DB!D$2:D$2576=$D$6))*(($D$7="")+($D$7&lt;&gt;"")*(ISNUMBER(SEARCH($D$7,DB!G$2:G$2576))))*(($F$7="전체")+($F$7&lt;&gt;"전체")*(DB!H$2:H$2576=$F$7))),ROW()-13)-1,"")</f>
        <v/>
      </c>
      <c r="Q249" t="str" cm="1">
        <f t="array" ref="Q249">IFERROR(INDEX(DB!G$2:G$2576,P249),"")</f>
        <v/>
      </c>
      <c r="R249" t="str" cm="1">
        <f t="array" ref="R249">IFERROR(INDEX(DB!O$2:O$2576,P249),"")</f>
        <v/>
      </c>
      <c r="S249" t="str">
        <f t="shared" si="12"/>
        <v/>
      </c>
      <c r="T249" t="str">
        <f t="shared" si="13"/>
        <v/>
      </c>
    </row>
    <row r="250" spans="1:20" ht="100" customHeight="1">
      <c r="A250" s="26"/>
      <c r="B250" s="39" t="str">
        <f t="shared" si="11"/>
        <v/>
      </c>
      <c r="C250" s="43"/>
      <c r="D250" s="51" t="str" cm="1">
        <f t="array" ref="D250">IFERROR(INDEX(DB!G$2:G$2576,T250),"")</f>
        <v/>
      </c>
      <c r="E250" s="43"/>
      <c r="F250" s="52" t="str" cm="1">
        <f t="array" ref="F250">IFERROR(INDEX(DB!O$2:O$2576,T250),"")</f>
        <v/>
      </c>
      <c r="G250" s="43"/>
      <c r="H250" s="40" t="str" cm="1">
        <f t="array" ref="H250">IFERROR(INDEX(DB!P$2:P$2576,T250),"")</f>
        <v/>
      </c>
      <c r="I250" s="43"/>
      <c r="J250" s="53" t="str" cm="1">
        <f t="array" ref="J250">IFERROR(INDEX(DB!Q$2:Q$2576,T250),"")</f>
        <v/>
      </c>
      <c r="K250" s="43"/>
      <c r="L250" s="41" t="str" cm="1">
        <f t="array" ref="L250">IFERROR(INDEX(DB!R$2:R$2576,T250),"")</f>
        <v/>
      </c>
      <c r="M250" s="43"/>
      <c r="P250" t="str" cm="1">
        <f t="array" ref="P250">IFERROR(_xlfn.AGGREGATE(15,6,ROW(DB!A$2:A$2576)/((($D$3&lt;&gt;"YES")+($D$3="YES")*(DB!E$2:E$2576="YES"))*(($D$4="")+($D$4&lt;&gt;"")*( DB!B$2:B$2576=$D$4))*(($D$5="")+($D$5&lt;&gt;"")*( DB!C$2:C$2576=$D$5))*(($D$6="")+($D$6&lt;&gt;"")*( DB!D$2:D$2576=$D$6))*(($D$7="")+($D$7&lt;&gt;"")*(ISNUMBER(SEARCH($D$7,DB!G$2:G$2576))))*(($F$7="전체")+($F$7&lt;&gt;"전체")*(DB!H$2:H$2576=$F$7))),ROW()-13)-1,"")</f>
        <v/>
      </c>
      <c r="Q250" t="str" cm="1">
        <f t="array" ref="Q250">IFERROR(INDEX(DB!G$2:G$2576,P250),"")</f>
        <v/>
      </c>
      <c r="R250" t="str" cm="1">
        <f t="array" ref="R250">IFERROR(INDEX(DB!O$2:O$2576,P250),"")</f>
        <v/>
      </c>
      <c r="S250" t="str">
        <f t="shared" si="12"/>
        <v/>
      </c>
      <c r="T250" t="str">
        <f t="shared" si="13"/>
        <v/>
      </c>
    </row>
    <row r="251" spans="1:20" ht="100" customHeight="1">
      <c r="A251" s="26"/>
      <c r="B251" s="42" t="str">
        <f t="shared" si="11"/>
        <v/>
      </c>
      <c r="C251" s="43"/>
      <c r="D251" s="51" t="str" cm="1">
        <f t="array" ref="D251">IFERROR(INDEX(DB!G$2:G$2576,T251),"")</f>
        <v/>
      </c>
      <c r="E251" s="43"/>
      <c r="F251" s="52" t="str" cm="1">
        <f t="array" ref="F251">IFERROR(INDEX(DB!O$2:O$2576,T251),"")</f>
        <v/>
      </c>
      <c r="G251" s="43"/>
      <c r="H251" s="40" t="str" cm="1">
        <f t="array" ref="H251">IFERROR(INDEX(DB!P$2:P$2576,T251),"")</f>
        <v/>
      </c>
      <c r="I251" s="43"/>
      <c r="J251" s="53" t="str" cm="1">
        <f t="array" ref="J251">IFERROR(INDEX(DB!Q$2:Q$2576,T251),"")</f>
        <v/>
      </c>
      <c r="K251" s="43"/>
      <c r="L251" s="41" t="str" cm="1">
        <f t="array" ref="L251">IFERROR(INDEX(DB!R$2:R$2576,T251),"")</f>
        <v/>
      </c>
      <c r="M251" s="43"/>
      <c r="P251" t="str" cm="1">
        <f t="array" ref="P251">IFERROR(_xlfn.AGGREGATE(15,6,ROW(DB!A$2:A$2576)/((($D$3&lt;&gt;"YES")+($D$3="YES")*(DB!E$2:E$2576="YES"))*(($D$4="")+($D$4&lt;&gt;"")*( DB!B$2:B$2576=$D$4))*(($D$5="")+($D$5&lt;&gt;"")*( DB!C$2:C$2576=$D$5))*(($D$6="")+($D$6&lt;&gt;"")*( DB!D$2:D$2576=$D$6))*(($D$7="")+($D$7&lt;&gt;"")*(ISNUMBER(SEARCH($D$7,DB!G$2:G$2576))))*(($F$7="전체")+($F$7&lt;&gt;"전체")*(DB!H$2:H$2576=$F$7))),ROW()-13)-1,"")</f>
        <v/>
      </c>
      <c r="Q251" t="str" cm="1">
        <f t="array" ref="Q251">IFERROR(INDEX(DB!G$2:G$2576,P251),"")</f>
        <v/>
      </c>
      <c r="R251" t="str" cm="1">
        <f t="array" ref="R251">IFERROR(INDEX(DB!O$2:O$2576,P251),"")</f>
        <v/>
      </c>
      <c r="S251" t="str">
        <f t="shared" si="12"/>
        <v/>
      </c>
      <c r="T251" t="str">
        <f t="shared" si="13"/>
        <v/>
      </c>
    </row>
    <row r="252" spans="1:20" ht="100" customHeight="1">
      <c r="A252" s="26"/>
      <c r="B252" s="39" t="str">
        <f t="shared" si="11"/>
        <v/>
      </c>
      <c r="C252" s="43"/>
      <c r="D252" s="51" t="str" cm="1">
        <f t="array" ref="D252">IFERROR(INDEX(DB!G$2:G$2576,T252),"")</f>
        <v/>
      </c>
      <c r="E252" s="43"/>
      <c r="F252" s="52" t="str" cm="1">
        <f t="array" ref="F252">IFERROR(INDEX(DB!O$2:O$2576,T252),"")</f>
        <v/>
      </c>
      <c r="G252" s="43"/>
      <c r="H252" s="40" t="str" cm="1">
        <f t="array" ref="H252">IFERROR(INDEX(DB!P$2:P$2576,T252),"")</f>
        <v/>
      </c>
      <c r="I252" s="43"/>
      <c r="J252" s="53" t="str" cm="1">
        <f t="array" ref="J252">IFERROR(INDEX(DB!Q$2:Q$2576,T252),"")</f>
        <v/>
      </c>
      <c r="K252" s="43"/>
      <c r="L252" s="41" t="str" cm="1">
        <f t="array" ref="L252">IFERROR(INDEX(DB!R$2:R$2576,T252),"")</f>
        <v/>
      </c>
      <c r="M252" s="43"/>
      <c r="P252" t="str" cm="1">
        <f t="array" ref="P252">IFERROR(_xlfn.AGGREGATE(15,6,ROW(DB!A$2:A$2576)/((($D$3&lt;&gt;"YES")+($D$3="YES")*(DB!E$2:E$2576="YES"))*(($D$4="")+($D$4&lt;&gt;"")*( DB!B$2:B$2576=$D$4))*(($D$5="")+($D$5&lt;&gt;"")*( DB!C$2:C$2576=$D$5))*(($D$6="")+($D$6&lt;&gt;"")*( DB!D$2:D$2576=$D$6))*(($D$7="")+($D$7&lt;&gt;"")*(ISNUMBER(SEARCH($D$7,DB!G$2:G$2576))))*(($F$7="전체")+($F$7&lt;&gt;"전체")*(DB!H$2:H$2576=$F$7))),ROW()-13)-1,"")</f>
        <v/>
      </c>
      <c r="Q252" t="str" cm="1">
        <f t="array" ref="Q252">IFERROR(INDEX(DB!G$2:G$2576,P252),"")</f>
        <v/>
      </c>
      <c r="R252" t="str" cm="1">
        <f t="array" ref="R252">IFERROR(INDEX(DB!O$2:O$2576,P252),"")</f>
        <v/>
      </c>
      <c r="S252" t="str">
        <f t="shared" si="12"/>
        <v/>
      </c>
      <c r="T252" t="str">
        <f t="shared" si="13"/>
        <v/>
      </c>
    </row>
    <row r="253" spans="1:20" ht="100" customHeight="1">
      <c r="A253" s="26"/>
      <c r="B253" s="42" t="str">
        <f t="shared" si="11"/>
        <v/>
      </c>
      <c r="C253" s="43"/>
      <c r="D253" s="51" t="str" cm="1">
        <f t="array" ref="D253">IFERROR(INDEX(DB!G$2:G$2576,T253),"")</f>
        <v/>
      </c>
      <c r="E253" s="43"/>
      <c r="F253" s="52" t="str" cm="1">
        <f t="array" ref="F253">IFERROR(INDEX(DB!O$2:O$2576,T253),"")</f>
        <v/>
      </c>
      <c r="G253" s="43"/>
      <c r="H253" s="40" t="str" cm="1">
        <f t="array" ref="H253">IFERROR(INDEX(DB!P$2:P$2576,T253),"")</f>
        <v/>
      </c>
      <c r="I253" s="43"/>
      <c r="J253" s="53" t="str" cm="1">
        <f t="array" ref="J253">IFERROR(INDEX(DB!Q$2:Q$2576,T253),"")</f>
        <v/>
      </c>
      <c r="K253" s="43"/>
      <c r="L253" s="41" t="str" cm="1">
        <f t="array" ref="L253">IFERROR(INDEX(DB!R$2:R$2576,T253),"")</f>
        <v/>
      </c>
      <c r="M253" s="43"/>
      <c r="P253" t="str" cm="1">
        <f t="array" ref="P253">IFERROR(_xlfn.AGGREGATE(15,6,ROW(DB!A$2:A$2576)/((($D$3&lt;&gt;"YES")+($D$3="YES")*(DB!E$2:E$2576="YES"))*(($D$4="")+($D$4&lt;&gt;"")*( DB!B$2:B$2576=$D$4))*(($D$5="")+($D$5&lt;&gt;"")*( DB!C$2:C$2576=$D$5))*(($D$6="")+($D$6&lt;&gt;"")*( DB!D$2:D$2576=$D$6))*(($D$7="")+($D$7&lt;&gt;"")*(ISNUMBER(SEARCH($D$7,DB!G$2:G$2576))))*(($F$7="전체")+($F$7&lt;&gt;"전체")*(DB!H$2:H$2576=$F$7))),ROW()-13)-1,"")</f>
        <v/>
      </c>
      <c r="Q253" t="str" cm="1">
        <f t="array" ref="Q253">IFERROR(INDEX(DB!G$2:G$2576,P253),"")</f>
        <v/>
      </c>
      <c r="R253" t="str" cm="1">
        <f t="array" ref="R253">IFERROR(INDEX(DB!O$2:O$2576,P253),"")</f>
        <v/>
      </c>
      <c r="S253" t="str">
        <f t="shared" si="12"/>
        <v/>
      </c>
      <c r="T253" t="str">
        <f t="shared" si="13"/>
        <v/>
      </c>
    </row>
    <row r="254" spans="1:20" ht="100" customHeight="1">
      <c r="A254" s="26"/>
      <c r="B254" s="39" t="str">
        <f t="shared" si="11"/>
        <v/>
      </c>
      <c r="C254" s="43"/>
      <c r="D254" s="51" t="str" cm="1">
        <f t="array" ref="D254">IFERROR(INDEX(DB!G$2:G$2576,T254),"")</f>
        <v/>
      </c>
      <c r="E254" s="43"/>
      <c r="F254" s="52" t="str" cm="1">
        <f t="array" ref="F254">IFERROR(INDEX(DB!O$2:O$2576,T254),"")</f>
        <v/>
      </c>
      <c r="G254" s="43"/>
      <c r="H254" s="40" t="str" cm="1">
        <f t="array" ref="H254">IFERROR(INDEX(DB!P$2:P$2576,T254),"")</f>
        <v/>
      </c>
      <c r="I254" s="43"/>
      <c r="J254" s="53" t="str" cm="1">
        <f t="array" ref="J254">IFERROR(INDEX(DB!Q$2:Q$2576,T254),"")</f>
        <v/>
      </c>
      <c r="K254" s="43"/>
      <c r="L254" s="41" t="str" cm="1">
        <f t="array" ref="L254">IFERROR(INDEX(DB!R$2:R$2576,T254),"")</f>
        <v/>
      </c>
      <c r="M254" s="43"/>
      <c r="P254" t="str" cm="1">
        <f t="array" ref="P254">IFERROR(_xlfn.AGGREGATE(15,6,ROW(DB!A$2:A$2576)/((($D$3&lt;&gt;"YES")+($D$3="YES")*(DB!E$2:E$2576="YES"))*(($D$4="")+($D$4&lt;&gt;"")*( DB!B$2:B$2576=$D$4))*(($D$5="")+($D$5&lt;&gt;"")*( DB!C$2:C$2576=$D$5))*(($D$6="")+($D$6&lt;&gt;"")*( DB!D$2:D$2576=$D$6))*(($D$7="")+($D$7&lt;&gt;"")*(ISNUMBER(SEARCH($D$7,DB!G$2:G$2576))))*(($F$7="전체")+($F$7&lt;&gt;"전체")*(DB!H$2:H$2576=$F$7))),ROW()-13)-1,"")</f>
        <v/>
      </c>
      <c r="Q254" t="str" cm="1">
        <f t="array" ref="Q254">IFERROR(INDEX(DB!G$2:G$2576,P254),"")</f>
        <v/>
      </c>
      <c r="R254" t="str" cm="1">
        <f t="array" ref="R254">IFERROR(INDEX(DB!O$2:O$2576,P254),"")</f>
        <v/>
      </c>
      <c r="S254" t="str">
        <f t="shared" si="12"/>
        <v/>
      </c>
      <c r="T254" t="str">
        <f t="shared" si="13"/>
        <v/>
      </c>
    </row>
    <row r="255" spans="1:20" ht="100" customHeight="1">
      <c r="A255" s="26"/>
      <c r="B255" s="42" t="str">
        <f t="shared" si="11"/>
        <v/>
      </c>
      <c r="C255" s="43"/>
      <c r="D255" s="51" t="str" cm="1">
        <f t="array" ref="D255">IFERROR(INDEX(DB!G$2:G$2576,T255),"")</f>
        <v/>
      </c>
      <c r="E255" s="43"/>
      <c r="F255" s="52" t="str" cm="1">
        <f t="array" ref="F255">IFERROR(INDEX(DB!O$2:O$2576,T255),"")</f>
        <v/>
      </c>
      <c r="G255" s="43"/>
      <c r="H255" s="40" t="str" cm="1">
        <f t="array" ref="H255">IFERROR(INDEX(DB!P$2:P$2576,T255),"")</f>
        <v/>
      </c>
      <c r="I255" s="43"/>
      <c r="J255" s="53" t="str" cm="1">
        <f t="array" ref="J255">IFERROR(INDEX(DB!Q$2:Q$2576,T255),"")</f>
        <v/>
      </c>
      <c r="K255" s="43"/>
      <c r="L255" s="41" t="str" cm="1">
        <f t="array" ref="L255">IFERROR(INDEX(DB!R$2:R$2576,T255),"")</f>
        <v/>
      </c>
      <c r="M255" s="43"/>
      <c r="P255" t="str" cm="1">
        <f t="array" ref="P255">IFERROR(_xlfn.AGGREGATE(15,6,ROW(DB!A$2:A$2576)/((($D$3&lt;&gt;"YES")+($D$3="YES")*(DB!E$2:E$2576="YES"))*(($D$4="")+($D$4&lt;&gt;"")*( DB!B$2:B$2576=$D$4))*(($D$5="")+($D$5&lt;&gt;"")*( DB!C$2:C$2576=$D$5))*(($D$6="")+($D$6&lt;&gt;"")*( DB!D$2:D$2576=$D$6))*(($D$7="")+($D$7&lt;&gt;"")*(ISNUMBER(SEARCH($D$7,DB!G$2:G$2576))))*(($F$7="전체")+($F$7&lt;&gt;"전체")*(DB!H$2:H$2576=$F$7))),ROW()-13)-1,"")</f>
        <v/>
      </c>
      <c r="Q255" t="str" cm="1">
        <f t="array" ref="Q255">IFERROR(INDEX(DB!G$2:G$2576,P255),"")</f>
        <v/>
      </c>
      <c r="R255" t="str" cm="1">
        <f t="array" ref="R255">IFERROR(INDEX(DB!O$2:O$2576,P255),"")</f>
        <v/>
      </c>
      <c r="S255" t="str">
        <f t="shared" si="12"/>
        <v/>
      </c>
      <c r="T255" t="str">
        <f t="shared" si="13"/>
        <v/>
      </c>
    </row>
    <row r="256" spans="1:20" ht="100" customHeight="1">
      <c r="A256" s="26"/>
      <c r="B256" s="39" t="str">
        <f t="shared" si="11"/>
        <v/>
      </c>
      <c r="C256" s="43"/>
      <c r="D256" s="51" t="str" cm="1">
        <f t="array" ref="D256">IFERROR(INDEX(DB!G$2:G$2576,T256),"")</f>
        <v/>
      </c>
      <c r="E256" s="43"/>
      <c r="F256" s="52" t="str" cm="1">
        <f t="array" ref="F256">IFERROR(INDEX(DB!O$2:O$2576,T256),"")</f>
        <v/>
      </c>
      <c r="G256" s="43"/>
      <c r="H256" s="40" t="str" cm="1">
        <f t="array" ref="H256">IFERROR(INDEX(DB!P$2:P$2576,T256),"")</f>
        <v/>
      </c>
      <c r="I256" s="43"/>
      <c r="J256" s="53" t="str" cm="1">
        <f t="array" ref="J256">IFERROR(INDEX(DB!Q$2:Q$2576,T256),"")</f>
        <v/>
      </c>
      <c r="K256" s="43"/>
      <c r="L256" s="41" t="str" cm="1">
        <f t="array" ref="L256">IFERROR(INDEX(DB!R$2:R$2576,T256),"")</f>
        <v/>
      </c>
      <c r="M256" s="43"/>
      <c r="P256" t="str" cm="1">
        <f t="array" ref="P256">IFERROR(_xlfn.AGGREGATE(15,6,ROW(DB!A$2:A$2576)/((($D$3&lt;&gt;"YES")+($D$3="YES")*(DB!E$2:E$2576="YES"))*(($D$4="")+($D$4&lt;&gt;"")*( DB!B$2:B$2576=$D$4))*(($D$5="")+($D$5&lt;&gt;"")*( DB!C$2:C$2576=$D$5))*(($D$6="")+($D$6&lt;&gt;"")*( DB!D$2:D$2576=$D$6))*(($D$7="")+($D$7&lt;&gt;"")*(ISNUMBER(SEARCH($D$7,DB!G$2:G$2576))))*(($F$7="전체")+($F$7&lt;&gt;"전체")*(DB!H$2:H$2576=$F$7))),ROW()-13)-1,"")</f>
        <v/>
      </c>
      <c r="Q256" t="str" cm="1">
        <f t="array" ref="Q256">IFERROR(INDEX(DB!G$2:G$2576,P256),"")</f>
        <v/>
      </c>
      <c r="R256" t="str" cm="1">
        <f t="array" ref="R256">IFERROR(INDEX(DB!O$2:O$2576,P256),"")</f>
        <v/>
      </c>
      <c r="S256" t="str">
        <f t="shared" si="12"/>
        <v/>
      </c>
      <c r="T256" t="str">
        <f t="shared" si="13"/>
        <v/>
      </c>
    </row>
    <row r="257" spans="1:20" ht="100" customHeight="1">
      <c r="A257" s="26"/>
      <c r="B257" s="42" t="str">
        <f t="shared" si="11"/>
        <v/>
      </c>
      <c r="C257" s="43"/>
      <c r="D257" s="51" t="str" cm="1">
        <f t="array" ref="D257">IFERROR(INDEX(DB!G$2:G$2576,T257),"")</f>
        <v/>
      </c>
      <c r="E257" s="43"/>
      <c r="F257" s="52" t="str" cm="1">
        <f t="array" ref="F257">IFERROR(INDEX(DB!O$2:O$2576,T257),"")</f>
        <v/>
      </c>
      <c r="G257" s="43"/>
      <c r="H257" s="40" t="str" cm="1">
        <f t="array" ref="H257">IFERROR(INDEX(DB!P$2:P$2576,T257),"")</f>
        <v/>
      </c>
      <c r="I257" s="43"/>
      <c r="J257" s="53" t="str" cm="1">
        <f t="array" ref="J257">IFERROR(INDEX(DB!Q$2:Q$2576,T257),"")</f>
        <v/>
      </c>
      <c r="K257" s="43"/>
      <c r="L257" s="41" t="str" cm="1">
        <f t="array" ref="L257">IFERROR(INDEX(DB!R$2:R$2576,T257),"")</f>
        <v/>
      </c>
      <c r="M257" s="43"/>
      <c r="P257" t="str" cm="1">
        <f t="array" ref="P257">IFERROR(_xlfn.AGGREGATE(15,6,ROW(DB!A$2:A$2576)/((($D$3&lt;&gt;"YES")+($D$3="YES")*(DB!E$2:E$2576="YES"))*(($D$4="")+($D$4&lt;&gt;"")*( DB!B$2:B$2576=$D$4))*(($D$5="")+($D$5&lt;&gt;"")*( DB!C$2:C$2576=$D$5))*(($D$6="")+($D$6&lt;&gt;"")*( DB!D$2:D$2576=$D$6))*(($D$7="")+($D$7&lt;&gt;"")*(ISNUMBER(SEARCH($D$7,DB!G$2:G$2576))))*(($F$7="전체")+($F$7&lt;&gt;"전체")*(DB!H$2:H$2576=$F$7))),ROW()-13)-1,"")</f>
        <v/>
      </c>
      <c r="Q257" t="str" cm="1">
        <f t="array" ref="Q257">IFERROR(INDEX(DB!G$2:G$2576,P257),"")</f>
        <v/>
      </c>
      <c r="R257" t="str" cm="1">
        <f t="array" ref="R257">IFERROR(INDEX(DB!O$2:O$2576,P257),"")</f>
        <v/>
      </c>
      <c r="S257" t="str">
        <f t="shared" si="12"/>
        <v/>
      </c>
      <c r="T257" t="str">
        <f t="shared" si="13"/>
        <v/>
      </c>
    </row>
    <row r="258" spans="1:20" ht="100" customHeight="1">
      <c r="A258" s="26"/>
      <c r="B258" s="39" t="str">
        <f t="shared" si="11"/>
        <v/>
      </c>
      <c r="C258" s="43"/>
      <c r="D258" s="51" t="str" cm="1">
        <f t="array" ref="D258">IFERROR(INDEX(DB!G$2:G$2576,T258),"")</f>
        <v/>
      </c>
      <c r="E258" s="43"/>
      <c r="F258" s="52" t="str" cm="1">
        <f t="array" ref="F258">IFERROR(INDEX(DB!O$2:O$2576,T258),"")</f>
        <v/>
      </c>
      <c r="G258" s="43"/>
      <c r="H258" s="40" t="str" cm="1">
        <f t="array" ref="H258">IFERROR(INDEX(DB!P$2:P$2576,T258),"")</f>
        <v/>
      </c>
      <c r="I258" s="43"/>
      <c r="J258" s="53" t="str" cm="1">
        <f t="array" ref="J258">IFERROR(INDEX(DB!Q$2:Q$2576,T258),"")</f>
        <v/>
      </c>
      <c r="K258" s="43"/>
      <c r="L258" s="41" t="str" cm="1">
        <f t="array" ref="L258">IFERROR(INDEX(DB!R$2:R$2576,T258),"")</f>
        <v/>
      </c>
      <c r="M258" s="43"/>
      <c r="P258" t="str" cm="1">
        <f t="array" ref="P258">IFERROR(_xlfn.AGGREGATE(15,6,ROW(DB!A$2:A$2576)/((($D$3&lt;&gt;"YES")+($D$3="YES")*(DB!E$2:E$2576="YES"))*(($D$4="")+($D$4&lt;&gt;"")*( DB!B$2:B$2576=$D$4))*(($D$5="")+($D$5&lt;&gt;"")*( DB!C$2:C$2576=$D$5))*(($D$6="")+($D$6&lt;&gt;"")*( DB!D$2:D$2576=$D$6))*(($D$7="")+($D$7&lt;&gt;"")*(ISNUMBER(SEARCH($D$7,DB!G$2:G$2576))))*(($F$7="전체")+($F$7&lt;&gt;"전체")*(DB!H$2:H$2576=$F$7))),ROW()-13)-1,"")</f>
        <v/>
      </c>
      <c r="Q258" t="str" cm="1">
        <f t="array" ref="Q258">IFERROR(INDEX(DB!G$2:G$2576,P258),"")</f>
        <v/>
      </c>
      <c r="R258" t="str" cm="1">
        <f t="array" ref="R258">IFERROR(INDEX(DB!O$2:O$2576,P258),"")</f>
        <v/>
      </c>
      <c r="S258" t="str">
        <f t="shared" si="12"/>
        <v/>
      </c>
      <c r="T258" t="str">
        <f t="shared" si="13"/>
        <v/>
      </c>
    </row>
    <row r="259" spans="1:20" ht="100" customHeight="1">
      <c r="A259" s="26"/>
      <c r="B259" s="42" t="str">
        <f t="shared" si="11"/>
        <v/>
      </c>
      <c r="C259" s="43"/>
      <c r="D259" s="51" t="str" cm="1">
        <f t="array" ref="D259">IFERROR(INDEX(DB!G$2:G$2576,T259),"")</f>
        <v/>
      </c>
      <c r="E259" s="43"/>
      <c r="F259" s="52" t="str" cm="1">
        <f t="array" ref="F259">IFERROR(INDEX(DB!O$2:O$2576,T259),"")</f>
        <v/>
      </c>
      <c r="G259" s="43"/>
      <c r="H259" s="40" t="str" cm="1">
        <f t="array" ref="H259">IFERROR(INDEX(DB!P$2:P$2576,T259),"")</f>
        <v/>
      </c>
      <c r="I259" s="43"/>
      <c r="J259" s="53" t="str" cm="1">
        <f t="array" ref="J259">IFERROR(INDEX(DB!Q$2:Q$2576,T259),"")</f>
        <v/>
      </c>
      <c r="K259" s="43"/>
      <c r="L259" s="41" t="str" cm="1">
        <f t="array" ref="L259">IFERROR(INDEX(DB!R$2:R$2576,T259),"")</f>
        <v/>
      </c>
      <c r="M259" s="43"/>
      <c r="P259" t="str" cm="1">
        <f t="array" ref="P259">IFERROR(_xlfn.AGGREGATE(15,6,ROW(DB!A$2:A$2576)/((($D$3&lt;&gt;"YES")+($D$3="YES")*(DB!E$2:E$2576="YES"))*(($D$4="")+($D$4&lt;&gt;"")*( DB!B$2:B$2576=$D$4))*(($D$5="")+($D$5&lt;&gt;"")*( DB!C$2:C$2576=$D$5))*(($D$6="")+($D$6&lt;&gt;"")*( DB!D$2:D$2576=$D$6))*(($D$7="")+($D$7&lt;&gt;"")*(ISNUMBER(SEARCH($D$7,DB!G$2:G$2576))))*(($F$7="전체")+($F$7&lt;&gt;"전체")*(DB!H$2:H$2576=$F$7))),ROW()-13)-1,"")</f>
        <v/>
      </c>
      <c r="Q259" t="str" cm="1">
        <f t="array" ref="Q259">IFERROR(INDEX(DB!G$2:G$2576,P259),"")</f>
        <v/>
      </c>
      <c r="R259" t="str" cm="1">
        <f t="array" ref="R259">IFERROR(INDEX(DB!O$2:O$2576,P259),"")</f>
        <v/>
      </c>
      <c r="S259" t="str">
        <f t="shared" si="12"/>
        <v/>
      </c>
      <c r="T259" t="str">
        <f t="shared" si="13"/>
        <v/>
      </c>
    </row>
    <row r="260" spans="1:20" ht="100" customHeight="1">
      <c r="A260" s="26"/>
      <c r="B260" s="39" t="str">
        <f t="shared" si="11"/>
        <v/>
      </c>
      <c r="C260" s="43"/>
      <c r="D260" s="51" t="str" cm="1">
        <f t="array" ref="D260">IFERROR(INDEX(DB!G$2:G$2576,T260),"")</f>
        <v/>
      </c>
      <c r="E260" s="43"/>
      <c r="F260" s="52" t="str" cm="1">
        <f t="array" ref="F260">IFERROR(INDEX(DB!O$2:O$2576,T260),"")</f>
        <v/>
      </c>
      <c r="G260" s="43"/>
      <c r="H260" s="40" t="str" cm="1">
        <f t="array" ref="H260">IFERROR(INDEX(DB!P$2:P$2576,T260),"")</f>
        <v/>
      </c>
      <c r="I260" s="43"/>
      <c r="J260" s="53" t="str" cm="1">
        <f t="array" ref="J260">IFERROR(INDEX(DB!Q$2:Q$2576,T260),"")</f>
        <v/>
      </c>
      <c r="K260" s="43"/>
      <c r="L260" s="41" t="str" cm="1">
        <f t="array" ref="L260">IFERROR(INDEX(DB!R$2:R$2576,T260),"")</f>
        <v/>
      </c>
      <c r="M260" s="43"/>
      <c r="P260" t="str" cm="1">
        <f t="array" ref="P260">IFERROR(_xlfn.AGGREGATE(15,6,ROW(DB!A$2:A$2576)/((($D$3&lt;&gt;"YES")+($D$3="YES")*(DB!E$2:E$2576="YES"))*(($D$4="")+($D$4&lt;&gt;"")*( DB!B$2:B$2576=$D$4))*(($D$5="")+($D$5&lt;&gt;"")*( DB!C$2:C$2576=$D$5))*(($D$6="")+($D$6&lt;&gt;"")*( DB!D$2:D$2576=$D$6))*(($D$7="")+($D$7&lt;&gt;"")*(ISNUMBER(SEARCH($D$7,DB!G$2:G$2576))))*(($F$7="전체")+($F$7&lt;&gt;"전체")*(DB!H$2:H$2576=$F$7))),ROW()-13)-1,"")</f>
        <v/>
      </c>
      <c r="Q260" t="str" cm="1">
        <f t="array" ref="Q260">IFERROR(INDEX(DB!G$2:G$2576,P260),"")</f>
        <v/>
      </c>
      <c r="R260" t="str" cm="1">
        <f t="array" ref="R260">IFERROR(INDEX(DB!O$2:O$2576,P260),"")</f>
        <v/>
      </c>
      <c r="S260" t="str">
        <f t="shared" si="12"/>
        <v/>
      </c>
      <c r="T260" t="str">
        <f t="shared" si="13"/>
        <v/>
      </c>
    </row>
    <row r="261" spans="1:20" ht="100" customHeight="1">
      <c r="A261" s="26"/>
      <c r="B261" s="42" t="str">
        <f t="shared" si="11"/>
        <v/>
      </c>
      <c r="C261" s="43"/>
      <c r="D261" s="51" t="str" cm="1">
        <f t="array" ref="D261">IFERROR(INDEX(DB!G$2:G$2576,T261),"")</f>
        <v/>
      </c>
      <c r="E261" s="43"/>
      <c r="F261" s="52" t="str" cm="1">
        <f t="array" ref="F261">IFERROR(INDEX(DB!O$2:O$2576,T261),"")</f>
        <v/>
      </c>
      <c r="G261" s="43"/>
      <c r="H261" s="40" t="str" cm="1">
        <f t="array" ref="H261">IFERROR(INDEX(DB!P$2:P$2576,T261),"")</f>
        <v/>
      </c>
      <c r="I261" s="43"/>
      <c r="J261" s="53" t="str" cm="1">
        <f t="array" ref="J261">IFERROR(INDEX(DB!Q$2:Q$2576,T261),"")</f>
        <v/>
      </c>
      <c r="K261" s="43"/>
      <c r="L261" s="41" t="str" cm="1">
        <f t="array" ref="L261">IFERROR(INDEX(DB!R$2:R$2576,T261),"")</f>
        <v/>
      </c>
      <c r="M261" s="43"/>
      <c r="P261" t="str" cm="1">
        <f t="array" ref="P261">IFERROR(_xlfn.AGGREGATE(15,6,ROW(DB!A$2:A$2576)/((($D$3&lt;&gt;"YES")+($D$3="YES")*(DB!E$2:E$2576="YES"))*(($D$4="")+($D$4&lt;&gt;"")*( DB!B$2:B$2576=$D$4))*(($D$5="")+($D$5&lt;&gt;"")*( DB!C$2:C$2576=$D$5))*(($D$6="")+($D$6&lt;&gt;"")*( DB!D$2:D$2576=$D$6))*(($D$7="")+($D$7&lt;&gt;"")*(ISNUMBER(SEARCH($D$7,DB!G$2:G$2576))))*(($F$7="전체")+($F$7&lt;&gt;"전체")*(DB!H$2:H$2576=$F$7))),ROW()-13)-1,"")</f>
        <v/>
      </c>
      <c r="Q261" t="str" cm="1">
        <f t="array" ref="Q261">IFERROR(INDEX(DB!G$2:G$2576,P261),"")</f>
        <v/>
      </c>
      <c r="R261" t="str" cm="1">
        <f t="array" ref="R261">IFERROR(INDEX(DB!O$2:O$2576,P261),"")</f>
        <v/>
      </c>
      <c r="S261" t="str">
        <f t="shared" si="12"/>
        <v/>
      </c>
      <c r="T261" t="str">
        <f t="shared" si="13"/>
        <v/>
      </c>
    </row>
    <row r="262" spans="1:20" ht="100" customHeight="1">
      <c r="A262" s="26"/>
      <c r="B262" s="39" t="str">
        <f t="shared" si="11"/>
        <v/>
      </c>
      <c r="C262" s="43"/>
      <c r="D262" s="51" t="str" cm="1">
        <f t="array" ref="D262">IFERROR(INDEX(DB!G$2:G$2576,T262),"")</f>
        <v/>
      </c>
      <c r="E262" s="43"/>
      <c r="F262" s="52" t="str" cm="1">
        <f t="array" ref="F262">IFERROR(INDEX(DB!O$2:O$2576,T262),"")</f>
        <v/>
      </c>
      <c r="G262" s="43"/>
      <c r="H262" s="40" t="str" cm="1">
        <f t="array" ref="H262">IFERROR(INDEX(DB!P$2:P$2576,T262),"")</f>
        <v/>
      </c>
      <c r="I262" s="43"/>
      <c r="J262" s="53" t="str" cm="1">
        <f t="array" ref="J262">IFERROR(INDEX(DB!Q$2:Q$2576,T262),"")</f>
        <v/>
      </c>
      <c r="K262" s="43"/>
      <c r="L262" s="41" t="str" cm="1">
        <f t="array" ref="L262">IFERROR(INDEX(DB!R$2:R$2576,T262),"")</f>
        <v/>
      </c>
      <c r="M262" s="43"/>
      <c r="P262" t="str" cm="1">
        <f t="array" ref="P262">IFERROR(_xlfn.AGGREGATE(15,6,ROW(DB!A$2:A$2576)/((($D$3&lt;&gt;"YES")+($D$3="YES")*(DB!E$2:E$2576="YES"))*(($D$4="")+($D$4&lt;&gt;"")*( DB!B$2:B$2576=$D$4))*(($D$5="")+($D$5&lt;&gt;"")*( DB!C$2:C$2576=$D$5))*(($D$6="")+($D$6&lt;&gt;"")*( DB!D$2:D$2576=$D$6))*(($D$7="")+($D$7&lt;&gt;"")*(ISNUMBER(SEARCH($D$7,DB!G$2:G$2576))))*(($F$7="전체")+($F$7&lt;&gt;"전체")*(DB!H$2:H$2576=$F$7))),ROW()-13)-1,"")</f>
        <v/>
      </c>
      <c r="Q262" t="str" cm="1">
        <f t="array" ref="Q262">IFERROR(INDEX(DB!G$2:G$2576,P262),"")</f>
        <v/>
      </c>
      <c r="R262" t="str" cm="1">
        <f t="array" ref="R262">IFERROR(INDEX(DB!O$2:O$2576,P262),"")</f>
        <v/>
      </c>
      <c r="S262" t="str">
        <f t="shared" si="12"/>
        <v/>
      </c>
      <c r="T262" t="str">
        <f t="shared" si="13"/>
        <v/>
      </c>
    </row>
    <row r="263" spans="1:20" ht="100" customHeight="1">
      <c r="A263" s="26"/>
      <c r="B263" s="42" t="str">
        <f t="shared" si="11"/>
        <v/>
      </c>
      <c r="C263" s="43"/>
      <c r="D263" s="51" t="str" cm="1">
        <f t="array" ref="D263">IFERROR(INDEX(DB!G$2:G$2576,T263),"")</f>
        <v/>
      </c>
      <c r="E263" s="43"/>
      <c r="F263" s="52" t="str" cm="1">
        <f t="array" ref="F263">IFERROR(INDEX(DB!O$2:O$2576,T263),"")</f>
        <v/>
      </c>
      <c r="G263" s="43"/>
      <c r="H263" s="40" t="str" cm="1">
        <f t="array" ref="H263">IFERROR(INDEX(DB!P$2:P$2576,T263),"")</f>
        <v/>
      </c>
      <c r="I263" s="43"/>
      <c r="J263" s="53" t="str" cm="1">
        <f t="array" ref="J263">IFERROR(INDEX(DB!Q$2:Q$2576,T263),"")</f>
        <v/>
      </c>
      <c r="K263" s="43"/>
      <c r="L263" s="41" t="str" cm="1">
        <f t="array" ref="L263">IFERROR(INDEX(DB!R$2:R$2576,T263),"")</f>
        <v/>
      </c>
      <c r="M263" s="43"/>
      <c r="P263" t="str" cm="1">
        <f t="array" ref="P263">IFERROR(_xlfn.AGGREGATE(15,6,ROW(DB!A$2:A$2576)/((($D$3&lt;&gt;"YES")+($D$3="YES")*(DB!E$2:E$2576="YES"))*(($D$4="")+($D$4&lt;&gt;"")*( DB!B$2:B$2576=$D$4))*(($D$5="")+($D$5&lt;&gt;"")*( DB!C$2:C$2576=$D$5))*(($D$6="")+($D$6&lt;&gt;"")*( DB!D$2:D$2576=$D$6))*(($D$7="")+($D$7&lt;&gt;"")*(ISNUMBER(SEARCH($D$7,DB!G$2:G$2576))))*(($F$7="전체")+($F$7&lt;&gt;"전체")*(DB!H$2:H$2576=$F$7))),ROW()-13)-1,"")</f>
        <v/>
      </c>
      <c r="Q263" t="str" cm="1">
        <f t="array" ref="Q263">IFERROR(INDEX(DB!G$2:G$2576,P263),"")</f>
        <v/>
      </c>
      <c r="R263" t="str" cm="1">
        <f t="array" ref="R263">IFERROR(INDEX(DB!O$2:O$2576,P263),"")</f>
        <v/>
      </c>
      <c r="S263" t="str">
        <f t="shared" si="12"/>
        <v/>
      </c>
      <c r="T263" t="str">
        <f t="shared" si="13"/>
        <v/>
      </c>
    </row>
    <row r="264" spans="1:20" ht="100" customHeight="1">
      <c r="A264" s="26"/>
      <c r="B264" s="39" t="str">
        <f t="shared" si="11"/>
        <v/>
      </c>
      <c r="C264" s="43"/>
      <c r="D264" s="51" t="str" cm="1">
        <f t="array" ref="D264">IFERROR(INDEX(DB!G$2:G$2576,T264),"")</f>
        <v/>
      </c>
      <c r="E264" s="43"/>
      <c r="F264" s="52" t="str" cm="1">
        <f t="array" ref="F264">IFERROR(INDEX(DB!O$2:O$2576,T264),"")</f>
        <v/>
      </c>
      <c r="G264" s="43"/>
      <c r="H264" s="40" t="str" cm="1">
        <f t="array" ref="H264">IFERROR(INDEX(DB!P$2:P$2576,T264),"")</f>
        <v/>
      </c>
      <c r="I264" s="43"/>
      <c r="J264" s="53" t="str" cm="1">
        <f t="array" ref="J264">IFERROR(INDEX(DB!Q$2:Q$2576,T264),"")</f>
        <v/>
      </c>
      <c r="K264" s="43"/>
      <c r="L264" s="41" t="str" cm="1">
        <f t="array" ref="L264">IFERROR(INDEX(DB!R$2:R$2576,T264),"")</f>
        <v/>
      </c>
      <c r="M264" s="43"/>
      <c r="P264" t="str" cm="1">
        <f t="array" ref="P264">IFERROR(_xlfn.AGGREGATE(15,6,ROW(DB!A$2:A$2576)/((($D$3&lt;&gt;"YES")+($D$3="YES")*(DB!E$2:E$2576="YES"))*(($D$4="")+($D$4&lt;&gt;"")*( DB!B$2:B$2576=$D$4))*(($D$5="")+($D$5&lt;&gt;"")*( DB!C$2:C$2576=$D$5))*(($D$6="")+($D$6&lt;&gt;"")*( DB!D$2:D$2576=$D$6))*(($D$7="")+($D$7&lt;&gt;"")*(ISNUMBER(SEARCH($D$7,DB!G$2:G$2576))))*(($F$7="전체")+($F$7&lt;&gt;"전체")*(DB!H$2:H$2576=$F$7))),ROW()-13)-1,"")</f>
        <v/>
      </c>
      <c r="Q264" t="str" cm="1">
        <f t="array" ref="Q264">IFERROR(INDEX(DB!G$2:G$2576,P264),"")</f>
        <v/>
      </c>
      <c r="R264" t="str" cm="1">
        <f t="array" ref="R264">IFERROR(INDEX(DB!O$2:O$2576,P264),"")</f>
        <v/>
      </c>
      <c r="S264" t="str">
        <f t="shared" si="12"/>
        <v/>
      </c>
      <c r="T264" t="str">
        <f t="shared" si="13"/>
        <v/>
      </c>
    </row>
    <row r="265" spans="1:20" ht="100" customHeight="1">
      <c r="A265" s="26"/>
      <c r="B265" s="42" t="str">
        <f t="shared" si="11"/>
        <v/>
      </c>
      <c r="C265" s="43"/>
      <c r="D265" s="51" t="str" cm="1">
        <f t="array" ref="D265">IFERROR(INDEX(DB!G$2:G$2576,T265),"")</f>
        <v/>
      </c>
      <c r="E265" s="43"/>
      <c r="F265" s="52" t="str" cm="1">
        <f t="array" ref="F265">IFERROR(INDEX(DB!O$2:O$2576,T265),"")</f>
        <v/>
      </c>
      <c r="G265" s="43"/>
      <c r="H265" s="40" t="str" cm="1">
        <f t="array" ref="H265">IFERROR(INDEX(DB!P$2:P$2576,T265),"")</f>
        <v/>
      </c>
      <c r="I265" s="43"/>
      <c r="J265" s="53" t="str" cm="1">
        <f t="array" ref="J265">IFERROR(INDEX(DB!Q$2:Q$2576,T265),"")</f>
        <v/>
      </c>
      <c r="K265" s="43"/>
      <c r="L265" s="41" t="str" cm="1">
        <f t="array" ref="L265">IFERROR(INDEX(DB!R$2:R$2576,T265),"")</f>
        <v/>
      </c>
      <c r="M265" s="43"/>
      <c r="P265" t="str" cm="1">
        <f t="array" ref="P265">IFERROR(_xlfn.AGGREGATE(15,6,ROW(DB!A$2:A$2576)/((($D$3&lt;&gt;"YES")+($D$3="YES")*(DB!E$2:E$2576="YES"))*(($D$4="")+($D$4&lt;&gt;"")*( DB!B$2:B$2576=$D$4))*(($D$5="")+($D$5&lt;&gt;"")*( DB!C$2:C$2576=$D$5))*(($D$6="")+($D$6&lt;&gt;"")*( DB!D$2:D$2576=$D$6))*(($D$7="")+($D$7&lt;&gt;"")*(ISNUMBER(SEARCH($D$7,DB!G$2:G$2576))))*(($F$7="전체")+($F$7&lt;&gt;"전체")*(DB!H$2:H$2576=$F$7))),ROW()-13)-1,"")</f>
        <v/>
      </c>
      <c r="Q265" t="str" cm="1">
        <f t="array" ref="Q265">IFERROR(INDEX(DB!G$2:G$2576,P265),"")</f>
        <v/>
      </c>
      <c r="R265" t="str" cm="1">
        <f t="array" ref="R265">IFERROR(INDEX(DB!O$2:O$2576,P265),"")</f>
        <v/>
      </c>
      <c r="S265" t="str">
        <f t="shared" si="12"/>
        <v/>
      </c>
      <c r="T265" t="str">
        <f t="shared" si="13"/>
        <v/>
      </c>
    </row>
    <row r="266" spans="1:20" ht="100" customHeight="1">
      <c r="A266" s="26"/>
      <c r="B266" s="39" t="str">
        <f t="shared" si="11"/>
        <v/>
      </c>
      <c r="C266" s="43"/>
      <c r="D266" s="51" t="str" cm="1">
        <f t="array" ref="D266">IFERROR(INDEX(DB!G$2:G$2576,T266),"")</f>
        <v/>
      </c>
      <c r="E266" s="43"/>
      <c r="F266" s="52" t="str" cm="1">
        <f t="array" ref="F266">IFERROR(INDEX(DB!O$2:O$2576,T266),"")</f>
        <v/>
      </c>
      <c r="G266" s="43"/>
      <c r="H266" s="40" t="str" cm="1">
        <f t="array" ref="H266">IFERROR(INDEX(DB!P$2:P$2576,T266),"")</f>
        <v/>
      </c>
      <c r="I266" s="43"/>
      <c r="J266" s="53" t="str" cm="1">
        <f t="array" ref="J266">IFERROR(INDEX(DB!Q$2:Q$2576,T266),"")</f>
        <v/>
      </c>
      <c r="K266" s="43"/>
      <c r="L266" s="41" t="str" cm="1">
        <f t="array" ref="L266">IFERROR(INDEX(DB!R$2:R$2576,T266),"")</f>
        <v/>
      </c>
      <c r="M266" s="43"/>
      <c r="P266" t="str" cm="1">
        <f t="array" ref="P266">IFERROR(_xlfn.AGGREGATE(15,6,ROW(DB!A$2:A$2576)/((($D$3&lt;&gt;"YES")+($D$3="YES")*(DB!E$2:E$2576="YES"))*(($D$4="")+($D$4&lt;&gt;"")*( DB!B$2:B$2576=$D$4))*(($D$5="")+($D$5&lt;&gt;"")*( DB!C$2:C$2576=$D$5))*(($D$6="")+($D$6&lt;&gt;"")*( DB!D$2:D$2576=$D$6))*(($D$7="")+($D$7&lt;&gt;"")*(ISNUMBER(SEARCH($D$7,DB!G$2:G$2576))))*(($F$7="전체")+($F$7&lt;&gt;"전체")*(DB!H$2:H$2576=$F$7))),ROW()-13)-1,"")</f>
        <v/>
      </c>
      <c r="Q266" t="str" cm="1">
        <f t="array" ref="Q266">IFERROR(INDEX(DB!G$2:G$2576,P266),"")</f>
        <v/>
      </c>
      <c r="R266" t="str" cm="1">
        <f t="array" ref="R266">IFERROR(INDEX(DB!O$2:O$2576,P266),"")</f>
        <v/>
      </c>
      <c r="S266" t="str">
        <f t="shared" si="12"/>
        <v/>
      </c>
      <c r="T266" t="str">
        <f t="shared" si="13"/>
        <v/>
      </c>
    </row>
    <row r="267" spans="1:20" ht="100" customHeight="1">
      <c r="A267" s="26"/>
      <c r="B267" s="42" t="str">
        <f t="shared" si="11"/>
        <v/>
      </c>
      <c r="C267" s="43"/>
      <c r="D267" s="51" t="str" cm="1">
        <f t="array" ref="D267">IFERROR(INDEX(DB!G$2:G$2576,T267),"")</f>
        <v/>
      </c>
      <c r="E267" s="43"/>
      <c r="F267" s="52" t="str" cm="1">
        <f t="array" ref="F267">IFERROR(INDEX(DB!O$2:O$2576,T267),"")</f>
        <v/>
      </c>
      <c r="G267" s="43"/>
      <c r="H267" s="40" t="str" cm="1">
        <f t="array" ref="H267">IFERROR(INDEX(DB!P$2:P$2576,T267),"")</f>
        <v/>
      </c>
      <c r="I267" s="43"/>
      <c r="J267" s="53" t="str" cm="1">
        <f t="array" ref="J267">IFERROR(INDEX(DB!Q$2:Q$2576,T267),"")</f>
        <v/>
      </c>
      <c r="K267" s="43"/>
      <c r="L267" s="41" t="str" cm="1">
        <f t="array" ref="L267">IFERROR(INDEX(DB!R$2:R$2576,T267),"")</f>
        <v/>
      </c>
      <c r="M267" s="43"/>
      <c r="P267" t="str" cm="1">
        <f t="array" ref="P267">IFERROR(_xlfn.AGGREGATE(15,6,ROW(DB!A$2:A$2576)/((($D$3&lt;&gt;"YES")+($D$3="YES")*(DB!E$2:E$2576="YES"))*(($D$4="")+($D$4&lt;&gt;"")*( DB!B$2:B$2576=$D$4))*(($D$5="")+($D$5&lt;&gt;"")*( DB!C$2:C$2576=$D$5))*(($D$6="")+($D$6&lt;&gt;"")*( DB!D$2:D$2576=$D$6))*(($D$7="")+($D$7&lt;&gt;"")*(ISNUMBER(SEARCH($D$7,DB!G$2:G$2576))))*(($F$7="전체")+($F$7&lt;&gt;"전체")*(DB!H$2:H$2576=$F$7))),ROW()-13)-1,"")</f>
        <v/>
      </c>
      <c r="Q267" t="str" cm="1">
        <f t="array" ref="Q267">IFERROR(INDEX(DB!G$2:G$2576,P267),"")</f>
        <v/>
      </c>
      <c r="R267" t="str" cm="1">
        <f t="array" ref="R267">IFERROR(INDEX(DB!O$2:O$2576,P267),"")</f>
        <v/>
      </c>
      <c r="S267" t="str">
        <f t="shared" si="12"/>
        <v/>
      </c>
      <c r="T267" t="str">
        <f t="shared" si="13"/>
        <v/>
      </c>
    </row>
    <row r="268" spans="1:20" ht="100" customHeight="1">
      <c r="A268" s="26"/>
      <c r="B268" s="39" t="str">
        <f t="shared" si="11"/>
        <v/>
      </c>
      <c r="C268" s="43"/>
      <c r="D268" s="51" t="str" cm="1">
        <f t="array" ref="D268">IFERROR(INDEX(DB!G$2:G$2576,T268),"")</f>
        <v/>
      </c>
      <c r="E268" s="43"/>
      <c r="F268" s="52" t="str" cm="1">
        <f t="array" ref="F268">IFERROR(INDEX(DB!O$2:O$2576,T268),"")</f>
        <v/>
      </c>
      <c r="G268" s="43"/>
      <c r="H268" s="40" t="str" cm="1">
        <f t="array" ref="H268">IFERROR(INDEX(DB!P$2:P$2576,T268),"")</f>
        <v/>
      </c>
      <c r="I268" s="43"/>
      <c r="J268" s="53" t="str" cm="1">
        <f t="array" ref="J268">IFERROR(INDEX(DB!Q$2:Q$2576,T268),"")</f>
        <v/>
      </c>
      <c r="K268" s="43"/>
      <c r="L268" s="41" t="str" cm="1">
        <f t="array" ref="L268">IFERROR(INDEX(DB!R$2:R$2576,T268),"")</f>
        <v/>
      </c>
      <c r="M268" s="43"/>
      <c r="P268" t="str" cm="1">
        <f t="array" ref="P268">IFERROR(_xlfn.AGGREGATE(15,6,ROW(DB!A$2:A$2576)/((($D$3&lt;&gt;"YES")+($D$3="YES")*(DB!E$2:E$2576="YES"))*(($D$4="")+($D$4&lt;&gt;"")*( DB!B$2:B$2576=$D$4))*(($D$5="")+($D$5&lt;&gt;"")*( DB!C$2:C$2576=$D$5))*(($D$6="")+($D$6&lt;&gt;"")*( DB!D$2:D$2576=$D$6))*(($D$7="")+($D$7&lt;&gt;"")*(ISNUMBER(SEARCH($D$7,DB!G$2:G$2576))))*(($F$7="전체")+($F$7&lt;&gt;"전체")*(DB!H$2:H$2576=$F$7))),ROW()-13)-1,"")</f>
        <v/>
      </c>
      <c r="Q268" t="str" cm="1">
        <f t="array" ref="Q268">IFERROR(INDEX(DB!G$2:G$2576,P268),"")</f>
        <v/>
      </c>
      <c r="R268" t="str" cm="1">
        <f t="array" ref="R268">IFERROR(INDEX(DB!O$2:O$2576,P268),"")</f>
        <v/>
      </c>
      <c r="S268" t="str">
        <f t="shared" si="12"/>
        <v/>
      </c>
      <c r="T268" t="str">
        <f t="shared" si="13"/>
        <v/>
      </c>
    </row>
    <row r="269" spans="1:20" ht="100" customHeight="1">
      <c r="A269" s="26"/>
      <c r="B269" s="42" t="str">
        <f t="shared" si="11"/>
        <v/>
      </c>
      <c r="C269" s="43"/>
      <c r="D269" s="51" t="str" cm="1">
        <f t="array" ref="D269">IFERROR(INDEX(DB!G$2:G$2576,T269),"")</f>
        <v/>
      </c>
      <c r="E269" s="43"/>
      <c r="F269" s="52" t="str" cm="1">
        <f t="array" ref="F269">IFERROR(INDEX(DB!O$2:O$2576,T269),"")</f>
        <v/>
      </c>
      <c r="G269" s="43"/>
      <c r="H269" s="40" t="str" cm="1">
        <f t="array" ref="H269">IFERROR(INDEX(DB!P$2:P$2576,T269),"")</f>
        <v/>
      </c>
      <c r="I269" s="43"/>
      <c r="J269" s="53" t="str" cm="1">
        <f t="array" ref="J269">IFERROR(INDEX(DB!Q$2:Q$2576,T269),"")</f>
        <v/>
      </c>
      <c r="K269" s="43"/>
      <c r="L269" s="41" t="str" cm="1">
        <f t="array" ref="L269">IFERROR(INDEX(DB!R$2:R$2576,T269),"")</f>
        <v/>
      </c>
      <c r="M269" s="43"/>
      <c r="P269" t="str" cm="1">
        <f t="array" ref="P269">IFERROR(_xlfn.AGGREGATE(15,6,ROW(DB!A$2:A$2576)/((($D$3&lt;&gt;"YES")+($D$3="YES")*(DB!E$2:E$2576="YES"))*(($D$4="")+($D$4&lt;&gt;"")*( DB!B$2:B$2576=$D$4))*(($D$5="")+($D$5&lt;&gt;"")*( DB!C$2:C$2576=$D$5))*(($D$6="")+($D$6&lt;&gt;"")*( DB!D$2:D$2576=$D$6))*(($D$7="")+($D$7&lt;&gt;"")*(ISNUMBER(SEARCH($D$7,DB!G$2:G$2576))))*(($F$7="전체")+($F$7&lt;&gt;"전체")*(DB!H$2:H$2576=$F$7))),ROW()-13)-1,"")</f>
        <v/>
      </c>
      <c r="Q269" t="str" cm="1">
        <f t="array" ref="Q269">IFERROR(INDEX(DB!G$2:G$2576,P269),"")</f>
        <v/>
      </c>
      <c r="R269" t="str" cm="1">
        <f t="array" ref="R269">IFERROR(INDEX(DB!O$2:O$2576,P269),"")</f>
        <v/>
      </c>
      <c r="S269" t="str">
        <f t="shared" si="12"/>
        <v/>
      </c>
      <c r="T269" t="str">
        <f t="shared" si="13"/>
        <v/>
      </c>
    </row>
    <row r="270" spans="1:20" ht="100" customHeight="1">
      <c r="A270" s="26"/>
      <c r="B270" s="39" t="str">
        <f t="shared" si="11"/>
        <v/>
      </c>
      <c r="C270" s="43"/>
      <c r="D270" s="51" t="str" cm="1">
        <f t="array" ref="D270">IFERROR(INDEX(DB!G$2:G$2576,T270),"")</f>
        <v/>
      </c>
      <c r="E270" s="43"/>
      <c r="F270" s="52" t="str" cm="1">
        <f t="array" ref="F270">IFERROR(INDEX(DB!O$2:O$2576,T270),"")</f>
        <v/>
      </c>
      <c r="G270" s="43"/>
      <c r="H270" s="40" t="str" cm="1">
        <f t="array" ref="H270">IFERROR(INDEX(DB!P$2:P$2576,T270),"")</f>
        <v/>
      </c>
      <c r="I270" s="43"/>
      <c r="J270" s="53" t="str" cm="1">
        <f t="array" ref="J270">IFERROR(INDEX(DB!Q$2:Q$2576,T270),"")</f>
        <v/>
      </c>
      <c r="K270" s="43"/>
      <c r="L270" s="41" t="str" cm="1">
        <f t="array" ref="L270">IFERROR(INDEX(DB!R$2:R$2576,T270),"")</f>
        <v/>
      </c>
      <c r="M270" s="43"/>
      <c r="P270" t="str" cm="1">
        <f t="array" ref="P270">IFERROR(_xlfn.AGGREGATE(15,6,ROW(DB!A$2:A$2576)/((($D$3&lt;&gt;"YES")+($D$3="YES")*(DB!E$2:E$2576="YES"))*(($D$4="")+($D$4&lt;&gt;"")*( DB!B$2:B$2576=$D$4))*(($D$5="")+($D$5&lt;&gt;"")*( DB!C$2:C$2576=$D$5))*(($D$6="")+($D$6&lt;&gt;"")*( DB!D$2:D$2576=$D$6))*(($D$7="")+($D$7&lt;&gt;"")*(ISNUMBER(SEARCH($D$7,DB!G$2:G$2576))))*(($F$7="전체")+($F$7&lt;&gt;"전체")*(DB!H$2:H$2576=$F$7))),ROW()-13)-1,"")</f>
        <v/>
      </c>
      <c r="Q270" t="str" cm="1">
        <f t="array" ref="Q270">IFERROR(INDEX(DB!G$2:G$2576,P270),"")</f>
        <v/>
      </c>
      <c r="R270" t="str" cm="1">
        <f t="array" ref="R270">IFERROR(INDEX(DB!O$2:O$2576,P270),"")</f>
        <v/>
      </c>
      <c r="S270" t="str">
        <f t="shared" si="12"/>
        <v/>
      </c>
      <c r="T270" t="str">
        <f t="shared" si="13"/>
        <v/>
      </c>
    </row>
    <row r="271" spans="1:20" ht="100" customHeight="1">
      <c r="A271" s="26"/>
      <c r="B271" s="42" t="str">
        <f t="shared" ref="B271:B334" si="14">IFERROR(IF(T271="","",ROW()-13),"")</f>
        <v/>
      </c>
      <c r="C271" s="43"/>
      <c r="D271" s="51" t="str" cm="1">
        <f t="array" ref="D271">IFERROR(INDEX(DB!G$2:G$2576,T271),"")</f>
        <v/>
      </c>
      <c r="E271" s="43"/>
      <c r="F271" s="52" t="str" cm="1">
        <f t="array" ref="F271">IFERROR(INDEX(DB!O$2:O$2576,T271),"")</f>
        <v/>
      </c>
      <c r="G271" s="43"/>
      <c r="H271" s="40" t="str" cm="1">
        <f t="array" ref="H271">IFERROR(INDEX(DB!P$2:P$2576,T271),"")</f>
        <v/>
      </c>
      <c r="I271" s="43"/>
      <c r="J271" s="53" t="str" cm="1">
        <f t="array" ref="J271">IFERROR(INDEX(DB!Q$2:Q$2576,T271),"")</f>
        <v/>
      </c>
      <c r="K271" s="43"/>
      <c r="L271" s="41" t="str" cm="1">
        <f t="array" ref="L271">IFERROR(INDEX(DB!R$2:R$2576,T271),"")</f>
        <v/>
      </c>
      <c r="M271" s="43"/>
      <c r="P271" t="str" cm="1">
        <f t="array" ref="P271">IFERROR(_xlfn.AGGREGATE(15,6,ROW(DB!A$2:A$2576)/((($D$3&lt;&gt;"YES")+($D$3="YES")*(DB!E$2:E$2576="YES"))*(($D$4="")+($D$4&lt;&gt;"")*( DB!B$2:B$2576=$D$4))*(($D$5="")+($D$5&lt;&gt;"")*( DB!C$2:C$2576=$D$5))*(($D$6="")+($D$6&lt;&gt;"")*( DB!D$2:D$2576=$D$6))*(($D$7="")+($D$7&lt;&gt;"")*(ISNUMBER(SEARCH($D$7,DB!G$2:G$2576))))*(($F$7="전체")+($F$7&lt;&gt;"전체")*(DB!H$2:H$2576=$F$7))),ROW()-13)-1,"")</f>
        <v/>
      </c>
      <c r="Q271" t="str" cm="1">
        <f t="array" ref="Q271">IFERROR(INDEX(DB!G$2:G$2576,P271),"")</f>
        <v/>
      </c>
      <c r="R271" t="str" cm="1">
        <f t="array" ref="R271">IFERROR(INDEX(DB!O$2:O$2576,P271),"")</f>
        <v/>
      </c>
      <c r="S271" t="str">
        <f t="shared" ref="S271:S334" si="15">IF(P271="","",COUNTIF($Q$14:$Q$2587,"&lt;"&amp;Q271)*100+COUNTIF($R$14:$R$2587,"&lt;"&amp;R271)+(ROW()-13)*0.001)</f>
        <v/>
      </c>
      <c r="T271" t="str">
        <f t="shared" ref="T271:T334" si="16">IFERROR(INDEX($P$14:$P$2587,MATCH(SMALL($S$14:$S$2587,ROW()-13),$S$14:$S$2587,0)),"")</f>
        <v/>
      </c>
    </row>
    <row r="272" spans="1:20" ht="100" customHeight="1">
      <c r="A272" s="26"/>
      <c r="B272" s="39" t="str">
        <f t="shared" si="14"/>
        <v/>
      </c>
      <c r="C272" s="43"/>
      <c r="D272" s="51" t="str" cm="1">
        <f t="array" ref="D272">IFERROR(INDEX(DB!G$2:G$2576,T272),"")</f>
        <v/>
      </c>
      <c r="E272" s="43"/>
      <c r="F272" s="52" t="str" cm="1">
        <f t="array" ref="F272">IFERROR(INDEX(DB!O$2:O$2576,T272),"")</f>
        <v/>
      </c>
      <c r="G272" s="43"/>
      <c r="H272" s="40" t="str" cm="1">
        <f t="array" ref="H272">IFERROR(INDEX(DB!P$2:P$2576,T272),"")</f>
        <v/>
      </c>
      <c r="I272" s="43"/>
      <c r="J272" s="53" t="str" cm="1">
        <f t="array" ref="J272">IFERROR(INDEX(DB!Q$2:Q$2576,T272),"")</f>
        <v/>
      </c>
      <c r="K272" s="43"/>
      <c r="L272" s="41" t="str" cm="1">
        <f t="array" ref="L272">IFERROR(INDEX(DB!R$2:R$2576,T272),"")</f>
        <v/>
      </c>
      <c r="M272" s="43"/>
      <c r="P272" t="str" cm="1">
        <f t="array" ref="P272">IFERROR(_xlfn.AGGREGATE(15,6,ROW(DB!A$2:A$2576)/((($D$3&lt;&gt;"YES")+($D$3="YES")*(DB!E$2:E$2576="YES"))*(($D$4="")+($D$4&lt;&gt;"")*( DB!B$2:B$2576=$D$4))*(($D$5="")+($D$5&lt;&gt;"")*( DB!C$2:C$2576=$D$5))*(($D$6="")+($D$6&lt;&gt;"")*( DB!D$2:D$2576=$D$6))*(($D$7="")+($D$7&lt;&gt;"")*(ISNUMBER(SEARCH($D$7,DB!G$2:G$2576))))*(($F$7="전체")+($F$7&lt;&gt;"전체")*(DB!H$2:H$2576=$F$7))),ROW()-13)-1,"")</f>
        <v/>
      </c>
      <c r="Q272" t="str" cm="1">
        <f t="array" ref="Q272">IFERROR(INDEX(DB!G$2:G$2576,P272),"")</f>
        <v/>
      </c>
      <c r="R272" t="str" cm="1">
        <f t="array" ref="R272">IFERROR(INDEX(DB!O$2:O$2576,P272),"")</f>
        <v/>
      </c>
      <c r="S272" t="str">
        <f t="shared" si="15"/>
        <v/>
      </c>
      <c r="T272" t="str">
        <f t="shared" si="16"/>
        <v/>
      </c>
    </row>
    <row r="273" spans="1:20" ht="100" customHeight="1">
      <c r="A273" s="26"/>
      <c r="B273" s="42" t="str">
        <f t="shared" si="14"/>
        <v/>
      </c>
      <c r="C273" s="43"/>
      <c r="D273" s="51" t="str" cm="1">
        <f t="array" ref="D273">IFERROR(INDEX(DB!G$2:G$2576,T273),"")</f>
        <v/>
      </c>
      <c r="E273" s="43"/>
      <c r="F273" s="52" t="str" cm="1">
        <f t="array" ref="F273">IFERROR(INDEX(DB!O$2:O$2576,T273),"")</f>
        <v/>
      </c>
      <c r="G273" s="43"/>
      <c r="H273" s="40" t="str" cm="1">
        <f t="array" ref="H273">IFERROR(INDEX(DB!P$2:P$2576,T273),"")</f>
        <v/>
      </c>
      <c r="I273" s="43"/>
      <c r="J273" s="53" t="str" cm="1">
        <f t="array" ref="J273">IFERROR(INDEX(DB!Q$2:Q$2576,T273),"")</f>
        <v/>
      </c>
      <c r="K273" s="43"/>
      <c r="L273" s="41" t="str" cm="1">
        <f t="array" ref="L273">IFERROR(INDEX(DB!R$2:R$2576,T273),"")</f>
        <v/>
      </c>
      <c r="M273" s="43"/>
      <c r="P273" t="str" cm="1">
        <f t="array" ref="P273">IFERROR(_xlfn.AGGREGATE(15,6,ROW(DB!A$2:A$2576)/((($D$3&lt;&gt;"YES")+($D$3="YES")*(DB!E$2:E$2576="YES"))*(($D$4="")+($D$4&lt;&gt;"")*( DB!B$2:B$2576=$D$4))*(($D$5="")+($D$5&lt;&gt;"")*( DB!C$2:C$2576=$D$5))*(($D$6="")+($D$6&lt;&gt;"")*( DB!D$2:D$2576=$D$6))*(($D$7="")+($D$7&lt;&gt;"")*(ISNUMBER(SEARCH($D$7,DB!G$2:G$2576))))*(($F$7="전체")+($F$7&lt;&gt;"전체")*(DB!H$2:H$2576=$F$7))),ROW()-13)-1,"")</f>
        <v/>
      </c>
      <c r="Q273" t="str" cm="1">
        <f t="array" ref="Q273">IFERROR(INDEX(DB!G$2:G$2576,P273),"")</f>
        <v/>
      </c>
      <c r="R273" t="str" cm="1">
        <f t="array" ref="R273">IFERROR(INDEX(DB!O$2:O$2576,P273),"")</f>
        <v/>
      </c>
      <c r="S273" t="str">
        <f t="shared" si="15"/>
        <v/>
      </c>
      <c r="T273" t="str">
        <f t="shared" si="16"/>
        <v/>
      </c>
    </row>
    <row r="274" spans="1:20" ht="100" customHeight="1">
      <c r="A274" s="26"/>
      <c r="B274" s="39" t="str">
        <f t="shared" si="14"/>
        <v/>
      </c>
      <c r="C274" s="43"/>
      <c r="D274" s="51" t="str" cm="1">
        <f t="array" ref="D274">IFERROR(INDEX(DB!G$2:G$2576,T274),"")</f>
        <v/>
      </c>
      <c r="E274" s="43"/>
      <c r="F274" s="52" t="str" cm="1">
        <f t="array" ref="F274">IFERROR(INDEX(DB!O$2:O$2576,T274),"")</f>
        <v/>
      </c>
      <c r="G274" s="43"/>
      <c r="H274" s="40" t="str" cm="1">
        <f t="array" ref="H274">IFERROR(INDEX(DB!P$2:P$2576,T274),"")</f>
        <v/>
      </c>
      <c r="I274" s="43"/>
      <c r="J274" s="53" t="str" cm="1">
        <f t="array" ref="J274">IFERROR(INDEX(DB!Q$2:Q$2576,T274),"")</f>
        <v/>
      </c>
      <c r="K274" s="43"/>
      <c r="L274" s="41" t="str" cm="1">
        <f t="array" ref="L274">IFERROR(INDEX(DB!R$2:R$2576,T274),"")</f>
        <v/>
      </c>
      <c r="M274" s="43"/>
      <c r="P274" t="str" cm="1">
        <f t="array" ref="P274">IFERROR(_xlfn.AGGREGATE(15,6,ROW(DB!A$2:A$2576)/((($D$3&lt;&gt;"YES")+($D$3="YES")*(DB!E$2:E$2576="YES"))*(($D$4="")+($D$4&lt;&gt;"")*( DB!B$2:B$2576=$D$4))*(($D$5="")+($D$5&lt;&gt;"")*( DB!C$2:C$2576=$D$5))*(($D$6="")+($D$6&lt;&gt;"")*( DB!D$2:D$2576=$D$6))*(($D$7="")+($D$7&lt;&gt;"")*(ISNUMBER(SEARCH($D$7,DB!G$2:G$2576))))*(($F$7="전체")+($F$7&lt;&gt;"전체")*(DB!H$2:H$2576=$F$7))),ROW()-13)-1,"")</f>
        <v/>
      </c>
      <c r="Q274" t="str" cm="1">
        <f t="array" ref="Q274">IFERROR(INDEX(DB!G$2:G$2576,P274),"")</f>
        <v/>
      </c>
      <c r="R274" t="str" cm="1">
        <f t="array" ref="R274">IFERROR(INDEX(DB!O$2:O$2576,P274),"")</f>
        <v/>
      </c>
      <c r="S274" t="str">
        <f t="shared" si="15"/>
        <v/>
      </c>
      <c r="T274" t="str">
        <f t="shared" si="16"/>
        <v/>
      </c>
    </row>
    <row r="275" spans="1:20" ht="100" customHeight="1">
      <c r="A275" s="26"/>
      <c r="B275" s="42" t="str">
        <f t="shared" si="14"/>
        <v/>
      </c>
      <c r="C275" s="43"/>
      <c r="D275" s="51" t="str" cm="1">
        <f t="array" ref="D275">IFERROR(INDEX(DB!G$2:G$2576,T275),"")</f>
        <v/>
      </c>
      <c r="E275" s="43"/>
      <c r="F275" s="52" t="str" cm="1">
        <f t="array" ref="F275">IFERROR(INDEX(DB!O$2:O$2576,T275),"")</f>
        <v/>
      </c>
      <c r="G275" s="43"/>
      <c r="H275" s="40" t="str" cm="1">
        <f t="array" ref="H275">IFERROR(INDEX(DB!P$2:P$2576,T275),"")</f>
        <v/>
      </c>
      <c r="I275" s="43"/>
      <c r="J275" s="53" t="str" cm="1">
        <f t="array" ref="J275">IFERROR(INDEX(DB!Q$2:Q$2576,T275),"")</f>
        <v/>
      </c>
      <c r="K275" s="43"/>
      <c r="L275" s="41" t="str" cm="1">
        <f t="array" ref="L275">IFERROR(INDEX(DB!R$2:R$2576,T275),"")</f>
        <v/>
      </c>
      <c r="M275" s="43"/>
      <c r="P275" t="str" cm="1">
        <f t="array" ref="P275">IFERROR(_xlfn.AGGREGATE(15,6,ROW(DB!A$2:A$2576)/((($D$3&lt;&gt;"YES")+($D$3="YES")*(DB!E$2:E$2576="YES"))*(($D$4="")+($D$4&lt;&gt;"")*( DB!B$2:B$2576=$D$4))*(($D$5="")+($D$5&lt;&gt;"")*( DB!C$2:C$2576=$D$5))*(($D$6="")+($D$6&lt;&gt;"")*( DB!D$2:D$2576=$D$6))*(($D$7="")+($D$7&lt;&gt;"")*(ISNUMBER(SEARCH($D$7,DB!G$2:G$2576))))*(($F$7="전체")+($F$7&lt;&gt;"전체")*(DB!H$2:H$2576=$F$7))),ROW()-13)-1,"")</f>
        <v/>
      </c>
      <c r="Q275" t="str" cm="1">
        <f t="array" ref="Q275">IFERROR(INDEX(DB!G$2:G$2576,P275),"")</f>
        <v/>
      </c>
      <c r="R275" t="str" cm="1">
        <f t="array" ref="R275">IFERROR(INDEX(DB!O$2:O$2576,P275),"")</f>
        <v/>
      </c>
      <c r="S275" t="str">
        <f t="shared" si="15"/>
        <v/>
      </c>
      <c r="T275" t="str">
        <f t="shared" si="16"/>
        <v/>
      </c>
    </row>
    <row r="276" spans="1:20" ht="100" customHeight="1">
      <c r="A276" s="26"/>
      <c r="B276" s="39" t="str">
        <f t="shared" si="14"/>
        <v/>
      </c>
      <c r="C276" s="43"/>
      <c r="D276" s="51" t="str" cm="1">
        <f t="array" ref="D276">IFERROR(INDEX(DB!G$2:G$2576,T276),"")</f>
        <v/>
      </c>
      <c r="E276" s="43"/>
      <c r="F276" s="52" t="str" cm="1">
        <f t="array" ref="F276">IFERROR(INDEX(DB!O$2:O$2576,T276),"")</f>
        <v/>
      </c>
      <c r="G276" s="43"/>
      <c r="H276" s="40" t="str" cm="1">
        <f t="array" ref="H276">IFERROR(INDEX(DB!P$2:P$2576,T276),"")</f>
        <v/>
      </c>
      <c r="I276" s="43"/>
      <c r="J276" s="53" t="str" cm="1">
        <f t="array" ref="J276">IFERROR(INDEX(DB!Q$2:Q$2576,T276),"")</f>
        <v/>
      </c>
      <c r="K276" s="43"/>
      <c r="L276" s="41" t="str" cm="1">
        <f t="array" ref="L276">IFERROR(INDEX(DB!R$2:R$2576,T276),"")</f>
        <v/>
      </c>
      <c r="M276" s="43"/>
      <c r="P276" t="str" cm="1">
        <f t="array" ref="P276">IFERROR(_xlfn.AGGREGATE(15,6,ROW(DB!A$2:A$2576)/((($D$3&lt;&gt;"YES")+($D$3="YES")*(DB!E$2:E$2576="YES"))*(($D$4="")+($D$4&lt;&gt;"")*( DB!B$2:B$2576=$D$4))*(($D$5="")+($D$5&lt;&gt;"")*( DB!C$2:C$2576=$D$5))*(($D$6="")+($D$6&lt;&gt;"")*( DB!D$2:D$2576=$D$6))*(($D$7="")+($D$7&lt;&gt;"")*(ISNUMBER(SEARCH($D$7,DB!G$2:G$2576))))*(($F$7="전체")+($F$7&lt;&gt;"전체")*(DB!H$2:H$2576=$F$7))),ROW()-13)-1,"")</f>
        <v/>
      </c>
      <c r="Q276" t="str" cm="1">
        <f t="array" ref="Q276">IFERROR(INDEX(DB!G$2:G$2576,P276),"")</f>
        <v/>
      </c>
      <c r="R276" t="str" cm="1">
        <f t="array" ref="R276">IFERROR(INDEX(DB!O$2:O$2576,P276),"")</f>
        <v/>
      </c>
      <c r="S276" t="str">
        <f t="shared" si="15"/>
        <v/>
      </c>
      <c r="T276" t="str">
        <f t="shared" si="16"/>
        <v/>
      </c>
    </row>
    <row r="277" spans="1:20" ht="100" customHeight="1">
      <c r="A277" s="26"/>
      <c r="B277" s="42" t="str">
        <f t="shared" si="14"/>
        <v/>
      </c>
      <c r="C277" s="43"/>
      <c r="D277" s="51" t="str" cm="1">
        <f t="array" ref="D277">IFERROR(INDEX(DB!G$2:G$2576,T277),"")</f>
        <v/>
      </c>
      <c r="E277" s="43"/>
      <c r="F277" s="52" t="str" cm="1">
        <f t="array" ref="F277">IFERROR(INDEX(DB!O$2:O$2576,T277),"")</f>
        <v/>
      </c>
      <c r="G277" s="43"/>
      <c r="H277" s="40" t="str" cm="1">
        <f t="array" ref="H277">IFERROR(INDEX(DB!P$2:P$2576,T277),"")</f>
        <v/>
      </c>
      <c r="I277" s="43"/>
      <c r="J277" s="53" t="str" cm="1">
        <f t="array" ref="J277">IFERROR(INDEX(DB!Q$2:Q$2576,T277),"")</f>
        <v/>
      </c>
      <c r="K277" s="43"/>
      <c r="L277" s="41" t="str" cm="1">
        <f t="array" ref="L277">IFERROR(INDEX(DB!R$2:R$2576,T277),"")</f>
        <v/>
      </c>
      <c r="M277" s="43"/>
      <c r="P277" t="str" cm="1">
        <f t="array" ref="P277">IFERROR(_xlfn.AGGREGATE(15,6,ROW(DB!A$2:A$2576)/((($D$3&lt;&gt;"YES")+($D$3="YES")*(DB!E$2:E$2576="YES"))*(($D$4="")+($D$4&lt;&gt;"")*( DB!B$2:B$2576=$D$4))*(($D$5="")+($D$5&lt;&gt;"")*( DB!C$2:C$2576=$D$5))*(($D$6="")+($D$6&lt;&gt;"")*( DB!D$2:D$2576=$D$6))*(($D$7="")+($D$7&lt;&gt;"")*(ISNUMBER(SEARCH($D$7,DB!G$2:G$2576))))*(($F$7="전체")+($F$7&lt;&gt;"전체")*(DB!H$2:H$2576=$F$7))),ROW()-13)-1,"")</f>
        <v/>
      </c>
      <c r="Q277" t="str" cm="1">
        <f t="array" ref="Q277">IFERROR(INDEX(DB!G$2:G$2576,P277),"")</f>
        <v/>
      </c>
      <c r="R277" t="str" cm="1">
        <f t="array" ref="R277">IFERROR(INDEX(DB!O$2:O$2576,P277),"")</f>
        <v/>
      </c>
      <c r="S277" t="str">
        <f t="shared" si="15"/>
        <v/>
      </c>
      <c r="T277" t="str">
        <f t="shared" si="16"/>
        <v/>
      </c>
    </row>
    <row r="278" spans="1:20" ht="100" customHeight="1">
      <c r="A278" s="26"/>
      <c r="B278" s="39" t="str">
        <f t="shared" si="14"/>
        <v/>
      </c>
      <c r="C278" s="43"/>
      <c r="D278" s="51" t="str" cm="1">
        <f t="array" ref="D278">IFERROR(INDEX(DB!G$2:G$2576,T278),"")</f>
        <v/>
      </c>
      <c r="E278" s="43"/>
      <c r="F278" s="52" t="str" cm="1">
        <f t="array" ref="F278">IFERROR(INDEX(DB!O$2:O$2576,T278),"")</f>
        <v/>
      </c>
      <c r="G278" s="43"/>
      <c r="H278" s="40" t="str" cm="1">
        <f t="array" ref="H278">IFERROR(INDEX(DB!P$2:P$2576,T278),"")</f>
        <v/>
      </c>
      <c r="I278" s="43"/>
      <c r="J278" s="53" t="str" cm="1">
        <f t="array" ref="J278">IFERROR(INDEX(DB!Q$2:Q$2576,T278),"")</f>
        <v/>
      </c>
      <c r="K278" s="43"/>
      <c r="L278" s="41" t="str" cm="1">
        <f t="array" ref="L278">IFERROR(INDEX(DB!R$2:R$2576,T278),"")</f>
        <v/>
      </c>
      <c r="M278" s="43"/>
      <c r="P278" t="str" cm="1">
        <f t="array" ref="P278">IFERROR(_xlfn.AGGREGATE(15,6,ROW(DB!A$2:A$2576)/((($D$3&lt;&gt;"YES")+($D$3="YES")*(DB!E$2:E$2576="YES"))*(($D$4="")+($D$4&lt;&gt;"")*( DB!B$2:B$2576=$D$4))*(($D$5="")+($D$5&lt;&gt;"")*( DB!C$2:C$2576=$D$5))*(($D$6="")+($D$6&lt;&gt;"")*( DB!D$2:D$2576=$D$6))*(($D$7="")+($D$7&lt;&gt;"")*(ISNUMBER(SEARCH($D$7,DB!G$2:G$2576))))*(($F$7="전체")+($F$7&lt;&gt;"전체")*(DB!H$2:H$2576=$F$7))),ROW()-13)-1,"")</f>
        <v/>
      </c>
      <c r="Q278" t="str" cm="1">
        <f t="array" ref="Q278">IFERROR(INDEX(DB!G$2:G$2576,P278),"")</f>
        <v/>
      </c>
      <c r="R278" t="str" cm="1">
        <f t="array" ref="R278">IFERROR(INDEX(DB!O$2:O$2576,P278),"")</f>
        <v/>
      </c>
      <c r="S278" t="str">
        <f t="shared" si="15"/>
        <v/>
      </c>
      <c r="T278" t="str">
        <f t="shared" si="16"/>
        <v/>
      </c>
    </row>
    <row r="279" spans="1:20" ht="100" customHeight="1">
      <c r="A279" s="26"/>
      <c r="B279" s="42" t="str">
        <f t="shared" si="14"/>
        <v/>
      </c>
      <c r="C279" s="43"/>
      <c r="D279" s="51" t="str" cm="1">
        <f t="array" ref="D279">IFERROR(INDEX(DB!G$2:G$2576,T279),"")</f>
        <v/>
      </c>
      <c r="E279" s="43"/>
      <c r="F279" s="52" t="str" cm="1">
        <f t="array" ref="F279">IFERROR(INDEX(DB!O$2:O$2576,T279),"")</f>
        <v/>
      </c>
      <c r="G279" s="43"/>
      <c r="H279" s="40" t="str" cm="1">
        <f t="array" ref="H279">IFERROR(INDEX(DB!P$2:P$2576,T279),"")</f>
        <v/>
      </c>
      <c r="I279" s="43"/>
      <c r="J279" s="53" t="str" cm="1">
        <f t="array" ref="J279">IFERROR(INDEX(DB!Q$2:Q$2576,T279),"")</f>
        <v/>
      </c>
      <c r="K279" s="43"/>
      <c r="L279" s="41" t="str" cm="1">
        <f t="array" ref="L279">IFERROR(INDEX(DB!R$2:R$2576,T279),"")</f>
        <v/>
      </c>
      <c r="M279" s="43"/>
      <c r="P279" t="str" cm="1">
        <f t="array" ref="P279">IFERROR(_xlfn.AGGREGATE(15,6,ROW(DB!A$2:A$2576)/((($D$3&lt;&gt;"YES")+($D$3="YES")*(DB!E$2:E$2576="YES"))*(($D$4="")+($D$4&lt;&gt;"")*( DB!B$2:B$2576=$D$4))*(($D$5="")+($D$5&lt;&gt;"")*( DB!C$2:C$2576=$D$5))*(($D$6="")+($D$6&lt;&gt;"")*( DB!D$2:D$2576=$D$6))*(($D$7="")+($D$7&lt;&gt;"")*(ISNUMBER(SEARCH($D$7,DB!G$2:G$2576))))*(($F$7="전체")+($F$7&lt;&gt;"전체")*(DB!H$2:H$2576=$F$7))),ROW()-13)-1,"")</f>
        <v/>
      </c>
      <c r="Q279" t="str" cm="1">
        <f t="array" ref="Q279">IFERROR(INDEX(DB!G$2:G$2576,P279),"")</f>
        <v/>
      </c>
      <c r="R279" t="str" cm="1">
        <f t="array" ref="R279">IFERROR(INDEX(DB!O$2:O$2576,P279),"")</f>
        <v/>
      </c>
      <c r="S279" t="str">
        <f t="shared" si="15"/>
        <v/>
      </c>
      <c r="T279" t="str">
        <f t="shared" si="16"/>
        <v/>
      </c>
    </row>
    <row r="280" spans="1:20" ht="100" customHeight="1">
      <c r="A280" s="26"/>
      <c r="B280" s="39" t="str">
        <f t="shared" si="14"/>
        <v/>
      </c>
      <c r="C280" s="43"/>
      <c r="D280" s="51" t="str" cm="1">
        <f t="array" ref="D280">IFERROR(INDEX(DB!G$2:G$2576,T280),"")</f>
        <v/>
      </c>
      <c r="E280" s="43"/>
      <c r="F280" s="52" t="str" cm="1">
        <f t="array" ref="F280">IFERROR(INDEX(DB!O$2:O$2576,T280),"")</f>
        <v/>
      </c>
      <c r="G280" s="43"/>
      <c r="H280" s="40" t="str" cm="1">
        <f t="array" ref="H280">IFERROR(INDEX(DB!P$2:P$2576,T280),"")</f>
        <v/>
      </c>
      <c r="I280" s="43"/>
      <c r="J280" s="53" t="str" cm="1">
        <f t="array" ref="J280">IFERROR(INDEX(DB!Q$2:Q$2576,T280),"")</f>
        <v/>
      </c>
      <c r="K280" s="43"/>
      <c r="L280" s="41" t="str" cm="1">
        <f t="array" ref="L280">IFERROR(INDEX(DB!R$2:R$2576,T280),"")</f>
        <v/>
      </c>
      <c r="M280" s="43"/>
      <c r="P280" t="str" cm="1">
        <f t="array" ref="P280">IFERROR(_xlfn.AGGREGATE(15,6,ROW(DB!A$2:A$2576)/((($D$3&lt;&gt;"YES")+($D$3="YES")*(DB!E$2:E$2576="YES"))*(($D$4="")+($D$4&lt;&gt;"")*( DB!B$2:B$2576=$D$4))*(($D$5="")+($D$5&lt;&gt;"")*( DB!C$2:C$2576=$D$5))*(($D$6="")+($D$6&lt;&gt;"")*( DB!D$2:D$2576=$D$6))*(($D$7="")+($D$7&lt;&gt;"")*(ISNUMBER(SEARCH($D$7,DB!G$2:G$2576))))*(($F$7="전체")+($F$7&lt;&gt;"전체")*(DB!H$2:H$2576=$F$7))),ROW()-13)-1,"")</f>
        <v/>
      </c>
      <c r="Q280" t="str" cm="1">
        <f t="array" ref="Q280">IFERROR(INDEX(DB!G$2:G$2576,P280),"")</f>
        <v/>
      </c>
      <c r="R280" t="str" cm="1">
        <f t="array" ref="R280">IFERROR(INDEX(DB!O$2:O$2576,P280),"")</f>
        <v/>
      </c>
      <c r="S280" t="str">
        <f t="shared" si="15"/>
        <v/>
      </c>
      <c r="T280" t="str">
        <f t="shared" si="16"/>
        <v/>
      </c>
    </row>
    <row r="281" spans="1:20" ht="100" customHeight="1">
      <c r="A281" s="26"/>
      <c r="B281" s="42" t="str">
        <f t="shared" si="14"/>
        <v/>
      </c>
      <c r="C281" s="43"/>
      <c r="D281" s="51" t="str" cm="1">
        <f t="array" ref="D281">IFERROR(INDEX(DB!G$2:G$2576,T281),"")</f>
        <v/>
      </c>
      <c r="E281" s="43"/>
      <c r="F281" s="52" t="str" cm="1">
        <f t="array" ref="F281">IFERROR(INDEX(DB!O$2:O$2576,T281),"")</f>
        <v/>
      </c>
      <c r="G281" s="43"/>
      <c r="H281" s="40" t="str" cm="1">
        <f t="array" ref="H281">IFERROR(INDEX(DB!P$2:P$2576,T281),"")</f>
        <v/>
      </c>
      <c r="I281" s="43"/>
      <c r="J281" s="53" t="str" cm="1">
        <f t="array" ref="J281">IFERROR(INDEX(DB!Q$2:Q$2576,T281),"")</f>
        <v/>
      </c>
      <c r="K281" s="43"/>
      <c r="L281" s="41" t="str" cm="1">
        <f t="array" ref="L281">IFERROR(INDEX(DB!R$2:R$2576,T281),"")</f>
        <v/>
      </c>
      <c r="M281" s="43"/>
      <c r="P281" t="str" cm="1">
        <f t="array" ref="P281">IFERROR(_xlfn.AGGREGATE(15,6,ROW(DB!A$2:A$2576)/((($D$3&lt;&gt;"YES")+($D$3="YES")*(DB!E$2:E$2576="YES"))*(($D$4="")+($D$4&lt;&gt;"")*( DB!B$2:B$2576=$D$4))*(($D$5="")+($D$5&lt;&gt;"")*( DB!C$2:C$2576=$D$5))*(($D$6="")+($D$6&lt;&gt;"")*( DB!D$2:D$2576=$D$6))*(($D$7="")+($D$7&lt;&gt;"")*(ISNUMBER(SEARCH($D$7,DB!G$2:G$2576))))*(($F$7="전체")+($F$7&lt;&gt;"전체")*(DB!H$2:H$2576=$F$7))),ROW()-13)-1,"")</f>
        <v/>
      </c>
      <c r="Q281" t="str" cm="1">
        <f t="array" ref="Q281">IFERROR(INDEX(DB!G$2:G$2576,P281),"")</f>
        <v/>
      </c>
      <c r="R281" t="str" cm="1">
        <f t="array" ref="R281">IFERROR(INDEX(DB!O$2:O$2576,P281),"")</f>
        <v/>
      </c>
      <c r="S281" t="str">
        <f t="shared" si="15"/>
        <v/>
      </c>
      <c r="T281" t="str">
        <f t="shared" si="16"/>
        <v/>
      </c>
    </row>
    <row r="282" spans="1:20" ht="100" customHeight="1">
      <c r="A282" s="26"/>
      <c r="B282" s="39" t="str">
        <f t="shared" si="14"/>
        <v/>
      </c>
      <c r="C282" s="43"/>
      <c r="D282" s="51" t="str" cm="1">
        <f t="array" ref="D282">IFERROR(INDEX(DB!G$2:G$2576,T282),"")</f>
        <v/>
      </c>
      <c r="E282" s="43"/>
      <c r="F282" s="52" t="str" cm="1">
        <f t="array" ref="F282">IFERROR(INDEX(DB!O$2:O$2576,T282),"")</f>
        <v/>
      </c>
      <c r="G282" s="43"/>
      <c r="H282" s="40" t="str" cm="1">
        <f t="array" ref="H282">IFERROR(INDEX(DB!P$2:P$2576,T282),"")</f>
        <v/>
      </c>
      <c r="I282" s="43"/>
      <c r="J282" s="53" t="str" cm="1">
        <f t="array" ref="J282">IFERROR(INDEX(DB!Q$2:Q$2576,T282),"")</f>
        <v/>
      </c>
      <c r="K282" s="43"/>
      <c r="L282" s="41" t="str" cm="1">
        <f t="array" ref="L282">IFERROR(INDEX(DB!R$2:R$2576,T282),"")</f>
        <v/>
      </c>
      <c r="M282" s="43"/>
      <c r="P282" t="str" cm="1">
        <f t="array" ref="P282">IFERROR(_xlfn.AGGREGATE(15,6,ROW(DB!A$2:A$2576)/((($D$3&lt;&gt;"YES")+($D$3="YES")*(DB!E$2:E$2576="YES"))*(($D$4="")+($D$4&lt;&gt;"")*( DB!B$2:B$2576=$D$4))*(($D$5="")+($D$5&lt;&gt;"")*( DB!C$2:C$2576=$D$5))*(($D$6="")+($D$6&lt;&gt;"")*( DB!D$2:D$2576=$D$6))*(($D$7="")+($D$7&lt;&gt;"")*(ISNUMBER(SEARCH($D$7,DB!G$2:G$2576))))*(($F$7="전체")+($F$7&lt;&gt;"전체")*(DB!H$2:H$2576=$F$7))),ROW()-13)-1,"")</f>
        <v/>
      </c>
      <c r="Q282" t="str" cm="1">
        <f t="array" ref="Q282">IFERROR(INDEX(DB!G$2:G$2576,P282),"")</f>
        <v/>
      </c>
      <c r="R282" t="str" cm="1">
        <f t="array" ref="R282">IFERROR(INDEX(DB!O$2:O$2576,P282),"")</f>
        <v/>
      </c>
      <c r="S282" t="str">
        <f t="shared" si="15"/>
        <v/>
      </c>
      <c r="T282" t="str">
        <f t="shared" si="16"/>
        <v/>
      </c>
    </row>
    <row r="283" spans="1:20" ht="100" customHeight="1">
      <c r="A283" s="26"/>
      <c r="B283" s="42" t="str">
        <f t="shared" si="14"/>
        <v/>
      </c>
      <c r="C283" s="43"/>
      <c r="D283" s="51" t="str" cm="1">
        <f t="array" ref="D283">IFERROR(INDEX(DB!G$2:G$2576,T283),"")</f>
        <v/>
      </c>
      <c r="E283" s="43"/>
      <c r="F283" s="52" t="str" cm="1">
        <f t="array" ref="F283">IFERROR(INDEX(DB!O$2:O$2576,T283),"")</f>
        <v/>
      </c>
      <c r="G283" s="43"/>
      <c r="H283" s="40" t="str" cm="1">
        <f t="array" ref="H283">IFERROR(INDEX(DB!P$2:P$2576,T283),"")</f>
        <v/>
      </c>
      <c r="I283" s="43"/>
      <c r="J283" s="53" t="str" cm="1">
        <f t="array" ref="J283">IFERROR(INDEX(DB!Q$2:Q$2576,T283),"")</f>
        <v/>
      </c>
      <c r="K283" s="43"/>
      <c r="L283" s="41" t="str" cm="1">
        <f t="array" ref="L283">IFERROR(INDEX(DB!R$2:R$2576,T283),"")</f>
        <v/>
      </c>
      <c r="M283" s="43"/>
      <c r="P283" t="str" cm="1">
        <f t="array" ref="P283">IFERROR(_xlfn.AGGREGATE(15,6,ROW(DB!A$2:A$2576)/((($D$3&lt;&gt;"YES")+($D$3="YES")*(DB!E$2:E$2576="YES"))*(($D$4="")+($D$4&lt;&gt;"")*( DB!B$2:B$2576=$D$4))*(($D$5="")+($D$5&lt;&gt;"")*( DB!C$2:C$2576=$D$5))*(($D$6="")+($D$6&lt;&gt;"")*( DB!D$2:D$2576=$D$6))*(($D$7="")+($D$7&lt;&gt;"")*(ISNUMBER(SEARCH($D$7,DB!G$2:G$2576))))*(($F$7="전체")+($F$7&lt;&gt;"전체")*(DB!H$2:H$2576=$F$7))),ROW()-13)-1,"")</f>
        <v/>
      </c>
      <c r="Q283" t="str" cm="1">
        <f t="array" ref="Q283">IFERROR(INDEX(DB!G$2:G$2576,P283),"")</f>
        <v/>
      </c>
      <c r="R283" t="str" cm="1">
        <f t="array" ref="R283">IFERROR(INDEX(DB!O$2:O$2576,P283),"")</f>
        <v/>
      </c>
      <c r="S283" t="str">
        <f t="shared" si="15"/>
        <v/>
      </c>
      <c r="T283" t="str">
        <f t="shared" si="16"/>
        <v/>
      </c>
    </row>
    <row r="284" spans="1:20" ht="100" customHeight="1">
      <c r="A284" s="26"/>
      <c r="B284" s="39" t="str">
        <f t="shared" si="14"/>
        <v/>
      </c>
      <c r="C284" s="43"/>
      <c r="D284" s="51" t="str" cm="1">
        <f t="array" ref="D284">IFERROR(INDEX(DB!G$2:G$2576,T284),"")</f>
        <v/>
      </c>
      <c r="E284" s="43"/>
      <c r="F284" s="52" t="str" cm="1">
        <f t="array" ref="F284">IFERROR(INDEX(DB!O$2:O$2576,T284),"")</f>
        <v/>
      </c>
      <c r="G284" s="43"/>
      <c r="H284" s="40" t="str" cm="1">
        <f t="array" ref="H284">IFERROR(INDEX(DB!P$2:P$2576,T284),"")</f>
        <v/>
      </c>
      <c r="I284" s="43"/>
      <c r="J284" s="53" t="str" cm="1">
        <f t="array" ref="J284">IFERROR(INDEX(DB!Q$2:Q$2576,T284),"")</f>
        <v/>
      </c>
      <c r="K284" s="43"/>
      <c r="L284" s="41" t="str" cm="1">
        <f t="array" ref="L284">IFERROR(INDEX(DB!R$2:R$2576,T284),"")</f>
        <v/>
      </c>
      <c r="M284" s="43"/>
      <c r="P284" t="str" cm="1">
        <f t="array" ref="P284">IFERROR(_xlfn.AGGREGATE(15,6,ROW(DB!A$2:A$2576)/((($D$3&lt;&gt;"YES")+($D$3="YES")*(DB!E$2:E$2576="YES"))*(($D$4="")+($D$4&lt;&gt;"")*( DB!B$2:B$2576=$D$4))*(($D$5="")+($D$5&lt;&gt;"")*( DB!C$2:C$2576=$D$5))*(($D$6="")+($D$6&lt;&gt;"")*( DB!D$2:D$2576=$D$6))*(($D$7="")+($D$7&lt;&gt;"")*(ISNUMBER(SEARCH($D$7,DB!G$2:G$2576))))*(($F$7="전체")+($F$7&lt;&gt;"전체")*(DB!H$2:H$2576=$F$7))),ROW()-13)-1,"")</f>
        <v/>
      </c>
      <c r="Q284" t="str" cm="1">
        <f t="array" ref="Q284">IFERROR(INDEX(DB!G$2:G$2576,P284),"")</f>
        <v/>
      </c>
      <c r="R284" t="str" cm="1">
        <f t="array" ref="R284">IFERROR(INDEX(DB!O$2:O$2576,P284),"")</f>
        <v/>
      </c>
      <c r="S284" t="str">
        <f t="shared" si="15"/>
        <v/>
      </c>
      <c r="T284" t="str">
        <f t="shared" si="16"/>
        <v/>
      </c>
    </row>
    <row r="285" spans="1:20" ht="100" customHeight="1">
      <c r="A285" s="26"/>
      <c r="B285" s="42" t="str">
        <f t="shared" si="14"/>
        <v/>
      </c>
      <c r="C285" s="43"/>
      <c r="D285" s="51" t="str" cm="1">
        <f t="array" ref="D285">IFERROR(INDEX(DB!G$2:G$2576,T285),"")</f>
        <v/>
      </c>
      <c r="E285" s="43"/>
      <c r="F285" s="52" t="str" cm="1">
        <f t="array" ref="F285">IFERROR(INDEX(DB!O$2:O$2576,T285),"")</f>
        <v/>
      </c>
      <c r="G285" s="43"/>
      <c r="H285" s="40" t="str" cm="1">
        <f t="array" ref="H285">IFERROR(INDEX(DB!P$2:P$2576,T285),"")</f>
        <v/>
      </c>
      <c r="I285" s="43"/>
      <c r="J285" s="53" t="str" cm="1">
        <f t="array" ref="J285">IFERROR(INDEX(DB!Q$2:Q$2576,T285),"")</f>
        <v/>
      </c>
      <c r="K285" s="43"/>
      <c r="L285" s="41" t="str" cm="1">
        <f t="array" ref="L285">IFERROR(INDEX(DB!R$2:R$2576,T285),"")</f>
        <v/>
      </c>
      <c r="M285" s="43"/>
      <c r="P285" t="str" cm="1">
        <f t="array" ref="P285">IFERROR(_xlfn.AGGREGATE(15,6,ROW(DB!A$2:A$2576)/((($D$3&lt;&gt;"YES")+($D$3="YES")*(DB!E$2:E$2576="YES"))*(($D$4="")+($D$4&lt;&gt;"")*( DB!B$2:B$2576=$D$4))*(($D$5="")+($D$5&lt;&gt;"")*( DB!C$2:C$2576=$D$5))*(($D$6="")+($D$6&lt;&gt;"")*( DB!D$2:D$2576=$D$6))*(($D$7="")+($D$7&lt;&gt;"")*(ISNUMBER(SEARCH($D$7,DB!G$2:G$2576))))*(($F$7="전체")+($F$7&lt;&gt;"전체")*(DB!H$2:H$2576=$F$7))),ROW()-13)-1,"")</f>
        <v/>
      </c>
      <c r="Q285" t="str" cm="1">
        <f t="array" ref="Q285">IFERROR(INDEX(DB!G$2:G$2576,P285),"")</f>
        <v/>
      </c>
      <c r="R285" t="str" cm="1">
        <f t="array" ref="R285">IFERROR(INDEX(DB!O$2:O$2576,P285),"")</f>
        <v/>
      </c>
      <c r="S285" t="str">
        <f t="shared" si="15"/>
        <v/>
      </c>
      <c r="T285" t="str">
        <f t="shared" si="16"/>
        <v/>
      </c>
    </row>
    <row r="286" spans="1:20" ht="100" customHeight="1">
      <c r="A286" s="26"/>
      <c r="B286" s="39" t="str">
        <f t="shared" si="14"/>
        <v/>
      </c>
      <c r="C286" s="43"/>
      <c r="D286" s="51" t="str" cm="1">
        <f t="array" ref="D286">IFERROR(INDEX(DB!G$2:G$2576,T286),"")</f>
        <v/>
      </c>
      <c r="E286" s="43"/>
      <c r="F286" s="52" t="str" cm="1">
        <f t="array" ref="F286">IFERROR(INDEX(DB!O$2:O$2576,T286),"")</f>
        <v/>
      </c>
      <c r="G286" s="43"/>
      <c r="H286" s="40" t="str" cm="1">
        <f t="array" ref="H286">IFERROR(INDEX(DB!P$2:P$2576,T286),"")</f>
        <v/>
      </c>
      <c r="I286" s="43"/>
      <c r="J286" s="53" t="str" cm="1">
        <f t="array" ref="J286">IFERROR(INDEX(DB!Q$2:Q$2576,T286),"")</f>
        <v/>
      </c>
      <c r="K286" s="43"/>
      <c r="L286" s="41" t="str" cm="1">
        <f t="array" ref="L286">IFERROR(INDEX(DB!R$2:R$2576,T286),"")</f>
        <v/>
      </c>
      <c r="M286" s="43"/>
      <c r="P286" t="str" cm="1">
        <f t="array" ref="P286">IFERROR(_xlfn.AGGREGATE(15,6,ROW(DB!A$2:A$2576)/((($D$3&lt;&gt;"YES")+($D$3="YES")*(DB!E$2:E$2576="YES"))*(($D$4="")+($D$4&lt;&gt;"")*( DB!B$2:B$2576=$D$4))*(($D$5="")+($D$5&lt;&gt;"")*( DB!C$2:C$2576=$D$5))*(($D$6="")+($D$6&lt;&gt;"")*( DB!D$2:D$2576=$D$6))*(($D$7="")+($D$7&lt;&gt;"")*(ISNUMBER(SEARCH($D$7,DB!G$2:G$2576))))*(($F$7="전체")+($F$7&lt;&gt;"전체")*(DB!H$2:H$2576=$F$7))),ROW()-13)-1,"")</f>
        <v/>
      </c>
      <c r="Q286" t="str" cm="1">
        <f t="array" ref="Q286">IFERROR(INDEX(DB!G$2:G$2576,P286),"")</f>
        <v/>
      </c>
      <c r="R286" t="str" cm="1">
        <f t="array" ref="R286">IFERROR(INDEX(DB!O$2:O$2576,P286),"")</f>
        <v/>
      </c>
      <c r="S286" t="str">
        <f t="shared" si="15"/>
        <v/>
      </c>
      <c r="T286" t="str">
        <f t="shared" si="16"/>
        <v/>
      </c>
    </row>
    <row r="287" spans="1:20" ht="100" customHeight="1">
      <c r="A287" s="26"/>
      <c r="B287" s="42" t="str">
        <f t="shared" si="14"/>
        <v/>
      </c>
      <c r="C287" s="43"/>
      <c r="D287" s="51" t="str" cm="1">
        <f t="array" ref="D287">IFERROR(INDEX(DB!G$2:G$2576,T287),"")</f>
        <v/>
      </c>
      <c r="E287" s="43"/>
      <c r="F287" s="52" t="str" cm="1">
        <f t="array" ref="F287">IFERROR(INDEX(DB!O$2:O$2576,T287),"")</f>
        <v/>
      </c>
      <c r="G287" s="43"/>
      <c r="H287" s="40" t="str" cm="1">
        <f t="array" ref="H287">IFERROR(INDEX(DB!P$2:P$2576,T287),"")</f>
        <v/>
      </c>
      <c r="I287" s="43"/>
      <c r="J287" s="53" t="str" cm="1">
        <f t="array" ref="J287">IFERROR(INDEX(DB!Q$2:Q$2576,T287),"")</f>
        <v/>
      </c>
      <c r="K287" s="43"/>
      <c r="L287" s="41" t="str" cm="1">
        <f t="array" ref="L287">IFERROR(INDEX(DB!R$2:R$2576,T287),"")</f>
        <v/>
      </c>
      <c r="M287" s="43"/>
      <c r="P287" t="str" cm="1">
        <f t="array" ref="P287">IFERROR(_xlfn.AGGREGATE(15,6,ROW(DB!A$2:A$2576)/((($D$3&lt;&gt;"YES")+($D$3="YES")*(DB!E$2:E$2576="YES"))*(($D$4="")+($D$4&lt;&gt;"")*( DB!B$2:B$2576=$D$4))*(($D$5="")+($D$5&lt;&gt;"")*( DB!C$2:C$2576=$D$5))*(($D$6="")+($D$6&lt;&gt;"")*( DB!D$2:D$2576=$D$6))*(($D$7="")+($D$7&lt;&gt;"")*(ISNUMBER(SEARCH($D$7,DB!G$2:G$2576))))*(($F$7="전체")+($F$7&lt;&gt;"전체")*(DB!H$2:H$2576=$F$7))),ROW()-13)-1,"")</f>
        <v/>
      </c>
      <c r="Q287" t="str" cm="1">
        <f t="array" ref="Q287">IFERROR(INDEX(DB!G$2:G$2576,P287),"")</f>
        <v/>
      </c>
      <c r="R287" t="str" cm="1">
        <f t="array" ref="R287">IFERROR(INDEX(DB!O$2:O$2576,P287),"")</f>
        <v/>
      </c>
      <c r="S287" t="str">
        <f t="shared" si="15"/>
        <v/>
      </c>
      <c r="T287" t="str">
        <f t="shared" si="16"/>
        <v/>
      </c>
    </row>
    <row r="288" spans="1:20" ht="100" customHeight="1">
      <c r="A288" s="26"/>
      <c r="B288" s="39" t="str">
        <f t="shared" si="14"/>
        <v/>
      </c>
      <c r="C288" s="43"/>
      <c r="D288" s="51" t="str" cm="1">
        <f t="array" ref="D288">IFERROR(INDEX(DB!G$2:G$2576,T288),"")</f>
        <v/>
      </c>
      <c r="E288" s="43"/>
      <c r="F288" s="52" t="str" cm="1">
        <f t="array" ref="F288">IFERROR(INDEX(DB!O$2:O$2576,T288),"")</f>
        <v/>
      </c>
      <c r="G288" s="43"/>
      <c r="H288" s="40" t="str" cm="1">
        <f t="array" ref="H288">IFERROR(INDEX(DB!P$2:P$2576,T288),"")</f>
        <v/>
      </c>
      <c r="I288" s="43"/>
      <c r="J288" s="53" t="str" cm="1">
        <f t="array" ref="J288">IFERROR(INDEX(DB!Q$2:Q$2576,T288),"")</f>
        <v/>
      </c>
      <c r="K288" s="43"/>
      <c r="L288" s="41" t="str" cm="1">
        <f t="array" ref="L288">IFERROR(INDEX(DB!R$2:R$2576,T288),"")</f>
        <v/>
      </c>
      <c r="M288" s="43"/>
      <c r="P288" t="str" cm="1">
        <f t="array" ref="P288">IFERROR(_xlfn.AGGREGATE(15,6,ROW(DB!A$2:A$2576)/((($D$3&lt;&gt;"YES")+($D$3="YES")*(DB!E$2:E$2576="YES"))*(($D$4="")+($D$4&lt;&gt;"")*( DB!B$2:B$2576=$D$4))*(($D$5="")+($D$5&lt;&gt;"")*( DB!C$2:C$2576=$D$5))*(($D$6="")+($D$6&lt;&gt;"")*( DB!D$2:D$2576=$D$6))*(($D$7="")+($D$7&lt;&gt;"")*(ISNUMBER(SEARCH($D$7,DB!G$2:G$2576))))*(($F$7="전체")+($F$7&lt;&gt;"전체")*(DB!H$2:H$2576=$F$7))),ROW()-13)-1,"")</f>
        <v/>
      </c>
      <c r="Q288" t="str" cm="1">
        <f t="array" ref="Q288">IFERROR(INDEX(DB!G$2:G$2576,P288),"")</f>
        <v/>
      </c>
      <c r="R288" t="str" cm="1">
        <f t="array" ref="R288">IFERROR(INDEX(DB!O$2:O$2576,P288),"")</f>
        <v/>
      </c>
      <c r="S288" t="str">
        <f t="shared" si="15"/>
        <v/>
      </c>
      <c r="T288" t="str">
        <f t="shared" si="16"/>
        <v/>
      </c>
    </row>
    <row r="289" spans="1:20" ht="100" customHeight="1">
      <c r="A289" s="26"/>
      <c r="B289" s="42" t="str">
        <f t="shared" si="14"/>
        <v/>
      </c>
      <c r="C289" s="43"/>
      <c r="D289" s="51" t="str" cm="1">
        <f t="array" ref="D289">IFERROR(INDEX(DB!G$2:G$2576,T289),"")</f>
        <v/>
      </c>
      <c r="E289" s="43"/>
      <c r="F289" s="52" t="str" cm="1">
        <f t="array" ref="F289">IFERROR(INDEX(DB!O$2:O$2576,T289),"")</f>
        <v/>
      </c>
      <c r="G289" s="43"/>
      <c r="H289" s="40" t="str" cm="1">
        <f t="array" ref="H289">IFERROR(INDEX(DB!P$2:P$2576,T289),"")</f>
        <v/>
      </c>
      <c r="I289" s="43"/>
      <c r="J289" s="53" t="str" cm="1">
        <f t="array" ref="J289">IFERROR(INDEX(DB!Q$2:Q$2576,T289),"")</f>
        <v/>
      </c>
      <c r="K289" s="43"/>
      <c r="L289" s="41" t="str" cm="1">
        <f t="array" ref="L289">IFERROR(INDEX(DB!R$2:R$2576,T289),"")</f>
        <v/>
      </c>
      <c r="M289" s="43"/>
      <c r="P289" t="str" cm="1">
        <f t="array" ref="P289">IFERROR(_xlfn.AGGREGATE(15,6,ROW(DB!A$2:A$2576)/((($D$3&lt;&gt;"YES")+($D$3="YES")*(DB!E$2:E$2576="YES"))*(($D$4="")+($D$4&lt;&gt;"")*( DB!B$2:B$2576=$D$4))*(($D$5="")+($D$5&lt;&gt;"")*( DB!C$2:C$2576=$D$5))*(($D$6="")+($D$6&lt;&gt;"")*( DB!D$2:D$2576=$D$6))*(($D$7="")+($D$7&lt;&gt;"")*(ISNUMBER(SEARCH($D$7,DB!G$2:G$2576))))*(($F$7="전체")+($F$7&lt;&gt;"전체")*(DB!H$2:H$2576=$F$7))),ROW()-13)-1,"")</f>
        <v/>
      </c>
      <c r="Q289" t="str" cm="1">
        <f t="array" ref="Q289">IFERROR(INDEX(DB!G$2:G$2576,P289),"")</f>
        <v/>
      </c>
      <c r="R289" t="str" cm="1">
        <f t="array" ref="R289">IFERROR(INDEX(DB!O$2:O$2576,P289),"")</f>
        <v/>
      </c>
      <c r="S289" t="str">
        <f t="shared" si="15"/>
        <v/>
      </c>
      <c r="T289" t="str">
        <f t="shared" si="16"/>
        <v/>
      </c>
    </row>
    <row r="290" spans="1:20" ht="100" customHeight="1">
      <c r="A290" s="26"/>
      <c r="B290" s="39" t="str">
        <f t="shared" si="14"/>
        <v/>
      </c>
      <c r="C290" s="43"/>
      <c r="D290" s="51" t="str" cm="1">
        <f t="array" ref="D290">IFERROR(INDEX(DB!G$2:G$2576,T290),"")</f>
        <v/>
      </c>
      <c r="E290" s="43"/>
      <c r="F290" s="52" t="str" cm="1">
        <f t="array" ref="F290">IFERROR(INDEX(DB!O$2:O$2576,T290),"")</f>
        <v/>
      </c>
      <c r="G290" s="43"/>
      <c r="H290" s="40" t="str" cm="1">
        <f t="array" ref="H290">IFERROR(INDEX(DB!P$2:P$2576,T290),"")</f>
        <v/>
      </c>
      <c r="I290" s="43"/>
      <c r="J290" s="53" t="str" cm="1">
        <f t="array" ref="J290">IFERROR(INDEX(DB!Q$2:Q$2576,T290),"")</f>
        <v/>
      </c>
      <c r="K290" s="43"/>
      <c r="L290" s="41" t="str" cm="1">
        <f t="array" ref="L290">IFERROR(INDEX(DB!R$2:R$2576,T290),"")</f>
        <v/>
      </c>
      <c r="M290" s="43"/>
      <c r="P290" t="str" cm="1">
        <f t="array" ref="P290">IFERROR(_xlfn.AGGREGATE(15,6,ROW(DB!A$2:A$2576)/((($D$3&lt;&gt;"YES")+($D$3="YES")*(DB!E$2:E$2576="YES"))*(($D$4="")+($D$4&lt;&gt;"")*( DB!B$2:B$2576=$D$4))*(($D$5="")+($D$5&lt;&gt;"")*( DB!C$2:C$2576=$D$5))*(($D$6="")+($D$6&lt;&gt;"")*( DB!D$2:D$2576=$D$6))*(($D$7="")+($D$7&lt;&gt;"")*(ISNUMBER(SEARCH($D$7,DB!G$2:G$2576))))*(($F$7="전체")+($F$7&lt;&gt;"전체")*(DB!H$2:H$2576=$F$7))),ROW()-13)-1,"")</f>
        <v/>
      </c>
      <c r="Q290" t="str" cm="1">
        <f t="array" ref="Q290">IFERROR(INDEX(DB!G$2:G$2576,P290),"")</f>
        <v/>
      </c>
      <c r="R290" t="str" cm="1">
        <f t="array" ref="R290">IFERROR(INDEX(DB!O$2:O$2576,P290),"")</f>
        <v/>
      </c>
      <c r="S290" t="str">
        <f t="shared" si="15"/>
        <v/>
      </c>
      <c r="T290" t="str">
        <f t="shared" si="16"/>
        <v/>
      </c>
    </row>
    <row r="291" spans="1:20" ht="100" customHeight="1">
      <c r="A291" s="26"/>
      <c r="B291" s="42" t="str">
        <f t="shared" si="14"/>
        <v/>
      </c>
      <c r="C291" s="43"/>
      <c r="D291" s="51" t="str" cm="1">
        <f t="array" ref="D291">IFERROR(INDEX(DB!G$2:G$2576,T291),"")</f>
        <v/>
      </c>
      <c r="E291" s="43"/>
      <c r="F291" s="52" t="str" cm="1">
        <f t="array" ref="F291">IFERROR(INDEX(DB!O$2:O$2576,T291),"")</f>
        <v/>
      </c>
      <c r="G291" s="43"/>
      <c r="H291" s="40" t="str" cm="1">
        <f t="array" ref="H291">IFERROR(INDEX(DB!P$2:P$2576,T291),"")</f>
        <v/>
      </c>
      <c r="I291" s="43"/>
      <c r="J291" s="53" t="str" cm="1">
        <f t="array" ref="J291">IFERROR(INDEX(DB!Q$2:Q$2576,T291),"")</f>
        <v/>
      </c>
      <c r="K291" s="43"/>
      <c r="L291" s="41" t="str" cm="1">
        <f t="array" ref="L291">IFERROR(INDEX(DB!R$2:R$2576,T291),"")</f>
        <v/>
      </c>
      <c r="M291" s="43"/>
      <c r="P291" t="str" cm="1">
        <f t="array" ref="P291">IFERROR(_xlfn.AGGREGATE(15,6,ROW(DB!A$2:A$2576)/((($D$3&lt;&gt;"YES")+($D$3="YES")*(DB!E$2:E$2576="YES"))*(($D$4="")+($D$4&lt;&gt;"")*( DB!B$2:B$2576=$D$4))*(($D$5="")+($D$5&lt;&gt;"")*( DB!C$2:C$2576=$D$5))*(($D$6="")+($D$6&lt;&gt;"")*( DB!D$2:D$2576=$D$6))*(($D$7="")+($D$7&lt;&gt;"")*(ISNUMBER(SEARCH($D$7,DB!G$2:G$2576))))*(($F$7="전체")+($F$7&lt;&gt;"전체")*(DB!H$2:H$2576=$F$7))),ROW()-13)-1,"")</f>
        <v/>
      </c>
      <c r="Q291" t="str" cm="1">
        <f t="array" ref="Q291">IFERROR(INDEX(DB!G$2:G$2576,P291),"")</f>
        <v/>
      </c>
      <c r="R291" t="str" cm="1">
        <f t="array" ref="R291">IFERROR(INDEX(DB!O$2:O$2576,P291),"")</f>
        <v/>
      </c>
      <c r="S291" t="str">
        <f t="shared" si="15"/>
        <v/>
      </c>
      <c r="T291" t="str">
        <f t="shared" si="16"/>
        <v/>
      </c>
    </row>
    <row r="292" spans="1:20" ht="100" customHeight="1">
      <c r="A292" s="26"/>
      <c r="B292" s="39" t="str">
        <f t="shared" si="14"/>
        <v/>
      </c>
      <c r="C292" s="43"/>
      <c r="D292" s="51" t="str" cm="1">
        <f t="array" ref="D292">IFERROR(INDEX(DB!G$2:G$2576,T292),"")</f>
        <v/>
      </c>
      <c r="E292" s="43"/>
      <c r="F292" s="52" t="str" cm="1">
        <f t="array" ref="F292">IFERROR(INDEX(DB!O$2:O$2576,T292),"")</f>
        <v/>
      </c>
      <c r="G292" s="43"/>
      <c r="H292" s="40" t="str" cm="1">
        <f t="array" ref="H292">IFERROR(INDEX(DB!P$2:P$2576,T292),"")</f>
        <v/>
      </c>
      <c r="I292" s="43"/>
      <c r="J292" s="53" t="str" cm="1">
        <f t="array" ref="J292">IFERROR(INDEX(DB!Q$2:Q$2576,T292),"")</f>
        <v/>
      </c>
      <c r="K292" s="43"/>
      <c r="L292" s="41" t="str" cm="1">
        <f t="array" ref="L292">IFERROR(INDEX(DB!R$2:R$2576,T292),"")</f>
        <v/>
      </c>
      <c r="M292" s="43"/>
      <c r="P292" t="str" cm="1">
        <f t="array" ref="P292">IFERROR(_xlfn.AGGREGATE(15,6,ROW(DB!A$2:A$2576)/((($D$3&lt;&gt;"YES")+($D$3="YES")*(DB!E$2:E$2576="YES"))*(($D$4="")+($D$4&lt;&gt;"")*( DB!B$2:B$2576=$D$4))*(($D$5="")+($D$5&lt;&gt;"")*( DB!C$2:C$2576=$D$5))*(($D$6="")+($D$6&lt;&gt;"")*( DB!D$2:D$2576=$D$6))*(($D$7="")+($D$7&lt;&gt;"")*(ISNUMBER(SEARCH($D$7,DB!G$2:G$2576))))*(($F$7="전체")+($F$7&lt;&gt;"전체")*(DB!H$2:H$2576=$F$7))),ROW()-13)-1,"")</f>
        <v/>
      </c>
      <c r="Q292" t="str" cm="1">
        <f t="array" ref="Q292">IFERROR(INDEX(DB!G$2:G$2576,P292),"")</f>
        <v/>
      </c>
      <c r="R292" t="str" cm="1">
        <f t="array" ref="R292">IFERROR(INDEX(DB!O$2:O$2576,P292),"")</f>
        <v/>
      </c>
      <c r="S292" t="str">
        <f t="shared" si="15"/>
        <v/>
      </c>
      <c r="T292" t="str">
        <f t="shared" si="16"/>
        <v/>
      </c>
    </row>
    <row r="293" spans="1:20" ht="100" customHeight="1">
      <c r="A293" s="26"/>
      <c r="B293" s="42" t="str">
        <f t="shared" si="14"/>
        <v/>
      </c>
      <c r="C293" s="43"/>
      <c r="D293" s="51" t="str" cm="1">
        <f t="array" ref="D293">IFERROR(INDEX(DB!G$2:G$2576,T293),"")</f>
        <v/>
      </c>
      <c r="E293" s="43"/>
      <c r="F293" s="52" t="str" cm="1">
        <f t="array" ref="F293">IFERROR(INDEX(DB!O$2:O$2576,T293),"")</f>
        <v/>
      </c>
      <c r="G293" s="43"/>
      <c r="H293" s="40" t="str" cm="1">
        <f t="array" ref="H293">IFERROR(INDEX(DB!P$2:P$2576,T293),"")</f>
        <v/>
      </c>
      <c r="I293" s="43"/>
      <c r="J293" s="53" t="str" cm="1">
        <f t="array" ref="J293">IFERROR(INDEX(DB!Q$2:Q$2576,T293),"")</f>
        <v/>
      </c>
      <c r="K293" s="43"/>
      <c r="L293" s="41" t="str" cm="1">
        <f t="array" ref="L293">IFERROR(INDEX(DB!R$2:R$2576,T293),"")</f>
        <v/>
      </c>
      <c r="M293" s="43"/>
      <c r="P293" t="str" cm="1">
        <f t="array" ref="P293">IFERROR(_xlfn.AGGREGATE(15,6,ROW(DB!A$2:A$2576)/((($D$3&lt;&gt;"YES")+($D$3="YES")*(DB!E$2:E$2576="YES"))*(($D$4="")+($D$4&lt;&gt;"")*( DB!B$2:B$2576=$D$4))*(($D$5="")+($D$5&lt;&gt;"")*( DB!C$2:C$2576=$D$5))*(($D$6="")+($D$6&lt;&gt;"")*( DB!D$2:D$2576=$D$6))*(($D$7="")+($D$7&lt;&gt;"")*(ISNUMBER(SEARCH($D$7,DB!G$2:G$2576))))*(($F$7="전체")+($F$7&lt;&gt;"전체")*(DB!H$2:H$2576=$F$7))),ROW()-13)-1,"")</f>
        <v/>
      </c>
      <c r="Q293" t="str" cm="1">
        <f t="array" ref="Q293">IFERROR(INDEX(DB!G$2:G$2576,P293),"")</f>
        <v/>
      </c>
      <c r="R293" t="str" cm="1">
        <f t="array" ref="R293">IFERROR(INDEX(DB!O$2:O$2576,P293),"")</f>
        <v/>
      </c>
      <c r="S293" t="str">
        <f t="shared" si="15"/>
        <v/>
      </c>
      <c r="T293" t="str">
        <f t="shared" si="16"/>
        <v/>
      </c>
    </row>
    <row r="294" spans="1:20" ht="100" customHeight="1">
      <c r="A294" s="26"/>
      <c r="B294" s="39" t="str">
        <f t="shared" si="14"/>
        <v/>
      </c>
      <c r="C294" s="43"/>
      <c r="D294" s="51" t="str" cm="1">
        <f t="array" ref="D294">IFERROR(INDEX(DB!G$2:G$2576,T294),"")</f>
        <v/>
      </c>
      <c r="E294" s="43"/>
      <c r="F294" s="52" t="str" cm="1">
        <f t="array" ref="F294">IFERROR(INDEX(DB!O$2:O$2576,T294),"")</f>
        <v/>
      </c>
      <c r="G294" s="43"/>
      <c r="H294" s="40" t="str" cm="1">
        <f t="array" ref="H294">IFERROR(INDEX(DB!P$2:P$2576,T294),"")</f>
        <v/>
      </c>
      <c r="I294" s="43"/>
      <c r="J294" s="53" t="str" cm="1">
        <f t="array" ref="J294">IFERROR(INDEX(DB!Q$2:Q$2576,T294),"")</f>
        <v/>
      </c>
      <c r="K294" s="43"/>
      <c r="L294" s="41" t="str" cm="1">
        <f t="array" ref="L294">IFERROR(INDEX(DB!R$2:R$2576,T294),"")</f>
        <v/>
      </c>
      <c r="M294" s="43"/>
      <c r="P294" t="str" cm="1">
        <f t="array" ref="P294">IFERROR(_xlfn.AGGREGATE(15,6,ROW(DB!A$2:A$2576)/((($D$3&lt;&gt;"YES")+($D$3="YES")*(DB!E$2:E$2576="YES"))*(($D$4="")+($D$4&lt;&gt;"")*( DB!B$2:B$2576=$D$4))*(($D$5="")+($D$5&lt;&gt;"")*( DB!C$2:C$2576=$D$5))*(($D$6="")+($D$6&lt;&gt;"")*( DB!D$2:D$2576=$D$6))*(($D$7="")+($D$7&lt;&gt;"")*(ISNUMBER(SEARCH($D$7,DB!G$2:G$2576))))*(($F$7="전체")+($F$7&lt;&gt;"전체")*(DB!H$2:H$2576=$F$7))),ROW()-13)-1,"")</f>
        <v/>
      </c>
      <c r="Q294" t="str" cm="1">
        <f t="array" ref="Q294">IFERROR(INDEX(DB!G$2:G$2576,P294),"")</f>
        <v/>
      </c>
      <c r="R294" t="str" cm="1">
        <f t="array" ref="R294">IFERROR(INDEX(DB!O$2:O$2576,P294),"")</f>
        <v/>
      </c>
      <c r="S294" t="str">
        <f t="shared" si="15"/>
        <v/>
      </c>
      <c r="T294" t="str">
        <f t="shared" si="16"/>
        <v/>
      </c>
    </row>
    <row r="295" spans="1:20" ht="100" customHeight="1">
      <c r="A295" s="26"/>
      <c r="B295" s="42" t="str">
        <f t="shared" si="14"/>
        <v/>
      </c>
      <c r="C295" s="43"/>
      <c r="D295" s="51" t="str" cm="1">
        <f t="array" ref="D295">IFERROR(INDEX(DB!G$2:G$2576,T295),"")</f>
        <v/>
      </c>
      <c r="E295" s="43"/>
      <c r="F295" s="52" t="str" cm="1">
        <f t="array" ref="F295">IFERROR(INDEX(DB!O$2:O$2576,T295),"")</f>
        <v/>
      </c>
      <c r="G295" s="43"/>
      <c r="H295" s="40" t="str" cm="1">
        <f t="array" ref="H295">IFERROR(INDEX(DB!P$2:P$2576,T295),"")</f>
        <v/>
      </c>
      <c r="I295" s="43"/>
      <c r="J295" s="53" t="str" cm="1">
        <f t="array" ref="J295">IFERROR(INDEX(DB!Q$2:Q$2576,T295),"")</f>
        <v/>
      </c>
      <c r="K295" s="43"/>
      <c r="L295" s="41" t="str" cm="1">
        <f t="array" ref="L295">IFERROR(INDEX(DB!R$2:R$2576,T295),"")</f>
        <v/>
      </c>
      <c r="M295" s="43"/>
      <c r="P295" t="str" cm="1">
        <f t="array" ref="P295">IFERROR(_xlfn.AGGREGATE(15,6,ROW(DB!A$2:A$2576)/((($D$3&lt;&gt;"YES")+($D$3="YES")*(DB!E$2:E$2576="YES"))*(($D$4="")+($D$4&lt;&gt;"")*( DB!B$2:B$2576=$D$4))*(($D$5="")+($D$5&lt;&gt;"")*( DB!C$2:C$2576=$D$5))*(($D$6="")+($D$6&lt;&gt;"")*( DB!D$2:D$2576=$D$6))*(($D$7="")+($D$7&lt;&gt;"")*(ISNUMBER(SEARCH($D$7,DB!G$2:G$2576))))*(($F$7="전체")+($F$7&lt;&gt;"전체")*(DB!H$2:H$2576=$F$7))),ROW()-13)-1,"")</f>
        <v/>
      </c>
      <c r="Q295" t="str" cm="1">
        <f t="array" ref="Q295">IFERROR(INDEX(DB!G$2:G$2576,P295),"")</f>
        <v/>
      </c>
      <c r="R295" t="str" cm="1">
        <f t="array" ref="R295">IFERROR(INDEX(DB!O$2:O$2576,P295),"")</f>
        <v/>
      </c>
      <c r="S295" t="str">
        <f t="shared" si="15"/>
        <v/>
      </c>
      <c r="T295" t="str">
        <f t="shared" si="16"/>
        <v/>
      </c>
    </row>
    <row r="296" spans="1:20" ht="100" customHeight="1">
      <c r="A296" s="26"/>
      <c r="B296" s="39" t="str">
        <f t="shared" si="14"/>
        <v/>
      </c>
      <c r="C296" s="43"/>
      <c r="D296" s="51" t="str" cm="1">
        <f t="array" ref="D296">IFERROR(INDEX(DB!G$2:G$2576,T296),"")</f>
        <v/>
      </c>
      <c r="E296" s="43"/>
      <c r="F296" s="52" t="str" cm="1">
        <f t="array" ref="F296">IFERROR(INDEX(DB!O$2:O$2576,T296),"")</f>
        <v/>
      </c>
      <c r="G296" s="43"/>
      <c r="H296" s="40" t="str" cm="1">
        <f t="array" ref="H296">IFERROR(INDEX(DB!P$2:P$2576,T296),"")</f>
        <v/>
      </c>
      <c r="I296" s="43"/>
      <c r="J296" s="53" t="str" cm="1">
        <f t="array" ref="J296">IFERROR(INDEX(DB!Q$2:Q$2576,T296),"")</f>
        <v/>
      </c>
      <c r="K296" s="43"/>
      <c r="L296" s="41" t="str" cm="1">
        <f t="array" ref="L296">IFERROR(INDEX(DB!R$2:R$2576,T296),"")</f>
        <v/>
      </c>
      <c r="M296" s="43"/>
      <c r="P296" t="str" cm="1">
        <f t="array" ref="P296">IFERROR(_xlfn.AGGREGATE(15,6,ROW(DB!A$2:A$2576)/((($D$3&lt;&gt;"YES")+($D$3="YES")*(DB!E$2:E$2576="YES"))*(($D$4="")+($D$4&lt;&gt;"")*( DB!B$2:B$2576=$D$4))*(($D$5="")+($D$5&lt;&gt;"")*( DB!C$2:C$2576=$D$5))*(($D$6="")+($D$6&lt;&gt;"")*( DB!D$2:D$2576=$D$6))*(($D$7="")+($D$7&lt;&gt;"")*(ISNUMBER(SEARCH($D$7,DB!G$2:G$2576))))*(($F$7="전체")+($F$7&lt;&gt;"전체")*(DB!H$2:H$2576=$F$7))),ROW()-13)-1,"")</f>
        <v/>
      </c>
      <c r="Q296" t="str" cm="1">
        <f t="array" ref="Q296">IFERROR(INDEX(DB!G$2:G$2576,P296),"")</f>
        <v/>
      </c>
      <c r="R296" t="str" cm="1">
        <f t="array" ref="R296">IFERROR(INDEX(DB!O$2:O$2576,P296),"")</f>
        <v/>
      </c>
      <c r="S296" t="str">
        <f t="shared" si="15"/>
        <v/>
      </c>
      <c r="T296" t="str">
        <f t="shared" si="16"/>
        <v/>
      </c>
    </row>
    <row r="297" spans="1:20" ht="100" customHeight="1">
      <c r="A297" s="26"/>
      <c r="B297" s="42" t="str">
        <f t="shared" si="14"/>
        <v/>
      </c>
      <c r="C297" s="43"/>
      <c r="D297" s="51" t="str" cm="1">
        <f t="array" ref="D297">IFERROR(INDEX(DB!G$2:G$2576,T297),"")</f>
        <v/>
      </c>
      <c r="E297" s="43"/>
      <c r="F297" s="52" t="str" cm="1">
        <f t="array" ref="F297">IFERROR(INDEX(DB!O$2:O$2576,T297),"")</f>
        <v/>
      </c>
      <c r="G297" s="43"/>
      <c r="H297" s="40" t="str" cm="1">
        <f t="array" ref="H297">IFERROR(INDEX(DB!P$2:P$2576,T297),"")</f>
        <v/>
      </c>
      <c r="I297" s="43"/>
      <c r="J297" s="53" t="str" cm="1">
        <f t="array" ref="J297">IFERROR(INDEX(DB!Q$2:Q$2576,T297),"")</f>
        <v/>
      </c>
      <c r="K297" s="43"/>
      <c r="L297" s="41" t="str" cm="1">
        <f t="array" ref="L297">IFERROR(INDEX(DB!R$2:R$2576,T297),"")</f>
        <v/>
      </c>
      <c r="M297" s="43"/>
      <c r="P297" t="str" cm="1">
        <f t="array" ref="P297">IFERROR(_xlfn.AGGREGATE(15,6,ROW(DB!A$2:A$2576)/((($D$3&lt;&gt;"YES")+($D$3="YES")*(DB!E$2:E$2576="YES"))*(($D$4="")+($D$4&lt;&gt;"")*( DB!B$2:B$2576=$D$4))*(($D$5="")+($D$5&lt;&gt;"")*( DB!C$2:C$2576=$D$5))*(($D$6="")+($D$6&lt;&gt;"")*( DB!D$2:D$2576=$D$6))*(($D$7="")+($D$7&lt;&gt;"")*(ISNUMBER(SEARCH($D$7,DB!G$2:G$2576))))*(($F$7="전체")+($F$7&lt;&gt;"전체")*(DB!H$2:H$2576=$F$7))),ROW()-13)-1,"")</f>
        <v/>
      </c>
      <c r="Q297" t="str" cm="1">
        <f t="array" ref="Q297">IFERROR(INDEX(DB!G$2:G$2576,P297),"")</f>
        <v/>
      </c>
      <c r="R297" t="str" cm="1">
        <f t="array" ref="R297">IFERROR(INDEX(DB!O$2:O$2576,P297),"")</f>
        <v/>
      </c>
      <c r="S297" t="str">
        <f t="shared" si="15"/>
        <v/>
      </c>
      <c r="T297" t="str">
        <f t="shared" si="16"/>
        <v/>
      </c>
    </row>
    <row r="298" spans="1:20" ht="100" customHeight="1">
      <c r="A298" s="26"/>
      <c r="B298" s="39" t="str">
        <f t="shared" si="14"/>
        <v/>
      </c>
      <c r="C298" s="43"/>
      <c r="D298" s="51" t="str" cm="1">
        <f t="array" ref="D298">IFERROR(INDEX(DB!G$2:G$2576,T298),"")</f>
        <v/>
      </c>
      <c r="E298" s="43"/>
      <c r="F298" s="52" t="str" cm="1">
        <f t="array" ref="F298">IFERROR(INDEX(DB!O$2:O$2576,T298),"")</f>
        <v/>
      </c>
      <c r="G298" s="43"/>
      <c r="H298" s="40" t="str" cm="1">
        <f t="array" ref="H298">IFERROR(INDEX(DB!P$2:P$2576,T298),"")</f>
        <v/>
      </c>
      <c r="I298" s="43"/>
      <c r="J298" s="53" t="str" cm="1">
        <f t="array" ref="J298">IFERROR(INDEX(DB!Q$2:Q$2576,T298),"")</f>
        <v/>
      </c>
      <c r="K298" s="43"/>
      <c r="L298" s="41" t="str" cm="1">
        <f t="array" ref="L298">IFERROR(INDEX(DB!R$2:R$2576,T298),"")</f>
        <v/>
      </c>
      <c r="M298" s="43"/>
      <c r="P298" t="str" cm="1">
        <f t="array" ref="P298">IFERROR(_xlfn.AGGREGATE(15,6,ROW(DB!A$2:A$2576)/((($D$3&lt;&gt;"YES")+($D$3="YES")*(DB!E$2:E$2576="YES"))*(($D$4="")+($D$4&lt;&gt;"")*( DB!B$2:B$2576=$D$4))*(($D$5="")+($D$5&lt;&gt;"")*( DB!C$2:C$2576=$D$5))*(($D$6="")+($D$6&lt;&gt;"")*( DB!D$2:D$2576=$D$6))*(($D$7="")+($D$7&lt;&gt;"")*(ISNUMBER(SEARCH($D$7,DB!G$2:G$2576))))*(($F$7="전체")+($F$7&lt;&gt;"전체")*(DB!H$2:H$2576=$F$7))),ROW()-13)-1,"")</f>
        <v/>
      </c>
      <c r="Q298" t="str" cm="1">
        <f t="array" ref="Q298">IFERROR(INDEX(DB!G$2:G$2576,P298),"")</f>
        <v/>
      </c>
      <c r="R298" t="str" cm="1">
        <f t="array" ref="R298">IFERROR(INDEX(DB!O$2:O$2576,P298),"")</f>
        <v/>
      </c>
      <c r="S298" t="str">
        <f t="shared" si="15"/>
        <v/>
      </c>
      <c r="T298" t="str">
        <f t="shared" si="16"/>
        <v/>
      </c>
    </row>
    <row r="299" spans="1:20" ht="100" customHeight="1">
      <c r="A299" s="26"/>
      <c r="B299" s="42" t="str">
        <f t="shared" si="14"/>
        <v/>
      </c>
      <c r="C299" s="43"/>
      <c r="D299" s="51" t="str" cm="1">
        <f t="array" ref="D299">IFERROR(INDEX(DB!G$2:G$2576,T299),"")</f>
        <v/>
      </c>
      <c r="E299" s="43"/>
      <c r="F299" s="52" t="str" cm="1">
        <f t="array" ref="F299">IFERROR(INDEX(DB!O$2:O$2576,T299),"")</f>
        <v/>
      </c>
      <c r="G299" s="43"/>
      <c r="H299" s="40" t="str" cm="1">
        <f t="array" ref="H299">IFERROR(INDEX(DB!P$2:P$2576,T299),"")</f>
        <v/>
      </c>
      <c r="I299" s="43"/>
      <c r="J299" s="53" t="str" cm="1">
        <f t="array" ref="J299">IFERROR(INDEX(DB!Q$2:Q$2576,T299),"")</f>
        <v/>
      </c>
      <c r="K299" s="43"/>
      <c r="L299" s="41" t="str" cm="1">
        <f t="array" ref="L299">IFERROR(INDEX(DB!R$2:R$2576,T299),"")</f>
        <v/>
      </c>
      <c r="M299" s="43"/>
      <c r="P299" t="str" cm="1">
        <f t="array" ref="P299">IFERROR(_xlfn.AGGREGATE(15,6,ROW(DB!A$2:A$2576)/((($D$3&lt;&gt;"YES")+($D$3="YES")*(DB!E$2:E$2576="YES"))*(($D$4="")+($D$4&lt;&gt;"")*( DB!B$2:B$2576=$D$4))*(($D$5="")+($D$5&lt;&gt;"")*( DB!C$2:C$2576=$D$5))*(($D$6="")+($D$6&lt;&gt;"")*( DB!D$2:D$2576=$D$6))*(($D$7="")+($D$7&lt;&gt;"")*(ISNUMBER(SEARCH($D$7,DB!G$2:G$2576))))*(($F$7="전체")+($F$7&lt;&gt;"전체")*(DB!H$2:H$2576=$F$7))),ROW()-13)-1,"")</f>
        <v/>
      </c>
      <c r="Q299" t="str" cm="1">
        <f t="array" ref="Q299">IFERROR(INDEX(DB!G$2:G$2576,P299),"")</f>
        <v/>
      </c>
      <c r="R299" t="str" cm="1">
        <f t="array" ref="R299">IFERROR(INDEX(DB!O$2:O$2576,P299),"")</f>
        <v/>
      </c>
      <c r="S299" t="str">
        <f t="shared" si="15"/>
        <v/>
      </c>
      <c r="T299" t="str">
        <f t="shared" si="16"/>
        <v/>
      </c>
    </row>
    <row r="300" spans="1:20" ht="100" customHeight="1">
      <c r="A300" s="26"/>
      <c r="B300" s="39" t="str">
        <f t="shared" si="14"/>
        <v/>
      </c>
      <c r="C300" s="43"/>
      <c r="D300" s="51" t="str" cm="1">
        <f t="array" ref="D300">IFERROR(INDEX(DB!G$2:G$2576,T300),"")</f>
        <v/>
      </c>
      <c r="E300" s="43"/>
      <c r="F300" s="52" t="str" cm="1">
        <f t="array" ref="F300">IFERROR(INDEX(DB!O$2:O$2576,T300),"")</f>
        <v/>
      </c>
      <c r="G300" s="43"/>
      <c r="H300" s="40" t="str" cm="1">
        <f t="array" ref="H300">IFERROR(INDEX(DB!P$2:P$2576,T300),"")</f>
        <v/>
      </c>
      <c r="I300" s="43"/>
      <c r="J300" s="53" t="str" cm="1">
        <f t="array" ref="J300">IFERROR(INDEX(DB!Q$2:Q$2576,T300),"")</f>
        <v/>
      </c>
      <c r="K300" s="43"/>
      <c r="L300" s="41" t="str" cm="1">
        <f t="array" ref="L300">IFERROR(INDEX(DB!R$2:R$2576,T300),"")</f>
        <v/>
      </c>
      <c r="M300" s="43"/>
      <c r="P300" t="str" cm="1">
        <f t="array" ref="P300">IFERROR(_xlfn.AGGREGATE(15,6,ROW(DB!A$2:A$2576)/((($D$3&lt;&gt;"YES")+($D$3="YES")*(DB!E$2:E$2576="YES"))*(($D$4="")+($D$4&lt;&gt;"")*( DB!B$2:B$2576=$D$4))*(($D$5="")+($D$5&lt;&gt;"")*( DB!C$2:C$2576=$D$5))*(($D$6="")+($D$6&lt;&gt;"")*( DB!D$2:D$2576=$D$6))*(($D$7="")+($D$7&lt;&gt;"")*(ISNUMBER(SEARCH($D$7,DB!G$2:G$2576))))*(($F$7="전체")+($F$7&lt;&gt;"전체")*(DB!H$2:H$2576=$F$7))),ROW()-13)-1,"")</f>
        <v/>
      </c>
      <c r="Q300" t="str" cm="1">
        <f t="array" ref="Q300">IFERROR(INDEX(DB!G$2:G$2576,P300),"")</f>
        <v/>
      </c>
      <c r="R300" t="str" cm="1">
        <f t="array" ref="R300">IFERROR(INDEX(DB!O$2:O$2576,P300),"")</f>
        <v/>
      </c>
      <c r="S300" t="str">
        <f t="shared" si="15"/>
        <v/>
      </c>
      <c r="T300" t="str">
        <f t="shared" si="16"/>
        <v/>
      </c>
    </row>
    <row r="301" spans="1:20" ht="100" customHeight="1">
      <c r="A301" s="26"/>
      <c r="B301" s="42" t="str">
        <f t="shared" si="14"/>
        <v/>
      </c>
      <c r="C301" s="43"/>
      <c r="D301" s="51" t="str" cm="1">
        <f t="array" ref="D301">IFERROR(INDEX(DB!G$2:G$2576,T301),"")</f>
        <v/>
      </c>
      <c r="E301" s="43"/>
      <c r="F301" s="52" t="str" cm="1">
        <f t="array" ref="F301">IFERROR(INDEX(DB!O$2:O$2576,T301),"")</f>
        <v/>
      </c>
      <c r="G301" s="43"/>
      <c r="H301" s="40" t="str" cm="1">
        <f t="array" ref="H301">IFERROR(INDEX(DB!P$2:P$2576,T301),"")</f>
        <v/>
      </c>
      <c r="I301" s="43"/>
      <c r="J301" s="53" t="str" cm="1">
        <f t="array" ref="J301">IFERROR(INDEX(DB!Q$2:Q$2576,T301),"")</f>
        <v/>
      </c>
      <c r="K301" s="43"/>
      <c r="L301" s="41" t="str" cm="1">
        <f t="array" ref="L301">IFERROR(INDEX(DB!R$2:R$2576,T301),"")</f>
        <v/>
      </c>
      <c r="M301" s="43"/>
      <c r="P301" t="str" cm="1">
        <f t="array" ref="P301">IFERROR(_xlfn.AGGREGATE(15,6,ROW(DB!A$2:A$2576)/((($D$3&lt;&gt;"YES")+($D$3="YES")*(DB!E$2:E$2576="YES"))*(($D$4="")+($D$4&lt;&gt;"")*( DB!B$2:B$2576=$D$4))*(($D$5="")+($D$5&lt;&gt;"")*( DB!C$2:C$2576=$D$5))*(($D$6="")+($D$6&lt;&gt;"")*( DB!D$2:D$2576=$D$6))*(($D$7="")+($D$7&lt;&gt;"")*(ISNUMBER(SEARCH($D$7,DB!G$2:G$2576))))*(($F$7="전체")+($F$7&lt;&gt;"전체")*(DB!H$2:H$2576=$F$7))),ROW()-13)-1,"")</f>
        <v/>
      </c>
      <c r="Q301" t="str" cm="1">
        <f t="array" ref="Q301">IFERROR(INDEX(DB!G$2:G$2576,P301),"")</f>
        <v/>
      </c>
      <c r="R301" t="str" cm="1">
        <f t="array" ref="R301">IFERROR(INDEX(DB!O$2:O$2576,P301),"")</f>
        <v/>
      </c>
      <c r="S301" t="str">
        <f t="shared" si="15"/>
        <v/>
      </c>
      <c r="T301" t="str">
        <f t="shared" si="16"/>
        <v/>
      </c>
    </row>
    <row r="302" spans="1:20" ht="100" customHeight="1">
      <c r="A302" s="26"/>
      <c r="B302" s="39" t="str">
        <f t="shared" si="14"/>
        <v/>
      </c>
      <c r="C302" s="43"/>
      <c r="D302" s="51" t="str" cm="1">
        <f t="array" ref="D302">IFERROR(INDEX(DB!G$2:G$2576,T302),"")</f>
        <v/>
      </c>
      <c r="E302" s="43"/>
      <c r="F302" s="52" t="str" cm="1">
        <f t="array" ref="F302">IFERROR(INDEX(DB!O$2:O$2576,T302),"")</f>
        <v/>
      </c>
      <c r="G302" s="43"/>
      <c r="H302" s="40" t="str" cm="1">
        <f t="array" ref="H302">IFERROR(INDEX(DB!P$2:P$2576,T302),"")</f>
        <v/>
      </c>
      <c r="I302" s="43"/>
      <c r="J302" s="53" t="str" cm="1">
        <f t="array" ref="J302">IFERROR(INDEX(DB!Q$2:Q$2576,T302),"")</f>
        <v/>
      </c>
      <c r="K302" s="43"/>
      <c r="L302" s="41" t="str" cm="1">
        <f t="array" ref="L302">IFERROR(INDEX(DB!R$2:R$2576,T302),"")</f>
        <v/>
      </c>
      <c r="M302" s="43"/>
      <c r="P302" t="str" cm="1">
        <f t="array" ref="P302">IFERROR(_xlfn.AGGREGATE(15,6,ROW(DB!A$2:A$2576)/((($D$3&lt;&gt;"YES")+($D$3="YES")*(DB!E$2:E$2576="YES"))*(($D$4="")+($D$4&lt;&gt;"")*( DB!B$2:B$2576=$D$4))*(($D$5="")+($D$5&lt;&gt;"")*( DB!C$2:C$2576=$D$5))*(($D$6="")+($D$6&lt;&gt;"")*( DB!D$2:D$2576=$D$6))*(($D$7="")+($D$7&lt;&gt;"")*(ISNUMBER(SEARCH($D$7,DB!G$2:G$2576))))*(($F$7="전체")+($F$7&lt;&gt;"전체")*(DB!H$2:H$2576=$F$7))),ROW()-13)-1,"")</f>
        <v/>
      </c>
      <c r="Q302" t="str" cm="1">
        <f t="array" ref="Q302">IFERROR(INDEX(DB!G$2:G$2576,P302),"")</f>
        <v/>
      </c>
      <c r="R302" t="str" cm="1">
        <f t="array" ref="R302">IFERROR(INDEX(DB!O$2:O$2576,P302),"")</f>
        <v/>
      </c>
      <c r="S302" t="str">
        <f t="shared" si="15"/>
        <v/>
      </c>
      <c r="T302" t="str">
        <f t="shared" si="16"/>
        <v/>
      </c>
    </row>
    <row r="303" spans="1:20" ht="100" customHeight="1">
      <c r="A303" s="26"/>
      <c r="B303" s="42" t="str">
        <f t="shared" si="14"/>
        <v/>
      </c>
      <c r="C303" s="43"/>
      <c r="D303" s="51" t="str" cm="1">
        <f t="array" ref="D303">IFERROR(INDEX(DB!G$2:G$2576,T303),"")</f>
        <v/>
      </c>
      <c r="E303" s="43"/>
      <c r="F303" s="52" t="str" cm="1">
        <f t="array" ref="F303">IFERROR(INDEX(DB!O$2:O$2576,T303),"")</f>
        <v/>
      </c>
      <c r="G303" s="43"/>
      <c r="H303" s="40" t="str" cm="1">
        <f t="array" ref="H303">IFERROR(INDEX(DB!P$2:P$2576,T303),"")</f>
        <v/>
      </c>
      <c r="I303" s="43"/>
      <c r="J303" s="53" t="str" cm="1">
        <f t="array" ref="J303">IFERROR(INDEX(DB!Q$2:Q$2576,T303),"")</f>
        <v/>
      </c>
      <c r="K303" s="43"/>
      <c r="L303" s="41" t="str" cm="1">
        <f t="array" ref="L303">IFERROR(INDEX(DB!R$2:R$2576,T303),"")</f>
        <v/>
      </c>
      <c r="M303" s="43"/>
      <c r="P303" t="str" cm="1">
        <f t="array" ref="P303">IFERROR(_xlfn.AGGREGATE(15,6,ROW(DB!A$2:A$2576)/((($D$3&lt;&gt;"YES")+($D$3="YES")*(DB!E$2:E$2576="YES"))*(($D$4="")+($D$4&lt;&gt;"")*( DB!B$2:B$2576=$D$4))*(($D$5="")+($D$5&lt;&gt;"")*( DB!C$2:C$2576=$D$5))*(($D$6="")+($D$6&lt;&gt;"")*( DB!D$2:D$2576=$D$6))*(($D$7="")+($D$7&lt;&gt;"")*(ISNUMBER(SEARCH($D$7,DB!G$2:G$2576))))*(($F$7="전체")+($F$7&lt;&gt;"전체")*(DB!H$2:H$2576=$F$7))),ROW()-13)-1,"")</f>
        <v/>
      </c>
      <c r="Q303" t="str" cm="1">
        <f t="array" ref="Q303">IFERROR(INDEX(DB!G$2:G$2576,P303),"")</f>
        <v/>
      </c>
      <c r="R303" t="str" cm="1">
        <f t="array" ref="R303">IFERROR(INDEX(DB!O$2:O$2576,P303),"")</f>
        <v/>
      </c>
      <c r="S303" t="str">
        <f t="shared" si="15"/>
        <v/>
      </c>
      <c r="T303" t="str">
        <f t="shared" si="16"/>
        <v/>
      </c>
    </row>
    <row r="304" spans="1:20" ht="100" customHeight="1">
      <c r="A304" s="26"/>
      <c r="B304" s="39" t="str">
        <f t="shared" si="14"/>
        <v/>
      </c>
      <c r="C304" s="43"/>
      <c r="D304" s="51" t="str" cm="1">
        <f t="array" ref="D304">IFERROR(INDEX(DB!G$2:G$2576,T304),"")</f>
        <v/>
      </c>
      <c r="E304" s="43"/>
      <c r="F304" s="52" t="str" cm="1">
        <f t="array" ref="F304">IFERROR(INDEX(DB!O$2:O$2576,T304),"")</f>
        <v/>
      </c>
      <c r="G304" s="43"/>
      <c r="H304" s="40" t="str" cm="1">
        <f t="array" ref="H304">IFERROR(INDEX(DB!P$2:P$2576,T304),"")</f>
        <v/>
      </c>
      <c r="I304" s="43"/>
      <c r="J304" s="53" t="str" cm="1">
        <f t="array" ref="J304">IFERROR(INDEX(DB!Q$2:Q$2576,T304),"")</f>
        <v/>
      </c>
      <c r="K304" s="43"/>
      <c r="L304" s="41" t="str" cm="1">
        <f t="array" ref="L304">IFERROR(INDEX(DB!R$2:R$2576,T304),"")</f>
        <v/>
      </c>
      <c r="M304" s="43"/>
      <c r="P304" t="str" cm="1">
        <f t="array" ref="P304">IFERROR(_xlfn.AGGREGATE(15,6,ROW(DB!A$2:A$2576)/((($D$3&lt;&gt;"YES")+($D$3="YES")*(DB!E$2:E$2576="YES"))*(($D$4="")+($D$4&lt;&gt;"")*( DB!B$2:B$2576=$D$4))*(($D$5="")+($D$5&lt;&gt;"")*( DB!C$2:C$2576=$D$5))*(($D$6="")+($D$6&lt;&gt;"")*( DB!D$2:D$2576=$D$6))*(($D$7="")+($D$7&lt;&gt;"")*(ISNUMBER(SEARCH($D$7,DB!G$2:G$2576))))*(($F$7="전체")+($F$7&lt;&gt;"전체")*(DB!H$2:H$2576=$F$7))),ROW()-13)-1,"")</f>
        <v/>
      </c>
      <c r="Q304" t="str" cm="1">
        <f t="array" ref="Q304">IFERROR(INDEX(DB!G$2:G$2576,P304),"")</f>
        <v/>
      </c>
      <c r="R304" t="str" cm="1">
        <f t="array" ref="R304">IFERROR(INDEX(DB!O$2:O$2576,P304),"")</f>
        <v/>
      </c>
      <c r="S304" t="str">
        <f t="shared" si="15"/>
        <v/>
      </c>
      <c r="T304" t="str">
        <f t="shared" si="16"/>
        <v/>
      </c>
    </row>
    <row r="305" spans="1:20" ht="100" customHeight="1">
      <c r="A305" s="26"/>
      <c r="B305" s="42" t="str">
        <f t="shared" si="14"/>
        <v/>
      </c>
      <c r="C305" s="43"/>
      <c r="D305" s="51" t="str" cm="1">
        <f t="array" ref="D305">IFERROR(INDEX(DB!G$2:G$2576,T305),"")</f>
        <v/>
      </c>
      <c r="E305" s="43"/>
      <c r="F305" s="52" t="str" cm="1">
        <f t="array" ref="F305">IFERROR(INDEX(DB!O$2:O$2576,T305),"")</f>
        <v/>
      </c>
      <c r="G305" s="43"/>
      <c r="H305" s="40" t="str" cm="1">
        <f t="array" ref="H305">IFERROR(INDEX(DB!P$2:P$2576,T305),"")</f>
        <v/>
      </c>
      <c r="I305" s="43"/>
      <c r="J305" s="53" t="str" cm="1">
        <f t="array" ref="J305">IFERROR(INDEX(DB!Q$2:Q$2576,T305),"")</f>
        <v/>
      </c>
      <c r="K305" s="43"/>
      <c r="L305" s="41" t="str" cm="1">
        <f t="array" ref="L305">IFERROR(INDEX(DB!R$2:R$2576,T305),"")</f>
        <v/>
      </c>
      <c r="M305" s="43"/>
      <c r="P305" t="str" cm="1">
        <f t="array" ref="P305">IFERROR(_xlfn.AGGREGATE(15,6,ROW(DB!A$2:A$2576)/((($D$3&lt;&gt;"YES")+($D$3="YES")*(DB!E$2:E$2576="YES"))*(($D$4="")+($D$4&lt;&gt;"")*( DB!B$2:B$2576=$D$4))*(($D$5="")+($D$5&lt;&gt;"")*( DB!C$2:C$2576=$D$5))*(($D$6="")+($D$6&lt;&gt;"")*( DB!D$2:D$2576=$D$6))*(($D$7="")+($D$7&lt;&gt;"")*(ISNUMBER(SEARCH($D$7,DB!G$2:G$2576))))*(($F$7="전체")+($F$7&lt;&gt;"전체")*(DB!H$2:H$2576=$F$7))),ROW()-13)-1,"")</f>
        <v/>
      </c>
      <c r="Q305" t="str" cm="1">
        <f t="array" ref="Q305">IFERROR(INDEX(DB!G$2:G$2576,P305),"")</f>
        <v/>
      </c>
      <c r="R305" t="str" cm="1">
        <f t="array" ref="R305">IFERROR(INDEX(DB!O$2:O$2576,P305),"")</f>
        <v/>
      </c>
      <c r="S305" t="str">
        <f t="shared" si="15"/>
        <v/>
      </c>
      <c r="T305" t="str">
        <f t="shared" si="16"/>
        <v/>
      </c>
    </row>
    <row r="306" spans="1:20" ht="100" customHeight="1">
      <c r="A306" s="26"/>
      <c r="B306" s="39" t="str">
        <f t="shared" si="14"/>
        <v/>
      </c>
      <c r="C306" s="43"/>
      <c r="D306" s="51" t="str" cm="1">
        <f t="array" ref="D306">IFERROR(INDEX(DB!G$2:G$2576,T306),"")</f>
        <v/>
      </c>
      <c r="E306" s="43"/>
      <c r="F306" s="52" t="str" cm="1">
        <f t="array" ref="F306">IFERROR(INDEX(DB!O$2:O$2576,T306),"")</f>
        <v/>
      </c>
      <c r="G306" s="43"/>
      <c r="H306" s="40" t="str" cm="1">
        <f t="array" ref="H306">IFERROR(INDEX(DB!P$2:P$2576,T306),"")</f>
        <v/>
      </c>
      <c r="I306" s="43"/>
      <c r="J306" s="53" t="str" cm="1">
        <f t="array" ref="J306">IFERROR(INDEX(DB!Q$2:Q$2576,T306),"")</f>
        <v/>
      </c>
      <c r="K306" s="43"/>
      <c r="L306" s="41" t="str" cm="1">
        <f t="array" ref="L306">IFERROR(INDEX(DB!R$2:R$2576,T306),"")</f>
        <v/>
      </c>
      <c r="M306" s="43"/>
      <c r="P306" t="str" cm="1">
        <f t="array" ref="P306">IFERROR(_xlfn.AGGREGATE(15,6,ROW(DB!A$2:A$2576)/((($D$3&lt;&gt;"YES")+($D$3="YES")*(DB!E$2:E$2576="YES"))*(($D$4="")+($D$4&lt;&gt;"")*( DB!B$2:B$2576=$D$4))*(($D$5="")+($D$5&lt;&gt;"")*( DB!C$2:C$2576=$D$5))*(($D$6="")+($D$6&lt;&gt;"")*( DB!D$2:D$2576=$D$6))*(($D$7="")+($D$7&lt;&gt;"")*(ISNUMBER(SEARCH($D$7,DB!G$2:G$2576))))*(($F$7="전체")+($F$7&lt;&gt;"전체")*(DB!H$2:H$2576=$F$7))),ROW()-13)-1,"")</f>
        <v/>
      </c>
      <c r="Q306" t="str" cm="1">
        <f t="array" ref="Q306">IFERROR(INDEX(DB!G$2:G$2576,P306),"")</f>
        <v/>
      </c>
      <c r="R306" t="str" cm="1">
        <f t="array" ref="R306">IFERROR(INDEX(DB!O$2:O$2576,P306),"")</f>
        <v/>
      </c>
      <c r="S306" t="str">
        <f t="shared" si="15"/>
        <v/>
      </c>
      <c r="T306" t="str">
        <f t="shared" si="16"/>
        <v/>
      </c>
    </row>
    <row r="307" spans="1:20" ht="100" customHeight="1">
      <c r="A307" s="26"/>
      <c r="B307" s="42" t="str">
        <f t="shared" si="14"/>
        <v/>
      </c>
      <c r="C307" s="43"/>
      <c r="D307" s="51" t="str" cm="1">
        <f t="array" ref="D307">IFERROR(INDEX(DB!G$2:G$2576,T307),"")</f>
        <v/>
      </c>
      <c r="E307" s="43"/>
      <c r="F307" s="52" t="str" cm="1">
        <f t="array" ref="F307">IFERROR(INDEX(DB!O$2:O$2576,T307),"")</f>
        <v/>
      </c>
      <c r="G307" s="43"/>
      <c r="H307" s="40" t="str" cm="1">
        <f t="array" ref="H307">IFERROR(INDEX(DB!P$2:P$2576,T307),"")</f>
        <v/>
      </c>
      <c r="I307" s="43"/>
      <c r="J307" s="53" t="str" cm="1">
        <f t="array" ref="J307">IFERROR(INDEX(DB!Q$2:Q$2576,T307),"")</f>
        <v/>
      </c>
      <c r="K307" s="43"/>
      <c r="L307" s="41" t="str" cm="1">
        <f t="array" ref="L307">IFERROR(INDEX(DB!R$2:R$2576,T307),"")</f>
        <v/>
      </c>
      <c r="M307" s="43"/>
      <c r="P307" t="str" cm="1">
        <f t="array" ref="P307">IFERROR(_xlfn.AGGREGATE(15,6,ROW(DB!A$2:A$2576)/((($D$3&lt;&gt;"YES")+($D$3="YES")*(DB!E$2:E$2576="YES"))*(($D$4="")+($D$4&lt;&gt;"")*( DB!B$2:B$2576=$D$4))*(($D$5="")+($D$5&lt;&gt;"")*( DB!C$2:C$2576=$D$5))*(($D$6="")+($D$6&lt;&gt;"")*( DB!D$2:D$2576=$D$6))*(($D$7="")+($D$7&lt;&gt;"")*(ISNUMBER(SEARCH($D$7,DB!G$2:G$2576))))*(($F$7="전체")+($F$7&lt;&gt;"전체")*(DB!H$2:H$2576=$F$7))),ROW()-13)-1,"")</f>
        <v/>
      </c>
      <c r="Q307" t="str" cm="1">
        <f t="array" ref="Q307">IFERROR(INDEX(DB!G$2:G$2576,P307),"")</f>
        <v/>
      </c>
      <c r="R307" t="str" cm="1">
        <f t="array" ref="R307">IFERROR(INDEX(DB!O$2:O$2576,P307),"")</f>
        <v/>
      </c>
      <c r="S307" t="str">
        <f t="shared" si="15"/>
        <v/>
      </c>
      <c r="T307" t="str">
        <f t="shared" si="16"/>
        <v/>
      </c>
    </row>
    <row r="308" spans="1:20" ht="100" customHeight="1">
      <c r="A308" s="26"/>
      <c r="B308" s="39" t="str">
        <f t="shared" si="14"/>
        <v/>
      </c>
      <c r="C308" s="43"/>
      <c r="D308" s="51" t="str" cm="1">
        <f t="array" ref="D308">IFERROR(INDEX(DB!G$2:G$2576,T308),"")</f>
        <v/>
      </c>
      <c r="E308" s="43"/>
      <c r="F308" s="52" t="str" cm="1">
        <f t="array" ref="F308">IFERROR(INDEX(DB!O$2:O$2576,T308),"")</f>
        <v/>
      </c>
      <c r="G308" s="43"/>
      <c r="H308" s="40" t="str" cm="1">
        <f t="array" ref="H308">IFERROR(INDEX(DB!P$2:P$2576,T308),"")</f>
        <v/>
      </c>
      <c r="I308" s="43"/>
      <c r="J308" s="53" t="str" cm="1">
        <f t="array" ref="J308">IFERROR(INDEX(DB!Q$2:Q$2576,T308),"")</f>
        <v/>
      </c>
      <c r="K308" s="43"/>
      <c r="L308" s="41" t="str" cm="1">
        <f t="array" ref="L308">IFERROR(INDEX(DB!R$2:R$2576,T308),"")</f>
        <v/>
      </c>
      <c r="M308" s="43"/>
      <c r="P308" t="str" cm="1">
        <f t="array" ref="P308">IFERROR(_xlfn.AGGREGATE(15,6,ROW(DB!A$2:A$2576)/((($D$3&lt;&gt;"YES")+($D$3="YES")*(DB!E$2:E$2576="YES"))*(($D$4="")+($D$4&lt;&gt;"")*( DB!B$2:B$2576=$D$4))*(($D$5="")+($D$5&lt;&gt;"")*( DB!C$2:C$2576=$D$5))*(($D$6="")+($D$6&lt;&gt;"")*( DB!D$2:D$2576=$D$6))*(($D$7="")+($D$7&lt;&gt;"")*(ISNUMBER(SEARCH($D$7,DB!G$2:G$2576))))*(($F$7="전체")+($F$7&lt;&gt;"전체")*(DB!H$2:H$2576=$F$7))),ROW()-13)-1,"")</f>
        <v/>
      </c>
      <c r="Q308" t="str" cm="1">
        <f t="array" ref="Q308">IFERROR(INDEX(DB!G$2:G$2576,P308),"")</f>
        <v/>
      </c>
      <c r="R308" t="str" cm="1">
        <f t="array" ref="R308">IFERROR(INDEX(DB!O$2:O$2576,P308),"")</f>
        <v/>
      </c>
      <c r="S308" t="str">
        <f t="shared" si="15"/>
        <v/>
      </c>
      <c r="T308" t="str">
        <f t="shared" si="16"/>
        <v/>
      </c>
    </row>
    <row r="309" spans="1:20" ht="100" customHeight="1">
      <c r="A309" s="26"/>
      <c r="B309" s="42" t="str">
        <f t="shared" si="14"/>
        <v/>
      </c>
      <c r="C309" s="43"/>
      <c r="D309" s="51" t="str" cm="1">
        <f t="array" ref="D309">IFERROR(INDEX(DB!G$2:G$2576,T309),"")</f>
        <v/>
      </c>
      <c r="E309" s="43"/>
      <c r="F309" s="52" t="str" cm="1">
        <f t="array" ref="F309">IFERROR(INDEX(DB!O$2:O$2576,T309),"")</f>
        <v/>
      </c>
      <c r="G309" s="43"/>
      <c r="H309" s="40" t="str" cm="1">
        <f t="array" ref="H309">IFERROR(INDEX(DB!P$2:P$2576,T309),"")</f>
        <v/>
      </c>
      <c r="I309" s="43"/>
      <c r="J309" s="53" t="str" cm="1">
        <f t="array" ref="J309">IFERROR(INDEX(DB!Q$2:Q$2576,T309),"")</f>
        <v/>
      </c>
      <c r="K309" s="43"/>
      <c r="L309" s="41" t="str" cm="1">
        <f t="array" ref="L309">IFERROR(INDEX(DB!R$2:R$2576,T309),"")</f>
        <v/>
      </c>
      <c r="M309" s="43"/>
      <c r="P309" t="str" cm="1">
        <f t="array" ref="P309">IFERROR(_xlfn.AGGREGATE(15,6,ROW(DB!A$2:A$2576)/((($D$3&lt;&gt;"YES")+($D$3="YES")*(DB!E$2:E$2576="YES"))*(($D$4="")+($D$4&lt;&gt;"")*( DB!B$2:B$2576=$D$4))*(($D$5="")+($D$5&lt;&gt;"")*( DB!C$2:C$2576=$D$5))*(($D$6="")+($D$6&lt;&gt;"")*( DB!D$2:D$2576=$D$6))*(($D$7="")+($D$7&lt;&gt;"")*(ISNUMBER(SEARCH($D$7,DB!G$2:G$2576))))*(($F$7="전체")+($F$7&lt;&gt;"전체")*(DB!H$2:H$2576=$F$7))),ROW()-13)-1,"")</f>
        <v/>
      </c>
      <c r="Q309" t="str" cm="1">
        <f t="array" ref="Q309">IFERROR(INDEX(DB!G$2:G$2576,P309),"")</f>
        <v/>
      </c>
      <c r="R309" t="str" cm="1">
        <f t="array" ref="R309">IFERROR(INDEX(DB!O$2:O$2576,P309),"")</f>
        <v/>
      </c>
      <c r="S309" t="str">
        <f t="shared" si="15"/>
        <v/>
      </c>
      <c r="T309" t="str">
        <f t="shared" si="16"/>
        <v/>
      </c>
    </row>
    <row r="310" spans="1:20" ht="100" customHeight="1">
      <c r="A310" s="26"/>
      <c r="B310" s="39" t="str">
        <f t="shared" si="14"/>
        <v/>
      </c>
      <c r="C310" s="43"/>
      <c r="D310" s="51" t="str" cm="1">
        <f t="array" ref="D310">IFERROR(INDEX(DB!G$2:G$2576,T310),"")</f>
        <v/>
      </c>
      <c r="E310" s="43"/>
      <c r="F310" s="52" t="str" cm="1">
        <f t="array" ref="F310">IFERROR(INDEX(DB!O$2:O$2576,T310),"")</f>
        <v/>
      </c>
      <c r="G310" s="43"/>
      <c r="H310" s="40" t="str" cm="1">
        <f t="array" ref="H310">IFERROR(INDEX(DB!P$2:P$2576,T310),"")</f>
        <v/>
      </c>
      <c r="I310" s="43"/>
      <c r="J310" s="53" t="str" cm="1">
        <f t="array" ref="J310">IFERROR(INDEX(DB!Q$2:Q$2576,T310),"")</f>
        <v/>
      </c>
      <c r="K310" s="43"/>
      <c r="L310" s="41" t="str" cm="1">
        <f t="array" ref="L310">IFERROR(INDEX(DB!R$2:R$2576,T310),"")</f>
        <v/>
      </c>
      <c r="M310" s="43"/>
      <c r="P310" t="str" cm="1">
        <f t="array" ref="P310">IFERROR(_xlfn.AGGREGATE(15,6,ROW(DB!A$2:A$2576)/((($D$3&lt;&gt;"YES")+($D$3="YES")*(DB!E$2:E$2576="YES"))*(($D$4="")+($D$4&lt;&gt;"")*( DB!B$2:B$2576=$D$4))*(($D$5="")+($D$5&lt;&gt;"")*( DB!C$2:C$2576=$D$5))*(($D$6="")+($D$6&lt;&gt;"")*( DB!D$2:D$2576=$D$6))*(($D$7="")+($D$7&lt;&gt;"")*(ISNUMBER(SEARCH($D$7,DB!G$2:G$2576))))*(($F$7="전체")+($F$7&lt;&gt;"전체")*(DB!H$2:H$2576=$F$7))),ROW()-13)-1,"")</f>
        <v/>
      </c>
      <c r="Q310" t="str" cm="1">
        <f t="array" ref="Q310">IFERROR(INDEX(DB!G$2:G$2576,P310),"")</f>
        <v/>
      </c>
      <c r="R310" t="str" cm="1">
        <f t="array" ref="R310">IFERROR(INDEX(DB!O$2:O$2576,P310),"")</f>
        <v/>
      </c>
      <c r="S310" t="str">
        <f t="shared" si="15"/>
        <v/>
      </c>
      <c r="T310" t="str">
        <f t="shared" si="16"/>
        <v/>
      </c>
    </row>
    <row r="311" spans="1:20" ht="100" customHeight="1">
      <c r="A311" s="26"/>
      <c r="B311" s="42" t="str">
        <f t="shared" si="14"/>
        <v/>
      </c>
      <c r="C311" s="43"/>
      <c r="D311" s="51" t="str" cm="1">
        <f t="array" ref="D311">IFERROR(INDEX(DB!G$2:G$2576,T311),"")</f>
        <v/>
      </c>
      <c r="E311" s="43"/>
      <c r="F311" s="52" t="str" cm="1">
        <f t="array" ref="F311">IFERROR(INDEX(DB!O$2:O$2576,T311),"")</f>
        <v/>
      </c>
      <c r="G311" s="43"/>
      <c r="H311" s="40" t="str" cm="1">
        <f t="array" ref="H311">IFERROR(INDEX(DB!P$2:P$2576,T311),"")</f>
        <v/>
      </c>
      <c r="I311" s="43"/>
      <c r="J311" s="53" t="str" cm="1">
        <f t="array" ref="J311">IFERROR(INDEX(DB!Q$2:Q$2576,T311),"")</f>
        <v/>
      </c>
      <c r="K311" s="43"/>
      <c r="L311" s="41" t="str" cm="1">
        <f t="array" ref="L311">IFERROR(INDEX(DB!R$2:R$2576,T311),"")</f>
        <v/>
      </c>
      <c r="M311" s="43"/>
      <c r="P311" t="str" cm="1">
        <f t="array" ref="P311">IFERROR(_xlfn.AGGREGATE(15,6,ROW(DB!A$2:A$2576)/((($D$3&lt;&gt;"YES")+($D$3="YES")*(DB!E$2:E$2576="YES"))*(($D$4="")+($D$4&lt;&gt;"")*( DB!B$2:B$2576=$D$4))*(($D$5="")+($D$5&lt;&gt;"")*( DB!C$2:C$2576=$D$5))*(($D$6="")+($D$6&lt;&gt;"")*( DB!D$2:D$2576=$D$6))*(($D$7="")+($D$7&lt;&gt;"")*(ISNUMBER(SEARCH($D$7,DB!G$2:G$2576))))*(($F$7="전체")+($F$7&lt;&gt;"전체")*(DB!H$2:H$2576=$F$7))),ROW()-13)-1,"")</f>
        <v/>
      </c>
      <c r="Q311" t="str" cm="1">
        <f t="array" ref="Q311">IFERROR(INDEX(DB!G$2:G$2576,P311),"")</f>
        <v/>
      </c>
      <c r="R311" t="str" cm="1">
        <f t="array" ref="R311">IFERROR(INDEX(DB!O$2:O$2576,P311),"")</f>
        <v/>
      </c>
      <c r="S311" t="str">
        <f t="shared" si="15"/>
        <v/>
      </c>
      <c r="T311" t="str">
        <f t="shared" si="16"/>
        <v/>
      </c>
    </row>
    <row r="312" spans="1:20" ht="100" customHeight="1">
      <c r="A312" s="26"/>
      <c r="B312" s="39" t="str">
        <f t="shared" si="14"/>
        <v/>
      </c>
      <c r="C312" s="43"/>
      <c r="D312" s="51" t="str" cm="1">
        <f t="array" ref="D312">IFERROR(INDEX(DB!G$2:G$2576,T312),"")</f>
        <v/>
      </c>
      <c r="E312" s="43"/>
      <c r="F312" s="52" t="str" cm="1">
        <f t="array" ref="F312">IFERROR(INDEX(DB!O$2:O$2576,T312),"")</f>
        <v/>
      </c>
      <c r="G312" s="43"/>
      <c r="H312" s="40" t="str" cm="1">
        <f t="array" ref="H312">IFERROR(INDEX(DB!P$2:P$2576,T312),"")</f>
        <v/>
      </c>
      <c r="I312" s="43"/>
      <c r="J312" s="53" t="str" cm="1">
        <f t="array" ref="J312">IFERROR(INDEX(DB!Q$2:Q$2576,T312),"")</f>
        <v/>
      </c>
      <c r="K312" s="43"/>
      <c r="L312" s="41" t="str" cm="1">
        <f t="array" ref="L312">IFERROR(INDEX(DB!R$2:R$2576,T312),"")</f>
        <v/>
      </c>
      <c r="M312" s="43"/>
      <c r="P312" t="str" cm="1">
        <f t="array" ref="P312">IFERROR(_xlfn.AGGREGATE(15,6,ROW(DB!A$2:A$2576)/((($D$3&lt;&gt;"YES")+($D$3="YES")*(DB!E$2:E$2576="YES"))*(($D$4="")+($D$4&lt;&gt;"")*( DB!B$2:B$2576=$D$4))*(($D$5="")+($D$5&lt;&gt;"")*( DB!C$2:C$2576=$D$5))*(($D$6="")+($D$6&lt;&gt;"")*( DB!D$2:D$2576=$D$6))*(($D$7="")+($D$7&lt;&gt;"")*(ISNUMBER(SEARCH($D$7,DB!G$2:G$2576))))*(($F$7="전체")+($F$7&lt;&gt;"전체")*(DB!H$2:H$2576=$F$7))),ROW()-13)-1,"")</f>
        <v/>
      </c>
      <c r="Q312" t="str" cm="1">
        <f t="array" ref="Q312">IFERROR(INDEX(DB!G$2:G$2576,P312),"")</f>
        <v/>
      </c>
      <c r="R312" t="str" cm="1">
        <f t="array" ref="R312">IFERROR(INDEX(DB!O$2:O$2576,P312),"")</f>
        <v/>
      </c>
      <c r="S312" t="str">
        <f t="shared" si="15"/>
        <v/>
      </c>
      <c r="T312" t="str">
        <f t="shared" si="16"/>
        <v/>
      </c>
    </row>
    <row r="313" spans="1:20" ht="100" customHeight="1">
      <c r="A313" s="26"/>
      <c r="B313" s="42" t="str">
        <f t="shared" si="14"/>
        <v/>
      </c>
      <c r="C313" s="43"/>
      <c r="D313" s="51" t="str" cm="1">
        <f t="array" ref="D313">IFERROR(INDEX(DB!G$2:G$2576,T313),"")</f>
        <v/>
      </c>
      <c r="E313" s="43"/>
      <c r="F313" s="52" t="str" cm="1">
        <f t="array" ref="F313">IFERROR(INDEX(DB!O$2:O$2576,T313),"")</f>
        <v/>
      </c>
      <c r="G313" s="43"/>
      <c r="H313" s="40" t="str" cm="1">
        <f t="array" ref="H313">IFERROR(INDEX(DB!P$2:P$2576,T313),"")</f>
        <v/>
      </c>
      <c r="I313" s="43"/>
      <c r="J313" s="53" t="str" cm="1">
        <f t="array" ref="J313">IFERROR(INDEX(DB!Q$2:Q$2576,T313),"")</f>
        <v/>
      </c>
      <c r="K313" s="43"/>
      <c r="L313" s="41" t="str" cm="1">
        <f t="array" ref="L313">IFERROR(INDEX(DB!R$2:R$2576,T313),"")</f>
        <v/>
      </c>
      <c r="M313" s="43"/>
      <c r="P313" t="str" cm="1">
        <f t="array" ref="P313">IFERROR(_xlfn.AGGREGATE(15,6,ROW(DB!A$2:A$2576)/((($D$3&lt;&gt;"YES")+($D$3="YES")*(DB!E$2:E$2576="YES"))*(($D$4="")+($D$4&lt;&gt;"")*( DB!B$2:B$2576=$D$4))*(($D$5="")+($D$5&lt;&gt;"")*( DB!C$2:C$2576=$D$5))*(($D$6="")+($D$6&lt;&gt;"")*( DB!D$2:D$2576=$D$6))*(($D$7="")+($D$7&lt;&gt;"")*(ISNUMBER(SEARCH($D$7,DB!G$2:G$2576))))*(($F$7="전체")+($F$7&lt;&gt;"전체")*(DB!H$2:H$2576=$F$7))),ROW()-13)-1,"")</f>
        <v/>
      </c>
      <c r="Q313" t="str" cm="1">
        <f t="array" ref="Q313">IFERROR(INDEX(DB!G$2:G$2576,P313),"")</f>
        <v/>
      </c>
      <c r="R313" t="str" cm="1">
        <f t="array" ref="R313">IFERROR(INDEX(DB!O$2:O$2576,P313),"")</f>
        <v/>
      </c>
      <c r="S313" t="str">
        <f t="shared" si="15"/>
        <v/>
      </c>
      <c r="T313" t="str">
        <f t="shared" si="16"/>
        <v/>
      </c>
    </row>
    <row r="314" spans="1:20" ht="100" customHeight="1">
      <c r="A314" s="26"/>
      <c r="B314" s="39" t="str">
        <f t="shared" si="14"/>
        <v/>
      </c>
      <c r="C314" s="43"/>
      <c r="D314" s="51" t="str" cm="1">
        <f t="array" ref="D314">IFERROR(INDEX(DB!G$2:G$2576,T314),"")</f>
        <v/>
      </c>
      <c r="E314" s="43"/>
      <c r="F314" s="52" t="str" cm="1">
        <f t="array" ref="F314">IFERROR(INDEX(DB!O$2:O$2576,T314),"")</f>
        <v/>
      </c>
      <c r="G314" s="43"/>
      <c r="H314" s="40" t="str" cm="1">
        <f t="array" ref="H314">IFERROR(INDEX(DB!P$2:P$2576,T314),"")</f>
        <v/>
      </c>
      <c r="I314" s="43"/>
      <c r="J314" s="53" t="str" cm="1">
        <f t="array" ref="J314">IFERROR(INDEX(DB!Q$2:Q$2576,T314),"")</f>
        <v/>
      </c>
      <c r="K314" s="43"/>
      <c r="L314" s="41" t="str" cm="1">
        <f t="array" ref="L314">IFERROR(INDEX(DB!R$2:R$2576,T314),"")</f>
        <v/>
      </c>
      <c r="M314" s="43"/>
      <c r="P314" t="str" cm="1">
        <f t="array" ref="P314">IFERROR(_xlfn.AGGREGATE(15,6,ROW(DB!A$2:A$2576)/((($D$3&lt;&gt;"YES")+($D$3="YES")*(DB!E$2:E$2576="YES"))*(($D$4="")+($D$4&lt;&gt;"")*( DB!B$2:B$2576=$D$4))*(($D$5="")+($D$5&lt;&gt;"")*( DB!C$2:C$2576=$D$5))*(($D$6="")+($D$6&lt;&gt;"")*( DB!D$2:D$2576=$D$6))*(($D$7="")+($D$7&lt;&gt;"")*(ISNUMBER(SEARCH($D$7,DB!G$2:G$2576))))*(($F$7="전체")+($F$7&lt;&gt;"전체")*(DB!H$2:H$2576=$F$7))),ROW()-13)-1,"")</f>
        <v/>
      </c>
      <c r="Q314" t="str" cm="1">
        <f t="array" ref="Q314">IFERROR(INDEX(DB!G$2:G$2576,P314),"")</f>
        <v/>
      </c>
      <c r="R314" t="str" cm="1">
        <f t="array" ref="R314">IFERROR(INDEX(DB!O$2:O$2576,P314),"")</f>
        <v/>
      </c>
      <c r="S314" t="str">
        <f t="shared" si="15"/>
        <v/>
      </c>
      <c r="T314" t="str">
        <f t="shared" si="16"/>
        <v/>
      </c>
    </row>
    <row r="315" spans="1:20" ht="100" customHeight="1">
      <c r="A315" s="26"/>
      <c r="B315" s="42" t="str">
        <f t="shared" si="14"/>
        <v/>
      </c>
      <c r="C315" s="43"/>
      <c r="D315" s="51" t="str" cm="1">
        <f t="array" ref="D315">IFERROR(INDEX(DB!G$2:G$2576,T315),"")</f>
        <v/>
      </c>
      <c r="E315" s="43"/>
      <c r="F315" s="52" t="str" cm="1">
        <f t="array" ref="F315">IFERROR(INDEX(DB!O$2:O$2576,T315),"")</f>
        <v/>
      </c>
      <c r="G315" s="43"/>
      <c r="H315" s="40" t="str" cm="1">
        <f t="array" ref="H315">IFERROR(INDEX(DB!P$2:P$2576,T315),"")</f>
        <v/>
      </c>
      <c r="I315" s="43"/>
      <c r="J315" s="53" t="str" cm="1">
        <f t="array" ref="J315">IFERROR(INDEX(DB!Q$2:Q$2576,T315),"")</f>
        <v/>
      </c>
      <c r="K315" s="43"/>
      <c r="L315" s="41" t="str" cm="1">
        <f t="array" ref="L315">IFERROR(INDEX(DB!R$2:R$2576,T315),"")</f>
        <v/>
      </c>
      <c r="M315" s="43"/>
      <c r="P315" t="str" cm="1">
        <f t="array" ref="P315">IFERROR(_xlfn.AGGREGATE(15,6,ROW(DB!A$2:A$2576)/((($D$3&lt;&gt;"YES")+($D$3="YES")*(DB!E$2:E$2576="YES"))*(($D$4="")+($D$4&lt;&gt;"")*( DB!B$2:B$2576=$D$4))*(($D$5="")+($D$5&lt;&gt;"")*( DB!C$2:C$2576=$D$5))*(($D$6="")+($D$6&lt;&gt;"")*( DB!D$2:D$2576=$D$6))*(($D$7="")+($D$7&lt;&gt;"")*(ISNUMBER(SEARCH($D$7,DB!G$2:G$2576))))*(($F$7="전체")+($F$7&lt;&gt;"전체")*(DB!H$2:H$2576=$F$7))),ROW()-13)-1,"")</f>
        <v/>
      </c>
      <c r="Q315" t="str" cm="1">
        <f t="array" ref="Q315">IFERROR(INDEX(DB!G$2:G$2576,P315),"")</f>
        <v/>
      </c>
      <c r="R315" t="str" cm="1">
        <f t="array" ref="R315">IFERROR(INDEX(DB!O$2:O$2576,P315),"")</f>
        <v/>
      </c>
      <c r="S315" t="str">
        <f t="shared" si="15"/>
        <v/>
      </c>
      <c r="T315" t="str">
        <f t="shared" si="16"/>
        <v/>
      </c>
    </row>
    <row r="316" spans="1:20" ht="100" customHeight="1">
      <c r="A316" s="26"/>
      <c r="B316" s="39" t="str">
        <f t="shared" si="14"/>
        <v/>
      </c>
      <c r="C316" s="43"/>
      <c r="D316" s="51" t="str" cm="1">
        <f t="array" ref="D316">IFERROR(INDEX(DB!G$2:G$2576,T316),"")</f>
        <v/>
      </c>
      <c r="E316" s="43"/>
      <c r="F316" s="52" t="str" cm="1">
        <f t="array" ref="F316">IFERROR(INDEX(DB!O$2:O$2576,T316),"")</f>
        <v/>
      </c>
      <c r="G316" s="43"/>
      <c r="H316" s="40" t="str" cm="1">
        <f t="array" ref="H316">IFERROR(INDEX(DB!P$2:P$2576,T316),"")</f>
        <v/>
      </c>
      <c r="I316" s="43"/>
      <c r="J316" s="53" t="str" cm="1">
        <f t="array" ref="J316">IFERROR(INDEX(DB!Q$2:Q$2576,T316),"")</f>
        <v/>
      </c>
      <c r="K316" s="43"/>
      <c r="L316" s="41" t="str" cm="1">
        <f t="array" ref="L316">IFERROR(INDEX(DB!R$2:R$2576,T316),"")</f>
        <v/>
      </c>
      <c r="M316" s="43"/>
      <c r="P316" t="str" cm="1">
        <f t="array" ref="P316">IFERROR(_xlfn.AGGREGATE(15,6,ROW(DB!A$2:A$2576)/((($D$3&lt;&gt;"YES")+($D$3="YES")*(DB!E$2:E$2576="YES"))*(($D$4="")+($D$4&lt;&gt;"")*( DB!B$2:B$2576=$D$4))*(($D$5="")+($D$5&lt;&gt;"")*( DB!C$2:C$2576=$D$5))*(($D$6="")+($D$6&lt;&gt;"")*( DB!D$2:D$2576=$D$6))*(($D$7="")+($D$7&lt;&gt;"")*(ISNUMBER(SEARCH($D$7,DB!G$2:G$2576))))*(($F$7="전체")+($F$7&lt;&gt;"전체")*(DB!H$2:H$2576=$F$7))),ROW()-13)-1,"")</f>
        <v/>
      </c>
      <c r="Q316" t="str" cm="1">
        <f t="array" ref="Q316">IFERROR(INDEX(DB!G$2:G$2576,P316),"")</f>
        <v/>
      </c>
      <c r="R316" t="str" cm="1">
        <f t="array" ref="R316">IFERROR(INDEX(DB!O$2:O$2576,P316),"")</f>
        <v/>
      </c>
      <c r="S316" t="str">
        <f t="shared" si="15"/>
        <v/>
      </c>
      <c r="T316" t="str">
        <f t="shared" si="16"/>
        <v/>
      </c>
    </row>
    <row r="317" spans="1:20" ht="100" customHeight="1">
      <c r="A317" s="26"/>
      <c r="B317" s="42" t="str">
        <f t="shared" si="14"/>
        <v/>
      </c>
      <c r="C317" s="43"/>
      <c r="D317" s="51" t="str" cm="1">
        <f t="array" ref="D317">IFERROR(INDEX(DB!G$2:G$2576,T317),"")</f>
        <v/>
      </c>
      <c r="E317" s="43"/>
      <c r="F317" s="52" t="str" cm="1">
        <f t="array" ref="F317">IFERROR(INDEX(DB!O$2:O$2576,T317),"")</f>
        <v/>
      </c>
      <c r="G317" s="43"/>
      <c r="H317" s="40" t="str" cm="1">
        <f t="array" ref="H317">IFERROR(INDEX(DB!P$2:P$2576,T317),"")</f>
        <v/>
      </c>
      <c r="I317" s="43"/>
      <c r="J317" s="53" t="str" cm="1">
        <f t="array" ref="J317">IFERROR(INDEX(DB!Q$2:Q$2576,T317),"")</f>
        <v/>
      </c>
      <c r="K317" s="43"/>
      <c r="L317" s="41" t="str" cm="1">
        <f t="array" ref="L317">IFERROR(INDEX(DB!R$2:R$2576,T317),"")</f>
        <v/>
      </c>
      <c r="M317" s="43"/>
      <c r="P317" t="str" cm="1">
        <f t="array" ref="P317">IFERROR(_xlfn.AGGREGATE(15,6,ROW(DB!A$2:A$2576)/((($D$3&lt;&gt;"YES")+($D$3="YES")*(DB!E$2:E$2576="YES"))*(($D$4="")+($D$4&lt;&gt;"")*( DB!B$2:B$2576=$D$4))*(($D$5="")+($D$5&lt;&gt;"")*( DB!C$2:C$2576=$D$5))*(($D$6="")+($D$6&lt;&gt;"")*( DB!D$2:D$2576=$D$6))*(($D$7="")+($D$7&lt;&gt;"")*(ISNUMBER(SEARCH($D$7,DB!G$2:G$2576))))*(($F$7="전체")+($F$7&lt;&gt;"전체")*(DB!H$2:H$2576=$F$7))),ROW()-13)-1,"")</f>
        <v/>
      </c>
      <c r="Q317" t="str" cm="1">
        <f t="array" ref="Q317">IFERROR(INDEX(DB!G$2:G$2576,P317),"")</f>
        <v/>
      </c>
      <c r="R317" t="str" cm="1">
        <f t="array" ref="R317">IFERROR(INDEX(DB!O$2:O$2576,P317),"")</f>
        <v/>
      </c>
      <c r="S317" t="str">
        <f t="shared" si="15"/>
        <v/>
      </c>
      <c r="T317" t="str">
        <f t="shared" si="16"/>
        <v/>
      </c>
    </row>
    <row r="318" spans="1:20" ht="100" customHeight="1">
      <c r="A318" s="26"/>
      <c r="B318" s="39" t="str">
        <f t="shared" si="14"/>
        <v/>
      </c>
      <c r="C318" s="43"/>
      <c r="D318" s="51" t="str" cm="1">
        <f t="array" ref="D318">IFERROR(INDEX(DB!G$2:G$2576,T318),"")</f>
        <v/>
      </c>
      <c r="E318" s="43"/>
      <c r="F318" s="52" t="str" cm="1">
        <f t="array" ref="F318">IFERROR(INDEX(DB!O$2:O$2576,T318),"")</f>
        <v/>
      </c>
      <c r="G318" s="43"/>
      <c r="H318" s="40" t="str" cm="1">
        <f t="array" ref="H318">IFERROR(INDEX(DB!P$2:P$2576,T318),"")</f>
        <v/>
      </c>
      <c r="I318" s="43"/>
      <c r="J318" s="53" t="str" cm="1">
        <f t="array" ref="J318">IFERROR(INDEX(DB!Q$2:Q$2576,T318),"")</f>
        <v/>
      </c>
      <c r="K318" s="43"/>
      <c r="L318" s="41" t="str" cm="1">
        <f t="array" ref="L318">IFERROR(INDEX(DB!R$2:R$2576,T318),"")</f>
        <v/>
      </c>
      <c r="M318" s="43"/>
      <c r="P318" t="str" cm="1">
        <f t="array" ref="P318">IFERROR(_xlfn.AGGREGATE(15,6,ROW(DB!A$2:A$2576)/((($D$3&lt;&gt;"YES")+($D$3="YES")*(DB!E$2:E$2576="YES"))*(($D$4="")+($D$4&lt;&gt;"")*( DB!B$2:B$2576=$D$4))*(($D$5="")+($D$5&lt;&gt;"")*( DB!C$2:C$2576=$D$5))*(($D$6="")+($D$6&lt;&gt;"")*( DB!D$2:D$2576=$D$6))*(($D$7="")+($D$7&lt;&gt;"")*(ISNUMBER(SEARCH($D$7,DB!G$2:G$2576))))*(($F$7="전체")+($F$7&lt;&gt;"전체")*(DB!H$2:H$2576=$F$7))),ROW()-13)-1,"")</f>
        <v/>
      </c>
      <c r="Q318" t="str" cm="1">
        <f t="array" ref="Q318">IFERROR(INDEX(DB!G$2:G$2576,P318),"")</f>
        <v/>
      </c>
      <c r="R318" t="str" cm="1">
        <f t="array" ref="R318">IFERROR(INDEX(DB!O$2:O$2576,P318),"")</f>
        <v/>
      </c>
      <c r="S318" t="str">
        <f t="shared" si="15"/>
        <v/>
      </c>
      <c r="T318" t="str">
        <f t="shared" si="16"/>
        <v/>
      </c>
    </row>
    <row r="319" spans="1:20" ht="100" customHeight="1">
      <c r="A319" s="26"/>
      <c r="B319" s="42" t="str">
        <f t="shared" si="14"/>
        <v/>
      </c>
      <c r="C319" s="43"/>
      <c r="D319" s="51" t="str" cm="1">
        <f t="array" ref="D319">IFERROR(INDEX(DB!G$2:G$2576,T319),"")</f>
        <v/>
      </c>
      <c r="E319" s="43"/>
      <c r="F319" s="52" t="str" cm="1">
        <f t="array" ref="F319">IFERROR(INDEX(DB!O$2:O$2576,T319),"")</f>
        <v/>
      </c>
      <c r="G319" s="43"/>
      <c r="H319" s="40" t="str" cm="1">
        <f t="array" ref="H319">IFERROR(INDEX(DB!P$2:P$2576,T319),"")</f>
        <v/>
      </c>
      <c r="I319" s="43"/>
      <c r="J319" s="53" t="str" cm="1">
        <f t="array" ref="J319">IFERROR(INDEX(DB!Q$2:Q$2576,T319),"")</f>
        <v/>
      </c>
      <c r="K319" s="43"/>
      <c r="L319" s="41" t="str" cm="1">
        <f t="array" ref="L319">IFERROR(INDEX(DB!R$2:R$2576,T319),"")</f>
        <v/>
      </c>
      <c r="M319" s="43"/>
      <c r="P319" t="str" cm="1">
        <f t="array" ref="P319">IFERROR(_xlfn.AGGREGATE(15,6,ROW(DB!A$2:A$2576)/((($D$3&lt;&gt;"YES")+($D$3="YES")*(DB!E$2:E$2576="YES"))*(($D$4="")+($D$4&lt;&gt;"")*( DB!B$2:B$2576=$D$4))*(($D$5="")+($D$5&lt;&gt;"")*( DB!C$2:C$2576=$D$5))*(($D$6="")+($D$6&lt;&gt;"")*( DB!D$2:D$2576=$D$6))*(($D$7="")+($D$7&lt;&gt;"")*(ISNUMBER(SEARCH($D$7,DB!G$2:G$2576))))*(($F$7="전체")+($F$7&lt;&gt;"전체")*(DB!H$2:H$2576=$F$7))),ROW()-13)-1,"")</f>
        <v/>
      </c>
      <c r="Q319" t="str" cm="1">
        <f t="array" ref="Q319">IFERROR(INDEX(DB!G$2:G$2576,P319),"")</f>
        <v/>
      </c>
      <c r="R319" t="str" cm="1">
        <f t="array" ref="R319">IFERROR(INDEX(DB!O$2:O$2576,P319),"")</f>
        <v/>
      </c>
      <c r="S319" t="str">
        <f t="shared" si="15"/>
        <v/>
      </c>
      <c r="T319" t="str">
        <f t="shared" si="16"/>
        <v/>
      </c>
    </row>
    <row r="320" spans="1:20" ht="100" customHeight="1">
      <c r="A320" s="26"/>
      <c r="B320" s="39" t="str">
        <f t="shared" si="14"/>
        <v/>
      </c>
      <c r="C320" s="43"/>
      <c r="D320" s="51" t="str" cm="1">
        <f t="array" ref="D320">IFERROR(INDEX(DB!G$2:G$2576,T320),"")</f>
        <v/>
      </c>
      <c r="E320" s="43"/>
      <c r="F320" s="52" t="str" cm="1">
        <f t="array" ref="F320">IFERROR(INDEX(DB!O$2:O$2576,T320),"")</f>
        <v/>
      </c>
      <c r="G320" s="43"/>
      <c r="H320" s="40" t="str" cm="1">
        <f t="array" ref="H320">IFERROR(INDEX(DB!P$2:P$2576,T320),"")</f>
        <v/>
      </c>
      <c r="I320" s="43"/>
      <c r="J320" s="53" t="str" cm="1">
        <f t="array" ref="J320">IFERROR(INDEX(DB!Q$2:Q$2576,T320),"")</f>
        <v/>
      </c>
      <c r="K320" s="43"/>
      <c r="L320" s="41" t="str" cm="1">
        <f t="array" ref="L320">IFERROR(INDEX(DB!R$2:R$2576,T320),"")</f>
        <v/>
      </c>
      <c r="M320" s="43"/>
      <c r="P320" t="str" cm="1">
        <f t="array" ref="P320">IFERROR(_xlfn.AGGREGATE(15,6,ROW(DB!A$2:A$2576)/((($D$3&lt;&gt;"YES")+($D$3="YES")*(DB!E$2:E$2576="YES"))*(($D$4="")+($D$4&lt;&gt;"")*( DB!B$2:B$2576=$D$4))*(($D$5="")+($D$5&lt;&gt;"")*( DB!C$2:C$2576=$D$5))*(($D$6="")+($D$6&lt;&gt;"")*( DB!D$2:D$2576=$D$6))*(($D$7="")+($D$7&lt;&gt;"")*(ISNUMBER(SEARCH($D$7,DB!G$2:G$2576))))*(($F$7="전체")+($F$7&lt;&gt;"전체")*(DB!H$2:H$2576=$F$7))),ROW()-13)-1,"")</f>
        <v/>
      </c>
      <c r="Q320" t="str" cm="1">
        <f t="array" ref="Q320">IFERROR(INDEX(DB!G$2:G$2576,P320),"")</f>
        <v/>
      </c>
      <c r="R320" t="str" cm="1">
        <f t="array" ref="R320">IFERROR(INDEX(DB!O$2:O$2576,P320),"")</f>
        <v/>
      </c>
      <c r="S320" t="str">
        <f t="shared" si="15"/>
        <v/>
      </c>
      <c r="T320" t="str">
        <f t="shared" si="16"/>
        <v/>
      </c>
    </row>
    <row r="321" spans="1:20" ht="100" customHeight="1">
      <c r="A321" s="26"/>
      <c r="B321" s="42" t="str">
        <f t="shared" si="14"/>
        <v/>
      </c>
      <c r="C321" s="43"/>
      <c r="D321" s="51" t="str" cm="1">
        <f t="array" ref="D321">IFERROR(INDEX(DB!G$2:G$2576,T321),"")</f>
        <v/>
      </c>
      <c r="E321" s="43"/>
      <c r="F321" s="52" t="str" cm="1">
        <f t="array" ref="F321">IFERROR(INDEX(DB!O$2:O$2576,T321),"")</f>
        <v/>
      </c>
      <c r="G321" s="43"/>
      <c r="H321" s="40" t="str" cm="1">
        <f t="array" ref="H321">IFERROR(INDEX(DB!P$2:P$2576,T321),"")</f>
        <v/>
      </c>
      <c r="I321" s="43"/>
      <c r="J321" s="53" t="str" cm="1">
        <f t="array" ref="J321">IFERROR(INDEX(DB!Q$2:Q$2576,T321),"")</f>
        <v/>
      </c>
      <c r="K321" s="43"/>
      <c r="L321" s="41" t="str" cm="1">
        <f t="array" ref="L321">IFERROR(INDEX(DB!R$2:R$2576,T321),"")</f>
        <v/>
      </c>
      <c r="M321" s="43"/>
      <c r="P321" t="str" cm="1">
        <f t="array" ref="P321">IFERROR(_xlfn.AGGREGATE(15,6,ROW(DB!A$2:A$2576)/((($D$3&lt;&gt;"YES")+($D$3="YES")*(DB!E$2:E$2576="YES"))*(($D$4="")+($D$4&lt;&gt;"")*( DB!B$2:B$2576=$D$4))*(($D$5="")+($D$5&lt;&gt;"")*( DB!C$2:C$2576=$D$5))*(($D$6="")+($D$6&lt;&gt;"")*( DB!D$2:D$2576=$D$6))*(($D$7="")+($D$7&lt;&gt;"")*(ISNUMBER(SEARCH($D$7,DB!G$2:G$2576))))*(($F$7="전체")+($F$7&lt;&gt;"전체")*(DB!H$2:H$2576=$F$7))),ROW()-13)-1,"")</f>
        <v/>
      </c>
      <c r="Q321" t="str" cm="1">
        <f t="array" ref="Q321">IFERROR(INDEX(DB!G$2:G$2576,P321),"")</f>
        <v/>
      </c>
      <c r="R321" t="str" cm="1">
        <f t="array" ref="R321">IFERROR(INDEX(DB!O$2:O$2576,P321),"")</f>
        <v/>
      </c>
      <c r="S321" t="str">
        <f t="shared" si="15"/>
        <v/>
      </c>
      <c r="T321" t="str">
        <f t="shared" si="16"/>
        <v/>
      </c>
    </row>
    <row r="322" spans="1:20" ht="100" customHeight="1">
      <c r="A322" s="26"/>
      <c r="B322" s="39" t="str">
        <f t="shared" si="14"/>
        <v/>
      </c>
      <c r="C322" s="43"/>
      <c r="D322" s="51" t="str" cm="1">
        <f t="array" ref="D322">IFERROR(INDEX(DB!G$2:G$2576,T322),"")</f>
        <v/>
      </c>
      <c r="E322" s="43"/>
      <c r="F322" s="52" t="str" cm="1">
        <f t="array" ref="F322">IFERROR(INDEX(DB!O$2:O$2576,T322),"")</f>
        <v/>
      </c>
      <c r="G322" s="43"/>
      <c r="H322" s="40" t="str" cm="1">
        <f t="array" ref="H322">IFERROR(INDEX(DB!P$2:P$2576,T322),"")</f>
        <v/>
      </c>
      <c r="I322" s="43"/>
      <c r="J322" s="53" t="str" cm="1">
        <f t="array" ref="J322">IFERROR(INDEX(DB!Q$2:Q$2576,T322),"")</f>
        <v/>
      </c>
      <c r="K322" s="43"/>
      <c r="L322" s="41" t="str" cm="1">
        <f t="array" ref="L322">IFERROR(INDEX(DB!R$2:R$2576,T322),"")</f>
        <v/>
      </c>
      <c r="M322" s="43"/>
      <c r="P322" t="str" cm="1">
        <f t="array" ref="P322">IFERROR(_xlfn.AGGREGATE(15,6,ROW(DB!A$2:A$2576)/((($D$3&lt;&gt;"YES")+($D$3="YES")*(DB!E$2:E$2576="YES"))*(($D$4="")+($D$4&lt;&gt;"")*( DB!B$2:B$2576=$D$4))*(($D$5="")+($D$5&lt;&gt;"")*( DB!C$2:C$2576=$D$5))*(($D$6="")+($D$6&lt;&gt;"")*( DB!D$2:D$2576=$D$6))*(($D$7="")+($D$7&lt;&gt;"")*(ISNUMBER(SEARCH($D$7,DB!G$2:G$2576))))*(($F$7="전체")+($F$7&lt;&gt;"전체")*(DB!H$2:H$2576=$F$7))),ROW()-13)-1,"")</f>
        <v/>
      </c>
      <c r="Q322" t="str" cm="1">
        <f t="array" ref="Q322">IFERROR(INDEX(DB!G$2:G$2576,P322),"")</f>
        <v/>
      </c>
      <c r="R322" t="str" cm="1">
        <f t="array" ref="R322">IFERROR(INDEX(DB!O$2:O$2576,P322),"")</f>
        <v/>
      </c>
      <c r="S322" t="str">
        <f t="shared" si="15"/>
        <v/>
      </c>
      <c r="T322" t="str">
        <f t="shared" si="16"/>
        <v/>
      </c>
    </row>
    <row r="323" spans="1:20" ht="100" customHeight="1">
      <c r="A323" s="26"/>
      <c r="B323" s="42" t="str">
        <f t="shared" si="14"/>
        <v/>
      </c>
      <c r="C323" s="43"/>
      <c r="D323" s="51" t="str" cm="1">
        <f t="array" ref="D323">IFERROR(INDEX(DB!G$2:G$2576,T323),"")</f>
        <v/>
      </c>
      <c r="E323" s="43"/>
      <c r="F323" s="52" t="str" cm="1">
        <f t="array" ref="F323">IFERROR(INDEX(DB!O$2:O$2576,T323),"")</f>
        <v/>
      </c>
      <c r="G323" s="43"/>
      <c r="H323" s="40" t="str" cm="1">
        <f t="array" ref="H323">IFERROR(INDEX(DB!P$2:P$2576,T323),"")</f>
        <v/>
      </c>
      <c r="I323" s="43"/>
      <c r="J323" s="53" t="str" cm="1">
        <f t="array" ref="J323">IFERROR(INDEX(DB!Q$2:Q$2576,T323),"")</f>
        <v/>
      </c>
      <c r="K323" s="43"/>
      <c r="L323" s="41" t="str" cm="1">
        <f t="array" ref="L323">IFERROR(INDEX(DB!R$2:R$2576,T323),"")</f>
        <v/>
      </c>
      <c r="M323" s="43"/>
      <c r="P323" t="str" cm="1">
        <f t="array" ref="P323">IFERROR(_xlfn.AGGREGATE(15,6,ROW(DB!A$2:A$2576)/((($D$3&lt;&gt;"YES")+($D$3="YES")*(DB!E$2:E$2576="YES"))*(($D$4="")+($D$4&lt;&gt;"")*( DB!B$2:B$2576=$D$4))*(($D$5="")+($D$5&lt;&gt;"")*( DB!C$2:C$2576=$D$5))*(($D$6="")+($D$6&lt;&gt;"")*( DB!D$2:D$2576=$D$6))*(($D$7="")+($D$7&lt;&gt;"")*(ISNUMBER(SEARCH($D$7,DB!G$2:G$2576))))*(($F$7="전체")+($F$7&lt;&gt;"전체")*(DB!H$2:H$2576=$F$7))),ROW()-13)-1,"")</f>
        <v/>
      </c>
      <c r="Q323" t="str" cm="1">
        <f t="array" ref="Q323">IFERROR(INDEX(DB!G$2:G$2576,P323),"")</f>
        <v/>
      </c>
      <c r="R323" t="str" cm="1">
        <f t="array" ref="R323">IFERROR(INDEX(DB!O$2:O$2576,P323),"")</f>
        <v/>
      </c>
      <c r="S323" t="str">
        <f t="shared" si="15"/>
        <v/>
      </c>
      <c r="T323" t="str">
        <f t="shared" si="16"/>
        <v/>
      </c>
    </row>
    <row r="324" spans="1:20" ht="100" customHeight="1">
      <c r="A324" s="26"/>
      <c r="B324" s="39" t="str">
        <f t="shared" si="14"/>
        <v/>
      </c>
      <c r="C324" s="43"/>
      <c r="D324" s="51" t="str" cm="1">
        <f t="array" ref="D324">IFERROR(INDEX(DB!G$2:G$2576,T324),"")</f>
        <v/>
      </c>
      <c r="E324" s="43"/>
      <c r="F324" s="52" t="str" cm="1">
        <f t="array" ref="F324">IFERROR(INDEX(DB!O$2:O$2576,T324),"")</f>
        <v/>
      </c>
      <c r="G324" s="43"/>
      <c r="H324" s="40" t="str" cm="1">
        <f t="array" ref="H324">IFERROR(INDEX(DB!P$2:P$2576,T324),"")</f>
        <v/>
      </c>
      <c r="I324" s="43"/>
      <c r="J324" s="53" t="str" cm="1">
        <f t="array" ref="J324">IFERROR(INDEX(DB!Q$2:Q$2576,T324),"")</f>
        <v/>
      </c>
      <c r="K324" s="43"/>
      <c r="L324" s="41" t="str" cm="1">
        <f t="array" ref="L324">IFERROR(INDEX(DB!R$2:R$2576,T324),"")</f>
        <v/>
      </c>
      <c r="M324" s="43"/>
      <c r="P324" t="str" cm="1">
        <f t="array" ref="P324">IFERROR(_xlfn.AGGREGATE(15,6,ROW(DB!A$2:A$2576)/((($D$3&lt;&gt;"YES")+($D$3="YES")*(DB!E$2:E$2576="YES"))*(($D$4="")+($D$4&lt;&gt;"")*( DB!B$2:B$2576=$D$4))*(($D$5="")+($D$5&lt;&gt;"")*( DB!C$2:C$2576=$D$5))*(($D$6="")+($D$6&lt;&gt;"")*( DB!D$2:D$2576=$D$6))*(($D$7="")+($D$7&lt;&gt;"")*(ISNUMBER(SEARCH($D$7,DB!G$2:G$2576))))*(($F$7="전체")+($F$7&lt;&gt;"전체")*(DB!H$2:H$2576=$F$7))),ROW()-13)-1,"")</f>
        <v/>
      </c>
      <c r="Q324" t="str" cm="1">
        <f t="array" ref="Q324">IFERROR(INDEX(DB!G$2:G$2576,P324),"")</f>
        <v/>
      </c>
      <c r="R324" t="str" cm="1">
        <f t="array" ref="R324">IFERROR(INDEX(DB!O$2:O$2576,P324),"")</f>
        <v/>
      </c>
      <c r="S324" t="str">
        <f t="shared" si="15"/>
        <v/>
      </c>
      <c r="T324" t="str">
        <f t="shared" si="16"/>
        <v/>
      </c>
    </row>
    <row r="325" spans="1:20" ht="100" customHeight="1">
      <c r="A325" s="26"/>
      <c r="B325" s="42" t="str">
        <f t="shared" si="14"/>
        <v/>
      </c>
      <c r="C325" s="43"/>
      <c r="D325" s="51" t="str" cm="1">
        <f t="array" ref="D325">IFERROR(INDEX(DB!G$2:G$2576,T325),"")</f>
        <v/>
      </c>
      <c r="E325" s="43"/>
      <c r="F325" s="52" t="str" cm="1">
        <f t="array" ref="F325">IFERROR(INDEX(DB!O$2:O$2576,T325),"")</f>
        <v/>
      </c>
      <c r="G325" s="43"/>
      <c r="H325" s="40" t="str" cm="1">
        <f t="array" ref="H325">IFERROR(INDEX(DB!P$2:P$2576,T325),"")</f>
        <v/>
      </c>
      <c r="I325" s="43"/>
      <c r="J325" s="53" t="str" cm="1">
        <f t="array" ref="J325">IFERROR(INDEX(DB!Q$2:Q$2576,T325),"")</f>
        <v/>
      </c>
      <c r="K325" s="43"/>
      <c r="L325" s="41" t="str" cm="1">
        <f t="array" ref="L325">IFERROR(INDEX(DB!R$2:R$2576,T325),"")</f>
        <v/>
      </c>
      <c r="M325" s="43"/>
      <c r="P325" t="str" cm="1">
        <f t="array" ref="P325">IFERROR(_xlfn.AGGREGATE(15,6,ROW(DB!A$2:A$2576)/((($D$3&lt;&gt;"YES")+($D$3="YES")*(DB!E$2:E$2576="YES"))*(($D$4="")+($D$4&lt;&gt;"")*( DB!B$2:B$2576=$D$4))*(($D$5="")+($D$5&lt;&gt;"")*( DB!C$2:C$2576=$D$5))*(($D$6="")+($D$6&lt;&gt;"")*( DB!D$2:D$2576=$D$6))*(($D$7="")+($D$7&lt;&gt;"")*(ISNUMBER(SEARCH($D$7,DB!G$2:G$2576))))*(($F$7="전체")+($F$7&lt;&gt;"전체")*(DB!H$2:H$2576=$F$7))),ROW()-13)-1,"")</f>
        <v/>
      </c>
      <c r="Q325" t="str" cm="1">
        <f t="array" ref="Q325">IFERROR(INDEX(DB!G$2:G$2576,P325),"")</f>
        <v/>
      </c>
      <c r="R325" t="str" cm="1">
        <f t="array" ref="R325">IFERROR(INDEX(DB!O$2:O$2576,P325),"")</f>
        <v/>
      </c>
      <c r="S325" t="str">
        <f t="shared" si="15"/>
        <v/>
      </c>
      <c r="T325" t="str">
        <f t="shared" si="16"/>
        <v/>
      </c>
    </row>
    <row r="326" spans="1:20" ht="100" customHeight="1">
      <c r="A326" s="26"/>
      <c r="B326" s="39" t="str">
        <f t="shared" si="14"/>
        <v/>
      </c>
      <c r="C326" s="43"/>
      <c r="D326" s="51" t="str" cm="1">
        <f t="array" ref="D326">IFERROR(INDEX(DB!G$2:G$2576,T326),"")</f>
        <v/>
      </c>
      <c r="E326" s="43"/>
      <c r="F326" s="52" t="str" cm="1">
        <f t="array" ref="F326">IFERROR(INDEX(DB!O$2:O$2576,T326),"")</f>
        <v/>
      </c>
      <c r="G326" s="43"/>
      <c r="H326" s="40" t="str" cm="1">
        <f t="array" ref="H326">IFERROR(INDEX(DB!P$2:P$2576,T326),"")</f>
        <v/>
      </c>
      <c r="I326" s="43"/>
      <c r="J326" s="53" t="str" cm="1">
        <f t="array" ref="J326">IFERROR(INDEX(DB!Q$2:Q$2576,T326),"")</f>
        <v/>
      </c>
      <c r="K326" s="43"/>
      <c r="L326" s="41" t="str" cm="1">
        <f t="array" ref="L326">IFERROR(INDEX(DB!R$2:R$2576,T326),"")</f>
        <v/>
      </c>
      <c r="M326" s="43"/>
      <c r="P326" t="str" cm="1">
        <f t="array" ref="P326">IFERROR(_xlfn.AGGREGATE(15,6,ROW(DB!A$2:A$2576)/((($D$3&lt;&gt;"YES")+($D$3="YES")*(DB!E$2:E$2576="YES"))*(($D$4="")+($D$4&lt;&gt;"")*( DB!B$2:B$2576=$D$4))*(($D$5="")+($D$5&lt;&gt;"")*( DB!C$2:C$2576=$D$5))*(($D$6="")+($D$6&lt;&gt;"")*( DB!D$2:D$2576=$D$6))*(($D$7="")+($D$7&lt;&gt;"")*(ISNUMBER(SEARCH($D$7,DB!G$2:G$2576))))*(($F$7="전체")+($F$7&lt;&gt;"전체")*(DB!H$2:H$2576=$F$7))),ROW()-13)-1,"")</f>
        <v/>
      </c>
      <c r="Q326" t="str" cm="1">
        <f t="array" ref="Q326">IFERROR(INDEX(DB!G$2:G$2576,P326),"")</f>
        <v/>
      </c>
      <c r="R326" t="str" cm="1">
        <f t="array" ref="R326">IFERROR(INDEX(DB!O$2:O$2576,P326),"")</f>
        <v/>
      </c>
      <c r="S326" t="str">
        <f t="shared" si="15"/>
        <v/>
      </c>
      <c r="T326" t="str">
        <f t="shared" si="16"/>
        <v/>
      </c>
    </row>
    <row r="327" spans="1:20" ht="100" customHeight="1">
      <c r="A327" s="26"/>
      <c r="B327" s="42" t="str">
        <f t="shared" si="14"/>
        <v/>
      </c>
      <c r="C327" s="43"/>
      <c r="D327" s="51" t="str" cm="1">
        <f t="array" ref="D327">IFERROR(INDEX(DB!G$2:G$2576,T327),"")</f>
        <v/>
      </c>
      <c r="E327" s="43"/>
      <c r="F327" s="52" t="str" cm="1">
        <f t="array" ref="F327">IFERROR(INDEX(DB!O$2:O$2576,T327),"")</f>
        <v/>
      </c>
      <c r="G327" s="43"/>
      <c r="H327" s="40" t="str" cm="1">
        <f t="array" ref="H327">IFERROR(INDEX(DB!P$2:P$2576,T327),"")</f>
        <v/>
      </c>
      <c r="I327" s="43"/>
      <c r="J327" s="53" t="str" cm="1">
        <f t="array" ref="J327">IFERROR(INDEX(DB!Q$2:Q$2576,T327),"")</f>
        <v/>
      </c>
      <c r="K327" s="43"/>
      <c r="L327" s="41" t="str" cm="1">
        <f t="array" ref="L327">IFERROR(INDEX(DB!R$2:R$2576,T327),"")</f>
        <v/>
      </c>
      <c r="M327" s="43"/>
      <c r="P327" t="str" cm="1">
        <f t="array" ref="P327">IFERROR(_xlfn.AGGREGATE(15,6,ROW(DB!A$2:A$2576)/((($D$3&lt;&gt;"YES")+($D$3="YES")*(DB!E$2:E$2576="YES"))*(($D$4="")+($D$4&lt;&gt;"")*( DB!B$2:B$2576=$D$4))*(($D$5="")+($D$5&lt;&gt;"")*( DB!C$2:C$2576=$D$5))*(($D$6="")+($D$6&lt;&gt;"")*( DB!D$2:D$2576=$D$6))*(($D$7="")+($D$7&lt;&gt;"")*(ISNUMBER(SEARCH($D$7,DB!G$2:G$2576))))*(($F$7="전체")+($F$7&lt;&gt;"전체")*(DB!H$2:H$2576=$F$7))),ROW()-13)-1,"")</f>
        <v/>
      </c>
      <c r="Q327" t="str" cm="1">
        <f t="array" ref="Q327">IFERROR(INDEX(DB!G$2:G$2576,P327),"")</f>
        <v/>
      </c>
      <c r="R327" t="str" cm="1">
        <f t="array" ref="R327">IFERROR(INDEX(DB!O$2:O$2576,P327),"")</f>
        <v/>
      </c>
      <c r="S327" t="str">
        <f t="shared" si="15"/>
        <v/>
      </c>
      <c r="T327" t="str">
        <f t="shared" si="16"/>
        <v/>
      </c>
    </row>
    <row r="328" spans="1:20" ht="100" customHeight="1">
      <c r="A328" s="26"/>
      <c r="B328" s="39" t="str">
        <f t="shared" si="14"/>
        <v/>
      </c>
      <c r="C328" s="43"/>
      <c r="D328" s="51" t="str" cm="1">
        <f t="array" ref="D328">IFERROR(INDEX(DB!G$2:G$2576,T328),"")</f>
        <v/>
      </c>
      <c r="E328" s="43"/>
      <c r="F328" s="52" t="str" cm="1">
        <f t="array" ref="F328">IFERROR(INDEX(DB!O$2:O$2576,T328),"")</f>
        <v/>
      </c>
      <c r="G328" s="43"/>
      <c r="H328" s="40" t="str" cm="1">
        <f t="array" ref="H328">IFERROR(INDEX(DB!P$2:P$2576,T328),"")</f>
        <v/>
      </c>
      <c r="I328" s="43"/>
      <c r="J328" s="53" t="str" cm="1">
        <f t="array" ref="J328">IFERROR(INDEX(DB!Q$2:Q$2576,T328),"")</f>
        <v/>
      </c>
      <c r="K328" s="43"/>
      <c r="L328" s="41" t="str" cm="1">
        <f t="array" ref="L328">IFERROR(INDEX(DB!R$2:R$2576,T328),"")</f>
        <v/>
      </c>
      <c r="M328" s="43"/>
      <c r="P328" t="str" cm="1">
        <f t="array" ref="P328">IFERROR(_xlfn.AGGREGATE(15,6,ROW(DB!A$2:A$2576)/((($D$3&lt;&gt;"YES")+($D$3="YES")*(DB!E$2:E$2576="YES"))*(($D$4="")+($D$4&lt;&gt;"")*( DB!B$2:B$2576=$D$4))*(($D$5="")+($D$5&lt;&gt;"")*( DB!C$2:C$2576=$D$5))*(($D$6="")+($D$6&lt;&gt;"")*( DB!D$2:D$2576=$D$6))*(($D$7="")+($D$7&lt;&gt;"")*(ISNUMBER(SEARCH($D$7,DB!G$2:G$2576))))*(($F$7="전체")+($F$7&lt;&gt;"전체")*(DB!H$2:H$2576=$F$7))),ROW()-13)-1,"")</f>
        <v/>
      </c>
      <c r="Q328" t="str" cm="1">
        <f t="array" ref="Q328">IFERROR(INDEX(DB!G$2:G$2576,P328),"")</f>
        <v/>
      </c>
      <c r="R328" t="str" cm="1">
        <f t="array" ref="R328">IFERROR(INDEX(DB!O$2:O$2576,P328),"")</f>
        <v/>
      </c>
      <c r="S328" t="str">
        <f t="shared" si="15"/>
        <v/>
      </c>
      <c r="T328" t="str">
        <f t="shared" si="16"/>
        <v/>
      </c>
    </row>
    <row r="329" spans="1:20" ht="100" customHeight="1">
      <c r="A329" s="26"/>
      <c r="B329" s="42" t="str">
        <f t="shared" si="14"/>
        <v/>
      </c>
      <c r="C329" s="43"/>
      <c r="D329" s="51" t="str" cm="1">
        <f t="array" ref="D329">IFERROR(INDEX(DB!G$2:G$2576,T329),"")</f>
        <v/>
      </c>
      <c r="E329" s="43"/>
      <c r="F329" s="52" t="str" cm="1">
        <f t="array" ref="F329">IFERROR(INDEX(DB!O$2:O$2576,T329),"")</f>
        <v/>
      </c>
      <c r="G329" s="43"/>
      <c r="H329" s="40" t="str" cm="1">
        <f t="array" ref="H329">IFERROR(INDEX(DB!P$2:P$2576,T329),"")</f>
        <v/>
      </c>
      <c r="I329" s="43"/>
      <c r="J329" s="53" t="str" cm="1">
        <f t="array" ref="J329">IFERROR(INDEX(DB!Q$2:Q$2576,T329),"")</f>
        <v/>
      </c>
      <c r="K329" s="43"/>
      <c r="L329" s="41" t="str" cm="1">
        <f t="array" ref="L329">IFERROR(INDEX(DB!R$2:R$2576,T329),"")</f>
        <v/>
      </c>
      <c r="M329" s="43"/>
      <c r="P329" t="str" cm="1">
        <f t="array" ref="P329">IFERROR(_xlfn.AGGREGATE(15,6,ROW(DB!A$2:A$2576)/((($D$3&lt;&gt;"YES")+($D$3="YES")*(DB!E$2:E$2576="YES"))*(($D$4="")+($D$4&lt;&gt;"")*( DB!B$2:B$2576=$D$4))*(($D$5="")+($D$5&lt;&gt;"")*( DB!C$2:C$2576=$D$5))*(($D$6="")+($D$6&lt;&gt;"")*( DB!D$2:D$2576=$D$6))*(($D$7="")+($D$7&lt;&gt;"")*(ISNUMBER(SEARCH($D$7,DB!G$2:G$2576))))*(($F$7="전체")+($F$7&lt;&gt;"전체")*(DB!H$2:H$2576=$F$7))),ROW()-13)-1,"")</f>
        <v/>
      </c>
      <c r="Q329" t="str" cm="1">
        <f t="array" ref="Q329">IFERROR(INDEX(DB!G$2:G$2576,P329),"")</f>
        <v/>
      </c>
      <c r="R329" t="str" cm="1">
        <f t="array" ref="R329">IFERROR(INDEX(DB!O$2:O$2576,P329),"")</f>
        <v/>
      </c>
      <c r="S329" t="str">
        <f t="shared" si="15"/>
        <v/>
      </c>
      <c r="T329" t="str">
        <f t="shared" si="16"/>
        <v/>
      </c>
    </row>
    <row r="330" spans="1:20" ht="100" customHeight="1">
      <c r="A330" s="26"/>
      <c r="B330" s="39" t="str">
        <f t="shared" si="14"/>
        <v/>
      </c>
      <c r="C330" s="43"/>
      <c r="D330" s="51" t="str" cm="1">
        <f t="array" ref="D330">IFERROR(INDEX(DB!G$2:G$2576,T330),"")</f>
        <v/>
      </c>
      <c r="E330" s="43"/>
      <c r="F330" s="52" t="str" cm="1">
        <f t="array" ref="F330">IFERROR(INDEX(DB!O$2:O$2576,T330),"")</f>
        <v/>
      </c>
      <c r="G330" s="43"/>
      <c r="H330" s="40" t="str" cm="1">
        <f t="array" ref="H330">IFERROR(INDEX(DB!P$2:P$2576,T330),"")</f>
        <v/>
      </c>
      <c r="I330" s="43"/>
      <c r="J330" s="53" t="str" cm="1">
        <f t="array" ref="J330">IFERROR(INDEX(DB!Q$2:Q$2576,T330),"")</f>
        <v/>
      </c>
      <c r="K330" s="43"/>
      <c r="L330" s="41" t="str" cm="1">
        <f t="array" ref="L330">IFERROR(INDEX(DB!R$2:R$2576,T330),"")</f>
        <v/>
      </c>
      <c r="M330" s="43"/>
      <c r="P330" t="str" cm="1">
        <f t="array" ref="P330">IFERROR(_xlfn.AGGREGATE(15,6,ROW(DB!A$2:A$2576)/((($D$3&lt;&gt;"YES")+($D$3="YES")*(DB!E$2:E$2576="YES"))*(($D$4="")+($D$4&lt;&gt;"")*( DB!B$2:B$2576=$D$4))*(($D$5="")+($D$5&lt;&gt;"")*( DB!C$2:C$2576=$D$5))*(($D$6="")+($D$6&lt;&gt;"")*( DB!D$2:D$2576=$D$6))*(($D$7="")+($D$7&lt;&gt;"")*(ISNUMBER(SEARCH($D$7,DB!G$2:G$2576))))*(($F$7="전체")+($F$7&lt;&gt;"전체")*(DB!H$2:H$2576=$F$7))),ROW()-13)-1,"")</f>
        <v/>
      </c>
      <c r="Q330" t="str" cm="1">
        <f t="array" ref="Q330">IFERROR(INDEX(DB!G$2:G$2576,P330),"")</f>
        <v/>
      </c>
      <c r="R330" t="str" cm="1">
        <f t="array" ref="R330">IFERROR(INDEX(DB!O$2:O$2576,P330),"")</f>
        <v/>
      </c>
      <c r="S330" t="str">
        <f t="shared" si="15"/>
        <v/>
      </c>
      <c r="T330" t="str">
        <f t="shared" si="16"/>
        <v/>
      </c>
    </row>
    <row r="331" spans="1:20" ht="100" customHeight="1">
      <c r="A331" s="26"/>
      <c r="B331" s="42" t="str">
        <f t="shared" si="14"/>
        <v/>
      </c>
      <c r="C331" s="43"/>
      <c r="D331" s="51" t="str" cm="1">
        <f t="array" ref="D331">IFERROR(INDEX(DB!G$2:G$2576,T331),"")</f>
        <v/>
      </c>
      <c r="E331" s="43"/>
      <c r="F331" s="52" t="str" cm="1">
        <f t="array" ref="F331">IFERROR(INDEX(DB!O$2:O$2576,T331),"")</f>
        <v/>
      </c>
      <c r="G331" s="43"/>
      <c r="H331" s="40" t="str" cm="1">
        <f t="array" ref="H331">IFERROR(INDEX(DB!P$2:P$2576,T331),"")</f>
        <v/>
      </c>
      <c r="I331" s="43"/>
      <c r="J331" s="53" t="str" cm="1">
        <f t="array" ref="J331">IFERROR(INDEX(DB!Q$2:Q$2576,T331),"")</f>
        <v/>
      </c>
      <c r="K331" s="43"/>
      <c r="L331" s="41" t="str" cm="1">
        <f t="array" ref="L331">IFERROR(INDEX(DB!R$2:R$2576,T331),"")</f>
        <v/>
      </c>
      <c r="M331" s="43"/>
      <c r="P331" t="str" cm="1">
        <f t="array" ref="P331">IFERROR(_xlfn.AGGREGATE(15,6,ROW(DB!A$2:A$2576)/((($D$3&lt;&gt;"YES")+($D$3="YES")*(DB!E$2:E$2576="YES"))*(($D$4="")+($D$4&lt;&gt;"")*( DB!B$2:B$2576=$D$4))*(($D$5="")+($D$5&lt;&gt;"")*( DB!C$2:C$2576=$D$5))*(($D$6="")+($D$6&lt;&gt;"")*( DB!D$2:D$2576=$D$6))*(($D$7="")+($D$7&lt;&gt;"")*(ISNUMBER(SEARCH($D$7,DB!G$2:G$2576))))*(($F$7="전체")+($F$7&lt;&gt;"전체")*(DB!H$2:H$2576=$F$7))),ROW()-13)-1,"")</f>
        <v/>
      </c>
      <c r="Q331" t="str" cm="1">
        <f t="array" ref="Q331">IFERROR(INDEX(DB!G$2:G$2576,P331),"")</f>
        <v/>
      </c>
      <c r="R331" t="str" cm="1">
        <f t="array" ref="R331">IFERROR(INDEX(DB!O$2:O$2576,P331),"")</f>
        <v/>
      </c>
      <c r="S331" t="str">
        <f t="shared" si="15"/>
        <v/>
      </c>
      <c r="T331" t="str">
        <f t="shared" si="16"/>
        <v/>
      </c>
    </row>
    <row r="332" spans="1:20" ht="100" customHeight="1">
      <c r="A332" s="26"/>
      <c r="B332" s="39" t="str">
        <f t="shared" si="14"/>
        <v/>
      </c>
      <c r="C332" s="43"/>
      <c r="D332" s="51" t="str" cm="1">
        <f t="array" ref="D332">IFERROR(INDEX(DB!G$2:G$2576,T332),"")</f>
        <v/>
      </c>
      <c r="E332" s="43"/>
      <c r="F332" s="52" t="str" cm="1">
        <f t="array" ref="F332">IFERROR(INDEX(DB!O$2:O$2576,T332),"")</f>
        <v/>
      </c>
      <c r="G332" s="43"/>
      <c r="H332" s="40" t="str" cm="1">
        <f t="array" ref="H332">IFERROR(INDEX(DB!P$2:P$2576,T332),"")</f>
        <v/>
      </c>
      <c r="I332" s="43"/>
      <c r="J332" s="53" t="str" cm="1">
        <f t="array" ref="J332">IFERROR(INDEX(DB!Q$2:Q$2576,T332),"")</f>
        <v/>
      </c>
      <c r="K332" s="43"/>
      <c r="L332" s="41" t="str" cm="1">
        <f t="array" ref="L332">IFERROR(INDEX(DB!R$2:R$2576,T332),"")</f>
        <v/>
      </c>
      <c r="M332" s="43"/>
      <c r="P332" t="str" cm="1">
        <f t="array" ref="P332">IFERROR(_xlfn.AGGREGATE(15,6,ROW(DB!A$2:A$2576)/((($D$3&lt;&gt;"YES")+($D$3="YES")*(DB!E$2:E$2576="YES"))*(($D$4="")+($D$4&lt;&gt;"")*( DB!B$2:B$2576=$D$4))*(($D$5="")+($D$5&lt;&gt;"")*( DB!C$2:C$2576=$D$5))*(($D$6="")+($D$6&lt;&gt;"")*( DB!D$2:D$2576=$D$6))*(($D$7="")+($D$7&lt;&gt;"")*(ISNUMBER(SEARCH($D$7,DB!G$2:G$2576))))*(($F$7="전체")+($F$7&lt;&gt;"전체")*(DB!H$2:H$2576=$F$7))),ROW()-13)-1,"")</f>
        <v/>
      </c>
      <c r="Q332" t="str" cm="1">
        <f t="array" ref="Q332">IFERROR(INDEX(DB!G$2:G$2576,P332),"")</f>
        <v/>
      </c>
      <c r="R332" t="str" cm="1">
        <f t="array" ref="R332">IFERROR(INDEX(DB!O$2:O$2576,P332),"")</f>
        <v/>
      </c>
      <c r="S332" t="str">
        <f t="shared" si="15"/>
        <v/>
      </c>
      <c r="T332" t="str">
        <f t="shared" si="16"/>
        <v/>
      </c>
    </row>
    <row r="333" spans="1:20" ht="100" customHeight="1">
      <c r="A333" s="26"/>
      <c r="B333" s="42" t="str">
        <f t="shared" si="14"/>
        <v/>
      </c>
      <c r="C333" s="43"/>
      <c r="D333" s="51" t="str" cm="1">
        <f t="array" ref="D333">IFERROR(INDEX(DB!G$2:G$2576,T333),"")</f>
        <v/>
      </c>
      <c r="E333" s="43"/>
      <c r="F333" s="52" t="str" cm="1">
        <f t="array" ref="F333">IFERROR(INDEX(DB!O$2:O$2576,T333),"")</f>
        <v/>
      </c>
      <c r="G333" s="43"/>
      <c r="H333" s="40" t="str" cm="1">
        <f t="array" ref="H333">IFERROR(INDEX(DB!P$2:P$2576,T333),"")</f>
        <v/>
      </c>
      <c r="I333" s="43"/>
      <c r="J333" s="53" t="str" cm="1">
        <f t="array" ref="J333">IFERROR(INDEX(DB!Q$2:Q$2576,T333),"")</f>
        <v/>
      </c>
      <c r="K333" s="43"/>
      <c r="L333" s="41" t="str" cm="1">
        <f t="array" ref="L333">IFERROR(INDEX(DB!R$2:R$2576,T333),"")</f>
        <v/>
      </c>
      <c r="M333" s="43"/>
      <c r="P333" t="str" cm="1">
        <f t="array" ref="P333">IFERROR(_xlfn.AGGREGATE(15,6,ROW(DB!A$2:A$2576)/((($D$3&lt;&gt;"YES")+($D$3="YES")*(DB!E$2:E$2576="YES"))*(($D$4="")+($D$4&lt;&gt;"")*( DB!B$2:B$2576=$D$4))*(($D$5="")+($D$5&lt;&gt;"")*( DB!C$2:C$2576=$D$5))*(($D$6="")+($D$6&lt;&gt;"")*( DB!D$2:D$2576=$D$6))*(($D$7="")+($D$7&lt;&gt;"")*(ISNUMBER(SEARCH($D$7,DB!G$2:G$2576))))*(($F$7="전체")+($F$7&lt;&gt;"전체")*(DB!H$2:H$2576=$F$7))),ROW()-13)-1,"")</f>
        <v/>
      </c>
      <c r="Q333" t="str" cm="1">
        <f t="array" ref="Q333">IFERROR(INDEX(DB!G$2:G$2576,P333),"")</f>
        <v/>
      </c>
      <c r="R333" t="str" cm="1">
        <f t="array" ref="R333">IFERROR(INDEX(DB!O$2:O$2576,P333),"")</f>
        <v/>
      </c>
      <c r="S333" t="str">
        <f t="shared" si="15"/>
        <v/>
      </c>
      <c r="T333" t="str">
        <f t="shared" si="16"/>
        <v/>
      </c>
    </row>
    <row r="334" spans="1:20" ht="100" customHeight="1">
      <c r="A334" s="26"/>
      <c r="B334" s="39" t="str">
        <f t="shared" si="14"/>
        <v/>
      </c>
      <c r="C334" s="43"/>
      <c r="D334" s="51" t="str" cm="1">
        <f t="array" ref="D334">IFERROR(INDEX(DB!G$2:G$2576,T334),"")</f>
        <v/>
      </c>
      <c r="E334" s="43"/>
      <c r="F334" s="52" t="str" cm="1">
        <f t="array" ref="F334">IFERROR(INDEX(DB!O$2:O$2576,T334),"")</f>
        <v/>
      </c>
      <c r="G334" s="43"/>
      <c r="H334" s="40" t="str" cm="1">
        <f t="array" ref="H334">IFERROR(INDEX(DB!P$2:P$2576,T334),"")</f>
        <v/>
      </c>
      <c r="I334" s="43"/>
      <c r="J334" s="53" t="str" cm="1">
        <f t="array" ref="J334">IFERROR(INDEX(DB!Q$2:Q$2576,T334),"")</f>
        <v/>
      </c>
      <c r="K334" s="43"/>
      <c r="L334" s="41" t="str" cm="1">
        <f t="array" ref="L334">IFERROR(INDEX(DB!R$2:R$2576,T334),"")</f>
        <v/>
      </c>
      <c r="M334" s="43"/>
      <c r="P334" t="str" cm="1">
        <f t="array" ref="P334">IFERROR(_xlfn.AGGREGATE(15,6,ROW(DB!A$2:A$2576)/((($D$3&lt;&gt;"YES")+($D$3="YES")*(DB!E$2:E$2576="YES"))*(($D$4="")+($D$4&lt;&gt;"")*( DB!B$2:B$2576=$D$4))*(($D$5="")+($D$5&lt;&gt;"")*( DB!C$2:C$2576=$D$5))*(($D$6="")+($D$6&lt;&gt;"")*( DB!D$2:D$2576=$D$6))*(($D$7="")+($D$7&lt;&gt;"")*(ISNUMBER(SEARCH($D$7,DB!G$2:G$2576))))*(($F$7="전체")+($F$7&lt;&gt;"전체")*(DB!H$2:H$2576=$F$7))),ROW()-13)-1,"")</f>
        <v/>
      </c>
      <c r="Q334" t="str" cm="1">
        <f t="array" ref="Q334">IFERROR(INDEX(DB!G$2:G$2576,P334),"")</f>
        <v/>
      </c>
      <c r="R334" t="str" cm="1">
        <f t="array" ref="R334">IFERROR(INDEX(DB!O$2:O$2576,P334),"")</f>
        <v/>
      </c>
      <c r="S334" t="str">
        <f t="shared" si="15"/>
        <v/>
      </c>
      <c r="T334" t="str">
        <f t="shared" si="16"/>
        <v/>
      </c>
    </row>
    <row r="335" spans="1:20" ht="100" customHeight="1">
      <c r="A335" s="26"/>
      <c r="B335" s="42" t="str">
        <f t="shared" ref="B335:B398" si="17">IFERROR(IF(T335="","",ROW()-13),"")</f>
        <v/>
      </c>
      <c r="C335" s="43"/>
      <c r="D335" s="51" t="str" cm="1">
        <f t="array" ref="D335">IFERROR(INDEX(DB!G$2:G$2576,T335),"")</f>
        <v/>
      </c>
      <c r="E335" s="43"/>
      <c r="F335" s="52" t="str" cm="1">
        <f t="array" ref="F335">IFERROR(INDEX(DB!O$2:O$2576,T335),"")</f>
        <v/>
      </c>
      <c r="G335" s="43"/>
      <c r="H335" s="40" t="str" cm="1">
        <f t="array" ref="H335">IFERROR(INDEX(DB!P$2:P$2576,T335),"")</f>
        <v/>
      </c>
      <c r="I335" s="43"/>
      <c r="J335" s="53" t="str" cm="1">
        <f t="array" ref="J335">IFERROR(INDEX(DB!Q$2:Q$2576,T335),"")</f>
        <v/>
      </c>
      <c r="K335" s="43"/>
      <c r="L335" s="41" t="str" cm="1">
        <f t="array" ref="L335">IFERROR(INDEX(DB!R$2:R$2576,T335),"")</f>
        <v/>
      </c>
      <c r="M335" s="43"/>
      <c r="P335" t="str" cm="1">
        <f t="array" ref="P335">IFERROR(_xlfn.AGGREGATE(15,6,ROW(DB!A$2:A$2576)/((($D$3&lt;&gt;"YES")+($D$3="YES")*(DB!E$2:E$2576="YES"))*(($D$4="")+($D$4&lt;&gt;"")*( DB!B$2:B$2576=$D$4))*(($D$5="")+($D$5&lt;&gt;"")*( DB!C$2:C$2576=$D$5))*(($D$6="")+($D$6&lt;&gt;"")*( DB!D$2:D$2576=$D$6))*(($D$7="")+($D$7&lt;&gt;"")*(ISNUMBER(SEARCH($D$7,DB!G$2:G$2576))))*(($F$7="전체")+($F$7&lt;&gt;"전체")*(DB!H$2:H$2576=$F$7))),ROW()-13)-1,"")</f>
        <v/>
      </c>
      <c r="Q335" t="str" cm="1">
        <f t="array" ref="Q335">IFERROR(INDEX(DB!G$2:G$2576,P335),"")</f>
        <v/>
      </c>
      <c r="R335" t="str" cm="1">
        <f t="array" ref="R335">IFERROR(INDEX(DB!O$2:O$2576,P335),"")</f>
        <v/>
      </c>
      <c r="S335" t="str">
        <f t="shared" ref="S335:S398" si="18">IF(P335="","",COUNTIF($Q$14:$Q$2587,"&lt;"&amp;Q335)*100+COUNTIF($R$14:$R$2587,"&lt;"&amp;R335)+(ROW()-13)*0.001)</f>
        <v/>
      </c>
      <c r="T335" t="str">
        <f t="shared" ref="T335:T398" si="19">IFERROR(INDEX($P$14:$P$2587,MATCH(SMALL($S$14:$S$2587,ROW()-13),$S$14:$S$2587,0)),"")</f>
        <v/>
      </c>
    </row>
    <row r="336" spans="1:20" ht="100" customHeight="1">
      <c r="A336" s="26"/>
      <c r="B336" s="39" t="str">
        <f t="shared" si="17"/>
        <v/>
      </c>
      <c r="C336" s="43"/>
      <c r="D336" s="51" t="str" cm="1">
        <f t="array" ref="D336">IFERROR(INDEX(DB!G$2:G$2576,T336),"")</f>
        <v/>
      </c>
      <c r="E336" s="43"/>
      <c r="F336" s="52" t="str" cm="1">
        <f t="array" ref="F336">IFERROR(INDEX(DB!O$2:O$2576,T336),"")</f>
        <v/>
      </c>
      <c r="G336" s="43"/>
      <c r="H336" s="40" t="str" cm="1">
        <f t="array" ref="H336">IFERROR(INDEX(DB!P$2:P$2576,T336),"")</f>
        <v/>
      </c>
      <c r="I336" s="43"/>
      <c r="J336" s="53" t="str" cm="1">
        <f t="array" ref="J336">IFERROR(INDEX(DB!Q$2:Q$2576,T336),"")</f>
        <v/>
      </c>
      <c r="K336" s="43"/>
      <c r="L336" s="41" t="str" cm="1">
        <f t="array" ref="L336">IFERROR(INDEX(DB!R$2:R$2576,T336),"")</f>
        <v/>
      </c>
      <c r="M336" s="43"/>
      <c r="P336" t="str" cm="1">
        <f t="array" ref="P336">IFERROR(_xlfn.AGGREGATE(15,6,ROW(DB!A$2:A$2576)/((($D$3&lt;&gt;"YES")+($D$3="YES")*(DB!E$2:E$2576="YES"))*(($D$4="")+($D$4&lt;&gt;"")*( DB!B$2:B$2576=$D$4))*(($D$5="")+($D$5&lt;&gt;"")*( DB!C$2:C$2576=$D$5))*(($D$6="")+($D$6&lt;&gt;"")*( DB!D$2:D$2576=$D$6))*(($D$7="")+($D$7&lt;&gt;"")*(ISNUMBER(SEARCH($D$7,DB!G$2:G$2576))))*(($F$7="전체")+($F$7&lt;&gt;"전체")*(DB!H$2:H$2576=$F$7))),ROW()-13)-1,"")</f>
        <v/>
      </c>
      <c r="Q336" t="str" cm="1">
        <f t="array" ref="Q336">IFERROR(INDEX(DB!G$2:G$2576,P336),"")</f>
        <v/>
      </c>
      <c r="R336" t="str" cm="1">
        <f t="array" ref="R336">IFERROR(INDEX(DB!O$2:O$2576,P336),"")</f>
        <v/>
      </c>
      <c r="S336" t="str">
        <f t="shared" si="18"/>
        <v/>
      </c>
      <c r="T336" t="str">
        <f t="shared" si="19"/>
        <v/>
      </c>
    </row>
    <row r="337" spans="1:20" ht="100" customHeight="1">
      <c r="A337" s="26"/>
      <c r="B337" s="42" t="str">
        <f t="shared" si="17"/>
        <v/>
      </c>
      <c r="C337" s="43"/>
      <c r="D337" s="51" t="str" cm="1">
        <f t="array" ref="D337">IFERROR(INDEX(DB!G$2:G$2576,T337),"")</f>
        <v/>
      </c>
      <c r="E337" s="43"/>
      <c r="F337" s="52" t="str" cm="1">
        <f t="array" ref="F337">IFERROR(INDEX(DB!O$2:O$2576,T337),"")</f>
        <v/>
      </c>
      <c r="G337" s="43"/>
      <c r="H337" s="40" t="str" cm="1">
        <f t="array" ref="H337">IFERROR(INDEX(DB!P$2:P$2576,T337),"")</f>
        <v/>
      </c>
      <c r="I337" s="43"/>
      <c r="J337" s="53" t="str" cm="1">
        <f t="array" ref="J337">IFERROR(INDEX(DB!Q$2:Q$2576,T337),"")</f>
        <v/>
      </c>
      <c r="K337" s="43"/>
      <c r="L337" s="41" t="str" cm="1">
        <f t="array" ref="L337">IFERROR(INDEX(DB!R$2:R$2576,T337),"")</f>
        <v/>
      </c>
      <c r="M337" s="43"/>
      <c r="P337" t="str" cm="1">
        <f t="array" ref="P337">IFERROR(_xlfn.AGGREGATE(15,6,ROW(DB!A$2:A$2576)/((($D$3&lt;&gt;"YES")+($D$3="YES")*(DB!E$2:E$2576="YES"))*(($D$4="")+($D$4&lt;&gt;"")*( DB!B$2:B$2576=$D$4))*(($D$5="")+($D$5&lt;&gt;"")*( DB!C$2:C$2576=$D$5))*(($D$6="")+($D$6&lt;&gt;"")*( DB!D$2:D$2576=$D$6))*(($D$7="")+($D$7&lt;&gt;"")*(ISNUMBER(SEARCH($D$7,DB!G$2:G$2576))))*(($F$7="전체")+($F$7&lt;&gt;"전체")*(DB!H$2:H$2576=$F$7))),ROW()-13)-1,"")</f>
        <v/>
      </c>
      <c r="Q337" t="str" cm="1">
        <f t="array" ref="Q337">IFERROR(INDEX(DB!G$2:G$2576,P337),"")</f>
        <v/>
      </c>
      <c r="R337" t="str" cm="1">
        <f t="array" ref="R337">IFERROR(INDEX(DB!O$2:O$2576,P337),"")</f>
        <v/>
      </c>
      <c r="S337" t="str">
        <f t="shared" si="18"/>
        <v/>
      </c>
      <c r="T337" t="str">
        <f t="shared" si="19"/>
        <v/>
      </c>
    </row>
    <row r="338" spans="1:20" ht="100" customHeight="1">
      <c r="A338" s="26"/>
      <c r="B338" s="39" t="str">
        <f t="shared" si="17"/>
        <v/>
      </c>
      <c r="C338" s="43"/>
      <c r="D338" s="51" t="str" cm="1">
        <f t="array" ref="D338">IFERROR(INDEX(DB!G$2:G$2576,T338),"")</f>
        <v/>
      </c>
      <c r="E338" s="43"/>
      <c r="F338" s="52" t="str" cm="1">
        <f t="array" ref="F338">IFERROR(INDEX(DB!O$2:O$2576,T338),"")</f>
        <v/>
      </c>
      <c r="G338" s="43"/>
      <c r="H338" s="40" t="str" cm="1">
        <f t="array" ref="H338">IFERROR(INDEX(DB!P$2:P$2576,T338),"")</f>
        <v/>
      </c>
      <c r="I338" s="43"/>
      <c r="J338" s="53" t="str" cm="1">
        <f t="array" ref="J338">IFERROR(INDEX(DB!Q$2:Q$2576,T338),"")</f>
        <v/>
      </c>
      <c r="K338" s="43"/>
      <c r="L338" s="41" t="str" cm="1">
        <f t="array" ref="L338">IFERROR(INDEX(DB!R$2:R$2576,T338),"")</f>
        <v/>
      </c>
      <c r="M338" s="43"/>
      <c r="P338" t="str" cm="1">
        <f t="array" ref="P338">IFERROR(_xlfn.AGGREGATE(15,6,ROW(DB!A$2:A$2576)/((($D$3&lt;&gt;"YES")+($D$3="YES")*(DB!E$2:E$2576="YES"))*(($D$4="")+($D$4&lt;&gt;"")*( DB!B$2:B$2576=$D$4))*(($D$5="")+($D$5&lt;&gt;"")*( DB!C$2:C$2576=$D$5))*(($D$6="")+($D$6&lt;&gt;"")*( DB!D$2:D$2576=$D$6))*(($D$7="")+($D$7&lt;&gt;"")*(ISNUMBER(SEARCH($D$7,DB!G$2:G$2576))))*(($F$7="전체")+($F$7&lt;&gt;"전체")*(DB!H$2:H$2576=$F$7))),ROW()-13)-1,"")</f>
        <v/>
      </c>
      <c r="Q338" t="str" cm="1">
        <f t="array" ref="Q338">IFERROR(INDEX(DB!G$2:G$2576,P338),"")</f>
        <v/>
      </c>
      <c r="R338" t="str" cm="1">
        <f t="array" ref="R338">IFERROR(INDEX(DB!O$2:O$2576,P338),"")</f>
        <v/>
      </c>
      <c r="S338" t="str">
        <f t="shared" si="18"/>
        <v/>
      </c>
      <c r="T338" t="str">
        <f t="shared" si="19"/>
        <v/>
      </c>
    </row>
    <row r="339" spans="1:20" ht="100" customHeight="1">
      <c r="A339" s="26"/>
      <c r="B339" s="42" t="str">
        <f t="shared" si="17"/>
        <v/>
      </c>
      <c r="C339" s="43"/>
      <c r="D339" s="51" t="str" cm="1">
        <f t="array" ref="D339">IFERROR(INDEX(DB!G$2:G$2576,T339),"")</f>
        <v/>
      </c>
      <c r="E339" s="43"/>
      <c r="F339" s="52" t="str" cm="1">
        <f t="array" ref="F339">IFERROR(INDEX(DB!O$2:O$2576,T339),"")</f>
        <v/>
      </c>
      <c r="G339" s="43"/>
      <c r="H339" s="40" t="str" cm="1">
        <f t="array" ref="H339">IFERROR(INDEX(DB!P$2:P$2576,T339),"")</f>
        <v/>
      </c>
      <c r="I339" s="43"/>
      <c r="J339" s="53" t="str" cm="1">
        <f t="array" ref="J339">IFERROR(INDEX(DB!Q$2:Q$2576,T339),"")</f>
        <v/>
      </c>
      <c r="K339" s="43"/>
      <c r="L339" s="41" t="str" cm="1">
        <f t="array" ref="L339">IFERROR(INDEX(DB!R$2:R$2576,T339),"")</f>
        <v/>
      </c>
      <c r="M339" s="43"/>
      <c r="P339" t="str" cm="1">
        <f t="array" ref="P339">IFERROR(_xlfn.AGGREGATE(15,6,ROW(DB!A$2:A$2576)/((($D$3&lt;&gt;"YES")+($D$3="YES")*(DB!E$2:E$2576="YES"))*(($D$4="")+($D$4&lt;&gt;"")*( DB!B$2:B$2576=$D$4))*(($D$5="")+($D$5&lt;&gt;"")*( DB!C$2:C$2576=$D$5))*(($D$6="")+($D$6&lt;&gt;"")*( DB!D$2:D$2576=$D$6))*(($D$7="")+($D$7&lt;&gt;"")*(ISNUMBER(SEARCH($D$7,DB!G$2:G$2576))))*(($F$7="전체")+($F$7&lt;&gt;"전체")*(DB!H$2:H$2576=$F$7))),ROW()-13)-1,"")</f>
        <v/>
      </c>
      <c r="Q339" t="str" cm="1">
        <f t="array" ref="Q339">IFERROR(INDEX(DB!G$2:G$2576,P339),"")</f>
        <v/>
      </c>
      <c r="R339" t="str" cm="1">
        <f t="array" ref="R339">IFERROR(INDEX(DB!O$2:O$2576,P339),"")</f>
        <v/>
      </c>
      <c r="S339" t="str">
        <f t="shared" si="18"/>
        <v/>
      </c>
      <c r="T339" t="str">
        <f t="shared" si="19"/>
        <v/>
      </c>
    </row>
    <row r="340" spans="1:20" ht="100" customHeight="1">
      <c r="A340" s="26"/>
      <c r="B340" s="39" t="str">
        <f t="shared" si="17"/>
        <v/>
      </c>
      <c r="C340" s="43"/>
      <c r="D340" s="51" t="str" cm="1">
        <f t="array" ref="D340">IFERROR(INDEX(DB!G$2:G$2576,T340),"")</f>
        <v/>
      </c>
      <c r="E340" s="43"/>
      <c r="F340" s="52" t="str" cm="1">
        <f t="array" ref="F340">IFERROR(INDEX(DB!O$2:O$2576,T340),"")</f>
        <v/>
      </c>
      <c r="G340" s="43"/>
      <c r="H340" s="40" t="str" cm="1">
        <f t="array" ref="H340">IFERROR(INDEX(DB!P$2:P$2576,T340),"")</f>
        <v/>
      </c>
      <c r="I340" s="43"/>
      <c r="J340" s="53" t="str" cm="1">
        <f t="array" ref="J340">IFERROR(INDEX(DB!Q$2:Q$2576,T340),"")</f>
        <v/>
      </c>
      <c r="K340" s="43"/>
      <c r="L340" s="41" t="str" cm="1">
        <f t="array" ref="L340">IFERROR(INDEX(DB!R$2:R$2576,T340),"")</f>
        <v/>
      </c>
      <c r="M340" s="43"/>
      <c r="P340" t="str" cm="1">
        <f t="array" ref="P340">IFERROR(_xlfn.AGGREGATE(15,6,ROW(DB!A$2:A$2576)/((($D$3&lt;&gt;"YES")+($D$3="YES")*(DB!E$2:E$2576="YES"))*(($D$4="")+($D$4&lt;&gt;"")*( DB!B$2:B$2576=$D$4))*(($D$5="")+($D$5&lt;&gt;"")*( DB!C$2:C$2576=$D$5))*(($D$6="")+($D$6&lt;&gt;"")*( DB!D$2:D$2576=$D$6))*(($D$7="")+($D$7&lt;&gt;"")*(ISNUMBER(SEARCH($D$7,DB!G$2:G$2576))))*(($F$7="전체")+($F$7&lt;&gt;"전체")*(DB!H$2:H$2576=$F$7))),ROW()-13)-1,"")</f>
        <v/>
      </c>
      <c r="Q340" t="str" cm="1">
        <f t="array" ref="Q340">IFERROR(INDEX(DB!G$2:G$2576,P340),"")</f>
        <v/>
      </c>
      <c r="R340" t="str" cm="1">
        <f t="array" ref="R340">IFERROR(INDEX(DB!O$2:O$2576,P340),"")</f>
        <v/>
      </c>
      <c r="S340" t="str">
        <f t="shared" si="18"/>
        <v/>
      </c>
      <c r="T340" t="str">
        <f t="shared" si="19"/>
        <v/>
      </c>
    </row>
    <row r="341" spans="1:20" ht="100" customHeight="1">
      <c r="A341" s="26"/>
      <c r="B341" s="42" t="str">
        <f t="shared" si="17"/>
        <v/>
      </c>
      <c r="C341" s="43"/>
      <c r="D341" s="51" t="str" cm="1">
        <f t="array" ref="D341">IFERROR(INDEX(DB!G$2:G$2576,T341),"")</f>
        <v/>
      </c>
      <c r="E341" s="43"/>
      <c r="F341" s="52" t="str" cm="1">
        <f t="array" ref="F341">IFERROR(INDEX(DB!O$2:O$2576,T341),"")</f>
        <v/>
      </c>
      <c r="G341" s="43"/>
      <c r="H341" s="40" t="str" cm="1">
        <f t="array" ref="H341">IFERROR(INDEX(DB!P$2:P$2576,T341),"")</f>
        <v/>
      </c>
      <c r="I341" s="43"/>
      <c r="J341" s="53" t="str" cm="1">
        <f t="array" ref="J341">IFERROR(INDEX(DB!Q$2:Q$2576,T341),"")</f>
        <v/>
      </c>
      <c r="K341" s="43"/>
      <c r="L341" s="41" t="str" cm="1">
        <f t="array" ref="L341">IFERROR(INDEX(DB!R$2:R$2576,T341),"")</f>
        <v/>
      </c>
      <c r="M341" s="43"/>
      <c r="P341" t="str" cm="1">
        <f t="array" ref="P341">IFERROR(_xlfn.AGGREGATE(15,6,ROW(DB!A$2:A$2576)/((($D$3&lt;&gt;"YES")+($D$3="YES")*(DB!E$2:E$2576="YES"))*(($D$4="")+($D$4&lt;&gt;"")*( DB!B$2:B$2576=$D$4))*(($D$5="")+($D$5&lt;&gt;"")*( DB!C$2:C$2576=$D$5))*(($D$6="")+($D$6&lt;&gt;"")*( DB!D$2:D$2576=$D$6))*(($D$7="")+($D$7&lt;&gt;"")*(ISNUMBER(SEARCH($D$7,DB!G$2:G$2576))))*(($F$7="전체")+($F$7&lt;&gt;"전체")*(DB!H$2:H$2576=$F$7))),ROW()-13)-1,"")</f>
        <v/>
      </c>
      <c r="Q341" t="str" cm="1">
        <f t="array" ref="Q341">IFERROR(INDEX(DB!G$2:G$2576,P341),"")</f>
        <v/>
      </c>
      <c r="R341" t="str" cm="1">
        <f t="array" ref="R341">IFERROR(INDEX(DB!O$2:O$2576,P341),"")</f>
        <v/>
      </c>
      <c r="S341" t="str">
        <f t="shared" si="18"/>
        <v/>
      </c>
      <c r="T341" t="str">
        <f t="shared" si="19"/>
        <v/>
      </c>
    </row>
    <row r="342" spans="1:20" ht="100" customHeight="1">
      <c r="A342" s="26"/>
      <c r="B342" s="39" t="str">
        <f t="shared" si="17"/>
        <v/>
      </c>
      <c r="C342" s="43"/>
      <c r="D342" s="51" t="str" cm="1">
        <f t="array" ref="D342">IFERROR(INDEX(DB!G$2:G$2576,T342),"")</f>
        <v/>
      </c>
      <c r="E342" s="43"/>
      <c r="F342" s="52" t="str" cm="1">
        <f t="array" ref="F342">IFERROR(INDEX(DB!O$2:O$2576,T342),"")</f>
        <v/>
      </c>
      <c r="G342" s="43"/>
      <c r="H342" s="40" t="str" cm="1">
        <f t="array" ref="H342">IFERROR(INDEX(DB!P$2:P$2576,T342),"")</f>
        <v/>
      </c>
      <c r="I342" s="43"/>
      <c r="J342" s="53" t="str" cm="1">
        <f t="array" ref="J342">IFERROR(INDEX(DB!Q$2:Q$2576,T342),"")</f>
        <v/>
      </c>
      <c r="K342" s="43"/>
      <c r="L342" s="41" t="str" cm="1">
        <f t="array" ref="L342">IFERROR(INDEX(DB!R$2:R$2576,T342),"")</f>
        <v/>
      </c>
      <c r="M342" s="43"/>
      <c r="P342" t="str" cm="1">
        <f t="array" ref="P342">IFERROR(_xlfn.AGGREGATE(15,6,ROW(DB!A$2:A$2576)/((($D$3&lt;&gt;"YES")+($D$3="YES")*(DB!E$2:E$2576="YES"))*(($D$4="")+($D$4&lt;&gt;"")*( DB!B$2:B$2576=$D$4))*(($D$5="")+($D$5&lt;&gt;"")*( DB!C$2:C$2576=$D$5))*(($D$6="")+($D$6&lt;&gt;"")*( DB!D$2:D$2576=$D$6))*(($D$7="")+($D$7&lt;&gt;"")*(ISNUMBER(SEARCH($D$7,DB!G$2:G$2576))))*(($F$7="전체")+($F$7&lt;&gt;"전체")*(DB!H$2:H$2576=$F$7))),ROW()-13)-1,"")</f>
        <v/>
      </c>
      <c r="Q342" t="str" cm="1">
        <f t="array" ref="Q342">IFERROR(INDEX(DB!G$2:G$2576,P342),"")</f>
        <v/>
      </c>
      <c r="R342" t="str" cm="1">
        <f t="array" ref="R342">IFERROR(INDEX(DB!O$2:O$2576,P342),"")</f>
        <v/>
      </c>
      <c r="S342" t="str">
        <f t="shared" si="18"/>
        <v/>
      </c>
      <c r="T342" t="str">
        <f t="shared" si="19"/>
        <v/>
      </c>
    </row>
    <row r="343" spans="1:20" ht="100" customHeight="1">
      <c r="A343" s="26"/>
      <c r="B343" s="42" t="str">
        <f t="shared" si="17"/>
        <v/>
      </c>
      <c r="C343" s="43"/>
      <c r="D343" s="51" t="str" cm="1">
        <f t="array" ref="D343">IFERROR(INDEX(DB!G$2:G$2576,T343),"")</f>
        <v/>
      </c>
      <c r="E343" s="43"/>
      <c r="F343" s="52" t="str" cm="1">
        <f t="array" ref="F343">IFERROR(INDEX(DB!O$2:O$2576,T343),"")</f>
        <v/>
      </c>
      <c r="G343" s="43"/>
      <c r="H343" s="40" t="str" cm="1">
        <f t="array" ref="H343">IFERROR(INDEX(DB!P$2:P$2576,T343),"")</f>
        <v/>
      </c>
      <c r="I343" s="43"/>
      <c r="J343" s="53" t="str" cm="1">
        <f t="array" ref="J343">IFERROR(INDEX(DB!Q$2:Q$2576,T343),"")</f>
        <v/>
      </c>
      <c r="K343" s="43"/>
      <c r="L343" s="41" t="str" cm="1">
        <f t="array" ref="L343">IFERROR(INDEX(DB!R$2:R$2576,T343),"")</f>
        <v/>
      </c>
      <c r="M343" s="43"/>
      <c r="P343" t="str" cm="1">
        <f t="array" ref="P343">IFERROR(_xlfn.AGGREGATE(15,6,ROW(DB!A$2:A$2576)/((($D$3&lt;&gt;"YES")+($D$3="YES")*(DB!E$2:E$2576="YES"))*(($D$4="")+($D$4&lt;&gt;"")*( DB!B$2:B$2576=$D$4))*(($D$5="")+($D$5&lt;&gt;"")*( DB!C$2:C$2576=$D$5))*(($D$6="")+($D$6&lt;&gt;"")*( DB!D$2:D$2576=$D$6))*(($D$7="")+($D$7&lt;&gt;"")*(ISNUMBER(SEARCH($D$7,DB!G$2:G$2576))))*(($F$7="전체")+($F$7&lt;&gt;"전체")*(DB!H$2:H$2576=$F$7))),ROW()-13)-1,"")</f>
        <v/>
      </c>
      <c r="Q343" t="str" cm="1">
        <f t="array" ref="Q343">IFERROR(INDEX(DB!G$2:G$2576,P343),"")</f>
        <v/>
      </c>
      <c r="R343" t="str" cm="1">
        <f t="array" ref="R343">IFERROR(INDEX(DB!O$2:O$2576,P343),"")</f>
        <v/>
      </c>
      <c r="S343" t="str">
        <f t="shared" si="18"/>
        <v/>
      </c>
      <c r="T343" t="str">
        <f t="shared" si="19"/>
        <v/>
      </c>
    </row>
    <row r="344" spans="1:20" ht="100" customHeight="1">
      <c r="A344" s="26"/>
      <c r="B344" s="39" t="str">
        <f t="shared" si="17"/>
        <v/>
      </c>
      <c r="C344" s="43"/>
      <c r="D344" s="51" t="str" cm="1">
        <f t="array" ref="D344">IFERROR(INDEX(DB!G$2:G$2576,T344),"")</f>
        <v/>
      </c>
      <c r="E344" s="43"/>
      <c r="F344" s="52" t="str" cm="1">
        <f t="array" ref="F344">IFERROR(INDEX(DB!O$2:O$2576,T344),"")</f>
        <v/>
      </c>
      <c r="G344" s="43"/>
      <c r="H344" s="40" t="str" cm="1">
        <f t="array" ref="H344">IFERROR(INDEX(DB!P$2:P$2576,T344),"")</f>
        <v/>
      </c>
      <c r="I344" s="43"/>
      <c r="J344" s="53" t="str" cm="1">
        <f t="array" ref="J344">IFERROR(INDEX(DB!Q$2:Q$2576,T344),"")</f>
        <v/>
      </c>
      <c r="K344" s="43"/>
      <c r="L344" s="41" t="str" cm="1">
        <f t="array" ref="L344">IFERROR(INDEX(DB!R$2:R$2576,T344),"")</f>
        <v/>
      </c>
      <c r="M344" s="43"/>
      <c r="P344" t="str" cm="1">
        <f t="array" ref="P344">IFERROR(_xlfn.AGGREGATE(15,6,ROW(DB!A$2:A$2576)/((($D$3&lt;&gt;"YES")+($D$3="YES")*(DB!E$2:E$2576="YES"))*(($D$4="")+($D$4&lt;&gt;"")*( DB!B$2:B$2576=$D$4))*(($D$5="")+($D$5&lt;&gt;"")*( DB!C$2:C$2576=$D$5))*(($D$6="")+($D$6&lt;&gt;"")*( DB!D$2:D$2576=$D$6))*(($D$7="")+($D$7&lt;&gt;"")*(ISNUMBER(SEARCH($D$7,DB!G$2:G$2576))))*(($F$7="전체")+($F$7&lt;&gt;"전체")*(DB!H$2:H$2576=$F$7))),ROW()-13)-1,"")</f>
        <v/>
      </c>
      <c r="Q344" t="str" cm="1">
        <f t="array" ref="Q344">IFERROR(INDEX(DB!G$2:G$2576,P344),"")</f>
        <v/>
      </c>
      <c r="R344" t="str" cm="1">
        <f t="array" ref="R344">IFERROR(INDEX(DB!O$2:O$2576,P344),"")</f>
        <v/>
      </c>
      <c r="S344" t="str">
        <f t="shared" si="18"/>
        <v/>
      </c>
      <c r="T344" t="str">
        <f t="shared" si="19"/>
        <v/>
      </c>
    </row>
    <row r="345" spans="1:20" ht="100" customHeight="1">
      <c r="A345" s="26"/>
      <c r="B345" s="42" t="str">
        <f t="shared" si="17"/>
        <v/>
      </c>
      <c r="C345" s="43"/>
      <c r="D345" s="51" t="str" cm="1">
        <f t="array" ref="D345">IFERROR(INDEX(DB!G$2:G$2576,T345),"")</f>
        <v/>
      </c>
      <c r="E345" s="43"/>
      <c r="F345" s="52" t="str" cm="1">
        <f t="array" ref="F345">IFERROR(INDEX(DB!O$2:O$2576,T345),"")</f>
        <v/>
      </c>
      <c r="G345" s="43"/>
      <c r="H345" s="40" t="str" cm="1">
        <f t="array" ref="H345">IFERROR(INDEX(DB!P$2:P$2576,T345),"")</f>
        <v/>
      </c>
      <c r="I345" s="43"/>
      <c r="J345" s="53" t="str" cm="1">
        <f t="array" ref="J345">IFERROR(INDEX(DB!Q$2:Q$2576,T345),"")</f>
        <v/>
      </c>
      <c r="K345" s="43"/>
      <c r="L345" s="41" t="str" cm="1">
        <f t="array" ref="L345">IFERROR(INDEX(DB!R$2:R$2576,T345),"")</f>
        <v/>
      </c>
      <c r="M345" s="43"/>
      <c r="P345" t="str" cm="1">
        <f t="array" ref="P345">IFERROR(_xlfn.AGGREGATE(15,6,ROW(DB!A$2:A$2576)/((($D$3&lt;&gt;"YES")+($D$3="YES")*(DB!E$2:E$2576="YES"))*(($D$4="")+($D$4&lt;&gt;"")*( DB!B$2:B$2576=$D$4))*(($D$5="")+($D$5&lt;&gt;"")*( DB!C$2:C$2576=$D$5))*(($D$6="")+($D$6&lt;&gt;"")*( DB!D$2:D$2576=$D$6))*(($D$7="")+($D$7&lt;&gt;"")*(ISNUMBER(SEARCH($D$7,DB!G$2:G$2576))))*(($F$7="전체")+($F$7&lt;&gt;"전체")*(DB!H$2:H$2576=$F$7))),ROW()-13)-1,"")</f>
        <v/>
      </c>
      <c r="Q345" t="str" cm="1">
        <f t="array" ref="Q345">IFERROR(INDEX(DB!G$2:G$2576,P345),"")</f>
        <v/>
      </c>
      <c r="R345" t="str" cm="1">
        <f t="array" ref="R345">IFERROR(INDEX(DB!O$2:O$2576,P345),"")</f>
        <v/>
      </c>
      <c r="S345" t="str">
        <f t="shared" si="18"/>
        <v/>
      </c>
      <c r="T345" t="str">
        <f t="shared" si="19"/>
        <v/>
      </c>
    </row>
    <row r="346" spans="1:20" ht="100" customHeight="1">
      <c r="A346" s="26"/>
      <c r="B346" s="39" t="str">
        <f t="shared" si="17"/>
        <v/>
      </c>
      <c r="C346" s="43"/>
      <c r="D346" s="51" t="str" cm="1">
        <f t="array" ref="D346">IFERROR(INDEX(DB!G$2:G$2576,T346),"")</f>
        <v/>
      </c>
      <c r="E346" s="43"/>
      <c r="F346" s="52" t="str" cm="1">
        <f t="array" ref="F346">IFERROR(INDEX(DB!O$2:O$2576,T346),"")</f>
        <v/>
      </c>
      <c r="G346" s="43"/>
      <c r="H346" s="40" t="str" cm="1">
        <f t="array" ref="H346">IFERROR(INDEX(DB!P$2:P$2576,T346),"")</f>
        <v/>
      </c>
      <c r="I346" s="43"/>
      <c r="J346" s="53" t="str" cm="1">
        <f t="array" ref="J346">IFERROR(INDEX(DB!Q$2:Q$2576,T346),"")</f>
        <v/>
      </c>
      <c r="K346" s="43"/>
      <c r="L346" s="41" t="str" cm="1">
        <f t="array" ref="L346">IFERROR(INDEX(DB!R$2:R$2576,T346),"")</f>
        <v/>
      </c>
      <c r="M346" s="43"/>
      <c r="P346" t="str" cm="1">
        <f t="array" ref="P346">IFERROR(_xlfn.AGGREGATE(15,6,ROW(DB!A$2:A$2576)/((($D$3&lt;&gt;"YES")+($D$3="YES")*(DB!E$2:E$2576="YES"))*(($D$4="")+($D$4&lt;&gt;"")*( DB!B$2:B$2576=$D$4))*(($D$5="")+($D$5&lt;&gt;"")*( DB!C$2:C$2576=$D$5))*(($D$6="")+($D$6&lt;&gt;"")*( DB!D$2:D$2576=$D$6))*(($D$7="")+($D$7&lt;&gt;"")*(ISNUMBER(SEARCH($D$7,DB!G$2:G$2576))))*(($F$7="전체")+($F$7&lt;&gt;"전체")*(DB!H$2:H$2576=$F$7))),ROW()-13)-1,"")</f>
        <v/>
      </c>
      <c r="Q346" t="str" cm="1">
        <f t="array" ref="Q346">IFERROR(INDEX(DB!G$2:G$2576,P346),"")</f>
        <v/>
      </c>
      <c r="R346" t="str" cm="1">
        <f t="array" ref="R346">IFERROR(INDEX(DB!O$2:O$2576,P346),"")</f>
        <v/>
      </c>
      <c r="S346" t="str">
        <f t="shared" si="18"/>
        <v/>
      </c>
      <c r="T346" t="str">
        <f t="shared" si="19"/>
        <v/>
      </c>
    </row>
    <row r="347" spans="1:20" ht="100" customHeight="1">
      <c r="A347" s="26"/>
      <c r="B347" s="42" t="str">
        <f t="shared" si="17"/>
        <v/>
      </c>
      <c r="C347" s="43"/>
      <c r="D347" s="51" t="str" cm="1">
        <f t="array" ref="D347">IFERROR(INDEX(DB!G$2:G$2576,T347),"")</f>
        <v/>
      </c>
      <c r="E347" s="43"/>
      <c r="F347" s="52" t="str" cm="1">
        <f t="array" ref="F347">IFERROR(INDEX(DB!O$2:O$2576,T347),"")</f>
        <v/>
      </c>
      <c r="G347" s="43"/>
      <c r="H347" s="40" t="str" cm="1">
        <f t="array" ref="H347">IFERROR(INDEX(DB!P$2:P$2576,T347),"")</f>
        <v/>
      </c>
      <c r="I347" s="43"/>
      <c r="J347" s="53" t="str" cm="1">
        <f t="array" ref="J347">IFERROR(INDEX(DB!Q$2:Q$2576,T347),"")</f>
        <v/>
      </c>
      <c r="K347" s="43"/>
      <c r="L347" s="41" t="str" cm="1">
        <f t="array" ref="L347">IFERROR(INDEX(DB!R$2:R$2576,T347),"")</f>
        <v/>
      </c>
      <c r="M347" s="43"/>
      <c r="P347" t="str" cm="1">
        <f t="array" ref="P347">IFERROR(_xlfn.AGGREGATE(15,6,ROW(DB!A$2:A$2576)/((($D$3&lt;&gt;"YES")+($D$3="YES")*(DB!E$2:E$2576="YES"))*(($D$4="")+($D$4&lt;&gt;"")*( DB!B$2:B$2576=$D$4))*(($D$5="")+($D$5&lt;&gt;"")*( DB!C$2:C$2576=$D$5))*(($D$6="")+($D$6&lt;&gt;"")*( DB!D$2:D$2576=$D$6))*(($D$7="")+($D$7&lt;&gt;"")*(ISNUMBER(SEARCH($D$7,DB!G$2:G$2576))))*(($F$7="전체")+($F$7&lt;&gt;"전체")*(DB!H$2:H$2576=$F$7))),ROW()-13)-1,"")</f>
        <v/>
      </c>
      <c r="Q347" t="str" cm="1">
        <f t="array" ref="Q347">IFERROR(INDEX(DB!G$2:G$2576,P347),"")</f>
        <v/>
      </c>
      <c r="R347" t="str" cm="1">
        <f t="array" ref="R347">IFERROR(INDEX(DB!O$2:O$2576,P347),"")</f>
        <v/>
      </c>
      <c r="S347" t="str">
        <f t="shared" si="18"/>
        <v/>
      </c>
      <c r="T347" t="str">
        <f t="shared" si="19"/>
        <v/>
      </c>
    </row>
    <row r="348" spans="1:20" ht="100" customHeight="1">
      <c r="A348" s="26"/>
      <c r="B348" s="39" t="str">
        <f t="shared" si="17"/>
        <v/>
      </c>
      <c r="C348" s="43"/>
      <c r="D348" s="51" t="str" cm="1">
        <f t="array" ref="D348">IFERROR(INDEX(DB!G$2:G$2576,T348),"")</f>
        <v/>
      </c>
      <c r="E348" s="43"/>
      <c r="F348" s="52" t="str" cm="1">
        <f t="array" ref="F348">IFERROR(INDEX(DB!O$2:O$2576,T348),"")</f>
        <v/>
      </c>
      <c r="G348" s="43"/>
      <c r="H348" s="40" t="str" cm="1">
        <f t="array" ref="H348">IFERROR(INDEX(DB!P$2:P$2576,T348),"")</f>
        <v/>
      </c>
      <c r="I348" s="43"/>
      <c r="J348" s="53" t="str" cm="1">
        <f t="array" ref="J348">IFERROR(INDEX(DB!Q$2:Q$2576,T348),"")</f>
        <v/>
      </c>
      <c r="K348" s="43"/>
      <c r="L348" s="41" t="str" cm="1">
        <f t="array" ref="L348">IFERROR(INDEX(DB!R$2:R$2576,T348),"")</f>
        <v/>
      </c>
      <c r="M348" s="43"/>
      <c r="P348" t="str" cm="1">
        <f t="array" ref="P348">IFERROR(_xlfn.AGGREGATE(15,6,ROW(DB!A$2:A$2576)/((($D$3&lt;&gt;"YES")+($D$3="YES")*(DB!E$2:E$2576="YES"))*(($D$4="")+($D$4&lt;&gt;"")*( DB!B$2:B$2576=$D$4))*(($D$5="")+($D$5&lt;&gt;"")*( DB!C$2:C$2576=$D$5))*(($D$6="")+($D$6&lt;&gt;"")*( DB!D$2:D$2576=$D$6))*(($D$7="")+($D$7&lt;&gt;"")*(ISNUMBER(SEARCH($D$7,DB!G$2:G$2576))))*(($F$7="전체")+($F$7&lt;&gt;"전체")*(DB!H$2:H$2576=$F$7))),ROW()-13)-1,"")</f>
        <v/>
      </c>
      <c r="Q348" t="str" cm="1">
        <f t="array" ref="Q348">IFERROR(INDEX(DB!G$2:G$2576,P348),"")</f>
        <v/>
      </c>
      <c r="R348" t="str" cm="1">
        <f t="array" ref="R348">IFERROR(INDEX(DB!O$2:O$2576,P348),"")</f>
        <v/>
      </c>
      <c r="S348" t="str">
        <f t="shared" si="18"/>
        <v/>
      </c>
      <c r="T348" t="str">
        <f t="shared" si="19"/>
        <v/>
      </c>
    </row>
    <row r="349" spans="1:20" ht="100" customHeight="1">
      <c r="A349" s="26"/>
      <c r="B349" s="42" t="str">
        <f t="shared" si="17"/>
        <v/>
      </c>
      <c r="C349" s="43"/>
      <c r="D349" s="51" t="str" cm="1">
        <f t="array" ref="D349">IFERROR(INDEX(DB!G$2:G$2576,T349),"")</f>
        <v/>
      </c>
      <c r="E349" s="43"/>
      <c r="F349" s="52" t="str" cm="1">
        <f t="array" ref="F349">IFERROR(INDEX(DB!O$2:O$2576,T349),"")</f>
        <v/>
      </c>
      <c r="G349" s="43"/>
      <c r="H349" s="40" t="str" cm="1">
        <f t="array" ref="H349">IFERROR(INDEX(DB!P$2:P$2576,T349),"")</f>
        <v/>
      </c>
      <c r="I349" s="43"/>
      <c r="J349" s="53" t="str" cm="1">
        <f t="array" ref="J349">IFERROR(INDEX(DB!Q$2:Q$2576,T349),"")</f>
        <v/>
      </c>
      <c r="K349" s="43"/>
      <c r="L349" s="41" t="str" cm="1">
        <f t="array" ref="L349">IFERROR(INDEX(DB!R$2:R$2576,T349),"")</f>
        <v/>
      </c>
      <c r="M349" s="43"/>
      <c r="P349" t="str" cm="1">
        <f t="array" ref="P349">IFERROR(_xlfn.AGGREGATE(15,6,ROW(DB!A$2:A$2576)/((($D$3&lt;&gt;"YES")+($D$3="YES")*(DB!E$2:E$2576="YES"))*(($D$4="")+($D$4&lt;&gt;"")*( DB!B$2:B$2576=$D$4))*(($D$5="")+($D$5&lt;&gt;"")*( DB!C$2:C$2576=$D$5))*(($D$6="")+($D$6&lt;&gt;"")*( DB!D$2:D$2576=$D$6))*(($D$7="")+($D$7&lt;&gt;"")*(ISNUMBER(SEARCH($D$7,DB!G$2:G$2576))))*(($F$7="전체")+($F$7&lt;&gt;"전체")*(DB!H$2:H$2576=$F$7))),ROW()-13)-1,"")</f>
        <v/>
      </c>
      <c r="Q349" t="str" cm="1">
        <f t="array" ref="Q349">IFERROR(INDEX(DB!G$2:G$2576,P349),"")</f>
        <v/>
      </c>
      <c r="R349" t="str" cm="1">
        <f t="array" ref="R349">IFERROR(INDEX(DB!O$2:O$2576,P349),"")</f>
        <v/>
      </c>
      <c r="S349" t="str">
        <f t="shared" si="18"/>
        <v/>
      </c>
      <c r="T349" t="str">
        <f t="shared" si="19"/>
        <v/>
      </c>
    </row>
    <row r="350" spans="1:20" ht="100" customHeight="1">
      <c r="A350" s="26"/>
      <c r="B350" s="39" t="str">
        <f t="shared" si="17"/>
        <v/>
      </c>
      <c r="C350" s="43"/>
      <c r="D350" s="51" t="str" cm="1">
        <f t="array" ref="D350">IFERROR(INDEX(DB!G$2:G$2576,T350),"")</f>
        <v/>
      </c>
      <c r="E350" s="43"/>
      <c r="F350" s="52" t="str" cm="1">
        <f t="array" ref="F350">IFERROR(INDEX(DB!O$2:O$2576,T350),"")</f>
        <v/>
      </c>
      <c r="G350" s="43"/>
      <c r="H350" s="40" t="str" cm="1">
        <f t="array" ref="H350">IFERROR(INDEX(DB!P$2:P$2576,T350),"")</f>
        <v/>
      </c>
      <c r="I350" s="43"/>
      <c r="J350" s="53" t="str" cm="1">
        <f t="array" ref="J350">IFERROR(INDEX(DB!Q$2:Q$2576,T350),"")</f>
        <v/>
      </c>
      <c r="K350" s="43"/>
      <c r="L350" s="41" t="str" cm="1">
        <f t="array" ref="L350">IFERROR(INDEX(DB!R$2:R$2576,T350),"")</f>
        <v/>
      </c>
      <c r="M350" s="43"/>
      <c r="P350" t="str" cm="1">
        <f t="array" ref="P350">IFERROR(_xlfn.AGGREGATE(15,6,ROW(DB!A$2:A$2576)/((($D$3&lt;&gt;"YES")+($D$3="YES")*(DB!E$2:E$2576="YES"))*(($D$4="")+($D$4&lt;&gt;"")*( DB!B$2:B$2576=$D$4))*(($D$5="")+($D$5&lt;&gt;"")*( DB!C$2:C$2576=$D$5))*(($D$6="")+($D$6&lt;&gt;"")*( DB!D$2:D$2576=$D$6))*(($D$7="")+($D$7&lt;&gt;"")*(ISNUMBER(SEARCH($D$7,DB!G$2:G$2576))))*(($F$7="전체")+($F$7&lt;&gt;"전체")*(DB!H$2:H$2576=$F$7))),ROW()-13)-1,"")</f>
        <v/>
      </c>
      <c r="Q350" t="str" cm="1">
        <f t="array" ref="Q350">IFERROR(INDEX(DB!G$2:G$2576,P350),"")</f>
        <v/>
      </c>
      <c r="R350" t="str" cm="1">
        <f t="array" ref="R350">IFERROR(INDEX(DB!O$2:O$2576,P350),"")</f>
        <v/>
      </c>
      <c r="S350" t="str">
        <f t="shared" si="18"/>
        <v/>
      </c>
      <c r="T350" t="str">
        <f t="shared" si="19"/>
        <v/>
      </c>
    </row>
    <row r="351" spans="1:20" ht="100" customHeight="1">
      <c r="A351" s="26"/>
      <c r="B351" s="42" t="str">
        <f t="shared" si="17"/>
        <v/>
      </c>
      <c r="C351" s="43"/>
      <c r="D351" s="51" t="str" cm="1">
        <f t="array" ref="D351">IFERROR(INDEX(DB!G$2:G$2576,T351),"")</f>
        <v/>
      </c>
      <c r="E351" s="43"/>
      <c r="F351" s="52" t="str" cm="1">
        <f t="array" ref="F351">IFERROR(INDEX(DB!O$2:O$2576,T351),"")</f>
        <v/>
      </c>
      <c r="G351" s="43"/>
      <c r="H351" s="40" t="str" cm="1">
        <f t="array" ref="H351">IFERROR(INDEX(DB!P$2:P$2576,T351),"")</f>
        <v/>
      </c>
      <c r="I351" s="43"/>
      <c r="J351" s="53" t="str" cm="1">
        <f t="array" ref="J351">IFERROR(INDEX(DB!Q$2:Q$2576,T351),"")</f>
        <v/>
      </c>
      <c r="K351" s="43"/>
      <c r="L351" s="41" t="str" cm="1">
        <f t="array" ref="L351">IFERROR(INDEX(DB!R$2:R$2576,T351),"")</f>
        <v/>
      </c>
      <c r="M351" s="43"/>
      <c r="P351" t="str" cm="1">
        <f t="array" ref="P351">IFERROR(_xlfn.AGGREGATE(15,6,ROW(DB!A$2:A$2576)/((($D$3&lt;&gt;"YES")+($D$3="YES")*(DB!E$2:E$2576="YES"))*(($D$4="")+($D$4&lt;&gt;"")*( DB!B$2:B$2576=$D$4))*(($D$5="")+($D$5&lt;&gt;"")*( DB!C$2:C$2576=$D$5))*(($D$6="")+($D$6&lt;&gt;"")*( DB!D$2:D$2576=$D$6))*(($D$7="")+($D$7&lt;&gt;"")*(ISNUMBER(SEARCH($D$7,DB!G$2:G$2576))))*(($F$7="전체")+($F$7&lt;&gt;"전체")*(DB!H$2:H$2576=$F$7))),ROW()-13)-1,"")</f>
        <v/>
      </c>
      <c r="Q351" t="str" cm="1">
        <f t="array" ref="Q351">IFERROR(INDEX(DB!G$2:G$2576,P351),"")</f>
        <v/>
      </c>
      <c r="R351" t="str" cm="1">
        <f t="array" ref="R351">IFERROR(INDEX(DB!O$2:O$2576,P351),"")</f>
        <v/>
      </c>
      <c r="S351" t="str">
        <f t="shared" si="18"/>
        <v/>
      </c>
      <c r="T351" t="str">
        <f t="shared" si="19"/>
        <v/>
      </c>
    </row>
    <row r="352" spans="1:20" ht="100" customHeight="1">
      <c r="A352" s="26"/>
      <c r="B352" s="39" t="str">
        <f t="shared" si="17"/>
        <v/>
      </c>
      <c r="C352" s="43"/>
      <c r="D352" s="51" t="str" cm="1">
        <f t="array" ref="D352">IFERROR(INDEX(DB!G$2:G$2576,T352),"")</f>
        <v/>
      </c>
      <c r="E352" s="43"/>
      <c r="F352" s="52" t="str" cm="1">
        <f t="array" ref="F352">IFERROR(INDEX(DB!O$2:O$2576,T352),"")</f>
        <v/>
      </c>
      <c r="G352" s="43"/>
      <c r="H352" s="40" t="str" cm="1">
        <f t="array" ref="H352">IFERROR(INDEX(DB!P$2:P$2576,T352),"")</f>
        <v/>
      </c>
      <c r="I352" s="43"/>
      <c r="J352" s="53" t="str" cm="1">
        <f t="array" ref="J352">IFERROR(INDEX(DB!Q$2:Q$2576,T352),"")</f>
        <v/>
      </c>
      <c r="K352" s="43"/>
      <c r="L352" s="41" t="str" cm="1">
        <f t="array" ref="L352">IFERROR(INDEX(DB!R$2:R$2576,T352),"")</f>
        <v/>
      </c>
      <c r="M352" s="43"/>
      <c r="P352" t="str" cm="1">
        <f t="array" ref="P352">IFERROR(_xlfn.AGGREGATE(15,6,ROW(DB!A$2:A$2576)/((($D$3&lt;&gt;"YES")+($D$3="YES")*(DB!E$2:E$2576="YES"))*(($D$4="")+($D$4&lt;&gt;"")*( DB!B$2:B$2576=$D$4))*(($D$5="")+($D$5&lt;&gt;"")*( DB!C$2:C$2576=$D$5))*(($D$6="")+($D$6&lt;&gt;"")*( DB!D$2:D$2576=$D$6))*(($D$7="")+($D$7&lt;&gt;"")*(ISNUMBER(SEARCH($D$7,DB!G$2:G$2576))))*(($F$7="전체")+($F$7&lt;&gt;"전체")*(DB!H$2:H$2576=$F$7))),ROW()-13)-1,"")</f>
        <v/>
      </c>
      <c r="Q352" t="str" cm="1">
        <f t="array" ref="Q352">IFERROR(INDEX(DB!G$2:G$2576,P352),"")</f>
        <v/>
      </c>
      <c r="R352" t="str" cm="1">
        <f t="array" ref="R352">IFERROR(INDEX(DB!O$2:O$2576,P352),"")</f>
        <v/>
      </c>
      <c r="S352" t="str">
        <f t="shared" si="18"/>
        <v/>
      </c>
      <c r="T352" t="str">
        <f t="shared" si="19"/>
        <v/>
      </c>
    </row>
    <row r="353" spans="1:20" ht="100" customHeight="1">
      <c r="A353" s="26"/>
      <c r="B353" s="42" t="str">
        <f t="shared" si="17"/>
        <v/>
      </c>
      <c r="C353" s="43"/>
      <c r="D353" s="51" t="str" cm="1">
        <f t="array" ref="D353">IFERROR(INDEX(DB!G$2:G$2576,T353),"")</f>
        <v/>
      </c>
      <c r="E353" s="43"/>
      <c r="F353" s="52" t="str" cm="1">
        <f t="array" ref="F353">IFERROR(INDEX(DB!O$2:O$2576,T353),"")</f>
        <v/>
      </c>
      <c r="G353" s="43"/>
      <c r="H353" s="40" t="str" cm="1">
        <f t="array" ref="H353">IFERROR(INDEX(DB!P$2:P$2576,T353),"")</f>
        <v/>
      </c>
      <c r="I353" s="43"/>
      <c r="J353" s="53" t="str" cm="1">
        <f t="array" ref="J353">IFERROR(INDEX(DB!Q$2:Q$2576,T353),"")</f>
        <v/>
      </c>
      <c r="K353" s="43"/>
      <c r="L353" s="41" t="str" cm="1">
        <f t="array" ref="L353">IFERROR(INDEX(DB!R$2:R$2576,T353),"")</f>
        <v/>
      </c>
      <c r="M353" s="43"/>
      <c r="P353" t="str" cm="1">
        <f t="array" ref="P353">IFERROR(_xlfn.AGGREGATE(15,6,ROW(DB!A$2:A$2576)/((($D$3&lt;&gt;"YES")+($D$3="YES")*(DB!E$2:E$2576="YES"))*(($D$4="")+($D$4&lt;&gt;"")*( DB!B$2:B$2576=$D$4))*(($D$5="")+($D$5&lt;&gt;"")*( DB!C$2:C$2576=$D$5))*(($D$6="")+($D$6&lt;&gt;"")*( DB!D$2:D$2576=$D$6))*(($D$7="")+($D$7&lt;&gt;"")*(ISNUMBER(SEARCH($D$7,DB!G$2:G$2576))))*(($F$7="전체")+($F$7&lt;&gt;"전체")*(DB!H$2:H$2576=$F$7))),ROW()-13)-1,"")</f>
        <v/>
      </c>
      <c r="Q353" t="str" cm="1">
        <f t="array" ref="Q353">IFERROR(INDEX(DB!G$2:G$2576,P353),"")</f>
        <v/>
      </c>
      <c r="R353" t="str" cm="1">
        <f t="array" ref="R353">IFERROR(INDEX(DB!O$2:O$2576,P353),"")</f>
        <v/>
      </c>
      <c r="S353" t="str">
        <f t="shared" si="18"/>
        <v/>
      </c>
      <c r="T353" t="str">
        <f t="shared" si="19"/>
        <v/>
      </c>
    </row>
    <row r="354" spans="1:20" ht="100" customHeight="1">
      <c r="A354" s="26"/>
      <c r="B354" s="39" t="str">
        <f t="shared" si="17"/>
        <v/>
      </c>
      <c r="C354" s="43"/>
      <c r="D354" s="51" t="str" cm="1">
        <f t="array" ref="D354">IFERROR(INDEX(DB!G$2:G$2576,T354),"")</f>
        <v/>
      </c>
      <c r="E354" s="43"/>
      <c r="F354" s="52" t="str" cm="1">
        <f t="array" ref="F354">IFERROR(INDEX(DB!O$2:O$2576,T354),"")</f>
        <v/>
      </c>
      <c r="G354" s="43"/>
      <c r="H354" s="40" t="str" cm="1">
        <f t="array" ref="H354">IFERROR(INDEX(DB!P$2:P$2576,T354),"")</f>
        <v/>
      </c>
      <c r="I354" s="43"/>
      <c r="J354" s="53" t="str" cm="1">
        <f t="array" ref="J354">IFERROR(INDEX(DB!Q$2:Q$2576,T354),"")</f>
        <v/>
      </c>
      <c r="K354" s="43"/>
      <c r="L354" s="41" t="str" cm="1">
        <f t="array" ref="L354">IFERROR(INDEX(DB!R$2:R$2576,T354),"")</f>
        <v/>
      </c>
      <c r="M354" s="43"/>
      <c r="P354" t="str" cm="1">
        <f t="array" ref="P354">IFERROR(_xlfn.AGGREGATE(15,6,ROW(DB!A$2:A$2576)/((($D$3&lt;&gt;"YES")+($D$3="YES")*(DB!E$2:E$2576="YES"))*(($D$4="")+($D$4&lt;&gt;"")*( DB!B$2:B$2576=$D$4))*(($D$5="")+($D$5&lt;&gt;"")*( DB!C$2:C$2576=$D$5))*(($D$6="")+($D$6&lt;&gt;"")*( DB!D$2:D$2576=$D$6))*(($D$7="")+($D$7&lt;&gt;"")*(ISNUMBER(SEARCH($D$7,DB!G$2:G$2576))))*(($F$7="전체")+($F$7&lt;&gt;"전체")*(DB!H$2:H$2576=$F$7))),ROW()-13)-1,"")</f>
        <v/>
      </c>
      <c r="Q354" t="str" cm="1">
        <f t="array" ref="Q354">IFERROR(INDEX(DB!G$2:G$2576,P354),"")</f>
        <v/>
      </c>
      <c r="R354" t="str" cm="1">
        <f t="array" ref="R354">IFERROR(INDEX(DB!O$2:O$2576,P354),"")</f>
        <v/>
      </c>
      <c r="S354" t="str">
        <f t="shared" si="18"/>
        <v/>
      </c>
      <c r="T354" t="str">
        <f t="shared" si="19"/>
        <v/>
      </c>
    </row>
    <row r="355" spans="1:20" ht="100" customHeight="1">
      <c r="A355" s="26"/>
      <c r="B355" s="42" t="str">
        <f t="shared" si="17"/>
        <v/>
      </c>
      <c r="C355" s="43"/>
      <c r="D355" s="51" t="str" cm="1">
        <f t="array" ref="D355">IFERROR(INDEX(DB!G$2:G$2576,T355),"")</f>
        <v/>
      </c>
      <c r="E355" s="43"/>
      <c r="F355" s="52" t="str" cm="1">
        <f t="array" ref="F355">IFERROR(INDEX(DB!O$2:O$2576,T355),"")</f>
        <v/>
      </c>
      <c r="G355" s="43"/>
      <c r="H355" s="40" t="str" cm="1">
        <f t="array" ref="H355">IFERROR(INDEX(DB!P$2:P$2576,T355),"")</f>
        <v/>
      </c>
      <c r="I355" s="43"/>
      <c r="J355" s="53" t="str" cm="1">
        <f t="array" ref="J355">IFERROR(INDEX(DB!Q$2:Q$2576,T355),"")</f>
        <v/>
      </c>
      <c r="K355" s="43"/>
      <c r="L355" s="41" t="str" cm="1">
        <f t="array" ref="L355">IFERROR(INDEX(DB!R$2:R$2576,T355),"")</f>
        <v/>
      </c>
      <c r="M355" s="43"/>
      <c r="P355" t="str" cm="1">
        <f t="array" ref="P355">IFERROR(_xlfn.AGGREGATE(15,6,ROW(DB!A$2:A$2576)/((($D$3&lt;&gt;"YES")+($D$3="YES")*(DB!E$2:E$2576="YES"))*(($D$4="")+($D$4&lt;&gt;"")*( DB!B$2:B$2576=$D$4))*(($D$5="")+($D$5&lt;&gt;"")*( DB!C$2:C$2576=$D$5))*(($D$6="")+($D$6&lt;&gt;"")*( DB!D$2:D$2576=$D$6))*(($D$7="")+($D$7&lt;&gt;"")*(ISNUMBER(SEARCH($D$7,DB!G$2:G$2576))))*(($F$7="전체")+($F$7&lt;&gt;"전체")*(DB!H$2:H$2576=$F$7))),ROW()-13)-1,"")</f>
        <v/>
      </c>
      <c r="Q355" t="str" cm="1">
        <f t="array" ref="Q355">IFERROR(INDEX(DB!G$2:G$2576,P355),"")</f>
        <v/>
      </c>
      <c r="R355" t="str" cm="1">
        <f t="array" ref="R355">IFERROR(INDEX(DB!O$2:O$2576,P355),"")</f>
        <v/>
      </c>
      <c r="S355" t="str">
        <f t="shared" si="18"/>
        <v/>
      </c>
      <c r="T355" t="str">
        <f t="shared" si="19"/>
        <v/>
      </c>
    </row>
    <row r="356" spans="1:20" ht="100" customHeight="1">
      <c r="A356" s="26"/>
      <c r="B356" s="39" t="str">
        <f t="shared" si="17"/>
        <v/>
      </c>
      <c r="C356" s="43"/>
      <c r="D356" s="51" t="str" cm="1">
        <f t="array" ref="D356">IFERROR(INDEX(DB!G$2:G$2576,T356),"")</f>
        <v/>
      </c>
      <c r="E356" s="43"/>
      <c r="F356" s="52" t="str" cm="1">
        <f t="array" ref="F356">IFERROR(INDEX(DB!O$2:O$2576,T356),"")</f>
        <v/>
      </c>
      <c r="G356" s="43"/>
      <c r="H356" s="40" t="str" cm="1">
        <f t="array" ref="H356">IFERROR(INDEX(DB!P$2:P$2576,T356),"")</f>
        <v/>
      </c>
      <c r="I356" s="43"/>
      <c r="J356" s="53" t="str" cm="1">
        <f t="array" ref="J356">IFERROR(INDEX(DB!Q$2:Q$2576,T356),"")</f>
        <v/>
      </c>
      <c r="K356" s="43"/>
      <c r="L356" s="41" t="str" cm="1">
        <f t="array" ref="L356">IFERROR(INDEX(DB!R$2:R$2576,T356),"")</f>
        <v/>
      </c>
      <c r="M356" s="43"/>
      <c r="P356" t="str" cm="1">
        <f t="array" ref="P356">IFERROR(_xlfn.AGGREGATE(15,6,ROW(DB!A$2:A$2576)/((($D$3&lt;&gt;"YES")+($D$3="YES")*(DB!E$2:E$2576="YES"))*(($D$4="")+($D$4&lt;&gt;"")*( DB!B$2:B$2576=$D$4))*(($D$5="")+($D$5&lt;&gt;"")*( DB!C$2:C$2576=$D$5))*(($D$6="")+($D$6&lt;&gt;"")*( DB!D$2:D$2576=$D$6))*(($D$7="")+($D$7&lt;&gt;"")*(ISNUMBER(SEARCH($D$7,DB!G$2:G$2576))))*(($F$7="전체")+($F$7&lt;&gt;"전체")*(DB!H$2:H$2576=$F$7))),ROW()-13)-1,"")</f>
        <v/>
      </c>
      <c r="Q356" t="str" cm="1">
        <f t="array" ref="Q356">IFERROR(INDEX(DB!G$2:G$2576,P356),"")</f>
        <v/>
      </c>
      <c r="R356" t="str" cm="1">
        <f t="array" ref="R356">IFERROR(INDEX(DB!O$2:O$2576,P356),"")</f>
        <v/>
      </c>
      <c r="S356" t="str">
        <f t="shared" si="18"/>
        <v/>
      </c>
      <c r="T356" t="str">
        <f t="shared" si="19"/>
        <v/>
      </c>
    </row>
    <row r="357" spans="1:20" ht="100" customHeight="1">
      <c r="A357" s="26"/>
      <c r="B357" s="42" t="str">
        <f t="shared" si="17"/>
        <v/>
      </c>
      <c r="C357" s="43"/>
      <c r="D357" s="51" t="str" cm="1">
        <f t="array" ref="D357">IFERROR(INDEX(DB!G$2:G$2576,T357),"")</f>
        <v/>
      </c>
      <c r="E357" s="43"/>
      <c r="F357" s="52" t="str" cm="1">
        <f t="array" ref="F357">IFERROR(INDEX(DB!O$2:O$2576,T357),"")</f>
        <v/>
      </c>
      <c r="G357" s="43"/>
      <c r="H357" s="40" t="str" cm="1">
        <f t="array" ref="H357">IFERROR(INDEX(DB!P$2:P$2576,T357),"")</f>
        <v/>
      </c>
      <c r="I357" s="43"/>
      <c r="J357" s="53" t="str" cm="1">
        <f t="array" ref="J357">IFERROR(INDEX(DB!Q$2:Q$2576,T357),"")</f>
        <v/>
      </c>
      <c r="K357" s="43"/>
      <c r="L357" s="41" t="str" cm="1">
        <f t="array" ref="L357">IFERROR(INDEX(DB!R$2:R$2576,T357),"")</f>
        <v/>
      </c>
      <c r="M357" s="43"/>
      <c r="P357" t="str" cm="1">
        <f t="array" ref="P357">IFERROR(_xlfn.AGGREGATE(15,6,ROW(DB!A$2:A$2576)/((($D$3&lt;&gt;"YES")+($D$3="YES")*(DB!E$2:E$2576="YES"))*(($D$4="")+($D$4&lt;&gt;"")*( DB!B$2:B$2576=$D$4))*(($D$5="")+($D$5&lt;&gt;"")*( DB!C$2:C$2576=$D$5))*(($D$6="")+($D$6&lt;&gt;"")*( DB!D$2:D$2576=$D$6))*(($D$7="")+($D$7&lt;&gt;"")*(ISNUMBER(SEARCH($D$7,DB!G$2:G$2576))))*(($F$7="전체")+($F$7&lt;&gt;"전체")*(DB!H$2:H$2576=$F$7))),ROW()-13)-1,"")</f>
        <v/>
      </c>
      <c r="Q357" t="str" cm="1">
        <f t="array" ref="Q357">IFERROR(INDEX(DB!G$2:G$2576,P357),"")</f>
        <v/>
      </c>
      <c r="R357" t="str" cm="1">
        <f t="array" ref="R357">IFERROR(INDEX(DB!O$2:O$2576,P357),"")</f>
        <v/>
      </c>
      <c r="S357" t="str">
        <f t="shared" si="18"/>
        <v/>
      </c>
      <c r="T357" t="str">
        <f t="shared" si="19"/>
        <v/>
      </c>
    </row>
    <row r="358" spans="1:20" ht="100" customHeight="1">
      <c r="A358" s="26"/>
      <c r="B358" s="39" t="str">
        <f t="shared" si="17"/>
        <v/>
      </c>
      <c r="C358" s="43"/>
      <c r="D358" s="51" t="str" cm="1">
        <f t="array" ref="D358">IFERROR(INDEX(DB!G$2:G$2576,T358),"")</f>
        <v/>
      </c>
      <c r="E358" s="43"/>
      <c r="F358" s="52" t="str" cm="1">
        <f t="array" ref="F358">IFERROR(INDEX(DB!O$2:O$2576,T358),"")</f>
        <v/>
      </c>
      <c r="G358" s="43"/>
      <c r="H358" s="40" t="str" cm="1">
        <f t="array" ref="H358">IFERROR(INDEX(DB!P$2:P$2576,T358),"")</f>
        <v/>
      </c>
      <c r="I358" s="43"/>
      <c r="J358" s="53" t="str" cm="1">
        <f t="array" ref="J358">IFERROR(INDEX(DB!Q$2:Q$2576,T358),"")</f>
        <v/>
      </c>
      <c r="K358" s="43"/>
      <c r="L358" s="41" t="str" cm="1">
        <f t="array" ref="L358">IFERROR(INDEX(DB!R$2:R$2576,T358),"")</f>
        <v/>
      </c>
      <c r="M358" s="43"/>
      <c r="P358" t="str" cm="1">
        <f t="array" ref="P358">IFERROR(_xlfn.AGGREGATE(15,6,ROW(DB!A$2:A$2576)/((($D$3&lt;&gt;"YES")+($D$3="YES")*(DB!E$2:E$2576="YES"))*(($D$4="")+($D$4&lt;&gt;"")*( DB!B$2:B$2576=$D$4))*(($D$5="")+($D$5&lt;&gt;"")*( DB!C$2:C$2576=$D$5))*(($D$6="")+($D$6&lt;&gt;"")*( DB!D$2:D$2576=$D$6))*(($D$7="")+($D$7&lt;&gt;"")*(ISNUMBER(SEARCH($D$7,DB!G$2:G$2576))))*(($F$7="전체")+($F$7&lt;&gt;"전체")*(DB!H$2:H$2576=$F$7))),ROW()-13)-1,"")</f>
        <v/>
      </c>
      <c r="Q358" t="str" cm="1">
        <f t="array" ref="Q358">IFERROR(INDEX(DB!G$2:G$2576,P358),"")</f>
        <v/>
      </c>
      <c r="R358" t="str" cm="1">
        <f t="array" ref="R358">IFERROR(INDEX(DB!O$2:O$2576,P358),"")</f>
        <v/>
      </c>
      <c r="S358" t="str">
        <f t="shared" si="18"/>
        <v/>
      </c>
      <c r="T358" t="str">
        <f t="shared" si="19"/>
        <v/>
      </c>
    </row>
    <row r="359" spans="1:20" ht="100" customHeight="1">
      <c r="A359" s="26"/>
      <c r="B359" s="42" t="str">
        <f t="shared" si="17"/>
        <v/>
      </c>
      <c r="C359" s="43"/>
      <c r="D359" s="51" t="str" cm="1">
        <f t="array" ref="D359">IFERROR(INDEX(DB!G$2:G$2576,T359),"")</f>
        <v/>
      </c>
      <c r="E359" s="43"/>
      <c r="F359" s="52" t="str" cm="1">
        <f t="array" ref="F359">IFERROR(INDEX(DB!O$2:O$2576,T359),"")</f>
        <v/>
      </c>
      <c r="G359" s="43"/>
      <c r="H359" s="40" t="str" cm="1">
        <f t="array" ref="H359">IFERROR(INDEX(DB!P$2:P$2576,T359),"")</f>
        <v/>
      </c>
      <c r="I359" s="43"/>
      <c r="J359" s="53" t="str" cm="1">
        <f t="array" ref="J359">IFERROR(INDEX(DB!Q$2:Q$2576,T359),"")</f>
        <v/>
      </c>
      <c r="K359" s="43"/>
      <c r="L359" s="41" t="str" cm="1">
        <f t="array" ref="L359">IFERROR(INDEX(DB!R$2:R$2576,T359),"")</f>
        <v/>
      </c>
      <c r="M359" s="43"/>
      <c r="P359" t="str" cm="1">
        <f t="array" ref="P359">IFERROR(_xlfn.AGGREGATE(15,6,ROW(DB!A$2:A$2576)/((($D$3&lt;&gt;"YES")+($D$3="YES")*(DB!E$2:E$2576="YES"))*(($D$4="")+($D$4&lt;&gt;"")*( DB!B$2:B$2576=$D$4))*(($D$5="")+($D$5&lt;&gt;"")*( DB!C$2:C$2576=$D$5))*(($D$6="")+($D$6&lt;&gt;"")*( DB!D$2:D$2576=$D$6))*(($D$7="")+($D$7&lt;&gt;"")*(ISNUMBER(SEARCH($D$7,DB!G$2:G$2576))))*(($F$7="전체")+($F$7&lt;&gt;"전체")*(DB!H$2:H$2576=$F$7))),ROW()-13)-1,"")</f>
        <v/>
      </c>
      <c r="Q359" t="str" cm="1">
        <f t="array" ref="Q359">IFERROR(INDEX(DB!G$2:G$2576,P359),"")</f>
        <v/>
      </c>
      <c r="R359" t="str" cm="1">
        <f t="array" ref="R359">IFERROR(INDEX(DB!O$2:O$2576,P359),"")</f>
        <v/>
      </c>
      <c r="S359" t="str">
        <f t="shared" si="18"/>
        <v/>
      </c>
      <c r="T359" t="str">
        <f t="shared" si="19"/>
        <v/>
      </c>
    </row>
    <row r="360" spans="1:20" ht="100" customHeight="1">
      <c r="A360" s="26"/>
      <c r="B360" s="39" t="str">
        <f t="shared" si="17"/>
        <v/>
      </c>
      <c r="C360" s="43"/>
      <c r="D360" s="51" t="str" cm="1">
        <f t="array" ref="D360">IFERROR(INDEX(DB!G$2:G$2576,T360),"")</f>
        <v/>
      </c>
      <c r="E360" s="43"/>
      <c r="F360" s="52" t="str" cm="1">
        <f t="array" ref="F360">IFERROR(INDEX(DB!O$2:O$2576,T360),"")</f>
        <v/>
      </c>
      <c r="G360" s="43"/>
      <c r="H360" s="40" t="str" cm="1">
        <f t="array" ref="H360">IFERROR(INDEX(DB!P$2:P$2576,T360),"")</f>
        <v/>
      </c>
      <c r="I360" s="43"/>
      <c r="J360" s="53" t="str" cm="1">
        <f t="array" ref="J360">IFERROR(INDEX(DB!Q$2:Q$2576,T360),"")</f>
        <v/>
      </c>
      <c r="K360" s="43"/>
      <c r="L360" s="41" t="str" cm="1">
        <f t="array" ref="L360">IFERROR(INDEX(DB!R$2:R$2576,T360),"")</f>
        <v/>
      </c>
      <c r="M360" s="43"/>
      <c r="P360" t="str" cm="1">
        <f t="array" ref="P360">IFERROR(_xlfn.AGGREGATE(15,6,ROW(DB!A$2:A$2576)/((($D$3&lt;&gt;"YES")+($D$3="YES")*(DB!E$2:E$2576="YES"))*(($D$4="")+($D$4&lt;&gt;"")*( DB!B$2:B$2576=$D$4))*(($D$5="")+($D$5&lt;&gt;"")*( DB!C$2:C$2576=$D$5))*(($D$6="")+($D$6&lt;&gt;"")*( DB!D$2:D$2576=$D$6))*(($D$7="")+($D$7&lt;&gt;"")*(ISNUMBER(SEARCH($D$7,DB!G$2:G$2576))))*(($F$7="전체")+($F$7&lt;&gt;"전체")*(DB!H$2:H$2576=$F$7))),ROW()-13)-1,"")</f>
        <v/>
      </c>
      <c r="Q360" t="str" cm="1">
        <f t="array" ref="Q360">IFERROR(INDEX(DB!G$2:G$2576,P360),"")</f>
        <v/>
      </c>
      <c r="R360" t="str" cm="1">
        <f t="array" ref="R360">IFERROR(INDEX(DB!O$2:O$2576,P360),"")</f>
        <v/>
      </c>
      <c r="S360" t="str">
        <f t="shared" si="18"/>
        <v/>
      </c>
      <c r="T360" t="str">
        <f t="shared" si="19"/>
        <v/>
      </c>
    </row>
    <row r="361" spans="1:20" ht="100" customHeight="1">
      <c r="A361" s="26"/>
      <c r="B361" s="42" t="str">
        <f t="shared" si="17"/>
        <v/>
      </c>
      <c r="C361" s="43"/>
      <c r="D361" s="51" t="str" cm="1">
        <f t="array" ref="D361">IFERROR(INDEX(DB!G$2:G$2576,T361),"")</f>
        <v/>
      </c>
      <c r="E361" s="43"/>
      <c r="F361" s="52" t="str" cm="1">
        <f t="array" ref="F361">IFERROR(INDEX(DB!O$2:O$2576,T361),"")</f>
        <v/>
      </c>
      <c r="G361" s="43"/>
      <c r="H361" s="40" t="str" cm="1">
        <f t="array" ref="H361">IFERROR(INDEX(DB!P$2:P$2576,T361),"")</f>
        <v/>
      </c>
      <c r="I361" s="43"/>
      <c r="J361" s="53" t="str" cm="1">
        <f t="array" ref="J361">IFERROR(INDEX(DB!Q$2:Q$2576,T361),"")</f>
        <v/>
      </c>
      <c r="K361" s="43"/>
      <c r="L361" s="41" t="str" cm="1">
        <f t="array" ref="L361">IFERROR(INDEX(DB!R$2:R$2576,T361),"")</f>
        <v/>
      </c>
      <c r="M361" s="43"/>
      <c r="P361" t="str" cm="1">
        <f t="array" ref="P361">IFERROR(_xlfn.AGGREGATE(15,6,ROW(DB!A$2:A$2576)/((($D$3&lt;&gt;"YES")+($D$3="YES")*(DB!E$2:E$2576="YES"))*(($D$4="")+($D$4&lt;&gt;"")*( DB!B$2:B$2576=$D$4))*(($D$5="")+($D$5&lt;&gt;"")*( DB!C$2:C$2576=$D$5))*(($D$6="")+($D$6&lt;&gt;"")*( DB!D$2:D$2576=$D$6))*(($D$7="")+($D$7&lt;&gt;"")*(ISNUMBER(SEARCH($D$7,DB!G$2:G$2576))))*(($F$7="전체")+($F$7&lt;&gt;"전체")*(DB!H$2:H$2576=$F$7))),ROW()-13)-1,"")</f>
        <v/>
      </c>
      <c r="Q361" t="str" cm="1">
        <f t="array" ref="Q361">IFERROR(INDEX(DB!G$2:G$2576,P361),"")</f>
        <v/>
      </c>
      <c r="R361" t="str" cm="1">
        <f t="array" ref="R361">IFERROR(INDEX(DB!O$2:O$2576,P361),"")</f>
        <v/>
      </c>
      <c r="S361" t="str">
        <f t="shared" si="18"/>
        <v/>
      </c>
      <c r="T361" t="str">
        <f t="shared" si="19"/>
        <v/>
      </c>
    </row>
    <row r="362" spans="1:20" ht="100" customHeight="1">
      <c r="A362" s="26"/>
      <c r="B362" s="39" t="str">
        <f t="shared" si="17"/>
        <v/>
      </c>
      <c r="C362" s="43"/>
      <c r="D362" s="51" t="str" cm="1">
        <f t="array" ref="D362">IFERROR(INDEX(DB!G$2:G$2576,T362),"")</f>
        <v/>
      </c>
      <c r="E362" s="43"/>
      <c r="F362" s="52" t="str" cm="1">
        <f t="array" ref="F362">IFERROR(INDEX(DB!O$2:O$2576,T362),"")</f>
        <v/>
      </c>
      <c r="G362" s="43"/>
      <c r="H362" s="40" t="str" cm="1">
        <f t="array" ref="H362">IFERROR(INDEX(DB!P$2:P$2576,T362),"")</f>
        <v/>
      </c>
      <c r="I362" s="43"/>
      <c r="J362" s="53" t="str" cm="1">
        <f t="array" ref="J362">IFERROR(INDEX(DB!Q$2:Q$2576,T362),"")</f>
        <v/>
      </c>
      <c r="K362" s="43"/>
      <c r="L362" s="41" t="str" cm="1">
        <f t="array" ref="L362">IFERROR(INDEX(DB!R$2:R$2576,T362),"")</f>
        <v/>
      </c>
      <c r="M362" s="43"/>
      <c r="P362" t="str" cm="1">
        <f t="array" ref="P362">IFERROR(_xlfn.AGGREGATE(15,6,ROW(DB!A$2:A$2576)/((($D$3&lt;&gt;"YES")+($D$3="YES")*(DB!E$2:E$2576="YES"))*(($D$4="")+($D$4&lt;&gt;"")*( DB!B$2:B$2576=$D$4))*(($D$5="")+($D$5&lt;&gt;"")*( DB!C$2:C$2576=$D$5))*(($D$6="")+($D$6&lt;&gt;"")*( DB!D$2:D$2576=$D$6))*(($D$7="")+($D$7&lt;&gt;"")*(ISNUMBER(SEARCH($D$7,DB!G$2:G$2576))))*(($F$7="전체")+($F$7&lt;&gt;"전체")*(DB!H$2:H$2576=$F$7))),ROW()-13)-1,"")</f>
        <v/>
      </c>
      <c r="Q362" t="str" cm="1">
        <f t="array" ref="Q362">IFERROR(INDEX(DB!G$2:G$2576,P362),"")</f>
        <v/>
      </c>
      <c r="R362" t="str" cm="1">
        <f t="array" ref="R362">IFERROR(INDEX(DB!O$2:O$2576,P362),"")</f>
        <v/>
      </c>
      <c r="S362" t="str">
        <f t="shared" si="18"/>
        <v/>
      </c>
      <c r="T362" t="str">
        <f t="shared" si="19"/>
        <v/>
      </c>
    </row>
    <row r="363" spans="1:20" ht="100" customHeight="1">
      <c r="A363" s="26"/>
      <c r="B363" s="42" t="str">
        <f t="shared" si="17"/>
        <v/>
      </c>
      <c r="C363" s="43"/>
      <c r="D363" s="51" t="str" cm="1">
        <f t="array" ref="D363">IFERROR(INDEX(DB!G$2:G$2576,T363),"")</f>
        <v/>
      </c>
      <c r="E363" s="43"/>
      <c r="F363" s="52" t="str" cm="1">
        <f t="array" ref="F363">IFERROR(INDEX(DB!O$2:O$2576,T363),"")</f>
        <v/>
      </c>
      <c r="G363" s="43"/>
      <c r="H363" s="40" t="str" cm="1">
        <f t="array" ref="H363">IFERROR(INDEX(DB!P$2:P$2576,T363),"")</f>
        <v/>
      </c>
      <c r="I363" s="43"/>
      <c r="J363" s="53" t="str" cm="1">
        <f t="array" ref="J363">IFERROR(INDEX(DB!Q$2:Q$2576,T363),"")</f>
        <v/>
      </c>
      <c r="K363" s="43"/>
      <c r="L363" s="41" t="str" cm="1">
        <f t="array" ref="L363">IFERROR(INDEX(DB!R$2:R$2576,T363),"")</f>
        <v/>
      </c>
      <c r="M363" s="43"/>
      <c r="P363" t="str" cm="1">
        <f t="array" ref="P363">IFERROR(_xlfn.AGGREGATE(15,6,ROW(DB!A$2:A$2576)/((($D$3&lt;&gt;"YES")+($D$3="YES")*(DB!E$2:E$2576="YES"))*(($D$4="")+($D$4&lt;&gt;"")*( DB!B$2:B$2576=$D$4))*(($D$5="")+($D$5&lt;&gt;"")*( DB!C$2:C$2576=$D$5))*(($D$6="")+($D$6&lt;&gt;"")*( DB!D$2:D$2576=$D$6))*(($D$7="")+($D$7&lt;&gt;"")*(ISNUMBER(SEARCH($D$7,DB!G$2:G$2576))))*(($F$7="전체")+($F$7&lt;&gt;"전체")*(DB!H$2:H$2576=$F$7))),ROW()-13)-1,"")</f>
        <v/>
      </c>
      <c r="Q363" t="str" cm="1">
        <f t="array" ref="Q363">IFERROR(INDEX(DB!G$2:G$2576,P363),"")</f>
        <v/>
      </c>
      <c r="R363" t="str" cm="1">
        <f t="array" ref="R363">IFERROR(INDEX(DB!O$2:O$2576,P363),"")</f>
        <v/>
      </c>
      <c r="S363" t="str">
        <f t="shared" si="18"/>
        <v/>
      </c>
      <c r="T363" t="str">
        <f t="shared" si="19"/>
        <v/>
      </c>
    </row>
    <row r="364" spans="1:20" ht="100" customHeight="1">
      <c r="A364" s="26"/>
      <c r="B364" s="39" t="str">
        <f t="shared" si="17"/>
        <v/>
      </c>
      <c r="C364" s="43"/>
      <c r="D364" s="51" t="str" cm="1">
        <f t="array" ref="D364">IFERROR(INDEX(DB!G$2:G$2576,T364),"")</f>
        <v/>
      </c>
      <c r="E364" s="43"/>
      <c r="F364" s="52" t="str" cm="1">
        <f t="array" ref="F364">IFERROR(INDEX(DB!O$2:O$2576,T364),"")</f>
        <v/>
      </c>
      <c r="G364" s="43"/>
      <c r="H364" s="40" t="str" cm="1">
        <f t="array" ref="H364">IFERROR(INDEX(DB!P$2:P$2576,T364),"")</f>
        <v/>
      </c>
      <c r="I364" s="43"/>
      <c r="J364" s="53" t="str" cm="1">
        <f t="array" ref="J364">IFERROR(INDEX(DB!Q$2:Q$2576,T364),"")</f>
        <v/>
      </c>
      <c r="K364" s="43"/>
      <c r="L364" s="41" t="str" cm="1">
        <f t="array" ref="L364">IFERROR(INDEX(DB!R$2:R$2576,T364),"")</f>
        <v/>
      </c>
      <c r="M364" s="43"/>
      <c r="P364" t="str" cm="1">
        <f t="array" ref="P364">IFERROR(_xlfn.AGGREGATE(15,6,ROW(DB!A$2:A$2576)/((($D$3&lt;&gt;"YES")+($D$3="YES")*(DB!E$2:E$2576="YES"))*(($D$4="")+($D$4&lt;&gt;"")*( DB!B$2:B$2576=$D$4))*(($D$5="")+($D$5&lt;&gt;"")*( DB!C$2:C$2576=$D$5))*(($D$6="")+($D$6&lt;&gt;"")*( DB!D$2:D$2576=$D$6))*(($D$7="")+($D$7&lt;&gt;"")*(ISNUMBER(SEARCH($D$7,DB!G$2:G$2576))))*(($F$7="전체")+($F$7&lt;&gt;"전체")*(DB!H$2:H$2576=$F$7))),ROW()-13)-1,"")</f>
        <v/>
      </c>
      <c r="Q364" t="str" cm="1">
        <f t="array" ref="Q364">IFERROR(INDEX(DB!G$2:G$2576,P364),"")</f>
        <v/>
      </c>
      <c r="R364" t="str" cm="1">
        <f t="array" ref="R364">IFERROR(INDEX(DB!O$2:O$2576,P364),"")</f>
        <v/>
      </c>
      <c r="S364" t="str">
        <f t="shared" si="18"/>
        <v/>
      </c>
      <c r="T364" t="str">
        <f t="shared" si="19"/>
        <v/>
      </c>
    </row>
    <row r="365" spans="1:20" ht="100" customHeight="1">
      <c r="A365" s="26"/>
      <c r="B365" s="42" t="str">
        <f t="shared" si="17"/>
        <v/>
      </c>
      <c r="C365" s="43"/>
      <c r="D365" s="51" t="str" cm="1">
        <f t="array" ref="D365">IFERROR(INDEX(DB!G$2:G$2576,T365),"")</f>
        <v/>
      </c>
      <c r="E365" s="43"/>
      <c r="F365" s="52" t="str" cm="1">
        <f t="array" ref="F365">IFERROR(INDEX(DB!O$2:O$2576,T365),"")</f>
        <v/>
      </c>
      <c r="G365" s="43"/>
      <c r="H365" s="40" t="str" cm="1">
        <f t="array" ref="H365">IFERROR(INDEX(DB!P$2:P$2576,T365),"")</f>
        <v/>
      </c>
      <c r="I365" s="43"/>
      <c r="J365" s="53" t="str" cm="1">
        <f t="array" ref="J365">IFERROR(INDEX(DB!Q$2:Q$2576,T365),"")</f>
        <v/>
      </c>
      <c r="K365" s="43"/>
      <c r="L365" s="41" t="str" cm="1">
        <f t="array" ref="L365">IFERROR(INDEX(DB!R$2:R$2576,T365),"")</f>
        <v/>
      </c>
      <c r="M365" s="43"/>
      <c r="P365" t="str" cm="1">
        <f t="array" ref="P365">IFERROR(_xlfn.AGGREGATE(15,6,ROW(DB!A$2:A$2576)/((($D$3&lt;&gt;"YES")+($D$3="YES")*(DB!E$2:E$2576="YES"))*(($D$4="")+($D$4&lt;&gt;"")*( DB!B$2:B$2576=$D$4))*(($D$5="")+($D$5&lt;&gt;"")*( DB!C$2:C$2576=$D$5))*(($D$6="")+($D$6&lt;&gt;"")*( DB!D$2:D$2576=$D$6))*(($D$7="")+($D$7&lt;&gt;"")*(ISNUMBER(SEARCH($D$7,DB!G$2:G$2576))))*(($F$7="전체")+($F$7&lt;&gt;"전체")*(DB!H$2:H$2576=$F$7))),ROW()-13)-1,"")</f>
        <v/>
      </c>
      <c r="Q365" t="str" cm="1">
        <f t="array" ref="Q365">IFERROR(INDEX(DB!G$2:G$2576,P365),"")</f>
        <v/>
      </c>
      <c r="R365" t="str" cm="1">
        <f t="array" ref="R365">IFERROR(INDEX(DB!O$2:O$2576,P365),"")</f>
        <v/>
      </c>
      <c r="S365" t="str">
        <f t="shared" si="18"/>
        <v/>
      </c>
      <c r="T365" t="str">
        <f t="shared" si="19"/>
        <v/>
      </c>
    </row>
    <row r="366" spans="1:20" ht="100" customHeight="1">
      <c r="A366" s="26"/>
      <c r="B366" s="39" t="str">
        <f t="shared" si="17"/>
        <v/>
      </c>
      <c r="C366" s="43"/>
      <c r="D366" s="51" t="str" cm="1">
        <f t="array" ref="D366">IFERROR(INDEX(DB!G$2:G$2576,T366),"")</f>
        <v/>
      </c>
      <c r="E366" s="43"/>
      <c r="F366" s="52" t="str" cm="1">
        <f t="array" ref="F366">IFERROR(INDEX(DB!O$2:O$2576,T366),"")</f>
        <v/>
      </c>
      <c r="G366" s="43"/>
      <c r="H366" s="40" t="str" cm="1">
        <f t="array" ref="H366">IFERROR(INDEX(DB!P$2:P$2576,T366),"")</f>
        <v/>
      </c>
      <c r="I366" s="43"/>
      <c r="J366" s="53" t="str" cm="1">
        <f t="array" ref="J366">IFERROR(INDEX(DB!Q$2:Q$2576,T366),"")</f>
        <v/>
      </c>
      <c r="K366" s="43"/>
      <c r="L366" s="41" t="str" cm="1">
        <f t="array" ref="L366">IFERROR(INDEX(DB!R$2:R$2576,T366),"")</f>
        <v/>
      </c>
      <c r="M366" s="43"/>
      <c r="P366" t="str" cm="1">
        <f t="array" ref="P366">IFERROR(_xlfn.AGGREGATE(15,6,ROW(DB!A$2:A$2576)/((($D$3&lt;&gt;"YES")+($D$3="YES")*(DB!E$2:E$2576="YES"))*(($D$4="")+($D$4&lt;&gt;"")*( DB!B$2:B$2576=$D$4))*(($D$5="")+($D$5&lt;&gt;"")*( DB!C$2:C$2576=$D$5))*(($D$6="")+($D$6&lt;&gt;"")*( DB!D$2:D$2576=$D$6))*(($D$7="")+($D$7&lt;&gt;"")*(ISNUMBER(SEARCH($D$7,DB!G$2:G$2576))))*(($F$7="전체")+($F$7&lt;&gt;"전체")*(DB!H$2:H$2576=$F$7))),ROW()-13)-1,"")</f>
        <v/>
      </c>
      <c r="Q366" t="str" cm="1">
        <f t="array" ref="Q366">IFERROR(INDEX(DB!G$2:G$2576,P366),"")</f>
        <v/>
      </c>
      <c r="R366" t="str" cm="1">
        <f t="array" ref="R366">IFERROR(INDEX(DB!O$2:O$2576,P366),"")</f>
        <v/>
      </c>
      <c r="S366" t="str">
        <f t="shared" si="18"/>
        <v/>
      </c>
      <c r="T366" t="str">
        <f t="shared" si="19"/>
        <v/>
      </c>
    </row>
    <row r="367" spans="1:20" ht="100" customHeight="1">
      <c r="A367" s="26"/>
      <c r="B367" s="42" t="str">
        <f t="shared" si="17"/>
        <v/>
      </c>
      <c r="C367" s="43"/>
      <c r="D367" s="51" t="str" cm="1">
        <f t="array" ref="D367">IFERROR(INDEX(DB!G$2:G$2576,T367),"")</f>
        <v/>
      </c>
      <c r="E367" s="43"/>
      <c r="F367" s="52" t="str" cm="1">
        <f t="array" ref="F367">IFERROR(INDEX(DB!O$2:O$2576,T367),"")</f>
        <v/>
      </c>
      <c r="G367" s="43"/>
      <c r="H367" s="40" t="str" cm="1">
        <f t="array" ref="H367">IFERROR(INDEX(DB!P$2:P$2576,T367),"")</f>
        <v/>
      </c>
      <c r="I367" s="43"/>
      <c r="J367" s="53" t="str" cm="1">
        <f t="array" ref="J367">IFERROR(INDEX(DB!Q$2:Q$2576,T367),"")</f>
        <v/>
      </c>
      <c r="K367" s="43"/>
      <c r="L367" s="41" t="str" cm="1">
        <f t="array" ref="L367">IFERROR(INDEX(DB!R$2:R$2576,T367),"")</f>
        <v/>
      </c>
      <c r="M367" s="43"/>
      <c r="P367" t="str" cm="1">
        <f t="array" ref="P367">IFERROR(_xlfn.AGGREGATE(15,6,ROW(DB!A$2:A$2576)/((($D$3&lt;&gt;"YES")+($D$3="YES")*(DB!E$2:E$2576="YES"))*(($D$4="")+($D$4&lt;&gt;"")*( DB!B$2:B$2576=$D$4))*(($D$5="")+($D$5&lt;&gt;"")*( DB!C$2:C$2576=$D$5))*(($D$6="")+($D$6&lt;&gt;"")*( DB!D$2:D$2576=$D$6))*(($D$7="")+($D$7&lt;&gt;"")*(ISNUMBER(SEARCH($D$7,DB!G$2:G$2576))))*(($F$7="전체")+($F$7&lt;&gt;"전체")*(DB!H$2:H$2576=$F$7))),ROW()-13)-1,"")</f>
        <v/>
      </c>
      <c r="Q367" t="str" cm="1">
        <f t="array" ref="Q367">IFERROR(INDEX(DB!G$2:G$2576,P367),"")</f>
        <v/>
      </c>
      <c r="R367" t="str" cm="1">
        <f t="array" ref="R367">IFERROR(INDEX(DB!O$2:O$2576,P367),"")</f>
        <v/>
      </c>
      <c r="S367" t="str">
        <f t="shared" si="18"/>
        <v/>
      </c>
      <c r="T367" t="str">
        <f t="shared" si="19"/>
        <v/>
      </c>
    </row>
    <row r="368" spans="1:20" ht="100" customHeight="1">
      <c r="A368" s="26"/>
      <c r="B368" s="39" t="str">
        <f t="shared" si="17"/>
        <v/>
      </c>
      <c r="C368" s="43"/>
      <c r="D368" s="51" t="str" cm="1">
        <f t="array" ref="D368">IFERROR(INDEX(DB!G$2:G$2576,T368),"")</f>
        <v/>
      </c>
      <c r="E368" s="43"/>
      <c r="F368" s="52" t="str" cm="1">
        <f t="array" ref="F368">IFERROR(INDEX(DB!O$2:O$2576,T368),"")</f>
        <v/>
      </c>
      <c r="G368" s="43"/>
      <c r="H368" s="40" t="str" cm="1">
        <f t="array" ref="H368">IFERROR(INDEX(DB!P$2:P$2576,T368),"")</f>
        <v/>
      </c>
      <c r="I368" s="43"/>
      <c r="J368" s="53" t="str" cm="1">
        <f t="array" ref="J368">IFERROR(INDEX(DB!Q$2:Q$2576,T368),"")</f>
        <v/>
      </c>
      <c r="K368" s="43"/>
      <c r="L368" s="41" t="str" cm="1">
        <f t="array" ref="L368">IFERROR(INDEX(DB!R$2:R$2576,T368),"")</f>
        <v/>
      </c>
      <c r="M368" s="43"/>
      <c r="P368" t="str" cm="1">
        <f t="array" ref="P368">IFERROR(_xlfn.AGGREGATE(15,6,ROW(DB!A$2:A$2576)/((($D$3&lt;&gt;"YES")+($D$3="YES")*(DB!E$2:E$2576="YES"))*(($D$4="")+($D$4&lt;&gt;"")*( DB!B$2:B$2576=$D$4))*(($D$5="")+($D$5&lt;&gt;"")*( DB!C$2:C$2576=$D$5))*(($D$6="")+($D$6&lt;&gt;"")*( DB!D$2:D$2576=$D$6))*(($D$7="")+($D$7&lt;&gt;"")*(ISNUMBER(SEARCH($D$7,DB!G$2:G$2576))))*(($F$7="전체")+($F$7&lt;&gt;"전체")*(DB!H$2:H$2576=$F$7))),ROW()-13)-1,"")</f>
        <v/>
      </c>
      <c r="Q368" t="str" cm="1">
        <f t="array" ref="Q368">IFERROR(INDEX(DB!G$2:G$2576,P368),"")</f>
        <v/>
      </c>
      <c r="R368" t="str" cm="1">
        <f t="array" ref="R368">IFERROR(INDEX(DB!O$2:O$2576,P368),"")</f>
        <v/>
      </c>
      <c r="S368" t="str">
        <f t="shared" si="18"/>
        <v/>
      </c>
      <c r="T368" t="str">
        <f t="shared" si="19"/>
        <v/>
      </c>
    </row>
    <row r="369" spans="1:20" ht="100" customHeight="1">
      <c r="A369" s="26"/>
      <c r="B369" s="42" t="str">
        <f t="shared" si="17"/>
        <v/>
      </c>
      <c r="C369" s="43"/>
      <c r="D369" s="51" t="str" cm="1">
        <f t="array" ref="D369">IFERROR(INDEX(DB!G$2:G$2576,T369),"")</f>
        <v/>
      </c>
      <c r="E369" s="43"/>
      <c r="F369" s="52" t="str" cm="1">
        <f t="array" ref="F369">IFERROR(INDEX(DB!O$2:O$2576,T369),"")</f>
        <v/>
      </c>
      <c r="G369" s="43"/>
      <c r="H369" s="40" t="str" cm="1">
        <f t="array" ref="H369">IFERROR(INDEX(DB!P$2:P$2576,T369),"")</f>
        <v/>
      </c>
      <c r="I369" s="43"/>
      <c r="J369" s="53" t="str" cm="1">
        <f t="array" ref="J369">IFERROR(INDEX(DB!Q$2:Q$2576,T369),"")</f>
        <v/>
      </c>
      <c r="K369" s="43"/>
      <c r="L369" s="41" t="str" cm="1">
        <f t="array" ref="L369">IFERROR(INDEX(DB!R$2:R$2576,T369),"")</f>
        <v/>
      </c>
      <c r="M369" s="43"/>
      <c r="P369" t="str" cm="1">
        <f t="array" ref="P369">IFERROR(_xlfn.AGGREGATE(15,6,ROW(DB!A$2:A$2576)/((($D$3&lt;&gt;"YES")+($D$3="YES")*(DB!E$2:E$2576="YES"))*(($D$4="")+($D$4&lt;&gt;"")*( DB!B$2:B$2576=$D$4))*(($D$5="")+($D$5&lt;&gt;"")*( DB!C$2:C$2576=$D$5))*(($D$6="")+($D$6&lt;&gt;"")*( DB!D$2:D$2576=$D$6))*(($D$7="")+($D$7&lt;&gt;"")*(ISNUMBER(SEARCH($D$7,DB!G$2:G$2576))))*(($F$7="전체")+($F$7&lt;&gt;"전체")*(DB!H$2:H$2576=$F$7))),ROW()-13)-1,"")</f>
        <v/>
      </c>
      <c r="Q369" t="str" cm="1">
        <f t="array" ref="Q369">IFERROR(INDEX(DB!G$2:G$2576,P369),"")</f>
        <v/>
      </c>
      <c r="R369" t="str" cm="1">
        <f t="array" ref="R369">IFERROR(INDEX(DB!O$2:O$2576,P369),"")</f>
        <v/>
      </c>
      <c r="S369" t="str">
        <f t="shared" si="18"/>
        <v/>
      </c>
      <c r="T369" t="str">
        <f t="shared" si="19"/>
        <v/>
      </c>
    </row>
    <row r="370" spans="1:20" ht="100" customHeight="1">
      <c r="A370" s="26"/>
      <c r="B370" s="39" t="str">
        <f t="shared" si="17"/>
        <v/>
      </c>
      <c r="C370" s="43"/>
      <c r="D370" s="51" t="str" cm="1">
        <f t="array" ref="D370">IFERROR(INDEX(DB!G$2:G$2576,T370),"")</f>
        <v/>
      </c>
      <c r="E370" s="43"/>
      <c r="F370" s="52" t="str" cm="1">
        <f t="array" ref="F370">IFERROR(INDEX(DB!O$2:O$2576,T370),"")</f>
        <v/>
      </c>
      <c r="G370" s="43"/>
      <c r="H370" s="40" t="str" cm="1">
        <f t="array" ref="H370">IFERROR(INDEX(DB!P$2:P$2576,T370),"")</f>
        <v/>
      </c>
      <c r="I370" s="43"/>
      <c r="J370" s="53" t="str" cm="1">
        <f t="array" ref="J370">IFERROR(INDEX(DB!Q$2:Q$2576,T370),"")</f>
        <v/>
      </c>
      <c r="K370" s="43"/>
      <c r="L370" s="41" t="str" cm="1">
        <f t="array" ref="L370">IFERROR(INDEX(DB!R$2:R$2576,T370),"")</f>
        <v/>
      </c>
      <c r="M370" s="43"/>
      <c r="P370" t="str" cm="1">
        <f t="array" ref="P370">IFERROR(_xlfn.AGGREGATE(15,6,ROW(DB!A$2:A$2576)/((($D$3&lt;&gt;"YES")+($D$3="YES")*(DB!E$2:E$2576="YES"))*(($D$4="")+($D$4&lt;&gt;"")*( DB!B$2:B$2576=$D$4))*(($D$5="")+($D$5&lt;&gt;"")*( DB!C$2:C$2576=$D$5))*(($D$6="")+($D$6&lt;&gt;"")*( DB!D$2:D$2576=$D$6))*(($D$7="")+($D$7&lt;&gt;"")*(ISNUMBER(SEARCH($D$7,DB!G$2:G$2576))))*(($F$7="전체")+($F$7&lt;&gt;"전체")*(DB!H$2:H$2576=$F$7))),ROW()-13)-1,"")</f>
        <v/>
      </c>
      <c r="Q370" t="str" cm="1">
        <f t="array" ref="Q370">IFERROR(INDEX(DB!G$2:G$2576,P370),"")</f>
        <v/>
      </c>
      <c r="R370" t="str" cm="1">
        <f t="array" ref="R370">IFERROR(INDEX(DB!O$2:O$2576,P370),"")</f>
        <v/>
      </c>
      <c r="S370" t="str">
        <f t="shared" si="18"/>
        <v/>
      </c>
      <c r="T370" t="str">
        <f t="shared" si="19"/>
        <v/>
      </c>
    </row>
    <row r="371" spans="1:20" ht="100" customHeight="1">
      <c r="A371" s="26"/>
      <c r="B371" s="42" t="str">
        <f t="shared" si="17"/>
        <v/>
      </c>
      <c r="C371" s="43"/>
      <c r="D371" s="51" t="str" cm="1">
        <f t="array" ref="D371">IFERROR(INDEX(DB!G$2:G$2576,T371),"")</f>
        <v/>
      </c>
      <c r="E371" s="43"/>
      <c r="F371" s="52" t="str" cm="1">
        <f t="array" ref="F371">IFERROR(INDEX(DB!O$2:O$2576,T371),"")</f>
        <v/>
      </c>
      <c r="G371" s="43"/>
      <c r="H371" s="40" t="str" cm="1">
        <f t="array" ref="H371">IFERROR(INDEX(DB!P$2:P$2576,T371),"")</f>
        <v/>
      </c>
      <c r="I371" s="43"/>
      <c r="J371" s="53" t="str" cm="1">
        <f t="array" ref="J371">IFERROR(INDEX(DB!Q$2:Q$2576,T371),"")</f>
        <v/>
      </c>
      <c r="K371" s="43"/>
      <c r="L371" s="41" t="str" cm="1">
        <f t="array" ref="L371">IFERROR(INDEX(DB!R$2:R$2576,T371),"")</f>
        <v/>
      </c>
      <c r="M371" s="43"/>
      <c r="P371" t="str" cm="1">
        <f t="array" ref="P371">IFERROR(_xlfn.AGGREGATE(15,6,ROW(DB!A$2:A$2576)/((($D$3&lt;&gt;"YES")+($D$3="YES")*(DB!E$2:E$2576="YES"))*(($D$4="")+($D$4&lt;&gt;"")*( DB!B$2:B$2576=$D$4))*(($D$5="")+($D$5&lt;&gt;"")*( DB!C$2:C$2576=$D$5))*(($D$6="")+($D$6&lt;&gt;"")*( DB!D$2:D$2576=$D$6))*(($D$7="")+($D$7&lt;&gt;"")*(ISNUMBER(SEARCH($D$7,DB!G$2:G$2576))))*(($F$7="전체")+($F$7&lt;&gt;"전체")*(DB!H$2:H$2576=$F$7))),ROW()-13)-1,"")</f>
        <v/>
      </c>
      <c r="Q371" t="str" cm="1">
        <f t="array" ref="Q371">IFERROR(INDEX(DB!G$2:G$2576,P371),"")</f>
        <v/>
      </c>
      <c r="R371" t="str" cm="1">
        <f t="array" ref="R371">IFERROR(INDEX(DB!O$2:O$2576,P371),"")</f>
        <v/>
      </c>
      <c r="S371" t="str">
        <f t="shared" si="18"/>
        <v/>
      </c>
      <c r="T371" t="str">
        <f t="shared" si="19"/>
        <v/>
      </c>
    </row>
    <row r="372" spans="1:20" ht="100" customHeight="1">
      <c r="A372" s="26"/>
      <c r="B372" s="39" t="str">
        <f t="shared" si="17"/>
        <v/>
      </c>
      <c r="C372" s="43"/>
      <c r="D372" s="51" t="str" cm="1">
        <f t="array" ref="D372">IFERROR(INDEX(DB!G$2:G$2576,T372),"")</f>
        <v/>
      </c>
      <c r="E372" s="43"/>
      <c r="F372" s="52" t="str" cm="1">
        <f t="array" ref="F372">IFERROR(INDEX(DB!O$2:O$2576,T372),"")</f>
        <v/>
      </c>
      <c r="G372" s="43"/>
      <c r="H372" s="40" t="str" cm="1">
        <f t="array" ref="H372">IFERROR(INDEX(DB!P$2:P$2576,T372),"")</f>
        <v/>
      </c>
      <c r="I372" s="43"/>
      <c r="J372" s="53" t="str" cm="1">
        <f t="array" ref="J372">IFERROR(INDEX(DB!Q$2:Q$2576,T372),"")</f>
        <v/>
      </c>
      <c r="K372" s="43"/>
      <c r="L372" s="41" t="str" cm="1">
        <f t="array" ref="L372">IFERROR(INDEX(DB!R$2:R$2576,T372),"")</f>
        <v/>
      </c>
      <c r="M372" s="43"/>
      <c r="P372" t="str" cm="1">
        <f t="array" ref="P372">IFERROR(_xlfn.AGGREGATE(15,6,ROW(DB!A$2:A$2576)/((($D$3&lt;&gt;"YES")+($D$3="YES")*(DB!E$2:E$2576="YES"))*(($D$4="")+($D$4&lt;&gt;"")*( DB!B$2:B$2576=$D$4))*(($D$5="")+($D$5&lt;&gt;"")*( DB!C$2:C$2576=$D$5))*(($D$6="")+($D$6&lt;&gt;"")*( DB!D$2:D$2576=$D$6))*(($D$7="")+($D$7&lt;&gt;"")*(ISNUMBER(SEARCH($D$7,DB!G$2:G$2576))))*(($F$7="전체")+($F$7&lt;&gt;"전체")*(DB!H$2:H$2576=$F$7))),ROW()-13)-1,"")</f>
        <v/>
      </c>
      <c r="Q372" t="str" cm="1">
        <f t="array" ref="Q372">IFERROR(INDEX(DB!G$2:G$2576,P372),"")</f>
        <v/>
      </c>
      <c r="R372" t="str" cm="1">
        <f t="array" ref="R372">IFERROR(INDEX(DB!O$2:O$2576,P372),"")</f>
        <v/>
      </c>
      <c r="S372" t="str">
        <f t="shared" si="18"/>
        <v/>
      </c>
      <c r="T372" t="str">
        <f t="shared" si="19"/>
        <v/>
      </c>
    </row>
    <row r="373" spans="1:20" ht="100" customHeight="1">
      <c r="A373" s="26"/>
      <c r="B373" s="42" t="str">
        <f t="shared" si="17"/>
        <v/>
      </c>
      <c r="C373" s="43"/>
      <c r="D373" s="51" t="str" cm="1">
        <f t="array" ref="D373">IFERROR(INDEX(DB!G$2:G$2576,T373),"")</f>
        <v/>
      </c>
      <c r="E373" s="43"/>
      <c r="F373" s="52" t="str" cm="1">
        <f t="array" ref="F373">IFERROR(INDEX(DB!O$2:O$2576,T373),"")</f>
        <v/>
      </c>
      <c r="G373" s="43"/>
      <c r="H373" s="40" t="str" cm="1">
        <f t="array" ref="H373">IFERROR(INDEX(DB!P$2:P$2576,T373),"")</f>
        <v/>
      </c>
      <c r="I373" s="43"/>
      <c r="J373" s="53" t="str" cm="1">
        <f t="array" ref="J373">IFERROR(INDEX(DB!Q$2:Q$2576,T373),"")</f>
        <v/>
      </c>
      <c r="K373" s="43"/>
      <c r="L373" s="41" t="str" cm="1">
        <f t="array" ref="L373">IFERROR(INDEX(DB!R$2:R$2576,T373),"")</f>
        <v/>
      </c>
      <c r="M373" s="43"/>
      <c r="P373" t="str" cm="1">
        <f t="array" ref="P373">IFERROR(_xlfn.AGGREGATE(15,6,ROW(DB!A$2:A$2576)/((($D$3&lt;&gt;"YES")+($D$3="YES")*(DB!E$2:E$2576="YES"))*(($D$4="")+($D$4&lt;&gt;"")*( DB!B$2:B$2576=$D$4))*(($D$5="")+($D$5&lt;&gt;"")*( DB!C$2:C$2576=$D$5))*(($D$6="")+($D$6&lt;&gt;"")*( DB!D$2:D$2576=$D$6))*(($D$7="")+($D$7&lt;&gt;"")*(ISNUMBER(SEARCH($D$7,DB!G$2:G$2576))))*(($F$7="전체")+($F$7&lt;&gt;"전체")*(DB!H$2:H$2576=$F$7))),ROW()-13)-1,"")</f>
        <v/>
      </c>
      <c r="Q373" t="str" cm="1">
        <f t="array" ref="Q373">IFERROR(INDEX(DB!G$2:G$2576,P373),"")</f>
        <v/>
      </c>
      <c r="R373" t="str" cm="1">
        <f t="array" ref="R373">IFERROR(INDEX(DB!O$2:O$2576,P373),"")</f>
        <v/>
      </c>
      <c r="S373" t="str">
        <f t="shared" si="18"/>
        <v/>
      </c>
      <c r="T373" t="str">
        <f t="shared" si="19"/>
        <v/>
      </c>
    </row>
    <row r="374" spans="1:20" ht="100" customHeight="1">
      <c r="A374" s="26"/>
      <c r="B374" s="39" t="str">
        <f t="shared" si="17"/>
        <v/>
      </c>
      <c r="C374" s="43"/>
      <c r="D374" s="51" t="str" cm="1">
        <f t="array" ref="D374">IFERROR(INDEX(DB!G$2:G$2576,T374),"")</f>
        <v/>
      </c>
      <c r="E374" s="43"/>
      <c r="F374" s="52" t="str" cm="1">
        <f t="array" ref="F374">IFERROR(INDEX(DB!O$2:O$2576,T374),"")</f>
        <v/>
      </c>
      <c r="G374" s="43"/>
      <c r="H374" s="40" t="str" cm="1">
        <f t="array" ref="H374">IFERROR(INDEX(DB!P$2:P$2576,T374),"")</f>
        <v/>
      </c>
      <c r="I374" s="43"/>
      <c r="J374" s="53" t="str" cm="1">
        <f t="array" ref="J374">IFERROR(INDEX(DB!Q$2:Q$2576,T374),"")</f>
        <v/>
      </c>
      <c r="K374" s="43"/>
      <c r="L374" s="41" t="str" cm="1">
        <f t="array" ref="L374">IFERROR(INDEX(DB!R$2:R$2576,T374),"")</f>
        <v/>
      </c>
      <c r="M374" s="43"/>
      <c r="P374" t="str" cm="1">
        <f t="array" ref="P374">IFERROR(_xlfn.AGGREGATE(15,6,ROW(DB!A$2:A$2576)/((($D$3&lt;&gt;"YES")+($D$3="YES")*(DB!E$2:E$2576="YES"))*(($D$4="")+($D$4&lt;&gt;"")*( DB!B$2:B$2576=$D$4))*(($D$5="")+($D$5&lt;&gt;"")*( DB!C$2:C$2576=$D$5))*(($D$6="")+($D$6&lt;&gt;"")*( DB!D$2:D$2576=$D$6))*(($D$7="")+($D$7&lt;&gt;"")*(ISNUMBER(SEARCH($D$7,DB!G$2:G$2576))))*(($F$7="전체")+($F$7&lt;&gt;"전체")*(DB!H$2:H$2576=$F$7))),ROW()-13)-1,"")</f>
        <v/>
      </c>
      <c r="Q374" t="str" cm="1">
        <f t="array" ref="Q374">IFERROR(INDEX(DB!G$2:G$2576,P374),"")</f>
        <v/>
      </c>
      <c r="R374" t="str" cm="1">
        <f t="array" ref="R374">IFERROR(INDEX(DB!O$2:O$2576,P374),"")</f>
        <v/>
      </c>
      <c r="S374" t="str">
        <f t="shared" si="18"/>
        <v/>
      </c>
      <c r="T374" t="str">
        <f t="shared" si="19"/>
        <v/>
      </c>
    </row>
    <row r="375" spans="1:20" ht="100" customHeight="1">
      <c r="A375" s="26"/>
      <c r="B375" s="42" t="str">
        <f t="shared" si="17"/>
        <v/>
      </c>
      <c r="C375" s="43"/>
      <c r="D375" s="51" t="str" cm="1">
        <f t="array" ref="D375">IFERROR(INDEX(DB!G$2:G$2576,T375),"")</f>
        <v/>
      </c>
      <c r="E375" s="43"/>
      <c r="F375" s="52" t="str" cm="1">
        <f t="array" ref="F375">IFERROR(INDEX(DB!O$2:O$2576,T375),"")</f>
        <v/>
      </c>
      <c r="G375" s="43"/>
      <c r="H375" s="40" t="str" cm="1">
        <f t="array" ref="H375">IFERROR(INDEX(DB!P$2:P$2576,T375),"")</f>
        <v/>
      </c>
      <c r="I375" s="43"/>
      <c r="J375" s="53" t="str" cm="1">
        <f t="array" ref="J375">IFERROR(INDEX(DB!Q$2:Q$2576,T375),"")</f>
        <v/>
      </c>
      <c r="K375" s="43"/>
      <c r="L375" s="41" t="str" cm="1">
        <f t="array" ref="L375">IFERROR(INDEX(DB!R$2:R$2576,T375),"")</f>
        <v/>
      </c>
      <c r="M375" s="43"/>
      <c r="P375" t="str" cm="1">
        <f t="array" ref="P375">IFERROR(_xlfn.AGGREGATE(15,6,ROW(DB!A$2:A$2576)/((($D$3&lt;&gt;"YES")+($D$3="YES")*(DB!E$2:E$2576="YES"))*(($D$4="")+($D$4&lt;&gt;"")*( DB!B$2:B$2576=$D$4))*(($D$5="")+($D$5&lt;&gt;"")*( DB!C$2:C$2576=$D$5))*(($D$6="")+($D$6&lt;&gt;"")*( DB!D$2:D$2576=$D$6))*(($D$7="")+($D$7&lt;&gt;"")*(ISNUMBER(SEARCH($D$7,DB!G$2:G$2576))))*(($F$7="전체")+($F$7&lt;&gt;"전체")*(DB!H$2:H$2576=$F$7))),ROW()-13)-1,"")</f>
        <v/>
      </c>
      <c r="Q375" t="str" cm="1">
        <f t="array" ref="Q375">IFERROR(INDEX(DB!G$2:G$2576,P375),"")</f>
        <v/>
      </c>
      <c r="R375" t="str" cm="1">
        <f t="array" ref="R375">IFERROR(INDEX(DB!O$2:O$2576,P375),"")</f>
        <v/>
      </c>
      <c r="S375" t="str">
        <f t="shared" si="18"/>
        <v/>
      </c>
      <c r="T375" t="str">
        <f t="shared" si="19"/>
        <v/>
      </c>
    </row>
    <row r="376" spans="1:20" ht="100" customHeight="1">
      <c r="A376" s="26"/>
      <c r="B376" s="39" t="str">
        <f t="shared" si="17"/>
        <v/>
      </c>
      <c r="C376" s="43"/>
      <c r="D376" s="51" t="str" cm="1">
        <f t="array" ref="D376">IFERROR(INDEX(DB!G$2:G$2576,T376),"")</f>
        <v/>
      </c>
      <c r="E376" s="43"/>
      <c r="F376" s="52" t="str" cm="1">
        <f t="array" ref="F376">IFERROR(INDEX(DB!O$2:O$2576,T376),"")</f>
        <v/>
      </c>
      <c r="G376" s="43"/>
      <c r="H376" s="40" t="str" cm="1">
        <f t="array" ref="H376">IFERROR(INDEX(DB!P$2:P$2576,T376),"")</f>
        <v/>
      </c>
      <c r="I376" s="43"/>
      <c r="J376" s="53" t="str" cm="1">
        <f t="array" ref="J376">IFERROR(INDEX(DB!Q$2:Q$2576,T376),"")</f>
        <v/>
      </c>
      <c r="K376" s="43"/>
      <c r="L376" s="41" t="str" cm="1">
        <f t="array" ref="L376">IFERROR(INDEX(DB!R$2:R$2576,T376),"")</f>
        <v/>
      </c>
      <c r="M376" s="43"/>
      <c r="P376" t="str" cm="1">
        <f t="array" ref="P376">IFERROR(_xlfn.AGGREGATE(15,6,ROW(DB!A$2:A$2576)/((($D$3&lt;&gt;"YES")+($D$3="YES")*(DB!E$2:E$2576="YES"))*(($D$4="")+($D$4&lt;&gt;"")*( DB!B$2:B$2576=$D$4))*(($D$5="")+($D$5&lt;&gt;"")*( DB!C$2:C$2576=$D$5))*(($D$6="")+($D$6&lt;&gt;"")*( DB!D$2:D$2576=$D$6))*(($D$7="")+($D$7&lt;&gt;"")*(ISNUMBER(SEARCH($D$7,DB!G$2:G$2576))))*(($F$7="전체")+($F$7&lt;&gt;"전체")*(DB!H$2:H$2576=$F$7))),ROW()-13)-1,"")</f>
        <v/>
      </c>
      <c r="Q376" t="str" cm="1">
        <f t="array" ref="Q376">IFERROR(INDEX(DB!G$2:G$2576,P376),"")</f>
        <v/>
      </c>
      <c r="R376" t="str" cm="1">
        <f t="array" ref="R376">IFERROR(INDEX(DB!O$2:O$2576,P376),"")</f>
        <v/>
      </c>
      <c r="S376" t="str">
        <f t="shared" si="18"/>
        <v/>
      </c>
      <c r="T376" t="str">
        <f t="shared" si="19"/>
        <v/>
      </c>
    </row>
    <row r="377" spans="1:20" ht="100" customHeight="1">
      <c r="A377" s="26"/>
      <c r="B377" s="42" t="str">
        <f t="shared" si="17"/>
        <v/>
      </c>
      <c r="C377" s="43"/>
      <c r="D377" s="51" t="str" cm="1">
        <f t="array" ref="D377">IFERROR(INDEX(DB!G$2:G$2576,T377),"")</f>
        <v/>
      </c>
      <c r="E377" s="43"/>
      <c r="F377" s="52" t="str" cm="1">
        <f t="array" ref="F377">IFERROR(INDEX(DB!O$2:O$2576,T377),"")</f>
        <v/>
      </c>
      <c r="G377" s="43"/>
      <c r="H377" s="40" t="str" cm="1">
        <f t="array" ref="H377">IFERROR(INDEX(DB!P$2:P$2576,T377),"")</f>
        <v/>
      </c>
      <c r="I377" s="43"/>
      <c r="J377" s="53" t="str" cm="1">
        <f t="array" ref="J377">IFERROR(INDEX(DB!Q$2:Q$2576,T377),"")</f>
        <v/>
      </c>
      <c r="K377" s="43"/>
      <c r="L377" s="41" t="str" cm="1">
        <f t="array" ref="L377">IFERROR(INDEX(DB!R$2:R$2576,T377),"")</f>
        <v/>
      </c>
      <c r="M377" s="43"/>
      <c r="P377" t="str" cm="1">
        <f t="array" ref="P377">IFERROR(_xlfn.AGGREGATE(15,6,ROW(DB!A$2:A$2576)/((($D$3&lt;&gt;"YES")+($D$3="YES")*(DB!E$2:E$2576="YES"))*(($D$4="")+($D$4&lt;&gt;"")*( DB!B$2:B$2576=$D$4))*(($D$5="")+($D$5&lt;&gt;"")*( DB!C$2:C$2576=$D$5))*(($D$6="")+($D$6&lt;&gt;"")*( DB!D$2:D$2576=$D$6))*(($D$7="")+($D$7&lt;&gt;"")*(ISNUMBER(SEARCH($D$7,DB!G$2:G$2576))))*(($F$7="전체")+($F$7&lt;&gt;"전체")*(DB!H$2:H$2576=$F$7))),ROW()-13)-1,"")</f>
        <v/>
      </c>
      <c r="Q377" t="str" cm="1">
        <f t="array" ref="Q377">IFERROR(INDEX(DB!G$2:G$2576,P377),"")</f>
        <v/>
      </c>
      <c r="R377" t="str" cm="1">
        <f t="array" ref="R377">IFERROR(INDEX(DB!O$2:O$2576,P377),"")</f>
        <v/>
      </c>
      <c r="S377" t="str">
        <f t="shared" si="18"/>
        <v/>
      </c>
      <c r="T377" t="str">
        <f t="shared" si="19"/>
        <v/>
      </c>
    </row>
    <row r="378" spans="1:20" ht="100" customHeight="1">
      <c r="A378" s="26"/>
      <c r="B378" s="39" t="str">
        <f t="shared" si="17"/>
        <v/>
      </c>
      <c r="C378" s="43"/>
      <c r="D378" s="51" t="str" cm="1">
        <f t="array" ref="D378">IFERROR(INDEX(DB!G$2:G$2576,T378),"")</f>
        <v/>
      </c>
      <c r="E378" s="43"/>
      <c r="F378" s="52" t="str" cm="1">
        <f t="array" ref="F378">IFERROR(INDEX(DB!O$2:O$2576,T378),"")</f>
        <v/>
      </c>
      <c r="G378" s="43"/>
      <c r="H378" s="40" t="str" cm="1">
        <f t="array" ref="H378">IFERROR(INDEX(DB!P$2:P$2576,T378),"")</f>
        <v/>
      </c>
      <c r="I378" s="43"/>
      <c r="J378" s="53" t="str" cm="1">
        <f t="array" ref="J378">IFERROR(INDEX(DB!Q$2:Q$2576,T378),"")</f>
        <v/>
      </c>
      <c r="K378" s="43"/>
      <c r="L378" s="41" t="str" cm="1">
        <f t="array" ref="L378">IFERROR(INDEX(DB!R$2:R$2576,T378),"")</f>
        <v/>
      </c>
      <c r="M378" s="43"/>
      <c r="P378" t="str" cm="1">
        <f t="array" ref="P378">IFERROR(_xlfn.AGGREGATE(15,6,ROW(DB!A$2:A$2576)/((($D$3&lt;&gt;"YES")+($D$3="YES")*(DB!E$2:E$2576="YES"))*(($D$4="")+($D$4&lt;&gt;"")*( DB!B$2:B$2576=$D$4))*(($D$5="")+($D$5&lt;&gt;"")*( DB!C$2:C$2576=$D$5))*(($D$6="")+($D$6&lt;&gt;"")*( DB!D$2:D$2576=$D$6))*(($D$7="")+($D$7&lt;&gt;"")*(ISNUMBER(SEARCH($D$7,DB!G$2:G$2576))))*(($F$7="전체")+($F$7&lt;&gt;"전체")*(DB!H$2:H$2576=$F$7))),ROW()-13)-1,"")</f>
        <v/>
      </c>
      <c r="Q378" t="str" cm="1">
        <f t="array" ref="Q378">IFERROR(INDEX(DB!G$2:G$2576,P378),"")</f>
        <v/>
      </c>
      <c r="R378" t="str" cm="1">
        <f t="array" ref="R378">IFERROR(INDEX(DB!O$2:O$2576,P378),"")</f>
        <v/>
      </c>
      <c r="S378" t="str">
        <f t="shared" si="18"/>
        <v/>
      </c>
      <c r="T378" t="str">
        <f t="shared" si="19"/>
        <v/>
      </c>
    </row>
    <row r="379" spans="1:20" ht="100" customHeight="1">
      <c r="A379" s="26"/>
      <c r="B379" s="42" t="str">
        <f t="shared" si="17"/>
        <v/>
      </c>
      <c r="C379" s="43"/>
      <c r="D379" s="51" t="str" cm="1">
        <f t="array" ref="D379">IFERROR(INDEX(DB!G$2:G$2576,T379),"")</f>
        <v/>
      </c>
      <c r="E379" s="43"/>
      <c r="F379" s="52" t="str" cm="1">
        <f t="array" ref="F379">IFERROR(INDEX(DB!O$2:O$2576,T379),"")</f>
        <v/>
      </c>
      <c r="G379" s="43"/>
      <c r="H379" s="40" t="str" cm="1">
        <f t="array" ref="H379">IFERROR(INDEX(DB!P$2:P$2576,T379),"")</f>
        <v/>
      </c>
      <c r="I379" s="43"/>
      <c r="J379" s="53" t="str" cm="1">
        <f t="array" ref="J379">IFERROR(INDEX(DB!Q$2:Q$2576,T379),"")</f>
        <v/>
      </c>
      <c r="K379" s="43"/>
      <c r="L379" s="41" t="str" cm="1">
        <f t="array" ref="L379">IFERROR(INDEX(DB!R$2:R$2576,T379),"")</f>
        <v/>
      </c>
      <c r="M379" s="43"/>
      <c r="P379" t="str" cm="1">
        <f t="array" ref="P379">IFERROR(_xlfn.AGGREGATE(15,6,ROW(DB!A$2:A$2576)/((($D$3&lt;&gt;"YES")+($D$3="YES")*(DB!E$2:E$2576="YES"))*(($D$4="")+($D$4&lt;&gt;"")*( DB!B$2:B$2576=$D$4))*(($D$5="")+($D$5&lt;&gt;"")*( DB!C$2:C$2576=$D$5))*(($D$6="")+($D$6&lt;&gt;"")*( DB!D$2:D$2576=$D$6))*(($D$7="")+($D$7&lt;&gt;"")*(ISNUMBER(SEARCH($D$7,DB!G$2:G$2576))))*(($F$7="전체")+($F$7&lt;&gt;"전체")*(DB!H$2:H$2576=$F$7))),ROW()-13)-1,"")</f>
        <v/>
      </c>
      <c r="Q379" t="str" cm="1">
        <f t="array" ref="Q379">IFERROR(INDEX(DB!G$2:G$2576,P379),"")</f>
        <v/>
      </c>
      <c r="R379" t="str" cm="1">
        <f t="array" ref="R379">IFERROR(INDEX(DB!O$2:O$2576,P379),"")</f>
        <v/>
      </c>
      <c r="S379" t="str">
        <f t="shared" si="18"/>
        <v/>
      </c>
      <c r="T379" t="str">
        <f t="shared" si="19"/>
        <v/>
      </c>
    </row>
    <row r="380" spans="1:20" ht="100" customHeight="1">
      <c r="A380" s="26"/>
      <c r="B380" s="39" t="str">
        <f t="shared" si="17"/>
        <v/>
      </c>
      <c r="C380" s="43"/>
      <c r="D380" s="51" t="str" cm="1">
        <f t="array" ref="D380">IFERROR(INDEX(DB!G$2:G$2576,T380),"")</f>
        <v/>
      </c>
      <c r="E380" s="43"/>
      <c r="F380" s="52" t="str" cm="1">
        <f t="array" ref="F380">IFERROR(INDEX(DB!O$2:O$2576,T380),"")</f>
        <v/>
      </c>
      <c r="G380" s="43"/>
      <c r="H380" s="40" t="str" cm="1">
        <f t="array" ref="H380">IFERROR(INDEX(DB!P$2:P$2576,T380),"")</f>
        <v/>
      </c>
      <c r="I380" s="43"/>
      <c r="J380" s="53" t="str" cm="1">
        <f t="array" ref="J380">IFERROR(INDEX(DB!Q$2:Q$2576,T380),"")</f>
        <v/>
      </c>
      <c r="K380" s="43"/>
      <c r="L380" s="41" t="str" cm="1">
        <f t="array" ref="L380">IFERROR(INDEX(DB!R$2:R$2576,T380),"")</f>
        <v/>
      </c>
      <c r="M380" s="43"/>
      <c r="P380" t="str" cm="1">
        <f t="array" ref="P380">IFERROR(_xlfn.AGGREGATE(15,6,ROW(DB!A$2:A$2576)/((($D$3&lt;&gt;"YES")+($D$3="YES")*(DB!E$2:E$2576="YES"))*(($D$4="")+($D$4&lt;&gt;"")*( DB!B$2:B$2576=$D$4))*(($D$5="")+($D$5&lt;&gt;"")*( DB!C$2:C$2576=$D$5))*(($D$6="")+($D$6&lt;&gt;"")*( DB!D$2:D$2576=$D$6))*(($D$7="")+($D$7&lt;&gt;"")*(ISNUMBER(SEARCH($D$7,DB!G$2:G$2576))))*(($F$7="전체")+($F$7&lt;&gt;"전체")*(DB!H$2:H$2576=$F$7))),ROW()-13)-1,"")</f>
        <v/>
      </c>
      <c r="Q380" t="str" cm="1">
        <f t="array" ref="Q380">IFERROR(INDEX(DB!G$2:G$2576,P380),"")</f>
        <v/>
      </c>
      <c r="R380" t="str" cm="1">
        <f t="array" ref="R380">IFERROR(INDEX(DB!O$2:O$2576,P380),"")</f>
        <v/>
      </c>
      <c r="S380" t="str">
        <f t="shared" si="18"/>
        <v/>
      </c>
      <c r="T380" t="str">
        <f t="shared" si="19"/>
        <v/>
      </c>
    </row>
    <row r="381" spans="1:20" ht="100" customHeight="1">
      <c r="A381" s="26"/>
      <c r="B381" s="42" t="str">
        <f t="shared" si="17"/>
        <v/>
      </c>
      <c r="C381" s="43"/>
      <c r="D381" s="51" t="str" cm="1">
        <f t="array" ref="D381">IFERROR(INDEX(DB!G$2:G$2576,T381),"")</f>
        <v/>
      </c>
      <c r="E381" s="43"/>
      <c r="F381" s="52" t="str" cm="1">
        <f t="array" ref="F381">IFERROR(INDEX(DB!O$2:O$2576,T381),"")</f>
        <v/>
      </c>
      <c r="G381" s="43"/>
      <c r="H381" s="40" t="str" cm="1">
        <f t="array" ref="H381">IFERROR(INDEX(DB!P$2:P$2576,T381),"")</f>
        <v/>
      </c>
      <c r="I381" s="43"/>
      <c r="J381" s="53" t="str" cm="1">
        <f t="array" ref="J381">IFERROR(INDEX(DB!Q$2:Q$2576,T381),"")</f>
        <v/>
      </c>
      <c r="K381" s="43"/>
      <c r="L381" s="41" t="str" cm="1">
        <f t="array" ref="L381">IFERROR(INDEX(DB!R$2:R$2576,T381),"")</f>
        <v/>
      </c>
      <c r="M381" s="43"/>
      <c r="P381" t="str" cm="1">
        <f t="array" ref="P381">IFERROR(_xlfn.AGGREGATE(15,6,ROW(DB!A$2:A$2576)/((($D$3&lt;&gt;"YES")+($D$3="YES")*(DB!E$2:E$2576="YES"))*(($D$4="")+($D$4&lt;&gt;"")*( DB!B$2:B$2576=$D$4))*(($D$5="")+($D$5&lt;&gt;"")*( DB!C$2:C$2576=$D$5))*(($D$6="")+($D$6&lt;&gt;"")*( DB!D$2:D$2576=$D$6))*(($D$7="")+($D$7&lt;&gt;"")*(ISNUMBER(SEARCH($D$7,DB!G$2:G$2576))))*(($F$7="전체")+($F$7&lt;&gt;"전체")*(DB!H$2:H$2576=$F$7))),ROW()-13)-1,"")</f>
        <v/>
      </c>
      <c r="Q381" t="str" cm="1">
        <f t="array" ref="Q381">IFERROR(INDEX(DB!G$2:G$2576,P381),"")</f>
        <v/>
      </c>
      <c r="R381" t="str" cm="1">
        <f t="array" ref="R381">IFERROR(INDEX(DB!O$2:O$2576,P381),"")</f>
        <v/>
      </c>
      <c r="S381" t="str">
        <f t="shared" si="18"/>
        <v/>
      </c>
      <c r="T381" t="str">
        <f t="shared" si="19"/>
        <v/>
      </c>
    </row>
    <row r="382" spans="1:20" ht="100" customHeight="1">
      <c r="A382" s="26"/>
      <c r="B382" s="39" t="str">
        <f t="shared" si="17"/>
        <v/>
      </c>
      <c r="C382" s="43"/>
      <c r="D382" s="51" t="str" cm="1">
        <f t="array" ref="D382">IFERROR(INDEX(DB!G$2:G$2576,T382),"")</f>
        <v/>
      </c>
      <c r="E382" s="43"/>
      <c r="F382" s="52" t="str" cm="1">
        <f t="array" ref="F382">IFERROR(INDEX(DB!O$2:O$2576,T382),"")</f>
        <v/>
      </c>
      <c r="G382" s="43"/>
      <c r="H382" s="40" t="str" cm="1">
        <f t="array" ref="H382">IFERROR(INDEX(DB!P$2:P$2576,T382),"")</f>
        <v/>
      </c>
      <c r="I382" s="43"/>
      <c r="J382" s="53" t="str" cm="1">
        <f t="array" ref="J382">IFERROR(INDEX(DB!Q$2:Q$2576,T382),"")</f>
        <v/>
      </c>
      <c r="K382" s="43"/>
      <c r="L382" s="41" t="str" cm="1">
        <f t="array" ref="L382">IFERROR(INDEX(DB!R$2:R$2576,T382),"")</f>
        <v/>
      </c>
      <c r="M382" s="43"/>
      <c r="P382" t="str" cm="1">
        <f t="array" ref="P382">IFERROR(_xlfn.AGGREGATE(15,6,ROW(DB!A$2:A$2576)/((($D$3&lt;&gt;"YES")+($D$3="YES")*(DB!E$2:E$2576="YES"))*(($D$4="")+($D$4&lt;&gt;"")*( DB!B$2:B$2576=$D$4))*(($D$5="")+($D$5&lt;&gt;"")*( DB!C$2:C$2576=$D$5))*(($D$6="")+($D$6&lt;&gt;"")*( DB!D$2:D$2576=$D$6))*(($D$7="")+($D$7&lt;&gt;"")*(ISNUMBER(SEARCH($D$7,DB!G$2:G$2576))))*(($F$7="전체")+($F$7&lt;&gt;"전체")*(DB!H$2:H$2576=$F$7))),ROW()-13)-1,"")</f>
        <v/>
      </c>
      <c r="Q382" t="str" cm="1">
        <f t="array" ref="Q382">IFERROR(INDEX(DB!G$2:G$2576,P382),"")</f>
        <v/>
      </c>
      <c r="R382" t="str" cm="1">
        <f t="array" ref="R382">IFERROR(INDEX(DB!O$2:O$2576,P382),"")</f>
        <v/>
      </c>
      <c r="S382" t="str">
        <f t="shared" si="18"/>
        <v/>
      </c>
      <c r="T382" t="str">
        <f t="shared" si="19"/>
        <v/>
      </c>
    </row>
    <row r="383" spans="1:20" ht="100" customHeight="1">
      <c r="A383" s="26"/>
      <c r="B383" s="42" t="str">
        <f t="shared" si="17"/>
        <v/>
      </c>
      <c r="C383" s="43"/>
      <c r="D383" s="51" t="str" cm="1">
        <f t="array" ref="D383">IFERROR(INDEX(DB!G$2:G$2576,T383),"")</f>
        <v/>
      </c>
      <c r="E383" s="43"/>
      <c r="F383" s="52" t="str" cm="1">
        <f t="array" ref="F383">IFERROR(INDEX(DB!O$2:O$2576,T383),"")</f>
        <v/>
      </c>
      <c r="G383" s="43"/>
      <c r="H383" s="40" t="str" cm="1">
        <f t="array" ref="H383">IFERROR(INDEX(DB!P$2:P$2576,T383),"")</f>
        <v/>
      </c>
      <c r="I383" s="43"/>
      <c r="J383" s="53" t="str" cm="1">
        <f t="array" ref="J383">IFERROR(INDEX(DB!Q$2:Q$2576,T383),"")</f>
        <v/>
      </c>
      <c r="K383" s="43"/>
      <c r="L383" s="41" t="str" cm="1">
        <f t="array" ref="L383">IFERROR(INDEX(DB!R$2:R$2576,T383),"")</f>
        <v/>
      </c>
      <c r="M383" s="43"/>
      <c r="P383" t="str" cm="1">
        <f t="array" ref="P383">IFERROR(_xlfn.AGGREGATE(15,6,ROW(DB!A$2:A$2576)/((($D$3&lt;&gt;"YES")+($D$3="YES")*(DB!E$2:E$2576="YES"))*(($D$4="")+($D$4&lt;&gt;"")*( DB!B$2:B$2576=$D$4))*(($D$5="")+($D$5&lt;&gt;"")*( DB!C$2:C$2576=$D$5))*(($D$6="")+($D$6&lt;&gt;"")*( DB!D$2:D$2576=$D$6))*(($D$7="")+($D$7&lt;&gt;"")*(ISNUMBER(SEARCH($D$7,DB!G$2:G$2576))))*(($F$7="전체")+($F$7&lt;&gt;"전체")*(DB!H$2:H$2576=$F$7))),ROW()-13)-1,"")</f>
        <v/>
      </c>
      <c r="Q383" t="str" cm="1">
        <f t="array" ref="Q383">IFERROR(INDEX(DB!G$2:G$2576,P383),"")</f>
        <v/>
      </c>
      <c r="R383" t="str" cm="1">
        <f t="array" ref="R383">IFERROR(INDEX(DB!O$2:O$2576,P383),"")</f>
        <v/>
      </c>
      <c r="S383" t="str">
        <f t="shared" si="18"/>
        <v/>
      </c>
      <c r="T383" t="str">
        <f t="shared" si="19"/>
        <v/>
      </c>
    </row>
    <row r="384" spans="1:20" ht="100" customHeight="1">
      <c r="A384" s="26"/>
      <c r="B384" s="39" t="str">
        <f t="shared" si="17"/>
        <v/>
      </c>
      <c r="C384" s="43"/>
      <c r="D384" s="51" t="str" cm="1">
        <f t="array" ref="D384">IFERROR(INDEX(DB!G$2:G$2576,T384),"")</f>
        <v/>
      </c>
      <c r="E384" s="43"/>
      <c r="F384" s="52" t="str" cm="1">
        <f t="array" ref="F384">IFERROR(INDEX(DB!O$2:O$2576,T384),"")</f>
        <v/>
      </c>
      <c r="G384" s="43"/>
      <c r="H384" s="40" t="str" cm="1">
        <f t="array" ref="H384">IFERROR(INDEX(DB!P$2:P$2576,T384),"")</f>
        <v/>
      </c>
      <c r="I384" s="43"/>
      <c r="J384" s="53" t="str" cm="1">
        <f t="array" ref="J384">IFERROR(INDEX(DB!Q$2:Q$2576,T384),"")</f>
        <v/>
      </c>
      <c r="K384" s="43"/>
      <c r="L384" s="41" t="str" cm="1">
        <f t="array" ref="L384">IFERROR(INDEX(DB!R$2:R$2576,T384),"")</f>
        <v/>
      </c>
      <c r="M384" s="43"/>
      <c r="P384" t="str" cm="1">
        <f t="array" ref="P384">IFERROR(_xlfn.AGGREGATE(15,6,ROW(DB!A$2:A$2576)/((($D$3&lt;&gt;"YES")+($D$3="YES")*(DB!E$2:E$2576="YES"))*(($D$4="")+($D$4&lt;&gt;"")*( DB!B$2:B$2576=$D$4))*(($D$5="")+($D$5&lt;&gt;"")*( DB!C$2:C$2576=$D$5))*(($D$6="")+($D$6&lt;&gt;"")*( DB!D$2:D$2576=$D$6))*(($D$7="")+($D$7&lt;&gt;"")*(ISNUMBER(SEARCH($D$7,DB!G$2:G$2576))))*(($F$7="전체")+($F$7&lt;&gt;"전체")*(DB!H$2:H$2576=$F$7))),ROW()-13)-1,"")</f>
        <v/>
      </c>
      <c r="Q384" t="str" cm="1">
        <f t="array" ref="Q384">IFERROR(INDEX(DB!G$2:G$2576,P384),"")</f>
        <v/>
      </c>
      <c r="R384" t="str" cm="1">
        <f t="array" ref="R384">IFERROR(INDEX(DB!O$2:O$2576,P384),"")</f>
        <v/>
      </c>
      <c r="S384" t="str">
        <f t="shared" si="18"/>
        <v/>
      </c>
      <c r="T384" t="str">
        <f t="shared" si="19"/>
        <v/>
      </c>
    </row>
    <row r="385" spans="1:20" ht="100" customHeight="1">
      <c r="A385" s="26"/>
      <c r="B385" s="42" t="str">
        <f t="shared" si="17"/>
        <v/>
      </c>
      <c r="C385" s="43"/>
      <c r="D385" s="51" t="str" cm="1">
        <f t="array" ref="D385">IFERROR(INDEX(DB!G$2:G$2576,T385),"")</f>
        <v/>
      </c>
      <c r="E385" s="43"/>
      <c r="F385" s="52" t="str" cm="1">
        <f t="array" ref="F385">IFERROR(INDEX(DB!O$2:O$2576,T385),"")</f>
        <v/>
      </c>
      <c r="G385" s="43"/>
      <c r="H385" s="40" t="str" cm="1">
        <f t="array" ref="H385">IFERROR(INDEX(DB!P$2:P$2576,T385),"")</f>
        <v/>
      </c>
      <c r="I385" s="43"/>
      <c r="J385" s="53" t="str" cm="1">
        <f t="array" ref="J385">IFERROR(INDEX(DB!Q$2:Q$2576,T385),"")</f>
        <v/>
      </c>
      <c r="K385" s="43"/>
      <c r="L385" s="41" t="str" cm="1">
        <f t="array" ref="L385">IFERROR(INDEX(DB!R$2:R$2576,T385),"")</f>
        <v/>
      </c>
      <c r="M385" s="43"/>
      <c r="P385" t="str" cm="1">
        <f t="array" ref="P385">IFERROR(_xlfn.AGGREGATE(15,6,ROW(DB!A$2:A$2576)/((($D$3&lt;&gt;"YES")+($D$3="YES")*(DB!E$2:E$2576="YES"))*(($D$4="")+($D$4&lt;&gt;"")*( DB!B$2:B$2576=$D$4))*(($D$5="")+($D$5&lt;&gt;"")*( DB!C$2:C$2576=$D$5))*(($D$6="")+($D$6&lt;&gt;"")*( DB!D$2:D$2576=$D$6))*(($D$7="")+($D$7&lt;&gt;"")*(ISNUMBER(SEARCH($D$7,DB!G$2:G$2576))))*(($F$7="전체")+($F$7&lt;&gt;"전체")*(DB!H$2:H$2576=$F$7))),ROW()-13)-1,"")</f>
        <v/>
      </c>
      <c r="Q385" t="str" cm="1">
        <f t="array" ref="Q385">IFERROR(INDEX(DB!G$2:G$2576,P385),"")</f>
        <v/>
      </c>
      <c r="R385" t="str" cm="1">
        <f t="array" ref="R385">IFERROR(INDEX(DB!O$2:O$2576,P385),"")</f>
        <v/>
      </c>
      <c r="S385" t="str">
        <f t="shared" si="18"/>
        <v/>
      </c>
      <c r="T385" t="str">
        <f t="shared" si="19"/>
        <v/>
      </c>
    </row>
    <row r="386" spans="1:20" ht="100" customHeight="1">
      <c r="A386" s="26"/>
      <c r="B386" s="39" t="str">
        <f t="shared" si="17"/>
        <v/>
      </c>
      <c r="C386" s="43"/>
      <c r="D386" s="51" t="str" cm="1">
        <f t="array" ref="D386">IFERROR(INDEX(DB!G$2:G$2576,T386),"")</f>
        <v/>
      </c>
      <c r="E386" s="43"/>
      <c r="F386" s="52" t="str" cm="1">
        <f t="array" ref="F386">IFERROR(INDEX(DB!O$2:O$2576,T386),"")</f>
        <v/>
      </c>
      <c r="G386" s="43"/>
      <c r="H386" s="40" t="str" cm="1">
        <f t="array" ref="H386">IFERROR(INDEX(DB!P$2:P$2576,T386),"")</f>
        <v/>
      </c>
      <c r="I386" s="43"/>
      <c r="J386" s="53" t="str" cm="1">
        <f t="array" ref="J386">IFERROR(INDEX(DB!Q$2:Q$2576,T386),"")</f>
        <v/>
      </c>
      <c r="K386" s="43"/>
      <c r="L386" s="41" t="str" cm="1">
        <f t="array" ref="L386">IFERROR(INDEX(DB!R$2:R$2576,T386),"")</f>
        <v/>
      </c>
      <c r="M386" s="43"/>
      <c r="P386" t="str" cm="1">
        <f t="array" ref="P386">IFERROR(_xlfn.AGGREGATE(15,6,ROW(DB!A$2:A$2576)/((($D$3&lt;&gt;"YES")+($D$3="YES")*(DB!E$2:E$2576="YES"))*(($D$4="")+($D$4&lt;&gt;"")*( DB!B$2:B$2576=$D$4))*(($D$5="")+($D$5&lt;&gt;"")*( DB!C$2:C$2576=$D$5))*(($D$6="")+($D$6&lt;&gt;"")*( DB!D$2:D$2576=$D$6))*(($D$7="")+($D$7&lt;&gt;"")*(ISNUMBER(SEARCH($D$7,DB!G$2:G$2576))))*(($F$7="전체")+($F$7&lt;&gt;"전체")*(DB!H$2:H$2576=$F$7))),ROW()-13)-1,"")</f>
        <v/>
      </c>
      <c r="Q386" t="str" cm="1">
        <f t="array" ref="Q386">IFERROR(INDEX(DB!G$2:G$2576,P386),"")</f>
        <v/>
      </c>
      <c r="R386" t="str" cm="1">
        <f t="array" ref="R386">IFERROR(INDEX(DB!O$2:O$2576,P386),"")</f>
        <v/>
      </c>
      <c r="S386" t="str">
        <f t="shared" si="18"/>
        <v/>
      </c>
      <c r="T386" t="str">
        <f t="shared" si="19"/>
        <v/>
      </c>
    </row>
    <row r="387" spans="1:20" ht="100" customHeight="1">
      <c r="A387" s="26"/>
      <c r="B387" s="42" t="str">
        <f t="shared" si="17"/>
        <v/>
      </c>
      <c r="C387" s="43"/>
      <c r="D387" s="51" t="str" cm="1">
        <f t="array" ref="D387">IFERROR(INDEX(DB!G$2:G$2576,T387),"")</f>
        <v/>
      </c>
      <c r="E387" s="43"/>
      <c r="F387" s="52" t="str" cm="1">
        <f t="array" ref="F387">IFERROR(INDEX(DB!O$2:O$2576,T387),"")</f>
        <v/>
      </c>
      <c r="G387" s="43"/>
      <c r="H387" s="40" t="str" cm="1">
        <f t="array" ref="H387">IFERROR(INDEX(DB!P$2:P$2576,T387),"")</f>
        <v/>
      </c>
      <c r="I387" s="43"/>
      <c r="J387" s="53" t="str" cm="1">
        <f t="array" ref="J387">IFERROR(INDEX(DB!Q$2:Q$2576,T387),"")</f>
        <v/>
      </c>
      <c r="K387" s="43"/>
      <c r="L387" s="41" t="str" cm="1">
        <f t="array" ref="L387">IFERROR(INDEX(DB!R$2:R$2576,T387),"")</f>
        <v/>
      </c>
      <c r="M387" s="43"/>
      <c r="P387" t="str" cm="1">
        <f t="array" ref="P387">IFERROR(_xlfn.AGGREGATE(15,6,ROW(DB!A$2:A$2576)/((($D$3&lt;&gt;"YES")+($D$3="YES")*(DB!E$2:E$2576="YES"))*(($D$4="")+($D$4&lt;&gt;"")*( DB!B$2:B$2576=$D$4))*(($D$5="")+($D$5&lt;&gt;"")*( DB!C$2:C$2576=$D$5))*(($D$6="")+($D$6&lt;&gt;"")*( DB!D$2:D$2576=$D$6))*(($D$7="")+($D$7&lt;&gt;"")*(ISNUMBER(SEARCH($D$7,DB!G$2:G$2576))))*(($F$7="전체")+($F$7&lt;&gt;"전체")*(DB!H$2:H$2576=$F$7))),ROW()-13)-1,"")</f>
        <v/>
      </c>
      <c r="Q387" t="str" cm="1">
        <f t="array" ref="Q387">IFERROR(INDEX(DB!G$2:G$2576,P387),"")</f>
        <v/>
      </c>
      <c r="R387" t="str" cm="1">
        <f t="array" ref="R387">IFERROR(INDEX(DB!O$2:O$2576,P387),"")</f>
        <v/>
      </c>
      <c r="S387" t="str">
        <f t="shared" si="18"/>
        <v/>
      </c>
      <c r="T387" t="str">
        <f t="shared" si="19"/>
        <v/>
      </c>
    </row>
    <row r="388" spans="1:20" ht="100" customHeight="1">
      <c r="A388" s="26"/>
      <c r="B388" s="39" t="str">
        <f t="shared" si="17"/>
        <v/>
      </c>
      <c r="C388" s="43"/>
      <c r="D388" s="51" t="str" cm="1">
        <f t="array" ref="D388">IFERROR(INDEX(DB!G$2:G$2576,T388),"")</f>
        <v/>
      </c>
      <c r="E388" s="43"/>
      <c r="F388" s="52" t="str" cm="1">
        <f t="array" ref="F388">IFERROR(INDEX(DB!O$2:O$2576,T388),"")</f>
        <v/>
      </c>
      <c r="G388" s="43"/>
      <c r="H388" s="40" t="str" cm="1">
        <f t="array" ref="H388">IFERROR(INDEX(DB!P$2:P$2576,T388),"")</f>
        <v/>
      </c>
      <c r="I388" s="43"/>
      <c r="J388" s="53" t="str" cm="1">
        <f t="array" ref="J388">IFERROR(INDEX(DB!Q$2:Q$2576,T388),"")</f>
        <v/>
      </c>
      <c r="K388" s="43"/>
      <c r="L388" s="41" t="str" cm="1">
        <f t="array" ref="L388">IFERROR(INDEX(DB!R$2:R$2576,T388),"")</f>
        <v/>
      </c>
      <c r="M388" s="43"/>
      <c r="P388" t="str" cm="1">
        <f t="array" ref="P388">IFERROR(_xlfn.AGGREGATE(15,6,ROW(DB!A$2:A$2576)/((($D$3&lt;&gt;"YES")+($D$3="YES")*(DB!E$2:E$2576="YES"))*(($D$4="")+($D$4&lt;&gt;"")*( DB!B$2:B$2576=$D$4))*(($D$5="")+($D$5&lt;&gt;"")*( DB!C$2:C$2576=$D$5))*(($D$6="")+($D$6&lt;&gt;"")*( DB!D$2:D$2576=$D$6))*(($D$7="")+($D$7&lt;&gt;"")*(ISNUMBER(SEARCH($D$7,DB!G$2:G$2576))))*(($F$7="전체")+($F$7&lt;&gt;"전체")*(DB!H$2:H$2576=$F$7))),ROW()-13)-1,"")</f>
        <v/>
      </c>
      <c r="Q388" t="str" cm="1">
        <f t="array" ref="Q388">IFERROR(INDEX(DB!G$2:G$2576,P388),"")</f>
        <v/>
      </c>
      <c r="R388" t="str" cm="1">
        <f t="array" ref="R388">IFERROR(INDEX(DB!O$2:O$2576,P388),"")</f>
        <v/>
      </c>
      <c r="S388" t="str">
        <f t="shared" si="18"/>
        <v/>
      </c>
      <c r="T388" t="str">
        <f t="shared" si="19"/>
        <v/>
      </c>
    </row>
    <row r="389" spans="1:20" ht="100" customHeight="1">
      <c r="A389" s="26"/>
      <c r="B389" s="42" t="str">
        <f t="shared" si="17"/>
        <v/>
      </c>
      <c r="C389" s="43"/>
      <c r="D389" s="51" t="str" cm="1">
        <f t="array" ref="D389">IFERROR(INDEX(DB!G$2:G$2576,T389),"")</f>
        <v/>
      </c>
      <c r="E389" s="43"/>
      <c r="F389" s="52" t="str" cm="1">
        <f t="array" ref="F389">IFERROR(INDEX(DB!O$2:O$2576,T389),"")</f>
        <v/>
      </c>
      <c r="G389" s="43"/>
      <c r="H389" s="40" t="str" cm="1">
        <f t="array" ref="H389">IFERROR(INDEX(DB!P$2:P$2576,T389),"")</f>
        <v/>
      </c>
      <c r="I389" s="43"/>
      <c r="J389" s="53" t="str" cm="1">
        <f t="array" ref="J389">IFERROR(INDEX(DB!Q$2:Q$2576,T389),"")</f>
        <v/>
      </c>
      <c r="K389" s="43"/>
      <c r="L389" s="41" t="str" cm="1">
        <f t="array" ref="L389">IFERROR(INDEX(DB!R$2:R$2576,T389),"")</f>
        <v/>
      </c>
      <c r="M389" s="43"/>
      <c r="P389" t="str" cm="1">
        <f t="array" ref="P389">IFERROR(_xlfn.AGGREGATE(15,6,ROW(DB!A$2:A$2576)/((($D$3&lt;&gt;"YES")+($D$3="YES")*(DB!E$2:E$2576="YES"))*(($D$4="")+($D$4&lt;&gt;"")*( DB!B$2:B$2576=$D$4))*(($D$5="")+($D$5&lt;&gt;"")*( DB!C$2:C$2576=$D$5))*(($D$6="")+($D$6&lt;&gt;"")*( DB!D$2:D$2576=$D$6))*(($D$7="")+($D$7&lt;&gt;"")*(ISNUMBER(SEARCH($D$7,DB!G$2:G$2576))))*(($F$7="전체")+($F$7&lt;&gt;"전체")*(DB!H$2:H$2576=$F$7))),ROW()-13)-1,"")</f>
        <v/>
      </c>
      <c r="Q389" t="str" cm="1">
        <f t="array" ref="Q389">IFERROR(INDEX(DB!G$2:G$2576,P389),"")</f>
        <v/>
      </c>
      <c r="R389" t="str" cm="1">
        <f t="array" ref="R389">IFERROR(INDEX(DB!O$2:O$2576,P389),"")</f>
        <v/>
      </c>
      <c r="S389" t="str">
        <f t="shared" si="18"/>
        <v/>
      </c>
      <c r="T389" t="str">
        <f t="shared" si="19"/>
        <v/>
      </c>
    </row>
    <row r="390" spans="1:20" ht="100" customHeight="1">
      <c r="A390" s="26"/>
      <c r="B390" s="39" t="str">
        <f t="shared" si="17"/>
        <v/>
      </c>
      <c r="C390" s="43"/>
      <c r="D390" s="51" t="str" cm="1">
        <f t="array" ref="D390">IFERROR(INDEX(DB!G$2:G$2576,T390),"")</f>
        <v/>
      </c>
      <c r="E390" s="43"/>
      <c r="F390" s="52" t="str" cm="1">
        <f t="array" ref="F390">IFERROR(INDEX(DB!O$2:O$2576,T390),"")</f>
        <v/>
      </c>
      <c r="G390" s="43"/>
      <c r="H390" s="40" t="str" cm="1">
        <f t="array" ref="H390">IFERROR(INDEX(DB!P$2:P$2576,T390),"")</f>
        <v/>
      </c>
      <c r="I390" s="43"/>
      <c r="J390" s="53" t="str" cm="1">
        <f t="array" ref="J390">IFERROR(INDEX(DB!Q$2:Q$2576,T390),"")</f>
        <v/>
      </c>
      <c r="K390" s="43"/>
      <c r="L390" s="41" t="str" cm="1">
        <f t="array" ref="L390">IFERROR(INDEX(DB!R$2:R$2576,T390),"")</f>
        <v/>
      </c>
      <c r="M390" s="43"/>
      <c r="P390" t="str" cm="1">
        <f t="array" ref="P390">IFERROR(_xlfn.AGGREGATE(15,6,ROW(DB!A$2:A$2576)/((($D$3&lt;&gt;"YES")+($D$3="YES")*(DB!E$2:E$2576="YES"))*(($D$4="")+($D$4&lt;&gt;"")*( DB!B$2:B$2576=$D$4))*(($D$5="")+($D$5&lt;&gt;"")*( DB!C$2:C$2576=$D$5))*(($D$6="")+($D$6&lt;&gt;"")*( DB!D$2:D$2576=$D$6))*(($D$7="")+($D$7&lt;&gt;"")*(ISNUMBER(SEARCH($D$7,DB!G$2:G$2576))))*(($F$7="전체")+($F$7&lt;&gt;"전체")*(DB!H$2:H$2576=$F$7))),ROW()-13)-1,"")</f>
        <v/>
      </c>
      <c r="Q390" t="str" cm="1">
        <f t="array" ref="Q390">IFERROR(INDEX(DB!G$2:G$2576,P390),"")</f>
        <v/>
      </c>
      <c r="R390" t="str" cm="1">
        <f t="array" ref="R390">IFERROR(INDEX(DB!O$2:O$2576,P390),"")</f>
        <v/>
      </c>
      <c r="S390" t="str">
        <f t="shared" si="18"/>
        <v/>
      </c>
      <c r="T390" t="str">
        <f t="shared" si="19"/>
        <v/>
      </c>
    </row>
    <row r="391" spans="1:20" ht="100" customHeight="1">
      <c r="A391" s="26"/>
      <c r="B391" s="42" t="str">
        <f t="shared" si="17"/>
        <v/>
      </c>
      <c r="C391" s="43"/>
      <c r="D391" s="51" t="str" cm="1">
        <f t="array" ref="D391">IFERROR(INDEX(DB!G$2:G$2576,T391),"")</f>
        <v/>
      </c>
      <c r="E391" s="43"/>
      <c r="F391" s="52" t="str" cm="1">
        <f t="array" ref="F391">IFERROR(INDEX(DB!O$2:O$2576,T391),"")</f>
        <v/>
      </c>
      <c r="G391" s="43"/>
      <c r="H391" s="40" t="str" cm="1">
        <f t="array" ref="H391">IFERROR(INDEX(DB!P$2:P$2576,T391),"")</f>
        <v/>
      </c>
      <c r="I391" s="43"/>
      <c r="J391" s="53" t="str" cm="1">
        <f t="array" ref="J391">IFERROR(INDEX(DB!Q$2:Q$2576,T391),"")</f>
        <v/>
      </c>
      <c r="K391" s="43"/>
      <c r="L391" s="41" t="str" cm="1">
        <f t="array" ref="L391">IFERROR(INDEX(DB!R$2:R$2576,T391),"")</f>
        <v/>
      </c>
      <c r="M391" s="43"/>
      <c r="P391" t="str" cm="1">
        <f t="array" ref="P391">IFERROR(_xlfn.AGGREGATE(15,6,ROW(DB!A$2:A$2576)/((($D$3&lt;&gt;"YES")+($D$3="YES")*(DB!E$2:E$2576="YES"))*(($D$4="")+($D$4&lt;&gt;"")*( DB!B$2:B$2576=$D$4))*(($D$5="")+($D$5&lt;&gt;"")*( DB!C$2:C$2576=$D$5))*(($D$6="")+($D$6&lt;&gt;"")*( DB!D$2:D$2576=$D$6))*(($D$7="")+($D$7&lt;&gt;"")*(ISNUMBER(SEARCH($D$7,DB!G$2:G$2576))))*(($F$7="전체")+($F$7&lt;&gt;"전체")*(DB!H$2:H$2576=$F$7))),ROW()-13)-1,"")</f>
        <v/>
      </c>
      <c r="Q391" t="str" cm="1">
        <f t="array" ref="Q391">IFERROR(INDEX(DB!G$2:G$2576,P391),"")</f>
        <v/>
      </c>
      <c r="R391" t="str" cm="1">
        <f t="array" ref="R391">IFERROR(INDEX(DB!O$2:O$2576,P391),"")</f>
        <v/>
      </c>
      <c r="S391" t="str">
        <f t="shared" si="18"/>
        <v/>
      </c>
      <c r="T391" t="str">
        <f t="shared" si="19"/>
        <v/>
      </c>
    </row>
    <row r="392" spans="1:20" ht="100" customHeight="1">
      <c r="A392" s="26"/>
      <c r="B392" s="39" t="str">
        <f t="shared" si="17"/>
        <v/>
      </c>
      <c r="C392" s="43"/>
      <c r="D392" s="51" t="str" cm="1">
        <f t="array" ref="D392">IFERROR(INDEX(DB!G$2:G$2576,T392),"")</f>
        <v/>
      </c>
      <c r="E392" s="43"/>
      <c r="F392" s="52" t="str" cm="1">
        <f t="array" ref="F392">IFERROR(INDEX(DB!O$2:O$2576,T392),"")</f>
        <v/>
      </c>
      <c r="G392" s="43"/>
      <c r="H392" s="40" t="str" cm="1">
        <f t="array" ref="H392">IFERROR(INDEX(DB!P$2:P$2576,T392),"")</f>
        <v/>
      </c>
      <c r="I392" s="43"/>
      <c r="J392" s="53" t="str" cm="1">
        <f t="array" ref="J392">IFERROR(INDEX(DB!Q$2:Q$2576,T392),"")</f>
        <v/>
      </c>
      <c r="K392" s="43"/>
      <c r="L392" s="41" t="str" cm="1">
        <f t="array" ref="L392">IFERROR(INDEX(DB!R$2:R$2576,T392),"")</f>
        <v/>
      </c>
      <c r="M392" s="43"/>
      <c r="P392" t="str" cm="1">
        <f t="array" ref="P392">IFERROR(_xlfn.AGGREGATE(15,6,ROW(DB!A$2:A$2576)/((($D$3&lt;&gt;"YES")+($D$3="YES")*(DB!E$2:E$2576="YES"))*(($D$4="")+($D$4&lt;&gt;"")*( DB!B$2:B$2576=$D$4))*(($D$5="")+($D$5&lt;&gt;"")*( DB!C$2:C$2576=$D$5))*(($D$6="")+($D$6&lt;&gt;"")*( DB!D$2:D$2576=$D$6))*(($D$7="")+($D$7&lt;&gt;"")*(ISNUMBER(SEARCH($D$7,DB!G$2:G$2576))))*(($F$7="전체")+($F$7&lt;&gt;"전체")*(DB!H$2:H$2576=$F$7))),ROW()-13)-1,"")</f>
        <v/>
      </c>
      <c r="Q392" t="str" cm="1">
        <f t="array" ref="Q392">IFERROR(INDEX(DB!G$2:G$2576,P392),"")</f>
        <v/>
      </c>
      <c r="R392" t="str" cm="1">
        <f t="array" ref="R392">IFERROR(INDEX(DB!O$2:O$2576,P392),"")</f>
        <v/>
      </c>
      <c r="S392" t="str">
        <f t="shared" si="18"/>
        <v/>
      </c>
      <c r="T392" t="str">
        <f t="shared" si="19"/>
        <v/>
      </c>
    </row>
    <row r="393" spans="1:20" ht="100" customHeight="1">
      <c r="A393" s="26"/>
      <c r="B393" s="42" t="str">
        <f t="shared" si="17"/>
        <v/>
      </c>
      <c r="C393" s="43"/>
      <c r="D393" s="51" t="str" cm="1">
        <f t="array" ref="D393">IFERROR(INDEX(DB!G$2:G$2576,T393),"")</f>
        <v/>
      </c>
      <c r="E393" s="43"/>
      <c r="F393" s="52" t="str" cm="1">
        <f t="array" ref="F393">IFERROR(INDEX(DB!O$2:O$2576,T393),"")</f>
        <v/>
      </c>
      <c r="G393" s="43"/>
      <c r="H393" s="40" t="str" cm="1">
        <f t="array" ref="H393">IFERROR(INDEX(DB!P$2:P$2576,T393),"")</f>
        <v/>
      </c>
      <c r="I393" s="43"/>
      <c r="J393" s="53" t="str" cm="1">
        <f t="array" ref="J393">IFERROR(INDEX(DB!Q$2:Q$2576,T393),"")</f>
        <v/>
      </c>
      <c r="K393" s="43"/>
      <c r="L393" s="41" t="str" cm="1">
        <f t="array" ref="L393">IFERROR(INDEX(DB!R$2:R$2576,T393),"")</f>
        <v/>
      </c>
      <c r="M393" s="43"/>
      <c r="P393" t="str" cm="1">
        <f t="array" ref="P393">IFERROR(_xlfn.AGGREGATE(15,6,ROW(DB!A$2:A$2576)/((($D$3&lt;&gt;"YES")+($D$3="YES")*(DB!E$2:E$2576="YES"))*(($D$4="")+($D$4&lt;&gt;"")*( DB!B$2:B$2576=$D$4))*(($D$5="")+($D$5&lt;&gt;"")*( DB!C$2:C$2576=$D$5))*(($D$6="")+($D$6&lt;&gt;"")*( DB!D$2:D$2576=$D$6))*(($D$7="")+($D$7&lt;&gt;"")*(ISNUMBER(SEARCH($D$7,DB!G$2:G$2576))))*(($F$7="전체")+($F$7&lt;&gt;"전체")*(DB!H$2:H$2576=$F$7))),ROW()-13)-1,"")</f>
        <v/>
      </c>
      <c r="Q393" t="str" cm="1">
        <f t="array" ref="Q393">IFERROR(INDEX(DB!G$2:G$2576,P393),"")</f>
        <v/>
      </c>
      <c r="R393" t="str" cm="1">
        <f t="array" ref="R393">IFERROR(INDEX(DB!O$2:O$2576,P393),"")</f>
        <v/>
      </c>
      <c r="S393" t="str">
        <f t="shared" si="18"/>
        <v/>
      </c>
      <c r="T393" t="str">
        <f t="shared" si="19"/>
        <v/>
      </c>
    </row>
    <row r="394" spans="1:20" ht="100" customHeight="1">
      <c r="A394" s="26"/>
      <c r="B394" s="39" t="str">
        <f t="shared" si="17"/>
        <v/>
      </c>
      <c r="C394" s="43"/>
      <c r="D394" s="51" t="str" cm="1">
        <f t="array" ref="D394">IFERROR(INDEX(DB!G$2:G$2576,T394),"")</f>
        <v/>
      </c>
      <c r="E394" s="43"/>
      <c r="F394" s="52" t="str" cm="1">
        <f t="array" ref="F394">IFERROR(INDEX(DB!O$2:O$2576,T394),"")</f>
        <v/>
      </c>
      <c r="G394" s="43"/>
      <c r="H394" s="40" t="str" cm="1">
        <f t="array" ref="H394">IFERROR(INDEX(DB!P$2:P$2576,T394),"")</f>
        <v/>
      </c>
      <c r="I394" s="43"/>
      <c r="J394" s="53" t="str" cm="1">
        <f t="array" ref="J394">IFERROR(INDEX(DB!Q$2:Q$2576,T394),"")</f>
        <v/>
      </c>
      <c r="K394" s="43"/>
      <c r="L394" s="41" t="str" cm="1">
        <f t="array" ref="L394">IFERROR(INDEX(DB!R$2:R$2576,T394),"")</f>
        <v/>
      </c>
      <c r="M394" s="43"/>
      <c r="P394" t="str" cm="1">
        <f t="array" ref="P394">IFERROR(_xlfn.AGGREGATE(15,6,ROW(DB!A$2:A$2576)/((($D$3&lt;&gt;"YES")+($D$3="YES")*(DB!E$2:E$2576="YES"))*(($D$4="")+($D$4&lt;&gt;"")*( DB!B$2:B$2576=$D$4))*(($D$5="")+($D$5&lt;&gt;"")*( DB!C$2:C$2576=$D$5))*(($D$6="")+($D$6&lt;&gt;"")*( DB!D$2:D$2576=$D$6))*(($D$7="")+($D$7&lt;&gt;"")*(ISNUMBER(SEARCH($D$7,DB!G$2:G$2576))))*(($F$7="전체")+($F$7&lt;&gt;"전체")*(DB!H$2:H$2576=$F$7))),ROW()-13)-1,"")</f>
        <v/>
      </c>
      <c r="Q394" t="str" cm="1">
        <f t="array" ref="Q394">IFERROR(INDEX(DB!G$2:G$2576,P394),"")</f>
        <v/>
      </c>
      <c r="R394" t="str" cm="1">
        <f t="array" ref="R394">IFERROR(INDEX(DB!O$2:O$2576,P394),"")</f>
        <v/>
      </c>
      <c r="S394" t="str">
        <f t="shared" si="18"/>
        <v/>
      </c>
      <c r="T394" t="str">
        <f t="shared" si="19"/>
        <v/>
      </c>
    </row>
    <row r="395" spans="1:20" ht="100" customHeight="1">
      <c r="A395" s="26"/>
      <c r="B395" s="42" t="str">
        <f t="shared" si="17"/>
        <v/>
      </c>
      <c r="C395" s="43"/>
      <c r="D395" s="51" t="str" cm="1">
        <f t="array" ref="D395">IFERROR(INDEX(DB!G$2:G$2576,T395),"")</f>
        <v/>
      </c>
      <c r="E395" s="43"/>
      <c r="F395" s="52" t="str" cm="1">
        <f t="array" ref="F395">IFERROR(INDEX(DB!O$2:O$2576,T395),"")</f>
        <v/>
      </c>
      <c r="G395" s="43"/>
      <c r="H395" s="40" t="str" cm="1">
        <f t="array" ref="H395">IFERROR(INDEX(DB!P$2:P$2576,T395),"")</f>
        <v/>
      </c>
      <c r="I395" s="43"/>
      <c r="J395" s="53" t="str" cm="1">
        <f t="array" ref="J395">IFERROR(INDEX(DB!Q$2:Q$2576,T395),"")</f>
        <v/>
      </c>
      <c r="K395" s="43"/>
      <c r="L395" s="41" t="str" cm="1">
        <f t="array" ref="L395">IFERROR(INDEX(DB!R$2:R$2576,T395),"")</f>
        <v/>
      </c>
      <c r="M395" s="43"/>
      <c r="P395" t="str" cm="1">
        <f t="array" ref="P395">IFERROR(_xlfn.AGGREGATE(15,6,ROW(DB!A$2:A$2576)/((($D$3&lt;&gt;"YES")+($D$3="YES")*(DB!E$2:E$2576="YES"))*(($D$4="")+($D$4&lt;&gt;"")*( DB!B$2:B$2576=$D$4))*(($D$5="")+($D$5&lt;&gt;"")*( DB!C$2:C$2576=$D$5))*(($D$6="")+($D$6&lt;&gt;"")*( DB!D$2:D$2576=$D$6))*(($D$7="")+($D$7&lt;&gt;"")*(ISNUMBER(SEARCH($D$7,DB!G$2:G$2576))))*(($F$7="전체")+($F$7&lt;&gt;"전체")*(DB!H$2:H$2576=$F$7))),ROW()-13)-1,"")</f>
        <v/>
      </c>
      <c r="Q395" t="str" cm="1">
        <f t="array" ref="Q395">IFERROR(INDEX(DB!G$2:G$2576,P395),"")</f>
        <v/>
      </c>
      <c r="R395" t="str" cm="1">
        <f t="array" ref="R395">IFERROR(INDEX(DB!O$2:O$2576,P395),"")</f>
        <v/>
      </c>
      <c r="S395" t="str">
        <f t="shared" si="18"/>
        <v/>
      </c>
      <c r="T395" t="str">
        <f t="shared" si="19"/>
        <v/>
      </c>
    </row>
    <row r="396" spans="1:20" ht="100" customHeight="1">
      <c r="A396" s="26"/>
      <c r="B396" s="39" t="str">
        <f t="shared" si="17"/>
        <v/>
      </c>
      <c r="C396" s="43"/>
      <c r="D396" s="51" t="str" cm="1">
        <f t="array" ref="D396">IFERROR(INDEX(DB!G$2:G$2576,T396),"")</f>
        <v/>
      </c>
      <c r="E396" s="43"/>
      <c r="F396" s="52" t="str" cm="1">
        <f t="array" ref="F396">IFERROR(INDEX(DB!O$2:O$2576,T396),"")</f>
        <v/>
      </c>
      <c r="G396" s="43"/>
      <c r="H396" s="40" t="str" cm="1">
        <f t="array" ref="H396">IFERROR(INDEX(DB!P$2:P$2576,T396),"")</f>
        <v/>
      </c>
      <c r="I396" s="43"/>
      <c r="J396" s="53" t="str" cm="1">
        <f t="array" ref="J396">IFERROR(INDEX(DB!Q$2:Q$2576,T396),"")</f>
        <v/>
      </c>
      <c r="K396" s="43"/>
      <c r="L396" s="41" t="str" cm="1">
        <f t="array" ref="L396">IFERROR(INDEX(DB!R$2:R$2576,T396),"")</f>
        <v/>
      </c>
      <c r="M396" s="43"/>
      <c r="P396" t="str" cm="1">
        <f t="array" ref="P396">IFERROR(_xlfn.AGGREGATE(15,6,ROW(DB!A$2:A$2576)/((($D$3&lt;&gt;"YES")+($D$3="YES")*(DB!E$2:E$2576="YES"))*(($D$4="")+($D$4&lt;&gt;"")*( DB!B$2:B$2576=$D$4))*(($D$5="")+($D$5&lt;&gt;"")*( DB!C$2:C$2576=$D$5))*(($D$6="")+($D$6&lt;&gt;"")*( DB!D$2:D$2576=$D$6))*(($D$7="")+($D$7&lt;&gt;"")*(ISNUMBER(SEARCH($D$7,DB!G$2:G$2576))))*(($F$7="전체")+($F$7&lt;&gt;"전체")*(DB!H$2:H$2576=$F$7))),ROW()-13)-1,"")</f>
        <v/>
      </c>
      <c r="Q396" t="str" cm="1">
        <f t="array" ref="Q396">IFERROR(INDEX(DB!G$2:G$2576,P396),"")</f>
        <v/>
      </c>
      <c r="R396" t="str" cm="1">
        <f t="array" ref="R396">IFERROR(INDEX(DB!O$2:O$2576,P396),"")</f>
        <v/>
      </c>
      <c r="S396" t="str">
        <f t="shared" si="18"/>
        <v/>
      </c>
      <c r="T396" t="str">
        <f t="shared" si="19"/>
        <v/>
      </c>
    </row>
    <row r="397" spans="1:20" ht="100" customHeight="1">
      <c r="A397" s="26"/>
      <c r="B397" s="42" t="str">
        <f t="shared" si="17"/>
        <v/>
      </c>
      <c r="C397" s="43"/>
      <c r="D397" s="51" t="str" cm="1">
        <f t="array" ref="D397">IFERROR(INDEX(DB!G$2:G$2576,T397),"")</f>
        <v/>
      </c>
      <c r="E397" s="43"/>
      <c r="F397" s="52" t="str" cm="1">
        <f t="array" ref="F397">IFERROR(INDEX(DB!O$2:O$2576,T397),"")</f>
        <v/>
      </c>
      <c r="G397" s="43"/>
      <c r="H397" s="40" t="str" cm="1">
        <f t="array" ref="H397">IFERROR(INDEX(DB!P$2:P$2576,T397),"")</f>
        <v/>
      </c>
      <c r="I397" s="43"/>
      <c r="J397" s="53" t="str" cm="1">
        <f t="array" ref="J397">IFERROR(INDEX(DB!Q$2:Q$2576,T397),"")</f>
        <v/>
      </c>
      <c r="K397" s="43"/>
      <c r="L397" s="41" t="str" cm="1">
        <f t="array" ref="L397">IFERROR(INDEX(DB!R$2:R$2576,T397),"")</f>
        <v/>
      </c>
      <c r="M397" s="43"/>
      <c r="P397" t="str" cm="1">
        <f t="array" ref="P397">IFERROR(_xlfn.AGGREGATE(15,6,ROW(DB!A$2:A$2576)/((($D$3&lt;&gt;"YES")+($D$3="YES")*(DB!E$2:E$2576="YES"))*(($D$4="")+($D$4&lt;&gt;"")*( DB!B$2:B$2576=$D$4))*(($D$5="")+($D$5&lt;&gt;"")*( DB!C$2:C$2576=$D$5))*(($D$6="")+($D$6&lt;&gt;"")*( DB!D$2:D$2576=$D$6))*(($D$7="")+($D$7&lt;&gt;"")*(ISNUMBER(SEARCH($D$7,DB!G$2:G$2576))))*(($F$7="전체")+($F$7&lt;&gt;"전체")*(DB!H$2:H$2576=$F$7))),ROW()-13)-1,"")</f>
        <v/>
      </c>
      <c r="Q397" t="str" cm="1">
        <f t="array" ref="Q397">IFERROR(INDEX(DB!G$2:G$2576,P397),"")</f>
        <v/>
      </c>
      <c r="R397" t="str" cm="1">
        <f t="array" ref="R397">IFERROR(INDEX(DB!O$2:O$2576,P397),"")</f>
        <v/>
      </c>
      <c r="S397" t="str">
        <f t="shared" si="18"/>
        <v/>
      </c>
      <c r="T397" t="str">
        <f t="shared" si="19"/>
        <v/>
      </c>
    </row>
    <row r="398" spans="1:20" ht="100" customHeight="1">
      <c r="A398" s="26"/>
      <c r="B398" s="39" t="str">
        <f t="shared" si="17"/>
        <v/>
      </c>
      <c r="C398" s="43"/>
      <c r="D398" s="51" t="str" cm="1">
        <f t="array" ref="D398">IFERROR(INDEX(DB!G$2:G$2576,T398),"")</f>
        <v/>
      </c>
      <c r="E398" s="43"/>
      <c r="F398" s="52" t="str" cm="1">
        <f t="array" ref="F398">IFERROR(INDEX(DB!O$2:O$2576,T398),"")</f>
        <v/>
      </c>
      <c r="G398" s="43"/>
      <c r="H398" s="40" t="str" cm="1">
        <f t="array" ref="H398">IFERROR(INDEX(DB!P$2:P$2576,T398),"")</f>
        <v/>
      </c>
      <c r="I398" s="43"/>
      <c r="J398" s="53" t="str" cm="1">
        <f t="array" ref="J398">IFERROR(INDEX(DB!Q$2:Q$2576,T398),"")</f>
        <v/>
      </c>
      <c r="K398" s="43"/>
      <c r="L398" s="41" t="str" cm="1">
        <f t="array" ref="L398">IFERROR(INDEX(DB!R$2:R$2576,T398),"")</f>
        <v/>
      </c>
      <c r="M398" s="43"/>
      <c r="P398" t="str" cm="1">
        <f t="array" ref="P398">IFERROR(_xlfn.AGGREGATE(15,6,ROW(DB!A$2:A$2576)/((($D$3&lt;&gt;"YES")+($D$3="YES")*(DB!E$2:E$2576="YES"))*(($D$4="")+($D$4&lt;&gt;"")*( DB!B$2:B$2576=$D$4))*(($D$5="")+($D$5&lt;&gt;"")*( DB!C$2:C$2576=$D$5))*(($D$6="")+($D$6&lt;&gt;"")*( DB!D$2:D$2576=$D$6))*(($D$7="")+($D$7&lt;&gt;"")*(ISNUMBER(SEARCH($D$7,DB!G$2:G$2576))))*(($F$7="전체")+($F$7&lt;&gt;"전체")*(DB!H$2:H$2576=$F$7))),ROW()-13)-1,"")</f>
        <v/>
      </c>
      <c r="Q398" t="str" cm="1">
        <f t="array" ref="Q398">IFERROR(INDEX(DB!G$2:G$2576,P398),"")</f>
        <v/>
      </c>
      <c r="R398" t="str" cm="1">
        <f t="array" ref="R398">IFERROR(INDEX(DB!O$2:O$2576,P398),"")</f>
        <v/>
      </c>
      <c r="S398" t="str">
        <f t="shared" si="18"/>
        <v/>
      </c>
      <c r="T398" t="str">
        <f t="shared" si="19"/>
        <v/>
      </c>
    </row>
    <row r="399" spans="1:20" ht="100" customHeight="1">
      <c r="A399" s="26"/>
      <c r="B399" s="42" t="str">
        <f t="shared" ref="B399:B462" si="20">IFERROR(IF(T399="","",ROW()-13),"")</f>
        <v/>
      </c>
      <c r="C399" s="43"/>
      <c r="D399" s="51" t="str" cm="1">
        <f t="array" ref="D399">IFERROR(INDEX(DB!G$2:G$2576,T399),"")</f>
        <v/>
      </c>
      <c r="E399" s="43"/>
      <c r="F399" s="52" t="str" cm="1">
        <f t="array" ref="F399">IFERROR(INDEX(DB!O$2:O$2576,T399),"")</f>
        <v/>
      </c>
      <c r="G399" s="43"/>
      <c r="H399" s="40" t="str" cm="1">
        <f t="array" ref="H399">IFERROR(INDEX(DB!P$2:P$2576,T399),"")</f>
        <v/>
      </c>
      <c r="I399" s="43"/>
      <c r="J399" s="53" t="str" cm="1">
        <f t="array" ref="J399">IFERROR(INDEX(DB!Q$2:Q$2576,T399),"")</f>
        <v/>
      </c>
      <c r="K399" s="43"/>
      <c r="L399" s="41" t="str" cm="1">
        <f t="array" ref="L399">IFERROR(INDEX(DB!R$2:R$2576,T399),"")</f>
        <v/>
      </c>
      <c r="M399" s="43"/>
      <c r="P399" t="str" cm="1">
        <f t="array" ref="P399">IFERROR(_xlfn.AGGREGATE(15,6,ROW(DB!A$2:A$2576)/((($D$3&lt;&gt;"YES")+($D$3="YES")*(DB!E$2:E$2576="YES"))*(($D$4="")+($D$4&lt;&gt;"")*( DB!B$2:B$2576=$D$4))*(($D$5="")+($D$5&lt;&gt;"")*( DB!C$2:C$2576=$D$5))*(($D$6="")+($D$6&lt;&gt;"")*( DB!D$2:D$2576=$D$6))*(($D$7="")+($D$7&lt;&gt;"")*(ISNUMBER(SEARCH($D$7,DB!G$2:G$2576))))*(($F$7="전체")+($F$7&lt;&gt;"전체")*(DB!H$2:H$2576=$F$7))),ROW()-13)-1,"")</f>
        <v/>
      </c>
      <c r="Q399" t="str" cm="1">
        <f t="array" ref="Q399">IFERROR(INDEX(DB!G$2:G$2576,P399),"")</f>
        <v/>
      </c>
      <c r="R399" t="str" cm="1">
        <f t="array" ref="R399">IFERROR(INDEX(DB!O$2:O$2576,P399),"")</f>
        <v/>
      </c>
      <c r="S399" t="str">
        <f t="shared" ref="S399:S462" si="21">IF(P399="","",COUNTIF($Q$14:$Q$2587,"&lt;"&amp;Q399)*100+COUNTIF($R$14:$R$2587,"&lt;"&amp;R399)+(ROW()-13)*0.001)</f>
        <v/>
      </c>
      <c r="T399" t="str">
        <f t="shared" ref="T399:T462" si="22">IFERROR(INDEX($P$14:$P$2587,MATCH(SMALL($S$14:$S$2587,ROW()-13),$S$14:$S$2587,0)),"")</f>
        <v/>
      </c>
    </row>
    <row r="400" spans="1:20" ht="100" customHeight="1">
      <c r="A400" s="26"/>
      <c r="B400" s="39" t="str">
        <f t="shared" si="20"/>
        <v/>
      </c>
      <c r="C400" s="43"/>
      <c r="D400" s="51" t="str" cm="1">
        <f t="array" ref="D400">IFERROR(INDEX(DB!G$2:G$2576,T400),"")</f>
        <v/>
      </c>
      <c r="E400" s="43"/>
      <c r="F400" s="52" t="str" cm="1">
        <f t="array" ref="F400">IFERROR(INDEX(DB!O$2:O$2576,T400),"")</f>
        <v/>
      </c>
      <c r="G400" s="43"/>
      <c r="H400" s="40" t="str" cm="1">
        <f t="array" ref="H400">IFERROR(INDEX(DB!P$2:P$2576,T400),"")</f>
        <v/>
      </c>
      <c r="I400" s="43"/>
      <c r="J400" s="53" t="str" cm="1">
        <f t="array" ref="J400">IFERROR(INDEX(DB!Q$2:Q$2576,T400),"")</f>
        <v/>
      </c>
      <c r="K400" s="43"/>
      <c r="L400" s="41" t="str" cm="1">
        <f t="array" ref="L400">IFERROR(INDEX(DB!R$2:R$2576,T400),"")</f>
        <v/>
      </c>
      <c r="M400" s="43"/>
      <c r="P400" t="str" cm="1">
        <f t="array" ref="P400">IFERROR(_xlfn.AGGREGATE(15,6,ROW(DB!A$2:A$2576)/((($D$3&lt;&gt;"YES")+($D$3="YES")*(DB!E$2:E$2576="YES"))*(($D$4="")+($D$4&lt;&gt;"")*( DB!B$2:B$2576=$D$4))*(($D$5="")+($D$5&lt;&gt;"")*( DB!C$2:C$2576=$D$5))*(($D$6="")+($D$6&lt;&gt;"")*( DB!D$2:D$2576=$D$6))*(($D$7="")+($D$7&lt;&gt;"")*(ISNUMBER(SEARCH($D$7,DB!G$2:G$2576))))*(($F$7="전체")+($F$7&lt;&gt;"전체")*(DB!H$2:H$2576=$F$7))),ROW()-13)-1,"")</f>
        <v/>
      </c>
      <c r="Q400" t="str" cm="1">
        <f t="array" ref="Q400">IFERROR(INDEX(DB!G$2:G$2576,P400),"")</f>
        <v/>
      </c>
      <c r="R400" t="str" cm="1">
        <f t="array" ref="R400">IFERROR(INDEX(DB!O$2:O$2576,P400),"")</f>
        <v/>
      </c>
      <c r="S400" t="str">
        <f t="shared" si="21"/>
        <v/>
      </c>
      <c r="T400" t="str">
        <f t="shared" si="22"/>
        <v/>
      </c>
    </row>
    <row r="401" spans="1:20" ht="100" customHeight="1">
      <c r="A401" s="26"/>
      <c r="B401" s="42" t="str">
        <f t="shared" si="20"/>
        <v/>
      </c>
      <c r="C401" s="43"/>
      <c r="D401" s="51" t="str" cm="1">
        <f t="array" ref="D401">IFERROR(INDEX(DB!G$2:G$2576,T401),"")</f>
        <v/>
      </c>
      <c r="E401" s="43"/>
      <c r="F401" s="52" t="str" cm="1">
        <f t="array" ref="F401">IFERROR(INDEX(DB!O$2:O$2576,T401),"")</f>
        <v/>
      </c>
      <c r="G401" s="43"/>
      <c r="H401" s="40" t="str" cm="1">
        <f t="array" ref="H401">IFERROR(INDEX(DB!P$2:P$2576,T401),"")</f>
        <v/>
      </c>
      <c r="I401" s="43"/>
      <c r="J401" s="53" t="str" cm="1">
        <f t="array" ref="J401">IFERROR(INDEX(DB!Q$2:Q$2576,T401),"")</f>
        <v/>
      </c>
      <c r="K401" s="43"/>
      <c r="L401" s="41" t="str" cm="1">
        <f t="array" ref="L401">IFERROR(INDEX(DB!R$2:R$2576,T401),"")</f>
        <v/>
      </c>
      <c r="M401" s="43"/>
      <c r="P401" t="str" cm="1">
        <f t="array" ref="P401">IFERROR(_xlfn.AGGREGATE(15,6,ROW(DB!A$2:A$2576)/((($D$3&lt;&gt;"YES")+($D$3="YES")*(DB!E$2:E$2576="YES"))*(($D$4="")+($D$4&lt;&gt;"")*( DB!B$2:B$2576=$D$4))*(($D$5="")+($D$5&lt;&gt;"")*( DB!C$2:C$2576=$D$5))*(($D$6="")+($D$6&lt;&gt;"")*( DB!D$2:D$2576=$D$6))*(($D$7="")+($D$7&lt;&gt;"")*(ISNUMBER(SEARCH($D$7,DB!G$2:G$2576))))*(($F$7="전체")+($F$7&lt;&gt;"전체")*(DB!H$2:H$2576=$F$7))),ROW()-13)-1,"")</f>
        <v/>
      </c>
      <c r="Q401" t="str" cm="1">
        <f t="array" ref="Q401">IFERROR(INDEX(DB!G$2:G$2576,P401),"")</f>
        <v/>
      </c>
      <c r="R401" t="str" cm="1">
        <f t="array" ref="R401">IFERROR(INDEX(DB!O$2:O$2576,P401),"")</f>
        <v/>
      </c>
      <c r="S401" t="str">
        <f t="shared" si="21"/>
        <v/>
      </c>
      <c r="T401" t="str">
        <f t="shared" si="22"/>
        <v/>
      </c>
    </row>
    <row r="402" spans="1:20" ht="100" customHeight="1">
      <c r="A402" s="26"/>
      <c r="B402" s="39" t="str">
        <f t="shared" si="20"/>
        <v/>
      </c>
      <c r="C402" s="43"/>
      <c r="D402" s="51" t="str" cm="1">
        <f t="array" ref="D402">IFERROR(INDEX(DB!G$2:G$2576,T402),"")</f>
        <v/>
      </c>
      <c r="E402" s="43"/>
      <c r="F402" s="52" t="str" cm="1">
        <f t="array" ref="F402">IFERROR(INDEX(DB!O$2:O$2576,T402),"")</f>
        <v/>
      </c>
      <c r="G402" s="43"/>
      <c r="H402" s="40" t="str" cm="1">
        <f t="array" ref="H402">IFERROR(INDEX(DB!P$2:P$2576,T402),"")</f>
        <v/>
      </c>
      <c r="I402" s="43"/>
      <c r="J402" s="53" t="str" cm="1">
        <f t="array" ref="J402">IFERROR(INDEX(DB!Q$2:Q$2576,T402),"")</f>
        <v/>
      </c>
      <c r="K402" s="43"/>
      <c r="L402" s="41" t="str" cm="1">
        <f t="array" ref="L402">IFERROR(INDEX(DB!R$2:R$2576,T402),"")</f>
        <v/>
      </c>
      <c r="M402" s="43"/>
      <c r="P402" t="str" cm="1">
        <f t="array" ref="P402">IFERROR(_xlfn.AGGREGATE(15,6,ROW(DB!A$2:A$2576)/((($D$3&lt;&gt;"YES")+($D$3="YES")*(DB!E$2:E$2576="YES"))*(($D$4="")+($D$4&lt;&gt;"")*( DB!B$2:B$2576=$D$4))*(($D$5="")+($D$5&lt;&gt;"")*( DB!C$2:C$2576=$D$5))*(($D$6="")+($D$6&lt;&gt;"")*( DB!D$2:D$2576=$D$6))*(($D$7="")+($D$7&lt;&gt;"")*(ISNUMBER(SEARCH($D$7,DB!G$2:G$2576))))*(($F$7="전체")+($F$7&lt;&gt;"전체")*(DB!H$2:H$2576=$F$7))),ROW()-13)-1,"")</f>
        <v/>
      </c>
      <c r="Q402" t="str" cm="1">
        <f t="array" ref="Q402">IFERROR(INDEX(DB!G$2:G$2576,P402),"")</f>
        <v/>
      </c>
      <c r="R402" t="str" cm="1">
        <f t="array" ref="R402">IFERROR(INDEX(DB!O$2:O$2576,P402),"")</f>
        <v/>
      </c>
      <c r="S402" t="str">
        <f t="shared" si="21"/>
        <v/>
      </c>
      <c r="T402" t="str">
        <f t="shared" si="22"/>
        <v/>
      </c>
    </row>
    <row r="403" spans="1:20" ht="100" customHeight="1">
      <c r="A403" s="26"/>
      <c r="B403" s="42" t="str">
        <f t="shared" si="20"/>
        <v/>
      </c>
      <c r="C403" s="43"/>
      <c r="D403" s="51" t="str" cm="1">
        <f t="array" ref="D403">IFERROR(INDEX(DB!G$2:G$2576,T403),"")</f>
        <v/>
      </c>
      <c r="E403" s="43"/>
      <c r="F403" s="52" t="str" cm="1">
        <f t="array" ref="F403">IFERROR(INDEX(DB!O$2:O$2576,T403),"")</f>
        <v/>
      </c>
      <c r="G403" s="43"/>
      <c r="H403" s="40" t="str" cm="1">
        <f t="array" ref="H403">IFERROR(INDEX(DB!P$2:P$2576,T403),"")</f>
        <v/>
      </c>
      <c r="I403" s="43"/>
      <c r="J403" s="53" t="str" cm="1">
        <f t="array" ref="J403">IFERROR(INDEX(DB!Q$2:Q$2576,T403),"")</f>
        <v/>
      </c>
      <c r="K403" s="43"/>
      <c r="L403" s="41" t="str" cm="1">
        <f t="array" ref="L403">IFERROR(INDEX(DB!R$2:R$2576,T403),"")</f>
        <v/>
      </c>
      <c r="M403" s="43"/>
      <c r="P403" t="str" cm="1">
        <f t="array" ref="P403">IFERROR(_xlfn.AGGREGATE(15,6,ROW(DB!A$2:A$2576)/((($D$3&lt;&gt;"YES")+($D$3="YES")*(DB!E$2:E$2576="YES"))*(($D$4="")+($D$4&lt;&gt;"")*( DB!B$2:B$2576=$D$4))*(($D$5="")+($D$5&lt;&gt;"")*( DB!C$2:C$2576=$D$5))*(($D$6="")+($D$6&lt;&gt;"")*( DB!D$2:D$2576=$D$6))*(($D$7="")+($D$7&lt;&gt;"")*(ISNUMBER(SEARCH($D$7,DB!G$2:G$2576))))*(($F$7="전체")+($F$7&lt;&gt;"전체")*(DB!H$2:H$2576=$F$7))),ROW()-13)-1,"")</f>
        <v/>
      </c>
      <c r="Q403" t="str" cm="1">
        <f t="array" ref="Q403">IFERROR(INDEX(DB!G$2:G$2576,P403),"")</f>
        <v/>
      </c>
      <c r="R403" t="str" cm="1">
        <f t="array" ref="R403">IFERROR(INDEX(DB!O$2:O$2576,P403),"")</f>
        <v/>
      </c>
      <c r="S403" t="str">
        <f t="shared" si="21"/>
        <v/>
      </c>
      <c r="T403" t="str">
        <f t="shared" si="22"/>
        <v/>
      </c>
    </row>
    <row r="404" spans="1:20" ht="100" customHeight="1">
      <c r="A404" s="26"/>
      <c r="B404" s="39" t="str">
        <f t="shared" si="20"/>
        <v/>
      </c>
      <c r="C404" s="43"/>
      <c r="D404" s="51" t="str" cm="1">
        <f t="array" ref="D404">IFERROR(INDEX(DB!G$2:G$2576,T404),"")</f>
        <v/>
      </c>
      <c r="E404" s="43"/>
      <c r="F404" s="52" t="str" cm="1">
        <f t="array" ref="F404">IFERROR(INDEX(DB!O$2:O$2576,T404),"")</f>
        <v/>
      </c>
      <c r="G404" s="43"/>
      <c r="H404" s="40" t="str" cm="1">
        <f t="array" ref="H404">IFERROR(INDEX(DB!P$2:P$2576,T404),"")</f>
        <v/>
      </c>
      <c r="I404" s="43"/>
      <c r="J404" s="53" t="str" cm="1">
        <f t="array" ref="J404">IFERROR(INDEX(DB!Q$2:Q$2576,T404),"")</f>
        <v/>
      </c>
      <c r="K404" s="43"/>
      <c r="L404" s="41" t="str" cm="1">
        <f t="array" ref="L404">IFERROR(INDEX(DB!R$2:R$2576,T404),"")</f>
        <v/>
      </c>
      <c r="M404" s="43"/>
      <c r="P404" t="str" cm="1">
        <f t="array" ref="P404">IFERROR(_xlfn.AGGREGATE(15,6,ROW(DB!A$2:A$2576)/((($D$3&lt;&gt;"YES")+($D$3="YES")*(DB!E$2:E$2576="YES"))*(($D$4="")+($D$4&lt;&gt;"")*( DB!B$2:B$2576=$D$4))*(($D$5="")+($D$5&lt;&gt;"")*( DB!C$2:C$2576=$D$5))*(($D$6="")+($D$6&lt;&gt;"")*( DB!D$2:D$2576=$D$6))*(($D$7="")+($D$7&lt;&gt;"")*(ISNUMBER(SEARCH($D$7,DB!G$2:G$2576))))*(($F$7="전체")+($F$7&lt;&gt;"전체")*(DB!H$2:H$2576=$F$7))),ROW()-13)-1,"")</f>
        <v/>
      </c>
      <c r="Q404" t="str" cm="1">
        <f t="array" ref="Q404">IFERROR(INDEX(DB!G$2:G$2576,P404),"")</f>
        <v/>
      </c>
      <c r="R404" t="str" cm="1">
        <f t="array" ref="R404">IFERROR(INDEX(DB!O$2:O$2576,P404),"")</f>
        <v/>
      </c>
      <c r="S404" t="str">
        <f t="shared" si="21"/>
        <v/>
      </c>
      <c r="T404" t="str">
        <f t="shared" si="22"/>
        <v/>
      </c>
    </row>
    <row r="405" spans="1:20" ht="100" customHeight="1">
      <c r="A405" s="26"/>
      <c r="B405" s="42" t="str">
        <f t="shared" si="20"/>
        <v/>
      </c>
      <c r="C405" s="43"/>
      <c r="D405" s="51" t="str" cm="1">
        <f t="array" ref="D405">IFERROR(INDEX(DB!G$2:G$2576,T405),"")</f>
        <v/>
      </c>
      <c r="E405" s="43"/>
      <c r="F405" s="52" t="str" cm="1">
        <f t="array" ref="F405">IFERROR(INDEX(DB!O$2:O$2576,T405),"")</f>
        <v/>
      </c>
      <c r="G405" s="43"/>
      <c r="H405" s="40" t="str" cm="1">
        <f t="array" ref="H405">IFERROR(INDEX(DB!P$2:P$2576,T405),"")</f>
        <v/>
      </c>
      <c r="I405" s="43"/>
      <c r="J405" s="53" t="str" cm="1">
        <f t="array" ref="J405">IFERROR(INDEX(DB!Q$2:Q$2576,T405),"")</f>
        <v/>
      </c>
      <c r="K405" s="43"/>
      <c r="L405" s="41" t="str" cm="1">
        <f t="array" ref="L405">IFERROR(INDEX(DB!R$2:R$2576,T405),"")</f>
        <v/>
      </c>
      <c r="M405" s="43"/>
      <c r="P405" t="str" cm="1">
        <f t="array" ref="P405">IFERROR(_xlfn.AGGREGATE(15,6,ROW(DB!A$2:A$2576)/((($D$3&lt;&gt;"YES")+($D$3="YES")*(DB!E$2:E$2576="YES"))*(($D$4="")+($D$4&lt;&gt;"")*( DB!B$2:B$2576=$D$4))*(($D$5="")+($D$5&lt;&gt;"")*( DB!C$2:C$2576=$D$5))*(($D$6="")+($D$6&lt;&gt;"")*( DB!D$2:D$2576=$D$6))*(($D$7="")+($D$7&lt;&gt;"")*(ISNUMBER(SEARCH($D$7,DB!G$2:G$2576))))*(($F$7="전체")+($F$7&lt;&gt;"전체")*(DB!H$2:H$2576=$F$7))),ROW()-13)-1,"")</f>
        <v/>
      </c>
      <c r="Q405" t="str" cm="1">
        <f t="array" ref="Q405">IFERROR(INDEX(DB!G$2:G$2576,P405),"")</f>
        <v/>
      </c>
      <c r="R405" t="str" cm="1">
        <f t="array" ref="R405">IFERROR(INDEX(DB!O$2:O$2576,P405),"")</f>
        <v/>
      </c>
      <c r="S405" t="str">
        <f t="shared" si="21"/>
        <v/>
      </c>
      <c r="T405" t="str">
        <f t="shared" si="22"/>
        <v/>
      </c>
    </row>
    <row r="406" spans="1:20" ht="100" customHeight="1">
      <c r="A406" s="26"/>
      <c r="B406" s="39" t="str">
        <f t="shared" si="20"/>
        <v/>
      </c>
      <c r="C406" s="43"/>
      <c r="D406" s="51" t="str" cm="1">
        <f t="array" ref="D406">IFERROR(INDEX(DB!G$2:G$2576,T406),"")</f>
        <v/>
      </c>
      <c r="E406" s="43"/>
      <c r="F406" s="52" t="str" cm="1">
        <f t="array" ref="F406">IFERROR(INDEX(DB!O$2:O$2576,T406),"")</f>
        <v/>
      </c>
      <c r="G406" s="43"/>
      <c r="H406" s="40" t="str" cm="1">
        <f t="array" ref="H406">IFERROR(INDEX(DB!P$2:P$2576,T406),"")</f>
        <v/>
      </c>
      <c r="I406" s="43"/>
      <c r="J406" s="53" t="str" cm="1">
        <f t="array" ref="J406">IFERROR(INDEX(DB!Q$2:Q$2576,T406),"")</f>
        <v/>
      </c>
      <c r="K406" s="43"/>
      <c r="L406" s="41" t="str" cm="1">
        <f t="array" ref="L406">IFERROR(INDEX(DB!R$2:R$2576,T406),"")</f>
        <v/>
      </c>
      <c r="M406" s="43"/>
      <c r="P406" t="str" cm="1">
        <f t="array" ref="P406">IFERROR(_xlfn.AGGREGATE(15,6,ROW(DB!A$2:A$2576)/((($D$3&lt;&gt;"YES")+($D$3="YES")*(DB!E$2:E$2576="YES"))*(($D$4="")+($D$4&lt;&gt;"")*( DB!B$2:B$2576=$D$4))*(($D$5="")+($D$5&lt;&gt;"")*( DB!C$2:C$2576=$D$5))*(($D$6="")+($D$6&lt;&gt;"")*( DB!D$2:D$2576=$D$6))*(($D$7="")+($D$7&lt;&gt;"")*(ISNUMBER(SEARCH($D$7,DB!G$2:G$2576))))*(($F$7="전체")+($F$7&lt;&gt;"전체")*(DB!H$2:H$2576=$F$7))),ROW()-13)-1,"")</f>
        <v/>
      </c>
      <c r="Q406" t="str" cm="1">
        <f t="array" ref="Q406">IFERROR(INDEX(DB!G$2:G$2576,P406),"")</f>
        <v/>
      </c>
      <c r="R406" t="str" cm="1">
        <f t="array" ref="R406">IFERROR(INDEX(DB!O$2:O$2576,P406),"")</f>
        <v/>
      </c>
      <c r="S406" t="str">
        <f t="shared" si="21"/>
        <v/>
      </c>
      <c r="T406" t="str">
        <f t="shared" si="22"/>
        <v/>
      </c>
    </row>
    <row r="407" spans="1:20" ht="100" customHeight="1">
      <c r="A407" s="26"/>
      <c r="B407" s="42" t="str">
        <f t="shared" si="20"/>
        <v/>
      </c>
      <c r="C407" s="43"/>
      <c r="D407" s="51" t="str" cm="1">
        <f t="array" ref="D407">IFERROR(INDEX(DB!G$2:G$2576,T407),"")</f>
        <v/>
      </c>
      <c r="E407" s="43"/>
      <c r="F407" s="52" t="str" cm="1">
        <f t="array" ref="F407">IFERROR(INDEX(DB!O$2:O$2576,T407),"")</f>
        <v/>
      </c>
      <c r="G407" s="43"/>
      <c r="H407" s="40" t="str" cm="1">
        <f t="array" ref="H407">IFERROR(INDEX(DB!P$2:P$2576,T407),"")</f>
        <v/>
      </c>
      <c r="I407" s="43"/>
      <c r="J407" s="53" t="str" cm="1">
        <f t="array" ref="J407">IFERROR(INDEX(DB!Q$2:Q$2576,T407),"")</f>
        <v/>
      </c>
      <c r="K407" s="43"/>
      <c r="L407" s="41" t="str" cm="1">
        <f t="array" ref="L407">IFERROR(INDEX(DB!R$2:R$2576,T407),"")</f>
        <v/>
      </c>
      <c r="M407" s="43"/>
      <c r="P407" t="str" cm="1">
        <f t="array" ref="P407">IFERROR(_xlfn.AGGREGATE(15,6,ROW(DB!A$2:A$2576)/((($D$3&lt;&gt;"YES")+($D$3="YES")*(DB!E$2:E$2576="YES"))*(($D$4="")+($D$4&lt;&gt;"")*( DB!B$2:B$2576=$D$4))*(($D$5="")+($D$5&lt;&gt;"")*( DB!C$2:C$2576=$D$5))*(($D$6="")+($D$6&lt;&gt;"")*( DB!D$2:D$2576=$D$6))*(($D$7="")+($D$7&lt;&gt;"")*(ISNUMBER(SEARCH($D$7,DB!G$2:G$2576))))*(($F$7="전체")+($F$7&lt;&gt;"전체")*(DB!H$2:H$2576=$F$7))),ROW()-13)-1,"")</f>
        <v/>
      </c>
      <c r="Q407" t="str" cm="1">
        <f t="array" ref="Q407">IFERROR(INDEX(DB!G$2:G$2576,P407),"")</f>
        <v/>
      </c>
      <c r="R407" t="str" cm="1">
        <f t="array" ref="R407">IFERROR(INDEX(DB!O$2:O$2576,P407),"")</f>
        <v/>
      </c>
      <c r="S407" t="str">
        <f t="shared" si="21"/>
        <v/>
      </c>
      <c r="T407" t="str">
        <f t="shared" si="22"/>
        <v/>
      </c>
    </row>
    <row r="408" spans="1:20" ht="100" customHeight="1">
      <c r="A408" s="26"/>
      <c r="B408" s="39" t="str">
        <f t="shared" si="20"/>
        <v/>
      </c>
      <c r="C408" s="43"/>
      <c r="D408" s="51" t="str" cm="1">
        <f t="array" ref="D408">IFERROR(INDEX(DB!G$2:G$2576,T408),"")</f>
        <v/>
      </c>
      <c r="E408" s="43"/>
      <c r="F408" s="52" t="str" cm="1">
        <f t="array" ref="F408">IFERROR(INDEX(DB!O$2:O$2576,T408),"")</f>
        <v/>
      </c>
      <c r="G408" s="43"/>
      <c r="H408" s="40" t="str" cm="1">
        <f t="array" ref="H408">IFERROR(INDEX(DB!P$2:P$2576,T408),"")</f>
        <v/>
      </c>
      <c r="I408" s="43"/>
      <c r="J408" s="53" t="str" cm="1">
        <f t="array" ref="J408">IFERROR(INDEX(DB!Q$2:Q$2576,T408),"")</f>
        <v/>
      </c>
      <c r="K408" s="43"/>
      <c r="L408" s="41" t="str" cm="1">
        <f t="array" ref="L408">IFERROR(INDEX(DB!R$2:R$2576,T408),"")</f>
        <v/>
      </c>
      <c r="M408" s="43"/>
      <c r="P408" t="str" cm="1">
        <f t="array" ref="P408">IFERROR(_xlfn.AGGREGATE(15,6,ROW(DB!A$2:A$2576)/((($D$3&lt;&gt;"YES")+($D$3="YES")*(DB!E$2:E$2576="YES"))*(($D$4="")+($D$4&lt;&gt;"")*( DB!B$2:B$2576=$D$4))*(($D$5="")+($D$5&lt;&gt;"")*( DB!C$2:C$2576=$D$5))*(($D$6="")+($D$6&lt;&gt;"")*( DB!D$2:D$2576=$D$6))*(($D$7="")+($D$7&lt;&gt;"")*(ISNUMBER(SEARCH($D$7,DB!G$2:G$2576))))*(($F$7="전체")+($F$7&lt;&gt;"전체")*(DB!H$2:H$2576=$F$7))),ROW()-13)-1,"")</f>
        <v/>
      </c>
      <c r="Q408" t="str" cm="1">
        <f t="array" ref="Q408">IFERROR(INDEX(DB!G$2:G$2576,P408),"")</f>
        <v/>
      </c>
      <c r="R408" t="str" cm="1">
        <f t="array" ref="R408">IFERROR(INDEX(DB!O$2:O$2576,P408),"")</f>
        <v/>
      </c>
      <c r="S408" t="str">
        <f t="shared" si="21"/>
        <v/>
      </c>
      <c r="T408" t="str">
        <f t="shared" si="22"/>
        <v/>
      </c>
    </row>
    <row r="409" spans="1:20" ht="100" customHeight="1">
      <c r="A409" s="26"/>
      <c r="B409" s="42" t="str">
        <f t="shared" si="20"/>
        <v/>
      </c>
      <c r="C409" s="43"/>
      <c r="D409" s="51" t="str" cm="1">
        <f t="array" ref="D409">IFERROR(INDEX(DB!G$2:G$2576,T409),"")</f>
        <v/>
      </c>
      <c r="E409" s="43"/>
      <c r="F409" s="52" t="str" cm="1">
        <f t="array" ref="F409">IFERROR(INDEX(DB!O$2:O$2576,T409),"")</f>
        <v/>
      </c>
      <c r="G409" s="43"/>
      <c r="H409" s="40" t="str" cm="1">
        <f t="array" ref="H409">IFERROR(INDEX(DB!P$2:P$2576,T409),"")</f>
        <v/>
      </c>
      <c r="I409" s="43"/>
      <c r="J409" s="53" t="str" cm="1">
        <f t="array" ref="J409">IFERROR(INDEX(DB!Q$2:Q$2576,T409),"")</f>
        <v/>
      </c>
      <c r="K409" s="43"/>
      <c r="L409" s="41" t="str" cm="1">
        <f t="array" ref="L409">IFERROR(INDEX(DB!R$2:R$2576,T409),"")</f>
        <v/>
      </c>
      <c r="M409" s="43"/>
      <c r="P409" t="str" cm="1">
        <f t="array" ref="P409">IFERROR(_xlfn.AGGREGATE(15,6,ROW(DB!A$2:A$2576)/((($D$3&lt;&gt;"YES")+($D$3="YES")*(DB!E$2:E$2576="YES"))*(($D$4="")+($D$4&lt;&gt;"")*( DB!B$2:B$2576=$D$4))*(($D$5="")+($D$5&lt;&gt;"")*( DB!C$2:C$2576=$D$5))*(($D$6="")+($D$6&lt;&gt;"")*( DB!D$2:D$2576=$D$6))*(($D$7="")+($D$7&lt;&gt;"")*(ISNUMBER(SEARCH($D$7,DB!G$2:G$2576))))*(($F$7="전체")+($F$7&lt;&gt;"전체")*(DB!H$2:H$2576=$F$7))),ROW()-13)-1,"")</f>
        <v/>
      </c>
      <c r="Q409" t="str" cm="1">
        <f t="array" ref="Q409">IFERROR(INDEX(DB!G$2:G$2576,P409),"")</f>
        <v/>
      </c>
      <c r="R409" t="str" cm="1">
        <f t="array" ref="R409">IFERROR(INDEX(DB!O$2:O$2576,P409),"")</f>
        <v/>
      </c>
      <c r="S409" t="str">
        <f t="shared" si="21"/>
        <v/>
      </c>
      <c r="T409" t="str">
        <f t="shared" si="22"/>
        <v/>
      </c>
    </row>
    <row r="410" spans="1:20" ht="100" customHeight="1">
      <c r="A410" s="26"/>
      <c r="B410" s="39" t="str">
        <f t="shared" si="20"/>
        <v/>
      </c>
      <c r="C410" s="43"/>
      <c r="D410" s="51" t="str" cm="1">
        <f t="array" ref="D410">IFERROR(INDEX(DB!G$2:G$2576,T410),"")</f>
        <v/>
      </c>
      <c r="E410" s="43"/>
      <c r="F410" s="52" t="str" cm="1">
        <f t="array" ref="F410">IFERROR(INDEX(DB!O$2:O$2576,T410),"")</f>
        <v/>
      </c>
      <c r="G410" s="43"/>
      <c r="H410" s="40" t="str" cm="1">
        <f t="array" ref="H410">IFERROR(INDEX(DB!P$2:P$2576,T410),"")</f>
        <v/>
      </c>
      <c r="I410" s="43"/>
      <c r="J410" s="53" t="str" cm="1">
        <f t="array" ref="J410">IFERROR(INDEX(DB!Q$2:Q$2576,T410),"")</f>
        <v/>
      </c>
      <c r="K410" s="43"/>
      <c r="L410" s="41" t="str" cm="1">
        <f t="array" ref="L410">IFERROR(INDEX(DB!R$2:R$2576,T410),"")</f>
        <v/>
      </c>
      <c r="M410" s="43"/>
      <c r="P410" t="str" cm="1">
        <f t="array" ref="P410">IFERROR(_xlfn.AGGREGATE(15,6,ROW(DB!A$2:A$2576)/((($D$3&lt;&gt;"YES")+($D$3="YES")*(DB!E$2:E$2576="YES"))*(($D$4="")+($D$4&lt;&gt;"")*( DB!B$2:B$2576=$D$4))*(($D$5="")+($D$5&lt;&gt;"")*( DB!C$2:C$2576=$D$5))*(($D$6="")+($D$6&lt;&gt;"")*( DB!D$2:D$2576=$D$6))*(($D$7="")+($D$7&lt;&gt;"")*(ISNUMBER(SEARCH($D$7,DB!G$2:G$2576))))*(($F$7="전체")+($F$7&lt;&gt;"전체")*(DB!H$2:H$2576=$F$7))),ROW()-13)-1,"")</f>
        <v/>
      </c>
      <c r="Q410" t="str" cm="1">
        <f t="array" ref="Q410">IFERROR(INDEX(DB!G$2:G$2576,P410),"")</f>
        <v/>
      </c>
      <c r="R410" t="str" cm="1">
        <f t="array" ref="R410">IFERROR(INDEX(DB!O$2:O$2576,P410),"")</f>
        <v/>
      </c>
      <c r="S410" t="str">
        <f t="shared" si="21"/>
        <v/>
      </c>
      <c r="T410" t="str">
        <f t="shared" si="22"/>
        <v/>
      </c>
    </row>
    <row r="411" spans="1:20" ht="100" customHeight="1">
      <c r="A411" s="26"/>
      <c r="B411" s="42" t="str">
        <f t="shared" si="20"/>
        <v/>
      </c>
      <c r="C411" s="43"/>
      <c r="D411" s="51" t="str" cm="1">
        <f t="array" ref="D411">IFERROR(INDEX(DB!G$2:G$2576,T411),"")</f>
        <v/>
      </c>
      <c r="E411" s="43"/>
      <c r="F411" s="52" t="str" cm="1">
        <f t="array" ref="F411">IFERROR(INDEX(DB!O$2:O$2576,T411),"")</f>
        <v/>
      </c>
      <c r="G411" s="43"/>
      <c r="H411" s="40" t="str" cm="1">
        <f t="array" ref="H411">IFERROR(INDEX(DB!P$2:P$2576,T411),"")</f>
        <v/>
      </c>
      <c r="I411" s="43"/>
      <c r="J411" s="53" t="str" cm="1">
        <f t="array" ref="J411">IFERROR(INDEX(DB!Q$2:Q$2576,T411),"")</f>
        <v/>
      </c>
      <c r="K411" s="43"/>
      <c r="L411" s="41" t="str" cm="1">
        <f t="array" ref="L411">IFERROR(INDEX(DB!R$2:R$2576,T411),"")</f>
        <v/>
      </c>
      <c r="M411" s="43"/>
      <c r="P411" t="str" cm="1">
        <f t="array" ref="P411">IFERROR(_xlfn.AGGREGATE(15,6,ROW(DB!A$2:A$2576)/((($D$3&lt;&gt;"YES")+($D$3="YES")*(DB!E$2:E$2576="YES"))*(($D$4="")+($D$4&lt;&gt;"")*( DB!B$2:B$2576=$D$4))*(($D$5="")+($D$5&lt;&gt;"")*( DB!C$2:C$2576=$D$5))*(($D$6="")+($D$6&lt;&gt;"")*( DB!D$2:D$2576=$D$6))*(($D$7="")+($D$7&lt;&gt;"")*(ISNUMBER(SEARCH($D$7,DB!G$2:G$2576))))*(($F$7="전체")+($F$7&lt;&gt;"전체")*(DB!H$2:H$2576=$F$7))),ROW()-13)-1,"")</f>
        <v/>
      </c>
      <c r="Q411" t="str" cm="1">
        <f t="array" ref="Q411">IFERROR(INDEX(DB!G$2:G$2576,P411),"")</f>
        <v/>
      </c>
      <c r="R411" t="str" cm="1">
        <f t="array" ref="R411">IFERROR(INDEX(DB!O$2:O$2576,P411),"")</f>
        <v/>
      </c>
      <c r="S411" t="str">
        <f t="shared" si="21"/>
        <v/>
      </c>
      <c r="T411" t="str">
        <f t="shared" si="22"/>
        <v/>
      </c>
    </row>
    <row r="412" spans="1:20" ht="100" customHeight="1">
      <c r="A412" s="26"/>
      <c r="B412" s="39" t="str">
        <f t="shared" si="20"/>
        <v/>
      </c>
      <c r="C412" s="43"/>
      <c r="D412" s="51" t="str" cm="1">
        <f t="array" ref="D412">IFERROR(INDEX(DB!G$2:G$2576,T412),"")</f>
        <v/>
      </c>
      <c r="E412" s="43"/>
      <c r="F412" s="52" t="str" cm="1">
        <f t="array" ref="F412">IFERROR(INDEX(DB!O$2:O$2576,T412),"")</f>
        <v/>
      </c>
      <c r="G412" s="43"/>
      <c r="H412" s="40" t="str" cm="1">
        <f t="array" ref="H412">IFERROR(INDEX(DB!P$2:P$2576,T412),"")</f>
        <v/>
      </c>
      <c r="I412" s="43"/>
      <c r="J412" s="53" t="str" cm="1">
        <f t="array" ref="J412">IFERROR(INDEX(DB!Q$2:Q$2576,T412),"")</f>
        <v/>
      </c>
      <c r="K412" s="43"/>
      <c r="L412" s="41" t="str" cm="1">
        <f t="array" ref="L412">IFERROR(INDEX(DB!R$2:R$2576,T412),"")</f>
        <v/>
      </c>
      <c r="M412" s="43"/>
      <c r="P412" t="str" cm="1">
        <f t="array" ref="P412">IFERROR(_xlfn.AGGREGATE(15,6,ROW(DB!A$2:A$2576)/((($D$3&lt;&gt;"YES")+($D$3="YES")*(DB!E$2:E$2576="YES"))*(($D$4="")+($D$4&lt;&gt;"")*( DB!B$2:B$2576=$D$4))*(($D$5="")+($D$5&lt;&gt;"")*( DB!C$2:C$2576=$D$5))*(($D$6="")+($D$6&lt;&gt;"")*( DB!D$2:D$2576=$D$6))*(($D$7="")+($D$7&lt;&gt;"")*(ISNUMBER(SEARCH($D$7,DB!G$2:G$2576))))*(($F$7="전체")+($F$7&lt;&gt;"전체")*(DB!H$2:H$2576=$F$7))),ROW()-13)-1,"")</f>
        <v/>
      </c>
      <c r="Q412" t="str" cm="1">
        <f t="array" ref="Q412">IFERROR(INDEX(DB!G$2:G$2576,P412),"")</f>
        <v/>
      </c>
      <c r="R412" t="str" cm="1">
        <f t="array" ref="R412">IFERROR(INDEX(DB!O$2:O$2576,P412),"")</f>
        <v/>
      </c>
      <c r="S412" t="str">
        <f t="shared" si="21"/>
        <v/>
      </c>
      <c r="T412" t="str">
        <f t="shared" si="22"/>
        <v/>
      </c>
    </row>
    <row r="413" spans="1:20" ht="100" customHeight="1">
      <c r="A413" s="26"/>
      <c r="B413" s="42" t="str">
        <f t="shared" si="20"/>
        <v/>
      </c>
      <c r="C413" s="43"/>
      <c r="D413" s="51" t="str" cm="1">
        <f t="array" ref="D413">IFERROR(INDEX(DB!G$2:G$2576,T413),"")</f>
        <v/>
      </c>
      <c r="E413" s="43"/>
      <c r="F413" s="52" t="str" cm="1">
        <f t="array" ref="F413">IFERROR(INDEX(DB!O$2:O$2576,T413),"")</f>
        <v/>
      </c>
      <c r="G413" s="43"/>
      <c r="H413" s="40" t="str" cm="1">
        <f t="array" ref="H413">IFERROR(INDEX(DB!P$2:P$2576,T413),"")</f>
        <v/>
      </c>
      <c r="I413" s="43"/>
      <c r="J413" s="53" t="str" cm="1">
        <f t="array" ref="J413">IFERROR(INDEX(DB!Q$2:Q$2576,T413),"")</f>
        <v/>
      </c>
      <c r="K413" s="43"/>
      <c r="L413" s="41" t="str" cm="1">
        <f t="array" ref="L413">IFERROR(INDEX(DB!R$2:R$2576,T413),"")</f>
        <v/>
      </c>
      <c r="M413" s="43"/>
      <c r="P413" t="str" cm="1">
        <f t="array" ref="P413">IFERROR(_xlfn.AGGREGATE(15,6,ROW(DB!A$2:A$2576)/((($D$3&lt;&gt;"YES")+($D$3="YES")*(DB!E$2:E$2576="YES"))*(($D$4="")+($D$4&lt;&gt;"")*( DB!B$2:B$2576=$D$4))*(($D$5="")+($D$5&lt;&gt;"")*( DB!C$2:C$2576=$D$5))*(($D$6="")+($D$6&lt;&gt;"")*( DB!D$2:D$2576=$D$6))*(($D$7="")+($D$7&lt;&gt;"")*(ISNUMBER(SEARCH($D$7,DB!G$2:G$2576))))*(($F$7="전체")+($F$7&lt;&gt;"전체")*(DB!H$2:H$2576=$F$7))),ROW()-13)-1,"")</f>
        <v/>
      </c>
      <c r="Q413" t="str" cm="1">
        <f t="array" ref="Q413">IFERROR(INDEX(DB!G$2:G$2576,P413),"")</f>
        <v/>
      </c>
      <c r="R413" t="str" cm="1">
        <f t="array" ref="R413">IFERROR(INDEX(DB!O$2:O$2576,P413),"")</f>
        <v/>
      </c>
      <c r="S413" t="str">
        <f t="shared" si="21"/>
        <v/>
      </c>
      <c r="T413" t="str">
        <f t="shared" si="22"/>
        <v/>
      </c>
    </row>
    <row r="414" spans="1:20" ht="100" customHeight="1">
      <c r="A414" s="26"/>
      <c r="B414" s="39" t="str">
        <f t="shared" si="20"/>
        <v/>
      </c>
      <c r="C414" s="43"/>
      <c r="D414" s="51" t="str" cm="1">
        <f t="array" ref="D414">IFERROR(INDEX(DB!G$2:G$2576,T414),"")</f>
        <v/>
      </c>
      <c r="E414" s="43"/>
      <c r="F414" s="52" t="str" cm="1">
        <f t="array" ref="F414">IFERROR(INDEX(DB!O$2:O$2576,T414),"")</f>
        <v/>
      </c>
      <c r="G414" s="43"/>
      <c r="H414" s="40" t="str" cm="1">
        <f t="array" ref="H414">IFERROR(INDEX(DB!P$2:P$2576,T414),"")</f>
        <v/>
      </c>
      <c r="I414" s="43"/>
      <c r="J414" s="53" t="str" cm="1">
        <f t="array" ref="J414">IFERROR(INDEX(DB!Q$2:Q$2576,T414),"")</f>
        <v/>
      </c>
      <c r="K414" s="43"/>
      <c r="L414" s="41" t="str" cm="1">
        <f t="array" ref="L414">IFERROR(INDEX(DB!R$2:R$2576,T414),"")</f>
        <v/>
      </c>
      <c r="M414" s="43"/>
      <c r="P414" t="str" cm="1">
        <f t="array" ref="P414">IFERROR(_xlfn.AGGREGATE(15,6,ROW(DB!A$2:A$2576)/((($D$3&lt;&gt;"YES")+($D$3="YES")*(DB!E$2:E$2576="YES"))*(($D$4="")+($D$4&lt;&gt;"")*( DB!B$2:B$2576=$D$4))*(($D$5="")+($D$5&lt;&gt;"")*( DB!C$2:C$2576=$D$5))*(($D$6="")+($D$6&lt;&gt;"")*( DB!D$2:D$2576=$D$6))*(($D$7="")+($D$7&lt;&gt;"")*(ISNUMBER(SEARCH($D$7,DB!G$2:G$2576))))*(($F$7="전체")+($F$7&lt;&gt;"전체")*(DB!H$2:H$2576=$F$7))),ROW()-13)-1,"")</f>
        <v/>
      </c>
      <c r="Q414" t="str" cm="1">
        <f t="array" ref="Q414">IFERROR(INDEX(DB!G$2:G$2576,P414),"")</f>
        <v/>
      </c>
      <c r="R414" t="str" cm="1">
        <f t="array" ref="R414">IFERROR(INDEX(DB!O$2:O$2576,P414),"")</f>
        <v/>
      </c>
      <c r="S414" t="str">
        <f t="shared" si="21"/>
        <v/>
      </c>
      <c r="T414" t="str">
        <f t="shared" si="22"/>
        <v/>
      </c>
    </row>
    <row r="415" spans="1:20" ht="100" customHeight="1">
      <c r="A415" s="26"/>
      <c r="B415" s="42" t="str">
        <f t="shared" si="20"/>
        <v/>
      </c>
      <c r="C415" s="43"/>
      <c r="D415" s="51" t="str" cm="1">
        <f t="array" ref="D415">IFERROR(INDEX(DB!G$2:G$2576,T415),"")</f>
        <v/>
      </c>
      <c r="E415" s="43"/>
      <c r="F415" s="52" t="str" cm="1">
        <f t="array" ref="F415">IFERROR(INDEX(DB!O$2:O$2576,T415),"")</f>
        <v/>
      </c>
      <c r="G415" s="43"/>
      <c r="H415" s="40" t="str" cm="1">
        <f t="array" ref="H415">IFERROR(INDEX(DB!P$2:P$2576,T415),"")</f>
        <v/>
      </c>
      <c r="I415" s="43"/>
      <c r="J415" s="53" t="str" cm="1">
        <f t="array" ref="J415">IFERROR(INDEX(DB!Q$2:Q$2576,T415),"")</f>
        <v/>
      </c>
      <c r="K415" s="43"/>
      <c r="L415" s="41" t="str" cm="1">
        <f t="array" ref="L415">IFERROR(INDEX(DB!R$2:R$2576,T415),"")</f>
        <v/>
      </c>
      <c r="M415" s="43"/>
      <c r="P415" t="str" cm="1">
        <f t="array" ref="P415">IFERROR(_xlfn.AGGREGATE(15,6,ROW(DB!A$2:A$2576)/((($D$3&lt;&gt;"YES")+($D$3="YES")*(DB!E$2:E$2576="YES"))*(($D$4="")+($D$4&lt;&gt;"")*( DB!B$2:B$2576=$D$4))*(($D$5="")+($D$5&lt;&gt;"")*( DB!C$2:C$2576=$D$5))*(($D$6="")+($D$6&lt;&gt;"")*( DB!D$2:D$2576=$D$6))*(($D$7="")+($D$7&lt;&gt;"")*(ISNUMBER(SEARCH($D$7,DB!G$2:G$2576))))*(($F$7="전체")+($F$7&lt;&gt;"전체")*(DB!H$2:H$2576=$F$7))),ROW()-13)-1,"")</f>
        <v/>
      </c>
      <c r="Q415" t="str" cm="1">
        <f t="array" ref="Q415">IFERROR(INDEX(DB!G$2:G$2576,P415),"")</f>
        <v/>
      </c>
      <c r="R415" t="str" cm="1">
        <f t="array" ref="R415">IFERROR(INDEX(DB!O$2:O$2576,P415),"")</f>
        <v/>
      </c>
      <c r="S415" t="str">
        <f t="shared" si="21"/>
        <v/>
      </c>
      <c r="T415" t="str">
        <f t="shared" si="22"/>
        <v/>
      </c>
    </row>
    <row r="416" spans="1:20" ht="100" customHeight="1">
      <c r="A416" s="26"/>
      <c r="B416" s="39" t="str">
        <f t="shared" si="20"/>
        <v/>
      </c>
      <c r="C416" s="43"/>
      <c r="D416" s="51" t="str" cm="1">
        <f t="array" ref="D416">IFERROR(INDEX(DB!G$2:G$2576,T416),"")</f>
        <v/>
      </c>
      <c r="E416" s="43"/>
      <c r="F416" s="52" t="str" cm="1">
        <f t="array" ref="F416">IFERROR(INDEX(DB!O$2:O$2576,T416),"")</f>
        <v/>
      </c>
      <c r="G416" s="43"/>
      <c r="H416" s="40" t="str" cm="1">
        <f t="array" ref="H416">IFERROR(INDEX(DB!P$2:P$2576,T416),"")</f>
        <v/>
      </c>
      <c r="I416" s="43"/>
      <c r="J416" s="53" t="str" cm="1">
        <f t="array" ref="J416">IFERROR(INDEX(DB!Q$2:Q$2576,T416),"")</f>
        <v/>
      </c>
      <c r="K416" s="43"/>
      <c r="L416" s="41" t="str" cm="1">
        <f t="array" ref="L416">IFERROR(INDEX(DB!R$2:R$2576,T416),"")</f>
        <v/>
      </c>
      <c r="M416" s="43"/>
      <c r="P416" t="str" cm="1">
        <f t="array" ref="P416">IFERROR(_xlfn.AGGREGATE(15,6,ROW(DB!A$2:A$2576)/((($D$3&lt;&gt;"YES")+($D$3="YES")*(DB!E$2:E$2576="YES"))*(($D$4="")+($D$4&lt;&gt;"")*( DB!B$2:B$2576=$D$4))*(($D$5="")+($D$5&lt;&gt;"")*( DB!C$2:C$2576=$D$5))*(($D$6="")+($D$6&lt;&gt;"")*( DB!D$2:D$2576=$D$6))*(($D$7="")+($D$7&lt;&gt;"")*(ISNUMBER(SEARCH($D$7,DB!G$2:G$2576))))*(($F$7="전체")+($F$7&lt;&gt;"전체")*(DB!H$2:H$2576=$F$7))),ROW()-13)-1,"")</f>
        <v/>
      </c>
      <c r="Q416" t="str" cm="1">
        <f t="array" ref="Q416">IFERROR(INDEX(DB!G$2:G$2576,P416),"")</f>
        <v/>
      </c>
      <c r="R416" t="str" cm="1">
        <f t="array" ref="R416">IFERROR(INDEX(DB!O$2:O$2576,P416),"")</f>
        <v/>
      </c>
      <c r="S416" t="str">
        <f t="shared" si="21"/>
        <v/>
      </c>
      <c r="T416" t="str">
        <f t="shared" si="22"/>
        <v/>
      </c>
    </row>
    <row r="417" spans="1:20" ht="100" customHeight="1">
      <c r="A417" s="26"/>
      <c r="B417" s="42" t="str">
        <f t="shared" si="20"/>
        <v/>
      </c>
      <c r="C417" s="43"/>
      <c r="D417" s="51" t="str" cm="1">
        <f t="array" ref="D417">IFERROR(INDEX(DB!G$2:G$2576,T417),"")</f>
        <v/>
      </c>
      <c r="E417" s="43"/>
      <c r="F417" s="52" t="str" cm="1">
        <f t="array" ref="F417">IFERROR(INDEX(DB!O$2:O$2576,T417),"")</f>
        <v/>
      </c>
      <c r="G417" s="43"/>
      <c r="H417" s="40" t="str" cm="1">
        <f t="array" ref="H417">IFERROR(INDEX(DB!P$2:P$2576,T417),"")</f>
        <v/>
      </c>
      <c r="I417" s="43"/>
      <c r="J417" s="53" t="str" cm="1">
        <f t="array" ref="J417">IFERROR(INDEX(DB!Q$2:Q$2576,T417),"")</f>
        <v/>
      </c>
      <c r="K417" s="43"/>
      <c r="L417" s="41" t="str" cm="1">
        <f t="array" ref="L417">IFERROR(INDEX(DB!R$2:R$2576,T417),"")</f>
        <v/>
      </c>
      <c r="M417" s="43"/>
      <c r="P417" t="str" cm="1">
        <f t="array" ref="P417">IFERROR(_xlfn.AGGREGATE(15,6,ROW(DB!A$2:A$2576)/((($D$3&lt;&gt;"YES")+($D$3="YES")*(DB!E$2:E$2576="YES"))*(($D$4="")+($D$4&lt;&gt;"")*( DB!B$2:B$2576=$D$4))*(($D$5="")+($D$5&lt;&gt;"")*( DB!C$2:C$2576=$D$5))*(($D$6="")+($D$6&lt;&gt;"")*( DB!D$2:D$2576=$D$6))*(($D$7="")+($D$7&lt;&gt;"")*(ISNUMBER(SEARCH($D$7,DB!G$2:G$2576))))*(($F$7="전체")+($F$7&lt;&gt;"전체")*(DB!H$2:H$2576=$F$7))),ROW()-13)-1,"")</f>
        <v/>
      </c>
      <c r="Q417" t="str" cm="1">
        <f t="array" ref="Q417">IFERROR(INDEX(DB!G$2:G$2576,P417),"")</f>
        <v/>
      </c>
      <c r="R417" t="str" cm="1">
        <f t="array" ref="R417">IFERROR(INDEX(DB!O$2:O$2576,P417),"")</f>
        <v/>
      </c>
      <c r="S417" t="str">
        <f t="shared" si="21"/>
        <v/>
      </c>
      <c r="T417" t="str">
        <f t="shared" si="22"/>
        <v/>
      </c>
    </row>
    <row r="418" spans="1:20" ht="100" customHeight="1">
      <c r="A418" s="26"/>
      <c r="B418" s="39" t="str">
        <f t="shared" si="20"/>
        <v/>
      </c>
      <c r="C418" s="43"/>
      <c r="D418" s="51" t="str" cm="1">
        <f t="array" ref="D418">IFERROR(INDEX(DB!G$2:G$2576,T418),"")</f>
        <v/>
      </c>
      <c r="E418" s="43"/>
      <c r="F418" s="52" t="str" cm="1">
        <f t="array" ref="F418">IFERROR(INDEX(DB!O$2:O$2576,T418),"")</f>
        <v/>
      </c>
      <c r="G418" s="43"/>
      <c r="H418" s="40" t="str" cm="1">
        <f t="array" ref="H418">IFERROR(INDEX(DB!P$2:P$2576,T418),"")</f>
        <v/>
      </c>
      <c r="I418" s="43"/>
      <c r="J418" s="53" t="str" cm="1">
        <f t="array" ref="J418">IFERROR(INDEX(DB!Q$2:Q$2576,T418),"")</f>
        <v/>
      </c>
      <c r="K418" s="43"/>
      <c r="L418" s="41" t="str" cm="1">
        <f t="array" ref="L418">IFERROR(INDEX(DB!R$2:R$2576,T418),"")</f>
        <v/>
      </c>
      <c r="M418" s="43"/>
      <c r="P418" t="str" cm="1">
        <f t="array" ref="P418">IFERROR(_xlfn.AGGREGATE(15,6,ROW(DB!A$2:A$2576)/((($D$3&lt;&gt;"YES")+($D$3="YES")*(DB!E$2:E$2576="YES"))*(($D$4="")+($D$4&lt;&gt;"")*( DB!B$2:B$2576=$D$4))*(($D$5="")+($D$5&lt;&gt;"")*( DB!C$2:C$2576=$D$5))*(($D$6="")+($D$6&lt;&gt;"")*( DB!D$2:D$2576=$D$6))*(($D$7="")+($D$7&lt;&gt;"")*(ISNUMBER(SEARCH($D$7,DB!G$2:G$2576))))*(($F$7="전체")+($F$7&lt;&gt;"전체")*(DB!H$2:H$2576=$F$7))),ROW()-13)-1,"")</f>
        <v/>
      </c>
      <c r="Q418" t="str" cm="1">
        <f t="array" ref="Q418">IFERROR(INDEX(DB!G$2:G$2576,P418),"")</f>
        <v/>
      </c>
      <c r="R418" t="str" cm="1">
        <f t="array" ref="R418">IFERROR(INDEX(DB!O$2:O$2576,P418),"")</f>
        <v/>
      </c>
      <c r="S418" t="str">
        <f t="shared" si="21"/>
        <v/>
      </c>
      <c r="T418" t="str">
        <f t="shared" si="22"/>
        <v/>
      </c>
    </row>
    <row r="419" spans="1:20" ht="100" customHeight="1">
      <c r="A419" s="26"/>
      <c r="B419" s="42" t="str">
        <f t="shared" si="20"/>
        <v/>
      </c>
      <c r="C419" s="43"/>
      <c r="D419" s="51" t="str" cm="1">
        <f t="array" ref="D419">IFERROR(INDEX(DB!G$2:G$2576,T419),"")</f>
        <v/>
      </c>
      <c r="E419" s="43"/>
      <c r="F419" s="52" t="str" cm="1">
        <f t="array" ref="F419">IFERROR(INDEX(DB!O$2:O$2576,T419),"")</f>
        <v/>
      </c>
      <c r="G419" s="43"/>
      <c r="H419" s="40" t="str" cm="1">
        <f t="array" ref="H419">IFERROR(INDEX(DB!P$2:P$2576,T419),"")</f>
        <v/>
      </c>
      <c r="I419" s="43"/>
      <c r="J419" s="53" t="str" cm="1">
        <f t="array" ref="J419">IFERROR(INDEX(DB!Q$2:Q$2576,T419),"")</f>
        <v/>
      </c>
      <c r="K419" s="43"/>
      <c r="L419" s="41" t="str" cm="1">
        <f t="array" ref="L419">IFERROR(INDEX(DB!R$2:R$2576,T419),"")</f>
        <v/>
      </c>
      <c r="M419" s="43"/>
      <c r="P419" t="str" cm="1">
        <f t="array" ref="P419">IFERROR(_xlfn.AGGREGATE(15,6,ROW(DB!A$2:A$2576)/((($D$3&lt;&gt;"YES")+($D$3="YES")*(DB!E$2:E$2576="YES"))*(($D$4="")+($D$4&lt;&gt;"")*( DB!B$2:B$2576=$D$4))*(($D$5="")+($D$5&lt;&gt;"")*( DB!C$2:C$2576=$D$5))*(($D$6="")+($D$6&lt;&gt;"")*( DB!D$2:D$2576=$D$6))*(($D$7="")+($D$7&lt;&gt;"")*(ISNUMBER(SEARCH($D$7,DB!G$2:G$2576))))*(($F$7="전체")+($F$7&lt;&gt;"전체")*(DB!H$2:H$2576=$F$7))),ROW()-13)-1,"")</f>
        <v/>
      </c>
      <c r="Q419" t="str" cm="1">
        <f t="array" ref="Q419">IFERROR(INDEX(DB!G$2:G$2576,P419),"")</f>
        <v/>
      </c>
      <c r="R419" t="str" cm="1">
        <f t="array" ref="R419">IFERROR(INDEX(DB!O$2:O$2576,P419),"")</f>
        <v/>
      </c>
      <c r="S419" t="str">
        <f t="shared" si="21"/>
        <v/>
      </c>
      <c r="T419" t="str">
        <f t="shared" si="22"/>
        <v/>
      </c>
    </row>
    <row r="420" spans="1:20" ht="100" customHeight="1">
      <c r="A420" s="26"/>
      <c r="B420" s="39" t="str">
        <f t="shared" si="20"/>
        <v/>
      </c>
      <c r="C420" s="43"/>
      <c r="D420" s="51" t="str" cm="1">
        <f t="array" ref="D420">IFERROR(INDEX(DB!G$2:G$2576,T420),"")</f>
        <v/>
      </c>
      <c r="E420" s="43"/>
      <c r="F420" s="52" t="str" cm="1">
        <f t="array" ref="F420">IFERROR(INDEX(DB!O$2:O$2576,T420),"")</f>
        <v/>
      </c>
      <c r="G420" s="43"/>
      <c r="H420" s="40" t="str" cm="1">
        <f t="array" ref="H420">IFERROR(INDEX(DB!P$2:P$2576,T420),"")</f>
        <v/>
      </c>
      <c r="I420" s="43"/>
      <c r="J420" s="53" t="str" cm="1">
        <f t="array" ref="J420">IFERROR(INDEX(DB!Q$2:Q$2576,T420),"")</f>
        <v/>
      </c>
      <c r="K420" s="43"/>
      <c r="L420" s="41" t="str" cm="1">
        <f t="array" ref="L420">IFERROR(INDEX(DB!R$2:R$2576,T420),"")</f>
        <v/>
      </c>
      <c r="M420" s="43"/>
      <c r="P420" t="str" cm="1">
        <f t="array" ref="P420">IFERROR(_xlfn.AGGREGATE(15,6,ROW(DB!A$2:A$2576)/((($D$3&lt;&gt;"YES")+($D$3="YES")*(DB!E$2:E$2576="YES"))*(($D$4="")+($D$4&lt;&gt;"")*( DB!B$2:B$2576=$D$4))*(($D$5="")+($D$5&lt;&gt;"")*( DB!C$2:C$2576=$D$5))*(($D$6="")+($D$6&lt;&gt;"")*( DB!D$2:D$2576=$D$6))*(($D$7="")+($D$7&lt;&gt;"")*(ISNUMBER(SEARCH($D$7,DB!G$2:G$2576))))*(($F$7="전체")+($F$7&lt;&gt;"전체")*(DB!H$2:H$2576=$F$7))),ROW()-13)-1,"")</f>
        <v/>
      </c>
      <c r="Q420" t="str" cm="1">
        <f t="array" ref="Q420">IFERROR(INDEX(DB!G$2:G$2576,P420),"")</f>
        <v/>
      </c>
      <c r="R420" t="str" cm="1">
        <f t="array" ref="R420">IFERROR(INDEX(DB!O$2:O$2576,P420),"")</f>
        <v/>
      </c>
      <c r="S420" t="str">
        <f t="shared" si="21"/>
        <v/>
      </c>
      <c r="T420" t="str">
        <f t="shared" si="22"/>
        <v/>
      </c>
    </row>
    <row r="421" spans="1:20" ht="100" customHeight="1">
      <c r="A421" s="26"/>
      <c r="B421" s="42" t="str">
        <f t="shared" si="20"/>
        <v/>
      </c>
      <c r="C421" s="43"/>
      <c r="D421" s="51" t="str" cm="1">
        <f t="array" ref="D421">IFERROR(INDEX(DB!G$2:G$2576,T421),"")</f>
        <v/>
      </c>
      <c r="E421" s="43"/>
      <c r="F421" s="52" t="str" cm="1">
        <f t="array" ref="F421">IFERROR(INDEX(DB!O$2:O$2576,T421),"")</f>
        <v/>
      </c>
      <c r="G421" s="43"/>
      <c r="H421" s="40" t="str" cm="1">
        <f t="array" ref="H421">IFERROR(INDEX(DB!P$2:P$2576,T421),"")</f>
        <v/>
      </c>
      <c r="I421" s="43"/>
      <c r="J421" s="53" t="str" cm="1">
        <f t="array" ref="J421">IFERROR(INDEX(DB!Q$2:Q$2576,T421),"")</f>
        <v/>
      </c>
      <c r="K421" s="43"/>
      <c r="L421" s="41" t="str" cm="1">
        <f t="array" ref="L421">IFERROR(INDEX(DB!R$2:R$2576,T421),"")</f>
        <v/>
      </c>
      <c r="M421" s="43"/>
      <c r="P421" t="str" cm="1">
        <f t="array" ref="P421">IFERROR(_xlfn.AGGREGATE(15,6,ROW(DB!A$2:A$2576)/((($D$3&lt;&gt;"YES")+($D$3="YES")*(DB!E$2:E$2576="YES"))*(($D$4="")+($D$4&lt;&gt;"")*( DB!B$2:B$2576=$D$4))*(($D$5="")+($D$5&lt;&gt;"")*( DB!C$2:C$2576=$D$5))*(($D$6="")+($D$6&lt;&gt;"")*( DB!D$2:D$2576=$D$6))*(($D$7="")+($D$7&lt;&gt;"")*(ISNUMBER(SEARCH($D$7,DB!G$2:G$2576))))*(($F$7="전체")+($F$7&lt;&gt;"전체")*(DB!H$2:H$2576=$F$7))),ROW()-13)-1,"")</f>
        <v/>
      </c>
      <c r="Q421" t="str" cm="1">
        <f t="array" ref="Q421">IFERROR(INDEX(DB!G$2:G$2576,P421),"")</f>
        <v/>
      </c>
      <c r="R421" t="str" cm="1">
        <f t="array" ref="R421">IFERROR(INDEX(DB!O$2:O$2576,P421),"")</f>
        <v/>
      </c>
      <c r="S421" t="str">
        <f t="shared" si="21"/>
        <v/>
      </c>
      <c r="T421" t="str">
        <f t="shared" si="22"/>
        <v/>
      </c>
    </row>
    <row r="422" spans="1:20" ht="100" customHeight="1">
      <c r="A422" s="26"/>
      <c r="B422" s="39" t="str">
        <f t="shared" si="20"/>
        <v/>
      </c>
      <c r="C422" s="43"/>
      <c r="D422" s="51" t="str" cm="1">
        <f t="array" ref="D422">IFERROR(INDEX(DB!G$2:G$2576,T422),"")</f>
        <v/>
      </c>
      <c r="E422" s="43"/>
      <c r="F422" s="52" t="str" cm="1">
        <f t="array" ref="F422">IFERROR(INDEX(DB!O$2:O$2576,T422),"")</f>
        <v/>
      </c>
      <c r="G422" s="43"/>
      <c r="H422" s="40" t="str" cm="1">
        <f t="array" ref="H422">IFERROR(INDEX(DB!P$2:P$2576,T422),"")</f>
        <v/>
      </c>
      <c r="I422" s="43"/>
      <c r="J422" s="53" t="str" cm="1">
        <f t="array" ref="J422">IFERROR(INDEX(DB!Q$2:Q$2576,T422),"")</f>
        <v/>
      </c>
      <c r="K422" s="43"/>
      <c r="L422" s="41" t="str" cm="1">
        <f t="array" ref="L422">IFERROR(INDEX(DB!R$2:R$2576,T422),"")</f>
        <v/>
      </c>
      <c r="M422" s="43"/>
      <c r="P422" t="str" cm="1">
        <f t="array" ref="P422">IFERROR(_xlfn.AGGREGATE(15,6,ROW(DB!A$2:A$2576)/((($D$3&lt;&gt;"YES")+($D$3="YES")*(DB!E$2:E$2576="YES"))*(($D$4="")+($D$4&lt;&gt;"")*( DB!B$2:B$2576=$D$4))*(($D$5="")+($D$5&lt;&gt;"")*( DB!C$2:C$2576=$D$5))*(($D$6="")+($D$6&lt;&gt;"")*( DB!D$2:D$2576=$D$6))*(($D$7="")+($D$7&lt;&gt;"")*(ISNUMBER(SEARCH($D$7,DB!G$2:G$2576))))*(($F$7="전체")+($F$7&lt;&gt;"전체")*(DB!H$2:H$2576=$F$7))),ROW()-13)-1,"")</f>
        <v/>
      </c>
      <c r="Q422" t="str" cm="1">
        <f t="array" ref="Q422">IFERROR(INDEX(DB!G$2:G$2576,P422),"")</f>
        <v/>
      </c>
      <c r="R422" t="str" cm="1">
        <f t="array" ref="R422">IFERROR(INDEX(DB!O$2:O$2576,P422),"")</f>
        <v/>
      </c>
      <c r="S422" t="str">
        <f t="shared" si="21"/>
        <v/>
      </c>
      <c r="T422" t="str">
        <f t="shared" si="22"/>
        <v/>
      </c>
    </row>
    <row r="423" spans="1:20" ht="100" customHeight="1">
      <c r="A423" s="26"/>
      <c r="B423" s="42" t="str">
        <f t="shared" si="20"/>
        <v/>
      </c>
      <c r="C423" s="43"/>
      <c r="D423" s="51" t="str" cm="1">
        <f t="array" ref="D423">IFERROR(INDEX(DB!G$2:G$2576,T423),"")</f>
        <v/>
      </c>
      <c r="E423" s="43"/>
      <c r="F423" s="52" t="str" cm="1">
        <f t="array" ref="F423">IFERROR(INDEX(DB!O$2:O$2576,T423),"")</f>
        <v/>
      </c>
      <c r="G423" s="43"/>
      <c r="H423" s="40" t="str" cm="1">
        <f t="array" ref="H423">IFERROR(INDEX(DB!P$2:P$2576,T423),"")</f>
        <v/>
      </c>
      <c r="I423" s="43"/>
      <c r="J423" s="53" t="str" cm="1">
        <f t="array" ref="J423">IFERROR(INDEX(DB!Q$2:Q$2576,T423),"")</f>
        <v/>
      </c>
      <c r="K423" s="43"/>
      <c r="L423" s="41" t="str" cm="1">
        <f t="array" ref="L423">IFERROR(INDEX(DB!R$2:R$2576,T423),"")</f>
        <v/>
      </c>
      <c r="M423" s="43"/>
      <c r="P423" t="str" cm="1">
        <f t="array" ref="P423">IFERROR(_xlfn.AGGREGATE(15,6,ROW(DB!A$2:A$2576)/((($D$3&lt;&gt;"YES")+($D$3="YES")*(DB!E$2:E$2576="YES"))*(($D$4="")+($D$4&lt;&gt;"")*( DB!B$2:B$2576=$D$4))*(($D$5="")+($D$5&lt;&gt;"")*( DB!C$2:C$2576=$D$5))*(($D$6="")+($D$6&lt;&gt;"")*( DB!D$2:D$2576=$D$6))*(($D$7="")+($D$7&lt;&gt;"")*(ISNUMBER(SEARCH($D$7,DB!G$2:G$2576))))*(($F$7="전체")+($F$7&lt;&gt;"전체")*(DB!H$2:H$2576=$F$7))),ROW()-13)-1,"")</f>
        <v/>
      </c>
      <c r="Q423" t="str" cm="1">
        <f t="array" ref="Q423">IFERROR(INDEX(DB!G$2:G$2576,P423),"")</f>
        <v/>
      </c>
      <c r="R423" t="str" cm="1">
        <f t="array" ref="R423">IFERROR(INDEX(DB!O$2:O$2576,P423),"")</f>
        <v/>
      </c>
      <c r="S423" t="str">
        <f t="shared" si="21"/>
        <v/>
      </c>
      <c r="T423" t="str">
        <f t="shared" si="22"/>
        <v/>
      </c>
    </row>
    <row r="424" spans="1:20" ht="100" customHeight="1">
      <c r="A424" s="26"/>
      <c r="B424" s="39" t="str">
        <f t="shared" si="20"/>
        <v/>
      </c>
      <c r="C424" s="43"/>
      <c r="D424" s="51" t="str" cm="1">
        <f t="array" ref="D424">IFERROR(INDEX(DB!G$2:G$2576,T424),"")</f>
        <v/>
      </c>
      <c r="E424" s="43"/>
      <c r="F424" s="52" t="str" cm="1">
        <f t="array" ref="F424">IFERROR(INDEX(DB!O$2:O$2576,T424),"")</f>
        <v/>
      </c>
      <c r="G424" s="43"/>
      <c r="H424" s="40" t="str" cm="1">
        <f t="array" ref="H424">IFERROR(INDEX(DB!P$2:P$2576,T424),"")</f>
        <v/>
      </c>
      <c r="I424" s="43"/>
      <c r="J424" s="53" t="str" cm="1">
        <f t="array" ref="J424">IFERROR(INDEX(DB!Q$2:Q$2576,T424),"")</f>
        <v/>
      </c>
      <c r="K424" s="43"/>
      <c r="L424" s="41" t="str" cm="1">
        <f t="array" ref="L424">IFERROR(INDEX(DB!R$2:R$2576,T424),"")</f>
        <v/>
      </c>
      <c r="M424" s="43"/>
      <c r="P424" t="str" cm="1">
        <f t="array" ref="P424">IFERROR(_xlfn.AGGREGATE(15,6,ROW(DB!A$2:A$2576)/((($D$3&lt;&gt;"YES")+($D$3="YES")*(DB!E$2:E$2576="YES"))*(($D$4="")+($D$4&lt;&gt;"")*( DB!B$2:B$2576=$D$4))*(($D$5="")+($D$5&lt;&gt;"")*( DB!C$2:C$2576=$D$5))*(($D$6="")+($D$6&lt;&gt;"")*( DB!D$2:D$2576=$D$6))*(($D$7="")+($D$7&lt;&gt;"")*(ISNUMBER(SEARCH($D$7,DB!G$2:G$2576))))*(($F$7="전체")+($F$7&lt;&gt;"전체")*(DB!H$2:H$2576=$F$7))),ROW()-13)-1,"")</f>
        <v/>
      </c>
      <c r="Q424" t="str" cm="1">
        <f t="array" ref="Q424">IFERROR(INDEX(DB!G$2:G$2576,P424),"")</f>
        <v/>
      </c>
      <c r="R424" t="str" cm="1">
        <f t="array" ref="R424">IFERROR(INDEX(DB!O$2:O$2576,P424),"")</f>
        <v/>
      </c>
      <c r="S424" t="str">
        <f t="shared" si="21"/>
        <v/>
      </c>
      <c r="T424" t="str">
        <f t="shared" si="22"/>
        <v/>
      </c>
    </row>
    <row r="425" spans="1:20" ht="100" customHeight="1">
      <c r="A425" s="26"/>
      <c r="B425" s="42" t="str">
        <f t="shared" si="20"/>
        <v/>
      </c>
      <c r="C425" s="43"/>
      <c r="D425" s="51" t="str" cm="1">
        <f t="array" ref="D425">IFERROR(INDEX(DB!G$2:G$2576,T425),"")</f>
        <v/>
      </c>
      <c r="E425" s="43"/>
      <c r="F425" s="52" t="str" cm="1">
        <f t="array" ref="F425">IFERROR(INDEX(DB!O$2:O$2576,T425),"")</f>
        <v/>
      </c>
      <c r="G425" s="43"/>
      <c r="H425" s="40" t="str" cm="1">
        <f t="array" ref="H425">IFERROR(INDEX(DB!P$2:P$2576,T425),"")</f>
        <v/>
      </c>
      <c r="I425" s="43"/>
      <c r="J425" s="53" t="str" cm="1">
        <f t="array" ref="J425">IFERROR(INDEX(DB!Q$2:Q$2576,T425),"")</f>
        <v/>
      </c>
      <c r="K425" s="43"/>
      <c r="L425" s="41" t="str" cm="1">
        <f t="array" ref="L425">IFERROR(INDEX(DB!R$2:R$2576,T425),"")</f>
        <v/>
      </c>
      <c r="M425" s="43"/>
      <c r="P425" t="str" cm="1">
        <f t="array" ref="P425">IFERROR(_xlfn.AGGREGATE(15,6,ROW(DB!A$2:A$2576)/((($D$3&lt;&gt;"YES")+($D$3="YES")*(DB!E$2:E$2576="YES"))*(($D$4="")+($D$4&lt;&gt;"")*( DB!B$2:B$2576=$D$4))*(($D$5="")+($D$5&lt;&gt;"")*( DB!C$2:C$2576=$D$5))*(($D$6="")+($D$6&lt;&gt;"")*( DB!D$2:D$2576=$D$6))*(($D$7="")+($D$7&lt;&gt;"")*(ISNUMBER(SEARCH($D$7,DB!G$2:G$2576))))*(($F$7="전체")+($F$7&lt;&gt;"전체")*(DB!H$2:H$2576=$F$7))),ROW()-13)-1,"")</f>
        <v/>
      </c>
      <c r="Q425" t="str" cm="1">
        <f t="array" ref="Q425">IFERROR(INDEX(DB!G$2:G$2576,P425),"")</f>
        <v/>
      </c>
      <c r="R425" t="str" cm="1">
        <f t="array" ref="R425">IFERROR(INDEX(DB!O$2:O$2576,P425),"")</f>
        <v/>
      </c>
      <c r="S425" t="str">
        <f t="shared" si="21"/>
        <v/>
      </c>
      <c r="T425" t="str">
        <f t="shared" si="22"/>
        <v/>
      </c>
    </row>
    <row r="426" spans="1:20" ht="100" customHeight="1">
      <c r="A426" s="26"/>
      <c r="B426" s="39" t="str">
        <f t="shared" si="20"/>
        <v/>
      </c>
      <c r="C426" s="43"/>
      <c r="D426" s="51" t="str" cm="1">
        <f t="array" ref="D426">IFERROR(INDEX(DB!G$2:G$2576,T426),"")</f>
        <v/>
      </c>
      <c r="E426" s="43"/>
      <c r="F426" s="52" t="str" cm="1">
        <f t="array" ref="F426">IFERROR(INDEX(DB!O$2:O$2576,T426),"")</f>
        <v/>
      </c>
      <c r="G426" s="43"/>
      <c r="H426" s="40" t="str" cm="1">
        <f t="array" ref="H426">IFERROR(INDEX(DB!P$2:P$2576,T426),"")</f>
        <v/>
      </c>
      <c r="I426" s="43"/>
      <c r="J426" s="53" t="str" cm="1">
        <f t="array" ref="J426">IFERROR(INDEX(DB!Q$2:Q$2576,T426),"")</f>
        <v/>
      </c>
      <c r="K426" s="43"/>
      <c r="L426" s="41" t="str" cm="1">
        <f t="array" ref="L426">IFERROR(INDEX(DB!R$2:R$2576,T426),"")</f>
        <v/>
      </c>
      <c r="M426" s="43"/>
      <c r="P426" t="str" cm="1">
        <f t="array" ref="P426">IFERROR(_xlfn.AGGREGATE(15,6,ROW(DB!A$2:A$2576)/((($D$3&lt;&gt;"YES")+($D$3="YES")*(DB!E$2:E$2576="YES"))*(($D$4="")+($D$4&lt;&gt;"")*( DB!B$2:B$2576=$D$4))*(($D$5="")+($D$5&lt;&gt;"")*( DB!C$2:C$2576=$D$5))*(($D$6="")+($D$6&lt;&gt;"")*( DB!D$2:D$2576=$D$6))*(($D$7="")+($D$7&lt;&gt;"")*(ISNUMBER(SEARCH($D$7,DB!G$2:G$2576))))*(($F$7="전체")+($F$7&lt;&gt;"전체")*(DB!H$2:H$2576=$F$7))),ROW()-13)-1,"")</f>
        <v/>
      </c>
      <c r="Q426" t="str" cm="1">
        <f t="array" ref="Q426">IFERROR(INDEX(DB!G$2:G$2576,P426),"")</f>
        <v/>
      </c>
      <c r="R426" t="str" cm="1">
        <f t="array" ref="R426">IFERROR(INDEX(DB!O$2:O$2576,P426),"")</f>
        <v/>
      </c>
      <c r="S426" t="str">
        <f t="shared" si="21"/>
        <v/>
      </c>
      <c r="T426" t="str">
        <f t="shared" si="22"/>
        <v/>
      </c>
    </row>
    <row r="427" spans="1:20" ht="100" customHeight="1">
      <c r="A427" s="26"/>
      <c r="B427" s="42" t="str">
        <f t="shared" si="20"/>
        <v/>
      </c>
      <c r="C427" s="43"/>
      <c r="D427" s="51" t="str" cm="1">
        <f t="array" ref="D427">IFERROR(INDEX(DB!G$2:G$2576,T427),"")</f>
        <v/>
      </c>
      <c r="E427" s="43"/>
      <c r="F427" s="52" t="str" cm="1">
        <f t="array" ref="F427">IFERROR(INDEX(DB!O$2:O$2576,T427),"")</f>
        <v/>
      </c>
      <c r="G427" s="43"/>
      <c r="H427" s="40" t="str" cm="1">
        <f t="array" ref="H427">IFERROR(INDEX(DB!P$2:P$2576,T427),"")</f>
        <v/>
      </c>
      <c r="I427" s="43"/>
      <c r="J427" s="53" t="str" cm="1">
        <f t="array" ref="J427">IFERROR(INDEX(DB!Q$2:Q$2576,T427),"")</f>
        <v/>
      </c>
      <c r="K427" s="43"/>
      <c r="L427" s="41" t="str" cm="1">
        <f t="array" ref="L427">IFERROR(INDEX(DB!R$2:R$2576,T427),"")</f>
        <v/>
      </c>
      <c r="M427" s="43"/>
      <c r="P427" t="str" cm="1">
        <f t="array" ref="P427">IFERROR(_xlfn.AGGREGATE(15,6,ROW(DB!A$2:A$2576)/((($D$3&lt;&gt;"YES")+($D$3="YES")*(DB!E$2:E$2576="YES"))*(($D$4="")+($D$4&lt;&gt;"")*( DB!B$2:B$2576=$D$4))*(($D$5="")+($D$5&lt;&gt;"")*( DB!C$2:C$2576=$D$5))*(($D$6="")+($D$6&lt;&gt;"")*( DB!D$2:D$2576=$D$6))*(($D$7="")+($D$7&lt;&gt;"")*(ISNUMBER(SEARCH($D$7,DB!G$2:G$2576))))*(($F$7="전체")+($F$7&lt;&gt;"전체")*(DB!H$2:H$2576=$F$7))),ROW()-13)-1,"")</f>
        <v/>
      </c>
      <c r="Q427" t="str" cm="1">
        <f t="array" ref="Q427">IFERROR(INDEX(DB!G$2:G$2576,P427),"")</f>
        <v/>
      </c>
      <c r="R427" t="str" cm="1">
        <f t="array" ref="R427">IFERROR(INDEX(DB!O$2:O$2576,P427),"")</f>
        <v/>
      </c>
      <c r="S427" t="str">
        <f t="shared" si="21"/>
        <v/>
      </c>
      <c r="T427" t="str">
        <f t="shared" si="22"/>
        <v/>
      </c>
    </row>
    <row r="428" spans="1:20" ht="100" customHeight="1">
      <c r="A428" s="26"/>
      <c r="B428" s="39" t="str">
        <f t="shared" si="20"/>
        <v/>
      </c>
      <c r="C428" s="43"/>
      <c r="D428" s="51" t="str" cm="1">
        <f t="array" ref="D428">IFERROR(INDEX(DB!G$2:G$2576,T428),"")</f>
        <v/>
      </c>
      <c r="E428" s="43"/>
      <c r="F428" s="52" t="str" cm="1">
        <f t="array" ref="F428">IFERROR(INDEX(DB!O$2:O$2576,T428),"")</f>
        <v/>
      </c>
      <c r="G428" s="43"/>
      <c r="H428" s="40" t="str" cm="1">
        <f t="array" ref="H428">IFERROR(INDEX(DB!P$2:P$2576,T428),"")</f>
        <v/>
      </c>
      <c r="I428" s="43"/>
      <c r="J428" s="53" t="str" cm="1">
        <f t="array" ref="J428">IFERROR(INDEX(DB!Q$2:Q$2576,T428),"")</f>
        <v/>
      </c>
      <c r="K428" s="43"/>
      <c r="L428" s="41" t="str" cm="1">
        <f t="array" ref="L428">IFERROR(INDEX(DB!R$2:R$2576,T428),"")</f>
        <v/>
      </c>
      <c r="M428" s="43"/>
      <c r="P428" t="str" cm="1">
        <f t="array" ref="P428">IFERROR(_xlfn.AGGREGATE(15,6,ROW(DB!A$2:A$2576)/((($D$3&lt;&gt;"YES")+($D$3="YES")*(DB!E$2:E$2576="YES"))*(($D$4="")+($D$4&lt;&gt;"")*( DB!B$2:B$2576=$D$4))*(($D$5="")+($D$5&lt;&gt;"")*( DB!C$2:C$2576=$D$5))*(($D$6="")+($D$6&lt;&gt;"")*( DB!D$2:D$2576=$D$6))*(($D$7="")+($D$7&lt;&gt;"")*(ISNUMBER(SEARCH($D$7,DB!G$2:G$2576))))*(($F$7="전체")+($F$7&lt;&gt;"전체")*(DB!H$2:H$2576=$F$7))),ROW()-13)-1,"")</f>
        <v/>
      </c>
      <c r="Q428" t="str" cm="1">
        <f t="array" ref="Q428">IFERROR(INDEX(DB!G$2:G$2576,P428),"")</f>
        <v/>
      </c>
      <c r="R428" t="str" cm="1">
        <f t="array" ref="R428">IFERROR(INDEX(DB!O$2:O$2576,P428),"")</f>
        <v/>
      </c>
      <c r="S428" t="str">
        <f t="shared" si="21"/>
        <v/>
      </c>
      <c r="T428" t="str">
        <f t="shared" si="22"/>
        <v/>
      </c>
    </row>
    <row r="429" spans="1:20" ht="100" customHeight="1">
      <c r="A429" s="26"/>
      <c r="B429" s="42" t="str">
        <f t="shared" si="20"/>
        <v/>
      </c>
      <c r="C429" s="43"/>
      <c r="D429" s="51" t="str" cm="1">
        <f t="array" ref="D429">IFERROR(INDEX(DB!G$2:G$2576,T429),"")</f>
        <v/>
      </c>
      <c r="E429" s="43"/>
      <c r="F429" s="52" t="str" cm="1">
        <f t="array" ref="F429">IFERROR(INDEX(DB!O$2:O$2576,T429),"")</f>
        <v/>
      </c>
      <c r="G429" s="43"/>
      <c r="H429" s="40" t="str" cm="1">
        <f t="array" ref="H429">IFERROR(INDEX(DB!P$2:P$2576,T429),"")</f>
        <v/>
      </c>
      <c r="I429" s="43"/>
      <c r="J429" s="53" t="str" cm="1">
        <f t="array" ref="J429">IFERROR(INDEX(DB!Q$2:Q$2576,T429),"")</f>
        <v/>
      </c>
      <c r="K429" s="43"/>
      <c r="L429" s="41" t="str" cm="1">
        <f t="array" ref="L429">IFERROR(INDEX(DB!R$2:R$2576,T429),"")</f>
        <v/>
      </c>
      <c r="M429" s="43"/>
      <c r="P429" t="str" cm="1">
        <f t="array" ref="P429">IFERROR(_xlfn.AGGREGATE(15,6,ROW(DB!A$2:A$2576)/((($D$3&lt;&gt;"YES")+($D$3="YES")*(DB!E$2:E$2576="YES"))*(($D$4="")+($D$4&lt;&gt;"")*( DB!B$2:B$2576=$D$4))*(($D$5="")+($D$5&lt;&gt;"")*( DB!C$2:C$2576=$D$5))*(($D$6="")+($D$6&lt;&gt;"")*( DB!D$2:D$2576=$D$6))*(($D$7="")+($D$7&lt;&gt;"")*(ISNUMBER(SEARCH($D$7,DB!G$2:G$2576))))*(($F$7="전체")+($F$7&lt;&gt;"전체")*(DB!H$2:H$2576=$F$7))),ROW()-13)-1,"")</f>
        <v/>
      </c>
      <c r="Q429" t="str" cm="1">
        <f t="array" ref="Q429">IFERROR(INDEX(DB!G$2:G$2576,P429),"")</f>
        <v/>
      </c>
      <c r="R429" t="str" cm="1">
        <f t="array" ref="R429">IFERROR(INDEX(DB!O$2:O$2576,P429),"")</f>
        <v/>
      </c>
      <c r="S429" t="str">
        <f t="shared" si="21"/>
        <v/>
      </c>
      <c r="T429" t="str">
        <f t="shared" si="22"/>
        <v/>
      </c>
    </row>
    <row r="430" spans="1:20" ht="100" customHeight="1">
      <c r="A430" s="26"/>
      <c r="B430" s="39" t="str">
        <f t="shared" si="20"/>
        <v/>
      </c>
      <c r="C430" s="43"/>
      <c r="D430" s="51" t="str" cm="1">
        <f t="array" ref="D430">IFERROR(INDEX(DB!G$2:G$2576,T430),"")</f>
        <v/>
      </c>
      <c r="E430" s="43"/>
      <c r="F430" s="52" t="str" cm="1">
        <f t="array" ref="F430">IFERROR(INDEX(DB!O$2:O$2576,T430),"")</f>
        <v/>
      </c>
      <c r="G430" s="43"/>
      <c r="H430" s="40" t="str" cm="1">
        <f t="array" ref="H430">IFERROR(INDEX(DB!P$2:P$2576,T430),"")</f>
        <v/>
      </c>
      <c r="I430" s="43"/>
      <c r="J430" s="53" t="str" cm="1">
        <f t="array" ref="J430">IFERROR(INDEX(DB!Q$2:Q$2576,T430),"")</f>
        <v/>
      </c>
      <c r="K430" s="43"/>
      <c r="L430" s="41" t="str" cm="1">
        <f t="array" ref="L430">IFERROR(INDEX(DB!R$2:R$2576,T430),"")</f>
        <v/>
      </c>
      <c r="M430" s="43"/>
      <c r="P430" t="str" cm="1">
        <f t="array" ref="P430">IFERROR(_xlfn.AGGREGATE(15,6,ROW(DB!A$2:A$2576)/((($D$3&lt;&gt;"YES")+($D$3="YES")*(DB!E$2:E$2576="YES"))*(($D$4="")+($D$4&lt;&gt;"")*( DB!B$2:B$2576=$D$4))*(($D$5="")+($D$5&lt;&gt;"")*( DB!C$2:C$2576=$D$5))*(($D$6="")+($D$6&lt;&gt;"")*( DB!D$2:D$2576=$D$6))*(($D$7="")+($D$7&lt;&gt;"")*(ISNUMBER(SEARCH($D$7,DB!G$2:G$2576))))*(($F$7="전체")+($F$7&lt;&gt;"전체")*(DB!H$2:H$2576=$F$7))),ROW()-13)-1,"")</f>
        <v/>
      </c>
      <c r="Q430" t="str" cm="1">
        <f t="array" ref="Q430">IFERROR(INDEX(DB!G$2:G$2576,P430),"")</f>
        <v/>
      </c>
      <c r="R430" t="str" cm="1">
        <f t="array" ref="R430">IFERROR(INDEX(DB!O$2:O$2576,P430),"")</f>
        <v/>
      </c>
      <c r="S430" t="str">
        <f t="shared" si="21"/>
        <v/>
      </c>
      <c r="T430" t="str">
        <f t="shared" si="22"/>
        <v/>
      </c>
    </row>
    <row r="431" spans="1:20" ht="100" customHeight="1">
      <c r="A431" s="26"/>
      <c r="B431" s="42" t="str">
        <f t="shared" si="20"/>
        <v/>
      </c>
      <c r="C431" s="43"/>
      <c r="D431" s="51" t="str" cm="1">
        <f t="array" ref="D431">IFERROR(INDEX(DB!G$2:G$2576,T431),"")</f>
        <v/>
      </c>
      <c r="E431" s="43"/>
      <c r="F431" s="52" t="str" cm="1">
        <f t="array" ref="F431">IFERROR(INDEX(DB!O$2:O$2576,T431),"")</f>
        <v/>
      </c>
      <c r="G431" s="43"/>
      <c r="H431" s="40" t="str" cm="1">
        <f t="array" ref="H431">IFERROR(INDEX(DB!P$2:P$2576,T431),"")</f>
        <v/>
      </c>
      <c r="I431" s="43"/>
      <c r="J431" s="53" t="str" cm="1">
        <f t="array" ref="J431">IFERROR(INDEX(DB!Q$2:Q$2576,T431),"")</f>
        <v/>
      </c>
      <c r="K431" s="43"/>
      <c r="L431" s="41" t="str" cm="1">
        <f t="array" ref="L431">IFERROR(INDEX(DB!R$2:R$2576,T431),"")</f>
        <v/>
      </c>
      <c r="M431" s="43"/>
      <c r="P431" t="str" cm="1">
        <f t="array" ref="P431">IFERROR(_xlfn.AGGREGATE(15,6,ROW(DB!A$2:A$2576)/((($D$3&lt;&gt;"YES")+($D$3="YES")*(DB!E$2:E$2576="YES"))*(($D$4="")+($D$4&lt;&gt;"")*( DB!B$2:B$2576=$D$4))*(($D$5="")+($D$5&lt;&gt;"")*( DB!C$2:C$2576=$D$5))*(($D$6="")+($D$6&lt;&gt;"")*( DB!D$2:D$2576=$D$6))*(($D$7="")+($D$7&lt;&gt;"")*(ISNUMBER(SEARCH($D$7,DB!G$2:G$2576))))*(($F$7="전체")+($F$7&lt;&gt;"전체")*(DB!H$2:H$2576=$F$7))),ROW()-13)-1,"")</f>
        <v/>
      </c>
      <c r="Q431" t="str" cm="1">
        <f t="array" ref="Q431">IFERROR(INDEX(DB!G$2:G$2576,P431),"")</f>
        <v/>
      </c>
      <c r="R431" t="str" cm="1">
        <f t="array" ref="R431">IFERROR(INDEX(DB!O$2:O$2576,P431),"")</f>
        <v/>
      </c>
      <c r="S431" t="str">
        <f t="shared" si="21"/>
        <v/>
      </c>
      <c r="T431" t="str">
        <f t="shared" si="22"/>
        <v/>
      </c>
    </row>
    <row r="432" spans="1:20" ht="100" customHeight="1">
      <c r="A432" s="26"/>
      <c r="B432" s="39" t="str">
        <f t="shared" si="20"/>
        <v/>
      </c>
      <c r="C432" s="43"/>
      <c r="D432" s="51" t="str" cm="1">
        <f t="array" ref="D432">IFERROR(INDEX(DB!G$2:G$2576,T432),"")</f>
        <v/>
      </c>
      <c r="E432" s="43"/>
      <c r="F432" s="52" t="str" cm="1">
        <f t="array" ref="F432">IFERROR(INDEX(DB!O$2:O$2576,T432),"")</f>
        <v/>
      </c>
      <c r="G432" s="43"/>
      <c r="H432" s="40" t="str" cm="1">
        <f t="array" ref="H432">IFERROR(INDEX(DB!P$2:P$2576,T432),"")</f>
        <v/>
      </c>
      <c r="I432" s="43"/>
      <c r="J432" s="53" t="str" cm="1">
        <f t="array" ref="J432">IFERROR(INDEX(DB!Q$2:Q$2576,T432),"")</f>
        <v/>
      </c>
      <c r="K432" s="43"/>
      <c r="L432" s="41" t="str" cm="1">
        <f t="array" ref="L432">IFERROR(INDEX(DB!R$2:R$2576,T432),"")</f>
        <v/>
      </c>
      <c r="M432" s="43"/>
      <c r="P432" t="str" cm="1">
        <f t="array" ref="P432">IFERROR(_xlfn.AGGREGATE(15,6,ROW(DB!A$2:A$2576)/((($D$3&lt;&gt;"YES")+($D$3="YES")*(DB!E$2:E$2576="YES"))*(($D$4="")+($D$4&lt;&gt;"")*( DB!B$2:B$2576=$D$4))*(($D$5="")+($D$5&lt;&gt;"")*( DB!C$2:C$2576=$D$5))*(($D$6="")+($D$6&lt;&gt;"")*( DB!D$2:D$2576=$D$6))*(($D$7="")+($D$7&lt;&gt;"")*(ISNUMBER(SEARCH($D$7,DB!G$2:G$2576))))*(($F$7="전체")+($F$7&lt;&gt;"전체")*(DB!H$2:H$2576=$F$7))),ROW()-13)-1,"")</f>
        <v/>
      </c>
      <c r="Q432" t="str" cm="1">
        <f t="array" ref="Q432">IFERROR(INDEX(DB!G$2:G$2576,P432),"")</f>
        <v/>
      </c>
      <c r="R432" t="str" cm="1">
        <f t="array" ref="R432">IFERROR(INDEX(DB!O$2:O$2576,P432),"")</f>
        <v/>
      </c>
      <c r="S432" t="str">
        <f t="shared" si="21"/>
        <v/>
      </c>
      <c r="T432" t="str">
        <f t="shared" si="22"/>
        <v/>
      </c>
    </row>
    <row r="433" spans="1:20" ht="100" customHeight="1">
      <c r="A433" s="26"/>
      <c r="B433" s="42" t="str">
        <f t="shared" si="20"/>
        <v/>
      </c>
      <c r="C433" s="43"/>
      <c r="D433" s="51" t="str" cm="1">
        <f t="array" ref="D433">IFERROR(INDEX(DB!G$2:G$2576,T433),"")</f>
        <v/>
      </c>
      <c r="E433" s="43"/>
      <c r="F433" s="52" t="str" cm="1">
        <f t="array" ref="F433">IFERROR(INDEX(DB!O$2:O$2576,T433),"")</f>
        <v/>
      </c>
      <c r="G433" s="43"/>
      <c r="H433" s="40" t="str" cm="1">
        <f t="array" ref="H433">IFERROR(INDEX(DB!P$2:P$2576,T433),"")</f>
        <v/>
      </c>
      <c r="I433" s="43"/>
      <c r="J433" s="53" t="str" cm="1">
        <f t="array" ref="J433">IFERROR(INDEX(DB!Q$2:Q$2576,T433),"")</f>
        <v/>
      </c>
      <c r="K433" s="43"/>
      <c r="L433" s="41" t="str" cm="1">
        <f t="array" ref="L433">IFERROR(INDEX(DB!R$2:R$2576,T433),"")</f>
        <v/>
      </c>
      <c r="M433" s="43"/>
      <c r="P433" t="str" cm="1">
        <f t="array" ref="P433">IFERROR(_xlfn.AGGREGATE(15,6,ROW(DB!A$2:A$2576)/((($D$3&lt;&gt;"YES")+($D$3="YES")*(DB!E$2:E$2576="YES"))*(($D$4="")+($D$4&lt;&gt;"")*( DB!B$2:B$2576=$D$4))*(($D$5="")+($D$5&lt;&gt;"")*( DB!C$2:C$2576=$D$5))*(($D$6="")+($D$6&lt;&gt;"")*( DB!D$2:D$2576=$D$6))*(($D$7="")+($D$7&lt;&gt;"")*(ISNUMBER(SEARCH($D$7,DB!G$2:G$2576))))*(($F$7="전체")+($F$7&lt;&gt;"전체")*(DB!H$2:H$2576=$F$7))),ROW()-13)-1,"")</f>
        <v/>
      </c>
      <c r="Q433" t="str" cm="1">
        <f t="array" ref="Q433">IFERROR(INDEX(DB!G$2:G$2576,P433),"")</f>
        <v/>
      </c>
      <c r="R433" t="str" cm="1">
        <f t="array" ref="R433">IFERROR(INDEX(DB!O$2:O$2576,P433),"")</f>
        <v/>
      </c>
      <c r="S433" t="str">
        <f t="shared" si="21"/>
        <v/>
      </c>
      <c r="T433" t="str">
        <f t="shared" si="22"/>
        <v/>
      </c>
    </row>
    <row r="434" spans="1:20" ht="100" customHeight="1">
      <c r="A434" s="26"/>
      <c r="B434" s="39" t="str">
        <f t="shared" si="20"/>
        <v/>
      </c>
      <c r="C434" s="43"/>
      <c r="D434" s="51" t="str" cm="1">
        <f t="array" ref="D434">IFERROR(INDEX(DB!G$2:G$2576,T434),"")</f>
        <v/>
      </c>
      <c r="E434" s="43"/>
      <c r="F434" s="52" t="str" cm="1">
        <f t="array" ref="F434">IFERROR(INDEX(DB!O$2:O$2576,T434),"")</f>
        <v/>
      </c>
      <c r="G434" s="43"/>
      <c r="H434" s="40" t="str" cm="1">
        <f t="array" ref="H434">IFERROR(INDEX(DB!P$2:P$2576,T434),"")</f>
        <v/>
      </c>
      <c r="I434" s="43"/>
      <c r="J434" s="53" t="str" cm="1">
        <f t="array" ref="J434">IFERROR(INDEX(DB!Q$2:Q$2576,T434),"")</f>
        <v/>
      </c>
      <c r="K434" s="43"/>
      <c r="L434" s="41" t="str" cm="1">
        <f t="array" ref="L434">IFERROR(INDEX(DB!R$2:R$2576,T434),"")</f>
        <v/>
      </c>
      <c r="M434" s="43"/>
      <c r="P434" t="str" cm="1">
        <f t="array" ref="P434">IFERROR(_xlfn.AGGREGATE(15,6,ROW(DB!A$2:A$2576)/((($D$3&lt;&gt;"YES")+($D$3="YES")*(DB!E$2:E$2576="YES"))*(($D$4="")+($D$4&lt;&gt;"")*( DB!B$2:B$2576=$D$4))*(($D$5="")+($D$5&lt;&gt;"")*( DB!C$2:C$2576=$D$5))*(($D$6="")+($D$6&lt;&gt;"")*( DB!D$2:D$2576=$D$6))*(($D$7="")+($D$7&lt;&gt;"")*(ISNUMBER(SEARCH($D$7,DB!G$2:G$2576))))*(($F$7="전체")+($F$7&lt;&gt;"전체")*(DB!H$2:H$2576=$F$7))),ROW()-13)-1,"")</f>
        <v/>
      </c>
      <c r="Q434" t="str" cm="1">
        <f t="array" ref="Q434">IFERROR(INDEX(DB!G$2:G$2576,P434),"")</f>
        <v/>
      </c>
      <c r="R434" t="str" cm="1">
        <f t="array" ref="R434">IFERROR(INDEX(DB!O$2:O$2576,P434),"")</f>
        <v/>
      </c>
      <c r="S434" t="str">
        <f t="shared" si="21"/>
        <v/>
      </c>
      <c r="T434" t="str">
        <f t="shared" si="22"/>
        <v/>
      </c>
    </row>
    <row r="435" spans="1:20" ht="100" customHeight="1">
      <c r="A435" s="26"/>
      <c r="B435" s="42" t="str">
        <f t="shared" si="20"/>
        <v/>
      </c>
      <c r="C435" s="43"/>
      <c r="D435" s="51" t="str" cm="1">
        <f t="array" ref="D435">IFERROR(INDEX(DB!G$2:G$2576,T435),"")</f>
        <v/>
      </c>
      <c r="E435" s="43"/>
      <c r="F435" s="52" t="str" cm="1">
        <f t="array" ref="F435">IFERROR(INDEX(DB!O$2:O$2576,T435),"")</f>
        <v/>
      </c>
      <c r="G435" s="43"/>
      <c r="H435" s="40" t="str" cm="1">
        <f t="array" ref="H435">IFERROR(INDEX(DB!P$2:P$2576,T435),"")</f>
        <v/>
      </c>
      <c r="I435" s="43"/>
      <c r="J435" s="53" t="str" cm="1">
        <f t="array" ref="J435">IFERROR(INDEX(DB!Q$2:Q$2576,T435),"")</f>
        <v/>
      </c>
      <c r="K435" s="43"/>
      <c r="L435" s="41" t="str" cm="1">
        <f t="array" ref="L435">IFERROR(INDEX(DB!R$2:R$2576,T435),"")</f>
        <v/>
      </c>
      <c r="M435" s="43"/>
      <c r="P435" t="str" cm="1">
        <f t="array" ref="P435">IFERROR(_xlfn.AGGREGATE(15,6,ROW(DB!A$2:A$2576)/((($D$3&lt;&gt;"YES")+($D$3="YES")*(DB!E$2:E$2576="YES"))*(($D$4="")+($D$4&lt;&gt;"")*( DB!B$2:B$2576=$D$4))*(($D$5="")+($D$5&lt;&gt;"")*( DB!C$2:C$2576=$D$5))*(($D$6="")+($D$6&lt;&gt;"")*( DB!D$2:D$2576=$D$6))*(($D$7="")+($D$7&lt;&gt;"")*(ISNUMBER(SEARCH($D$7,DB!G$2:G$2576))))*(($F$7="전체")+($F$7&lt;&gt;"전체")*(DB!H$2:H$2576=$F$7))),ROW()-13)-1,"")</f>
        <v/>
      </c>
      <c r="Q435" t="str" cm="1">
        <f t="array" ref="Q435">IFERROR(INDEX(DB!G$2:G$2576,P435),"")</f>
        <v/>
      </c>
      <c r="R435" t="str" cm="1">
        <f t="array" ref="R435">IFERROR(INDEX(DB!O$2:O$2576,P435),"")</f>
        <v/>
      </c>
      <c r="S435" t="str">
        <f t="shared" si="21"/>
        <v/>
      </c>
      <c r="T435" t="str">
        <f t="shared" si="22"/>
        <v/>
      </c>
    </row>
    <row r="436" spans="1:20" ht="100" customHeight="1">
      <c r="A436" s="26"/>
      <c r="B436" s="39" t="str">
        <f t="shared" si="20"/>
        <v/>
      </c>
      <c r="C436" s="43"/>
      <c r="D436" s="51" t="str" cm="1">
        <f t="array" ref="D436">IFERROR(INDEX(DB!G$2:G$2576,T436),"")</f>
        <v/>
      </c>
      <c r="E436" s="43"/>
      <c r="F436" s="52" t="str" cm="1">
        <f t="array" ref="F436">IFERROR(INDEX(DB!O$2:O$2576,T436),"")</f>
        <v/>
      </c>
      <c r="G436" s="43"/>
      <c r="H436" s="40" t="str" cm="1">
        <f t="array" ref="H436">IFERROR(INDEX(DB!P$2:P$2576,T436),"")</f>
        <v/>
      </c>
      <c r="I436" s="43"/>
      <c r="J436" s="53" t="str" cm="1">
        <f t="array" ref="J436">IFERROR(INDEX(DB!Q$2:Q$2576,T436),"")</f>
        <v/>
      </c>
      <c r="K436" s="43"/>
      <c r="L436" s="41" t="str" cm="1">
        <f t="array" ref="L436">IFERROR(INDEX(DB!R$2:R$2576,T436),"")</f>
        <v/>
      </c>
      <c r="M436" s="43"/>
      <c r="P436" t="str" cm="1">
        <f t="array" ref="P436">IFERROR(_xlfn.AGGREGATE(15,6,ROW(DB!A$2:A$2576)/((($D$3&lt;&gt;"YES")+($D$3="YES")*(DB!E$2:E$2576="YES"))*(($D$4="")+($D$4&lt;&gt;"")*( DB!B$2:B$2576=$D$4))*(($D$5="")+($D$5&lt;&gt;"")*( DB!C$2:C$2576=$D$5))*(($D$6="")+($D$6&lt;&gt;"")*( DB!D$2:D$2576=$D$6))*(($D$7="")+($D$7&lt;&gt;"")*(ISNUMBER(SEARCH($D$7,DB!G$2:G$2576))))*(($F$7="전체")+($F$7&lt;&gt;"전체")*(DB!H$2:H$2576=$F$7))),ROW()-13)-1,"")</f>
        <v/>
      </c>
      <c r="Q436" t="str" cm="1">
        <f t="array" ref="Q436">IFERROR(INDEX(DB!G$2:G$2576,P436),"")</f>
        <v/>
      </c>
      <c r="R436" t="str" cm="1">
        <f t="array" ref="R436">IFERROR(INDEX(DB!O$2:O$2576,P436),"")</f>
        <v/>
      </c>
      <c r="S436" t="str">
        <f t="shared" si="21"/>
        <v/>
      </c>
      <c r="T436" t="str">
        <f t="shared" si="22"/>
        <v/>
      </c>
    </row>
    <row r="437" spans="1:20" ht="100" customHeight="1">
      <c r="A437" s="26"/>
      <c r="B437" s="42" t="str">
        <f t="shared" si="20"/>
        <v/>
      </c>
      <c r="C437" s="43"/>
      <c r="D437" s="51" t="str" cm="1">
        <f t="array" ref="D437">IFERROR(INDEX(DB!G$2:G$2576,T437),"")</f>
        <v/>
      </c>
      <c r="E437" s="43"/>
      <c r="F437" s="52" t="str" cm="1">
        <f t="array" ref="F437">IFERROR(INDEX(DB!O$2:O$2576,T437),"")</f>
        <v/>
      </c>
      <c r="G437" s="43"/>
      <c r="H437" s="40" t="str" cm="1">
        <f t="array" ref="H437">IFERROR(INDEX(DB!P$2:P$2576,T437),"")</f>
        <v/>
      </c>
      <c r="I437" s="43"/>
      <c r="J437" s="53" t="str" cm="1">
        <f t="array" ref="J437">IFERROR(INDEX(DB!Q$2:Q$2576,T437),"")</f>
        <v/>
      </c>
      <c r="K437" s="43"/>
      <c r="L437" s="41" t="str" cm="1">
        <f t="array" ref="L437">IFERROR(INDEX(DB!R$2:R$2576,T437),"")</f>
        <v/>
      </c>
      <c r="M437" s="43"/>
      <c r="P437" t="str" cm="1">
        <f t="array" ref="P437">IFERROR(_xlfn.AGGREGATE(15,6,ROW(DB!A$2:A$2576)/((($D$3&lt;&gt;"YES")+($D$3="YES")*(DB!E$2:E$2576="YES"))*(($D$4="")+($D$4&lt;&gt;"")*( DB!B$2:B$2576=$D$4))*(($D$5="")+($D$5&lt;&gt;"")*( DB!C$2:C$2576=$D$5))*(($D$6="")+($D$6&lt;&gt;"")*( DB!D$2:D$2576=$D$6))*(($D$7="")+($D$7&lt;&gt;"")*(ISNUMBER(SEARCH($D$7,DB!G$2:G$2576))))*(($F$7="전체")+($F$7&lt;&gt;"전체")*(DB!H$2:H$2576=$F$7))),ROW()-13)-1,"")</f>
        <v/>
      </c>
      <c r="Q437" t="str" cm="1">
        <f t="array" ref="Q437">IFERROR(INDEX(DB!G$2:G$2576,P437),"")</f>
        <v/>
      </c>
      <c r="R437" t="str" cm="1">
        <f t="array" ref="R437">IFERROR(INDEX(DB!O$2:O$2576,P437),"")</f>
        <v/>
      </c>
      <c r="S437" t="str">
        <f t="shared" si="21"/>
        <v/>
      </c>
      <c r="T437" t="str">
        <f t="shared" si="22"/>
        <v/>
      </c>
    </row>
    <row r="438" spans="1:20" ht="100" customHeight="1">
      <c r="A438" s="26"/>
      <c r="B438" s="39" t="str">
        <f t="shared" si="20"/>
        <v/>
      </c>
      <c r="C438" s="43"/>
      <c r="D438" s="51" t="str" cm="1">
        <f t="array" ref="D438">IFERROR(INDEX(DB!G$2:G$2576,T438),"")</f>
        <v/>
      </c>
      <c r="E438" s="43"/>
      <c r="F438" s="52" t="str" cm="1">
        <f t="array" ref="F438">IFERROR(INDEX(DB!O$2:O$2576,T438),"")</f>
        <v/>
      </c>
      <c r="G438" s="43"/>
      <c r="H438" s="40" t="str" cm="1">
        <f t="array" ref="H438">IFERROR(INDEX(DB!P$2:P$2576,T438),"")</f>
        <v/>
      </c>
      <c r="I438" s="43"/>
      <c r="J438" s="53" t="str" cm="1">
        <f t="array" ref="J438">IFERROR(INDEX(DB!Q$2:Q$2576,T438),"")</f>
        <v/>
      </c>
      <c r="K438" s="43"/>
      <c r="L438" s="41" t="str" cm="1">
        <f t="array" ref="L438">IFERROR(INDEX(DB!R$2:R$2576,T438),"")</f>
        <v/>
      </c>
      <c r="M438" s="43"/>
      <c r="P438" t="str" cm="1">
        <f t="array" ref="P438">IFERROR(_xlfn.AGGREGATE(15,6,ROW(DB!A$2:A$2576)/((($D$3&lt;&gt;"YES")+($D$3="YES")*(DB!E$2:E$2576="YES"))*(($D$4="")+($D$4&lt;&gt;"")*( DB!B$2:B$2576=$D$4))*(($D$5="")+($D$5&lt;&gt;"")*( DB!C$2:C$2576=$D$5))*(($D$6="")+($D$6&lt;&gt;"")*( DB!D$2:D$2576=$D$6))*(($D$7="")+($D$7&lt;&gt;"")*(ISNUMBER(SEARCH($D$7,DB!G$2:G$2576))))*(($F$7="전체")+($F$7&lt;&gt;"전체")*(DB!H$2:H$2576=$F$7))),ROW()-13)-1,"")</f>
        <v/>
      </c>
      <c r="Q438" t="str" cm="1">
        <f t="array" ref="Q438">IFERROR(INDEX(DB!G$2:G$2576,P438),"")</f>
        <v/>
      </c>
      <c r="R438" t="str" cm="1">
        <f t="array" ref="R438">IFERROR(INDEX(DB!O$2:O$2576,P438),"")</f>
        <v/>
      </c>
      <c r="S438" t="str">
        <f t="shared" si="21"/>
        <v/>
      </c>
      <c r="T438" t="str">
        <f t="shared" si="22"/>
        <v/>
      </c>
    </row>
    <row r="439" spans="1:20" ht="100" customHeight="1">
      <c r="A439" s="26"/>
      <c r="B439" s="42" t="str">
        <f t="shared" si="20"/>
        <v/>
      </c>
      <c r="C439" s="43"/>
      <c r="D439" s="51" t="str" cm="1">
        <f t="array" ref="D439">IFERROR(INDEX(DB!G$2:G$2576,T439),"")</f>
        <v/>
      </c>
      <c r="E439" s="43"/>
      <c r="F439" s="52" t="str" cm="1">
        <f t="array" ref="F439">IFERROR(INDEX(DB!O$2:O$2576,T439),"")</f>
        <v/>
      </c>
      <c r="G439" s="43"/>
      <c r="H439" s="40" t="str" cm="1">
        <f t="array" ref="H439">IFERROR(INDEX(DB!P$2:P$2576,T439),"")</f>
        <v/>
      </c>
      <c r="I439" s="43"/>
      <c r="J439" s="53" t="str" cm="1">
        <f t="array" ref="J439">IFERROR(INDEX(DB!Q$2:Q$2576,T439),"")</f>
        <v/>
      </c>
      <c r="K439" s="43"/>
      <c r="L439" s="41" t="str" cm="1">
        <f t="array" ref="L439">IFERROR(INDEX(DB!R$2:R$2576,T439),"")</f>
        <v/>
      </c>
      <c r="M439" s="43"/>
      <c r="P439" t="str" cm="1">
        <f t="array" ref="P439">IFERROR(_xlfn.AGGREGATE(15,6,ROW(DB!A$2:A$2576)/((($D$3&lt;&gt;"YES")+($D$3="YES")*(DB!E$2:E$2576="YES"))*(($D$4="")+($D$4&lt;&gt;"")*( DB!B$2:B$2576=$D$4))*(($D$5="")+($D$5&lt;&gt;"")*( DB!C$2:C$2576=$D$5))*(($D$6="")+($D$6&lt;&gt;"")*( DB!D$2:D$2576=$D$6))*(($D$7="")+($D$7&lt;&gt;"")*(ISNUMBER(SEARCH($D$7,DB!G$2:G$2576))))*(($F$7="전체")+($F$7&lt;&gt;"전체")*(DB!H$2:H$2576=$F$7))),ROW()-13)-1,"")</f>
        <v/>
      </c>
      <c r="Q439" t="str" cm="1">
        <f t="array" ref="Q439">IFERROR(INDEX(DB!G$2:G$2576,P439),"")</f>
        <v/>
      </c>
      <c r="R439" t="str" cm="1">
        <f t="array" ref="R439">IFERROR(INDEX(DB!O$2:O$2576,P439),"")</f>
        <v/>
      </c>
      <c r="S439" t="str">
        <f t="shared" si="21"/>
        <v/>
      </c>
      <c r="T439" t="str">
        <f t="shared" si="22"/>
        <v/>
      </c>
    </row>
    <row r="440" spans="1:20" ht="100" customHeight="1">
      <c r="A440" s="26"/>
      <c r="B440" s="39" t="str">
        <f t="shared" si="20"/>
        <v/>
      </c>
      <c r="C440" s="43"/>
      <c r="D440" s="51" t="str" cm="1">
        <f t="array" ref="D440">IFERROR(INDEX(DB!G$2:G$2576,T440),"")</f>
        <v/>
      </c>
      <c r="E440" s="43"/>
      <c r="F440" s="52" t="str" cm="1">
        <f t="array" ref="F440">IFERROR(INDEX(DB!O$2:O$2576,T440),"")</f>
        <v/>
      </c>
      <c r="G440" s="43"/>
      <c r="H440" s="40" t="str" cm="1">
        <f t="array" ref="H440">IFERROR(INDEX(DB!P$2:P$2576,T440),"")</f>
        <v/>
      </c>
      <c r="I440" s="43"/>
      <c r="J440" s="53" t="str" cm="1">
        <f t="array" ref="J440">IFERROR(INDEX(DB!Q$2:Q$2576,T440),"")</f>
        <v/>
      </c>
      <c r="K440" s="43"/>
      <c r="L440" s="41" t="str" cm="1">
        <f t="array" ref="L440">IFERROR(INDEX(DB!R$2:R$2576,T440),"")</f>
        <v/>
      </c>
      <c r="M440" s="43"/>
      <c r="P440" t="str" cm="1">
        <f t="array" ref="P440">IFERROR(_xlfn.AGGREGATE(15,6,ROW(DB!A$2:A$2576)/((($D$3&lt;&gt;"YES")+($D$3="YES")*(DB!E$2:E$2576="YES"))*(($D$4="")+($D$4&lt;&gt;"")*( DB!B$2:B$2576=$D$4))*(($D$5="")+($D$5&lt;&gt;"")*( DB!C$2:C$2576=$D$5))*(($D$6="")+($D$6&lt;&gt;"")*( DB!D$2:D$2576=$D$6))*(($D$7="")+($D$7&lt;&gt;"")*(ISNUMBER(SEARCH($D$7,DB!G$2:G$2576))))*(($F$7="전체")+($F$7&lt;&gt;"전체")*(DB!H$2:H$2576=$F$7))),ROW()-13)-1,"")</f>
        <v/>
      </c>
      <c r="Q440" t="str" cm="1">
        <f t="array" ref="Q440">IFERROR(INDEX(DB!G$2:G$2576,P440),"")</f>
        <v/>
      </c>
      <c r="R440" t="str" cm="1">
        <f t="array" ref="R440">IFERROR(INDEX(DB!O$2:O$2576,P440),"")</f>
        <v/>
      </c>
      <c r="S440" t="str">
        <f t="shared" si="21"/>
        <v/>
      </c>
      <c r="T440" t="str">
        <f t="shared" si="22"/>
        <v/>
      </c>
    </row>
    <row r="441" spans="1:20" ht="100" customHeight="1">
      <c r="A441" s="26"/>
      <c r="B441" s="42" t="str">
        <f t="shared" si="20"/>
        <v/>
      </c>
      <c r="C441" s="43"/>
      <c r="D441" s="51" t="str" cm="1">
        <f t="array" ref="D441">IFERROR(INDEX(DB!G$2:G$2576,T441),"")</f>
        <v/>
      </c>
      <c r="E441" s="43"/>
      <c r="F441" s="52" t="str" cm="1">
        <f t="array" ref="F441">IFERROR(INDEX(DB!O$2:O$2576,T441),"")</f>
        <v/>
      </c>
      <c r="G441" s="43"/>
      <c r="H441" s="40" t="str" cm="1">
        <f t="array" ref="H441">IFERROR(INDEX(DB!P$2:P$2576,T441),"")</f>
        <v/>
      </c>
      <c r="I441" s="43"/>
      <c r="J441" s="53" t="str" cm="1">
        <f t="array" ref="J441">IFERROR(INDEX(DB!Q$2:Q$2576,T441),"")</f>
        <v/>
      </c>
      <c r="K441" s="43"/>
      <c r="L441" s="41" t="str" cm="1">
        <f t="array" ref="L441">IFERROR(INDEX(DB!R$2:R$2576,T441),"")</f>
        <v/>
      </c>
      <c r="M441" s="43"/>
      <c r="P441" t="str" cm="1">
        <f t="array" ref="P441">IFERROR(_xlfn.AGGREGATE(15,6,ROW(DB!A$2:A$2576)/((($D$3&lt;&gt;"YES")+($D$3="YES")*(DB!E$2:E$2576="YES"))*(($D$4="")+($D$4&lt;&gt;"")*( DB!B$2:B$2576=$D$4))*(($D$5="")+($D$5&lt;&gt;"")*( DB!C$2:C$2576=$D$5))*(($D$6="")+($D$6&lt;&gt;"")*( DB!D$2:D$2576=$D$6))*(($D$7="")+($D$7&lt;&gt;"")*(ISNUMBER(SEARCH($D$7,DB!G$2:G$2576))))*(($F$7="전체")+($F$7&lt;&gt;"전체")*(DB!H$2:H$2576=$F$7))),ROW()-13)-1,"")</f>
        <v/>
      </c>
      <c r="Q441" t="str" cm="1">
        <f t="array" ref="Q441">IFERROR(INDEX(DB!G$2:G$2576,P441),"")</f>
        <v/>
      </c>
      <c r="R441" t="str" cm="1">
        <f t="array" ref="R441">IFERROR(INDEX(DB!O$2:O$2576,P441),"")</f>
        <v/>
      </c>
      <c r="S441" t="str">
        <f t="shared" si="21"/>
        <v/>
      </c>
      <c r="T441" t="str">
        <f t="shared" si="22"/>
        <v/>
      </c>
    </row>
    <row r="442" spans="1:20" ht="100" customHeight="1">
      <c r="A442" s="26"/>
      <c r="B442" s="39" t="str">
        <f t="shared" si="20"/>
        <v/>
      </c>
      <c r="C442" s="43"/>
      <c r="D442" s="51" t="str" cm="1">
        <f t="array" ref="D442">IFERROR(INDEX(DB!G$2:G$2576,T442),"")</f>
        <v/>
      </c>
      <c r="E442" s="43"/>
      <c r="F442" s="52" t="str" cm="1">
        <f t="array" ref="F442">IFERROR(INDEX(DB!O$2:O$2576,T442),"")</f>
        <v/>
      </c>
      <c r="G442" s="43"/>
      <c r="H442" s="40" t="str" cm="1">
        <f t="array" ref="H442">IFERROR(INDEX(DB!P$2:P$2576,T442),"")</f>
        <v/>
      </c>
      <c r="I442" s="43"/>
      <c r="J442" s="53" t="str" cm="1">
        <f t="array" ref="J442">IFERROR(INDEX(DB!Q$2:Q$2576,T442),"")</f>
        <v/>
      </c>
      <c r="K442" s="43"/>
      <c r="L442" s="41" t="str" cm="1">
        <f t="array" ref="L442">IFERROR(INDEX(DB!R$2:R$2576,T442),"")</f>
        <v/>
      </c>
      <c r="M442" s="43"/>
      <c r="P442" t="str" cm="1">
        <f t="array" ref="P442">IFERROR(_xlfn.AGGREGATE(15,6,ROW(DB!A$2:A$2576)/((($D$3&lt;&gt;"YES")+($D$3="YES")*(DB!E$2:E$2576="YES"))*(($D$4="")+($D$4&lt;&gt;"")*( DB!B$2:B$2576=$D$4))*(($D$5="")+($D$5&lt;&gt;"")*( DB!C$2:C$2576=$D$5))*(($D$6="")+($D$6&lt;&gt;"")*( DB!D$2:D$2576=$D$6))*(($D$7="")+($D$7&lt;&gt;"")*(ISNUMBER(SEARCH($D$7,DB!G$2:G$2576))))*(($F$7="전체")+($F$7&lt;&gt;"전체")*(DB!H$2:H$2576=$F$7))),ROW()-13)-1,"")</f>
        <v/>
      </c>
      <c r="Q442" t="str" cm="1">
        <f t="array" ref="Q442">IFERROR(INDEX(DB!G$2:G$2576,P442),"")</f>
        <v/>
      </c>
      <c r="R442" t="str" cm="1">
        <f t="array" ref="R442">IFERROR(INDEX(DB!O$2:O$2576,P442),"")</f>
        <v/>
      </c>
      <c r="S442" t="str">
        <f t="shared" si="21"/>
        <v/>
      </c>
      <c r="T442" t="str">
        <f t="shared" si="22"/>
        <v/>
      </c>
    </row>
    <row r="443" spans="1:20" ht="100" customHeight="1">
      <c r="A443" s="26"/>
      <c r="B443" s="42" t="str">
        <f t="shared" si="20"/>
        <v/>
      </c>
      <c r="C443" s="43"/>
      <c r="D443" s="51" t="str" cm="1">
        <f t="array" ref="D443">IFERROR(INDEX(DB!G$2:G$2576,T443),"")</f>
        <v/>
      </c>
      <c r="E443" s="43"/>
      <c r="F443" s="52" t="str" cm="1">
        <f t="array" ref="F443">IFERROR(INDEX(DB!O$2:O$2576,T443),"")</f>
        <v/>
      </c>
      <c r="G443" s="43"/>
      <c r="H443" s="40" t="str" cm="1">
        <f t="array" ref="H443">IFERROR(INDEX(DB!P$2:P$2576,T443),"")</f>
        <v/>
      </c>
      <c r="I443" s="43"/>
      <c r="J443" s="53" t="str" cm="1">
        <f t="array" ref="J443">IFERROR(INDEX(DB!Q$2:Q$2576,T443),"")</f>
        <v/>
      </c>
      <c r="K443" s="43"/>
      <c r="L443" s="41" t="str" cm="1">
        <f t="array" ref="L443">IFERROR(INDEX(DB!R$2:R$2576,T443),"")</f>
        <v/>
      </c>
      <c r="M443" s="43"/>
      <c r="P443" t="str" cm="1">
        <f t="array" ref="P443">IFERROR(_xlfn.AGGREGATE(15,6,ROW(DB!A$2:A$2576)/((($D$3&lt;&gt;"YES")+($D$3="YES")*(DB!E$2:E$2576="YES"))*(($D$4="")+($D$4&lt;&gt;"")*( DB!B$2:B$2576=$D$4))*(($D$5="")+($D$5&lt;&gt;"")*( DB!C$2:C$2576=$D$5))*(($D$6="")+($D$6&lt;&gt;"")*( DB!D$2:D$2576=$D$6))*(($D$7="")+($D$7&lt;&gt;"")*(ISNUMBER(SEARCH($D$7,DB!G$2:G$2576))))*(($F$7="전체")+($F$7&lt;&gt;"전체")*(DB!H$2:H$2576=$F$7))),ROW()-13)-1,"")</f>
        <v/>
      </c>
      <c r="Q443" t="str" cm="1">
        <f t="array" ref="Q443">IFERROR(INDEX(DB!G$2:G$2576,P443),"")</f>
        <v/>
      </c>
      <c r="R443" t="str" cm="1">
        <f t="array" ref="R443">IFERROR(INDEX(DB!O$2:O$2576,P443),"")</f>
        <v/>
      </c>
      <c r="S443" t="str">
        <f t="shared" si="21"/>
        <v/>
      </c>
      <c r="T443" t="str">
        <f t="shared" si="22"/>
        <v/>
      </c>
    </row>
    <row r="444" spans="1:20" ht="100" customHeight="1">
      <c r="A444" s="26"/>
      <c r="B444" s="39" t="str">
        <f t="shared" si="20"/>
        <v/>
      </c>
      <c r="C444" s="43"/>
      <c r="D444" s="51" t="str" cm="1">
        <f t="array" ref="D444">IFERROR(INDEX(DB!G$2:G$2576,T444),"")</f>
        <v/>
      </c>
      <c r="E444" s="43"/>
      <c r="F444" s="52" t="str" cm="1">
        <f t="array" ref="F444">IFERROR(INDEX(DB!O$2:O$2576,T444),"")</f>
        <v/>
      </c>
      <c r="G444" s="43"/>
      <c r="H444" s="40" t="str" cm="1">
        <f t="array" ref="H444">IFERROR(INDEX(DB!P$2:P$2576,T444),"")</f>
        <v/>
      </c>
      <c r="I444" s="43"/>
      <c r="J444" s="53" t="str" cm="1">
        <f t="array" ref="J444">IFERROR(INDEX(DB!Q$2:Q$2576,T444),"")</f>
        <v/>
      </c>
      <c r="K444" s="43"/>
      <c r="L444" s="41" t="str" cm="1">
        <f t="array" ref="L444">IFERROR(INDEX(DB!R$2:R$2576,T444),"")</f>
        <v/>
      </c>
      <c r="M444" s="43"/>
      <c r="P444" t="str" cm="1">
        <f t="array" ref="P444">IFERROR(_xlfn.AGGREGATE(15,6,ROW(DB!A$2:A$2576)/((($D$3&lt;&gt;"YES")+($D$3="YES")*(DB!E$2:E$2576="YES"))*(($D$4="")+($D$4&lt;&gt;"")*( DB!B$2:B$2576=$D$4))*(($D$5="")+($D$5&lt;&gt;"")*( DB!C$2:C$2576=$D$5))*(($D$6="")+($D$6&lt;&gt;"")*( DB!D$2:D$2576=$D$6))*(($D$7="")+($D$7&lt;&gt;"")*(ISNUMBER(SEARCH($D$7,DB!G$2:G$2576))))*(($F$7="전체")+($F$7&lt;&gt;"전체")*(DB!H$2:H$2576=$F$7))),ROW()-13)-1,"")</f>
        <v/>
      </c>
      <c r="Q444" t="str" cm="1">
        <f t="array" ref="Q444">IFERROR(INDEX(DB!G$2:G$2576,P444),"")</f>
        <v/>
      </c>
      <c r="R444" t="str" cm="1">
        <f t="array" ref="R444">IFERROR(INDEX(DB!O$2:O$2576,P444),"")</f>
        <v/>
      </c>
      <c r="S444" t="str">
        <f t="shared" si="21"/>
        <v/>
      </c>
      <c r="T444" t="str">
        <f t="shared" si="22"/>
        <v/>
      </c>
    </row>
    <row r="445" spans="1:20" ht="100" customHeight="1">
      <c r="A445" s="26"/>
      <c r="B445" s="42" t="str">
        <f t="shared" si="20"/>
        <v/>
      </c>
      <c r="C445" s="43"/>
      <c r="D445" s="51" t="str" cm="1">
        <f t="array" ref="D445">IFERROR(INDEX(DB!G$2:G$2576,T445),"")</f>
        <v/>
      </c>
      <c r="E445" s="43"/>
      <c r="F445" s="52" t="str" cm="1">
        <f t="array" ref="F445">IFERROR(INDEX(DB!O$2:O$2576,T445),"")</f>
        <v/>
      </c>
      <c r="G445" s="43"/>
      <c r="H445" s="40" t="str" cm="1">
        <f t="array" ref="H445">IFERROR(INDEX(DB!P$2:P$2576,T445),"")</f>
        <v/>
      </c>
      <c r="I445" s="43"/>
      <c r="J445" s="53" t="str" cm="1">
        <f t="array" ref="J445">IFERROR(INDEX(DB!Q$2:Q$2576,T445),"")</f>
        <v/>
      </c>
      <c r="K445" s="43"/>
      <c r="L445" s="41" t="str" cm="1">
        <f t="array" ref="L445">IFERROR(INDEX(DB!R$2:R$2576,T445),"")</f>
        <v/>
      </c>
      <c r="M445" s="43"/>
      <c r="P445" t="str" cm="1">
        <f t="array" ref="P445">IFERROR(_xlfn.AGGREGATE(15,6,ROW(DB!A$2:A$2576)/((($D$3&lt;&gt;"YES")+($D$3="YES")*(DB!E$2:E$2576="YES"))*(($D$4="")+($D$4&lt;&gt;"")*( DB!B$2:B$2576=$D$4))*(($D$5="")+($D$5&lt;&gt;"")*( DB!C$2:C$2576=$D$5))*(($D$6="")+($D$6&lt;&gt;"")*( DB!D$2:D$2576=$D$6))*(($D$7="")+($D$7&lt;&gt;"")*(ISNUMBER(SEARCH($D$7,DB!G$2:G$2576))))*(($F$7="전체")+($F$7&lt;&gt;"전체")*(DB!H$2:H$2576=$F$7))),ROW()-13)-1,"")</f>
        <v/>
      </c>
      <c r="Q445" t="str" cm="1">
        <f t="array" ref="Q445">IFERROR(INDEX(DB!G$2:G$2576,P445),"")</f>
        <v/>
      </c>
      <c r="R445" t="str" cm="1">
        <f t="array" ref="R445">IFERROR(INDEX(DB!O$2:O$2576,P445),"")</f>
        <v/>
      </c>
      <c r="S445" t="str">
        <f t="shared" si="21"/>
        <v/>
      </c>
      <c r="T445" t="str">
        <f t="shared" si="22"/>
        <v/>
      </c>
    </row>
    <row r="446" spans="1:20" ht="100" customHeight="1">
      <c r="A446" s="26"/>
      <c r="B446" s="39" t="str">
        <f t="shared" si="20"/>
        <v/>
      </c>
      <c r="C446" s="43"/>
      <c r="D446" s="51" t="str" cm="1">
        <f t="array" ref="D446">IFERROR(INDEX(DB!G$2:G$2576,T446),"")</f>
        <v/>
      </c>
      <c r="E446" s="43"/>
      <c r="F446" s="52" t="str" cm="1">
        <f t="array" ref="F446">IFERROR(INDEX(DB!O$2:O$2576,T446),"")</f>
        <v/>
      </c>
      <c r="G446" s="43"/>
      <c r="H446" s="40" t="str" cm="1">
        <f t="array" ref="H446">IFERROR(INDEX(DB!P$2:P$2576,T446),"")</f>
        <v/>
      </c>
      <c r="I446" s="43"/>
      <c r="J446" s="53" t="str" cm="1">
        <f t="array" ref="J446">IFERROR(INDEX(DB!Q$2:Q$2576,T446),"")</f>
        <v/>
      </c>
      <c r="K446" s="43"/>
      <c r="L446" s="41" t="str" cm="1">
        <f t="array" ref="L446">IFERROR(INDEX(DB!R$2:R$2576,T446),"")</f>
        <v/>
      </c>
      <c r="M446" s="43"/>
      <c r="P446" t="str" cm="1">
        <f t="array" ref="P446">IFERROR(_xlfn.AGGREGATE(15,6,ROW(DB!A$2:A$2576)/((($D$3&lt;&gt;"YES")+($D$3="YES")*(DB!E$2:E$2576="YES"))*(($D$4="")+($D$4&lt;&gt;"")*( DB!B$2:B$2576=$D$4))*(($D$5="")+($D$5&lt;&gt;"")*( DB!C$2:C$2576=$D$5))*(($D$6="")+($D$6&lt;&gt;"")*( DB!D$2:D$2576=$D$6))*(($D$7="")+($D$7&lt;&gt;"")*(ISNUMBER(SEARCH($D$7,DB!G$2:G$2576))))*(($F$7="전체")+($F$7&lt;&gt;"전체")*(DB!H$2:H$2576=$F$7))),ROW()-13)-1,"")</f>
        <v/>
      </c>
      <c r="Q446" t="str" cm="1">
        <f t="array" ref="Q446">IFERROR(INDEX(DB!G$2:G$2576,P446),"")</f>
        <v/>
      </c>
      <c r="R446" t="str" cm="1">
        <f t="array" ref="R446">IFERROR(INDEX(DB!O$2:O$2576,P446),"")</f>
        <v/>
      </c>
      <c r="S446" t="str">
        <f t="shared" si="21"/>
        <v/>
      </c>
      <c r="T446" t="str">
        <f t="shared" si="22"/>
        <v/>
      </c>
    </row>
    <row r="447" spans="1:20" ht="100" customHeight="1">
      <c r="A447" s="26"/>
      <c r="B447" s="42" t="str">
        <f t="shared" si="20"/>
        <v/>
      </c>
      <c r="C447" s="43"/>
      <c r="D447" s="51" t="str" cm="1">
        <f t="array" ref="D447">IFERROR(INDEX(DB!G$2:G$2576,T447),"")</f>
        <v/>
      </c>
      <c r="E447" s="43"/>
      <c r="F447" s="52" t="str" cm="1">
        <f t="array" ref="F447">IFERROR(INDEX(DB!O$2:O$2576,T447),"")</f>
        <v/>
      </c>
      <c r="G447" s="43"/>
      <c r="H447" s="40" t="str" cm="1">
        <f t="array" ref="H447">IFERROR(INDEX(DB!P$2:P$2576,T447),"")</f>
        <v/>
      </c>
      <c r="I447" s="43"/>
      <c r="J447" s="53" t="str" cm="1">
        <f t="array" ref="J447">IFERROR(INDEX(DB!Q$2:Q$2576,T447),"")</f>
        <v/>
      </c>
      <c r="K447" s="43"/>
      <c r="L447" s="41" t="str" cm="1">
        <f t="array" ref="L447">IFERROR(INDEX(DB!R$2:R$2576,T447),"")</f>
        <v/>
      </c>
      <c r="M447" s="43"/>
      <c r="P447" t="str" cm="1">
        <f t="array" ref="P447">IFERROR(_xlfn.AGGREGATE(15,6,ROW(DB!A$2:A$2576)/((($D$3&lt;&gt;"YES")+($D$3="YES")*(DB!E$2:E$2576="YES"))*(($D$4="")+($D$4&lt;&gt;"")*( DB!B$2:B$2576=$D$4))*(($D$5="")+($D$5&lt;&gt;"")*( DB!C$2:C$2576=$D$5))*(($D$6="")+($D$6&lt;&gt;"")*( DB!D$2:D$2576=$D$6))*(($D$7="")+($D$7&lt;&gt;"")*(ISNUMBER(SEARCH($D$7,DB!G$2:G$2576))))*(($F$7="전체")+($F$7&lt;&gt;"전체")*(DB!H$2:H$2576=$F$7))),ROW()-13)-1,"")</f>
        <v/>
      </c>
      <c r="Q447" t="str" cm="1">
        <f t="array" ref="Q447">IFERROR(INDEX(DB!G$2:G$2576,P447),"")</f>
        <v/>
      </c>
      <c r="R447" t="str" cm="1">
        <f t="array" ref="R447">IFERROR(INDEX(DB!O$2:O$2576,P447),"")</f>
        <v/>
      </c>
      <c r="S447" t="str">
        <f t="shared" si="21"/>
        <v/>
      </c>
      <c r="T447" t="str">
        <f t="shared" si="22"/>
        <v/>
      </c>
    </row>
    <row r="448" spans="1:20" ht="100" customHeight="1">
      <c r="A448" s="26"/>
      <c r="B448" s="39" t="str">
        <f t="shared" si="20"/>
        <v/>
      </c>
      <c r="C448" s="43"/>
      <c r="D448" s="51" t="str" cm="1">
        <f t="array" ref="D448">IFERROR(INDEX(DB!G$2:G$2576,T448),"")</f>
        <v/>
      </c>
      <c r="E448" s="43"/>
      <c r="F448" s="52" t="str" cm="1">
        <f t="array" ref="F448">IFERROR(INDEX(DB!O$2:O$2576,T448),"")</f>
        <v/>
      </c>
      <c r="G448" s="43"/>
      <c r="H448" s="40" t="str" cm="1">
        <f t="array" ref="H448">IFERROR(INDEX(DB!P$2:P$2576,T448),"")</f>
        <v/>
      </c>
      <c r="I448" s="43"/>
      <c r="J448" s="53" t="str" cm="1">
        <f t="array" ref="J448">IFERROR(INDEX(DB!Q$2:Q$2576,T448),"")</f>
        <v/>
      </c>
      <c r="K448" s="43"/>
      <c r="L448" s="41" t="str" cm="1">
        <f t="array" ref="L448">IFERROR(INDEX(DB!R$2:R$2576,T448),"")</f>
        <v/>
      </c>
      <c r="M448" s="43"/>
      <c r="P448" t="str" cm="1">
        <f t="array" ref="P448">IFERROR(_xlfn.AGGREGATE(15,6,ROW(DB!A$2:A$2576)/((($D$3&lt;&gt;"YES")+($D$3="YES")*(DB!E$2:E$2576="YES"))*(($D$4="")+($D$4&lt;&gt;"")*( DB!B$2:B$2576=$D$4))*(($D$5="")+($D$5&lt;&gt;"")*( DB!C$2:C$2576=$D$5))*(($D$6="")+($D$6&lt;&gt;"")*( DB!D$2:D$2576=$D$6))*(($D$7="")+($D$7&lt;&gt;"")*(ISNUMBER(SEARCH($D$7,DB!G$2:G$2576))))*(($F$7="전체")+($F$7&lt;&gt;"전체")*(DB!H$2:H$2576=$F$7))),ROW()-13)-1,"")</f>
        <v/>
      </c>
      <c r="Q448" t="str" cm="1">
        <f t="array" ref="Q448">IFERROR(INDEX(DB!G$2:G$2576,P448),"")</f>
        <v/>
      </c>
      <c r="R448" t="str" cm="1">
        <f t="array" ref="R448">IFERROR(INDEX(DB!O$2:O$2576,P448),"")</f>
        <v/>
      </c>
      <c r="S448" t="str">
        <f t="shared" si="21"/>
        <v/>
      </c>
      <c r="T448" t="str">
        <f t="shared" si="22"/>
        <v/>
      </c>
    </row>
    <row r="449" spans="1:20" ht="100" customHeight="1">
      <c r="A449" s="26"/>
      <c r="B449" s="42" t="str">
        <f t="shared" si="20"/>
        <v/>
      </c>
      <c r="C449" s="43"/>
      <c r="D449" s="51" t="str" cm="1">
        <f t="array" ref="D449">IFERROR(INDEX(DB!G$2:G$2576,T449),"")</f>
        <v/>
      </c>
      <c r="E449" s="43"/>
      <c r="F449" s="52" t="str" cm="1">
        <f t="array" ref="F449">IFERROR(INDEX(DB!O$2:O$2576,T449),"")</f>
        <v/>
      </c>
      <c r="G449" s="43"/>
      <c r="H449" s="40" t="str" cm="1">
        <f t="array" ref="H449">IFERROR(INDEX(DB!P$2:P$2576,T449),"")</f>
        <v/>
      </c>
      <c r="I449" s="43"/>
      <c r="J449" s="53" t="str" cm="1">
        <f t="array" ref="J449">IFERROR(INDEX(DB!Q$2:Q$2576,T449),"")</f>
        <v/>
      </c>
      <c r="K449" s="43"/>
      <c r="L449" s="41" t="str" cm="1">
        <f t="array" ref="L449">IFERROR(INDEX(DB!R$2:R$2576,T449),"")</f>
        <v/>
      </c>
      <c r="M449" s="43"/>
      <c r="P449" t="str" cm="1">
        <f t="array" ref="P449">IFERROR(_xlfn.AGGREGATE(15,6,ROW(DB!A$2:A$2576)/((($D$3&lt;&gt;"YES")+($D$3="YES")*(DB!E$2:E$2576="YES"))*(($D$4="")+($D$4&lt;&gt;"")*( DB!B$2:B$2576=$D$4))*(($D$5="")+($D$5&lt;&gt;"")*( DB!C$2:C$2576=$D$5))*(($D$6="")+($D$6&lt;&gt;"")*( DB!D$2:D$2576=$D$6))*(($D$7="")+($D$7&lt;&gt;"")*(ISNUMBER(SEARCH($D$7,DB!G$2:G$2576))))*(($F$7="전체")+($F$7&lt;&gt;"전체")*(DB!H$2:H$2576=$F$7))),ROW()-13)-1,"")</f>
        <v/>
      </c>
      <c r="Q449" t="str" cm="1">
        <f t="array" ref="Q449">IFERROR(INDEX(DB!G$2:G$2576,P449),"")</f>
        <v/>
      </c>
      <c r="R449" t="str" cm="1">
        <f t="array" ref="R449">IFERROR(INDEX(DB!O$2:O$2576,P449),"")</f>
        <v/>
      </c>
      <c r="S449" t="str">
        <f t="shared" si="21"/>
        <v/>
      </c>
      <c r="T449" t="str">
        <f t="shared" si="22"/>
        <v/>
      </c>
    </row>
    <row r="450" spans="1:20" ht="100" customHeight="1">
      <c r="A450" s="26"/>
      <c r="B450" s="39" t="str">
        <f t="shared" si="20"/>
        <v/>
      </c>
      <c r="C450" s="43"/>
      <c r="D450" s="51" t="str" cm="1">
        <f t="array" ref="D450">IFERROR(INDEX(DB!G$2:G$2576,T450),"")</f>
        <v/>
      </c>
      <c r="E450" s="43"/>
      <c r="F450" s="52" t="str" cm="1">
        <f t="array" ref="F450">IFERROR(INDEX(DB!O$2:O$2576,T450),"")</f>
        <v/>
      </c>
      <c r="G450" s="43"/>
      <c r="H450" s="40" t="str" cm="1">
        <f t="array" ref="H450">IFERROR(INDEX(DB!P$2:P$2576,T450),"")</f>
        <v/>
      </c>
      <c r="I450" s="43"/>
      <c r="J450" s="53" t="str" cm="1">
        <f t="array" ref="J450">IFERROR(INDEX(DB!Q$2:Q$2576,T450),"")</f>
        <v/>
      </c>
      <c r="K450" s="43"/>
      <c r="L450" s="41" t="str" cm="1">
        <f t="array" ref="L450">IFERROR(INDEX(DB!R$2:R$2576,T450),"")</f>
        <v/>
      </c>
      <c r="M450" s="43"/>
      <c r="P450" t="str" cm="1">
        <f t="array" ref="P450">IFERROR(_xlfn.AGGREGATE(15,6,ROW(DB!A$2:A$2576)/((($D$3&lt;&gt;"YES")+($D$3="YES")*(DB!E$2:E$2576="YES"))*(($D$4="")+($D$4&lt;&gt;"")*( DB!B$2:B$2576=$D$4))*(($D$5="")+($D$5&lt;&gt;"")*( DB!C$2:C$2576=$D$5))*(($D$6="")+($D$6&lt;&gt;"")*( DB!D$2:D$2576=$D$6))*(($D$7="")+($D$7&lt;&gt;"")*(ISNUMBER(SEARCH($D$7,DB!G$2:G$2576))))*(($F$7="전체")+($F$7&lt;&gt;"전체")*(DB!H$2:H$2576=$F$7))),ROW()-13)-1,"")</f>
        <v/>
      </c>
      <c r="Q450" t="str" cm="1">
        <f t="array" ref="Q450">IFERROR(INDEX(DB!G$2:G$2576,P450),"")</f>
        <v/>
      </c>
      <c r="R450" t="str" cm="1">
        <f t="array" ref="R450">IFERROR(INDEX(DB!O$2:O$2576,P450),"")</f>
        <v/>
      </c>
      <c r="S450" t="str">
        <f t="shared" si="21"/>
        <v/>
      </c>
      <c r="T450" t="str">
        <f t="shared" si="22"/>
        <v/>
      </c>
    </row>
    <row r="451" spans="1:20" ht="100" customHeight="1">
      <c r="A451" s="26"/>
      <c r="B451" s="42" t="str">
        <f t="shared" si="20"/>
        <v/>
      </c>
      <c r="C451" s="43"/>
      <c r="D451" s="51" t="str" cm="1">
        <f t="array" ref="D451">IFERROR(INDEX(DB!G$2:G$2576,T451),"")</f>
        <v/>
      </c>
      <c r="E451" s="43"/>
      <c r="F451" s="52" t="str" cm="1">
        <f t="array" ref="F451">IFERROR(INDEX(DB!O$2:O$2576,T451),"")</f>
        <v/>
      </c>
      <c r="G451" s="43"/>
      <c r="H451" s="40" t="str" cm="1">
        <f t="array" ref="H451">IFERROR(INDEX(DB!P$2:P$2576,T451),"")</f>
        <v/>
      </c>
      <c r="I451" s="43"/>
      <c r="J451" s="53" t="str" cm="1">
        <f t="array" ref="J451">IFERROR(INDEX(DB!Q$2:Q$2576,T451),"")</f>
        <v/>
      </c>
      <c r="K451" s="43"/>
      <c r="L451" s="41" t="str" cm="1">
        <f t="array" ref="L451">IFERROR(INDEX(DB!R$2:R$2576,T451),"")</f>
        <v/>
      </c>
      <c r="M451" s="43"/>
      <c r="P451" t="str" cm="1">
        <f t="array" ref="P451">IFERROR(_xlfn.AGGREGATE(15,6,ROW(DB!A$2:A$2576)/((($D$3&lt;&gt;"YES")+($D$3="YES")*(DB!E$2:E$2576="YES"))*(($D$4="")+($D$4&lt;&gt;"")*( DB!B$2:B$2576=$D$4))*(($D$5="")+($D$5&lt;&gt;"")*( DB!C$2:C$2576=$D$5))*(($D$6="")+($D$6&lt;&gt;"")*( DB!D$2:D$2576=$D$6))*(($D$7="")+($D$7&lt;&gt;"")*(ISNUMBER(SEARCH($D$7,DB!G$2:G$2576))))*(($F$7="전체")+($F$7&lt;&gt;"전체")*(DB!H$2:H$2576=$F$7))),ROW()-13)-1,"")</f>
        <v/>
      </c>
      <c r="Q451" t="str" cm="1">
        <f t="array" ref="Q451">IFERROR(INDEX(DB!G$2:G$2576,P451),"")</f>
        <v/>
      </c>
      <c r="R451" t="str" cm="1">
        <f t="array" ref="R451">IFERROR(INDEX(DB!O$2:O$2576,P451),"")</f>
        <v/>
      </c>
      <c r="S451" t="str">
        <f t="shared" si="21"/>
        <v/>
      </c>
      <c r="T451" t="str">
        <f t="shared" si="22"/>
        <v/>
      </c>
    </row>
    <row r="452" spans="1:20" ht="100" customHeight="1">
      <c r="A452" s="26"/>
      <c r="B452" s="39" t="str">
        <f t="shared" si="20"/>
        <v/>
      </c>
      <c r="C452" s="43"/>
      <c r="D452" s="51" t="str" cm="1">
        <f t="array" ref="D452">IFERROR(INDEX(DB!G$2:G$2576,T452),"")</f>
        <v/>
      </c>
      <c r="E452" s="43"/>
      <c r="F452" s="52" t="str" cm="1">
        <f t="array" ref="F452">IFERROR(INDEX(DB!O$2:O$2576,T452),"")</f>
        <v/>
      </c>
      <c r="G452" s="43"/>
      <c r="H452" s="40" t="str" cm="1">
        <f t="array" ref="H452">IFERROR(INDEX(DB!P$2:P$2576,T452),"")</f>
        <v/>
      </c>
      <c r="I452" s="43"/>
      <c r="J452" s="53" t="str" cm="1">
        <f t="array" ref="J452">IFERROR(INDEX(DB!Q$2:Q$2576,T452),"")</f>
        <v/>
      </c>
      <c r="K452" s="43"/>
      <c r="L452" s="41" t="str" cm="1">
        <f t="array" ref="L452">IFERROR(INDEX(DB!R$2:R$2576,T452),"")</f>
        <v/>
      </c>
      <c r="M452" s="43"/>
      <c r="P452" t="str" cm="1">
        <f t="array" ref="P452">IFERROR(_xlfn.AGGREGATE(15,6,ROW(DB!A$2:A$2576)/((($D$3&lt;&gt;"YES")+($D$3="YES")*(DB!E$2:E$2576="YES"))*(($D$4="")+($D$4&lt;&gt;"")*( DB!B$2:B$2576=$D$4))*(($D$5="")+($D$5&lt;&gt;"")*( DB!C$2:C$2576=$D$5))*(($D$6="")+($D$6&lt;&gt;"")*( DB!D$2:D$2576=$D$6))*(($D$7="")+($D$7&lt;&gt;"")*(ISNUMBER(SEARCH($D$7,DB!G$2:G$2576))))*(($F$7="전체")+($F$7&lt;&gt;"전체")*(DB!H$2:H$2576=$F$7))),ROW()-13)-1,"")</f>
        <v/>
      </c>
      <c r="Q452" t="str" cm="1">
        <f t="array" ref="Q452">IFERROR(INDEX(DB!G$2:G$2576,P452),"")</f>
        <v/>
      </c>
      <c r="R452" t="str" cm="1">
        <f t="array" ref="R452">IFERROR(INDEX(DB!O$2:O$2576,P452),"")</f>
        <v/>
      </c>
      <c r="S452" t="str">
        <f t="shared" si="21"/>
        <v/>
      </c>
      <c r="T452" t="str">
        <f t="shared" si="22"/>
        <v/>
      </c>
    </row>
    <row r="453" spans="1:20" ht="100" customHeight="1">
      <c r="A453" s="26"/>
      <c r="B453" s="42" t="str">
        <f t="shared" si="20"/>
        <v/>
      </c>
      <c r="C453" s="43"/>
      <c r="D453" s="51" t="str" cm="1">
        <f t="array" ref="D453">IFERROR(INDEX(DB!G$2:G$2576,T453),"")</f>
        <v/>
      </c>
      <c r="E453" s="43"/>
      <c r="F453" s="52" t="str" cm="1">
        <f t="array" ref="F453">IFERROR(INDEX(DB!O$2:O$2576,T453),"")</f>
        <v/>
      </c>
      <c r="G453" s="43"/>
      <c r="H453" s="40" t="str" cm="1">
        <f t="array" ref="H453">IFERROR(INDEX(DB!P$2:P$2576,T453),"")</f>
        <v/>
      </c>
      <c r="I453" s="43"/>
      <c r="J453" s="53" t="str" cm="1">
        <f t="array" ref="J453">IFERROR(INDEX(DB!Q$2:Q$2576,T453),"")</f>
        <v/>
      </c>
      <c r="K453" s="43"/>
      <c r="L453" s="41" t="str" cm="1">
        <f t="array" ref="L453">IFERROR(INDEX(DB!R$2:R$2576,T453),"")</f>
        <v/>
      </c>
      <c r="M453" s="43"/>
      <c r="P453" t="str" cm="1">
        <f t="array" ref="P453">IFERROR(_xlfn.AGGREGATE(15,6,ROW(DB!A$2:A$2576)/((($D$3&lt;&gt;"YES")+($D$3="YES")*(DB!E$2:E$2576="YES"))*(($D$4="")+($D$4&lt;&gt;"")*( DB!B$2:B$2576=$D$4))*(($D$5="")+($D$5&lt;&gt;"")*( DB!C$2:C$2576=$D$5))*(($D$6="")+($D$6&lt;&gt;"")*( DB!D$2:D$2576=$D$6))*(($D$7="")+($D$7&lt;&gt;"")*(ISNUMBER(SEARCH($D$7,DB!G$2:G$2576))))*(($F$7="전체")+($F$7&lt;&gt;"전체")*(DB!H$2:H$2576=$F$7))),ROW()-13)-1,"")</f>
        <v/>
      </c>
      <c r="Q453" t="str" cm="1">
        <f t="array" ref="Q453">IFERROR(INDEX(DB!G$2:G$2576,P453),"")</f>
        <v/>
      </c>
      <c r="R453" t="str" cm="1">
        <f t="array" ref="R453">IFERROR(INDEX(DB!O$2:O$2576,P453),"")</f>
        <v/>
      </c>
      <c r="S453" t="str">
        <f t="shared" si="21"/>
        <v/>
      </c>
      <c r="T453" t="str">
        <f t="shared" si="22"/>
        <v/>
      </c>
    </row>
    <row r="454" spans="1:20" ht="100" customHeight="1">
      <c r="A454" s="26"/>
      <c r="B454" s="39" t="str">
        <f t="shared" si="20"/>
        <v/>
      </c>
      <c r="C454" s="43"/>
      <c r="D454" s="51" t="str" cm="1">
        <f t="array" ref="D454">IFERROR(INDEX(DB!G$2:G$2576,T454),"")</f>
        <v/>
      </c>
      <c r="E454" s="43"/>
      <c r="F454" s="52" t="str" cm="1">
        <f t="array" ref="F454">IFERROR(INDEX(DB!O$2:O$2576,T454),"")</f>
        <v/>
      </c>
      <c r="G454" s="43"/>
      <c r="H454" s="40" t="str" cm="1">
        <f t="array" ref="H454">IFERROR(INDEX(DB!P$2:P$2576,T454),"")</f>
        <v/>
      </c>
      <c r="I454" s="43"/>
      <c r="J454" s="53" t="str" cm="1">
        <f t="array" ref="J454">IFERROR(INDEX(DB!Q$2:Q$2576,T454),"")</f>
        <v/>
      </c>
      <c r="K454" s="43"/>
      <c r="L454" s="41" t="str" cm="1">
        <f t="array" ref="L454">IFERROR(INDEX(DB!R$2:R$2576,T454),"")</f>
        <v/>
      </c>
      <c r="M454" s="43"/>
      <c r="P454" t="str" cm="1">
        <f t="array" ref="P454">IFERROR(_xlfn.AGGREGATE(15,6,ROW(DB!A$2:A$2576)/((($D$3&lt;&gt;"YES")+($D$3="YES")*(DB!E$2:E$2576="YES"))*(($D$4="")+($D$4&lt;&gt;"")*( DB!B$2:B$2576=$D$4))*(($D$5="")+($D$5&lt;&gt;"")*( DB!C$2:C$2576=$D$5))*(($D$6="")+($D$6&lt;&gt;"")*( DB!D$2:D$2576=$D$6))*(($D$7="")+($D$7&lt;&gt;"")*(ISNUMBER(SEARCH($D$7,DB!G$2:G$2576))))*(($F$7="전체")+($F$7&lt;&gt;"전체")*(DB!H$2:H$2576=$F$7))),ROW()-13)-1,"")</f>
        <v/>
      </c>
      <c r="Q454" t="str" cm="1">
        <f t="array" ref="Q454">IFERROR(INDEX(DB!G$2:G$2576,P454),"")</f>
        <v/>
      </c>
      <c r="R454" t="str" cm="1">
        <f t="array" ref="R454">IFERROR(INDEX(DB!O$2:O$2576,P454),"")</f>
        <v/>
      </c>
      <c r="S454" t="str">
        <f t="shared" si="21"/>
        <v/>
      </c>
      <c r="T454" t="str">
        <f t="shared" si="22"/>
        <v/>
      </c>
    </row>
    <row r="455" spans="1:20" ht="100" customHeight="1">
      <c r="A455" s="26"/>
      <c r="B455" s="42" t="str">
        <f t="shared" si="20"/>
        <v/>
      </c>
      <c r="C455" s="43"/>
      <c r="D455" s="51" t="str" cm="1">
        <f t="array" ref="D455">IFERROR(INDEX(DB!G$2:G$2576,T455),"")</f>
        <v/>
      </c>
      <c r="E455" s="43"/>
      <c r="F455" s="52" t="str" cm="1">
        <f t="array" ref="F455">IFERROR(INDEX(DB!O$2:O$2576,T455),"")</f>
        <v/>
      </c>
      <c r="G455" s="43"/>
      <c r="H455" s="40" t="str" cm="1">
        <f t="array" ref="H455">IFERROR(INDEX(DB!P$2:P$2576,T455),"")</f>
        <v/>
      </c>
      <c r="I455" s="43"/>
      <c r="J455" s="53" t="str" cm="1">
        <f t="array" ref="J455">IFERROR(INDEX(DB!Q$2:Q$2576,T455),"")</f>
        <v/>
      </c>
      <c r="K455" s="43"/>
      <c r="L455" s="41" t="str" cm="1">
        <f t="array" ref="L455">IFERROR(INDEX(DB!R$2:R$2576,T455),"")</f>
        <v/>
      </c>
      <c r="M455" s="43"/>
      <c r="P455" t="str" cm="1">
        <f t="array" ref="P455">IFERROR(_xlfn.AGGREGATE(15,6,ROW(DB!A$2:A$2576)/((($D$3&lt;&gt;"YES")+($D$3="YES")*(DB!E$2:E$2576="YES"))*(($D$4="")+($D$4&lt;&gt;"")*( DB!B$2:B$2576=$D$4))*(($D$5="")+($D$5&lt;&gt;"")*( DB!C$2:C$2576=$D$5))*(($D$6="")+($D$6&lt;&gt;"")*( DB!D$2:D$2576=$D$6))*(($D$7="")+($D$7&lt;&gt;"")*(ISNUMBER(SEARCH($D$7,DB!G$2:G$2576))))*(($F$7="전체")+($F$7&lt;&gt;"전체")*(DB!H$2:H$2576=$F$7))),ROW()-13)-1,"")</f>
        <v/>
      </c>
      <c r="Q455" t="str" cm="1">
        <f t="array" ref="Q455">IFERROR(INDEX(DB!G$2:G$2576,P455),"")</f>
        <v/>
      </c>
      <c r="R455" t="str" cm="1">
        <f t="array" ref="R455">IFERROR(INDEX(DB!O$2:O$2576,P455),"")</f>
        <v/>
      </c>
      <c r="S455" t="str">
        <f t="shared" si="21"/>
        <v/>
      </c>
      <c r="T455" t="str">
        <f t="shared" si="22"/>
        <v/>
      </c>
    </row>
    <row r="456" spans="1:20" ht="100" customHeight="1">
      <c r="A456" s="26"/>
      <c r="B456" s="39" t="str">
        <f t="shared" si="20"/>
        <v/>
      </c>
      <c r="C456" s="43"/>
      <c r="D456" s="51" t="str" cm="1">
        <f t="array" ref="D456">IFERROR(INDEX(DB!G$2:G$2576,T456),"")</f>
        <v/>
      </c>
      <c r="E456" s="43"/>
      <c r="F456" s="52" t="str" cm="1">
        <f t="array" ref="F456">IFERROR(INDEX(DB!O$2:O$2576,T456),"")</f>
        <v/>
      </c>
      <c r="G456" s="43"/>
      <c r="H456" s="40" t="str" cm="1">
        <f t="array" ref="H456">IFERROR(INDEX(DB!P$2:P$2576,T456),"")</f>
        <v/>
      </c>
      <c r="I456" s="43"/>
      <c r="J456" s="53" t="str" cm="1">
        <f t="array" ref="J456">IFERROR(INDEX(DB!Q$2:Q$2576,T456),"")</f>
        <v/>
      </c>
      <c r="K456" s="43"/>
      <c r="L456" s="41" t="str" cm="1">
        <f t="array" ref="L456">IFERROR(INDEX(DB!R$2:R$2576,T456),"")</f>
        <v/>
      </c>
      <c r="M456" s="43"/>
      <c r="P456" t="str" cm="1">
        <f t="array" ref="P456">IFERROR(_xlfn.AGGREGATE(15,6,ROW(DB!A$2:A$2576)/((($D$3&lt;&gt;"YES")+($D$3="YES")*(DB!E$2:E$2576="YES"))*(($D$4="")+($D$4&lt;&gt;"")*( DB!B$2:B$2576=$D$4))*(($D$5="")+($D$5&lt;&gt;"")*( DB!C$2:C$2576=$D$5))*(($D$6="")+($D$6&lt;&gt;"")*( DB!D$2:D$2576=$D$6))*(($D$7="")+($D$7&lt;&gt;"")*(ISNUMBER(SEARCH($D$7,DB!G$2:G$2576))))*(($F$7="전체")+($F$7&lt;&gt;"전체")*(DB!H$2:H$2576=$F$7))),ROW()-13)-1,"")</f>
        <v/>
      </c>
      <c r="Q456" t="str" cm="1">
        <f t="array" ref="Q456">IFERROR(INDEX(DB!G$2:G$2576,P456),"")</f>
        <v/>
      </c>
      <c r="R456" t="str" cm="1">
        <f t="array" ref="R456">IFERROR(INDEX(DB!O$2:O$2576,P456),"")</f>
        <v/>
      </c>
      <c r="S456" t="str">
        <f t="shared" si="21"/>
        <v/>
      </c>
      <c r="T456" t="str">
        <f t="shared" si="22"/>
        <v/>
      </c>
    </row>
    <row r="457" spans="1:20" ht="100" customHeight="1">
      <c r="A457" s="26"/>
      <c r="B457" s="42" t="str">
        <f t="shared" si="20"/>
        <v/>
      </c>
      <c r="C457" s="43"/>
      <c r="D457" s="51" t="str" cm="1">
        <f t="array" ref="D457">IFERROR(INDEX(DB!G$2:G$2576,T457),"")</f>
        <v/>
      </c>
      <c r="E457" s="43"/>
      <c r="F457" s="52" t="str" cm="1">
        <f t="array" ref="F457">IFERROR(INDEX(DB!O$2:O$2576,T457),"")</f>
        <v/>
      </c>
      <c r="G457" s="43"/>
      <c r="H457" s="40" t="str" cm="1">
        <f t="array" ref="H457">IFERROR(INDEX(DB!P$2:P$2576,T457),"")</f>
        <v/>
      </c>
      <c r="I457" s="43"/>
      <c r="J457" s="53" t="str" cm="1">
        <f t="array" ref="J457">IFERROR(INDEX(DB!Q$2:Q$2576,T457),"")</f>
        <v/>
      </c>
      <c r="K457" s="43"/>
      <c r="L457" s="41" t="str" cm="1">
        <f t="array" ref="L457">IFERROR(INDEX(DB!R$2:R$2576,T457),"")</f>
        <v/>
      </c>
      <c r="M457" s="43"/>
      <c r="P457" t="str" cm="1">
        <f t="array" ref="P457">IFERROR(_xlfn.AGGREGATE(15,6,ROW(DB!A$2:A$2576)/((($D$3&lt;&gt;"YES")+($D$3="YES")*(DB!E$2:E$2576="YES"))*(($D$4="")+($D$4&lt;&gt;"")*( DB!B$2:B$2576=$D$4))*(($D$5="")+($D$5&lt;&gt;"")*( DB!C$2:C$2576=$D$5))*(($D$6="")+($D$6&lt;&gt;"")*( DB!D$2:D$2576=$D$6))*(($D$7="")+($D$7&lt;&gt;"")*(ISNUMBER(SEARCH($D$7,DB!G$2:G$2576))))*(($F$7="전체")+($F$7&lt;&gt;"전체")*(DB!H$2:H$2576=$F$7))),ROW()-13)-1,"")</f>
        <v/>
      </c>
      <c r="Q457" t="str" cm="1">
        <f t="array" ref="Q457">IFERROR(INDEX(DB!G$2:G$2576,P457),"")</f>
        <v/>
      </c>
      <c r="R457" t="str" cm="1">
        <f t="array" ref="R457">IFERROR(INDEX(DB!O$2:O$2576,P457),"")</f>
        <v/>
      </c>
      <c r="S457" t="str">
        <f t="shared" si="21"/>
        <v/>
      </c>
      <c r="T457" t="str">
        <f t="shared" si="22"/>
        <v/>
      </c>
    </row>
    <row r="458" spans="1:20" ht="100" customHeight="1">
      <c r="A458" s="26"/>
      <c r="B458" s="39" t="str">
        <f t="shared" si="20"/>
        <v/>
      </c>
      <c r="C458" s="43"/>
      <c r="D458" s="51" t="str" cm="1">
        <f t="array" ref="D458">IFERROR(INDEX(DB!G$2:G$2576,T458),"")</f>
        <v/>
      </c>
      <c r="E458" s="43"/>
      <c r="F458" s="52" t="str" cm="1">
        <f t="array" ref="F458">IFERROR(INDEX(DB!O$2:O$2576,T458),"")</f>
        <v/>
      </c>
      <c r="G458" s="43"/>
      <c r="H458" s="40" t="str" cm="1">
        <f t="array" ref="H458">IFERROR(INDEX(DB!P$2:P$2576,T458),"")</f>
        <v/>
      </c>
      <c r="I458" s="43"/>
      <c r="J458" s="53" t="str" cm="1">
        <f t="array" ref="J458">IFERROR(INDEX(DB!Q$2:Q$2576,T458),"")</f>
        <v/>
      </c>
      <c r="K458" s="43"/>
      <c r="L458" s="41" t="str" cm="1">
        <f t="array" ref="L458">IFERROR(INDEX(DB!R$2:R$2576,T458),"")</f>
        <v/>
      </c>
      <c r="M458" s="43"/>
      <c r="P458" t="str" cm="1">
        <f t="array" ref="P458">IFERROR(_xlfn.AGGREGATE(15,6,ROW(DB!A$2:A$2576)/((($D$3&lt;&gt;"YES")+($D$3="YES")*(DB!E$2:E$2576="YES"))*(($D$4="")+($D$4&lt;&gt;"")*( DB!B$2:B$2576=$D$4))*(($D$5="")+($D$5&lt;&gt;"")*( DB!C$2:C$2576=$D$5))*(($D$6="")+($D$6&lt;&gt;"")*( DB!D$2:D$2576=$D$6))*(($D$7="")+($D$7&lt;&gt;"")*(ISNUMBER(SEARCH($D$7,DB!G$2:G$2576))))*(($F$7="전체")+($F$7&lt;&gt;"전체")*(DB!H$2:H$2576=$F$7))),ROW()-13)-1,"")</f>
        <v/>
      </c>
      <c r="Q458" t="str" cm="1">
        <f t="array" ref="Q458">IFERROR(INDEX(DB!G$2:G$2576,P458),"")</f>
        <v/>
      </c>
      <c r="R458" t="str" cm="1">
        <f t="array" ref="R458">IFERROR(INDEX(DB!O$2:O$2576,P458),"")</f>
        <v/>
      </c>
      <c r="S458" t="str">
        <f t="shared" si="21"/>
        <v/>
      </c>
      <c r="T458" t="str">
        <f t="shared" si="22"/>
        <v/>
      </c>
    </row>
    <row r="459" spans="1:20" ht="100" customHeight="1">
      <c r="A459" s="26"/>
      <c r="B459" s="42" t="str">
        <f t="shared" si="20"/>
        <v/>
      </c>
      <c r="C459" s="43"/>
      <c r="D459" s="51" t="str" cm="1">
        <f t="array" ref="D459">IFERROR(INDEX(DB!G$2:G$2576,T459),"")</f>
        <v/>
      </c>
      <c r="E459" s="43"/>
      <c r="F459" s="52" t="str" cm="1">
        <f t="array" ref="F459">IFERROR(INDEX(DB!O$2:O$2576,T459),"")</f>
        <v/>
      </c>
      <c r="G459" s="43"/>
      <c r="H459" s="40" t="str" cm="1">
        <f t="array" ref="H459">IFERROR(INDEX(DB!P$2:P$2576,T459),"")</f>
        <v/>
      </c>
      <c r="I459" s="43"/>
      <c r="J459" s="53" t="str" cm="1">
        <f t="array" ref="J459">IFERROR(INDEX(DB!Q$2:Q$2576,T459),"")</f>
        <v/>
      </c>
      <c r="K459" s="43"/>
      <c r="L459" s="41" t="str" cm="1">
        <f t="array" ref="L459">IFERROR(INDEX(DB!R$2:R$2576,T459),"")</f>
        <v/>
      </c>
      <c r="M459" s="43"/>
      <c r="P459" t="str" cm="1">
        <f t="array" ref="P459">IFERROR(_xlfn.AGGREGATE(15,6,ROW(DB!A$2:A$2576)/((($D$3&lt;&gt;"YES")+($D$3="YES")*(DB!E$2:E$2576="YES"))*(($D$4="")+($D$4&lt;&gt;"")*( DB!B$2:B$2576=$D$4))*(($D$5="")+($D$5&lt;&gt;"")*( DB!C$2:C$2576=$D$5))*(($D$6="")+($D$6&lt;&gt;"")*( DB!D$2:D$2576=$D$6))*(($D$7="")+($D$7&lt;&gt;"")*(ISNUMBER(SEARCH($D$7,DB!G$2:G$2576))))*(($F$7="전체")+($F$7&lt;&gt;"전체")*(DB!H$2:H$2576=$F$7))),ROW()-13)-1,"")</f>
        <v/>
      </c>
      <c r="Q459" t="str" cm="1">
        <f t="array" ref="Q459">IFERROR(INDEX(DB!G$2:G$2576,P459),"")</f>
        <v/>
      </c>
      <c r="R459" t="str" cm="1">
        <f t="array" ref="R459">IFERROR(INDEX(DB!O$2:O$2576,P459),"")</f>
        <v/>
      </c>
      <c r="S459" t="str">
        <f t="shared" si="21"/>
        <v/>
      </c>
      <c r="T459" t="str">
        <f t="shared" si="22"/>
        <v/>
      </c>
    </row>
    <row r="460" spans="1:20" ht="100" customHeight="1">
      <c r="A460" s="26"/>
      <c r="B460" s="39" t="str">
        <f t="shared" si="20"/>
        <v/>
      </c>
      <c r="C460" s="43"/>
      <c r="D460" s="51" t="str" cm="1">
        <f t="array" ref="D460">IFERROR(INDEX(DB!G$2:G$2576,T460),"")</f>
        <v/>
      </c>
      <c r="E460" s="43"/>
      <c r="F460" s="52" t="str" cm="1">
        <f t="array" ref="F460">IFERROR(INDEX(DB!O$2:O$2576,T460),"")</f>
        <v/>
      </c>
      <c r="G460" s="43"/>
      <c r="H460" s="40" t="str" cm="1">
        <f t="array" ref="H460">IFERROR(INDEX(DB!P$2:P$2576,T460),"")</f>
        <v/>
      </c>
      <c r="I460" s="43"/>
      <c r="J460" s="53" t="str" cm="1">
        <f t="array" ref="J460">IFERROR(INDEX(DB!Q$2:Q$2576,T460),"")</f>
        <v/>
      </c>
      <c r="K460" s="43"/>
      <c r="L460" s="41" t="str" cm="1">
        <f t="array" ref="L460">IFERROR(INDEX(DB!R$2:R$2576,T460),"")</f>
        <v/>
      </c>
      <c r="M460" s="43"/>
      <c r="P460" t="str" cm="1">
        <f t="array" ref="P460">IFERROR(_xlfn.AGGREGATE(15,6,ROW(DB!A$2:A$2576)/((($D$3&lt;&gt;"YES")+($D$3="YES")*(DB!E$2:E$2576="YES"))*(($D$4="")+($D$4&lt;&gt;"")*( DB!B$2:B$2576=$D$4))*(($D$5="")+($D$5&lt;&gt;"")*( DB!C$2:C$2576=$D$5))*(($D$6="")+($D$6&lt;&gt;"")*( DB!D$2:D$2576=$D$6))*(($D$7="")+($D$7&lt;&gt;"")*(ISNUMBER(SEARCH($D$7,DB!G$2:G$2576))))*(($F$7="전체")+($F$7&lt;&gt;"전체")*(DB!H$2:H$2576=$F$7))),ROW()-13)-1,"")</f>
        <v/>
      </c>
      <c r="Q460" t="str" cm="1">
        <f t="array" ref="Q460">IFERROR(INDEX(DB!G$2:G$2576,P460),"")</f>
        <v/>
      </c>
      <c r="R460" t="str" cm="1">
        <f t="array" ref="R460">IFERROR(INDEX(DB!O$2:O$2576,P460),"")</f>
        <v/>
      </c>
      <c r="S460" t="str">
        <f t="shared" si="21"/>
        <v/>
      </c>
      <c r="T460" t="str">
        <f t="shared" si="22"/>
        <v/>
      </c>
    </row>
    <row r="461" spans="1:20" ht="100" customHeight="1">
      <c r="A461" s="26"/>
      <c r="B461" s="42" t="str">
        <f t="shared" si="20"/>
        <v/>
      </c>
      <c r="C461" s="43"/>
      <c r="D461" s="51" t="str" cm="1">
        <f t="array" ref="D461">IFERROR(INDEX(DB!G$2:G$2576,T461),"")</f>
        <v/>
      </c>
      <c r="E461" s="43"/>
      <c r="F461" s="52" t="str" cm="1">
        <f t="array" ref="F461">IFERROR(INDEX(DB!O$2:O$2576,T461),"")</f>
        <v/>
      </c>
      <c r="G461" s="43"/>
      <c r="H461" s="40" t="str" cm="1">
        <f t="array" ref="H461">IFERROR(INDEX(DB!P$2:P$2576,T461),"")</f>
        <v/>
      </c>
      <c r="I461" s="43"/>
      <c r="J461" s="53" t="str" cm="1">
        <f t="array" ref="J461">IFERROR(INDEX(DB!Q$2:Q$2576,T461),"")</f>
        <v/>
      </c>
      <c r="K461" s="43"/>
      <c r="L461" s="41" t="str" cm="1">
        <f t="array" ref="L461">IFERROR(INDEX(DB!R$2:R$2576,T461),"")</f>
        <v/>
      </c>
      <c r="M461" s="43"/>
      <c r="P461" t="str" cm="1">
        <f t="array" ref="P461">IFERROR(_xlfn.AGGREGATE(15,6,ROW(DB!A$2:A$2576)/((($D$3&lt;&gt;"YES")+($D$3="YES")*(DB!E$2:E$2576="YES"))*(($D$4="")+($D$4&lt;&gt;"")*( DB!B$2:B$2576=$D$4))*(($D$5="")+($D$5&lt;&gt;"")*( DB!C$2:C$2576=$D$5))*(($D$6="")+($D$6&lt;&gt;"")*( DB!D$2:D$2576=$D$6))*(($D$7="")+($D$7&lt;&gt;"")*(ISNUMBER(SEARCH($D$7,DB!G$2:G$2576))))*(($F$7="전체")+($F$7&lt;&gt;"전체")*(DB!H$2:H$2576=$F$7))),ROW()-13)-1,"")</f>
        <v/>
      </c>
      <c r="Q461" t="str" cm="1">
        <f t="array" ref="Q461">IFERROR(INDEX(DB!G$2:G$2576,P461),"")</f>
        <v/>
      </c>
      <c r="R461" t="str" cm="1">
        <f t="array" ref="R461">IFERROR(INDEX(DB!O$2:O$2576,P461),"")</f>
        <v/>
      </c>
      <c r="S461" t="str">
        <f t="shared" si="21"/>
        <v/>
      </c>
      <c r="T461" t="str">
        <f t="shared" si="22"/>
        <v/>
      </c>
    </row>
    <row r="462" spans="1:20" ht="100" customHeight="1">
      <c r="A462" s="26"/>
      <c r="B462" s="39" t="str">
        <f t="shared" si="20"/>
        <v/>
      </c>
      <c r="C462" s="43"/>
      <c r="D462" s="51" t="str" cm="1">
        <f t="array" ref="D462">IFERROR(INDEX(DB!G$2:G$2576,T462),"")</f>
        <v/>
      </c>
      <c r="E462" s="43"/>
      <c r="F462" s="52" t="str" cm="1">
        <f t="array" ref="F462">IFERROR(INDEX(DB!O$2:O$2576,T462),"")</f>
        <v/>
      </c>
      <c r="G462" s="43"/>
      <c r="H462" s="40" t="str" cm="1">
        <f t="array" ref="H462">IFERROR(INDEX(DB!P$2:P$2576,T462),"")</f>
        <v/>
      </c>
      <c r="I462" s="43"/>
      <c r="J462" s="53" t="str" cm="1">
        <f t="array" ref="J462">IFERROR(INDEX(DB!Q$2:Q$2576,T462),"")</f>
        <v/>
      </c>
      <c r="K462" s="43"/>
      <c r="L462" s="41" t="str" cm="1">
        <f t="array" ref="L462">IFERROR(INDEX(DB!R$2:R$2576,T462),"")</f>
        <v/>
      </c>
      <c r="M462" s="43"/>
      <c r="P462" t="str" cm="1">
        <f t="array" ref="P462">IFERROR(_xlfn.AGGREGATE(15,6,ROW(DB!A$2:A$2576)/((($D$3&lt;&gt;"YES")+($D$3="YES")*(DB!E$2:E$2576="YES"))*(($D$4="")+($D$4&lt;&gt;"")*( DB!B$2:B$2576=$D$4))*(($D$5="")+($D$5&lt;&gt;"")*( DB!C$2:C$2576=$D$5))*(($D$6="")+($D$6&lt;&gt;"")*( DB!D$2:D$2576=$D$6))*(($D$7="")+($D$7&lt;&gt;"")*(ISNUMBER(SEARCH($D$7,DB!G$2:G$2576))))*(($F$7="전체")+($F$7&lt;&gt;"전체")*(DB!H$2:H$2576=$F$7))),ROW()-13)-1,"")</f>
        <v/>
      </c>
      <c r="Q462" t="str" cm="1">
        <f t="array" ref="Q462">IFERROR(INDEX(DB!G$2:G$2576,P462),"")</f>
        <v/>
      </c>
      <c r="R462" t="str" cm="1">
        <f t="array" ref="R462">IFERROR(INDEX(DB!O$2:O$2576,P462),"")</f>
        <v/>
      </c>
      <c r="S462" t="str">
        <f t="shared" si="21"/>
        <v/>
      </c>
      <c r="T462" t="str">
        <f t="shared" si="22"/>
        <v/>
      </c>
    </row>
    <row r="463" spans="1:20" ht="100" customHeight="1">
      <c r="A463" s="26"/>
      <c r="B463" s="42" t="str">
        <f t="shared" ref="B463:B526" si="23">IFERROR(IF(T463="","",ROW()-13),"")</f>
        <v/>
      </c>
      <c r="C463" s="43"/>
      <c r="D463" s="51" t="str" cm="1">
        <f t="array" ref="D463">IFERROR(INDEX(DB!G$2:G$2576,T463),"")</f>
        <v/>
      </c>
      <c r="E463" s="43"/>
      <c r="F463" s="52" t="str" cm="1">
        <f t="array" ref="F463">IFERROR(INDEX(DB!O$2:O$2576,T463),"")</f>
        <v/>
      </c>
      <c r="G463" s="43"/>
      <c r="H463" s="40" t="str" cm="1">
        <f t="array" ref="H463">IFERROR(INDEX(DB!P$2:P$2576,T463),"")</f>
        <v/>
      </c>
      <c r="I463" s="43"/>
      <c r="J463" s="53" t="str" cm="1">
        <f t="array" ref="J463">IFERROR(INDEX(DB!Q$2:Q$2576,T463),"")</f>
        <v/>
      </c>
      <c r="K463" s="43"/>
      <c r="L463" s="41" t="str" cm="1">
        <f t="array" ref="L463">IFERROR(INDEX(DB!R$2:R$2576,T463),"")</f>
        <v/>
      </c>
      <c r="M463" s="43"/>
      <c r="P463" t="str" cm="1">
        <f t="array" ref="P463">IFERROR(_xlfn.AGGREGATE(15,6,ROW(DB!A$2:A$2576)/((($D$3&lt;&gt;"YES")+($D$3="YES")*(DB!E$2:E$2576="YES"))*(($D$4="")+($D$4&lt;&gt;"")*( DB!B$2:B$2576=$D$4))*(($D$5="")+($D$5&lt;&gt;"")*( DB!C$2:C$2576=$D$5))*(($D$6="")+($D$6&lt;&gt;"")*( DB!D$2:D$2576=$D$6))*(($D$7="")+($D$7&lt;&gt;"")*(ISNUMBER(SEARCH($D$7,DB!G$2:G$2576))))*(($F$7="전체")+($F$7&lt;&gt;"전체")*(DB!H$2:H$2576=$F$7))),ROW()-13)-1,"")</f>
        <v/>
      </c>
      <c r="Q463" t="str" cm="1">
        <f t="array" ref="Q463">IFERROR(INDEX(DB!G$2:G$2576,P463),"")</f>
        <v/>
      </c>
      <c r="R463" t="str" cm="1">
        <f t="array" ref="R463">IFERROR(INDEX(DB!O$2:O$2576,P463),"")</f>
        <v/>
      </c>
      <c r="S463" t="str">
        <f t="shared" ref="S463:S526" si="24">IF(P463="","",COUNTIF($Q$14:$Q$2587,"&lt;"&amp;Q463)*100+COUNTIF($R$14:$R$2587,"&lt;"&amp;R463)+(ROW()-13)*0.001)</f>
        <v/>
      </c>
      <c r="T463" t="str">
        <f t="shared" ref="T463:T526" si="25">IFERROR(INDEX($P$14:$P$2587,MATCH(SMALL($S$14:$S$2587,ROW()-13),$S$14:$S$2587,0)),"")</f>
        <v/>
      </c>
    </row>
    <row r="464" spans="1:20" ht="100" customHeight="1">
      <c r="A464" s="26"/>
      <c r="B464" s="39" t="str">
        <f t="shared" si="23"/>
        <v/>
      </c>
      <c r="C464" s="43"/>
      <c r="D464" s="51" t="str" cm="1">
        <f t="array" ref="D464">IFERROR(INDEX(DB!G$2:G$2576,T464),"")</f>
        <v/>
      </c>
      <c r="E464" s="43"/>
      <c r="F464" s="52" t="str" cm="1">
        <f t="array" ref="F464">IFERROR(INDEX(DB!O$2:O$2576,T464),"")</f>
        <v/>
      </c>
      <c r="G464" s="43"/>
      <c r="H464" s="40" t="str" cm="1">
        <f t="array" ref="H464">IFERROR(INDEX(DB!P$2:P$2576,T464),"")</f>
        <v/>
      </c>
      <c r="I464" s="43"/>
      <c r="J464" s="53" t="str" cm="1">
        <f t="array" ref="J464">IFERROR(INDEX(DB!Q$2:Q$2576,T464),"")</f>
        <v/>
      </c>
      <c r="K464" s="43"/>
      <c r="L464" s="41" t="str" cm="1">
        <f t="array" ref="L464">IFERROR(INDEX(DB!R$2:R$2576,T464),"")</f>
        <v/>
      </c>
      <c r="M464" s="43"/>
      <c r="P464" t="str" cm="1">
        <f t="array" ref="P464">IFERROR(_xlfn.AGGREGATE(15,6,ROW(DB!A$2:A$2576)/((($D$3&lt;&gt;"YES")+($D$3="YES")*(DB!E$2:E$2576="YES"))*(($D$4="")+($D$4&lt;&gt;"")*( DB!B$2:B$2576=$D$4))*(($D$5="")+($D$5&lt;&gt;"")*( DB!C$2:C$2576=$D$5))*(($D$6="")+($D$6&lt;&gt;"")*( DB!D$2:D$2576=$D$6))*(($D$7="")+($D$7&lt;&gt;"")*(ISNUMBER(SEARCH($D$7,DB!G$2:G$2576))))*(($F$7="전체")+($F$7&lt;&gt;"전체")*(DB!H$2:H$2576=$F$7))),ROW()-13)-1,"")</f>
        <v/>
      </c>
      <c r="Q464" t="str" cm="1">
        <f t="array" ref="Q464">IFERROR(INDEX(DB!G$2:G$2576,P464),"")</f>
        <v/>
      </c>
      <c r="R464" t="str" cm="1">
        <f t="array" ref="R464">IFERROR(INDEX(DB!O$2:O$2576,P464),"")</f>
        <v/>
      </c>
      <c r="S464" t="str">
        <f t="shared" si="24"/>
        <v/>
      </c>
      <c r="T464" t="str">
        <f t="shared" si="25"/>
        <v/>
      </c>
    </row>
    <row r="465" spans="1:20" ht="100" customHeight="1">
      <c r="A465" s="26"/>
      <c r="B465" s="42" t="str">
        <f t="shared" si="23"/>
        <v/>
      </c>
      <c r="C465" s="43"/>
      <c r="D465" s="51" t="str" cm="1">
        <f t="array" ref="D465">IFERROR(INDEX(DB!G$2:G$2576,T465),"")</f>
        <v/>
      </c>
      <c r="E465" s="43"/>
      <c r="F465" s="52" t="str" cm="1">
        <f t="array" ref="F465">IFERROR(INDEX(DB!O$2:O$2576,T465),"")</f>
        <v/>
      </c>
      <c r="G465" s="43"/>
      <c r="H465" s="40" t="str" cm="1">
        <f t="array" ref="H465">IFERROR(INDEX(DB!P$2:P$2576,T465),"")</f>
        <v/>
      </c>
      <c r="I465" s="43"/>
      <c r="J465" s="53" t="str" cm="1">
        <f t="array" ref="J465">IFERROR(INDEX(DB!Q$2:Q$2576,T465),"")</f>
        <v/>
      </c>
      <c r="K465" s="43"/>
      <c r="L465" s="41" t="str" cm="1">
        <f t="array" ref="L465">IFERROR(INDEX(DB!R$2:R$2576,T465),"")</f>
        <v/>
      </c>
      <c r="M465" s="43"/>
      <c r="P465" t="str" cm="1">
        <f t="array" ref="P465">IFERROR(_xlfn.AGGREGATE(15,6,ROW(DB!A$2:A$2576)/((($D$3&lt;&gt;"YES")+($D$3="YES")*(DB!E$2:E$2576="YES"))*(($D$4="")+($D$4&lt;&gt;"")*( DB!B$2:B$2576=$D$4))*(($D$5="")+($D$5&lt;&gt;"")*( DB!C$2:C$2576=$D$5))*(($D$6="")+($D$6&lt;&gt;"")*( DB!D$2:D$2576=$D$6))*(($D$7="")+($D$7&lt;&gt;"")*(ISNUMBER(SEARCH($D$7,DB!G$2:G$2576))))*(($F$7="전체")+($F$7&lt;&gt;"전체")*(DB!H$2:H$2576=$F$7))),ROW()-13)-1,"")</f>
        <v/>
      </c>
      <c r="Q465" t="str" cm="1">
        <f t="array" ref="Q465">IFERROR(INDEX(DB!G$2:G$2576,P465),"")</f>
        <v/>
      </c>
      <c r="R465" t="str" cm="1">
        <f t="array" ref="R465">IFERROR(INDEX(DB!O$2:O$2576,P465),"")</f>
        <v/>
      </c>
      <c r="S465" t="str">
        <f t="shared" si="24"/>
        <v/>
      </c>
      <c r="T465" t="str">
        <f t="shared" si="25"/>
        <v/>
      </c>
    </row>
    <row r="466" spans="1:20" ht="100" customHeight="1">
      <c r="A466" s="26"/>
      <c r="B466" s="39" t="str">
        <f t="shared" si="23"/>
        <v/>
      </c>
      <c r="C466" s="43"/>
      <c r="D466" s="51" t="str" cm="1">
        <f t="array" ref="D466">IFERROR(INDEX(DB!G$2:G$2576,T466),"")</f>
        <v/>
      </c>
      <c r="E466" s="43"/>
      <c r="F466" s="52" t="str" cm="1">
        <f t="array" ref="F466">IFERROR(INDEX(DB!O$2:O$2576,T466),"")</f>
        <v/>
      </c>
      <c r="G466" s="43"/>
      <c r="H466" s="40" t="str" cm="1">
        <f t="array" ref="H466">IFERROR(INDEX(DB!P$2:P$2576,T466),"")</f>
        <v/>
      </c>
      <c r="I466" s="43"/>
      <c r="J466" s="53" t="str" cm="1">
        <f t="array" ref="J466">IFERROR(INDEX(DB!Q$2:Q$2576,T466),"")</f>
        <v/>
      </c>
      <c r="K466" s="43"/>
      <c r="L466" s="41" t="str" cm="1">
        <f t="array" ref="L466">IFERROR(INDEX(DB!R$2:R$2576,T466),"")</f>
        <v/>
      </c>
      <c r="M466" s="43"/>
      <c r="P466" t="str" cm="1">
        <f t="array" ref="P466">IFERROR(_xlfn.AGGREGATE(15,6,ROW(DB!A$2:A$2576)/((($D$3&lt;&gt;"YES")+($D$3="YES")*(DB!E$2:E$2576="YES"))*(($D$4="")+($D$4&lt;&gt;"")*( DB!B$2:B$2576=$D$4))*(($D$5="")+($D$5&lt;&gt;"")*( DB!C$2:C$2576=$D$5))*(($D$6="")+($D$6&lt;&gt;"")*( DB!D$2:D$2576=$D$6))*(($D$7="")+($D$7&lt;&gt;"")*(ISNUMBER(SEARCH($D$7,DB!G$2:G$2576))))*(($F$7="전체")+($F$7&lt;&gt;"전체")*(DB!H$2:H$2576=$F$7))),ROW()-13)-1,"")</f>
        <v/>
      </c>
      <c r="Q466" t="str" cm="1">
        <f t="array" ref="Q466">IFERROR(INDEX(DB!G$2:G$2576,P466),"")</f>
        <v/>
      </c>
      <c r="R466" t="str" cm="1">
        <f t="array" ref="R466">IFERROR(INDEX(DB!O$2:O$2576,P466),"")</f>
        <v/>
      </c>
      <c r="S466" t="str">
        <f t="shared" si="24"/>
        <v/>
      </c>
      <c r="T466" t="str">
        <f t="shared" si="25"/>
        <v/>
      </c>
    </row>
    <row r="467" spans="1:20" ht="100" customHeight="1">
      <c r="A467" s="26"/>
      <c r="B467" s="42" t="str">
        <f t="shared" si="23"/>
        <v/>
      </c>
      <c r="C467" s="43"/>
      <c r="D467" s="51" t="str" cm="1">
        <f t="array" ref="D467">IFERROR(INDEX(DB!G$2:G$2576,T467),"")</f>
        <v/>
      </c>
      <c r="E467" s="43"/>
      <c r="F467" s="52" t="str" cm="1">
        <f t="array" ref="F467">IFERROR(INDEX(DB!O$2:O$2576,T467),"")</f>
        <v/>
      </c>
      <c r="G467" s="43"/>
      <c r="H467" s="40" t="str" cm="1">
        <f t="array" ref="H467">IFERROR(INDEX(DB!P$2:P$2576,T467),"")</f>
        <v/>
      </c>
      <c r="I467" s="43"/>
      <c r="J467" s="53" t="str" cm="1">
        <f t="array" ref="J467">IFERROR(INDEX(DB!Q$2:Q$2576,T467),"")</f>
        <v/>
      </c>
      <c r="K467" s="43"/>
      <c r="L467" s="41" t="str" cm="1">
        <f t="array" ref="L467">IFERROR(INDEX(DB!R$2:R$2576,T467),"")</f>
        <v/>
      </c>
      <c r="M467" s="43"/>
      <c r="P467" t="str" cm="1">
        <f t="array" ref="P467">IFERROR(_xlfn.AGGREGATE(15,6,ROW(DB!A$2:A$2576)/((($D$3&lt;&gt;"YES")+($D$3="YES")*(DB!E$2:E$2576="YES"))*(($D$4="")+($D$4&lt;&gt;"")*( DB!B$2:B$2576=$D$4))*(($D$5="")+($D$5&lt;&gt;"")*( DB!C$2:C$2576=$D$5))*(($D$6="")+($D$6&lt;&gt;"")*( DB!D$2:D$2576=$D$6))*(($D$7="")+($D$7&lt;&gt;"")*(ISNUMBER(SEARCH($D$7,DB!G$2:G$2576))))*(($F$7="전체")+($F$7&lt;&gt;"전체")*(DB!H$2:H$2576=$F$7))),ROW()-13)-1,"")</f>
        <v/>
      </c>
      <c r="Q467" t="str" cm="1">
        <f t="array" ref="Q467">IFERROR(INDEX(DB!G$2:G$2576,P467),"")</f>
        <v/>
      </c>
      <c r="R467" t="str" cm="1">
        <f t="array" ref="R467">IFERROR(INDEX(DB!O$2:O$2576,P467),"")</f>
        <v/>
      </c>
      <c r="S467" t="str">
        <f t="shared" si="24"/>
        <v/>
      </c>
      <c r="T467" t="str">
        <f t="shared" si="25"/>
        <v/>
      </c>
    </row>
    <row r="468" spans="1:20" ht="100" customHeight="1">
      <c r="A468" s="26"/>
      <c r="B468" s="39" t="str">
        <f t="shared" si="23"/>
        <v/>
      </c>
      <c r="C468" s="43"/>
      <c r="D468" s="51" t="str" cm="1">
        <f t="array" ref="D468">IFERROR(INDEX(DB!G$2:G$2576,T468),"")</f>
        <v/>
      </c>
      <c r="E468" s="43"/>
      <c r="F468" s="52" t="str" cm="1">
        <f t="array" ref="F468">IFERROR(INDEX(DB!O$2:O$2576,T468),"")</f>
        <v/>
      </c>
      <c r="G468" s="43"/>
      <c r="H468" s="40" t="str" cm="1">
        <f t="array" ref="H468">IFERROR(INDEX(DB!P$2:P$2576,T468),"")</f>
        <v/>
      </c>
      <c r="I468" s="43"/>
      <c r="J468" s="53" t="str" cm="1">
        <f t="array" ref="J468">IFERROR(INDEX(DB!Q$2:Q$2576,T468),"")</f>
        <v/>
      </c>
      <c r="K468" s="43"/>
      <c r="L468" s="41" t="str" cm="1">
        <f t="array" ref="L468">IFERROR(INDEX(DB!R$2:R$2576,T468),"")</f>
        <v/>
      </c>
      <c r="M468" s="43"/>
      <c r="P468" t="str" cm="1">
        <f t="array" ref="P468">IFERROR(_xlfn.AGGREGATE(15,6,ROW(DB!A$2:A$2576)/((($D$3&lt;&gt;"YES")+($D$3="YES")*(DB!E$2:E$2576="YES"))*(($D$4="")+($D$4&lt;&gt;"")*( DB!B$2:B$2576=$D$4))*(($D$5="")+($D$5&lt;&gt;"")*( DB!C$2:C$2576=$D$5))*(($D$6="")+($D$6&lt;&gt;"")*( DB!D$2:D$2576=$D$6))*(($D$7="")+($D$7&lt;&gt;"")*(ISNUMBER(SEARCH($D$7,DB!G$2:G$2576))))*(($F$7="전체")+($F$7&lt;&gt;"전체")*(DB!H$2:H$2576=$F$7))),ROW()-13)-1,"")</f>
        <v/>
      </c>
      <c r="Q468" t="str" cm="1">
        <f t="array" ref="Q468">IFERROR(INDEX(DB!G$2:G$2576,P468),"")</f>
        <v/>
      </c>
      <c r="R468" t="str" cm="1">
        <f t="array" ref="R468">IFERROR(INDEX(DB!O$2:O$2576,P468),"")</f>
        <v/>
      </c>
      <c r="S468" t="str">
        <f t="shared" si="24"/>
        <v/>
      </c>
      <c r="T468" t="str">
        <f t="shared" si="25"/>
        <v/>
      </c>
    </row>
    <row r="469" spans="1:20" ht="100" customHeight="1">
      <c r="A469" s="26"/>
      <c r="B469" s="42" t="str">
        <f t="shared" si="23"/>
        <v/>
      </c>
      <c r="C469" s="43"/>
      <c r="D469" s="51" t="str" cm="1">
        <f t="array" ref="D469">IFERROR(INDEX(DB!G$2:G$2576,T469),"")</f>
        <v/>
      </c>
      <c r="E469" s="43"/>
      <c r="F469" s="52" t="str" cm="1">
        <f t="array" ref="F469">IFERROR(INDEX(DB!O$2:O$2576,T469),"")</f>
        <v/>
      </c>
      <c r="G469" s="43"/>
      <c r="H469" s="40" t="str" cm="1">
        <f t="array" ref="H469">IFERROR(INDEX(DB!P$2:P$2576,T469),"")</f>
        <v/>
      </c>
      <c r="I469" s="43"/>
      <c r="J469" s="53" t="str" cm="1">
        <f t="array" ref="J469">IFERROR(INDEX(DB!Q$2:Q$2576,T469),"")</f>
        <v/>
      </c>
      <c r="K469" s="43"/>
      <c r="L469" s="41" t="str" cm="1">
        <f t="array" ref="L469">IFERROR(INDEX(DB!R$2:R$2576,T469),"")</f>
        <v/>
      </c>
      <c r="M469" s="43"/>
      <c r="P469" t="str" cm="1">
        <f t="array" ref="P469">IFERROR(_xlfn.AGGREGATE(15,6,ROW(DB!A$2:A$2576)/((($D$3&lt;&gt;"YES")+($D$3="YES")*(DB!E$2:E$2576="YES"))*(($D$4="")+($D$4&lt;&gt;"")*( DB!B$2:B$2576=$D$4))*(($D$5="")+($D$5&lt;&gt;"")*( DB!C$2:C$2576=$D$5))*(($D$6="")+($D$6&lt;&gt;"")*( DB!D$2:D$2576=$D$6))*(($D$7="")+($D$7&lt;&gt;"")*(ISNUMBER(SEARCH($D$7,DB!G$2:G$2576))))*(($F$7="전체")+($F$7&lt;&gt;"전체")*(DB!H$2:H$2576=$F$7))),ROW()-13)-1,"")</f>
        <v/>
      </c>
      <c r="Q469" t="str" cm="1">
        <f t="array" ref="Q469">IFERROR(INDEX(DB!G$2:G$2576,P469),"")</f>
        <v/>
      </c>
      <c r="R469" t="str" cm="1">
        <f t="array" ref="R469">IFERROR(INDEX(DB!O$2:O$2576,P469),"")</f>
        <v/>
      </c>
      <c r="S469" t="str">
        <f t="shared" si="24"/>
        <v/>
      </c>
      <c r="T469" t="str">
        <f t="shared" si="25"/>
        <v/>
      </c>
    </row>
    <row r="470" spans="1:20" ht="100" customHeight="1">
      <c r="A470" s="26"/>
      <c r="B470" s="39" t="str">
        <f t="shared" si="23"/>
        <v/>
      </c>
      <c r="C470" s="43"/>
      <c r="D470" s="51" t="str" cm="1">
        <f t="array" ref="D470">IFERROR(INDEX(DB!G$2:G$2576,T470),"")</f>
        <v/>
      </c>
      <c r="E470" s="43"/>
      <c r="F470" s="52" t="str" cm="1">
        <f t="array" ref="F470">IFERROR(INDEX(DB!O$2:O$2576,T470),"")</f>
        <v/>
      </c>
      <c r="G470" s="43"/>
      <c r="H470" s="40" t="str" cm="1">
        <f t="array" ref="H470">IFERROR(INDEX(DB!P$2:P$2576,T470),"")</f>
        <v/>
      </c>
      <c r="I470" s="43"/>
      <c r="J470" s="53" t="str" cm="1">
        <f t="array" ref="J470">IFERROR(INDEX(DB!Q$2:Q$2576,T470),"")</f>
        <v/>
      </c>
      <c r="K470" s="43"/>
      <c r="L470" s="41" t="str" cm="1">
        <f t="array" ref="L470">IFERROR(INDEX(DB!R$2:R$2576,T470),"")</f>
        <v/>
      </c>
      <c r="M470" s="43"/>
      <c r="P470" t="str" cm="1">
        <f t="array" ref="P470">IFERROR(_xlfn.AGGREGATE(15,6,ROW(DB!A$2:A$2576)/((($D$3&lt;&gt;"YES")+($D$3="YES")*(DB!E$2:E$2576="YES"))*(($D$4="")+($D$4&lt;&gt;"")*( DB!B$2:B$2576=$D$4))*(($D$5="")+($D$5&lt;&gt;"")*( DB!C$2:C$2576=$D$5))*(($D$6="")+($D$6&lt;&gt;"")*( DB!D$2:D$2576=$D$6))*(($D$7="")+($D$7&lt;&gt;"")*(ISNUMBER(SEARCH($D$7,DB!G$2:G$2576))))*(($F$7="전체")+($F$7&lt;&gt;"전체")*(DB!H$2:H$2576=$F$7))),ROW()-13)-1,"")</f>
        <v/>
      </c>
      <c r="Q470" t="str" cm="1">
        <f t="array" ref="Q470">IFERROR(INDEX(DB!G$2:G$2576,P470),"")</f>
        <v/>
      </c>
      <c r="R470" t="str" cm="1">
        <f t="array" ref="R470">IFERROR(INDEX(DB!O$2:O$2576,P470),"")</f>
        <v/>
      </c>
      <c r="S470" t="str">
        <f t="shared" si="24"/>
        <v/>
      </c>
      <c r="T470" t="str">
        <f t="shared" si="25"/>
        <v/>
      </c>
    </row>
    <row r="471" spans="1:20" ht="100" customHeight="1">
      <c r="A471" s="26"/>
      <c r="B471" s="42" t="str">
        <f t="shared" si="23"/>
        <v/>
      </c>
      <c r="C471" s="43"/>
      <c r="D471" s="51" t="str" cm="1">
        <f t="array" ref="D471">IFERROR(INDEX(DB!G$2:G$2576,T471),"")</f>
        <v/>
      </c>
      <c r="E471" s="43"/>
      <c r="F471" s="52" t="str" cm="1">
        <f t="array" ref="F471">IFERROR(INDEX(DB!O$2:O$2576,T471),"")</f>
        <v/>
      </c>
      <c r="G471" s="43"/>
      <c r="H471" s="40" t="str" cm="1">
        <f t="array" ref="H471">IFERROR(INDEX(DB!P$2:P$2576,T471),"")</f>
        <v/>
      </c>
      <c r="I471" s="43"/>
      <c r="J471" s="53" t="str" cm="1">
        <f t="array" ref="J471">IFERROR(INDEX(DB!Q$2:Q$2576,T471),"")</f>
        <v/>
      </c>
      <c r="K471" s="43"/>
      <c r="L471" s="41" t="str" cm="1">
        <f t="array" ref="L471">IFERROR(INDEX(DB!R$2:R$2576,T471),"")</f>
        <v/>
      </c>
      <c r="M471" s="43"/>
      <c r="P471" t="str" cm="1">
        <f t="array" ref="P471">IFERROR(_xlfn.AGGREGATE(15,6,ROW(DB!A$2:A$2576)/((($D$3&lt;&gt;"YES")+($D$3="YES")*(DB!E$2:E$2576="YES"))*(($D$4="")+($D$4&lt;&gt;"")*( DB!B$2:B$2576=$D$4))*(($D$5="")+($D$5&lt;&gt;"")*( DB!C$2:C$2576=$D$5))*(($D$6="")+($D$6&lt;&gt;"")*( DB!D$2:D$2576=$D$6))*(($D$7="")+($D$7&lt;&gt;"")*(ISNUMBER(SEARCH($D$7,DB!G$2:G$2576))))*(($F$7="전체")+($F$7&lt;&gt;"전체")*(DB!H$2:H$2576=$F$7))),ROW()-13)-1,"")</f>
        <v/>
      </c>
      <c r="Q471" t="str" cm="1">
        <f t="array" ref="Q471">IFERROR(INDEX(DB!G$2:G$2576,P471),"")</f>
        <v/>
      </c>
      <c r="R471" t="str" cm="1">
        <f t="array" ref="R471">IFERROR(INDEX(DB!O$2:O$2576,P471),"")</f>
        <v/>
      </c>
      <c r="S471" t="str">
        <f t="shared" si="24"/>
        <v/>
      </c>
      <c r="T471" t="str">
        <f t="shared" si="25"/>
        <v/>
      </c>
    </row>
    <row r="472" spans="1:20" ht="100" customHeight="1">
      <c r="A472" s="26"/>
      <c r="B472" s="39" t="str">
        <f t="shared" si="23"/>
        <v/>
      </c>
      <c r="C472" s="43"/>
      <c r="D472" s="51" t="str" cm="1">
        <f t="array" ref="D472">IFERROR(INDEX(DB!G$2:G$2576,T472),"")</f>
        <v/>
      </c>
      <c r="E472" s="43"/>
      <c r="F472" s="52" t="str" cm="1">
        <f t="array" ref="F472">IFERROR(INDEX(DB!O$2:O$2576,T472),"")</f>
        <v/>
      </c>
      <c r="G472" s="43"/>
      <c r="H472" s="40" t="str" cm="1">
        <f t="array" ref="H472">IFERROR(INDEX(DB!P$2:P$2576,T472),"")</f>
        <v/>
      </c>
      <c r="I472" s="43"/>
      <c r="J472" s="53" t="str" cm="1">
        <f t="array" ref="J472">IFERROR(INDEX(DB!Q$2:Q$2576,T472),"")</f>
        <v/>
      </c>
      <c r="K472" s="43"/>
      <c r="L472" s="41" t="str" cm="1">
        <f t="array" ref="L472">IFERROR(INDEX(DB!R$2:R$2576,T472),"")</f>
        <v/>
      </c>
      <c r="M472" s="43"/>
      <c r="P472" t="str" cm="1">
        <f t="array" ref="P472">IFERROR(_xlfn.AGGREGATE(15,6,ROW(DB!A$2:A$2576)/((($D$3&lt;&gt;"YES")+($D$3="YES")*(DB!E$2:E$2576="YES"))*(($D$4="")+($D$4&lt;&gt;"")*( DB!B$2:B$2576=$D$4))*(($D$5="")+($D$5&lt;&gt;"")*( DB!C$2:C$2576=$D$5))*(($D$6="")+($D$6&lt;&gt;"")*( DB!D$2:D$2576=$D$6))*(($D$7="")+($D$7&lt;&gt;"")*(ISNUMBER(SEARCH($D$7,DB!G$2:G$2576))))*(($F$7="전체")+($F$7&lt;&gt;"전체")*(DB!H$2:H$2576=$F$7))),ROW()-13)-1,"")</f>
        <v/>
      </c>
      <c r="Q472" t="str" cm="1">
        <f t="array" ref="Q472">IFERROR(INDEX(DB!G$2:G$2576,P472),"")</f>
        <v/>
      </c>
      <c r="R472" t="str" cm="1">
        <f t="array" ref="R472">IFERROR(INDEX(DB!O$2:O$2576,P472),"")</f>
        <v/>
      </c>
      <c r="S472" t="str">
        <f t="shared" si="24"/>
        <v/>
      </c>
      <c r="T472" t="str">
        <f t="shared" si="25"/>
        <v/>
      </c>
    </row>
    <row r="473" spans="1:20" ht="100" customHeight="1">
      <c r="A473" s="26"/>
      <c r="B473" s="42" t="str">
        <f t="shared" si="23"/>
        <v/>
      </c>
      <c r="C473" s="43"/>
      <c r="D473" s="51" t="str" cm="1">
        <f t="array" ref="D473">IFERROR(INDEX(DB!G$2:G$2576,T473),"")</f>
        <v/>
      </c>
      <c r="E473" s="43"/>
      <c r="F473" s="52" t="str" cm="1">
        <f t="array" ref="F473">IFERROR(INDEX(DB!O$2:O$2576,T473),"")</f>
        <v/>
      </c>
      <c r="G473" s="43"/>
      <c r="H473" s="40" t="str" cm="1">
        <f t="array" ref="H473">IFERROR(INDEX(DB!P$2:P$2576,T473),"")</f>
        <v/>
      </c>
      <c r="I473" s="43"/>
      <c r="J473" s="53" t="str" cm="1">
        <f t="array" ref="J473">IFERROR(INDEX(DB!Q$2:Q$2576,T473),"")</f>
        <v/>
      </c>
      <c r="K473" s="43"/>
      <c r="L473" s="41" t="str" cm="1">
        <f t="array" ref="L473">IFERROR(INDEX(DB!R$2:R$2576,T473),"")</f>
        <v/>
      </c>
      <c r="M473" s="43"/>
      <c r="P473" t="str" cm="1">
        <f t="array" ref="P473">IFERROR(_xlfn.AGGREGATE(15,6,ROW(DB!A$2:A$2576)/((($D$3&lt;&gt;"YES")+($D$3="YES")*(DB!E$2:E$2576="YES"))*(($D$4="")+($D$4&lt;&gt;"")*( DB!B$2:B$2576=$D$4))*(($D$5="")+($D$5&lt;&gt;"")*( DB!C$2:C$2576=$D$5))*(($D$6="")+($D$6&lt;&gt;"")*( DB!D$2:D$2576=$D$6))*(($D$7="")+($D$7&lt;&gt;"")*(ISNUMBER(SEARCH($D$7,DB!G$2:G$2576))))*(($F$7="전체")+($F$7&lt;&gt;"전체")*(DB!H$2:H$2576=$F$7))),ROW()-13)-1,"")</f>
        <v/>
      </c>
      <c r="Q473" t="str" cm="1">
        <f t="array" ref="Q473">IFERROR(INDEX(DB!G$2:G$2576,P473),"")</f>
        <v/>
      </c>
      <c r="R473" t="str" cm="1">
        <f t="array" ref="R473">IFERROR(INDEX(DB!O$2:O$2576,P473),"")</f>
        <v/>
      </c>
      <c r="S473" t="str">
        <f t="shared" si="24"/>
        <v/>
      </c>
      <c r="T473" t="str">
        <f t="shared" si="25"/>
        <v/>
      </c>
    </row>
    <row r="474" spans="1:20" ht="100" customHeight="1">
      <c r="A474" s="26"/>
      <c r="B474" s="39" t="str">
        <f t="shared" si="23"/>
        <v/>
      </c>
      <c r="C474" s="43"/>
      <c r="D474" s="51" t="str" cm="1">
        <f t="array" ref="D474">IFERROR(INDEX(DB!G$2:G$2576,T474),"")</f>
        <v/>
      </c>
      <c r="E474" s="43"/>
      <c r="F474" s="52" t="str" cm="1">
        <f t="array" ref="F474">IFERROR(INDEX(DB!O$2:O$2576,T474),"")</f>
        <v/>
      </c>
      <c r="G474" s="43"/>
      <c r="H474" s="40" t="str" cm="1">
        <f t="array" ref="H474">IFERROR(INDEX(DB!P$2:P$2576,T474),"")</f>
        <v/>
      </c>
      <c r="I474" s="43"/>
      <c r="J474" s="53" t="str" cm="1">
        <f t="array" ref="J474">IFERROR(INDEX(DB!Q$2:Q$2576,T474),"")</f>
        <v/>
      </c>
      <c r="K474" s="43"/>
      <c r="L474" s="41" t="str" cm="1">
        <f t="array" ref="L474">IFERROR(INDEX(DB!R$2:R$2576,T474),"")</f>
        <v/>
      </c>
      <c r="M474" s="43"/>
      <c r="P474" t="str" cm="1">
        <f t="array" ref="P474">IFERROR(_xlfn.AGGREGATE(15,6,ROW(DB!A$2:A$2576)/((($D$3&lt;&gt;"YES")+($D$3="YES")*(DB!E$2:E$2576="YES"))*(($D$4="")+($D$4&lt;&gt;"")*( DB!B$2:B$2576=$D$4))*(($D$5="")+($D$5&lt;&gt;"")*( DB!C$2:C$2576=$D$5))*(($D$6="")+($D$6&lt;&gt;"")*( DB!D$2:D$2576=$D$6))*(($D$7="")+($D$7&lt;&gt;"")*(ISNUMBER(SEARCH($D$7,DB!G$2:G$2576))))*(($F$7="전체")+($F$7&lt;&gt;"전체")*(DB!H$2:H$2576=$F$7))),ROW()-13)-1,"")</f>
        <v/>
      </c>
      <c r="Q474" t="str" cm="1">
        <f t="array" ref="Q474">IFERROR(INDEX(DB!G$2:G$2576,P474),"")</f>
        <v/>
      </c>
      <c r="R474" t="str" cm="1">
        <f t="array" ref="R474">IFERROR(INDEX(DB!O$2:O$2576,P474),"")</f>
        <v/>
      </c>
      <c r="S474" t="str">
        <f t="shared" si="24"/>
        <v/>
      </c>
      <c r="T474" t="str">
        <f t="shared" si="25"/>
        <v/>
      </c>
    </row>
    <row r="475" spans="1:20" ht="100" customHeight="1">
      <c r="A475" s="26"/>
      <c r="B475" s="42" t="str">
        <f t="shared" si="23"/>
        <v/>
      </c>
      <c r="C475" s="43"/>
      <c r="D475" s="51" t="str" cm="1">
        <f t="array" ref="D475">IFERROR(INDEX(DB!G$2:G$2576,T475),"")</f>
        <v/>
      </c>
      <c r="E475" s="43"/>
      <c r="F475" s="52" t="str" cm="1">
        <f t="array" ref="F475">IFERROR(INDEX(DB!O$2:O$2576,T475),"")</f>
        <v/>
      </c>
      <c r="G475" s="43"/>
      <c r="H475" s="40" t="str" cm="1">
        <f t="array" ref="H475">IFERROR(INDEX(DB!P$2:P$2576,T475),"")</f>
        <v/>
      </c>
      <c r="I475" s="43"/>
      <c r="J475" s="53" t="str" cm="1">
        <f t="array" ref="J475">IFERROR(INDEX(DB!Q$2:Q$2576,T475),"")</f>
        <v/>
      </c>
      <c r="K475" s="43"/>
      <c r="L475" s="41" t="str" cm="1">
        <f t="array" ref="L475">IFERROR(INDEX(DB!R$2:R$2576,T475),"")</f>
        <v/>
      </c>
      <c r="M475" s="43"/>
      <c r="P475" t="str" cm="1">
        <f t="array" ref="P475">IFERROR(_xlfn.AGGREGATE(15,6,ROW(DB!A$2:A$2576)/((($D$3&lt;&gt;"YES")+($D$3="YES")*(DB!E$2:E$2576="YES"))*(($D$4="")+($D$4&lt;&gt;"")*( DB!B$2:B$2576=$D$4))*(($D$5="")+($D$5&lt;&gt;"")*( DB!C$2:C$2576=$D$5))*(($D$6="")+($D$6&lt;&gt;"")*( DB!D$2:D$2576=$D$6))*(($D$7="")+($D$7&lt;&gt;"")*(ISNUMBER(SEARCH($D$7,DB!G$2:G$2576))))*(($F$7="전체")+($F$7&lt;&gt;"전체")*(DB!H$2:H$2576=$F$7))),ROW()-13)-1,"")</f>
        <v/>
      </c>
      <c r="Q475" t="str" cm="1">
        <f t="array" ref="Q475">IFERROR(INDEX(DB!G$2:G$2576,P475),"")</f>
        <v/>
      </c>
      <c r="R475" t="str" cm="1">
        <f t="array" ref="R475">IFERROR(INDEX(DB!O$2:O$2576,P475),"")</f>
        <v/>
      </c>
      <c r="S475" t="str">
        <f t="shared" si="24"/>
        <v/>
      </c>
      <c r="T475" t="str">
        <f t="shared" si="25"/>
        <v/>
      </c>
    </row>
    <row r="476" spans="1:20" ht="100" customHeight="1">
      <c r="A476" s="26"/>
      <c r="B476" s="39" t="str">
        <f t="shared" si="23"/>
        <v/>
      </c>
      <c r="C476" s="43"/>
      <c r="D476" s="51" t="str" cm="1">
        <f t="array" ref="D476">IFERROR(INDEX(DB!G$2:G$2576,T476),"")</f>
        <v/>
      </c>
      <c r="E476" s="43"/>
      <c r="F476" s="52" t="str" cm="1">
        <f t="array" ref="F476">IFERROR(INDEX(DB!O$2:O$2576,T476),"")</f>
        <v/>
      </c>
      <c r="G476" s="43"/>
      <c r="H476" s="40" t="str" cm="1">
        <f t="array" ref="H476">IFERROR(INDEX(DB!P$2:P$2576,T476),"")</f>
        <v/>
      </c>
      <c r="I476" s="43"/>
      <c r="J476" s="53" t="str" cm="1">
        <f t="array" ref="J476">IFERROR(INDEX(DB!Q$2:Q$2576,T476),"")</f>
        <v/>
      </c>
      <c r="K476" s="43"/>
      <c r="L476" s="41" t="str" cm="1">
        <f t="array" ref="L476">IFERROR(INDEX(DB!R$2:R$2576,T476),"")</f>
        <v/>
      </c>
      <c r="M476" s="43"/>
      <c r="P476" t="str" cm="1">
        <f t="array" ref="P476">IFERROR(_xlfn.AGGREGATE(15,6,ROW(DB!A$2:A$2576)/((($D$3&lt;&gt;"YES")+($D$3="YES")*(DB!E$2:E$2576="YES"))*(($D$4="")+($D$4&lt;&gt;"")*( DB!B$2:B$2576=$D$4))*(($D$5="")+($D$5&lt;&gt;"")*( DB!C$2:C$2576=$D$5))*(($D$6="")+($D$6&lt;&gt;"")*( DB!D$2:D$2576=$D$6))*(($D$7="")+($D$7&lt;&gt;"")*(ISNUMBER(SEARCH($D$7,DB!G$2:G$2576))))*(($F$7="전체")+($F$7&lt;&gt;"전체")*(DB!H$2:H$2576=$F$7))),ROW()-13)-1,"")</f>
        <v/>
      </c>
      <c r="Q476" t="str" cm="1">
        <f t="array" ref="Q476">IFERROR(INDEX(DB!G$2:G$2576,P476),"")</f>
        <v/>
      </c>
      <c r="R476" t="str" cm="1">
        <f t="array" ref="R476">IFERROR(INDEX(DB!O$2:O$2576,P476),"")</f>
        <v/>
      </c>
      <c r="S476" t="str">
        <f t="shared" si="24"/>
        <v/>
      </c>
      <c r="T476" t="str">
        <f t="shared" si="25"/>
        <v/>
      </c>
    </row>
    <row r="477" spans="1:20" ht="100" customHeight="1">
      <c r="A477" s="26"/>
      <c r="B477" s="42" t="str">
        <f t="shared" si="23"/>
        <v/>
      </c>
      <c r="C477" s="43"/>
      <c r="D477" s="51" t="str" cm="1">
        <f t="array" ref="D477">IFERROR(INDEX(DB!G$2:G$2576,T477),"")</f>
        <v/>
      </c>
      <c r="E477" s="43"/>
      <c r="F477" s="52" t="str" cm="1">
        <f t="array" ref="F477">IFERROR(INDEX(DB!O$2:O$2576,T477),"")</f>
        <v/>
      </c>
      <c r="G477" s="43"/>
      <c r="H477" s="40" t="str" cm="1">
        <f t="array" ref="H477">IFERROR(INDEX(DB!P$2:P$2576,T477),"")</f>
        <v/>
      </c>
      <c r="I477" s="43"/>
      <c r="J477" s="53" t="str" cm="1">
        <f t="array" ref="J477">IFERROR(INDEX(DB!Q$2:Q$2576,T477),"")</f>
        <v/>
      </c>
      <c r="K477" s="43"/>
      <c r="L477" s="41" t="str" cm="1">
        <f t="array" ref="L477">IFERROR(INDEX(DB!R$2:R$2576,T477),"")</f>
        <v/>
      </c>
      <c r="M477" s="43"/>
      <c r="P477" t="str" cm="1">
        <f t="array" ref="P477">IFERROR(_xlfn.AGGREGATE(15,6,ROW(DB!A$2:A$2576)/((($D$3&lt;&gt;"YES")+($D$3="YES")*(DB!E$2:E$2576="YES"))*(($D$4="")+($D$4&lt;&gt;"")*( DB!B$2:B$2576=$D$4))*(($D$5="")+($D$5&lt;&gt;"")*( DB!C$2:C$2576=$D$5))*(($D$6="")+($D$6&lt;&gt;"")*( DB!D$2:D$2576=$D$6))*(($D$7="")+($D$7&lt;&gt;"")*(ISNUMBER(SEARCH($D$7,DB!G$2:G$2576))))*(($F$7="전체")+($F$7&lt;&gt;"전체")*(DB!H$2:H$2576=$F$7))),ROW()-13)-1,"")</f>
        <v/>
      </c>
      <c r="Q477" t="str" cm="1">
        <f t="array" ref="Q477">IFERROR(INDEX(DB!G$2:G$2576,P477),"")</f>
        <v/>
      </c>
      <c r="R477" t="str" cm="1">
        <f t="array" ref="R477">IFERROR(INDEX(DB!O$2:O$2576,P477),"")</f>
        <v/>
      </c>
      <c r="S477" t="str">
        <f t="shared" si="24"/>
        <v/>
      </c>
      <c r="T477" t="str">
        <f t="shared" si="25"/>
        <v/>
      </c>
    </row>
    <row r="478" spans="1:20" ht="100" customHeight="1">
      <c r="A478" s="26"/>
      <c r="B478" s="39" t="str">
        <f t="shared" si="23"/>
        <v/>
      </c>
      <c r="C478" s="43"/>
      <c r="D478" s="51" t="str" cm="1">
        <f t="array" ref="D478">IFERROR(INDEX(DB!G$2:G$2576,T478),"")</f>
        <v/>
      </c>
      <c r="E478" s="43"/>
      <c r="F478" s="52" t="str" cm="1">
        <f t="array" ref="F478">IFERROR(INDEX(DB!O$2:O$2576,T478),"")</f>
        <v/>
      </c>
      <c r="G478" s="43"/>
      <c r="H478" s="40" t="str" cm="1">
        <f t="array" ref="H478">IFERROR(INDEX(DB!P$2:P$2576,T478),"")</f>
        <v/>
      </c>
      <c r="I478" s="43"/>
      <c r="J478" s="53" t="str" cm="1">
        <f t="array" ref="J478">IFERROR(INDEX(DB!Q$2:Q$2576,T478),"")</f>
        <v/>
      </c>
      <c r="K478" s="43"/>
      <c r="L478" s="41" t="str" cm="1">
        <f t="array" ref="L478">IFERROR(INDEX(DB!R$2:R$2576,T478),"")</f>
        <v/>
      </c>
      <c r="M478" s="43"/>
      <c r="P478" t="str" cm="1">
        <f t="array" ref="P478">IFERROR(_xlfn.AGGREGATE(15,6,ROW(DB!A$2:A$2576)/((($D$3&lt;&gt;"YES")+($D$3="YES")*(DB!E$2:E$2576="YES"))*(($D$4="")+($D$4&lt;&gt;"")*( DB!B$2:B$2576=$D$4))*(($D$5="")+($D$5&lt;&gt;"")*( DB!C$2:C$2576=$D$5))*(($D$6="")+($D$6&lt;&gt;"")*( DB!D$2:D$2576=$D$6))*(($D$7="")+($D$7&lt;&gt;"")*(ISNUMBER(SEARCH($D$7,DB!G$2:G$2576))))*(($F$7="전체")+($F$7&lt;&gt;"전체")*(DB!H$2:H$2576=$F$7))),ROW()-13)-1,"")</f>
        <v/>
      </c>
      <c r="Q478" t="str" cm="1">
        <f t="array" ref="Q478">IFERROR(INDEX(DB!G$2:G$2576,P478),"")</f>
        <v/>
      </c>
      <c r="R478" t="str" cm="1">
        <f t="array" ref="R478">IFERROR(INDEX(DB!O$2:O$2576,P478),"")</f>
        <v/>
      </c>
      <c r="S478" t="str">
        <f t="shared" si="24"/>
        <v/>
      </c>
      <c r="T478" t="str">
        <f t="shared" si="25"/>
        <v/>
      </c>
    </row>
    <row r="479" spans="1:20" ht="100" customHeight="1">
      <c r="A479" s="26"/>
      <c r="B479" s="42" t="str">
        <f t="shared" si="23"/>
        <v/>
      </c>
      <c r="C479" s="43"/>
      <c r="D479" s="51" t="str" cm="1">
        <f t="array" ref="D479">IFERROR(INDEX(DB!G$2:G$2576,T479),"")</f>
        <v/>
      </c>
      <c r="E479" s="43"/>
      <c r="F479" s="52" t="str" cm="1">
        <f t="array" ref="F479">IFERROR(INDEX(DB!O$2:O$2576,T479),"")</f>
        <v/>
      </c>
      <c r="G479" s="43"/>
      <c r="H479" s="40" t="str" cm="1">
        <f t="array" ref="H479">IFERROR(INDEX(DB!P$2:P$2576,T479),"")</f>
        <v/>
      </c>
      <c r="I479" s="43"/>
      <c r="J479" s="53" t="str" cm="1">
        <f t="array" ref="J479">IFERROR(INDEX(DB!Q$2:Q$2576,T479),"")</f>
        <v/>
      </c>
      <c r="K479" s="43"/>
      <c r="L479" s="41" t="str" cm="1">
        <f t="array" ref="L479">IFERROR(INDEX(DB!R$2:R$2576,T479),"")</f>
        <v/>
      </c>
      <c r="M479" s="43"/>
      <c r="P479" t="str" cm="1">
        <f t="array" ref="P479">IFERROR(_xlfn.AGGREGATE(15,6,ROW(DB!A$2:A$2576)/((($D$3&lt;&gt;"YES")+($D$3="YES")*(DB!E$2:E$2576="YES"))*(($D$4="")+($D$4&lt;&gt;"")*( DB!B$2:B$2576=$D$4))*(($D$5="")+($D$5&lt;&gt;"")*( DB!C$2:C$2576=$D$5))*(($D$6="")+($D$6&lt;&gt;"")*( DB!D$2:D$2576=$D$6))*(($D$7="")+($D$7&lt;&gt;"")*(ISNUMBER(SEARCH($D$7,DB!G$2:G$2576))))*(($F$7="전체")+($F$7&lt;&gt;"전체")*(DB!H$2:H$2576=$F$7))),ROW()-13)-1,"")</f>
        <v/>
      </c>
      <c r="Q479" t="str" cm="1">
        <f t="array" ref="Q479">IFERROR(INDEX(DB!G$2:G$2576,P479),"")</f>
        <v/>
      </c>
      <c r="R479" t="str" cm="1">
        <f t="array" ref="R479">IFERROR(INDEX(DB!O$2:O$2576,P479),"")</f>
        <v/>
      </c>
      <c r="S479" t="str">
        <f t="shared" si="24"/>
        <v/>
      </c>
      <c r="T479" t="str">
        <f t="shared" si="25"/>
        <v/>
      </c>
    </row>
    <row r="480" spans="1:20" ht="100" customHeight="1">
      <c r="A480" s="26"/>
      <c r="B480" s="39" t="str">
        <f t="shared" si="23"/>
        <v/>
      </c>
      <c r="C480" s="43"/>
      <c r="D480" s="51" t="str" cm="1">
        <f t="array" ref="D480">IFERROR(INDEX(DB!G$2:G$2576,T480),"")</f>
        <v/>
      </c>
      <c r="E480" s="43"/>
      <c r="F480" s="52" t="str" cm="1">
        <f t="array" ref="F480">IFERROR(INDEX(DB!O$2:O$2576,T480),"")</f>
        <v/>
      </c>
      <c r="G480" s="43"/>
      <c r="H480" s="40" t="str" cm="1">
        <f t="array" ref="H480">IFERROR(INDEX(DB!P$2:P$2576,T480),"")</f>
        <v/>
      </c>
      <c r="I480" s="43"/>
      <c r="J480" s="53" t="str" cm="1">
        <f t="array" ref="J480">IFERROR(INDEX(DB!Q$2:Q$2576,T480),"")</f>
        <v/>
      </c>
      <c r="K480" s="43"/>
      <c r="L480" s="41" t="str" cm="1">
        <f t="array" ref="L480">IFERROR(INDEX(DB!R$2:R$2576,T480),"")</f>
        <v/>
      </c>
      <c r="M480" s="43"/>
      <c r="P480" t="str" cm="1">
        <f t="array" ref="P480">IFERROR(_xlfn.AGGREGATE(15,6,ROW(DB!A$2:A$2576)/((($D$3&lt;&gt;"YES")+($D$3="YES")*(DB!E$2:E$2576="YES"))*(($D$4="")+($D$4&lt;&gt;"")*( DB!B$2:B$2576=$D$4))*(($D$5="")+($D$5&lt;&gt;"")*( DB!C$2:C$2576=$D$5))*(($D$6="")+($D$6&lt;&gt;"")*( DB!D$2:D$2576=$D$6))*(($D$7="")+($D$7&lt;&gt;"")*(ISNUMBER(SEARCH($D$7,DB!G$2:G$2576))))*(($F$7="전체")+($F$7&lt;&gt;"전체")*(DB!H$2:H$2576=$F$7))),ROW()-13)-1,"")</f>
        <v/>
      </c>
      <c r="Q480" t="str" cm="1">
        <f t="array" ref="Q480">IFERROR(INDEX(DB!G$2:G$2576,P480),"")</f>
        <v/>
      </c>
      <c r="R480" t="str" cm="1">
        <f t="array" ref="R480">IFERROR(INDEX(DB!O$2:O$2576,P480),"")</f>
        <v/>
      </c>
      <c r="S480" t="str">
        <f t="shared" si="24"/>
        <v/>
      </c>
      <c r="T480" t="str">
        <f t="shared" si="25"/>
        <v/>
      </c>
    </row>
    <row r="481" spans="1:20" ht="100" customHeight="1">
      <c r="A481" s="26"/>
      <c r="B481" s="42" t="str">
        <f t="shared" si="23"/>
        <v/>
      </c>
      <c r="C481" s="43"/>
      <c r="D481" s="51" t="str" cm="1">
        <f t="array" ref="D481">IFERROR(INDEX(DB!G$2:G$2576,T481),"")</f>
        <v/>
      </c>
      <c r="E481" s="43"/>
      <c r="F481" s="52" t="str" cm="1">
        <f t="array" ref="F481">IFERROR(INDEX(DB!O$2:O$2576,T481),"")</f>
        <v/>
      </c>
      <c r="G481" s="43"/>
      <c r="H481" s="40" t="str" cm="1">
        <f t="array" ref="H481">IFERROR(INDEX(DB!P$2:P$2576,T481),"")</f>
        <v/>
      </c>
      <c r="I481" s="43"/>
      <c r="J481" s="53" t="str" cm="1">
        <f t="array" ref="J481">IFERROR(INDEX(DB!Q$2:Q$2576,T481),"")</f>
        <v/>
      </c>
      <c r="K481" s="43"/>
      <c r="L481" s="41" t="str" cm="1">
        <f t="array" ref="L481">IFERROR(INDEX(DB!R$2:R$2576,T481),"")</f>
        <v/>
      </c>
      <c r="M481" s="43"/>
      <c r="P481" t="str" cm="1">
        <f t="array" ref="P481">IFERROR(_xlfn.AGGREGATE(15,6,ROW(DB!A$2:A$2576)/((($D$3&lt;&gt;"YES")+($D$3="YES")*(DB!E$2:E$2576="YES"))*(($D$4="")+($D$4&lt;&gt;"")*( DB!B$2:B$2576=$D$4))*(($D$5="")+($D$5&lt;&gt;"")*( DB!C$2:C$2576=$D$5))*(($D$6="")+($D$6&lt;&gt;"")*( DB!D$2:D$2576=$D$6))*(($D$7="")+($D$7&lt;&gt;"")*(ISNUMBER(SEARCH($D$7,DB!G$2:G$2576))))*(($F$7="전체")+($F$7&lt;&gt;"전체")*(DB!H$2:H$2576=$F$7))),ROW()-13)-1,"")</f>
        <v/>
      </c>
      <c r="Q481" t="str" cm="1">
        <f t="array" ref="Q481">IFERROR(INDEX(DB!G$2:G$2576,P481),"")</f>
        <v/>
      </c>
      <c r="R481" t="str" cm="1">
        <f t="array" ref="R481">IFERROR(INDEX(DB!O$2:O$2576,P481),"")</f>
        <v/>
      </c>
      <c r="S481" t="str">
        <f t="shared" si="24"/>
        <v/>
      </c>
      <c r="T481" t="str">
        <f t="shared" si="25"/>
        <v/>
      </c>
    </row>
    <row r="482" spans="1:20" ht="100" customHeight="1">
      <c r="A482" s="26"/>
      <c r="B482" s="39" t="str">
        <f t="shared" si="23"/>
        <v/>
      </c>
      <c r="C482" s="43"/>
      <c r="D482" s="51" t="str" cm="1">
        <f t="array" ref="D482">IFERROR(INDEX(DB!G$2:G$2576,T482),"")</f>
        <v/>
      </c>
      <c r="E482" s="43"/>
      <c r="F482" s="52" t="str" cm="1">
        <f t="array" ref="F482">IFERROR(INDEX(DB!O$2:O$2576,T482),"")</f>
        <v/>
      </c>
      <c r="G482" s="43"/>
      <c r="H482" s="40" t="str" cm="1">
        <f t="array" ref="H482">IFERROR(INDEX(DB!P$2:P$2576,T482),"")</f>
        <v/>
      </c>
      <c r="I482" s="43"/>
      <c r="J482" s="53" t="str" cm="1">
        <f t="array" ref="J482">IFERROR(INDEX(DB!Q$2:Q$2576,T482),"")</f>
        <v/>
      </c>
      <c r="K482" s="43"/>
      <c r="L482" s="41" t="str" cm="1">
        <f t="array" ref="L482">IFERROR(INDEX(DB!R$2:R$2576,T482),"")</f>
        <v/>
      </c>
      <c r="M482" s="43"/>
      <c r="P482" t="str" cm="1">
        <f t="array" ref="P482">IFERROR(_xlfn.AGGREGATE(15,6,ROW(DB!A$2:A$2576)/((($D$3&lt;&gt;"YES")+($D$3="YES")*(DB!E$2:E$2576="YES"))*(($D$4="")+($D$4&lt;&gt;"")*( DB!B$2:B$2576=$D$4))*(($D$5="")+($D$5&lt;&gt;"")*( DB!C$2:C$2576=$D$5))*(($D$6="")+($D$6&lt;&gt;"")*( DB!D$2:D$2576=$D$6))*(($D$7="")+($D$7&lt;&gt;"")*(ISNUMBER(SEARCH($D$7,DB!G$2:G$2576))))*(($F$7="전체")+($F$7&lt;&gt;"전체")*(DB!H$2:H$2576=$F$7))),ROW()-13)-1,"")</f>
        <v/>
      </c>
      <c r="Q482" t="str" cm="1">
        <f t="array" ref="Q482">IFERROR(INDEX(DB!G$2:G$2576,P482),"")</f>
        <v/>
      </c>
      <c r="R482" t="str" cm="1">
        <f t="array" ref="R482">IFERROR(INDEX(DB!O$2:O$2576,P482),"")</f>
        <v/>
      </c>
      <c r="S482" t="str">
        <f t="shared" si="24"/>
        <v/>
      </c>
      <c r="T482" t="str">
        <f t="shared" si="25"/>
        <v/>
      </c>
    </row>
    <row r="483" spans="1:20" ht="100" customHeight="1">
      <c r="A483" s="26"/>
      <c r="B483" s="42" t="str">
        <f t="shared" si="23"/>
        <v/>
      </c>
      <c r="C483" s="43"/>
      <c r="D483" s="51" t="str" cm="1">
        <f t="array" ref="D483">IFERROR(INDEX(DB!G$2:G$2576,T483),"")</f>
        <v/>
      </c>
      <c r="E483" s="43"/>
      <c r="F483" s="52" t="str" cm="1">
        <f t="array" ref="F483">IFERROR(INDEX(DB!O$2:O$2576,T483),"")</f>
        <v/>
      </c>
      <c r="G483" s="43"/>
      <c r="H483" s="40" t="str" cm="1">
        <f t="array" ref="H483">IFERROR(INDEX(DB!P$2:P$2576,T483),"")</f>
        <v/>
      </c>
      <c r="I483" s="43"/>
      <c r="J483" s="53" t="str" cm="1">
        <f t="array" ref="J483">IFERROR(INDEX(DB!Q$2:Q$2576,T483),"")</f>
        <v/>
      </c>
      <c r="K483" s="43"/>
      <c r="L483" s="41" t="str" cm="1">
        <f t="array" ref="L483">IFERROR(INDEX(DB!R$2:R$2576,T483),"")</f>
        <v/>
      </c>
      <c r="M483" s="43"/>
      <c r="P483" t="str" cm="1">
        <f t="array" ref="P483">IFERROR(_xlfn.AGGREGATE(15,6,ROW(DB!A$2:A$2576)/((($D$3&lt;&gt;"YES")+($D$3="YES")*(DB!E$2:E$2576="YES"))*(($D$4="")+($D$4&lt;&gt;"")*( DB!B$2:B$2576=$D$4))*(($D$5="")+($D$5&lt;&gt;"")*( DB!C$2:C$2576=$D$5))*(($D$6="")+($D$6&lt;&gt;"")*( DB!D$2:D$2576=$D$6))*(($D$7="")+($D$7&lt;&gt;"")*(ISNUMBER(SEARCH($D$7,DB!G$2:G$2576))))*(($F$7="전체")+($F$7&lt;&gt;"전체")*(DB!H$2:H$2576=$F$7))),ROW()-13)-1,"")</f>
        <v/>
      </c>
      <c r="Q483" t="str" cm="1">
        <f t="array" ref="Q483">IFERROR(INDEX(DB!G$2:G$2576,P483),"")</f>
        <v/>
      </c>
      <c r="R483" t="str" cm="1">
        <f t="array" ref="R483">IFERROR(INDEX(DB!O$2:O$2576,P483),"")</f>
        <v/>
      </c>
      <c r="S483" t="str">
        <f t="shared" si="24"/>
        <v/>
      </c>
      <c r="T483" t="str">
        <f t="shared" si="25"/>
        <v/>
      </c>
    </row>
    <row r="484" spans="1:20" ht="100" customHeight="1">
      <c r="A484" s="26"/>
      <c r="B484" s="39" t="str">
        <f t="shared" si="23"/>
        <v/>
      </c>
      <c r="C484" s="43"/>
      <c r="D484" s="51" t="str" cm="1">
        <f t="array" ref="D484">IFERROR(INDEX(DB!G$2:G$2576,T484),"")</f>
        <v/>
      </c>
      <c r="E484" s="43"/>
      <c r="F484" s="52" t="str" cm="1">
        <f t="array" ref="F484">IFERROR(INDEX(DB!O$2:O$2576,T484),"")</f>
        <v/>
      </c>
      <c r="G484" s="43"/>
      <c r="H484" s="40" t="str" cm="1">
        <f t="array" ref="H484">IFERROR(INDEX(DB!P$2:P$2576,T484),"")</f>
        <v/>
      </c>
      <c r="I484" s="43"/>
      <c r="J484" s="53" t="str" cm="1">
        <f t="array" ref="J484">IFERROR(INDEX(DB!Q$2:Q$2576,T484),"")</f>
        <v/>
      </c>
      <c r="K484" s="43"/>
      <c r="L484" s="41" t="str" cm="1">
        <f t="array" ref="L484">IFERROR(INDEX(DB!R$2:R$2576,T484),"")</f>
        <v/>
      </c>
      <c r="M484" s="43"/>
      <c r="P484" t="str" cm="1">
        <f t="array" ref="P484">IFERROR(_xlfn.AGGREGATE(15,6,ROW(DB!A$2:A$2576)/((($D$3&lt;&gt;"YES")+($D$3="YES")*(DB!E$2:E$2576="YES"))*(($D$4="")+($D$4&lt;&gt;"")*( DB!B$2:B$2576=$D$4))*(($D$5="")+($D$5&lt;&gt;"")*( DB!C$2:C$2576=$D$5))*(($D$6="")+($D$6&lt;&gt;"")*( DB!D$2:D$2576=$D$6))*(($D$7="")+($D$7&lt;&gt;"")*(ISNUMBER(SEARCH($D$7,DB!G$2:G$2576))))*(($F$7="전체")+($F$7&lt;&gt;"전체")*(DB!H$2:H$2576=$F$7))),ROW()-13)-1,"")</f>
        <v/>
      </c>
      <c r="Q484" t="str" cm="1">
        <f t="array" ref="Q484">IFERROR(INDEX(DB!G$2:G$2576,P484),"")</f>
        <v/>
      </c>
      <c r="R484" t="str" cm="1">
        <f t="array" ref="R484">IFERROR(INDEX(DB!O$2:O$2576,P484),"")</f>
        <v/>
      </c>
      <c r="S484" t="str">
        <f t="shared" si="24"/>
        <v/>
      </c>
      <c r="T484" t="str">
        <f t="shared" si="25"/>
        <v/>
      </c>
    </row>
    <row r="485" spans="1:20" ht="100" customHeight="1">
      <c r="A485" s="26"/>
      <c r="B485" s="42" t="str">
        <f t="shared" si="23"/>
        <v/>
      </c>
      <c r="C485" s="43"/>
      <c r="D485" s="51" t="str" cm="1">
        <f t="array" ref="D485">IFERROR(INDEX(DB!G$2:G$2576,T485),"")</f>
        <v/>
      </c>
      <c r="E485" s="43"/>
      <c r="F485" s="52" t="str" cm="1">
        <f t="array" ref="F485">IFERROR(INDEX(DB!O$2:O$2576,T485),"")</f>
        <v/>
      </c>
      <c r="G485" s="43"/>
      <c r="H485" s="40" t="str" cm="1">
        <f t="array" ref="H485">IFERROR(INDEX(DB!P$2:P$2576,T485),"")</f>
        <v/>
      </c>
      <c r="I485" s="43"/>
      <c r="J485" s="53" t="str" cm="1">
        <f t="array" ref="J485">IFERROR(INDEX(DB!Q$2:Q$2576,T485),"")</f>
        <v/>
      </c>
      <c r="K485" s="43"/>
      <c r="L485" s="41" t="str" cm="1">
        <f t="array" ref="L485">IFERROR(INDEX(DB!R$2:R$2576,T485),"")</f>
        <v/>
      </c>
      <c r="M485" s="43"/>
      <c r="P485" t="str" cm="1">
        <f t="array" ref="P485">IFERROR(_xlfn.AGGREGATE(15,6,ROW(DB!A$2:A$2576)/((($D$3&lt;&gt;"YES")+($D$3="YES")*(DB!E$2:E$2576="YES"))*(($D$4="")+($D$4&lt;&gt;"")*( DB!B$2:B$2576=$D$4))*(($D$5="")+($D$5&lt;&gt;"")*( DB!C$2:C$2576=$D$5))*(($D$6="")+($D$6&lt;&gt;"")*( DB!D$2:D$2576=$D$6))*(($D$7="")+($D$7&lt;&gt;"")*(ISNUMBER(SEARCH($D$7,DB!G$2:G$2576))))*(($F$7="전체")+($F$7&lt;&gt;"전체")*(DB!H$2:H$2576=$F$7))),ROW()-13)-1,"")</f>
        <v/>
      </c>
      <c r="Q485" t="str" cm="1">
        <f t="array" ref="Q485">IFERROR(INDEX(DB!G$2:G$2576,P485),"")</f>
        <v/>
      </c>
      <c r="R485" t="str" cm="1">
        <f t="array" ref="R485">IFERROR(INDEX(DB!O$2:O$2576,P485),"")</f>
        <v/>
      </c>
      <c r="S485" t="str">
        <f t="shared" si="24"/>
        <v/>
      </c>
      <c r="T485" t="str">
        <f t="shared" si="25"/>
        <v/>
      </c>
    </row>
    <row r="486" spans="1:20" ht="100" customHeight="1">
      <c r="A486" s="26"/>
      <c r="B486" s="39" t="str">
        <f t="shared" si="23"/>
        <v/>
      </c>
      <c r="C486" s="43"/>
      <c r="D486" s="51" t="str" cm="1">
        <f t="array" ref="D486">IFERROR(INDEX(DB!G$2:G$2576,T486),"")</f>
        <v/>
      </c>
      <c r="E486" s="43"/>
      <c r="F486" s="52" t="str" cm="1">
        <f t="array" ref="F486">IFERROR(INDEX(DB!O$2:O$2576,T486),"")</f>
        <v/>
      </c>
      <c r="G486" s="43"/>
      <c r="H486" s="40" t="str" cm="1">
        <f t="array" ref="H486">IFERROR(INDEX(DB!P$2:P$2576,T486),"")</f>
        <v/>
      </c>
      <c r="I486" s="43"/>
      <c r="J486" s="53" t="str" cm="1">
        <f t="array" ref="J486">IFERROR(INDEX(DB!Q$2:Q$2576,T486),"")</f>
        <v/>
      </c>
      <c r="K486" s="43"/>
      <c r="L486" s="41" t="str" cm="1">
        <f t="array" ref="L486">IFERROR(INDEX(DB!R$2:R$2576,T486),"")</f>
        <v/>
      </c>
      <c r="M486" s="43"/>
      <c r="P486" t="str" cm="1">
        <f t="array" ref="P486">IFERROR(_xlfn.AGGREGATE(15,6,ROW(DB!A$2:A$2576)/((($D$3&lt;&gt;"YES")+($D$3="YES")*(DB!E$2:E$2576="YES"))*(($D$4="")+($D$4&lt;&gt;"")*( DB!B$2:B$2576=$D$4))*(($D$5="")+($D$5&lt;&gt;"")*( DB!C$2:C$2576=$D$5))*(($D$6="")+($D$6&lt;&gt;"")*( DB!D$2:D$2576=$D$6))*(($D$7="")+($D$7&lt;&gt;"")*(ISNUMBER(SEARCH($D$7,DB!G$2:G$2576))))*(($F$7="전체")+($F$7&lt;&gt;"전체")*(DB!H$2:H$2576=$F$7))),ROW()-13)-1,"")</f>
        <v/>
      </c>
      <c r="Q486" t="str" cm="1">
        <f t="array" ref="Q486">IFERROR(INDEX(DB!G$2:G$2576,P486),"")</f>
        <v/>
      </c>
      <c r="R486" t="str" cm="1">
        <f t="array" ref="R486">IFERROR(INDEX(DB!O$2:O$2576,P486),"")</f>
        <v/>
      </c>
      <c r="S486" t="str">
        <f t="shared" si="24"/>
        <v/>
      </c>
      <c r="T486" t="str">
        <f t="shared" si="25"/>
        <v/>
      </c>
    </row>
    <row r="487" spans="1:20" ht="100" customHeight="1">
      <c r="A487" s="26"/>
      <c r="B487" s="42" t="str">
        <f t="shared" si="23"/>
        <v/>
      </c>
      <c r="C487" s="43"/>
      <c r="D487" s="51" t="str" cm="1">
        <f t="array" ref="D487">IFERROR(INDEX(DB!G$2:G$2576,T487),"")</f>
        <v/>
      </c>
      <c r="E487" s="43"/>
      <c r="F487" s="52" t="str" cm="1">
        <f t="array" ref="F487">IFERROR(INDEX(DB!O$2:O$2576,T487),"")</f>
        <v/>
      </c>
      <c r="G487" s="43"/>
      <c r="H487" s="40" t="str" cm="1">
        <f t="array" ref="H487">IFERROR(INDEX(DB!P$2:P$2576,T487),"")</f>
        <v/>
      </c>
      <c r="I487" s="43"/>
      <c r="J487" s="53" t="str" cm="1">
        <f t="array" ref="J487">IFERROR(INDEX(DB!Q$2:Q$2576,T487),"")</f>
        <v/>
      </c>
      <c r="K487" s="43"/>
      <c r="L487" s="41" t="str" cm="1">
        <f t="array" ref="L487">IFERROR(INDEX(DB!R$2:R$2576,T487),"")</f>
        <v/>
      </c>
      <c r="M487" s="43"/>
      <c r="P487" t="str" cm="1">
        <f t="array" ref="P487">IFERROR(_xlfn.AGGREGATE(15,6,ROW(DB!A$2:A$2576)/((($D$3&lt;&gt;"YES")+($D$3="YES")*(DB!E$2:E$2576="YES"))*(($D$4="")+($D$4&lt;&gt;"")*( DB!B$2:B$2576=$D$4))*(($D$5="")+($D$5&lt;&gt;"")*( DB!C$2:C$2576=$D$5))*(($D$6="")+($D$6&lt;&gt;"")*( DB!D$2:D$2576=$D$6))*(($D$7="")+($D$7&lt;&gt;"")*(ISNUMBER(SEARCH($D$7,DB!G$2:G$2576))))*(($F$7="전체")+($F$7&lt;&gt;"전체")*(DB!H$2:H$2576=$F$7))),ROW()-13)-1,"")</f>
        <v/>
      </c>
      <c r="Q487" t="str" cm="1">
        <f t="array" ref="Q487">IFERROR(INDEX(DB!G$2:G$2576,P487),"")</f>
        <v/>
      </c>
      <c r="R487" t="str" cm="1">
        <f t="array" ref="R487">IFERROR(INDEX(DB!O$2:O$2576,P487),"")</f>
        <v/>
      </c>
      <c r="S487" t="str">
        <f t="shared" si="24"/>
        <v/>
      </c>
      <c r="T487" t="str">
        <f t="shared" si="25"/>
        <v/>
      </c>
    </row>
    <row r="488" spans="1:20" ht="100" customHeight="1">
      <c r="A488" s="26"/>
      <c r="B488" s="39" t="str">
        <f t="shared" si="23"/>
        <v/>
      </c>
      <c r="C488" s="43"/>
      <c r="D488" s="51" t="str" cm="1">
        <f t="array" ref="D488">IFERROR(INDEX(DB!G$2:G$2576,T488),"")</f>
        <v/>
      </c>
      <c r="E488" s="43"/>
      <c r="F488" s="52" t="str" cm="1">
        <f t="array" ref="F488">IFERROR(INDEX(DB!O$2:O$2576,T488),"")</f>
        <v/>
      </c>
      <c r="G488" s="43"/>
      <c r="H488" s="40" t="str" cm="1">
        <f t="array" ref="H488">IFERROR(INDEX(DB!P$2:P$2576,T488),"")</f>
        <v/>
      </c>
      <c r="I488" s="43"/>
      <c r="J488" s="53" t="str" cm="1">
        <f t="array" ref="J488">IFERROR(INDEX(DB!Q$2:Q$2576,T488),"")</f>
        <v/>
      </c>
      <c r="K488" s="43"/>
      <c r="L488" s="41" t="str" cm="1">
        <f t="array" ref="L488">IFERROR(INDEX(DB!R$2:R$2576,T488),"")</f>
        <v/>
      </c>
      <c r="M488" s="43"/>
      <c r="P488" t="str" cm="1">
        <f t="array" ref="P488">IFERROR(_xlfn.AGGREGATE(15,6,ROW(DB!A$2:A$2576)/((($D$3&lt;&gt;"YES")+($D$3="YES")*(DB!E$2:E$2576="YES"))*(($D$4="")+($D$4&lt;&gt;"")*( DB!B$2:B$2576=$D$4))*(($D$5="")+($D$5&lt;&gt;"")*( DB!C$2:C$2576=$D$5))*(($D$6="")+($D$6&lt;&gt;"")*( DB!D$2:D$2576=$D$6))*(($D$7="")+($D$7&lt;&gt;"")*(ISNUMBER(SEARCH($D$7,DB!G$2:G$2576))))*(($F$7="전체")+($F$7&lt;&gt;"전체")*(DB!H$2:H$2576=$F$7))),ROW()-13)-1,"")</f>
        <v/>
      </c>
      <c r="Q488" t="str" cm="1">
        <f t="array" ref="Q488">IFERROR(INDEX(DB!G$2:G$2576,P488),"")</f>
        <v/>
      </c>
      <c r="R488" t="str" cm="1">
        <f t="array" ref="R488">IFERROR(INDEX(DB!O$2:O$2576,P488),"")</f>
        <v/>
      </c>
      <c r="S488" t="str">
        <f t="shared" si="24"/>
        <v/>
      </c>
      <c r="T488" t="str">
        <f t="shared" si="25"/>
        <v/>
      </c>
    </row>
    <row r="489" spans="1:20" ht="100" customHeight="1">
      <c r="A489" s="26"/>
      <c r="B489" s="42" t="str">
        <f t="shared" si="23"/>
        <v/>
      </c>
      <c r="C489" s="43"/>
      <c r="D489" s="51" t="str" cm="1">
        <f t="array" ref="D489">IFERROR(INDEX(DB!G$2:G$2576,T489),"")</f>
        <v/>
      </c>
      <c r="E489" s="43"/>
      <c r="F489" s="52" t="str" cm="1">
        <f t="array" ref="F489">IFERROR(INDEX(DB!O$2:O$2576,T489),"")</f>
        <v/>
      </c>
      <c r="G489" s="43"/>
      <c r="H489" s="40" t="str" cm="1">
        <f t="array" ref="H489">IFERROR(INDEX(DB!P$2:P$2576,T489),"")</f>
        <v/>
      </c>
      <c r="I489" s="43"/>
      <c r="J489" s="53" t="str" cm="1">
        <f t="array" ref="J489">IFERROR(INDEX(DB!Q$2:Q$2576,T489),"")</f>
        <v/>
      </c>
      <c r="K489" s="43"/>
      <c r="L489" s="41" t="str" cm="1">
        <f t="array" ref="L489">IFERROR(INDEX(DB!R$2:R$2576,T489),"")</f>
        <v/>
      </c>
      <c r="M489" s="43"/>
      <c r="P489" t="str" cm="1">
        <f t="array" ref="P489">IFERROR(_xlfn.AGGREGATE(15,6,ROW(DB!A$2:A$2576)/((($D$3&lt;&gt;"YES")+($D$3="YES")*(DB!E$2:E$2576="YES"))*(($D$4="")+($D$4&lt;&gt;"")*( DB!B$2:B$2576=$D$4))*(($D$5="")+($D$5&lt;&gt;"")*( DB!C$2:C$2576=$D$5))*(($D$6="")+($D$6&lt;&gt;"")*( DB!D$2:D$2576=$D$6))*(($D$7="")+($D$7&lt;&gt;"")*(ISNUMBER(SEARCH($D$7,DB!G$2:G$2576))))*(($F$7="전체")+($F$7&lt;&gt;"전체")*(DB!H$2:H$2576=$F$7))),ROW()-13)-1,"")</f>
        <v/>
      </c>
      <c r="Q489" t="str" cm="1">
        <f t="array" ref="Q489">IFERROR(INDEX(DB!G$2:G$2576,P489),"")</f>
        <v/>
      </c>
      <c r="R489" t="str" cm="1">
        <f t="array" ref="R489">IFERROR(INDEX(DB!O$2:O$2576,P489),"")</f>
        <v/>
      </c>
      <c r="S489" t="str">
        <f t="shared" si="24"/>
        <v/>
      </c>
      <c r="T489" t="str">
        <f t="shared" si="25"/>
        <v/>
      </c>
    </row>
    <row r="490" spans="1:20" ht="100" customHeight="1">
      <c r="A490" s="26"/>
      <c r="B490" s="39" t="str">
        <f t="shared" si="23"/>
        <v/>
      </c>
      <c r="C490" s="43"/>
      <c r="D490" s="51" t="str" cm="1">
        <f t="array" ref="D490">IFERROR(INDEX(DB!G$2:G$2576,T490),"")</f>
        <v/>
      </c>
      <c r="E490" s="43"/>
      <c r="F490" s="52" t="str" cm="1">
        <f t="array" ref="F490">IFERROR(INDEX(DB!O$2:O$2576,T490),"")</f>
        <v/>
      </c>
      <c r="G490" s="43"/>
      <c r="H490" s="40" t="str" cm="1">
        <f t="array" ref="H490">IFERROR(INDEX(DB!P$2:P$2576,T490),"")</f>
        <v/>
      </c>
      <c r="I490" s="43"/>
      <c r="J490" s="53" t="str" cm="1">
        <f t="array" ref="J490">IFERROR(INDEX(DB!Q$2:Q$2576,T490),"")</f>
        <v/>
      </c>
      <c r="K490" s="43"/>
      <c r="L490" s="41" t="str" cm="1">
        <f t="array" ref="L490">IFERROR(INDEX(DB!R$2:R$2576,T490),"")</f>
        <v/>
      </c>
      <c r="M490" s="43"/>
      <c r="P490" t="str" cm="1">
        <f t="array" ref="P490">IFERROR(_xlfn.AGGREGATE(15,6,ROW(DB!A$2:A$2576)/((($D$3&lt;&gt;"YES")+($D$3="YES")*(DB!E$2:E$2576="YES"))*(($D$4="")+($D$4&lt;&gt;"")*( DB!B$2:B$2576=$D$4))*(($D$5="")+($D$5&lt;&gt;"")*( DB!C$2:C$2576=$D$5))*(($D$6="")+($D$6&lt;&gt;"")*( DB!D$2:D$2576=$D$6))*(($D$7="")+($D$7&lt;&gt;"")*(ISNUMBER(SEARCH($D$7,DB!G$2:G$2576))))*(($F$7="전체")+($F$7&lt;&gt;"전체")*(DB!H$2:H$2576=$F$7))),ROW()-13)-1,"")</f>
        <v/>
      </c>
      <c r="Q490" t="str" cm="1">
        <f t="array" ref="Q490">IFERROR(INDEX(DB!G$2:G$2576,P490),"")</f>
        <v/>
      </c>
      <c r="R490" t="str" cm="1">
        <f t="array" ref="R490">IFERROR(INDEX(DB!O$2:O$2576,P490),"")</f>
        <v/>
      </c>
      <c r="S490" t="str">
        <f t="shared" si="24"/>
        <v/>
      </c>
      <c r="T490" t="str">
        <f t="shared" si="25"/>
        <v/>
      </c>
    </row>
    <row r="491" spans="1:20" ht="100" customHeight="1">
      <c r="A491" s="26"/>
      <c r="B491" s="42" t="str">
        <f t="shared" si="23"/>
        <v/>
      </c>
      <c r="C491" s="43"/>
      <c r="D491" s="51" t="str" cm="1">
        <f t="array" ref="D491">IFERROR(INDEX(DB!G$2:G$2576,T491),"")</f>
        <v/>
      </c>
      <c r="E491" s="43"/>
      <c r="F491" s="52" t="str" cm="1">
        <f t="array" ref="F491">IFERROR(INDEX(DB!O$2:O$2576,T491),"")</f>
        <v/>
      </c>
      <c r="G491" s="43"/>
      <c r="H491" s="40" t="str" cm="1">
        <f t="array" ref="H491">IFERROR(INDEX(DB!P$2:P$2576,T491),"")</f>
        <v/>
      </c>
      <c r="I491" s="43"/>
      <c r="J491" s="53" t="str" cm="1">
        <f t="array" ref="J491">IFERROR(INDEX(DB!Q$2:Q$2576,T491),"")</f>
        <v/>
      </c>
      <c r="K491" s="43"/>
      <c r="L491" s="41" t="str" cm="1">
        <f t="array" ref="L491">IFERROR(INDEX(DB!R$2:R$2576,T491),"")</f>
        <v/>
      </c>
      <c r="M491" s="43"/>
      <c r="P491" t="str" cm="1">
        <f t="array" ref="P491">IFERROR(_xlfn.AGGREGATE(15,6,ROW(DB!A$2:A$2576)/((($D$3&lt;&gt;"YES")+($D$3="YES")*(DB!E$2:E$2576="YES"))*(($D$4="")+($D$4&lt;&gt;"")*( DB!B$2:B$2576=$D$4))*(($D$5="")+($D$5&lt;&gt;"")*( DB!C$2:C$2576=$D$5))*(($D$6="")+($D$6&lt;&gt;"")*( DB!D$2:D$2576=$D$6))*(($D$7="")+($D$7&lt;&gt;"")*(ISNUMBER(SEARCH($D$7,DB!G$2:G$2576))))*(($F$7="전체")+($F$7&lt;&gt;"전체")*(DB!H$2:H$2576=$F$7))),ROW()-13)-1,"")</f>
        <v/>
      </c>
      <c r="Q491" t="str" cm="1">
        <f t="array" ref="Q491">IFERROR(INDEX(DB!G$2:G$2576,P491),"")</f>
        <v/>
      </c>
      <c r="R491" t="str" cm="1">
        <f t="array" ref="R491">IFERROR(INDEX(DB!O$2:O$2576,P491),"")</f>
        <v/>
      </c>
      <c r="S491" t="str">
        <f t="shared" si="24"/>
        <v/>
      </c>
      <c r="T491" t="str">
        <f t="shared" si="25"/>
        <v/>
      </c>
    </row>
    <row r="492" spans="1:20" ht="100" customHeight="1">
      <c r="A492" s="26"/>
      <c r="B492" s="39" t="str">
        <f t="shared" si="23"/>
        <v/>
      </c>
      <c r="C492" s="43"/>
      <c r="D492" s="51" t="str" cm="1">
        <f t="array" ref="D492">IFERROR(INDEX(DB!G$2:G$2576,T492),"")</f>
        <v/>
      </c>
      <c r="E492" s="43"/>
      <c r="F492" s="52" t="str" cm="1">
        <f t="array" ref="F492">IFERROR(INDEX(DB!O$2:O$2576,T492),"")</f>
        <v/>
      </c>
      <c r="G492" s="43"/>
      <c r="H492" s="40" t="str" cm="1">
        <f t="array" ref="H492">IFERROR(INDEX(DB!P$2:P$2576,T492),"")</f>
        <v/>
      </c>
      <c r="I492" s="43"/>
      <c r="J492" s="53" t="str" cm="1">
        <f t="array" ref="J492">IFERROR(INDEX(DB!Q$2:Q$2576,T492),"")</f>
        <v/>
      </c>
      <c r="K492" s="43"/>
      <c r="L492" s="41" t="str" cm="1">
        <f t="array" ref="L492">IFERROR(INDEX(DB!R$2:R$2576,T492),"")</f>
        <v/>
      </c>
      <c r="M492" s="43"/>
      <c r="P492" t="str" cm="1">
        <f t="array" ref="P492">IFERROR(_xlfn.AGGREGATE(15,6,ROW(DB!A$2:A$2576)/((($D$3&lt;&gt;"YES")+($D$3="YES")*(DB!E$2:E$2576="YES"))*(($D$4="")+($D$4&lt;&gt;"")*( DB!B$2:B$2576=$D$4))*(($D$5="")+($D$5&lt;&gt;"")*( DB!C$2:C$2576=$D$5))*(($D$6="")+($D$6&lt;&gt;"")*( DB!D$2:D$2576=$D$6))*(($D$7="")+($D$7&lt;&gt;"")*(ISNUMBER(SEARCH($D$7,DB!G$2:G$2576))))*(($F$7="전체")+($F$7&lt;&gt;"전체")*(DB!H$2:H$2576=$F$7))),ROW()-13)-1,"")</f>
        <v/>
      </c>
      <c r="Q492" t="str" cm="1">
        <f t="array" ref="Q492">IFERROR(INDEX(DB!G$2:G$2576,P492),"")</f>
        <v/>
      </c>
      <c r="R492" t="str" cm="1">
        <f t="array" ref="R492">IFERROR(INDEX(DB!O$2:O$2576,P492),"")</f>
        <v/>
      </c>
      <c r="S492" t="str">
        <f t="shared" si="24"/>
        <v/>
      </c>
      <c r="T492" t="str">
        <f t="shared" si="25"/>
        <v/>
      </c>
    </row>
    <row r="493" spans="1:20" ht="100" customHeight="1">
      <c r="A493" s="26"/>
      <c r="B493" s="42" t="str">
        <f t="shared" si="23"/>
        <v/>
      </c>
      <c r="C493" s="43"/>
      <c r="D493" s="51" t="str" cm="1">
        <f t="array" ref="D493">IFERROR(INDEX(DB!G$2:G$2576,T493),"")</f>
        <v/>
      </c>
      <c r="E493" s="43"/>
      <c r="F493" s="52" t="str" cm="1">
        <f t="array" ref="F493">IFERROR(INDEX(DB!O$2:O$2576,T493),"")</f>
        <v/>
      </c>
      <c r="G493" s="43"/>
      <c r="H493" s="40" t="str" cm="1">
        <f t="array" ref="H493">IFERROR(INDEX(DB!P$2:P$2576,T493),"")</f>
        <v/>
      </c>
      <c r="I493" s="43"/>
      <c r="J493" s="53" t="str" cm="1">
        <f t="array" ref="J493">IFERROR(INDEX(DB!Q$2:Q$2576,T493),"")</f>
        <v/>
      </c>
      <c r="K493" s="43"/>
      <c r="L493" s="41" t="str" cm="1">
        <f t="array" ref="L493">IFERROR(INDEX(DB!R$2:R$2576,T493),"")</f>
        <v/>
      </c>
      <c r="M493" s="43"/>
      <c r="P493" t="str" cm="1">
        <f t="array" ref="P493">IFERROR(_xlfn.AGGREGATE(15,6,ROW(DB!A$2:A$2576)/((($D$3&lt;&gt;"YES")+($D$3="YES")*(DB!E$2:E$2576="YES"))*(($D$4="")+($D$4&lt;&gt;"")*( DB!B$2:B$2576=$D$4))*(($D$5="")+($D$5&lt;&gt;"")*( DB!C$2:C$2576=$D$5))*(($D$6="")+($D$6&lt;&gt;"")*( DB!D$2:D$2576=$D$6))*(($D$7="")+($D$7&lt;&gt;"")*(ISNUMBER(SEARCH($D$7,DB!G$2:G$2576))))*(($F$7="전체")+($F$7&lt;&gt;"전체")*(DB!H$2:H$2576=$F$7))),ROW()-13)-1,"")</f>
        <v/>
      </c>
      <c r="Q493" t="str" cm="1">
        <f t="array" ref="Q493">IFERROR(INDEX(DB!G$2:G$2576,P493),"")</f>
        <v/>
      </c>
      <c r="R493" t="str" cm="1">
        <f t="array" ref="R493">IFERROR(INDEX(DB!O$2:O$2576,P493),"")</f>
        <v/>
      </c>
      <c r="S493" t="str">
        <f t="shared" si="24"/>
        <v/>
      </c>
      <c r="T493" t="str">
        <f t="shared" si="25"/>
        <v/>
      </c>
    </row>
    <row r="494" spans="1:20" ht="100" customHeight="1">
      <c r="A494" s="26"/>
      <c r="B494" s="39" t="str">
        <f t="shared" si="23"/>
        <v/>
      </c>
      <c r="C494" s="43"/>
      <c r="D494" s="51" t="str" cm="1">
        <f t="array" ref="D494">IFERROR(INDEX(DB!G$2:G$2576,T494),"")</f>
        <v/>
      </c>
      <c r="E494" s="43"/>
      <c r="F494" s="52" t="str" cm="1">
        <f t="array" ref="F494">IFERROR(INDEX(DB!O$2:O$2576,T494),"")</f>
        <v/>
      </c>
      <c r="G494" s="43"/>
      <c r="H494" s="40" t="str" cm="1">
        <f t="array" ref="H494">IFERROR(INDEX(DB!P$2:P$2576,T494),"")</f>
        <v/>
      </c>
      <c r="I494" s="43"/>
      <c r="J494" s="53" t="str" cm="1">
        <f t="array" ref="J494">IFERROR(INDEX(DB!Q$2:Q$2576,T494),"")</f>
        <v/>
      </c>
      <c r="K494" s="43"/>
      <c r="L494" s="41" t="str" cm="1">
        <f t="array" ref="L494">IFERROR(INDEX(DB!R$2:R$2576,T494),"")</f>
        <v/>
      </c>
      <c r="M494" s="43"/>
      <c r="P494" t="str" cm="1">
        <f t="array" ref="P494">IFERROR(_xlfn.AGGREGATE(15,6,ROW(DB!A$2:A$2576)/((($D$3&lt;&gt;"YES")+($D$3="YES")*(DB!E$2:E$2576="YES"))*(($D$4="")+($D$4&lt;&gt;"")*( DB!B$2:B$2576=$D$4))*(($D$5="")+($D$5&lt;&gt;"")*( DB!C$2:C$2576=$D$5))*(($D$6="")+($D$6&lt;&gt;"")*( DB!D$2:D$2576=$D$6))*(($D$7="")+($D$7&lt;&gt;"")*(ISNUMBER(SEARCH($D$7,DB!G$2:G$2576))))*(($F$7="전체")+($F$7&lt;&gt;"전체")*(DB!H$2:H$2576=$F$7))),ROW()-13)-1,"")</f>
        <v/>
      </c>
      <c r="Q494" t="str" cm="1">
        <f t="array" ref="Q494">IFERROR(INDEX(DB!G$2:G$2576,P494),"")</f>
        <v/>
      </c>
      <c r="R494" t="str" cm="1">
        <f t="array" ref="R494">IFERROR(INDEX(DB!O$2:O$2576,P494),"")</f>
        <v/>
      </c>
      <c r="S494" t="str">
        <f t="shared" si="24"/>
        <v/>
      </c>
      <c r="T494" t="str">
        <f t="shared" si="25"/>
        <v/>
      </c>
    </row>
    <row r="495" spans="1:20" ht="100" customHeight="1">
      <c r="A495" s="26"/>
      <c r="B495" s="42" t="str">
        <f t="shared" si="23"/>
        <v/>
      </c>
      <c r="C495" s="43"/>
      <c r="D495" s="51" t="str" cm="1">
        <f t="array" ref="D495">IFERROR(INDEX(DB!G$2:G$2576,T495),"")</f>
        <v/>
      </c>
      <c r="E495" s="43"/>
      <c r="F495" s="52" t="str" cm="1">
        <f t="array" ref="F495">IFERROR(INDEX(DB!O$2:O$2576,T495),"")</f>
        <v/>
      </c>
      <c r="G495" s="43"/>
      <c r="H495" s="40" t="str" cm="1">
        <f t="array" ref="H495">IFERROR(INDEX(DB!P$2:P$2576,T495),"")</f>
        <v/>
      </c>
      <c r="I495" s="43"/>
      <c r="J495" s="53" t="str" cm="1">
        <f t="array" ref="J495">IFERROR(INDEX(DB!Q$2:Q$2576,T495),"")</f>
        <v/>
      </c>
      <c r="K495" s="43"/>
      <c r="L495" s="41" t="str" cm="1">
        <f t="array" ref="L495">IFERROR(INDEX(DB!R$2:R$2576,T495),"")</f>
        <v/>
      </c>
      <c r="M495" s="43"/>
      <c r="P495" t="str" cm="1">
        <f t="array" ref="P495">IFERROR(_xlfn.AGGREGATE(15,6,ROW(DB!A$2:A$2576)/((($D$3&lt;&gt;"YES")+($D$3="YES")*(DB!E$2:E$2576="YES"))*(($D$4="")+($D$4&lt;&gt;"")*( DB!B$2:B$2576=$D$4))*(($D$5="")+($D$5&lt;&gt;"")*( DB!C$2:C$2576=$D$5))*(($D$6="")+($D$6&lt;&gt;"")*( DB!D$2:D$2576=$D$6))*(($D$7="")+($D$7&lt;&gt;"")*(ISNUMBER(SEARCH($D$7,DB!G$2:G$2576))))*(($F$7="전체")+($F$7&lt;&gt;"전체")*(DB!H$2:H$2576=$F$7))),ROW()-13)-1,"")</f>
        <v/>
      </c>
      <c r="Q495" t="str" cm="1">
        <f t="array" ref="Q495">IFERROR(INDEX(DB!G$2:G$2576,P495),"")</f>
        <v/>
      </c>
      <c r="R495" t="str" cm="1">
        <f t="array" ref="R495">IFERROR(INDEX(DB!O$2:O$2576,P495),"")</f>
        <v/>
      </c>
      <c r="S495" t="str">
        <f t="shared" si="24"/>
        <v/>
      </c>
      <c r="T495" t="str">
        <f t="shared" si="25"/>
        <v/>
      </c>
    </row>
    <row r="496" spans="1:20" ht="100" customHeight="1">
      <c r="A496" s="26"/>
      <c r="B496" s="39" t="str">
        <f t="shared" si="23"/>
        <v/>
      </c>
      <c r="C496" s="43"/>
      <c r="D496" s="51" t="str" cm="1">
        <f t="array" ref="D496">IFERROR(INDEX(DB!G$2:G$2576,T496),"")</f>
        <v/>
      </c>
      <c r="E496" s="43"/>
      <c r="F496" s="52" t="str" cm="1">
        <f t="array" ref="F496">IFERROR(INDEX(DB!O$2:O$2576,T496),"")</f>
        <v/>
      </c>
      <c r="G496" s="43"/>
      <c r="H496" s="40" t="str" cm="1">
        <f t="array" ref="H496">IFERROR(INDEX(DB!P$2:P$2576,T496),"")</f>
        <v/>
      </c>
      <c r="I496" s="43"/>
      <c r="J496" s="53" t="str" cm="1">
        <f t="array" ref="J496">IFERROR(INDEX(DB!Q$2:Q$2576,T496),"")</f>
        <v/>
      </c>
      <c r="K496" s="43"/>
      <c r="L496" s="41" t="str" cm="1">
        <f t="array" ref="L496">IFERROR(INDEX(DB!R$2:R$2576,T496),"")</f>
        <v/>
      </c>
      <c r="M496" s="43"/>
      <c r="P496" t="str" cm="1">
        <f t="array" ref="P496">IFERROR(_xlfn.AGGREGATE(15,6,ROW(DB!A$2:A$2576)/((($D$3&lt;&gt;"YES")+($D$3="YES")*(DB!E$2:E$2576="YES"))*(($D$4="")+($D$4&lt;&gt;"")*( DB!B$2:B$2576=$D$4))*(($D$5="")+($D$5&lt;&gt;"")*( DB!C$2:C$2576=$D$5))*(($D$6="")+($D$6&lt;&gt;"")*( DB!D$2:D$2576=$D$6))*(($D$7="")+($D$7&lt;&gt;"")*(ISNUMBER(SEARCH($D$7,DB!G$2:G$2576))))*(($F$7="전체")+($F$7&lt;&gt;"전체")*(DB!H$2:H$2576=$F$7))),ROW()-13)-1,"")</f>
        <v/>
      </c>
      <c r="Q496" t="str" cm="1">
        <f t="array" ref="Q496">IFERROR(INDEX(DB!G$2:G$2576,P496),"")</f>
        <v/>
      </c>
      <c r="R496" t="str" cm="1">
        <f t="array" ref="R496">IFERROR(INDEX(DB!O$2:O$2576,P496),"")</f>
        <v/>
      </c>
      <c r="S496" t="str">
        <f t="shared" si="24"/>
        <v/>
      </c>
      <c r="T496" t="str">
        <f t="shared" si="25"/>
        <v/>
      </c>
    </row>
    <row r="497" spans="1:20" ht="100" customHeight="1">
      <c r="A497" s="26"/>
      <c r="B497" s="42" t="str">
        <f t="shared" si="23"/>
        <v/>
      </c>
      <c r="C497" s="43"/>
      <c r="D497" s="51" t="str" cm="1">
        <f t="array" ref="D497">IFERROR(INDEX(DB!G$2:G$2576,T497),"")</f>
        <v/>
      </c>
      <c r="E497" s="43"/>
      <c r="F497" s="52" t="str" cm="1">
        <f t="array" ref="F497">IFERROR(INDEX(DB!O$2:O$2576,T497),"")</f>
        <v/>
      </c>
      <c r="G497" s="43"/>
      <c r="H497" s="40" t="str" cm="1">
        <f t="array" ref="H497">IFERROR(INDEX(DB!P$2:P$2576,T497),"")</f>
        <v/>
      </c>
      <c r="I497" s="43"/>
      <c r="J497" s="53" t="str" cm="1">
        <f t="array" ref="J497">IFERROR(INDEX(DB!Q$2:Q$2576,T497),"")</f>
        <v/>
      </c>
      <c r="K497" s="43"/>
      <c r="L497" s="41" t="str" cm="1">
        <f t="array" ref="L497">IFERROR(INDEX(DB!R$2:R$2576,T497),"")</f>
        <v/>
      </c>
      <c r="M497" s="43"/>
      <c r="P497" t="str" cm="1">
        <f t="array" ref="P497">IFERROR(_xlfn.AGGREGATE(15,6,ROW(DB!A$2:A$2576)/((($D$3&lt;&gt;"YES")+($D$3="YES")*(DB!E$2:E$2576="YES"))*(($D$4="")+($D$4&lt;&gt;"")*( DB!B$2:B$2576=$D$4))*(($D$5="")+($D$5&lt;&gt;"")*( DB!C$2:C$2576=$D$5))*(($D$6="")+($D$6&lt;&gt;"")*( DB!D$2:D$2576=$D$6))*(($D$7="")+($D$7&lt;&gt;"")*(ISNUMBER(SEARCH($D$7,DB!G$2:G$2576))))*(($F$7="전체")+($F$7&lt;&gt;"전체")*(DB!H$2:H$2576=$F$7))),ROW()-13)-1,"")</f>
        <v/>
      </c>
      <c r="Q497" t="str" cm="1">
        <f t="array" ref="Q497">IFERROR(INDEX(DB!G$2:G$2576,P497),"")</f>
        <v/>
      </c>
      <c r="R497" t="str" cm="1">
        <f t="array" ref="R497">IFERROR(INDEX(DB!O$2:O$2576,P497),"")</f>
        <v/>
      </c>
      <c r="S497" t="str">
        <f t="shared" si="24"/>
        <v/>
      </c>
      <c r="T497" t="str">
        <f t="shared" si="25"/>
        <v/>
      </c>
    </row>
    <row r="498" spans="1:20" ht="100" customHeight="1">
      <c r="A498" s="26"/>
      <c r="B498" s="39" t="str">
        <f t="shared" si="23"/>
        <v/>
      </c>
      <c r="C498" s="43"/>
      <c r="D498" s="51" t="str" cm="1">
        <f t="array" ref="D498">IFERROR(INDEX(DB!G$2:G$2576,T498),"")</f>
        <v/>
      </c>
      <c r="E498" s="43"/>
      <c r="F498" s="52" t="str" cm="1">
        <f t="array" ref="F498">IFERROR(INDEX(DB!O$2:O$2576,T498),"")</f>
        <v/>
      </c>
      <c r="G498" s="43"/>
      <c r="H498" s="40" t="str" cm="1">
        <f t="array" ref="H498">IFERROR(INDEX(DB!P$2:P$2576,T498),"")</f>
        <v/>
      </c>
      <c r="I498" s="43"/>
      <c r="J498" s="53" t="str" cm="1">
        <f t="array" ref="J498">IFERROR(INDEX(DB!Q$2:Q$2576,T498),"")</f>
        <v/>
      </c>
      <c r="K498" s="43"/>
      <c r="L498" s="41" t="str" cm="1">
        <f t="array" ref="L498">IFERROR(INDEX(DB!R$2:R$2576,T498),"")</f>
        <v/>
      </c>
      <c r="M498" s="43"/>
      <c r="P498" t="str" cm="1">
        <f t="array" ref="P498">IFERROR(_xlfn.AGGREGATE(15,6,ROW(DB!A$2:A$2576)/((($D$3&lt;&gt;"YES")+($D$3="YES")*(DB!E$2:E$2576="YES"))*(($D$4="")+($D$4&lt;&gt;"")*( DB!B$2:B$2576=$D$4))*(($D$5="")+($D$5&lt;&gt;"")*( DB!C$2:C$2576=$D$5))*(($D$6="")+($D$6&lt;&gt;"")*( DB!D$2:D$2576=$D$6))*(($D$7="")+($D$7&lt;&gt;"")*(ISNUMBER(SEARCH($D$7,DB!G$2:G$2576))))*(($F$7="전체")+($F$7&lt;&gt;"전체")*(DB!H$2:H$2576=$F$7))),ROW()-13)-1,"")</f>
        <v/>
      </c>
      <c r="Q498" t="str" cm="1">
        <f t="array" ref="Q498">IFERROR(INDEX(DB!G$2:G$2576,P498),"")</f>
        <v/>
      </c>
      <c r="R498" t="str" cm="1">
        <f t="array" ref="R498">IFERROR(INDEX(DB!O$2:O$2576,P498),"")</f>
        <v/>
      </c>
      <c r="S498" t="str">
        <f t="shared" si="24"/>
        <v/>
      </c>
      <c r="T498" t="str">
        <f t="shared" si="25"/>
        <v/>
      </c>
    </row>
    <row r="499" spans="1:20" ht="100" customHeight="1">
      <c r="A499" s="26"/>
      <c r="B499" s="42" t="str">
        <f t="shared" si="23"/>
        <v/>
      </c>
      <c r="C499" s="43"/>
      <c r="D499" s="51" t="str" cm="1">
        <f t="array" ref="D499">IFERROR(INDEX(DB!G$2:G$2576,T499),"")</f>
        <v/>
      </c>
      <c r="E499" s="43"/>
      <c r="F499" s="52" t="str" cm="1">
        <f t="array" ref="F499">IFERROR(INDEX(DB!O$2:O$2576,T499),"")</f>
        <v/>
      </c>
      <c r="G499" s="43"/>
      <c r="H499" s="40" t="str" cm="1">
        <f t="array" ref="H499">IFERROR(INDEX(DB!P$2:P$2576,T499),"")</f>
        <v/>
      </c>
      <c r="I499" s="43"/>
      <c r="J499" s="53" t="str" cm="1">
        <f t="array" ref="J499">IFERROR(INDEX(DB!Q$2:Q$2576,T499),"")</f>
        <v/>
      </c>
      <c r="K499" s="43"/>
      <c r="L499" s="41" t="str" cm="1">
        <f t="array" ref="L499">IFERROR(INDEX(DB!R$2:R$2576,T499),"")</f>
        <v/>
      </c>
      <c r="M499" s="43"/>
      <c r="P499" t="str" cm="1">
        <f t="array" ref="P499">IFERROR(_xlfn.AGGREGATE(15,6,ROW(DB!A$2:A$2576)/((($D$3&lt;&gt;"YES")+($D$3="YES")*(DB!E$2:E$2576="YES"))*(($D$4="")+($D$4&lt;&gt;"")*( DB!B$2:B$2576=$D$4))*(($D$5="")+($D$5&lt;&gt;"")*( DB!C$2:C$2576=$D$5))*(($D$6="")+($D$6&lt;&gt;"")*( DB!D$2:D$2576=$D$6))*(($D$7="")+($D$7&lt;&gt;"")*(ISNUMBER(SEARCH($D$7,DB!G$2:G$2576))))*(($F$7="전체")+($F$7&lt;&gt;"전체")*(DB!H$2:H$2576=$F$7))),ROW()-13)-1,"")</f>
        <v/>
      </c>
      <c r="Q499" t="str" cm="1">
        <f t="array" ref="Q499">IFERROR(INDEX(DB!G$2:G$2576,P499),"")</f>
        <v/>
      </c>
      <c r="R499" t="str" cm="1">
        <f t="array" ref="R499">IFERROR(INDEX(DB!O$2:O$2576,P499),"")</f>
        <v/>
      </c>
      <c r="S499" t="str">
        <f t="shared" si="24"/>
        <v/>
      </c>
      <c r="T499" t="str">
        <f t="shared" si="25"/>
        <v/>
      </c>
    </row>
    <row r="500" spans="1:20" ht="100" customHeight="1">
      <c r="A500" s="26"/>
      <c r="B500" s="39" t="str">
        <f t="shared" si="23"/>
        <v/>
      </c>
      <c r="C500" s="43"/>
      <c r="D500" s="51" t="str" cm="1">
        <f t="array" ref="D500">IFERROR(INDEX(DB!G$2:G$2576,T500),"")</f>
        <v/>
      </c>
      <c r="E500" s="43"/>
      <c r="F500" s="52" t="str" cm="1">
        <f t="array" ref="F500">IFERROR(INDEX(DB!O$2:O$2576,T500),"")</f>
        <v/>
      </c>
      <c r="G500" s="43"/>
      <c r="H500" s="40" t="str" cm="1">
        <f t="array" ref="H500">IFERROR(INDEX(DB!P$2:P$2576,T500),"")</f>
        <v/>
      </c>
      <c r="I500" s="43"/>
      <c r="J500" s="53" t="str" cm="1">
        <f t="array" ref="J500">IFERROR(INDEX(DB!Q$2:Q$2576,T500),"")</f>
        <v/>
      </c>
      <c r="K500" s="43"/>
      <c r="L500" s="41" t="str" cm="1">
        <f t="array" ref="L500">IFERROR(INDEX(DB!R$2:R$2576,T500),"")</f>
        <v/>
      </c>
      <c r="M500" s="43"/>
      <c r="P500" t="str" cm="1">
        <f t="array" ref="P500">IFERROR(_xlfn.AGGREGATE(15,6,ROW(DB!A$2:A$2576)/((($D$3&lt;&gt;"YES")+($D$3="YES")*(DB!E$2:E$2576="YES"))*(($D$4="")+($D$4&lt;&gt;"")*( DB!B$2:B$2576=$D$4))*(($D$5="")+($D$5&lt;&gt;"")*( DB!C$2:C$2576=$D$5))*(($D$6="")+($D$6&lt;&gt;"")*( DB!D$2:D$2576=$D$6))*(($D$7="")+($D$7&lt;&gt;"")*(ISNUMBER(SEARCH($D$7,DB!G$2:G$2576))))*(($F$7="전체")+($F$7&lt;&gt;"전체")*(DB!H$2:H$2576=$F$7))),ROW()-13)-1,"")</f>
        <v/>
      </c>
      <c r="Q500" t="str" cm="1">
        <f t="array" ref="Q500">IFERROR(INDEX(DB!G$2:G$2576,P500),"")</f>
        <v/>
      </c>
      <c r="R500" t="str" cm="1">
        <f t="array" ref="R500">IFERROR(INDEX(DB!O$2:O$2576,P500),"")</f>
        <v/>
      </c>
      <c r="S500" t="str">
        <f t="shared" si="24"/>
        <v/>
      </c>
      <c r="T500" t="str">
        <f t="shared" si="25"/>
        <v/>
      </c>
    </row>
    <row r="501" spans="1:20" ht="100" customHeight="1">
      <c r="A501" s="26"/>
      <c r="B501" s="42" t="str">
        <f t="shared" si="23"/>
        <v/>
      </c>
      <c r="C501" s="43"/>
      <c r="D501" s="51" t="str" cm="1">
        <f t="array" ref="D501">IFERROR(INDEX(DB!G$2:G$2576,T501),"")</f>
        <v/>
      </c>
      <c r="E501" s="43"/>
      <c r="F501" s="52" t="str" cm="1">
        <f t="array" ref="F501">IFERROR(INDEX(DB!O$2:O$2576,T501),"")</f>
        <v/>
      </c>
      <c r="G501" s="43"/>
      <c r="H501" s="40" t="str" cm="1">
        <f t="array" ref="H501">IFERROR(INDEX(DB!P$2:P$2576,T501),"")</f>
        <v/>
      </c>
      <c r="I501" s="43"/>
      <c r="J501" s="53" t="str" cm="1">
        <f t="array" ref="J501">IFERROR(INDEX(DB!Q$2:Q$2576,T501),"")</f>
        <v/>
      </c>
      <c r="K501" s="43"/>
      <c r="L501" s="41" t="str" cm="1">
        <f t="array" ref="L501">IFERROR(INDEX(DB!R$2:R$2576,T501),"")</f>
        <v/>
      </c>
      <c r="M501" s="43"/>
      <c r="P501" t="str" cm="1">
        <f t="array" ref="P501">IFERROR(_xlfn.AGGREGATE(15,6,ROW(DB!A$2:A$2576)/((($D$3&lt;&gt;"YES")+($D$3="YES")*(DB!E$2:E$2576="YES"))*(($D$4="")+($D$4&lt;&gt;"")*( DB!B$2:B$2576=$D$4))*(($D$5="")+($D$5&lt;&gt;"")*( DB!C$2:C$2576=$D$5))*(($D$6="")+($D$6&lt;&gt;"")*( DB!D$2:D$2576=$D$6))*(($D$7="")+($D$7&lt;&gt;"")*(ISNUMBER(SEARCH($D$7,DB!G$2:G$2576))))*(($F$7="전체")+($F$7&lt;&gt;"전체")*(DB!H$2:H$2576=$F$7))),ROW()-13)-1,"")</f>
        <v/>
      </c>
      <c r="Q501" t="str" cm="1">
        <f t="array" ref="Q501">IFERROR(INDEX(DB!G$2:G$2576,P501),"")</f>
        <v/>
      </c>
      <c r="R501" t="str" cm="1">
        <f t="array" ref="R501">IFERROR(INDEX(DB!O$2:O$2576,P501),"")</f>
        <v/>
      </c>
      <c r="S501" t="str">
        <f t="shared" si="24"/>
        <v/>
      </c>
      <c r="T501" t="str">
        <f t="shared" si="25"/>
        <v/>
      </c>
    </row>
    <row r="502" spans="1:20" ht="100" customHeight="1">
      <c r="A502" s="26"/>
      <c r="B502" s="39" t="str">
        <f t="shared" si="23"/>
        <v/>
      </c>
      <c r="C502" s="43"/>
      <c r="D502" s="51" t="str" cm="1">
        <f t="array" ref="D502">IFERROR(INDEX(DB!G$2:G$2576,T502),"")</f>
        <v/>
      </c>
      <c r="E502" s="43"/>
      <c r="F502" s="52" t="str" cm="1">
        <f t="array" ref="F502">IFERROR(INDEX(DB!O$2:O$2576,T502),"")</f>
        <v/>
      </c>
      <c r="G502" s="43"/>
      <c r="H502" s="40" t="str" cm="1">
        <f t="array" ref="H502">IFERROR(INDEX(DB!P$2:P$2576,T502),"")</f>
        <v/>
      </c>
      <c r="I502" s="43"/>
      <c r="J502" s="53" t="str" cm="1">
        <f t="array" ref="J502">IFERROR(INDEX(DB!Q$2:Q$2576,T502),"")</f>
        <v/>
      </c>
      <c r="K502" s="43"/>
      <c r="L502" s="41" t="str" cm="1">
        <f t="array" ref="L502">IFERROR(INDEX(DB!R$2:R$2576,T502),"")</f>
        <v/>
      </c>
      <c r="M502" s="43"/>
      <c r="P502" t="str" cm="1">
        <f t="array" ref="P502">IFERROR(_xlfn.AGGREGATE(15,6,ROW(DB!A$2:A$2576)/((($D$3&lt;&gt;"YES")+($D$3="YES")*(DB!E$2:E$2576="YES"))*(($D$4="")+($D$4&lt;&gt;"")*( DB!B$2:B$2576=$D$4))*(($D$5="")+($D$5&lt;&gt;"")*( DB!C$2:C$2576=$D$5))*(($D$6="")+($D$6&lt;&gt;"")*( DB!D$2:D$2576=$D$6))*(($D$7="")+($D$7&lt;&gt;"")*(ISNUMBER(SEARCH($D$7,DB!G$2:G$2576))))*(($F$7="전체")+($F$7&lt;&gt;"전체")*(DB!H$2:H$2576=$F$7))),ROW()-13)-1,"")</f>
        <v/>
      </c>
      <c r="Q502" t="str" cm="1">
        <f t="array" ref="Q502">IFERROR(INDEX(DB!G$2:G$2576,P502),"")</f>
        <v/>
      </c>
      <c r="R502" t="str" cm="1">
        <f t="array" ref="R502">IFERROR(INDEX(DB!O$2:O$2576,P502),"")</f>
        <v/>
      </c>
      <c r="S502" t="str">
        <f t="shared" si="24"/>
        <v/>
      </c>
      <c r="T502" t="str">
        <f t="shared" si="25"/>
        <v/>
      </c>
    </row>
    <row r="503" spans="1:20" ht="100" customHeight="1">
      <c r="A503" s="26"/>
      <c r="B503" s="42" t="str">
        <f t="shared" si="23"/>
        <v/>
      </c>
      <c r="C503" s="43"/>
      <c r="D503" s="51" t="str" cm="1">
        <f t="array" ref="D503">IFERROR(INDEX(DB!G$2:G$2576,T503),"")</f>
        <v/>
      </c>
      <c r="E503" s="43"/>
      <c r="F503" s="52" t="str" cm="1">
        <f t="array" ref="F503">IFERROR(INDEX(DB!O$2:O$2576,T503),"")</f>
        <v/>
      </c>
      <c r="G503" s="43"/>
      <c r="H503" s="40" t="str" cm="1">
        <f t="array" ref="H503">IFERROR(INDEX(DB!P$2:P$2576,T503),"")</f>
        <v/>
      </c>
      <c r="I503" s="43"/>
      <c r="J503" s="53" t="str" cm="1">
        <f t="array" ref="J503">IFERROR(INDEX(DB!Q$2:Q$2576,T503),"")</f>
        <v/>
      </c>
      <c r="K503" s="43"/>
      <c r="L503" s="41" t="str" cm="1">
        <f t="array" ref="L503">IFERROR(INDEX(DB!R$2:R$2576,T503),"")</f>
        <v/>
      </c>
      <c r="M503" s="43"/>
      <c r="P503" t="str" cm="1">
        <f t="array" ref="P503">IFERROR(_xlfn.AGGREGATE(15,6,ROW(DB!A$2:A$2576)/((($D$3&lt;&gt;"YES")+($D$3="YES")*(DB!E$2:E$2576="YES"))*(($D$4="")+($D$4&lt;&gt;"")*( DB!B$2:B$2576=$D$4))*(($D$5="")+($D$5&lt;&gt;"")*( DB!C$2:C$2576=$D$5))*(($D$6="")+($D$6&lt;&gt;"")*( DB!D$2:D$2576=$D$6))*(($D$7="")+($D$7&lt;&gt;"")*(ISNUMBER(SEARCH($D$7,DB!G$2:G$2576))))*(($F$7="전체")+($F$7&lt;&gt;"전체")*(DB!H$2:H$2576=$F$7))),ROW()-13)-1,"")</f>
        <v/>
      </c>
      <c r="Q503" t="str" cm="1">
        <f t="array" ref="Q503">IFERROR(INDEX(DB!G$2:G$2576,P503),"")</f>
        <v/>
      </c>
      <c r="R503" t="str" cm="1">
        <f t="array" ref="R503">IFERROR(INDEX(DB!O$2:O$2576,P503),"")</f>
        <v/>
      </c>
      <c r="S503" t="str">
        <f t="shared" si="24"/>
        <v/>
      </c>
      <c r="T503" t="str">
        <f t="shared" si="25"/>
        <v/>
      </c>
    </row>
    <row r="504" spans="1:20" ht="100" customHeight="1">
      <c r="A504" s="26"/>
      <c r="B504" s="39" t="str">
        <f t="shared" si="23"/>
        <v/>
      </c>
      <c r="C504" s="43"/>
      <c r="D504" s="51" t="str" cm="1">
        <f t="array" ref="D504">IFERROR(INDEX(DB!G$2:G$2576,T504),"")</f>
        <v/>
      </c>
      <c r="E504" s="43"/>
      <c r="F504" s="52" t="str" cm="1">
        <f t="array" ref="F504">IFERROR(INDEX(DB!O$2:O$2576,T504),"")</f>
        <v/>
      </c>
      <c r="G504" s="43"/>
      <c r="H504" s="40" t="str" cm="1">
        <f t="array" ref="H504">IFERROR(INDEX(DB!P$2:P$2576,T504),"")</f>
        <v/>
      </c>
      <c r="I504" s="43"/>
      <c r="J504" s="53" t="str" cm="1">
        <f t="array" ref="J504">IFERROR(INDEX(DB!Q$2:Q$2576,T504),"")</f>
        <v/>
      </c>
      <c r="K504" s="43"/>
      <c r="L504" s="41" t="str" cm="1">
        <f t="array" ref="L504">IFERROR(INDEX(DB!R$2:R$2576,T504),"")</f>
        <v/>
      </c>
      <c r="M504" s="43"/>
      <c r="P504" t="str" cm="1">
        <f t="array" ref="P504">IFERROR(_xlfn.AGGREGATE(15,6,ROW(DB!A$2:A$2576)/((($D$3&lt;&gt;"YES")+($D$3="YES")*(DB!E$2:E$2576="YES"))*(($D$4="")+($D$4&lt;&gt;"")*( DB!B$2:B$2576=$D$4))*(($D$5="")+($D$5&lt;&gt;"")*( DB!C$2:C$2576=$D$5))*(($D$6="")+($D$6&lt;&gt;"")*( DB!D$2:D$2576=$D$6))*(($D$7="")+($D$7&lt;&gt;"")*(ISNUMBER(SEARCH($D$7,DB!G$2:G$2576))))*(($F$7="전체")+($F$7&lt;&gt;"전체")*(DB!H$2:H$2576=$F$7))),ROW()-13)-1,"")</f>
        <v/>
      </c>
      <c r="Q504" t="str" cm="1">
        <f t="array" ref="Q504">IFERROR(INDEX(DB!G$2:G$2576,P504),"")</f>
        <v/>
      </c>
      <c r="R504" t="str" cm="1">
        <f t="array" ref="R504">IFERROR(INDEX(DB!O$2:O$2576,P504),"")</f>
        <v/>
      </c>
      <c r="S504" t="str">
        <f t="shared" si="24"/>
        <v/>
      </c>
      <c r="T504" t="str">
        <f t="shared" si="25"/>
        <v/>
      </c>
    </row>
    <row r="505" spans="1:20" ht="100" customHeight="1">
      <c r="A505" s="26"/>
      <c r="B505" s="42" t="str">
        <f t="shared" si="23"/>
        <v/>
      </c>
      <c r="C505" s="43"/>
      <c r="D505" s="51" t="str" cm="1">
        <f t="array" ref="D505">IFERROR(INDEX(DB!G$2:G$2576,T505),"")</f>
        <v/>
      </c>
      <c r="E505" s="43"/>
      <c r="F505" s="52" t="str" cm="1">
        <f t="array" ref="F505">IFERROR(INDEX(DB!O$2:O$2576,T505),"")</f>
        <v/>
      </c>
      <c r="G505" s="43"/>
      <c r="H505" s="40" t="str" cm="1">
        <f t="array" ref="H505">IFERROR(INDEX(DB!P$2:P$2576,T505),"")</f>
        <v/>
      </c>
      <c r="I505" s="43"/>
      <c r="J505" s="53" t="str" cm="1">
        <f t="array" ref="J505">IFERROR(INDEX(DB!Q$2:Q$2576,T505),"")</f>
        <v/>
      </c>
      <c r="K505" s="43"/>
      <c r="L505" s="41" t="str" cm="1">
        <f t="array" ref="L505">IFERROR(INDEX(DB!R$2:R$2576,T505),"")</f>
        <v/>
      </c>
      <c r="M505" s="43"/>
      <c r="P505" t="str" cm="1">
        <f t="array" ref="P505">IFERROR(_xlfn.AGGREGATE(15,6,ROW(DB!A$2:A$2576)/((($D$3&lt;&gt;"YES")+($D$3="YES")*(DB!E$2:E$2576="YES"))*(($D$4="")+($D$4&lt;&gt;"")*( DB!B$2:B$2576=$D$4))*(($D$5="")+($D$5&lt;&gt;"")*( DB!C$2:C$2576=$D$5))*(($D$6="")+($D$6&lt;&gt;"")*( DB!D$2:D$2576=$D$6))*(($D$7="")+($D$7&lt;&gt;"")*(ISNUMBER(SEARCH($D$7,DB!G$2:G$2576))))*(($F$7="전체")+($F$7&lt;&gt;"전체")*(DB!H$2:H$2576=$F$7))),ROW()-13)-1,"")</f>
        <v/>
      </c>
      <c r="Q505" t="str" cm="1">
        <f t="array" ref="Q505">IFERROR(INDEX(DB!G$2:G$2576,P505),"")</f>
        <v/>
      </c>
      <c r="R505" t="str" cm="1">
        <f t="array" ref="R505">IFERROR(INDEX(DB!O$2:O$2576,P505),"")</f>
        <v/>
      </c>
      <c r="S505" t="str">
        <f t="shared" si="24"/>
        <v/>
      </c>
      <c r="T505" t="str">
        <f t="shared" si="25"/>
        <v/>
      </c>
    </row>
    <row r="506" spans="1:20" ht="100" customHeight="1">
      <c r="A506" s="26"/>
      <c r="B506" s="39" t="str">
        <f t="shared" si="23"/>
        <v/>
      </c>
      <c r="C506" s="43"/>
      <c r="D506" s="51" t="str" cm="1">
        <f t="array" ref="D506">IFERROR(INDEX(DB!G$2:G$2576,T506),"")</f>
        <v/>
      </c>
      <c r="E506" s="43"/>
      <c r="F506" s="52" t="str" cm="1">
        <f t="array" ref="F506">IFERROR(INDEX(DB!O$2:O$2576,T506),"")</f>
        <v/>
      </c>
      <c r="G506" s="43"/>
      <c r="H506" s="40" t="str" cm="1">
        <f t="array" ref="H506">IFERROR(INDEX(DB!P$2:P$2576,T506),"")</f>
        <v/>
      </c>
      <c r="I506" s="43"/>
      <c r="J506" s="53" t="str" cm="1">
        <f t="array" ref="J506">IFERROR(INDEX(DB!Q$2:Q$2576,T506),"")</f>
        <v/>
      </c>
      <c r="K506" s="43"/>
      <c r="L506" s="41" t="str" cm="1">
        <f t="array" ref="L506">IFERROR(INDEX(DB!R$2:R$2576,T506),"")</f>
        <v/>
      </c>
      <c r="M506" s="43"/>
      <c r="P506" t="str" cm="1">
        <f t="array" ref="P506">IFERROR(_xlfn.AGGREGATE(15,6,ROW(DB!A$2:A$2576)/((($D$3&lt;&gt;"YES")+($D$3="YES")*(DB!E$2:E$2576="YES"))*(($D$4="")+($D$4&lt;&gt;"")*( DB!B$2:B$2576=$D$4))*(($D$5="")+($D$5&lt;&gt;"")*( DB!C$2:C$2576=$D$5))*(($D$6="")+($D$6&lt;&gt;"")*( DB!D$2:D$2576=$D$6))*(($D$7="")+($D$7&lt;&gt;"")*(ISNUMBER(SEARCH($D$7,DB!G$2:G$2576))))*(($F$7="전체")+($F$7&lt;&gt;"전체")*(DB!H$2:H$2576=$F$7))),ROW()-13)-1,"")</f>
        <v/>
      </c>
      <c r="Q506" t="str" cm="1">
        <f t="array" ref="Q506">IFERROR(INDEX(DB!G$2:G$2576,P506),"")</f>
        <v/>
      </c>
      <c r="R506" t="str" cm="1">
        <f t="array" ref="R506">IFERROR(INDEX(DB!O$2:O$2576,P506),"")</f>
        <v/>
      </c>
      <c r="S506" t="str">
        <f t="shared" si="24"/>
        <v/>
      </c>
      <c r="T506" t="str">
        <f t="shared" si="25"/>
        <v/>
      </c>
    </row>
    <row r="507" spans="1:20" ht="100" customHeight="1">
      <c r="A507" s="26"/>
      <c r="B507" s="42" t="str">
        <f t="shared" si="23"/>
        <v/>
      </c>
      <c r="C507" s="43"/>
      <c r="D507" s="51" t="str" cm="1">
        <f t="array" ref="D507">IFERROR(INDEX(DB!G$2:G$2576,T507),"")</f>
        <v/>
      </c>
      <c r="E507" s="43"/>
      <c r="F507" s="52" t="str" cm="1">
        <f t="array" ref="F507">IFERROR(INDEX(DB!O$2:O$2576,T507),"")</f>
        <v/>
      </c>
      <c r="G507" s="43"/>
      <c r="H507" s="40" t="str" cm="1">
        <f t="array" ref="H507">IFERROR(INDEX(DB!P$2:P$2576,T507),"")</f>
        <v/>
      </c>
      <c r="I507" s="43"/>
      <c r="J507" s="53" t="str" cm="1">
        <f t="array" ref="J507">IFERROR(INDEX(DB!Q$2:Q$2576,T507),"")</f>
        <v/>
      </c>
      <c r="K507" s="43"/>
      <c r="L507" s="41" t="str" cm="1">
        <f t="array" ref="L507">IFERROR(INDEX(DB!R$2:R$2576,T507),"")</f>
        <v/>
      </c>
      <c r="M507" s="43"/>
      <c r="P507" t="str" cm="1">
        <f t="array" ref="P507">IFERROR(_xlfn.AGGREGATE(15,6,ROW(DB!A$2:A$2576)/((($D$3&lt;&gt;"YES")+($D$3="YES")*(DB!E$2:E$2576="YES"))*(($D$4="")+($D$4&lt;&gt;"")*( DB!B$2:B$2576=$D$4))*(($D$5="")+($D$5&lt;&gt;"")*( DB!C$2:C$2576=$D$5))*(($D$6="")+($D$6&lt;&gt;"")*( DB!D$2:D$2576=$D$6))*(($D$7="")+($D$7&lt;&gt;"")*(ISNUMBER(SEARCH($D$7,DB!G$2:G$2576))))*(($F$7="전체")+($F$7&lt;&gt;"전체")*(DB!H$2:H$2576=$F$7))),ROW()-13)-1,"")</f>
        <v/>
      </c>
      <c r="Q507" t="str" cm="1">
        <f t="array" ref="Q507">IFERROR(INDEX(DB!G$2:G$2576,P507),"")</f>
        <v/>
      </c>
      <c r="R507" t="str" cm="1">
        <f t="array" ref="R507">IFERROR(INDEX(DB!O$2:O$2576,P507),"")</f>
        <v/>
      </c>
      <c r="S507" t="str">
        <f t="shared" si="24"/>
        <v/>
      </c>
      <c r="T507" t="str">
        <f t="shared" si="25"/>
        <v/>
      </c>
    </row>
    <row r="508" spans="1:20" ht="100" customHeight="1">
      <c r="A508" s="26"/>
      <c r="B508" s="39" t="str">
        <f t="shared" si="23"/>
        <v/>
      </c>
      <c r="C508" s="43"/>
      <c r="D508" s="51" t="str" cm="1">
        <f t="array" ref="D508">IFERROR(INDEX(DB!G$2:G$2576,T508),"")</f>
        <v/>
      </c>
      <c r="E508" s="43"/>
      <c r="F508" s="52" t="str" cm="1">
        <f t="array" ref="F508">IFERROR(INDEX(DB!O$2:O$2576,T508),"")</f>
        <v/>
      </c>
      <c r="G508" s="43"/>
      <c r="H508" s="40" t="str" cm="1">
        <f t="array" ref="H508">IFERROR(INDEX(DB!P$2:P$2576,T508),"")</f>
        <v/>
      </c>
      <c r="I508" s="43"/>
      <c r="J508" s="53" t="str" cm="1">
        <f t="array" ref="J508">IFERROR(INDEX(DB!Q$2:Q$2576,T508),"")</f>
        <v/>
      </c>
      <c r="K508" s="43"/>
      <c r="L508" s="41" t="str" cm="1">
        <f t="array" ref="L508">IFERROR(INDEX(DB!R$2:R$2576,T508),"")</f>
        <v/>
      </c>
      <c r="M508" s="43"/>
      <c r="P508" t="str" cm="1">
        <f t="array" ref="P508">IFERROR(_xlfn.AGGREGATE(15,6,ROW(DB!A$2:A$2576)/((($D$3&lt;&gt;"YES")+($D$3="YES")*(DB!E$2:E$2576="YES"))*(($D$4="")+($D$4&lt;&gt;"")*( DB!B$2:B$2576=$D$4))*(($D$5="")+($D$5&lt;&gt;"")*( DB!C$2:C$2576=$D$5))*(($D$6="")+($D$6&lt;&gt;"")*( DB!D$2:D$2576=$D$6))*(($D$7="")+($D$7&lt;&gt;"")*(ISNUMBER(SEARCH($D$7,DB!G$2:G$2576))))*(($F$7="전체")+($F$7&lt;&gt;"전체")*(DB!H$2:H$2576=$F$7))),ROW()-13)-1,"")</f>
        <v/>
      </c>
      <c r="Q508" t="str" cm="1">
        <f t="array" ref="Q508">IFERROR(INDEX(DB!G$2:G$2576,P508),"")</f>
        <v/>
      </c>
      <c r="R508" t="str" cm="1">
        <f t="array" ref="R508">IFERROR(INDEX(DB!O$2:O$2576,P508),"")</f>
        <v/>
      </c>
      <c r="S508" t="str">
        <f t="shared" si="24"/>
        <v/>
      </c>
      <c r="T508" t="str">
        <f t="shared" si="25"/>
        <v/>
      </c>
    </row>
    <row r="509" spans="1:20" ht="100" customHeight="1">
      <c r="A509" s="26"/>
      <c r="B509" s="42" t="str">
        <f t="shared" si="23"/>
        <v/>
      </c>
      <c r="C509" s="43"/>
      <c r="D509" s="51" t="str" cm="1">
        <f t="array" ref="D509">IFERROR(INDEX(DB!G$2:G$2576,T509),"")</f>
        <v/>
      </c>
      <c r="E509" s="43"/>
      <c r="F509" s="52" t="str" cm="1">
        <f t="array" ref="F509">IFERROR(INDEX(DB!O$2:O$2576,T509),"")</f>
        <v/>
      </c>
      <c r="G509" s="43"/>
      <c r="H509" s="40" t="str" cm="1">
        <f t="array" ref="H509">IFERROR(INDEX(DB!P$2:P$2576,T509),"")</f>
        <v/>
      </c>
      <c r="I509" s="43"/>
      <c r="J509" s="53" t="str" cm="1">
        <f t="array" ref="J509">IFERROR(INDEX(DB!Q$2:Q$2576,T509),"")</f>
        <v/>
      </c>
      <c r="K509" s="43"/>
      <c r="L509" s="41" t="str" cm="1">
        <f t="array" ref="L509">IFERROR(INDEX(DB!R$2:R$2576,T509),"")</f>
        <v/>
      </c>
      <c r="M509" s="43"/>
      <c r="P509" t="str" cm="1">
        <f t="array" ref="P509">IFERROR(_xlfn.AGGREGATE(15,6,ROW(DB!A$2:A$2576)/((($D$3&lt;&gt;"YES")+($D$3="YES")*(DB!E$2:E$2576="YES"))*(($D$4="")+($D$4&lt;&gt;"")*( DB!B$2:B$2576=$D$4))*(($D$5="")+($D$5&lt;&gt;"")*( DB!C$2:C$2576=$D$5))*(($D$6="")+($D$6&lt;&gt;"")*( DB!D$2:D$2576=$D$6))*(($D$7="")+($D$7&lt;&gt;"")*(ISNUMBER(SEARCH($D$7,DB!G$2:G$2576))))*(($F$7="전체")+($F$7&lt;&gt;"전체")*(DB!H$2:H$2576=$F$7))),ROW()-13)-1,"")</f>
        <v/>
      </c>
      <c r="Q509" t="str" cm="1">
        <f t="array" ref="Q509">IFERROR(INDEX(DB!G$2:G$2576,P509),"")</f>
        <v/>
      </c>
      <c r="R509" t="str" cm="1">
        <f t="array" ref="R509">IFERROR(INDEX(DB!O$2:O$2576,P509),"")</f>
        <v/>
      </c>
      <c r="S509" t="str">
        <f t="shared" si="24"/>
        <v/>
      </c>
      <c r="T509" t="str">
        <f t="shared" si="25"/>
        <v/>
      </c>
    </row>
    <row r="510" spans="1:20" ht="100" customHeight="1">
      <c r="A510" s="26"/>
      <c r="B510" s="39" t="str">
        <f t="shared" si="23"/>
        <v/>
      </c>
      <c r="C510" s="43"/>
      <c r="D510" s="51" t="str" cm="1">
        <f t="array" ref="D510">IFERROR(INDEX(DB!G$2:G$2576,T510),"")</f>
        <v/>
      </c>
      <c r="E510" s="43"/>
      <c r="F510" s="52" t="str" cm="1">
        <f t="array" ref="F510">IFERROR(INDEX(DB!O$2:O$2576,T510),"")</f>
        <v/>
      </c>
      <c r="G510" s="43"/>
      <c r="H510" s="40" t="str" cm="1">
        <f t="array" ref="H510">IFERROR(INDEX(DB!P$2:P$2576,T510),"")</f>
        <v/>
      </c>
      <c r="I510" s="43"/>
      <c r="J510" s="53" t="str" cm="1">
        <f t="array" ref="J510">IFERROR(INDEX(DB!Q$2:Q$2576,T510),"")</f>
        <v/>
      </c>
      <c r="K510" s="43"/>
      <c r="L510" s="41" t="str" cm="1">
        <f t="array" ref="L510">IFERROR(INDEX(DB!R$2:R$2576,T510),"")</f>
        <v/>
      </c>
      <c r="M510" s="43"/>
      <c r="P510" t="str" cm="1">
        <f t="array" ref="P510">IFERROR(_xlfn.AGGREGATE(15,6,ROW(DB!A$2:A$2576)/((($D$3&lt;&gt;"YES")+($D$3="YES")*(DB!E$2:E$2576="YES"))*(($D$4="")+($D$4&lt;&gt;"")*( DB!B$2:B$2576=$D$4))*(($D$5="")+($D$5&lt;&gt;"")*( DB!C$2:C$2576=$D$5))*(($D$6="")+($D$6&lt;&gt;"")*( DB!D$2:D$2576=$D$6))*(($D$7="")+($D$7&lt;&gt;"")*(ISNUMBER(SEARCH($D$7,DB!G$2:G$2576))))*(($F$7="전체")+($F$7&lt;&gt;"전체")*(DB!H$2:H$2576=$F$7))),ROW()-13)-1,"")</f>
        <v/>
      </c>
      <c r="Q510" t="str" cm="1">
        <f t="array" ref="Q510">IFERROR(INDEX(DB!G$2:G$2576,P510),"")</f>
        <v/>
      </c>
      <c r="R510" t="str" cm="1">
        <f t="array" ref="R510">IFERROR(INDEX(DB!O$2:O$2576,P510),"")</f>
        <v/>
      </c>
      <c r="S510" t="str">
        <f t="shared" si="24"/>
        <v/>
      </c>
      <c r="T510" t="str">
        <f t="shared" si="25"/>
        <v/>
      </c>
    </row>
    <row r="511" spans="1:20" ht="100" customHeight="1">
      <c r="A511" s="26"/>
      <c r="B511" s="42" t="str">
        <f t="shared" si="23"/>
        <v/>
      </c>
      <c r="C511" s="43"/>
      <c r="D511" s="51" t="str" cm="1">
        <f t="array" ref="D511">IFERROR(INDEX(DB!G$2:G$2576,T511),"")</f>
        <v/>
      </c>
      <c r="E511" s="43"/>
      <c r="F511" s="52" t="str" cm="1">
        <f t="array" ref="F511">IFERROR(INDEX(DB!O$2:O$2576,T511),"")</f>
        <v/>
      </c>
      <c r="G511" s="43"/>
      <c r="H511" s="40" t="str" cm="1">
        <f t="array" ref="H511">IFERROR(INDEX(DB!P$2:P$2576,T511),"")</f>
        <v/>
      </c>
      <c r="I511" s="43"/>
      <c r="J511" s="53" t="str" cm="1">
        <f t="array" ref="J511">IFERROR(INDEX(DB!Q$2:Q$2576,T511),"")</f>
        <v/>
      </c>
      <c r="K511" s="43"/>
      <c r="L511" s="41" t="str" cm="1">
        <f t="array" ref="L511">IFERROR(INDEX(DB!R$2:R$2576,T511),"")</f>
        <v/>
      </c>
      <c r="M511" s="43"/>
      <c r="P511" t="str" cm="1">
        <f t="array" ref="P511">IFERROR(_xlfn.AGGREGATE(15,6,ROW(DB!A$2:A$2576)/((($D$3&lt;&gt;"YES")+($D$3="YES")*(DB!E$2:E$2576="YES"))*(($D$4="")+($D$4&lt;&gt;"")*( DB!B$2:B$2576=$D$4))*(($D$5="")+($D$5&lt;&gt;"")*( DB!C$2:C$2576=$D$5))*(($D$6="")+($D$6&lt;&gt;"")*( DB!D$2:D$2576=$D$6))*(($D$7="")+($D$7&lt;&gt;"")*(ISNUMBER(SEARCH($D$7,DB!G$2:G$2576))))*(($F$7="전체")+($F$7&lt;&gt;"전체")*(DB!H$2:H$2576=$F$7))),ROW()-13)-1,"")</f>
        <v/>
      </c>
      <c r="Q511" t="str" cm="1">
        <f t="array" ref="Q511">IFERROR(INDEX(DB!G$2:G$2576,P511),"")</f>
        <v/>
      </c>
      <c r="R511" t="str" cm="1">
        <f t="array" ref="R511">IFERROR(INDEX(DB!O$2:O$2576,P511),"")</f>
        <v/>
      </c>
      <c r="S511" t="str">
        <f t="shared" si="24"/>
        <v/>
      </c>
      <c r="T511" t="str">
        <f t="shared" si="25"/>
        <v/>
      </c>
    </row>
    <row r="512" spans="1:20" ht="100" customHeight="1">
      <c r="A512" s="26"/>
      <c r="B512" s="39" t="str">
        <f t="shared" si="23"/>
        <v/>
      </c>
      <c r="C512" s="43"/>
      <c r="D512" s="51" t="str" cm="1">
        <f t="array" ref="D512">IFERROR(INDEX(DB!G$2:G$2576,T512),"")</f>
        <v/>
      </c>
      <c r="E512" s="43"/>
      <c r="F512" s="52" t="str" cm="1">
        <f t="array" ref="F512">IFERROR(INDEX(DB!O$2:O$2576,T512),"")</f>
        <v/>
      </c>
      <c r="G512" s="43"/>
      <c r="H512" s="40" t="str" cm="1">
        <f t="array" ref="H512">IFERROR(INDEX(DB!P$2:P$2576,T512),"")</f>
        <v/>
      </c>
      <c r="I512" s="43"/>
      <c r="J512" s="53" t="str" cm="1">
        <f t="array" ref="J512">IFERROR(INDEX(DB!Q$2:Q$2576,T512),"")</f>
        <v/>
      </c>
      <c r="K512" s="43"/>
      <c r="L512" s="41" t="str" cm="1">
        <f t="array" ref="L512">IFERROR(INDEX(DB!R$2:R$2576,T512),"")</f>
        <v/>
      </c>
      <c r="M512" s="43"/>
      <c r="P512" t="str" cm="1">
        <f t="array" ref="P512">IFERROR(_xlfn.AGGREGATE(15,6,ROW(DB!A$2:A$2576)/((($D$3&lt;&gt;"YES")+($D$3="YES")*(DB!E$2:E$2576="YES"))*(($D$4="")+($D$4&lt;&gt;"")*( DB!B$2:B$2576=$D$4))*(($D$5="")+($D$5&lt;&gt;"")*( DB!C$2:C$2576=$D$5))*(($D$6="")+($D$6&lt;&gt;"")*( DB!D$2:D$2576=$D$6))*(($D$7="")+($D$7&lt;&gt;"")*(ISNUMBER(SEARCH($D$7,DB!G$2:G$2576))))*(($F$7="전체")+($F$7&lt;&gt;"전체")*(DB!H$2:H$2576=$F$7))),ROW()-13)-1,"")</f>
        <v/>
      </c>
      <c r="Q512" t="str" cm="1">
        <f t="array" ref="Q512">IFERROR(INDEX(DB!G$2:G$2576,P512),"")</f>
        <v/>
      </c>
      <c r="R512" t="str" cm="1">
        <f t="array" ref="R512">IFERROR(INDEX(DB!O$2:O$2576,P512),"")</f>
        <v/>
      </c>
      <c r="S512" t="str">
        <f t="shared" si="24"/>
        <v/>
      </c>
      <c r="T512" t="str">
        <f t="shared" si="25"/>
        <v/>
      </c>
    </row>
    <row r="513" spans="1:20" ht="100" customHeight="1">
      <c r="A513" s="26"/>
      <c r="B513" s="42" t="str">
        <f t="shared" si="23"/>
        <v/>
      </c>
      <c r="C513" s="43"/>
      <c r="D513" s="51" t="str" cm="1">
        <f t="array" ref="D513">IFERROR(INDEX(DB!G$2:G$2576,T513),"")</f>
        <v/>
      </c>
      <c r="E513" s="43"/>
      <c r="F513" s="52" t="str" cm="1">
        <f t="array" ref="F513">IFERROR(INDEX(DB!O$2:O$2576,T513),"")</f>
        <v/>
      </c>
      <c r="G513" s="43"/>
      <c r="H513" s="40" t="str" cm="1">
        <f t="array" ref="H513">IFERROR(INDEX(DB!P$2:P$2576,T513),"")</f>
        <v/>
      </c>
      <c r="I513" s="43"/>
      <c r="J513" s="53" t="str" cm="1">
        <f t="array" ref="J513">IFERROR(INDEX(DB!Q$2:Q$2576,T513),"")</f>
        <v/>
      </c>
      <c r="K513" s="43"/>
      <c r="L513" s="41" t="str" cm="1">
        <f t="array" ref="L513">IFERROR(INDEX(DB!R$2:R$2576,T513),"")</f>
        <v/>
      </c>
      <c r="M513" s="43"/>
      <c r="P513" t="str" cm="1">
        <f t="array" ref="P513">IFERROR(_xlfn.AGGREGATE(15,6,ROW(DB!A$2:A$2576)/((($D$3&lt;&gt;"YES")+($D$3="YES")*(DB!E$2:E$2576="YES"))*(($D$4="")+($D$4&lt;&gt;"")*( DB!B$2:B$2576=$D$4))*(($D$5="")+($D$5&lt;&gt;"")*( DB!C$2:C$2576=$D$5))*(($D$6="")+($D$6&lt;&gt;"")*( DB!D$2:D$2576=$D$6))*(($D$7="")+($D$7&lt;&gt;"")*(ISNUMBER(SEARCH($D$7,DB!G$2:G$2576))))*(($F$7="전체")+($F$7&lt;&gt;"전체")*(DB!H$2:H$2576=$F$7))),ROW()-13)-1,"")</f>
        <v/>
      </c>
      <c r="Q513" t="str" cm="1">
        <f t="array" ref="Q513">IFERROR(INDEX(DB!G$2:G$2576,P513),"")</f>
        <v/>
      </c>
      <c r="R513" t="str" cm="1">
        <f t="array" ref="R513">IFERROR(INDEX(DB!O$2:O$2576,P513),"")</f>
        <v/>
      </c>
      <c r="S513" t="str">
        <f t="shared" si="24"/>
        <v/>
      </c>
      <c r="T513" t="str">
        <f t="shared" si="25"/>
        <v/>
      </c>
    </row>
    <row r="514" spans="1:20" ht="100" customHeight="1">
      <c r="A514" s="26"/>
      <c r="B514" s="39" t="str">
        <f t="shared" si="23"/>
        <v/>
      </c>
      <c r="C514" s="43"/>
      <c r="D514" s="51" t="str" cm="1">
        <f t="array" ref="D514">IFERROR(INDEX(DB!G$2:G$2576,T514),"")</f>
        <v/>
      </c>
      <c r="E514" s="43"/>
      <c r="F514" s="52" t="str" cm="1">
        <f t="array" ref="F514">IFERROR(INDEX(DB!O$2:O$2576,T514),"")</f>
        <v/>
      </c>
      <c r="G514" s="43"/>
      <c r="H514" s="40" t="str" cm="1">
        <f t="array" ref="H514">IFERROR(INDEX(DB!P$2:P$2576,T514),"")</f>
        <v/>
      </c>
      <c r="I514" s="43"/>
      <c r="J514" s="53" t="str" cm="1">
        <f t="array" ref="J514">IFERROR(INDEX(DB!Q$2:Q$2576,T514),"")</f>
        <v/>
      </c>
      <c r="K514" s="43"/>
      <c r="L514" s="41" t="str" cm="1">
        <f t="array" ref="L514">IFERROR(INDEX(DB!R$2:R$2576,T514),"")</f>
        <v/>
      </c>
      <c r="M514" s="43"/>
      <c r="P514" t="str" cm="1">
        <f t="array" ref="P514">IFERROR(_xlfn.AGGREGATE(15,6,ROW(DB!A$2:A$2576)/((($D$3&lt;&gt;"YES")+($D$3="YES")*(DB!E$2:E$2576="YES"))*(($D$4="")+($D$4&lt;&gt;"")*( DB!B$2:B$2576=$D$4))*(($D$5="")+($D$5&lt;&gt;"")*( DB!C$2:C$2576=$D$5))*(($D$6="")+($D$6&lt;&gt;"")*( DB!D$2:D$2576=$D$6))*(($D$7="")+($D$7&lt;&gt;"")*(ISNUMBER(SEARCH($D$7,DB!G$2:G$2576))))*(($F$7="전체")+($F$7&lt;&gt;"전체")*(DB!H$2:H$2576=$F$7))),ROW()-13)-1,"")</f>
        <v/>
      </c>
      <c r="Q514" t="str" cm="1">
        <f t="array" ref="Q514">IFERROR(INDEX(DB!G$2:G$2576,P514),"")</f>
        <v/>
      </c>
      <c r="R514" t="str" cm="1">
        <f t="array" ref="R514">IFERROR(INDEX(DB!O$2:O$2576,P514),"")</f>
        <v/>
      </c>
      <c r="S514" t="str">
        <f t="shared" si="24"/>
        <v/>
      </c>
      <c r="T514" t="str">
        <f t="shared" si="25"/>
        <v/>
      </c>
    </row>
    <row r="515" spans="1:20" ht="100" customHeight="1">
      <c r="A515" s="26"/>
      <c r="B515" s="42" t="str">
        <f t="shared" si="23"/>
        <v/>
      </c>
      <c r="C515" s="43"/>
      <c r="D515" s="51" t="str" cm="1">
        <f t="array" ref="D515">IFERROR(INDEX(DB!G$2:G$2576,T515),"")</f>
        <v/>
      </c>
      <c r="E515" s="43"/>
      <c r="F515" s="52" t="str" cm="1">
        <f t="array" ref="F515">IFERROR(INDEX(DB!O$2:O$2576,T515),"")</f>
        <v/>
      </c>
      <c r="G515" s="43"/>
      <c r="H515" s="40" t="str" cm="1">
        <f t="array" ref="H515">IFERROR(INDEX(DB!P$2:P$2576,T515),"")</f>
        <v/>
      </c>
      <c r="I515" s="43"/>
      <c r="J515" s="53" t="str" cm="1">
        <f t="array" ref="J515">IFERROR(INDEX(DB!Q$2:Q$2576,T515),"")</f>
        <v/>
      </c>
      <c r="K515" s="43"/>
      <c r="L515" s="41" t="str" cm="1">
        <f t="array" ref="L515">IFERROR(INDEX(DB!R$2:R$2576,T515),"")</f>
        <v/>
      </c>
      <c r="M515" s="43"/>
      <c r="P515" t="str" cm="1">
        <f t="array" ref="P515">IFERROR(_xlfn.AGGREGATE(15,6,ROW(DB!A$2:A$2576)/((($D$3&lt;&gt;"YES")+($D$3="YES")*(DB!E$2:E$2576="YES"))*(($D$4="")+($D$4&lt;&gt;"")*( DB!B$2:B$2576=$D$4))*(($D$5="")+($D$5&lt;&gt;"")*( DB!C$2:C$2576=$D$5))*(($D$6="")+($D$6&lt;&gt;"")*( DB!D$2:D$2576=$D$6))*(($D$7="")+($D$7&lt;&gt;"")*(ISNUMBER(SEARCH($D$7,DB!G$2:G$2576))))*(($F$7="전체")+($F$7&lt;&gt;"전체")*(DB!H$2:H$2576=$F$7))),ROW()-13)-1,"")</f>
        <v/>
      </c>
      <c r="Q515" t="str" cm="1">
        <f t="array" ref="Q515">IFERROR(INDEX(DB!G$2:G$2576,P515),"")</f>
        <v/>
      </c>
      <c r="R515" t="str" cm="1">
        <f t="array" ref="R515">IFERROR(INDEX(DB!O$2:O$2576,P515),"")</f>
        <v/>
      </c>
      <c r="S515" t="str">
        <f t="shared" si="24"/>
        <v/>
      </c>
      <c r="T515" t="str">
        <f t="shared" si="25"/>
        <v/>
      </c>
    </row>
    <row r="516" spans="1:20" ht="100" customHeight="1">
      <c r="A516" s="26"/>
      <c r="B516" s="39" t="str">
        <f t="shared" si="23"/>
        <v/>
      </c>
      <c r="C516" s="43"/>
      <c r="D516" s="51" t="str" cm="1">
        <f t="array" ref="D516">IFERROR(INDEX(DB!G$2:G$2576,T516),"")</f>
        <v/>
      </c>
      <c r="E516" s="43"/>
      <c r="F516" s="52" t="str" cm="1">
        <f t="array" ref="F516">IFERROR(INDEX(DB!O$2:O$2576,T516),"")</f>
        <v/>
      </c>
      <c r="G516" s="43"/>
      <c r="H516" s="40" t="str" cm="1">
        <f t="array" ref="H516">IFERROR(INDEX(DB!P$2:P$2576,T516),"")</f>
        <v/>
      </c>
      <c r="I516" s="43"/>
      <c r="J516" s="53" t="str" cm="1">
        <f t="array" ref="J516">IFERROR(INDEX(DB!Q$2:Q$2576,T516),"")</f>
        <v/>
      </c>
      <c r="K516" s="43"/>
      <c r="L516" s="41" t="str" cm="1">
        <f t="array" ref="L516">IFERROR(INDEX(DB!R$2:R$2576,T516),"")</f>
        <v/>
      </c>
      <c r="M516" s="43"/>
      <c r="P516" t="str" cm="1">
        <f t="array" ref="P516">IFERROR(_xlfn.AGGREGATE(15,6,ROW(DB!A$2:A$2576)/((($D$3&lt;&gt;"YES")+($D$3="YES")*(DB!E$2:E$2576="YES"))*(($D$4="")+($D$4&lt;&gt;"")*( DB!B$2:B$2576=$D$4))*(($D$5="")+($D$5&lt;&gt;"")*( DB!C$2:C$2576=$D$5))*(($D$6="")+($D$6&lt;&gt;"")*( DB!D$2:D$2576=$D$6))*(($D$7="")+($D$7&lt;&gt;"")*(ISNUMBER(SEARCH($D$7,DB!G$2:G$2576))))*(($F$7="전체")+($F$7&lt;&gt;"전체")*(DB!H$2:H$2576=$F$7))),ROW()-13)-1,"")</f>
        <v/>
      </c>
      <c r="Q516" t="str" cm="1">
        <f t="array" ref="Q516">IFERROR(INDEX(DB!G$2:G$2576,P516),"")</f>
        <v/>
      </c>
      <c r="R516" t="str" cm="1">
        <f t="array" ref="R516">IFERROR(INDEX(DB!O$2:O$2576,P516),"")</f>
        <v/>
      </c>
      <c r="S516" t="str">
        <f t="shared" si="24"/>
        <v/>
      </c>
      <c r="T516" t="str">
        <f t="shared" si="25"/>
        <v/>
      </c>
    </row>
    <row r="517" spans="1:20" ht="100" customHeight="1">
      <c r="A517" s="26"/>
      <c r="B517" s="42" t="str">
        <f t="shared" si="23"/>
        <v/>
      </c>
      <c r="C517" s="43"/>
      <c r="D517" s="51" t="str" cm="1">
        <f t="array" ref="D517">IFERROR(INDEX(DB!G$2:G$2576,T517),"")</f>
        <v/>
      </c>
      <c r="E517" s="43"/>
      <c r="F517" s="52" t="str" cm="1">
        <f t="array" ref="F517">IFERROR(INDEX(DB!O$2:O$2576,T517),"")</f>
        <v/>
      </c>
      <c r="G517" s="43"/>
      <c r="H517" s="40" t="str" cm="1">
        <f t="array" ref="H517">IFERROR(INDEX(DB!P$2:P$2576,T517),"")</f>
        <v/>
      </c>
      <c r="I517" s="43"/>
      <c r="J517" s="53" t="str" cm="1">
        <f t="array" ref="J517">IFERROR(INDEX(DB!Q$2:Q$2576,T517),"")</f>
        <v/>
      </c>
      <c r="K517" s="43"/>
      <c r="L517" s="41" t="str" cm="1">
        <f t="array" ref="L517">IFERROR(INDEX(DB!R$2:R$2576,T517),"")</f>
        <v/>
      </c>
      <c r="M517" s="43"/>
      <c r="P517" t="str" cm="1">
        <f t="array" ref="P517">IFERROR(_xlfn.AGGREGATE(15,6,ROW(DB!A$2:A$2576)/((($D$3&lt;&gt;"YES")+($D$3="YES")*(DB!E$2:E$2576="YES"))*(($D$4="")+($D$4&lt;&gt;"")*( DB!B$2:B$2576=$D$4))*(($D$5="")+($D$5&lt;&gt;"")*( DB!C$2:C$2576=$D$5))*(($D$6="")+($D$6&lt;&gt;"")*( DB!D$2:D$2576=$D$6))*(($D$7="")+($D$7&lt;&gt;"")*(ISNUMBER(SEARCH($D$7,DB!G$2:G$2576))))*(($F$7="전체")+($F$7&lt;&gt;"전체")*(DB!H$2:H$2576=$F$7))),ROW()-13)-1,"")</f>
        <v/>
      </c>
      <c r="Q517" t="str" cm="1">
        <f t="array" ref="Q517">IFERROR(INDEX(DB!G$2:G$2576,P517),"")</f>
        <v/>
      </c>
      <c r="R517" t="str" cm="1">
        <f t="array" ref="R517">IFERROR(INDEX(DB!O$2:O$2576,P517),"")</f>
        <v/>
      </c>
      <c r="S517" t="str">
        <f t="shared" si="24"/>
        <v/>
      </c>
      <c r="T517" t="str">
        <f t="shared" si="25"/>
        <v/>
      </c>
    </row>
    <row r="518" spans="1:20" ht="100" customHeight="1">
      <c r="A518" s="26"/>
      <c r="B518" s="39" t="str">
        <f t="shared" si="23"/>
        <v/>
      </c>
      <c r="C518" s="43"/>
      <c r="D518" s="51" t="str" cm="1">
        <f t="array" ref="D518">IFERROR(INDEX(DB!G$2:G$2576,T518),"")</f>
        <v/>
      </c>
      <c r="E518" s="43"/>
      <c r="F518" s="52" t="str" cm="1">
        <f t="array" ref="F518">IFERROR(INDEX(DB!O$2:O$2576,T518),"")</f>
        <v/>
      </c>
      <c r="G518" s="43"/>
      <c r="H518" s="40" t="str" cm="1">
        <f t="array" ref="H518">IFERROR(INDEX(DB!P$2:P$2576,T518),"")</f>
        <v/>
      </c>
      <c r="I518" s="43"/>
      <c r="J518" s="53" t="str" cm="1">
        <f t="array" ref="J518">IFERROR(INDEX(DB!Q$2:Q$2576,T518),"")</f>
        <v/>
      </c>
      <c r="K518" s="43"/>
      <c r="L518" s="41" t="str" cm="1">
        <f t="array" ref="L518">IFERROR(INDEX(DB!R$2:R$2576,T518),"")</f>
        <v/>
      </c>
      <c r="M518" s="43"/>
      <c r="P518" t="str" cm="1">
        <f t="array" ref="P518">IFERROR(_xlfn.AGGREGATE(15,6,ROW(DB!A$2:A$2576)/((($D$3&lt;&gt;"YES")+($D$3="YES")*(DB!E$2:E$2576="YES"))*(($D$4="")+($D$4&lt;&gt;"")*( DB!B$2:B$2576=$D$4))*(($D$5="")+($D$5&lt;&gt;"")*( DB!C$2:C$2576=$D$5))*(($D$6="")+($D$6&lt;&gt;"")*( DB!D$2:D$2576=$D$6))*(($D$7="")+($D$7&lt;&gt;"")*(ISNUMBER(SEARCH($D$7,DB!G$2:G$2576))))*(($F$7="전체")+($F$7&lt;&gt;"전체")*(DB!H$2:H$2576=$F$7))),ROW()-13)-1,"")</f>
        <v/>
      </c>
      <c r="Q518" t="str" cm="1">
        <f t="array" ref="Q518">IFERROR(INDEX(DB!G$2:G$2576,P518),"")</f>
        <v/>
      </c>
      <c r="R518" t="str" cm="1">
        <f t="array" ref="R518">IFERROR(INDEX(DB!O$2:O$2576,P518),"")</f>
        <v/>
      </c>
      <c r="S518" t="str">
        <f t="shared" si="24"/>
        <v/>
      </c>
      <c r="T518" t="str">
        <f t="shared" si="25"/>
        <v/>
      </c>
    </row>
    <row r="519" spans="1:20" ht="100" customHeight="1">
      <c r="A519" s="26"/>
      <c r="B519" s="42" t="str">
        <f t="shared" si="23"/>
        <v/>
      </c>
      <c r="C519" s="43"/>
      <c r="D519" s="51" t="str" cm="1">
        <f t="array" ref="D519">IFERROR(INDEX(DB!G$2:G$2576,T519),"")</f>
        <v/>
      </c>
      <c r="E519" s="43"/>
      <c r="F519" s="52" t="str" cm="1">
        <f t="array" ref="F519">IFERROR(INDEX(DB!O$2:O$2576,T519),"")</f>
        <v/>
      </c>
      <c r="G519" s="43"/>
      <c r="H519" s="40" t="str" cm="1">
        <f t="array" ref="H519">IFERROR(INDEX(DB!P$2:P$2576,T519),"")</f>
        <v/>
      </c>
      <c r="I519" s="43"/>
      <c r="J519" s="53" t="str" cm="1">
        <f t="array" ref="J519">IFERROR(INDEX(DB!Q$2:Q$2576,T519),"")</f>
        <v/>
      </c>
      <c r="K519" s="43"/>
      <c r="L519" s="41" t="str" cm="1">
        <f t="array" ref="L519">IFERROR(INDEX(DB!R$2:R$2576,T519),"")</f>
        <v/>
      </c>
      <c r="M519" s="43"/>
      <c r="P519" t="str" cm="1">
        <f t="array" ref="P519">IFERROR(_xlfn.AGGREGATE(15,6,ROW(DB!A$2:A$2576)/((($D$3&lt;&gt;"YES")+($D$3="YES")*(DB!E$2:E$2576="YES"))*(($D$4="")+($D$4&lt;&gt;"")*( DB!B$2:B$2576=$D$4))*(($D$5="")+($D$5&lt;&gt;"")*( DB!C$2:C$2576=$D$5))*(($D$6="")+($D$6&lt;&gt;"")*( DB!D$2:D$2576=$D$6))*(($D$7="")+($D$7&lt;&gt;"")*(ISNUMBER(SEARCH($D$7,DB!G$2:G$2576))))*(($F$7="전체")+($F$7&lt;&gt;"전체")*(DB!H$2:H$2576=$F$7))),ROW()-13)-1,"")</f>
        <v/>
      </c>
      <c r="Q519" t="str" cm="1">
        <f t="array" ref="Q519">IFERROR(INDEX(DB!G$2:G$2576,P519),"")</f>
        <v/>
      </c>
      <c r="R519" t="str" cm="1">
        <f t="array" ref="R519">IFERROR(INDEX(DB!O$2:O$2576,P519),"")</f>
        <v/>
      </c>
      <c r="S519" t="str">
        <f t="shared" si="24"/>
        <v/>
      </c>
      <c r="T519" t="str">
        <f t="shared" si="25"/>
        <v/>
      </c>
    </row>
    <row r="520" spans="1:20" ht="100" customHeight="1">
      <c r="A520" s="26"/>
      <c r="B520" s="39" t="str">
        <f t="shared" si="23"/>
        <v/>
      </c>
      <c r="C520" s="43"/>
      <c r="D520" s="51" t="str" cm="1">
        <f t="array" ref="D520">IFERROR(INDEX(DB!G$2:G$2576,T520),"")</f>
        <v/>
      </c>
      <c r="E520" s="43"/>
      <c r="F520" s="52" t="str" cm="1">
        <f t="array" ref="F520">IFERROR(INDEX(DB!O$2:O$2576,T520),"")</f>
        <v/>
      </c>
      <c r="G520" s="43"/>
      <c r="H520" s="40" t="str" cm="1">
        <f t="array" ref="H520">IFERROR(INDEX(DB!P$2:P$2576,T520),"")</f>
        <v/>
      </c>
      <c r="I520" s="43"/>
      <c r="J520" s="53" t="str" cm="1">
        <f t="array" ref="J520">IFERROR(INDEX(DB!Q$2:Q$2576,T520),"")</f>
        <v/>
      </c>
      <c r="K520" s="43"/>
      <c r="L520" s="41" t="str" cm="1">
        <f t="array" ref="L520">IFERROR(INDEX(DB!R$2:R$2576,T520),"")</f>
        <v/>
      </c>
      <c r="M520" s="43"/>
      <c r="P520" t="str" cm="1">
        <f t="array" ref="P520">IFERROR(_xlfn.AGGREGATE(15,6,ROW(DB!A$2:A$2576)/((($D$3&lt;&gt;"YES")+($D$3="YES")*(DB!E$2:E$2576="YES"))*(($D$4="")+($D$4&lt;&gt;"")*( DB!B$2:B$2576=$D$4))*(($D$5="")+($D$5&lt;&gt;"")*( DB!C$2:C$2576=$D$5))*(($D$6="")+($D$6&lt;&gt;"")*( DB!D$2:D$2576=$D$6))*(($D$7="")+($D$7&lt;&gt;"")*(ISNUMBER(SEARCH($D$7,DB!G$2:G$2576))))*(($F$7="전체")+($F$7&lt;&gt;"전체")*(DB!H$2:H$2576=$F$7))),ROW()-13)-1,"")</f>
        <v/>
      </c>
      <c r="Q520" t="str" cm="1">
        <f t="array" ref="Q520">IFERROR(INDEX(DB!G$2:G$2576,P520),"")</f>
        <v/>
      </c>
      <c r="R520" t="str" cm="1">
        <f t="array" ref="R520">IFERROR(INDEX(DB!O$2:O$2576,P520),"")</f>
        <v/>
      </c>
      <c r="S520" t="str">
        <f t="shared" si="24"/>
        <v/>
      </c>
      <c r="T520" t="str">
        <f t="shared" si="25"/>
        <v/>
      </c>
    </row>
    <row r="521" spans="1:20" ht="100" customHeight="1">
      <c r="A521" s="26"/>
      <c r="B521" s="42" t="str">
        <f t="shared" si="23"/>
        <v/>
      </c>
      <c r="C521" s="43"/>
      <c r="D521" s="51" t="str" cm="1">
        <f t="array" ref="D521">IFERROR(INDEX(DB!G$2:G$2576,T521),"")</f>
        <v/>
      </c>
      <c r="E521" s="43"/>
      <c r="F521" s="52" t="str" cm="1">
        <f t="array" ref="F521">IFERROR(INDEX(DB!O$2:O$2576,T521),"")</f>
        <v/>
      </c>
      <c r="G521" s="43"/>
      <c r="H521" s="40" t="str" cm="1">
        <f t="array" ref="H521">IFERROR(INDEX(DB!P$2:P$2576,T521),"")</f>
        <v/>
      </c>
      <c r="I521" s="43"/>
      <c r="J521" s="53" t="str" cm="1">
        <f t="array" ref="J521">IFERROR(INDEX(DB!Q$2:Q$2576,T521),"")</f>
        <v/>
      </c>
      <c r="K521" s="43"/>
      <c r="L521" s="41" t="str" cm="1">
        <f t="array" ref="L521">IFERROR(INDEX(DB!R$2:R$2576,T521),"")</f>
        <v/>
      </c>
      <c r="M521" s="43"/>
      <c r="P521" t="str" cm="1">
        <f t="array" ref="P521">IFERROR(_xlfn.AGGREGATE(15,6,ROW(DB!A$2:A$2576)/((($D$3&lt;&gt;"YES")+($D$3="YES")*(DB!E$2:E$2576="YES"))*(($D$4="")+($D$4&lt;&gt;"")*( DB!B$2:B$2576=$D$4))*(($D$5="")+($D$5&lt;&gt;"")*( DB!C$2:C$2576=$D$5))*(($D$6="")+($D$6&lt;&gt;"")*( DB!D$2:D$2576=$D$6))*(($D$7="")+($D$7&lt;&gt;"")*(ISNUMBER(SEARCH($D$7,DB!G$2:G$2576))))*(($F$7="전체")+($F$7&lt;&gt;"전체")*(DB!H$2:H$2576=$F$7))),ROW()-13)-1,"")</f>
        <v/>
      </c>
      <c r="Q521" t="str" cm="1">
        <f t="array" ref="Q521">IFERROR(INDEX(DB!G$2:G$2576,P521),"")</f>
        <v/>
      </c>
      <c r="R521" t="str" cm="1">
        <f t="array" ref="R521">IFERROR(INDEX(DB!O$2:O$2576,P521),"")</f>
        <v/>
      </c>
      <c r="S521" t="str">
        <f t="shared" si="24"/>
        <v/>
      </c>
      <c r="T521" t="str">
        <f t="shared" si="25"/>
        <v/>
      </c>
    </row>
    <row r="522" spans="1:20" ht="100" customHeight="1">
      <c r="A522" s="26"/>
      <c r="B522" s="39" t="str">
        <f t="shared" si="23"/>
        <v/>
      </c>
      <c r="C522" s="43"/>
      <c r="D522" s="51" t="str" cm="1">
        <f t="array" ref="D522">IFERROR(INDEX(DB!G$2:G$2576,T522),"")</f>
        <v/>
      </c>
      <c r="E522" s="43"/>
      <c r="F522" s="52" t="str" cm="1">
        <f t="array" ref="F522">IFERROR(INDEX(DB!O$2:O$2576,T522),"")</f>
        <v/>
      </c>
      <c r="G522" s="43"/>
      <c r="H522" s="40" t="str" cm="1">
        <f t="array" ref="H522">IFERROR(INDEX(DB!P$2:P$2576,T522),"")</f>
        <v/>
      </c>
      <c r="I522" s="43"/>
      <c r="J522" s="53" t="str" cm="1">
        <f t="array" ref="J522">IFERROR(INDEX(DB!Q$2:Q$2576,T522),"")</f>
        <v/>
      </c>
      <c r="K522" s="43"/>
      <c r="L522" s="41" t="str" cm="1">
        <f t="array" ref="L522">IFERROR(INDEX(DB!R$2:R$2576,T522),"")</f>
        <v/>
      </c>
      <c r="M522" s="43"/>
      <c r="P522" t="str" cm="1">
        <f t="array" ref="P522">IFERROR(_xlfn.AGGREGATE(15,6,ROW(DB!A$2:A$2576)/((($D$3&lt;&gt;"YES")+($D$3="YES")*(DB!E$2:E$2576="YES"))*(($D$4="")+($D$4&lt;&gt;"")*( DB!B$2:B$2576=$D$4))*(($D$5="")+($D$5&lt;&gt;"")*( DB!C$2:C$2576=$D$5))*(($D$6="")+($D$6&lt;&gt;"")*( DB!D$2:D$2576=$D$6))*(($D$7="")+($D$7&lt;&gt;"")*(ISNUMBER(SEARCH($D$7,DB!G$2:G$2576))))*(($F$7="전체")+($F$7&lt;&gt;"전체")*(DB!H$2:H$2576=$F$7))),ROW()-13)-1,"")</f>
        <v/>
      </c>
      <c r="Q522" t="str" cm="1">
        <f t="array" ref="Q522">IFERROR(INDEX(DB!G$2:G$2576,P522),"")</f>
        <v/>
      </c>
      <c r="R522" t="str" cm="1">
        <f t="array" ref="R522">IFERROR(INDEX(DB!O$2:O$2576,P522),"")</f>
        <v/>
      </c>
      <c r="S522" t="str">
        <f t="shared" si="24"/>
        <v/>
      </c>
      <c r="T522" t="str">
        <f t="shared" si="25"/>
        <v/>
      </c>
    </row>
    <row r="523" spans="1:20" ht="100" customHeight="1">
      <c r="A523" s="26"/>
      <c r="B523" s="42" t="str">
        <f t="shared" si="23"/>
        <v/>
      </c>
      <c r="C523" s="43"/>
      <c r="D523" s="51" t="str" cm="1">
        <f t="array" ref="D523">IFERROR(INDEX(DB!G$2:G$2576,T523),"")</f>
        <v/>
      </c>
      <c r="E523" s="43"/>
      <c r="F523" s="52" t="str" cm="1">
        <f t="array" ref="F523">IFERROR(INDEX(DB!O$2:O$2576,T523),"")</f>
        <v/>
      </c>
      <c r="G523" s="43"/>
      <c r="H523" s="40" t="str" cm="1">
        <f t="array" ref="H523">IFERROR(INDEX(DB!P$2:P$2576,T523),"")</f>
        <v/>
      </c>
      <c r="I523" s="43"/>
      <c r="J523" s="53" t="str" cm="1">
        <f t="array" ref="J523">IFERROR(INDEX(DB!Q$2:Q$2576,T523),"")</f>
        <v/>
      </c>
      <c r="K523" s="43"/>
      <c r="L523" s="41" t="str" cm="1">
        <f t="array" ref="L523">IFERROR(INDEX(DB!R$2:R$2576,T523),"")</f>
        <v/>
      </c>
      <c r="M523" s="43"/>
      <c r="P523" t="str" cm="1">
        <f t="array" ref="P523">IFERROR(_xlfn.AGGREGATE(15,6,ROW(DB!A$2:A$2576)/((($D$3&lt;&gt;"YES")+($D$3="YES")*(DB!E$2:E$2576="YES"))*(($D$4="")+($D$4&lt;&gt;"")*( DB!B$2:B$2576=$D$4))*(($D$5="")+($D$5&lt;&gt;"")*( DB!C$2:C$2576=$D$5))*(($D$6="")+($D$6&lt;&gt;"")*( DB!D$2:D$2576=$D$6))*(($D$7="")+($D$7&lt;&gt;"")*(ISNUMBER(SEARCH($D$7,DB!G$2:G$2576))))*(($F$7="전체")+($F$7&lt;&gt;"전체")*(DB!H$2:H$2576=$F$7))),ROW()-13)-1,"")</f>
        <v/>
      </c>
      <c r="Q523" t="str" cm="1">
        <f t="array" ref="Q523">IFERROR(INDEX(DB!G$2:G$2576,P523),"")</f>
        <v/>
      </c>
      <c r="R523" t="str" cm="1">
        <f t="array" ref="R523">IFERROR(INDEX(DB!O$2:O$2576,P523),"")</f>
        <v/>
      </c>
      <c r="S523" t="str">
        <f t="shared" si="24"/>
        <v/>
      </c>
      <c r="T523" t="str">
        <f t="shared" si="25"/>
        <v/>
      </c>
    </row>
    <row r="524" spans="1:20" ht="100" customHeight="1">
      <c r="A524" s="26"/>
      <c r="B524" s="39" t="str">
        <f t="shared" si="23"/>
        <v/>
      </c>
      <c r="C524" s="43"/>
      <c r="D524" s="51" t="str" cm="1">
        <f t="array" ref="D524">IFERROR(INDEX(DB!G$2:G$2576,T524),"")</f>
        <v/>
      </c>
      <c r="E524" s="43"/>
      <c r="F524" s="52" t="str" cm="1">
        <f t="array" ref="F524">IFERROR(INDEX(DB!O$2:O$2576,T524),"")</f>
        <v/>
      </c>
      <c r="G524" s="43"/>
      <c r="H524" s="40" t="str" cm="1">
        <f t="array" ref="H524">IFERROR(INDEX(DB!P$2:P$2576,T524),"")</f>
        <v/>
      </c>
      <c r="I524" s="43"/>
      <c r="J524" s="53" t="str" cm="1">
        <f t="array" ref="J524">IFERROR(INDEX(DB!Q$2:Q$2576,T524),"")</f>
        <v/>
      </c>
      <c r="K524" s="43"/>
      <c r="L524" s="41" t="str" cm="1">
        <f t="array" ref="L524">IFERROR(INDEX(DB!R$2:R$2576,T524),"")</f>
        <v/>
      </c>
      <c r="M524" s="43"/>
      <c r="P524" t="str" cm="1">
        <f t="array" ref="P524">IFERROR(_xlfn.AGGREGATE(15,6,ROW(DB!A$2:A$2576)/((($D$3&lt;&gt;"YES")+($D$3="YES")*(DB!E$2:E$2576="YES"))*(($D$4="")+($D$4&lt;&gt;"")*( DB!B$2:B$2576=$D$4))*(($D$5="")+($D$5&lt;&gt;"")*( DB!C$2:C$2576=$D$5))*(($D$6="")+($D$6&lt;&gt;"")*( DB!D$2:D$2576=$D$6))*(($D$7="")+($D$7&lt;&gt;"")*(ISNUMBER(SEARCH($D$7,DB!G$2:G$2576))))*(($F$7="전체")+($F$7&lt;&gt;"전체")*(DB!H$2:H$2576=$F$7))),ROW()-13)-1,"")</f>
        <v/>
      </c>
      <c r="Q524" t="str" cm="1">
        <f t="array" ref="Q524">IFERROR(INDEX(DB!G$2:G$2576,P524),"")</f>
        <v/>
      </c>
      <c r="R524" t="str" cm="1">
        <f t="array" ref="R524">IFERROR(INDEX(DB!O$2:O$2576,P524),"")</f>
        <v/>
      </c>
      <c r="S524" t="str">
        <f t="shared" si="24"/>
        <v/>
      </c>
      <c r="T524" t="str">
        <f t="shared" si="25"/>
        <v/>
      </c>
    </row>
    <row r="525" spans="1:20" ht="100" customHeight="1">
      <c r="A525" s="26"/>
      <c r="B525" s="42" t="str">
        <f t="shared" si="23"/>
        <v/>
      </c>
      <c r="C525" s="43"/>
      <c r="D525" s="51" t="str" cm="1">
        <f t="array" ref="D525">IFERROR(INDEX(DB!G$2:G$2576,T525),"")</f>
        <v/>
      </c>
      <c r="E525" s="43"/>
      <c r="F525" s="52" t="str" cm="1">
        <f t="array" ref="F525">IFERROR(INDEX(DB!O$2:O$2576,T525),"")</f>
        <v/>
      </c>
      <c r="G525" s="43"/>
      <c r="H525" s="40" t="str" cm="1">
        <f t="array" ref="H525">IFERROR(INDEX(DB!P$2:P$2576,T525),"")</f>
        <v/>
      </c>
      <c r="I525" s="43"/>
      <c r="J525" s="53" t="str" cm="1">
        <f t="array" ref="J525">IFERROR(INDEX(DB!Q$2:Q$2576,T525),"")</f>
        <v/>
      </c>
      <c r="K525" s="43"/>
      <c r="L525" s="41" t="str" cm="1">
        <f t="array" ref="L525">IFERROR(INDEX(DB!R$2:R$2576,T525),"")</f>
        <v/>
      </c>
      <c r="M525" s="43"/>
      <c r="P525" t="str" cm="1">
        <f t="array" ref="P525">IFERROR(_xlfn.AGGREGATE(15,6,ROW(DB!A$2:A$2576)/((($D$3&lt;&gt;"YES")+($D$3="YES")*(DB!E$2:E$2576="YES"))*(($D$4="")+($D$4&lt;&gt;"")*( DB!B$2:B$2576=$D$4))*(($D$5="")+($D$5&lt;&gt;"")*( DB!C$2:C$2576=$D$5))*(($D$6="")+($D$6&lt;&gt;"")*( DB!D$2:D$2576=$D$6))*(($D$7="")+($D$7&lt;&gt;"")*(ISNUMBER(SEARCH($D$7,DB!G$2:G$2576))))*(($F$7="전체")+($F$7&lt;&gt;"전체")*(DB!H$2:H$2576=$F$7))),ROW()-13)-1,"")</f>
        <v/>
      </c>
      <c r="Q525" t="str" cm="1">
        <f t="array" ref="Q525">IFERROR(INDEX(DB!G$2:G$2576,P525),"")</f>
        <v/>
      </c>
      <c r="R525" t="str" cm="1">
        <f t="array" ref="R525">IFERROR(INDEX(DB!O$2:O$2576,P525),"")</f>
        <v/>
      </c>
      <c r="S525" t="str">
        <f t="shared" si="24"/>
        <v/>
      </c>
      <c r="T525" t="str">
        <f t="shared" si="25"/>
        <v/>
      </c>
    </row>
    <row r="526" spans="1:20" ht="100" customHeight="1">
      <c r="A526" s="26"/>
      <c r="B526" s="39" t="str">
        <f t="shared" si="23"/>
        <v/>
      </c>
      <c r="C526" s="43"/>
      <c r="D526" s="51" t="str" cm="1">
        <f t="array" ref="D526">IFERROR(INDEX(DB!G$2:G$2576,T526),"")</f>
        <v/>
      </c>
      <c r="E526" s="43"/>
      <c r="F526" s="52" t="str" cm="1">
        <f t="array" ref="F526">IFERROR(INDEX(DB!O$2:O$2576,T526),"")</f>
        <v/>
      </c>
      <c r="G526" s="43"/>
      <c r="H526" s="40" t="str" cm="1">
        <f t="array" ref="H526">IFERROR(INDEX(DB!P$2:P$2576,T526),"")</f>
        <v/>
      </c>
      <c r="I526" s="43"/>
      <c r="J526" s="53" t="str" cm="1">
        <f t="array" ref="J526">IFERROR(INDEX(DB!Q$2:Q$2576,T526),"")</f>
        <v/>
      </c>
      <c r="K526" s="43"/>
      <c r="L526" s="41" t="str" cm="1">
        <f t="array" ref="L526">IFERROR(INDEX(DB!R$2:R$2576,T526),"")</f>
        <v/>
      </c>
      <c r="M526" s="43"/>
      <c r="P526" t="str" cm="1">
        <f t="array" ref="P526">IFERROR(_xlfn.AGGREGATE(15,6,ROW(DB!A$2:A$2576)/((($D$3&lt;&gt;"YES")+($D$3="YES")*(DB!E$2:E$2576="YES"))*(($D$4="")+($D$4&lt;&gt;"")*( DB!B$2:B$2576=$D$4))*(($D$5="")+($D$5&lt;&gt;"")*( DB!C$2:C$2576=$D$5))*(($D$6="")+($D$6&lt;&gt;"")*( DB!D$2:D$2576=$D$6))*(($D$7="")+($D$7&lt;&gt;"")*(ISNUMBER(SEARCH($D$7,DB!G$2:G$2576))))*(($F$7="전체")+($F$7&lt;&gt;"전체")*(DB!H$2:H$2576=$F$7))),ROW()-13)-1,"")</f>
        <v/>
      </c>
      <c r="Q526" t="str" cm="1">
        <f t="array" ref="Q526">IFERROR(INDEX(DB!G$2:G$2576,P526),"")</f>
        <v/>
      </c>
      <c r="R526" t="str" cm="1">
        <f t="array" ref="R526">IFERROR(INDEX(DB!O$2:O$2576,P526),"")</f>
        <v/>
      </c>
      <c r="S526" t="str">
        <f t="shared" si="24"/>
        <v/>
      </c>
      <c r="T526" t="str">
        <f t="shared" si="25"/>
        <v/>
      </c>
    </row>
    <row r="527" spans="1:20" ht="100" customHeight="1">
      <c r="A527" s="26"/>
      <c r="B527" s="42" t="str">
        <f t="shared" ref="B527:B590" si="26">IFERROR(IF(T527="","",ROW()-13),"")</f>
        <v/>
      </c>
      <c r="C527" s="43"/>
      <c r="D527" s="51" t="str" cm="1">
        <f t="array" ref="D527">IFERROR(INDEX(DB!G$2:G$2576,T527),"")</f>
        <v/>
      </c>
      <c r="E527" s="43"/>
      <c r="F527" s="52" t="str" cm="1">
        <f t="array" ref="F527">IFERROR(INDEX(DB!O$2:O$2576,T527),"")</f>
        <v/>
      </c>
      <c r="G527" s="43"/>
      <c r="H527" s="40" t="str" cm="1">
        <f t="array" ref="H527">IFERROR(INDEX(DB!P$2:P$2576,T527),"")</f>
        <v/>
      </c>
      <c r="I527" s="43"/>
      <c r="J527" s="53" t="str" cm="1">
        <f t="array" ref="J527">IFERROR(INDEX(DB!Q$2:Q$2576,T527),"")</f>
        <v/>
      </c>
      <c r="K527" s="43"/>
      <c r="L527" s="41" t="str" cm="1">
        <f t="array" ref="L527">IFERROR(INDEX(DB!R$2:R$2576,T527),"")</f>
        <v/>
      </c>
      <c r="M527" s="43"/>
      <c r="P527" t="str" cm="1">
        <f t="array" ref="P527">IFERROR(_xlfn.AGGREGATE(15,6,ROW(DB!A$2:A$2576)/((($D$3&lt;&gt;"YES")+($D$3="YES")*(DB!E$2:E$2576="YES"))*(($D$4="")+($D$4&lt;&gt;"")*( DB!B$2:B$2576=$D$4))*(($D$5="")+($D$5&lt;&gt;"")*( DB!C$2:C$2576=$D$5))*(($D$6="")+($D$6&lt;&gt;"")*( DB!D$2:D$2576=$D$6))*(($D$7="")+($D$7&lt;&gt;"")*(ISNUMBER(SEARCH($D$7,DB!G$2:G$2576))))*(($F$7="전체")+($F$7&lt;&gt;"전체")*(DB!H$2:H$2576=$F$7))),ROW()-13)-1,"")</f>
        <v/>
      </c>
      <c r="Q527" t="str" cm="1">
        <f t="array" ref="Q527">IFERROR(INDEX(DB!G$2:G$2576,P527),"")</f>
        <v/>
      </c>
      <c r="R527" t="str" cm="1">
        <f t="array" ref="R527">IFERROR(INDEX(DB!O$2:O$2576,P527),"")</f>
        <v/>
      </c>
      <c r="S527" t="str">
        <f t="shared" ref="S527:S590" si="27">IF(P527="","",COUNTIF($Q$14:$Q$2587,"&lt;"&amp;Q527)*100+COUNTIF($R$14:$R$2587,"&lt;"&amp;R527)+(ROW()-13)*0.001)</f>
        <v/>
      </c>
      <c r="T527" t="str">
        <f t="shared" ref="T527:T590" si="28">IFERROR(INDEX($P$14:$P$2587,MATCH(SMALL($S$14:$S$2587,ROW()-13),$S$14:$S$2587,0)),"")</f>
        <v/>
      </c>
    </row>
    <row r="528" spans="1:20" ht="100" customHeight="1">
      <c r="A528" s="26"/>
      <c r="B528" s="39" t="str">
        <f t="shared" si="26"/>
        <v/>
      </c>
      <c r="C528" s="43"/>
      <c r="D528" s="51" t="str" cm="1">
        <f t="array" ref="D528">IFERROR(INDEX(DB!G$2:G$2576,T528),"")</f>
        <v/>
      </c>
      <c r="E528" s="43"/>
      <c r="F528" s="52" t="str" cm="1">
        <f t="array" ref="F528">IFERROR(INDEX(DB!O$2:O$2576,T528),"")</f>
        <v/>
      </c>
      <c r="G528" s="43"/>
      <c r="H528" s="40" t="str" cm="1">
        <f t="array" ref="H528">IFERROR(INDEX(DB!P$2:P$2576,T528),"")</f>
        <v/>
      </c>
      <c r="I528" s="43"/>
      <c r="J528" s="53" t="str" cm="1">
        <f t="array" ref="J528">IFERROR(INDEX(DB!Q$2:Q$2576,T528),"")</f>
        <v/>
      </c>
      <c r="K528" s="43"/>
      <c r="L528" s="41" t="str" cm="1">
        <f t="array" ref="L528">IFERROR(INDEX(DB!R$2:R$2576,T528),"")</f>
        <v/>
      </c>
      <c r="M528" s="43"/>
      <c r="P528" t="str" cm="1">
        <f t="array" ref="P528">IFERROR(_xlfn.AGGREGATE(15,6,ROW(DB!A$2:A$2576)/((($D$3&lt;&gt;"YES")+($D$3="YES")*(DB!E$2:E$2576="YES"))*(($D$4="")+($D$4&lt;&gt;"")*( DB!B$2:B$2576=$D$4))*(($D$5="")+($D$5&lt;&gt;"")*( DB!C$2:C$2576=$D$5))*(($D$6="")+($D$6&lt;&gt;"")*( DB!D$2:D$2576=$D$6))*(($D$7="")+($D$7&lt;&gt;"")*(ISNUMBER(SEARCH($D$7,DB!G$2:G$2576))))*(($F$7="전체")+($F$7&lt;&gt;"전체")*(DB!H$2:H$2576=$F$7))),ROW()-13)-1,"")</f>
        <v/>
      </c>
      <c r="Q528" t="str" cm="1">
        <f t="array" ref="Q528">IFERROR(INDEX(DB!G$2:G$2576,P528),"")</f>
        <v/>
      </c>
      <c r="R528" t="str" cm="1">
        <f t="array" ref="R528">IFERROR(INDEX(DB!O$2:O$2576,P528),"")</f>
        <v/>
      </c>
      <c r="S528" t="str">
        <f t="shared" si="27"/>
        <v/>
      </c>
      <c r="T528" t="str">
        <f t="shared" si="28"/>
        <v/>
      </c>
    </row>
    <row r="529" spans="1:20" ht="100" customHeight="1">
      <c r="A529" s="26"/>
      <c r="B529" s="42" t="str">
        <f t="shared" si="26"/>
        <v/>
      </c>
      <c r="C529" s="43"/>
      <c r="D529" s="51" t="str" cm="1">
        <f t="array" ref="D529">IFERROR(INDEX(DB!G$2:G$2576,T529),"")</f>
        <v/>
      </c>
      <c r="E529" s="43"/>
      <c r="F529" s="52" t="str" cm="1">
        <f t="array" ref="F529">IFERROR(INDEX(DB!O$2:O$2576,T529),"")</f>
        <v/>
      </c>
      <c r="G529" s="43"/>
      <c r="H529" s="40" t="str" cm="1">
        <f t="array" ref="H529">IFERROR(INDEX(DB!P$2:P$2576,T529),"")</f>
        <v/>
      </c>
      <c r="I529" s="43"/>
      <c r="J529" s="53" t="str" cm="1">
        <f t="array" ref="J529">IFERROR(INDEX(DB!Q$2:Q$2576,T529),"")</f>
        <v/>
      </c>
      <c r="K529" s="43"/>
      <c r="L529" s="41" t="str" cm="1">
        <f t="array" ref="L529">IFERROR(INDEX(DB!R$2:R$2576,T529),"")</f>
        <v/>
      </c>
      <c r="M529" s="43"/>
      <c r="P529" t="str" cm="1">
        <f t="array" ref="P529">IFERROR(_xlfn.AGGREGATE(15,6,ROW(DB!A$2:A$2576)/((($D$3&lt;&gt;"YES")+($D$3="YES")*(DB!E$2:E$2576="YES"))*(($D$4="")+($D$4&lt;&gt;"")*( DB!B$2:B$2576=$D$4))*(($D$5="")+($D$5&lt;&gt;"")*( DB!C$2:C$2576=$D$5))*(($D$6="")+($D$6&lt;&gt;"")*( DB!D$2:D$2576=$D$6))*(($D$7="")+($D$7&lt;&gt;"")*(ISNUMBER(SEARCH($D$7,DB!G$2:G$2576))))*(($F$7="전체")+($F$7&lt;&gt;"전체")*(DB!H$2:H$2576=$F$7))),ROW()-13)-1,"")</f>
        <v/>
      </c>
      <c r="Q529" t="str" cm="1">
        <f t="array" ref="Q529">IFERROR(INDEX(DB!G$2:G$2576,P529),"")</f>
        <v/>
      </c>
      <c r="R529" t="str" cm="1">
        <f t="array" ref="R529">IFERROR(INDEX(DB!O$2:O$2576,P529),"")</f>
        <v/>
      </c>
      <c r="S529" t="str">
        <f t="shared" si="27"/>
        <v/>
      </c>
      <c r="T529" t="str">
        <f t="shared" si="28"/>
        <v/>
      </c>
    </row>
    <row r="530" spans="1:20" ht="100" customHeight="1">
      <c r="A530" s="26"/>
      <c r="B530" s="39" t="str">
        <f t="shared" si="26"/>
        <v/>
      </c>
      <c r="C530" s="43"/>
      <c r="D530" s="51" t="str" cm="1">
        <f t="array" ref="D530">IFERROR(INDEX(DB!G$2:G$2576,T530),"")</f>
        <v/>
      </c>
      <c r="E530" s="43"/>
      <c r="F530" s="52" t="str" cm="1">
        <f t="array" ref="F530">IFERROR(INDEX(DB!O$2:O$2576,T530),"")</f>
        <v/>
      </c>
      <c r="G530" s="43"/>
      <c r="H530" s="40" t="str" cm="1">
        <f t="array" ref="H530">IFERROR(INDEX(DB!P$2:P$2576,T530),"")</f>
        <v/>
      </c>
      <c r="I530" s="43"/>
      <c r="J530" s="53" t="str" cm="1">
        <f t="array" ref="J530">IFERROR(INDEX(DB!Q$2:Q$2576,T530),"")</f>
        <v/>
      </c>
      <c r="K530" s="43"/>
      <c r="L530" s="41" t="str" cm="1">
        <f t="array" ref="L530">IFERROR(INDEX(DB!R$2:R$2576,T530),"")</f>
        <v/>
      </c>
      <c r="M530" s="43"/>
      <c r="P530" t="str" cm="1">
        <f t="array" ref="P530">IFERROR(_xlfn.AGGREGATE(15,6,ROW(DB!A$2:A$2576)/((($D$3&lt;&gt;"YES")+($D$3="YES")*(DB!E$2:E$2576="YES"))*(($D$4="")+($D$4&lt;&gt;"")*( DB!B$2:B$2576=$D$4))*(($D$5="")+($D$5&lt;&gt;"")*( DB!C$2:C$2576=$D$5))*(($D$6="")+($D$6&lt;&gt;"")*( DB!D$2:D$2576=$D$6))*(($D$7="")+($D$7&lt;&gt;"")*(ISNUMBER(SEARCH($D$7,DB!G$2:G$2576))))*(($F$7="전체")+($F$7&lt;&gt;"전체")*(DB!H$2:H$2576=$F$7))),ROW()-13)-1,"")</f>
        <v/>
      </c>
      <c r="Q530" t="str" cm="1">
        <f t="array" ref="Q530">IFERROR(INDEX(DB!G$2:G$2576,P530),"")</f>
        <v/>
      </c>
      <c r="R530" t="str" cm="1">
        <f t="array" ref="R530">IFERROR(INDEX(DB!O$2:O$2576,P530),"")</f>
        <v/>
      </c>
      <c r="S530" t="str">
        <f t="shared" si="27"/>
        <v/>
      </c>
      <c r="T530" t="str">
        <f t="shared" si="28"/>
        <v/>
      </c>
    </row>
    <row r="531" spans="1:20" ht="100" customHeight="1">
      <c r="A531" s="26"/>
      <c r="B531" s="42" t="str">
        <f t="shared" si="26"/>
        <v/>
      </c>
      <c r="C531" s="43"/>
      <c r="D531" s="51" t="str" cm="1">
        <f t="array" ref="D531">IFERROR(INDEX(DB!G$2:G$2576,T531),"")</f>
        <v/>
      </c>
      <c r="E531" s="43"/>
      <c r="F531" s="52" t="str" cm="1">
        <f t="array" ref="F531">IFERROR(INDEX(DB!O$2:O$2576,T531),"")</f>
        <v/>
      </c>
      <c r="G531" s="43"/>
      <c r="H531" s="40" t="str" cm="1">
        <f t="array" ref="H531">IFERROR(INDEX(DB!P$2:P$2576,T531),"")</f>
        <v/>
      </c>
      <c r="I531" s="43"/>
      <c r="J531" s="53" t="str" cm="1">
        <f t="array" ref="J531">IFERROR(INDEX(DB!Q$2:Q$2576,T531),"")</f>
        <v/>
      </c>
      <c r="K531" s="43"/>
      <c r="L531" s="41" t="str" cm="1">
        <f t="array" ref="L531">IFERROR(INDEX(DB!R$2:R$2576,T531),"")</f>
        <v/>
      </c>
      <c r="M531" s="43"/>
      <c r="P531" t="str" cm="1">
        <f t="array" ref="P531">IFERROR(_xlfn.AGGREGATE(15,6,ROW(DB!A$2:A$2576)/((($D$3&lt;&gt;"YES")+($D$3="YES")*(DB!E$2:E$2576="YES"))*(($D$4="")+($D$4&lt;&gt;"")*( DB!B$2:B$2576=$D$4))*(($D$5="")+($D$5&lt;&gt;"")*( DB!C$2:C$2576=$D$5))*(($D$6="")+($D$6&lt;&gt;"")*( DB!D$2:D$2576=$D$6))*(($D$7="")+($D$7&lt;&gt;"")*(ISNUMBER(SEARCH($D$7,DB!G$2:G$2576))))*(($F$7="전체")+($F$7&lt;&gt;"전체")*(DB!H$2:H$2576=$F$7))),ROW()-13)-1,"")</f>
        <v/>
      </c>
      <c r="Q531" t="str" cm="1">
        <f t="array" ref="Q531">IFERROR(INDEX(DB!G$2:G$2576,P531),"")</f>
        <v/>
      </c>
      <c r="R531" t="str" cm="1">
        <f t="array" ref="R531">IFERROR(INDEX(DB!O$2:O$2576,P531),"")</f>
        <v/>
      </c>
      <c r="S531" t="str">
        <f t="shared" si="27"/>
        <v/>
      </c>
      <c r="T531" t="str">
        <f t="shared" si="28"/>
        <v/>
      </c>
    </row>
    <row r="532" spans="1:20" ht="100" customHeight="1">
      <c r="A532" s="26"/>
      <c r="B532" s="39" t="str">
        <f t="shared" si="26"/>
        <v/>
      </c>
      <c r="C532" s="43"/>
      <c r="D532" s="51" t="str" cm="1">
        <f t="array" ref="D532">IFERROR(INDEX(DB!G$2:G$2576,T532),"")</f>
        <v/>
      </c>
      <c r="E532" s="43"/>
      <c r="F532" s="52" t="str" cm="1">
        <f t="array" ref="F532">IFERROR(INDEX(DB!O$2:O$2576,T532),"")</f>
        <v/>
      </c>
      <c r="G532" s="43"/>
      <c r="H532" s="40" t="str" cm="1">
        <f t="array" ref="H532">IFERROR(INDEX(DB!P$2:P$2576,T532),"")</f>
        <v/>
      </c>
      <c r="I532" s="43"/>
      <c r="J532" s="53" t="str" cm="1">
        <f t="array" ref="J532">IFERROR(INDEX(DB!Q$2:Q$2576,T532),"")</f>
        <v/>
      </c>
      <c r="K532" s="43"/>
      <c r="L532" s="41" t="str" cm="1">
        <f t="array" ref="L532">IFERROR(INDEX(DB!R$2:R$2576,T532),"")</f>
        <v/>
      </c>
      <c r="M532" s="43"/>
      <c r="P532" t="str" cm="1">
        <f t="array" ref="P532">IFERROR(_xlfn.AGGREGATE(15,6,ROW(DB!A$2:A$2576)/((($D$3&lt;&gt;"YES")+($D$3="YES")*(DB!E$2:E$2576="YES"))*(($D$4="")+($D$4&lt;&gt;"")*( DB!B$2:B$2576=$D$4))*(($D$5="")+($D$5&lt;&gt;"")*( DB!C$2:C$2576=$D$5))*(($D$6="")+($D$6&lt;&gt;"")*( DB!D$2:D$2576=$D$6))*(($D$7="")+($D$7&lt;&gt;"")*(ISNUMBER(SEARCH($D$7,DB!G$2:G$2576))))*(($F$7="전체")+($F$7&lt;&gt;"전체")*(DB!H$2:H$2576=$F$7))),ROW()-13)-1,"")</f>
        <v/>
      </c>
      <c r="Q532" t="str" cm="1">
        <f t="array" ref="Q532">IFERROR(INDEX(DB!G$2:G$2576,P532),"")</f>
        <v/>
      </c>
      <c r="R532" t="str" cm="1">
        <f t="array" ref="R532">IFERROR(INDEX(DB!O$2:O$2576,P532),"")</f>
        <v/>
      </c>
      <c r="S532" t="str">
        <f t="shared" si="27"/>
        <v/>
      </c>
      <c r="T532" t="str">
        <f t="shared" si="28"/>
        <v/>
      </c>
    </row>
    <row r="533" spans="1:20" ht="100" customHeight="1">
      <c r="A533" s="26"/>
      <c r="B533" s="42" t="str">
        <f t="shared" si="26"/>
        <v/>
      </c>
      <c r="C533" s="43"/>
      <c r="D533" s="51" t="str" cm="1">
        <f t="array" ref="D533">IFERROR(INDEX(DB!G$2:G$2576,T533),"")</f>
        <v/>
      </c>
      <c r="E533" s="43"/>
      <c r="F533" s="52" t="str" cm="1">
        <f t="array" ref="F533">IFERROR(INDEX(DB!O$2:O$2576,T533),"")</f>
        <v/>
      </c>
      <c r="G533" s="43"/>
      <c r="H533" s="40" t="str" cm="1">
        <f t="array" ref="H533">IFERROR(INDEX(DB!P$2:P$2576,T533),"")</f>
        <v/>
      </c>
      <c r="I533" s="43"/>
      <c r="J533" s="53" t="str" cm="1">
        <f t="array" ref="J533">IFERROR(INDEX(DB!Q$2:Q$2576,T533),"")</f>
        <v/>
      </c>
      <c r="K533" s="43"/>
      <c r="L533" s="41" t="str" cm="1">
        <f t="array" ref="L533">IFERROR(INDEX(DB!R$2:R$2576,T533),"")</f>
        <v/>
      </c>
      <c r="M533" s="43"/>
      <c r="P533" t="str" cm="1">
        <f t="array" ref="P533">IFERROR(_xlfn.AGGREGATE(15,6,ROW(DB!A$2:A$2576)/((($D$3&lt;&gt;"YES")+($D$3="YES")*(DB!E$2:E$2576="YES"))*(($D$4="")+($D$4&lt;&gt;"")*( DB!B$2:B$2576=$D$4))*(($D$5="")+($D$5&lt;&gt;"")*( DB!C$2:C$2576=$D$5))*(($D$6="")+($D$6&lt;&gt;"")*( DB!D$2:D$2576=$D$6))*(($D$7="")+($D$7&lt;&gt;"")*(ISNUMBER(SEARCH($D$7,DB!G$2:G$2576))))*(($F$7="전체")+($F$7&lt;&gt;"전체")*(DB!H$2:H$2576=$F$7))),ROW()-13)-1,"")</f>
        <v/>
      </c>
      <c r="Q533" t="str" cm="1">
        <f t="array" ref="Q533">IFERROR(INDEX(DB!G$2:G$2576,P533),"")</f>
        <v/>
      </c>
      <c r="R533" t="str" cm="1">
        <f t="array" ref="R533">IFERROR(INDEX(DB!O$2:O$2576,P533),"")</f>
        <v/>
      </c>
      <c r="S533" t="str">
        <f t="shared" si="27"/>
        <v/>
      </c>
      <c r="T533" t="str">
        <f t="shared" si="28"/>
        <v/>
      </c>
    </row>
    <row r="534" spans="1:20" ht="100" customHeight="1">
      <c r="A534" s="26"/>
      <c r="B534" s="39" t="str">
        <f t="shared" si="26"/>
        <v/>
      </c>
      <c r="C534" s="43"/>
      <c r="D534" s="51" t="str" cm="1">
        <f t="array" ref="D534">IFERROR(INDEX(DB!G$2:G$2576,T534),"")</f>
        <v/>
      </c>
      <c r="E534" s="43"/>
      <c r="F534" s="52" t="str" cm="1">
        <f t="array" ref="F534">IFERROR(INDEX(DB!O$2:O$2576,T534),"")</f>
        <v/>
      </c>
      <c r="G534" s="43"/>
      <c r="H534" s="40" t="str" cm="1">
        <f t="array" ref="H534">IFERROR(INDEX(DB!P$2:P$2576,T534),"")</f>
        <v/>
      </c>
      <c r="I534" s="43"/>
      <c r="J534" s="53" t="str" cm="1">
        <f t="array" ref="J534">IFERROR(INDEX(DB!Q$2:Q$2576,T534),"")</f>
        <v/>
      </c>
      <c r="K534" s="43"/>
      <c r="L534" s="41" t="str" cm="1">
        <f t="array" ref="L534">IFERROR(INDEX(DB!R$2:R$2576,T534),"")</f>
        <v/>
      </c>
      <c r="M534" s="43"/>
      <c r="P534" t="str" cm="1">
        <f t="array" ref="P534">IFERROR(_xlfn.AGGREGATE(15,6,ROW(DB!A$2:A$2576)/((($D$3&lt;&gt;"YES")+($D$3="YES")*(DB!E$2:E$2576="YES"))*(($D$4="")+($D$4&lt;&gt;"")*( DB!B$2:B$2576=$D$4))*(($D$5="")+($D$5&lt;&gt;"")*( DB!C$2:C$2576=$D$5))*(($D$6="")+($D$6&lt;&gt;"")*( DB!D$2:D$2576=$D$6))*(($D$7="")+($D$7&lt;&gt;"")*(ISNUMBER(SEARCH($D$7,DB!G$2:G$2576))))*(($F$7="전체")+($F$7&lt;&gt;"전체")*(DB!H$2:H$2576=$F$7))),ROW()-13)-1,"")</f>
        <v/>
      </c>
      <c r="Q534" t="str" cm="1">
        <f t="array" ref="Q534">IFERROR(INDEX(DB!G$2:G$2576,P534),"")</f>
        <v/>
      </c>
      <c r="R534" t="str" cm="1">
        <f t="array" ref="R534">IFERROR(INDEX(DB!O$2:O$2576,P534),"")</f>
        <v/>
      </c>
      <c r="S534" t="str">
        <f t="shared" si="27"/>
        <v/>
      </c>
      <c r="T534" t="str">
        <f t="shared" si="28"/>
        <v/>
      </c>
    </row>
    <row r="535" spans="1:20" ht="100" customHeight="1">
      <c r="A535" s="26"/>
      <c r="B535" s="42" t="str">
        <f t="shared" si="26"/>
        <v/>
      </c>
      <c r="C535" s="43"/>
      <c r="D535" s="51" t="str" cm="1">
        <f t="array" ref="D535">IFERROR(INDEX(DB!G$2:G$2576,T535),"")</f>
        <v/>
      </c>
      <c r="E535" s="43"/>
      <c r="F535" s="52" t="str" cm="1">
        <f t="array" ref="F535">IFERROR(INDEX(DB!O$2:O$2576,T535),"")</f>
        <v/>
      </c>
      <c r="G535" s="43"/>
      <c r="H535" s="40" t="str" cm="1">
        <f t="array" ref="H535">IFERROR(INDEX(DB!P$2:P$2576,T535),"")</f>
        <v/>
      </c>
      <c r="I535" s="43"/>
      <c r="J535" s="53" t="str" cm="1">
        <f t="array" ref="J535">IFERROR(INDEX(DB!Q$2:Q$2576,T535),"")</f>
        <v/>
      </c>
      <c r="K535" s="43"/>
      <c r="L535" s="41" t="str" cm="1">
        <f t="array" ref="L535">IFERROR(INDEX(DB!R$2:R$2576,T535),"")</f>
        <v/>
      </c>
      <c r="M535" s="43"/>
      <c r="P535" t="str" cm="1">
        <f t="array" ref="P535">IFERROR(_xlfn.AGGREGATE(15,6,ROW(DB!A$2:A$2576)/((($D$3&lt;&gt;"YES")+($D$3="YES")*(DB!E$2:E$2576="YES"))*(($D$4="")+($D$4&lt;&gt;"")*( DB!B$2:B$2576=$D$4))*(($D$5="")+($D$5&lt;&gt;"")*( DB!C$2:C$2576=$D$5))*(($D$6="")+($D$6&lt;&gt;"")*( DB!D$2:D$2576=$D$6))*(($D$7="")+($D$7&lt;&gt;"")*(ISNUMBER(SEARCH($D$7,DB!G$2:G$2576))))*(($F$7="전체")+($F$7&lt;&gt;"전체")*(DB!H$2:H$2576=$F$7))),ROW()-13)-1,"")</f>
        <v/>
      </c>
      <c r="Q535" t="str" cm="1">
        <f t="array" ref="Q535">IFERROR(INDEX(DB!G$2:G$2576,P535),"")</f>
        <v/>
      </c>
      <c r="R535" t="str" cm="1">
        <f t="array" ref="R535">IFERROR(INDEX(DB!O$2:O$2576,P535),"")</f>
        <v/>
      </c>
      <c r="S535" t="str">
        <f t="shared" si="27"/>
        <v/>
      </c>
      <c r="T535" t="str">
        <f t="shared" si="28"/>
        <v/>
      </c>
    </row>
    <row r="536" spans="1:20" ht="100" customHeight="1">
      <c r="A536" s="26"/>
      <c r="B536" s="39" t="str">
        <f t="shared" si="26"/>
        <v/>
      </c>
      <c r="C536" s="43"/>
      <c r="D536" s="51" t="str" cm="1">
        <f t="array" ref="D536">IFERROR(INDEX(DB!G$2:G$2576,T536),"")</f>
        <v/>
      </c>
      <c r="E536" s="43"/>
      <c r="F536" s="52" t="str" cm="1">
        <f t="array" ref="F536">IFERROR(INDEX(DB!O$2:O$2576,T536),"")</f>
        <v/>
      </c>
      <c r="G536" s="43"/>
      <c r="H536" s="40" t="str" cm="1">
        <f t="array" ref="H536">IFERROR(INDEX(DB!P$2:P$2576,T536),"")</f>
        <v/>
      </c>
      <c r="I536" s="43"/>
      <c r="J536" s="53" t="str" cm="1">
        <f t="array" ref="J536">IFERROR(INDEX(DB!Q$2:Q$2576,T536),"")</f>
        <v/>
      </c>
      <c r="K536" s="43"/>
      <c r="L536" s="41" t="str" cm="1">
        <f t="array" ref="L536">IFERROR(INDEX(DB!R$2:R$2576,T536),"")</f>
        <v/>
      </c>
      <c r="M536" s="43"/>
      <c r="P536" t="str" cm="1">
        <f t="array" ref="P536">IFERROR(_xlfn.AGGREGATE(15,6,ROW(DB!A$2:A$2576)/((($D$3&lt;&gt;"YES")+($D$3="YES")*(DB!E$2:E$2576="YES"))*(($D$4="")+($D$4&lt;&gt;"")*( DB!B$2:B$2576=$D$4))*(($D$5="")+($D$5&lt;&gt;"")*( DB!C$2:C$2576=$D$5))*(($D$6="")+($D$6&lt;&gt;"")*( DB!D$2:D$2576=$D$6))*(($D$7="")+($D$7&lt;&gt;"")*(ISNUMBER(SEARCH($D$7,DB!G$2:G$2576))))*(($F$7="전체")+($F$7&lt;&gt;"전체")*(DB!H$2:H$2576=$F$7))),ROW()-13)-1,"")</f>
        <v/>
      </c>
      <c r="Q536" t="str" cm="1">
        <f t="array" ref="Q536">IFERROR(INDEX(DB!G$2:G$2576,P536),"")</f>
        <v/>
      </c>
      <c r="R536" t="str" cm="1">
        <f t="array" ref="R536">IFERROR(INDEX(DB!O$2:O$2576,P536),"")</f>
        <v/>
      </c>
      <c r="S536" t="str">
        <f t="shared" si="27"/>
        <v/>
      </c>
      <c r="T536" t="str">
        <f t="shared" si="28"/>
        <v/>
      </c>
    </row>
    <row r="537" spans="1:20" ht="100" customHeight="1">
      <c r="A537" s="26"/>
      <c r="B537" s="42" t="str">
        <f t="shared" si="26"/>
        <v/>
      </c>
      <c r="C537" s="43"/>
      <c r="D537" s="51" t="str" cm="1">
        <f t="array" ref="D537">IFERROR(INDEX(DB!G$2:G$2576,T537),"")</f>
        <v/>
      </c>
      <c r="E537" s="43"/>
      <c r="F537" s="52" t="str" cm="1">
        <f t="array" ref="F537">IFERROR(INDEX(DB!O$2:O$2576,T537),"")</f>
        <v/>
      </c>
      <c r="G537" s="43"/>
      <c r="H537" s="40" t="str" cm="1">
        <f t="array" ref="H537">IFERROR(INDEX(DB!P$2:P$2576,T537),"")</f>
        <v/>
      </c>
      <c r="I537" s="43"/>
      <c r="J537" s="53" t="str" cm="1">
        <f t="array" ref="J537">IFERROR(INDEX(DB!Q$2:Q$2576,T537),"")</f>
        <v/>
      </c>
      <c r="K537" s="43"/>
      <c r="L537" s="41" t="str" cm="1">
        <f t="array" ref="L537">IFERROR(INDEX(DB!R$2:R$2576,T537),"")</f>
        <v/>
      </c>
      <c r="M537" s="43"/>
      <c r="P537" t="str" cm="1">
        <f t="array" ref="P537">IFERROR(_xlfn.AGGREGATE(15,6,ROW(DB!A$2:A$2576)/((($D$3&lt;&gt;"YES")+($D$3="YES")*(DB!E$2:E$2576="YES"))*(($D$4="")+($D$4&lt;&gt;"")*( DB!B$2:B$2576=$D$4))*(($D$5="")+($D$5&lt;&gt;"")*( DB!C$2:C$2576=$D$5))*(($D$6="")+($D$6&lt;&gt;"")*( DB!D$2:D$2576=$D$6))*(($D$7="")+($D$7&lt;&gt;"")*(ISNUMBER(SEARCH($D$7,DB!G$2:G$2576))))*(($F$7="전체")+($F$7&lt;&gt;"전체")*(DB!H$2:H$2576=$F$7))),ROW()-13)-1,"")</f>
        <v/>
      </c>
      <c r="Q537" t="str" cm="1">
        <f t="array" ref="Q537">IFERROR(INDEX(DB!G$2:G$2576,P537),"")</f>
        <v/>
      </c>
      <c r="R537" t="str" cm="1">
        <f t="array" ref="R537">IFERROR(INDEX(DB!O$2:O$2576,P537),"")</f>
        <v/>
      </c>
      <c r="S537" t="str">
        <f t="shared" si="27"/>
        <v/>
      </c>
      <c r="T537" t="str">
        <f t="shared" si="28"/>
        <v/>
      </c>
    </row>
    <row r="538" spans="1:20" ht="100" customHeight="1">
      <c r="A538" s="26"/>
      <c r="B538" s="39" t="str">
        <f t="shared" si="26"/>
        <v/>
      </c>
      <c r="C538" s="43"/>
      <c r="D538" s="51" t="str" cm="1">
        <f t="array" ref="D538">IFERROR(INDEX(DB!G$2:G$2576,T538),"")</f>
        <v/>
      </c>
      <c r="E538" s="43"/>
      <c r="F538" s="52" t="str" cm="1">
        <f t="array" ref="F538">IFERROR(INDEX(DB!O$2:O$2576,T538),"")</f>
        <v/>
      </c>
      <c r="G538" s="43"/>
      <c r="H538" s="40" t="str" cm="1">
        <f t="array" ref="H538">IFERROR(INDEX(DB!P$2:P$2576,T538),"")</f>
        <v/>
      </c>
      <c r="I538" s="43"/>
      <c r="J538" s="53" t="str" cm="1">
        <f t="array" ref="J538">IFERROR(INDEX(DB!Q$2:Q$2576,T538),"")</f>
        <v/>
      </c>
      <c r="K538" s="43"/>
      <c r="L538" s="41" t="str" cm="1">
        <f t="array" ref="L538">IFERROR(INDEX(DB!R$2:R$2576,T538),"")</f>
        <v/>
      </c>
      <c r="M538" s="43"/>
      <c r="P538" t="str" cm="1">
        <f t="array" ref="P538">IFERROR(_xlfn.AGGREGATE(15,6,ROW(DB!A$2:A$2576)/((($D$3&lt;&gt;"YES")+($D$3="YES")*(DB!E$2:E$2576="YES"))*(($D$4="")+($D$4&lt;&gt;"")*( DB!B$2:B$2576=$D$4))*(($D$5="")+($D$5&lt;&gt;"")*( DB!C$2:C$2576=$D$5))*(($D$6="")+($D$6&lt;&gt;"")*( DB!D$2:D$2576=$D$6))*(($D$7="")+($D$7&lt;&gt;"")*(ISNUMBER(SEARCH($D$7,DB!G$2:G$2576))))*(($F$7="전체")+($F$7&lt;&gt;"전체")*(DB!H$2:H$2576=$F$7))),ROW()-13)-1,"")</f>
        <v/>
      </c>
      <c r="Q538" t="str" cm="1">
        <f t="array" ref="Q538">IFERROR(INDEX(DB!G$2:G$2576,P538),"")</f>
        <v/>
      </c>
      <c r="R538" t="str" cm="1">
        <f t="array" ref="R538">IFERROR(INDEX(DB!O$2:O$2576,P538),"")</f>
        <v/>
      </c>
      <c r="S538" t="str">
        <f t="shared" si="27"/>
        <v/>
      </c>
      <c r="T538" t="str">
        <f t="shared" si="28"/>
        <v/>
      </c>
    </row>
    <row r="539" spans="1:20" ht="100" customHeight="1">
      <c r="A539" s="26"/>
      <c r="B539" s="42" t="str">
        <f t="shared" si="26"/>
        <v/>
      </c>
      <c r="C539" s="43"/>
      <c r="D539" s="51" t="str" cm="1">
        <f t="array" ref="D539">IFERROR(INDEX(DB!G$2:G$2576,T539),"")</f>
        <v/>
      </c>
      <c r="E539" s="43"/>
      <c r="F539" s="52" t="str" cm="1">
        <f t="array" ref="F539">IFERROR(INDEX(DB!O$2:O$2576,T539),"")</f>
        <v/>
      </c>
      <c r="G539" s="43"/>
      <c r="H539" s="40" t="str" cm="1">
        <f t="array" ref="H539">IFERROR(INDEX(DB!P$2:P$2576,T539),"")</f>
        <v/>
      </c>
      <c r="I539" s="43"/>
      <c r="J539" s="53" t="str" cm="1">
        <f t="array" ref="J539">IFERROR(INDEX(DB!Q$2:Q$2576,T539),"")</f>
        <v/>
      </c>
      <c r="K539" s="43"/>
      <c r="L539" s="41" t="str" cm="1">
        <f t="array" ref="L539">IFERROR(INDEX(DB!R$2:R$2576,T539),"")</f>
        <v/>
      </c>
      <c r="M539" s="43"/>
      <c r="P539" t="str" cm="1">
        <f t="array" ref="P539">IFERROR(_xlfn.AGGREGATE(15,6,ROW(DB!A$2:A$2576)/((($D$3&lt;&gt;"YES")+($D$3="YES")*(DB!E$2:E$2576="YES"))*(($D$4="")+($D$4&lt;&gt;"")*( DB!B$2:B$2576=$D$4))*(($D$5="")+($D$5&lt;&gt;"")*( DB!C$2:C$2576=$D$5))*(($D$6="")+($D$6&lt;&gt;"")*( DB!D$2:D$2576=$D$6))*(($D$7="")+($D$7&lt;&gt;"")*(ISNUMBER(SEARCH($D$7,DB!G$2:G$2576))))*(($F$7="전체")+($F$7&lt;&gt;"전체")*(DB!H$2:H$2576=$F$7))),ROW()-13)-1,"")</f>
        <v/>
      </c>
      <c r="Q539" t="str" cm="1">
        <f t="array" ref="Q539">IFERROR(INDEX(DB!G$2:G$2576,P539),"")</f>
        <v/>
      </c>
      <c r="R539" t="str" cm="1">
        <f t="array" ref="R539">IFERROR(INDEX(DB!O$2:O$2576,P539),"")</f>
        <v/>
      </c>
      <c r="S539" t="str">
        <f t="shared" si="27"/>
        <v/>
      </c>
      <c r="T539" t="str">
        <f t="shared" si="28"/>
        <v/>
      </c>
    </row>
    <row r="540" spans="1:20" ht="100" customHeight="1">
      <c r="A540" s="26"/>
      <c r="B540" s="39" t="str">
        <f t="shared" si="26"/>
        <v/>
      </c>
      <c r="C540" s="43"/>
      <c r="D540" s="51" t="str" cm="1">
        <f t="array" ref="D540">IFERROR(INDEX(DB!G$2:G$2576,T540),"")</f>
        <v/>
      </c>
      <c r="E540" s="43"/>
      <c r="F540" s="52" t="str" cm="1">
        <f t="array" ref="F540">IFERROR(INDEX(DB!O$2:O$2576,T540),"")</f>
        <v/>
      </c>
      <c r="G540" s="43"/>
      <c r="H540" s="40" t="str" cm="1">
        <f t="array" ref="H540">IFERROR(INDEX(DB!P$2:P$2576,T540),"")</f>
        <v/>
      </c>
      <c r="I540" s="43"/>
      <c r="J540" s="53" t="str" cm="1">
        <f t="array" ref="J540">IFERROR(INDEX(DB!Q$2:Q$2576,T540),"")</f>
        <v/>
      </c>
      <c r="K540" s="43"/>
      <c r="L540" s="41" t="str" cm="1">
        <f t="array" ref="L540">IFERROR(INDEX(DB!R$2:R$2576,T540),"")</f>
        <v/>
      </c>
      <c r="M540" s="43"/>
      <c r="P540" t="str" cm="1">
        <f t="array" ref="P540">IFERROR(_xlfn.AGGREGATE(15,6,ROW(DB!A$2:A$2576)/((($D$3&lt;&gt;"YES")+($D$3="YES")*(DB!E$2:E$2576="YES"))*(($D$4="")+($D$4&lt;&gt;"")*( DB!B$2:B$2576=$D$4))*(($D$5="")+($D$5&lt;&gt;"")*( DB!C$2:C$2576=$D$5))*(($D$6="")+($D$6&lt;&gt;"")*( DB!D$2:D$2576=$D$6))*(($D$7="")+($D$7&lt;&gt;"")*(ISNUMBER(SEARCH($D$7,DB!G$2:G$2576))))*(($F$7="전체")+($F$7&lt;&gt;"전체")*(DB!H$2:H$2576=$F$7))),ROW()-13)-1,"")</f>
        <v/>
      </c>
      <c r="Q540" t="str" cm="1">
        <f t="array" ref="Q540">IFERROR(INDEX(DB!G$2:G$2576,P540),"")</f>
        <v/>
      </c>
      <c r="R540" t="str" cm="1">
        <f t="array" ref="R540">IFERROR(INDEX(DB!O$2:O$2576,P540),"")</f>
        <v/>
      </c>
      <c r="S540" t="str">
        <f t="shared" si="27"/>
        <v/>
      </c>
      <c r="T540" t="str">
        <f t="shared" si="28"/>
        <v/>
      </c>
    </row>
    <row r="541" spans="1:20" ht="100" customHeight="1">
      <c r="A541" s="26"/>
      <c r="B541" s="42" t="str">
        <f t="shared" si="26"/>
        <v/>
      </c>
      <c r="C541" s="43"/>
      <c r="D541" s="51" t="str" cm="1">
        <f t="array" ref="D541">IFERROR(INDEX(DB!G$2:G$2576,T541),"")</f>
        <v/>
      </c>
      <c r="E541" s="43"/>
      <c r="F541" s="52" t="str" cm="1">
        <f t="array" ref="F541">IFERROR(INDEX(DB!O$2:O$2576,T541),"")</f>
        <v/>
      </c>
      <c r="G541" s="43"/>
      <c r="H541" s="40" t="str" cm="1">
        <f t="array" ref="H541">IFERROR(INDEX(DB!P$2:P$2576,T541),"")</f>
        <v/>
      </c>
      <c r="I541" s="43"/>
      <c r="J541" s="53" t="str" cm="1">
        <f t="array" ref="J541">IFERROR(INDEX(DB!Q$2:Q$2576,T541),"")</f>
        <v/>
      </c>
      <c r="K541" s="43"/>
      <c r="L541" s="41" t="str" cm="1">
        <f t="array" ref="L541">IFERROR(INDEX(DB!R$2:R$2576,T541),"")</f>
        <v/>
      </c>
      <c r="M541" s="43"/>
      <c r="P541" t="str" cm="1">
        <f t="array" ref="P541">IFERROR(_xlfn.AGGREGATE(15,6,ROW(DB!A$2:A$2576)/((($D$3&lt;&gt;"YES")+($D$3="YES")*(DB!E$2:E$2576="YES"))*(($D$4="")+($D$4&lt;&gt;"")*( DB!B$2:B$2576=$D$4))*(($D$5="")+($D$5&lt;&gt;"")*( DB!C$2:C$2576=$D$5))*(($D$6="")+($D$6&lt;&gt;"")*( DB!D$2:D$2576=$D$6))*(($D$7="")+($D$7&lt;&gt;"")*(ISNUMBER(SEARCH($D$7,DB!G$2:G$2576))))*(($F$7="전체")+($F$7&lt;&gt;"전체")*(DB!H$2:H$2576=$F$7))),ROW()-13)-1,"")</f>
        <v/>
      </c>
      <c r="Q541" t="str" cm="1">
        <f t="array" ref="Q541">IFERROR(INDEX(DB!G$2:G$2576,P541),"")</f>
        <v/>
      </c>
      <c r="R541" t="str" cm="1">
        <f t="array" ref="R541">IFERROR(INDEX(DB!O$2:O$2576,P541),"")</f>
        <v/>
      </c>
      <c r="S541" t="str">
        <f t="shared" si="27"/>
        <v/>
      </c>
      <c r="T541" t="str">
        <f t="shared" si="28"/>
        <v/>
      </c>
    </row>
    <row r="542" spans="1:20" ht="100" customHeight="1">
      <c r="A542" s="26"/>
      <c r="B542" s="39" t="str">
        <f t="shared" si="26"/>
        <v/>
      </c>
      <c r="C542" s="43"/>
      <c r="D542" s="51" t="str" cm="1">
        <f t="array" ref="D542">IFERROR(INDEX(DB!G$2:G$2576,T542),"")</f>
        <v/>
      </c>
      <c r="E542" s="43"/>
      <c r="F542" s="52" t="str" cm="1">
        <f t="array" ref="F542">IFERROR(INDEX(DB!O$2:O$2576,T542),"")</f>
        <v/>
      </c>
      <c r="G542" s="43"/>
      <c r="H542" s="40" t="str" cm="1">
        <f t="array" ref="H542">IFERROR(INDEX(DB!P$2:P$2576,T542),"")</f>
        <v/>
      </c>
      <c r="I542" s="43"/>
      <c r="J542" s="53" t="str" cm="1">
        <f t="array" ref="J542">IFERROR(INDEX(DB!Q$2:Q$2576,T542),"")</f>
        <v/>
      </c>
      <c r="K542" s="43"/>
      <c r="L542" s="41" t="str" cm="1">
        <f t="array" ref="L542">IFERROR(INDEX(DB!R$2:R$2576,T542),"")</f>
        <v/>
      </c>
      <c r="M542" s="43"/>
      <c r="P542" t="str" cm="1">
        <f t="array" ref="P542">IFERROR(_xlfn.AGGREGATE(15,6,ROW(DB!A$2:A$2576)/((($D$3&lt;&gt;"YES")+($D$3="YES")*(DB!E$2:E$2576="YES"))*(($D$4="")+($D$4&lt;&gt;"")*( DB!B$2:B$2576=$D$4))*(($D$5="")+($D$5&lt;&gt;"")*( DB!C$2:C$2576=$D$5))*(($D$6="")+($D$6&lt;&gt;"")*( DB!D$2:D$2576=$D$6))*(($D$7="")+($D$7&lt;&gt;"")*(ISNUMBER(SEARCH($D$7,DB!G$2:G$2576))))*(($F$7="전체")+($F$7&lt;&gt;"전체")*(DB!H$2:H$2576=$F$7))),ROW()-13)-1,"")</f>
        <v/>
      </c>
      <c r="Q542" t="str" cm="1">
        <f t="array" ref="Q542">IFERROR(INDEX(DB!G$2:G$2576,P542),"")</f>
        <v/>
      </c>
      <c r="R542" t="str" cm="1">
        <f t="array" ref="R542">IFERROR(INDEX(DB!O$2:O$2576,P542),"")</f>
        <v/>
      </c>
      <c r="S542" t="str">
        <f t="shared" si="27"/>
        <v/>
      </c>
      <c r="T542" t="str">
        <f t="shared" si="28"/>
        <v/>
      </c>
    </row>
    <row r="543" spans="1:20" ht="100" customHeight="1">
      <c r="A543" s="26"/>
      <c r="B543" s="42" t="str">
        <f t="shared" si="26"/>
        <v/>
      </c>
      <c r="C543" s="43"/>
      <c r="D543" s="51" t="str" cm="1">
        <f t="array" ref="D543">IFERROR(INDEX(DB!G$2:G$2576,T543),"")</f>
        <v/>
      </c>
      <c r="E543" s="43"/>
      <c r="F543" s="52" t="str" cm="1">
        <f t="array" ref="F543">IFERROR(INDEX(DB!O$2:O$2576,T543),"")</f>
        <v/>
      </c>
      <c r="G543" s="43"/>
      <c r="H543" s="40" t="str" cm="1">
        <f t="array" ref="H543">IFERROR(INDEX(DB!P$2:P$2576,T543),"")</f>
        <v/>
      </c>
      <c r="I543" s="43"/>
      <c r="J543" s="53" t="str" cm="1">
        <f t="array" ref="J543">IFERROR(INDEX(DB!Q$2:Q$2576,T543),"")</f>
        <v/>
      </c>
      <c r="K543" s="43"/>
      <c r="L543" s="41" t="str" cm="1">
        <f t="array" ref="L543">IFERROR(INDEX(DB!R$2:R$2576,T543),"")</f>
        <v/>
      </c>
      <c r="M543" s="43"/>
      <c r="P543" t="str" cm="1">
        <f t="array" ref="P543">IFERROR(_xlfn.AGGREGATE(15,6,ROW(DB!A$2:A$2576)/((($D$3&lt;&gt;"YES")+($D$3="YES")*(DB!E$2:E$2576="YES"))*(($D$4="")+($D$4&lt;&gt;"")*( DB!B$2:B$2576=$D$4))*(($D$5="")+($D$5&lt;&gt;"")*( DB!C$2:C$2576=$D$5))*(($D$6="")+($D$6&lt;&gt;"")*( DB!D$2:D$2576=$D$6))*(($D$7="")+($D$7&lt;&gt;"")*(ISNUMBER(SEARCH($D$7,DB!G$2:G$2576))))*(($F$7="전체")+($F$7&lt;&gt;"전체")*(DB!H$2:H$2576=$F$7))),ROW()-13)-1,"")</f>
        <v/>
      </c>
      <c r="Q543" t="str" cm="1">
        <f t="array" ref="Q543">IFERROR(INDEX(DB!G$2:G$2576,P543),"")</f>
        <v/>
      </c>
      <c r="R543" t="str" cm="1">
        <f t="array" ref="R543">IFERROR(INDEX(DB!O$2:O$2576,P543),"")</f>
        <v/>
      </c>
      <c r="S543" t="str">
        <f t="shared" si="27"/>
        <v/>
      </c>
      <c r="T543" t="str">
        <f t="shared" si="28"/>
        <v/>
      </c>
    </row>
    <row r="544" spans="1:20" ht="100" customHeight="1">
      <c r="A544" s="26"/>
      <c r="B544" s="39" t="str">
        <f t="shared" si="26"/>
        <v/>
      </c>
      <c r="C544" s="43"/>
      <c r="D544" s="51" t="str" cm="1">
        <f t="array" ref="D544">IFERROR(INDEX(DB!G$2:G$2576,T544),"")</f>
        <v/>
      </c>
      <c r="E544" s="43"/>
      <c r="F544" s="52" t="str" cm="1">
        <f t="array" ref="F544">IFERROR(INDEX(DB!O$2:O$2576,T544),"")</f>
        <v/>
      </c>
      <c r="G544" s="43"/>
      <c r="H544" s="40" t="str" cm="1">
        <f t="array" ref="H544">IFERROR(INDEX(DB!P$2:P$2576,T544),"")</f>
        <v/>
      </c>
      <c r="I544" s="43"/>
      <c r="J544" s="53" t="str" cm="1">
        <f t="array" ref="J544">IFERROR(INDEX(DB!Q$2:Q$2576,T544),"")</f>
        <v/>
      </c>
      <c r="K544" s="43"/>
      <c r="L544" s="41" t="str" cm="1">
        <f t="array" ref="L544">IFERROR(INDEX(DB!R$2:R$2576,T544),"")</f>
        <v/>
      </c>
      <c r="M544" s="43"/>
      <c r="P544" t="str" cm="1">
        <f t="array" ref="P544">IFERROR(_xlfn.AGGREGATE(15,6,ROW(DB!A$2:A$2576)/((($D$3&lt;&gt;"YES")+($D$3="YES")*(DB!E$2:E$2576="YES"))*(($D$4="")+($D$4&lt;&gt;"")*( DB!B$2:B$2576=$D$4))*(($D$5="")+($D$5&lt;&gt;"")*( DB!C$2:C$2576=$D$5))*(($D$6="")+($D$6&lt;&gt;"")*( DB!D$2:D$2576=$D$6))*(($D$7="")+($D$7&lt;&gt;"")*(ISNUMBER(SEARCH($D$7,DB!G$2:G$2576))))*(($F$7="전체")+($F$7&lt;&gt;"전체")*(DB!H$2:H$2576=$F$7))),ROW()-13)-1,"")</f>
        <v/>
      </c>
      <c r="Q544" t="str" cm="1">
        <f t="array" ref="Q544">IFERROR(INDEX(DB!G$2:G$2576,P544),"")</f>
        <v/>
      </c>
      <c r="R544" t="str" cm="1">
        <f t="array" ref="R544">IFERROR(INDEX(DB!O$2:O$2576,P544),"")</f>
        <v/>
      </c>
      <c r="S544" t="str">
        <f t="shared" si="27"/>
        <v/>
      </c>
      <c r="T544" t="str">
        <f t="shared" si="28"/>
        <v/>
      </c>
    </row>
    <row r="545" spans="1:20" ht="100" customHeight="1">
      <c r="A545" s="26"/>
      <c r="B545" s="42" t="str">
        <f t="shared" si="26"/>
        <v/>
      </c>
      <c r="C545" s="43"/>
      <c r="D545" s="51" t="str" cm="1">
        <f t="array" ref="D545">IFERROR(INDEX(DB!G$2:G$2576,T545),"")</f>
        <v/>
      </c>
      <c r="E545" s="43"/>
      <c r="F545" s="52" t="str" cm="1">
        <f t="array" ref="F545">IFERROR(INDEX(DB!O$2:O$2576,T545),"")</f>
        <v/>
      </c>
      <c r="G545" s="43"/>
      <c r="H545" s="40" t="str" cm="1">
        <f t="array" ref="H545">IFERROR(INDEX(DB!P$2:P$2576,T545),"")</f>
        <v/>
      </c>
      <c r="I545" s="43"/>
      <c r="J545" s="53" t="str" cm="1">
        <f t="array" ref="J545">IFERROR(INDEX(DB!Q$2:Q$2576,T545),"")</f>
        <v/>
      </c>
      <c r="K545" s="43"/>
      <c r="L545" s="41" t="str" cm="1">
        <f t="array" ref="L545">IFERROR(INDEX(DB!R$2:R$2576,T545),"")</f>
        <v/>
      </c>
      <c r="M545" s="43"/>
      <c r="P545" t="str" cm="1">
        <f t="array" ref="P545">IFERROR(_xlfn.AGGREGATE(15,6,ROW(DB!A$2:A$2576)/((($D$3&lt;&gt;"YES")+($D$3="YES")*(DB!E$2:E$2576="YES"))*(($D$4="")+($D$4&lt;&gt;"")*( DB!B$2:B$2576=$D$4))*(($D$5="")+($D$5&lt;&gt;"")*( DB!C$2:C$2576=$D$5))*(($D$6="")+($D$6&lt;&gt;"")*( DB!D$2:D$2576=$D$6))*(($D$7="")+($D$7&lt;&gt;"")*(ISNUMBER(SEARCH($D$7,DB!G$2:G$2576))))*(($F$7="전체")+($F$7&lt;&gt;"전체")*(DB!H$2:H$2576=$F$7))),ROW()-13)-1,"")</f>
        <v/>
      </c>
      <c r="Q545" t="str" cm="1">
        <f t="array" ref="Q545">IFERROR(INDEX(DB!G$2:G$2576,P545),"")</f>
        <v/>
      </c>
      <c r="R545" t="str" cm="1">
        <f t="array" ref="R545">IFERROR(INDEX(DB!O$2:O$2576,P545),"")</f>
        <v/>
      </c>
      <c r="S545" t="str">
        <f t="shared" si="27"/>
        <v/>
      </c>
      <c r="T545" t="str">
        <f t="shared" si="28"/>
        <v/>
      </c>
    </row>
    <row r="546" spans="1:20" ht="100" customHeight="1">
      <c r="A546" s="26"/>
      <c r="B546" s="39" t="str">
        <f t="shared" si="26"/>
        <v/>
      </c>
      <c r="C546" s="43"/>
      <c r="D546" s="51" t="str" cm="1">
        <f t="array" ref="D546">IFERROR(INDEX(DB!G$2:G$2576,T546),"")</f>
        <v/>
      </c>
      <c r="E546" s="43"/>
      <c r="F546" s="52" t="str" cm="1">
        <f t="array" ref="F546">IFERROR(INDEX(DB!O$2:O$2576,T546),"")</f>
        <v/>
      </c>
      <c r="G546" s="43"/>
      <c r="H546" s="40" t="str" cm="1">
        <f t="array" ref="H546">IFERROR(INDEX(DB!P$2:P$2576,T546),"")</f>
        <v/>
      </c>
      <c r="I546" s="43"/>
      <c r="J546" s="53" t="str" cm="1">
        <f t="array" ref="J546">IFERROR(INDEX(DB!Q$2:Q$2576,T546),"")</f>
        <v/>
      </c>
      <c r="K546" s="43"/>
      <c r="L546" s="41" t="str" cm="1">
        <f t="array" ref="L546">IFERROR(INDEX(DB!R$2:R$2576,T546),"")</f>
        <v/>
      </c>
      <c r="M546" s="43"/>
      <c r="P546" t="str" cm="1">
        <f t="array" ref="P546">IFERROR(_xlfn.AGGREGATE(15,6,ROW(DB!A$2:A$2576)/((($D$3&lt;&gt;"YES")+($D$3="YES")*(DB!E$2:E$2576="YES"))*(($D$4="")+($D$4&lt;&gt;"")*( DB!B$2:B$2576=$D$4))*(($D$5="")+($D$5&lt;&gt;"")*( DB!C$2:C$2576=$D$5))*(($D$6="")+($D$6&lt;&gt;"")*( DB!D$2:D$2576=$D$6))*(($D$7="")+($D$7&lt;&gt;"")*(ISNUMBER(SEARCH($D$7,DB!G$2:G$2576))))*(($F$7="전체")+($F$7&lt;&gt;"전체")*(DB!H$2:H$2576=$F$7))),ROW()-13)-1,"")</f>
        <v/>
      </c>
      <c r="Q546" t="str" cm="1">
        <f t="array" ref="Q546">IFERROR(INDEX(DB!G$2:G$2576,P546),"")</f>
        <v/>
      </c>
      <c r="R546" t="str" cm="1">
        <f t="array" ref="R546">IFERROR(INDEX(DB!O$2:O$2576,P546),"")</f>
        <v/>
      </c>
      <c r="S546" t="str">
        <f t="shared" si="27"/>
        <v/>
      </c>
      <c r="T546" t="str">
        <f t="shared" si="28"/>
        <v/>
      </c>
    </row>
    <row r="547" spans="1:20" ht="100" customHeight="1">
      <c r="A547" s="26"/>
      <c r="B547" s="42" t="str">
        <f t="shared" si="26"/>
        <v/>
      </c>
      <c r="C547" s="43"/>
      <c r="D547" s="51" t="str" cm="1">
        <f t="array" ref="D547">IFERROR(INDEX(DB!G$2:G$2576,T547),"")</f>
        <v/>
      </c>
      <c r="E547" s="43"/>
      <c r="F547" s="52" t="str" cm="1">
        <f t="array" ref="F547">IFERROR(INDEX(DB!O$2:O$2576,T547),"")</f>
        <v/>
      </c>
      <c r="G547" s="43"/>
      <c r="H547" s="40" t="str" cm="1">
        <f t="array" ref="H547">IFERROR(INDEX(DB!P$2:P$2576,T547),"")</f>
        <v/>
      </c>
      <c r="I547" s="43"/>
      <c r="J547" s="53" t="str" cm="1">
        <f t="array" ref="J547">IFERROR(INDEX(DB!Q$2:Q$2576,T547),"")</f>
        <v/>
      </c>
      <c r="K547" s="43"/>
      <c r="L547" s="41" t="str" cm="1">
        <f t="array" ref="L547">IFERROR(INDEX(DB!R$2:R$2576,T547),"")</f>
        <v/>
      </c>
      <c r="M547" s="43"/>
      <c r="P547" t="str" cm="1">
        <f t="array" ref="P547">IFERROR(_xlfn.AGGREGATE(15,6,ROW(DB!A$2:A$2576)/((($D$3&lt;&gt;"YES")+($D$3="YES")*(DB!E$2:E$2576="YES"))*(($D$4="")+($D$4&lt;&gt;"")*( DB!B$2:B$2576=$D$4))*(($D$5="")+($D$5&lt;&gt;"")*( DB!C$2:C$2576=$D$5))*(($D$6="")+($D$6&lt;&gt;"")*( DB!D$2:D$2576=$D$6))*(($D$7="")+($D$7&lt;&gt;"")*(ISNUMBER(SEARCH($D$7,DB!G$2:G$2576))))*(($F$7="전체")+($F$7&lt;&gt;"전체")*(DB!H$2:H$2576=$F$7))),ROW()-13)-1,"")</f>
        <v/>
      </c>
      <c r="Q547" t="str" cm="1">
        <f t="array" ref="Q547">IFERROR(INDEX(DB!G$2:G$2576,P547),"")</f>
        <v/>
      </c>
      <c r="R547" t="str" cm="1">
        <f t="array" ref="R547">IFERROR(INDEX(DB!O$2:O$2576,P547),"")</f>
        <v/>
      </c>
      <c r="S547" t="str">
        <f t="shared" si="27"/>
        <v/>
      </c>
      <c r="T547" t="str">
        <f t="shared" si="28"/>
        <v/>
      </c>
    </row>
    <row r="548" spans="1:20" ht="100" customHeight="1">
      <c r="A548" s="26"/>
      <c r="B548" s="39" t="str">
        <f t="shared" si="26"/>
        <v/>
      </c>
      <c r="C548" s="43"/>
      <c r="D548" s="51" t="str" cm="1">
        <f t="array" ref="D548">IFERROR(INDEX(DB!G$2:G$2576,T548),"")</f>
        <v/>
      </c>
      <c r="E548" s="43"/>
      <c r="F548" s="52" t="str" cm="1">
        <f t="array" ref="F548">IFERROR(INDEX(DB!O$2:O$2576,T548),"")</f>
        <v/>
      </c>
      <c r="G548" s="43"/>
      <c r="H548" s="40" t="str" cm="1">
        <f t="array" ref="H548">IFERROR(INDEX(DB!P$2:P$2576,T548),"")</f>
        <v/>
      </c>
      <c r="I548" s="43"/>
      <c r="J548" s="53" t="str" cm="1">
        <f t="array" ref="J548">IFERROR(INDEX(DB!Q$2:Q$2576,T548),"")</f>
        <v/>
      </c>
      <c r="K548" s="43"/>
      <c r="L548" s="41" t="str" cm="1">
        <f t="array" ref="L548">IFERROR(INDEX(DB!R$2:R$2576,T548),"")</f>
        <v/>
      </c>
      <c r="M548" s="43"/>
      <c r="P548" t="str" cm="1">
        <f t="array" ref="P548">IFERROR(_xlfn.AGGREGATE(15,6,ROW(DB!A$2:A$2576)/((($D$3&lt;&gt;"YES")+($D$3="YES")*(DB!E$2:E$2576="YES"))*(($D$4="")+($D$4&lt;&gt;"")*( DB!B$2:B$2576=$D$4))*(($D$5="")+($D$5&lt;&gt;"")*( DB!C$2:C$2576=$D$5))*(($D$6="")+($D$6&lt;&gt;"")*( DB!D$2:D$2576=$D$6))*(($D$7="")+($D$7&lt;&gt;"")*(ISNUMBER(SEARCH($D$7,DB!G$2:G$2576))))*(($F$7="전체")+($F$7&lt;&gt;"전체")*(DB!H$2:H$2576=$F$7))),ROW()-13)-1,"")</f>
        <v/>
      </c>
      <c r="Q548" t="str" cm="1">
        <f t="array" ref="Q548">IFERROR(INDEX(DB!G$2:G$2576,P548),"")</f>
        <v/>
      </c>
      <c r="R548" t="str" cm="1">
        <f t="array" ref="R548">IFERROR(INDEX(DB!O$2:O$2576,P548),"")</f>
        <v/>
      </c>
      <c r="S548" t="str">
        <f t="shared" si="27"/>
        <v/>
      </c>
      <c r="T548" t="str">
        <f t="shared" si="28"/>
        <v/>
      </c>
    </row>
    <row r="549" spans="1:20" ht="100" customHeight="1">
      <c r="A549" s="26"/>
      <c r="B549" s="42" t="str">
        <f t="shared" si="26"/>
        <v/>
      </c>
      <c r="C549" s="43"/>
      <c r="D549" s="51" t="str" cm="1">
        <f t="array" ref="D549">IFERROR(INDEX(DB!G$2:G$2576,T549),"")</f>
        <v/>
      </c>
      <c r="E549" s="43"/>
      <c r="F549" s="52" t="str" cm="1">
        <f t="array" ref="F549">IFERROR(INDEX(DB!O$2:O$2576,T549),"")</f>
        <v/>
      </c>
      <c r="G549" s="43"/>
      <c r="H549" s="40" t="str" cm="1">
        <f t="array" ref="H549">IFERROR(INDEX(DB!P$2:P$2576,T549),"")</f>
        <v/>
      </c>
      <c r="I549" s="43"/>
      <c r="J549" s="53" t="str" cm="1">
        <f t="array" ref="J549">IFERROR(INDEX(DB!Q$2:Q$2576,T549),"")</f>
        <v/>
      </c>
      <c r="K549" s="43"/>
      <c r="L549" s="41" t="str" cm="1">
        <f t="array" ref="L549">IFERROR(INDEX(DB!R$2:R$2576,T549),"")</f>
        <v/>
      </c>
      <c r="M549" s="43"/>
      <c r="P549" t="str" cm="1">
        <f t="array" ref="P549">IFERROR(_xlfn.AGGREGATE(15,6,ROW(DB!A$2:A$2576)/((($D$3&lt;&gt;"YES")+($D$3="YES")*(DB!E$2:E$2576="YES"))*(($D$4="")+($D$4&lt;&gt;"")*( DB!B$2:B$2576=$D$4))*(($D$5="")+($D$5&lt;&gt;"")*( DB!C$2:C$2576=$D$5))*(($D$6="")+($D$6&lt;&gt;"")*( DB!D$2:D$2576=$D$6))*(($D$7="")+($D$7&lt;&gt;"")*(ISNUMBER(SEARCH($D$7,DB!G$2:G$2576))))*(($F$7="전체")+($F$7&lt;&gt;"전체")*(DB!H$2:H$2576=$F$7))),ROW()-13)-1,"")</f>
        <v/>
      </c>
      <c r="Q549" t="str" cm="1">
        <f t="array" ref="Q549">IFERROR(INDEX(DB!G$2:G$2576,P549),"")</f>
        <v/>
      </c>
      <c r="R549" t="str" cm="1">
        <f t="array" ref="R549">IFERROR(INDEX(DB!O$2:O$2576,P549),"")</f>
        <v/>
      </c>
      <c r="S549" t="str">
        <f t="shared" si="27"/>
        <v/>
      </c>
      <c r="T549" t="str">
        <f t="shared" si="28"/>
        <v/>
      </c>
    </row>
    <row r="550" spans="1:20" ht="100" customHeight="1">
      <c r="A550" s="26"/>
      <c r="B550" s="39" t="str">
        <f t="shared" si="26"/>
        <v/>
      </c>
      <c r="C550" s="43"/>
      <c r="D550" s="51" t="str" cm="1">
        <f t="array" ref="D550">IFERROR(INDEX(DB!G$2:G$2576,T550),"")</f>
        <v/>
      </c>
      <c r="E550" s="43"/>
      <c r="F550" s="52" t="str" cm="1">
        <f t="array" ref="F550">IFERROR(INDEX(DB!O$2:O$2576,T550),"")</f>
        <v/>
      </c>
      <c r="G550" s="43"/>
      <c r="H550" s="40" t="str" cm="1">
        <f t="array" ref="H550">IFERROR(INDEX(DB!P$2:P$2576,T550),"")</f>
        <v/>
      </c>
      <c r="I550" s="43"/>
      <c r="J550" s="53" t="str" cm="1">
        <f t="array" ref="J550">IFERROR(INDEX(DB!Q$2:Q$2576,T550),"")</f>
        <v/>
      </c>
      <c r="K550" s="43"/>
      <c r="L550" s="41" t="str" cm="1">
        <f t="array" ref="L550">IFERROR(INDEX(DB!R$2:R$2576,T550),"")</f>
        <v/>
      </c>
      <c r="M550" s="43"/>
      <c r="P550" t="str" cm="1">
        <f t="array" ref="P550">IFERROR(_xlfn.AGGREGATE(15,6,ROW(DB!A$2:A$2576)/((($D$3&lt;&gt;"YES")+($D$3="YES")*(DB!E$2:E$2576="YES"))*(($D$4="")+($D$4&lt;&gt;"")*( DB!B$2:B$2576=$D$4))*(($D$5="")+($D$5&lt;&gt;"")*( DB!C$2:C$2576=$D$5))*(($D$6="")+($D$6&lt;&gt;"")*( DB!D$2:D$2576=$D$6))*(($D$7="")+($D$7&lt;&gt;"")*(ISNUMBER(SEARCH($D$7,DB!G$2:G$2576))))*(($F$7="전체")+($F$7&lt;&gt;"전체")*(DB!H$2:H$2576=$F$7))),ROW()-13)-1,"")</f>
        <v/>
      </c>
      <c r="Q550" t="str" cm="1">
        <f t="array" ref="Q550">IFERROR(INDEX(DB!G$2:G$2576,P550),"")</f>
        <v/>
      </c>
      <c r="R550" t="str" cm="1">
        <f t="array" ref="R550">IFERROR(INDEX(DB!O$2:O$2576,P550),"")</f>
        <v/>
      </c>
      <c r="S550" t="str">
        <f t="shared" si="27"/>
        <v/>
      </c>
      <c r="T550" t="str">
        <f t="shared" si="28"/>
        <v/>
      </c>
    </row>
    <row r="551" spans="1:20" ht="100" customHeight="1">
      <c r="A551" s="26"/>
      <c r="B551" s="42" t="str">
        <f t="shared" si="26"/>
        <v/>
      </c>
      <c r="C551" s="43"/>
      <c r="D551" s="51" t="str" cm="1">
        <f t="array" ref="D551">IFERROR(INDEX(DB!G$2:G$2576,T551),"")</f>
        <v/>
      </c>
      <c r="E551" s="43"/>
      <c r="F551" s="52" t="str" cm="1">
        <f t="array" ref="F551">IFERROR(INDEX(DB!O$2:O$2576,T551),"")</f>
        <v/>
      </c>
      <c r="G551" s="43"/>
      <c r="H551" s="40" t="str" cm="1">
        <f t="array" ref="H551">IFERROR(INDEX(DB!P$2:P$2576,T551),"")</f>
        <v/>
      </c>
      <c r="I551" s="43"/>
      <c r="J551" s="53" t="str" cm="1">
        <f t="array" ref="J551">IFERROR(INDEX(DB!Q$2:Q$2576,T551),"")</f>
        <v/>
      </c>
      <c r="K551" s="43"/>
      <c r="L551" s="41" t="str" cm="1">
        <f t="array" ref="L551">IFERROR(INDEX(DB!R$2:R$2576,T551),"")</f>
        <v/>
      </c>
      <c r="M551" s="43"/>
      <c r="P551" t="str" cm="1">
        <f t="array" ref="P551">IFERROR(_xlfn.AGGREGATE(15,6,ROW(DB!A$2:A$2576)/((($D$3&lt;&gt;"YES")+($D$3="YES")*(DB!E$2:E$2576="YES"))*(($D$4="")+($D$4&lt;&gt;"")*( DB!B$2:B$2576=$D$4))*(($D$5="")+($D$5&lt;&gt;"")*( DB!C$2:C$2576=$D$5))*(($D$6="")+($D$6&lt;&gt;"")*( DB!D$2:D$2576=$D$6))*(($D$7="")+($D$7&lt;&gt;"")*(ISNUMBER(SEARCH($D$7,DB!G$2:G$2576))))*(($F$7="전체")+($F$7&lt;&gt;"전체")*(DB!H$2:H$2576=$F$7))),ROW()-13)-1,"")</f>
        <v/>
      </c>
      <c r="Q551" t="str" cm="1">
        <f t="array" ref="Q551">IFERROR(INDEX(DB!G$2:G$2576,P551),"")</f>
        <v/>
      </c>
      <c r="R551" t="str" cm="1">
        <f t="array" ref="R551">IFERROR(INDEX(DB!O$2:O$2576,P551),"")</f>
        <v/>
      </c>
      <c r="S551" t="str">
        <f t="shared" si="27"/>
        <v/>
      </c>
      <c r="T551" t="str">
        <f t="shared" si="28"/>
        <v/>
      </c>
    </row>
    <row r="552" spans="1:20" ht="100" customHeight="1">
      <c r="A552" s="26"/>
      <c r="B552" s="39" t="str">
        <f t="shared" si="26"/>
        <v/>
      </c>
      <c r="C552" s="43"/>
      <c r="D552" s="51" t="str" cm="1">
        <f t="array" ref="D552">IFERROR(INDEX(DB!G$2:G$2576,T552),"")</f>
        <v/>
      </c>
      <c r="E552" s="43"/>
      <c r="F552" s="52" t="str" cm="1">
        <f t="array" ref="F552">IFERROR(INDEX(DB!O$2:O$2576,T552),"")</f>
        <v/>
      </c>
      <c r="G552" s="43"/>
      <c r="H552" s="40" t="str" cm="1">
        <f t="array" ref="H552">IFERROR(INDEX(DB!P$2:P$2576,T552),"")</f>
        <v/>
      </c>
      <c r="I552" s="43"/>
      <c r="J552" s="53" t="str" cm="1">
        <f t="array" ref="J552">IFERROR(INDEX(DB!Q$2:Q$2576,T552),"")</f>
        <v/>
      </c>
      <c r="K552" s="43"/>
      <c r="L552" s="41" t="str" cm="1">
        <f t="array" ref="L552">IFERROR(INDEX(DB!R$2:R$2576,T552),"")</f>
        <v/>
      </c>
      <c r="M552" s="43"/>
      <c r="P552" t="str" cm="1">
        <f t="array" ref="P552">IFERROR(_xlfn.AGGREGATE(15,6,ROW(DB!A$2:A$2576)/((($D$3&lt;&gt;"YES")+($D$3="YES")*(DB!E$2:E$2576="YES"))*(($D$4="")+($D$4&lt;&gt;"")*( DB!B$2:B$2576=$D$4))*(($D$5="")+($D$5&lt;&gt;"")*( DB!C$2:C$2576=$D$5))*(($D$6="")+($D$6&lt;&gt;"")*( DB!D$2:D$2576=$D$6))*(($D$7="")+($D$7&lt;&gt;"")*(ISNUMBER(SEARCH($D$7,DB!G$2:G$2576))))*(($F$7="전체")+($F$7&lt;&gt;"전체")*(DB!H$2:H$2576=$F$7))),ROW()-13)-1,"")</f>
        <v/>
      </c>
      <c r="Q552" t="str" cm="1">
        <f t="array" ref="Q552">IFERROR(INDEX(DB!G$2:G$2576,P552),"")</f>
        <v/>
      </c>
      <c r="R552" t="str" cm="1">
        <f t="array" ref="R552">IFERROR(INDEX(DB!O$2:O$2576,P552),"")</f>
        <v/>
      </c>
      <c r="S552" t="str">
        <f t="shared" si="27"/>
        <v/>
      </c>
      <c r="T552" t="str">
        <f t="shared" si="28"/>
        <v/>
      </c>
    </row>
    <row r="553" spans="1:20" ht="100" customHeight="1">
      <c r="A553" s="26"/>
      <c r="B553" s="42" t="str">
        <f t="shared" si="26"/>
        <v/>
      </c>
      <c r="C553" s="43"/>
      <c r="D553" s="51" t="str" cm="1">
        <f t="array" ref="D553">IFERROR(INDEX(DB!G$2:G$2576,T553),"")</f>
        <v/>
      </c>
      <c r="E553" s="43"/>
      <c r="F553" s="52" t="str" cm="1">
        <f t="array" ref="F553">IFERROR(INDEX(DB!O$2:O$2576,T553),"")</f>
        <v/>
      </c>
      <c r="G553" s="43"/>
      <c r="H553" s="40" t="str" cm="1">
        <f t="array" ref="H553">IFERROR(INDEX(DB!P$2:P$2576,T553),"")</f>
        <v/>
      </c>
      <c r="I553" s="43"/>
      <c r="J553" s="53" t="str" cm="1">
        <f t="array" ref="J553">IFERROR(INDEX(DB!Q$2:Q$2576,T553),"")</f>
        <v/>
      </c>
      <c r="K553" s="43"/>
      <c r="L553" s="41" t="str" cm="1">
        <f t="array" ref="L553">IFERROR(INDEX(DB!R$2:R$2576,T553),"")</f>
        <v/>
      </c>
      <c r="M553" s="43"/>
      <c r="P553" t="str" cm="1">
        <f t="array" ref="P553">IFERROR(_xlfn.AGGREGATE(15,6,ROW(DB!A$2:A$2576)/((($D$3&lt;&gt;"YES")+($D$3="YES")*(DB!E$2:E$2576="YES"))*(($D$4="")+($D$4&lt;&gt;"")*( DB!B$2:B$2576=$D$4))*(($D$5="")+($D$5&lt;&gt;"")*( DB!C$2:C$2576=$D$5))*(($D$6="")+($D$6&lt;&gt;"")*( DB!D$2:D$2576=$D$6))*(($D$7="")+($D$7&lt;&gt;"")*(ISNUMBER(SEARCH($D$7,DB!G$2:G$2576))))*(($F$7="전체")+($F$7&lt;&gt;"전체")*(DB!H$2:H$2576=$F$7))),ROW()-13)-1,"")</f>
        <v/>
      </c>
      <c r="Q553" t="str" cm="1">
        <f t="array" ref="Q553">IFERROR(INDEX(DB!G$2:G$2576,P553),"")</f>
        <v/>
      </c>
      <c r="R553" t="str" cm="1">
        <f t="array" ref="R553">IFERROR(INDEX(DB!O$2:O$2576,P553),"")</f>
        <v/>
      </c>
      <c r="S553" t="str">
        <f t="shared" si="27"/>
        <v/>
      </c>
      <c r="T553" t="str">
        <f t="shared" si="28"/>
        <v/>
      </c>
    </row>
    <row r="554" spans="1:20" ht="100" customHeight="1">
      <c r="A554" s="26"/>
      <c r="B554" s="39" t="str">
        <f t="shared" si="26"/>
        <v/>
      </c>
      <c r="C554" s="43"/>
      <c r="D554" s="51" t="str" cm="1">
        <f t="array" ref="D554">IFERROR(INDEX(DB!G$2:G$2576,T554),"")</f>
        <v/>
      </c>
      <c r="E554" s="43"/>
      <c r="F554" s="52" t="str" cm="1">
        <f t="array" ref="F554">IFERROR(INDEX(DB!O$2:O$2576,T554),"")</f>
        <v/>
      </c>
      <c r="G554" s="43"/>
      <c r="H554" s="40" t="str" cm="1">
        <f t="array" ref="H554">IFERROR(INDEX(DB!P$2:P$2576,T554),"")</f>
        <v/>
      </c>
      <c r="I554" s="43"/>
      <c r="J554" s="53" t="str" cm="1">
        <f t="array" ref="J554">IFERROR(INDEX(DB!Q$2:Q$2576,T554),"")</f>
        <v/>
      </c>
      <c r="K554" s="43"/>
      <c r="L554" s="41" t="str" cm="1">
        <f t="array" ref="L554">IFERROR(INDEX(DB!R$2:R$2576,T554),"")</f>
        <v/>
      </c>
      <c r="M554" s="43"/>
      <c r="P554" t="str" cm="1">
        <f t="array" ref="P554">IFERROR(_xlfn.AGGREGATE(15,6,ROW(DB!A$2:A$2576)/((($D$3&lt;&gt;"YES")+($D$3="YES")*(DB!E$2:E$2576="YES"))*(($D$4="")+($D$4&lt;&gt;"")*( DB!B$2:B$2576=$D$4))*(($D$5="")+($D$5&lt;&gt;"")*( DB!C$2:C$2576=$D$5))*(($D$6="")+($D$6&lt;&gt;"")*( DB!D$2:D$2576=$D$6))*(($D$7="")+($D$7&lt;&gt;"")*(ISNUMBER(SEARCH($D$7,DB!G$2:G$2576))))*(($F$7="전체")+($F$7&lt;&gt;"전체")*(DB!H$2:H$2576=$F$7))),ROW()-13)-1,"")</f>
        <v/>
      </c>
      <c r="Q554" t="str" cm="1">
        <f t="array" ref="Q554">IFERROR(INDEX(DB!G$2:G$2576,P554),"")</f>
        <v/>
      </c>
      <c r="R554" t="str" cm="1">
        <f t="array" ref="R554">IFERROR(INDEX(DB!O$2:O$2576,P554),"")</f>
        <v/>
      </c>
      <c r="S554" t="str">
        <f t="shared" si="27"/>
        <v/>
      </c>
      <c r="T554" t="str">
        <f t="shared" si="28"/>
        <v/>
      </c>
    </row>
    <row r="555" spans="1:20" ht="100" customHeight="1">
      <c r="A555" s="26"/>
      <c r="B555" s="42" t="str">
        <f t="shared" si="26"/>
        <v/>
      </c>
      <c r="C555" s="43"/>
      <c r="D555" s="51" t="str" cm="1">
        <f t="array" ref="D555">IFERROR(INDEX(DB!G$2:G$2576,T555),"")</f>
        <v/>
      </c>
      <c r="E555" s="43"/>
      <c r="F555" s="52" t="str" cm="1">
        <f t="array" ref="F555">IFERROR(INDEX(DB!O$2:O$2576,T555),"")</f>
        <v/>
      </c>
      <c r="G555" s="43"/>
      <c r="H555" s="40" t="str" cm="1">
        <f t="array" ref="H555">IFERROR(INDEX(DB!P$2:P$2576,T555),"")</f>
        <v/>
      </c>
      <c r="I555" s="43"/>
      <c r="J555" s="53" t="str" cm="1">
        <f t="array" ref="J555">IFERROR(INDEX(DB!Q$2:Q$2576,T555),"")</f>
        <v/>
      </c>
      <c r="K555" s="43"/>
      <c r="L555" s="41" t="str" cm="1">
        <f t="array" ref="L555">IFERROR(INDEX(DB!R$2:R$2576,T555),"")</f>
        <v/>
      </c>
      <c r="M555" s="43"/>
      <c r="P555" t="str" cm="1">
        <f t="array" ref="P555">IFERROR(_xlfn.AGGREGATE(15,6,ROW(DB!A$2:A$2576)/((($D$3&lt;&gt;"YES")+($D$3="YES")*(DB!E$2:E$2576="YES"))*(($D$4="")+($D$4&lt;&gt;"")*( DB!B$2:B$2576=$D$4))*(($D$5="")+($D$5&lt;&gt;"")*( DB!C$2:C$2576=$D$5))*(($D$6="")+($D$6&lt;&gt;"")*( DB!D$2:D$2576=$D$6))*(($D$7="")+($D$7&lt;&gt;"")*(ISNUMBER(SEARCH($D$7,DB!G$2:G$2576))))*(($F$7="전체")+($F$7&lt;&gt;"전체")*(DB!H$2:H$2576=$F$7))),ROW()-13)-1,"")</f>
        <v/>
      </c>
      <c r="Q555" t="str" cm="1">
        <f t="array" ref="Q555">IFERROR(INDEX(DB!G$2:G$2576,P555),"")</f>
        <v/>
      </c>
      <c r="R555" t="str" cm="1">
        <f t="array" ref="R555">IFERROR(INDEX(DB!O$2:O$2576,P555),"")</f>
        <v/>
      </c>
      <c r="S555" t="str">
        <f t="shared" si="27"/>
        <v/>
      </c>
      <c r="T555" t="str">
        <f t="shared" si="28"/>
        <v/>
      </c>
    </row>
    <row r="556" spans="1:20" ht="100" customHeight="1">
      <c r="A556" s="26"/>
      <c r="B556" s="39" t="str">
        <f t="shared" si="26"/>
        <v/>
      </c>
      <c r="C556" s="43"/>
      <c r="D556" s="51" t="str" cm="1">
        <f t="array" ref="D556">IFERROR(INDEX(DB!G$2:G$2576,T556),"")</f>
        <v/>
      </c>
      <c r="E556" s="43"/>
      <c r="F556" s="52" t="str" cm="1">
        <f t="array" ref="F556">IFERROR(INDEX(DB!O$2:O$2576,T556),"")</f>
        <v/>
      </c>
      <c r="G556" s="43"/>
      <c r="H556" s="40" t="str" cm="1">
        <f t="array" ref="H556">IFERROR(INDEX(DB!P$2:P$2576,T556),"")</f>
        <v/>
      </c>
      <c r="I556" s="43"/>
      <c r="J556" s="53" t="str" cm="1">
        <f t="array" ref="J556">IFERROR(INDEX(DB!Q$2:Q$2576,T556),"")</f>
        <v/>
      </c>
      <c r="K556" s="43"/>
      <c r="L556" s="41" t="str" cm="1">
        <f t="array" ref="L556">IFERROR(INDEX(DB!R$2:R$2576,T556),"")</f>
        <v/>
      </c>
      <c r="M556" s="43"/>
      <c r="P556" t="str" cm="1">
        <f t="array" ref="P556">IFERROR(_xlfn.AGGREGATE(15,6,ROW(DB!A$2:A$2576)/((($D$3&lt;&gt;"YES")+($D$3="YES")*(DB!E$2:E$2576="YES"))*(($D$4="")+($D$4&lt;&gt;"")*( DB!B$2:B$2576=$D$4))*(($D$5="")+($D$5&lt;&gt;"")*( DB!C$2:C$2576=$D$5))*(($D$6="")+($D$6&lt;&gt;"")*( DB!D$2:D$2576=$D$6))*(($D$7="")+($D$7&lt;&gt;"")*(ISNUMBER(SEARCH($D$7,DB!G$2:G$2576))))*(($F$7="전체")+($F$7&lt;&gt;"전체")*(DB!H$2:H$2576=$F$7))),ROW()-13)-1,"")</f>
        <v/>
      </c>
      <c r="Q556" t="str" cm="1">
        <f t="array" ref="Q556">IFERROR(INDEX(DB!G$2:G$2576,P556),"")</f>
        <v/>
      </c>
      <c r="R556" t="str" cm="1">
        <f t="array" ref="R556">IFERROR(INDEX(DB!O$2:O$2576,P556),"")</f>
        <v/>
      </c>
      <c r="S556" t="str">
        <f t="shared" si="27"/>
        <v/>
      </c>
      <c r="T556" t="str">
        <f t="shared" si="28"/>
        <v/>
      </c>
    </row>
    <row r="557" spans="1:20" ht="100" customHeight="1">
      <c r="A557" s="26"/>
      <c r="B557" s="42" t="str">
        <f t="shared" si="26"/>
        <v/>
      </c>
      <c r="C557" s="43"/>
      <c r="D557" s="51" t="str" cm="1">
        <f t="array" ref="D557">IFERROR(INDEX(DB!G$2:G$2576,T557),"")</f>
        <v/>
      </c>
      <c r="E557" s="43"/>
      <c r="F557" s="52" t="str" cm="1">
        <f t="array" ref="F557">IFERROR(INDEX(DB!O$2:O$2576,T557),"")</f>
        <v/>
      </c>
      <c r="G557" s="43"/>
      <c r="H557" s="40" t="str" cm="1">
        <f t="array" ref="H557">IFERROR(INDEX(DB!P$2:P$2576,T557),"")</f>
        <v/>
      </c>
      <c r="I557" s="43"/>
      <c r="J557" s="53" t="str" cm="1">
        <f t="array" ref="J557">IFERROR(INDEX(DB!Q$2:Q$2576,T557),"")</f>
        <v/>
      </c>
      <c r="K557" s="43"/>
      <c r="L557" s="41" t="str" cm="1">
        <f t="array" ref="L557">IFERROR(INDEX(DB!R$2:R$2576,T557),"")</f>
        <v/>
      </c>
      <c r="M557" s="43"/>
      <c r="P557" t="str" cm="1">
        <f t="array" ref="P557">IFERROR(_xlfn.AGGREGATE(15,6,ROW(DB!A$2:A$2576)/((($D$3&lt;&gt;"YES")+($D$3="YES")*(DB!E$2:E$2576="YES"))*(($D$4="")+($D$4&lt;&gt;"")*( DB!B$2:B$2576=$D$4))*(($D$5="")+($D$5&lt;&gt;"")*( DB!C$2:C$2576=$D$5))*(($D$6="")+($D$6&lt;&gt;"")*( DB!D$2:D$2576=$D$6))*(($D$7="")+($D$7&lt;&gt;"")*(ISNUMBER(SEARCH($D$7,DB!G$2:G$2576))))*(($F$7="전체")+($F$7&lt;&gt;"전체")*(DB!H$2:H$2576=$F$7))),ROW()-13)-1,"")</f>
        <v/>
      </c>
      <c r="Q557" t="str" cm="1">
        <f t="array" ref="Q557">IFERROR(INDEX(DB!G$2:G$2576,P557),"")</f>
        <v/>
      </c>
      <c r="R557" t="str" cm="1">
        <f t="array" ref="R557">IFERROR(INDEX(DB!O$2:O$2576,P557),"")</f>
        <v/>
      </c>
      <c r="S557" t="str">
        <f t="shared" si="27"/>
        <v/>
      </c>
      <c r="T557" t="str">
        <f t="shared" si="28"/>
        <v/>
      </c>
    </row>
    <row r="558" spans="1:20" ht="100" customHeight="1">
      <c r="A558" s="26"/>
      <c r="B558" s="39" t="str">
        <f t="shared" si="26"/>
        <v/>
      </c>
      <c r="C558" s="43"/>
      <c r="D558" s="51" t="str" cm="1">
        <f t="array" ref="D558">IFERROR(INDEX(DB!G$2:G$2576,T558),"")</f>
        <v/>
      </c>
      <c r="E558" s="43"/>
      <c r="F558" s="52" t="str" cm="1">
        <f t="array" ref="F558">IFERROR(INDEX(DB!O$2:O$2576,T558),"")</f>
        <v/>
      </c>
      <c r="G558" s="43"/>
      <c r="H558" s="40" t="str" cm="1">
        <f t="array" ref="H558">IFERROR(INDEX(DB!P$2:P$2576,T558),"")</f>
        <v/>
      </c>
      <c r="I558" s="43"/>
      <c r="J558" s="53" t="str" cm="1">
        <f t="array" ref="J558">IFERROR(INDEX(DB!Q$2:Q$2576,T558),"")</f>
        <v/>
      </c>
      <c r="K558" s="43"/>
      <c r="L558" s="41" t="str" cm="1">
        <f t="array" ref="L558">IFERROR(INDEX(DB!R$2:R$2576,T558),"")</f>
        <v/>
      </c>
      <c r="M558" s="43"/>
      <c r="P558" t="str" cm="1">
        <f t="array" ref="P558">IFERROR(_xlfn.AGGREGATE(15,6,ROW(DB!A$2:A$2576)/((($D$3&lt;&gt;"YES")+($D$3="YES")*(DB!E$2:E$2576="YES"))*(($D$4="")+($D$4&lt;&gt;"")*( DB!B$2:B$2576=$D$4))*(($D$5="")+($D$5&lt;&gt;"")*( DB!C$2:C$2576=$D$5))*(($D$6="")+($D$6&lt;&gt;"")*( DB!D$2:D$2576=$D$6))*(($D$7="")+($D$7&lt;&gt;"")*(ISNUMBER(SEARCH($D$7,DB!G$2:G$2576))))*(($F$7="전체")+($F$7&lt;&gt;"전체")*(DB!H$2:H$2576=$F$7))),ROW()-13)-1,"")</f>
        <v/>
      </c>
      <c r="Q558" t="str" cm="1">
        <f t="array" ref="Q558">IFERROR(INDEX(DB!G$2:G$2576,P558),"")</f>
        <v/>
      </c>
      <c r="R558" t="str" cm="1">
        <f t="array" ref="R558">IFERROR(INDEX(DB!O$2:O$2576,P558),"")</f>
        <v/>
      </c>
      <c r="S558" t="str">
        <f t="shared" si="27"/>
        <v/>
      </c>
      <c r="T558" t="str">
        <f t="shared" si="28"/>
        <v/>
      </c>
    </row>
    <row r="559" spans="1:20" ht="100" customHeight="1">
      <c r="A559" s="26"/>
      <c r="B559" s="42" t="str">
        <f t="shared" si="26"/>
        <v/>
      </c>
      <c r="C559" s="43"/>
      <c r="D559" s="51" t="str" cm="1">
        <f t="array" ref="D559">IFERROR(INDEX(DB!G$2:G$2576,T559),"")</f>
        <v/>
      </c>
      <c r="E559" s="43"/>
      <c r="F559" s="52" t="str" cm="1">
        <f t="array" ref="F559">IFERROR(INDEX(DB!O$2:O$2576,T559),"")</f>
        <v/>
      </c>
      <c r="G559" s="43"/>
      <c r="H559" s="40" t="str" cm="1">
        <f t="array" ref="H559">IFERROR(INDEX(DB!P$2:P$2576,T559),"")</f>
        <v/>
      </c>
      <c r="I559" s="43"/>
      <c r="J559" s="53" t="str" cm="1">
        <f t="array" ref="J559">IFERROR(INDEX(DB!Q$2:Q$2576,T559),"")</f>
        <v/>
      </c>
      <c r="K559" s="43"/>
      <c r="L559" s="41" t="str" cm="1">
        <f t="array" ref="L559">IFERROR(INDEX(DB!R$2:R$2576,T559),"")</f>
        <v/>
      </c>
      <c r="M559" s="43"/>
      <c r="P559" t="str" cm="1">
        <f t="array" ref="P559">IFERROR(_xlfn.AGGREGATE(15,6,ROW(DB!A$2:A$2576)/((($D$3&lt;&gt;"YES")+($D$3="YES")*(DB!E$2:E$2576="YES"))*(($D$4="")+($D$4&lt;&gt;"")*( DB!B$2:B$2576=$D$4))*(($D$5="")+($D$5&lt;&gt;"")*( DB!C$2:C$2576=$D$5))*(($D$6="")+($D$6&lt;&gt;"")*( DB!D$2:D$2576=$D$6))*(($D$7="")+($D$7&lt;&gt;"")*(ISNUMBER(SEARCH($D$7,DB!G$2:G$2576))))*(($F$7="전체")+($F$7&lt;&gt;"전체")*(DB!H$2:H$2576=$F$7))),ROW()-13)-1,"")</f>
        <v/>
      </c>
      <c r="Q559" t="str" cm="1">
        <f t="array" ref="Q559">IFERROR(INDEX(DB!G$2:G$2576,P559),"")</f>
        <v/>
      </c>
      <c r="R559" t="str" cm="1">
        <f t="array" ref="R559">IFERROR(INDEX(DB!O$2:O$2576,P559),"")</f>
        <v/>
      </c>
      <c r="S559" t="str">
        <f t="shared" si="27"/>
        <v/>
      </c>
      <c r="T559" t="str">
        <f t="shared" si="28"/>
        <v/>
      </c>
    </row>
    <row r="560" spans="1:20" ht="100" customHeight="1">
      <c r="A560" s="26"/>
      <c r="B560" s="39" t="str">
        <f t="shared" si="26"/>
        <v/>
      </c>
      <c r="C560" s="43"/>
      <c r="D560" s="51" t="str" cm="1">
        <f t="array" ref="D560">IFERROR(INDEX(DB!G$2:G$2576,T560),"")</f>
        <v/>
      </c>
      <c r="E560" s="43"/>
      <c r="F560" s="52" t="str" cm="1">
        <f t="array" ref="F560">IFERROR(INDEX(DB!O$2:O$2576,T560),"")</f>
        <v/>
      </c>
      <c r="G560" s="43"/>
      <c r="H560" s="40" t="str" cm="1">
        <f t="array" ref="H560">IFERROR(INDEX(DB!P$2:P$2576,T560),"")</f>
        <v/>
      </c>
      <c r="I560" s="43"/>
      <c r="J560" s="53" t="str" cm="1">
        <f t="array" ref="J560">IFERROR(INDEX(DB!Q$2:Q$2576,T560),"")</f>
        <v/>
      </c>
      <c r="K560" s="43"/>
      <c r="L560" s="41" t="str" cm="1">
        <f t="array" ref="L560">IFERROR(INDEX(DB!R$2:R$2576,T560),"")</f>
        <v/>
      </c>
      <c r="M560" s="43"/>
      <c r="P560" t="str" cm="1">
        <f t="array" ref="P560">IFERROR(_xlfn.AGGREGATE(15,6,ROW(DB!A$2:A$2576)/((($D$3&lt;&gt;"YES")+($D$3="YES")*(DB!E$2:E$2576="YES"))*(($D$4="")+($D$4&lt;&gt;"")*( DB!B$2:B$2576=$D$4))*(($D$5="")+($D$5&lt;&gt;"")*( DB!C$2:C$2576=$D$5))*(($D$6="")+($D$6&lt;&gt;"")*( DB!D$2:D$2576=$D$6))*(($D$7="")+($D$7&lt;&gt;"")*(ISNUMBER(SEARCH($D$7,DB!G$2:G$2576))))*(($F$7="전체")+($F$7&lt;&gt;"전체")*(DB!H$2:H$2576=$F$7))),ROW()-13)-1,"")</f>
        <v/>
      </c>
      <c r="Q560" t="str" cm="1">
        <f t="array" ref="Q560">IFERROR(INDEX(DB!G$2:G$2576,P560),"")</f>
        <v/>
      </c>
      <c r="R560" t="str" cm="1">
        <f t="array" ref="R560">IFERROR(INDEX(DB!O$2:O$2576,P560),"")</f>
        <v/>
      </c>
      <c r="S560" t="str">
        <f t="shared" si="27"/>
        <v/>
      </c>
      <c r="T560" t="str">
        <f t="shared" si="28"/>
        <v/>
      </c>
    </row>
    <row r="561" spans="1:20" ht="100" customHeight="1">
      <c r="A561" s="26"/>
      <c r="B561" s="42" t="str">
        <f t="shared" si="26"/>
        <v/>
      </c>
      <c r="C561" s="43"/>
      <c r="D561" s="51" t="str" cm="1">
        <f t="array" ref="D561">IFERROR(INDEX(DB!G$2:G$2576,T561),"")</f>
        <v/>
      </c>
      <c r="E561" s="43"/>
      <c r="F561" s="52" t="str" cm="1">
        <f t="array" ref="F561">IFERROR(INDEX(DB!O$2:O$2576,T561),"")</f>
        <v/>
      </c>
      <c r="G561" s="43"/>
      <c r="H561" s="40" t="str" cm="1">
        <f t="array" ref="H561">IFERROR(INDEX(DB!P$2:P$2576,T561),"")</f>
        <v/>
      </c>
      <c r="I561" s="43"/>
      <c r="J561" s="53" t="str" cm="1">
        <f t="array" ref="J561">IFERROR(INDEX(DB!Q$2:Q$2576,T561),"")</f>
        <v/>
      </c>
      <c r="K561" s="43"/>
      <c r="L561" s="41" t="str" cm="1">
        <f t="array" ref="L561">IFERROR(INDEX(DB!R$2:R$2576,T561),"")</f>
        <v/>
      </c>
      <c r="M561" s="43"/>
      <c r="P561" t="str" cm="1">
        <f t="array" ref="P561">IFERROR(_xlfn.AGGREGATE(15,6,ROW(DB!A$2:A$2576)/((($D$3&lt;&gt;"YES")+($D$3="YES")*(DB!E$2:E$2576="YES"))*(($D$4="")+($D$4&lt;&gt;"")*( DB!B$2:B$2576=$D$4))*(($D$5="")+($D$5&lt;&gt;"")*( DB!C$2:C$2576=$D$5))*(($D$6="")+($D$6&lt;&gt;"")*( DB!D$2:D$2576=$D$6))*(($D$7="")+($D$7&lt;&gt;"")*(ISNUMBER(SEARCH($D$7,DB!G$2:G$2576))))*(($F$7="전체")+($F$7&lt;&gt;"전체")*(DB!H$2:H$2576=$F$7))),ROW()-13)-1,"")</f>
        <v/>
      </c>
      <c r="Q561" t="str" cm="1">
        <f t="array" ref="Q561">IFERROR(INDEX(DB!G$2:G$2576,P561),"")</f>
        <v/>
      </c>
      <c r="R561" t="str" cm="1">
        <f t="array" ref="R561">IFERROR(INDEX(DB!O$2:O$2576,P561),"")</f>
        <v/>
      </c>
      <c r="S561" t="str">
        <f t="shared" si="27"/>
        <v/>
      </c>
      <c r="T561" t="str">
        <f t="shared" si="28"/>
        <v/>
      </c>
    </row>
    <row r="562" spans="1:20" ht="100" customHeight="1">
      <c r="A562" s="26"/>
      <c r="B562" s="39" t="str">
        <f t="shared" si="26"/>
        <v/>
      </c>
      <c r="C562" s="43"/>
      <c r="D562" s="51" t="str" cm="1">
        <f t="array" ref="D562">IFERROR(INDEX(DB!G$2:G$2576,T562),"")</f>
        <v/>
      </c>
      <c r="E562" s="43"/>
      <c r="F562" s="52" t="str" cm="1">
        <f t="array" ref="F562">IFERROR(INDEX(DB!O$2:O$2576,T562),"")</f>
        <v/>
      </c>
      <c r="G562" s="43"/>
      <c r="H562" s="40" t="str" cm="1">
        <f t="array" ref="H562">IFERROR(INDEX(DB!P$2:P$2576,T562),"")</f>
        <v/>
      </c>
      <c r="I562" s="43"/>
      <c r="J562" s="53" t="str" cm="1">
        <f t="array" ref="J562">IFERROR(INDEX(DB!Q$2:Q$2576,T562),"")</f>
        <v/>
      </c>
      <c r="K562" s="43"/>
      <c r="L562" s="41" t="str" cm="1">
        <f t="array" ref="L562">IFERROR(INDEX(DB!R$2:R$2576,T562),"")</f>
        <v/>
      </c>
      <c r="M562" s="43"/>
      <c r="P562" t="str" cm="1">
        <f t="array" ref="P562">IFERROR(_xlfn.AGGREGATE(15,6,ROW(DB!A$2:A$2576)/((($D$3&lt;&gt;"YES")+($D$3="YES")*(DB!E$2:E$2576="YES"))*(($D$4="")+($D$4&lt;&gt;"")*( DB!B$2:B$2576=$D$4))*(($D$5="")+($D$5&lt;&gt;"")*( DB!C$2:C$2576=$D$5))*(($D$6="")+($D$6&lt;&gt;"")*( DB!D$2:D$2576=$D$6))*(($D$7="")+($D$7&lt;&gt;"")*(ISNUMBER(SEARCH($D$7,DB!G$2:G$2576))))*(($F$7="전체")+($F$7&lt;&gt;"전체")*(DB!H$2:H$2576=$F$7))),ROW()-13)-1,"")</f>
        <v/>
      </c>
      <c r="Q562" t="str" cm="1">
        <f t="array" ref="Q562">IFERROR(INDEX(DB!G$2:G$2576,P562),"")</f>
        <v/>
      </c>
      <c r="R562" t="str" cm="1">
        <f t="array" ref="R562">IFERROR(INDEX(DB!O$2:O$2576,P562),"")</f>
        <v/>
      </c>
      <c r="S562" t="str">
        <f t="shared" si="27"/>
        <v/>
      </c>
      <c r="T562" t="str">
        <f t="shared" si="28"/>
        <v/>
      </c>
    </row>
    <row r="563" spans="1:20" ht="100" customHeight="1">
      <c r="A563" s="26"/>
      <c r="B563" s="42" t="str">
        <f t="shared" si="26"/>
        <v/>
      </c>
      <c r="C563" s="43"/>
      <c r="D563" s="51" t="str" cm="1">
        <f t="array" ref="D563">IFERROR(INDEX(DB!G$2:G$2576,T563),"")</f>
        <v/>
      </c>
      <c r="E563" s="43"/>
      <c r="F563" s="52" t="str" cm="1">
        <f t="array" ref="F563">IFERROR(INDEX(DB!O$2:O$2576,T563),"")</f>
        <v/>
      </c>
      <c r="G563" s="43"/>
      <c r="H563" s="40" t="str" cm="1">
        <f t="array" ref="H563">IFERROR(INDEX(DB!P$2:P$2576,T563),"")</f>
        <v/>
      </c>
      <c r="I563" s="43"/>
      <c r="J563" s="53" t="str" cm="1">
        <f t="array" ref="J563">IFERROR(INDEX(DB!Q$2:Q$2576,T563),"")</f>
        <v/>
      </c>
      <c r="K563" s="43"/>
      <c r="L563" s="41" t="str" cm="1">
        <f t="array" ref="L563">IFERROR(INDEX(DB!R$2:R$2576,T563),"")</f>
        <v/>
      </c>
      <c r="M563" s="43"/>
      <c r="P563" t="str" cm="1">
        <f t="array" ref="P563">IFERROR(_xlfn.AGGREGATE(15,6,ROW(DB!A$2:A$2576)/((($D$3&lt;&gt;"YES")+($D$3="YES")*(DB!E$2:E$2576="YES"))*(($D$4="")+($D$4&lt;&gt;"")*( DB!B$2:B$2576=$D$4))*(($D$5="")+($D$5&lt;&gt;"")*( DB!C$2:C$2576=$D$5))*(($D$6="")+($D$6&lt;&gt;"")*( DB!D$2:D$2576=$D$6))*(($D$7="")+($D$7&lt;&gt;"")*(ISNUMBER(SEARCH($D$7,DB!G$2:G$2576))))*(($F$7="전체")+($F$7&lt;&gt;"전체")*(DB!H$2:H$2576=$F$7))),ROW()-13)-1,"")</f>
        <v/>
      </c>
      <c r="Q563" t="str" cm="1">
        <f t="array" ref="Q563">IFERROR(INDEX(DB!G$2:G$2576,P563),"")</f>
        <v/>
      </c>
      <c r="R563" t="str" cm="1">
        <f t="array" ref="R563">IFERROR(INDEX(DB!O$2:O$2576,P563),"")</f>
        <v/>
      </c>
      <c r="S563" t="str">
        <f t="shared" si="27"/>
        <v/>
      </c>
      <c r="T563" t="str">
        <f t="shared" si="28"/>
        <v/>
      </c>
    </row>
    <row r="564" spans="1:20" ht="100" customHeight="1">
      <c r="A564" s="26"/>
      <c r="B564" s="39" t="str">
        <f t="shared" si="26"/>
        <v/>
      </c>
      <c r="C564" s="43"/>
      <c r="D564" s="51" t="str" cm="1">
        <f t="array" ref="D564">IFERROR(INDEX(DB!G$2:G$2576,T564),"")</f>
        <v/>
      </c>
      <c r="E564" s="43"/>
      <c r="F564" s="52" t="str" cm="1">
        <f t="array" ref="F564">IFERROR(INDEX(DB!O$2:O$2576,T564),"")</f>
        <v/>
      </c>
      <c r="G564" s="43"/>
      <c r="H564" s="40" t="str" cm="1">
        <f t="array" ref="H564">IFERROR(INDEX(DB!P$2:P$2576,T564),"")</f>
        <v/>
      </c>
      <c r="I564" s="43"/>
      <c r="J564" s="53" t="str" cm="1">
        <f t="array" ref="J564">IFERROR(INDEX(DB!Q$2:Q$2576,T564),"")</f>
        <v/>
      </c>
      <c r="K564" s="43"/>
      <c r="L564" s="41" t="str" cm="1">
        <f t="array" ref="L564">IFERROR(INDEX(DB!R$2:R$2576,T564),"")</f>
        <v/>
      </c>
      <c r="M564" s="43"/>
      <c r="P564" t="str" cm="1">
        <f t="array" ref="P564">IFERROR(_xlfn.AGGREGATE(15,6,ROW(DB!A$2:A$2576)/((($D$3&lt;&gt;"YES")+($D$3="YES")*(DB!E$2:E$2576="YES"))*(($D$4="")+($D$4&lt;&gt;"")*( DB!B$2:B$2576=$D$4))*(($D$5="")+($D$5&lt;&gt;"")*( DB!C$2:C$2576=$D$5))*(($D$6="")+($D$6&lt;&gt;"")*( DB!D$2:D$2576=$D$6))*(($D$7="")+($D$7&lt;&gt;"")*(ISNUMBER(SEARCH($D$7,DB!G$2:G$2576))))*(($F$7="전체")+($F$7&lt;&gt;"전체")*(DB!H$2:H$2576=$F$7))),ROW()-13)-1,"")</f>
        <v/>
      </c>
      <c r="Q564" t="str" cm="1">
        <f t="array" ref="Q564">IFERROR(INDEX(DB!G$2:G$2576,P564),"")</f>
        <v/>
      </c>
      <c r="R564" t="str" cm="1">
        <f t="array" ref="R564">IFERROR(INDEX(DB!O$2:O$2576,P564),"")</f>
        <v/>
      </c>
      <c r="S564" t="str">
        <f t="shared" si="27"/>
        <v/>
      </c>
      <c r="T564" t="str">
        <f t="shared" si="28"/>
        <v/>
      </c>
    </row>
    <row r="565" spans="1:20" ht="100" customHeight="1">
      <c r="A565" s="26"/>
      <c r="B565" s="42" t="str">
        <f t="shared" si="26"/>
        <v/>
      </c>
      <c r="C565" s="43"/>
      <c r="D565" s="51" t="str" cm="1">
        <f t="array" ref="D565">IFERROR(INDEX(DB!G$2:G$2576,T565),"")</f>
        <v/>
      </c>
      <c r="E565" s="43"/>
      <c r="F565" s="52" t="str" cm="1">
        <f t="array" ref="F565">IFERROR(INDEX(DB!O$2:O$2576,T565),"")</f>
        <v/>
      </c>
      <c r="G565" s="43"/>
      <c r="H565" s="40" t="str" cm="1">
        <f t="array" ref="H565">IFERROR(INDEX(DB!P$2:P$2576,T565),"")</f>
        <v/>
      </c>
      <c r="I565" s="43"/>
      <c r="J565" s="53" t="str" cm="1">
        <f t="array" ref="J565">IFERROR(INDEX(DB!Q$2:Q$2576,T565),"")</f>
        <v/>
      </c>
      <c r="K565" s="43"/>
      <c r="L565" s="41" t="str" cm="1">
        <f t="array" ref="L565">IFERROR(INDEX(DB!R$2:R$2576,T565),"")</f>
        <v/>
      </c>
      <c r="M565" s="43"/>
      <c r="P565" t="str" cm="1">
        <f t="array" ref="P565">IFERROR(_xlfn.AGGREGATE(15,6,ROW(DB!A$2:A$2576)/((($D$3&lt;&gt;"YES")+($D$3="YES")*(DB!E$2:E$2576="YES"))*(($D$4="")+($D$4&lt;&gt;"")*( DB!B$2:B$2576=$D$4))*(($D$5="")+($D$5&lt;&gt;"")*( DB!C$2:C$2576=$D$5))*(($D$6="")+($D$6&lt;&gt;"")*( DB!D$2:D$2576=$D$6))*(($D$7="")+($D$7&lt;&gt;"")*(ISNUMBER(SEARCH($D$7,DB!G$2:G$2576))))*(($F$7="전체")+($F$7&lt;&gt;"전체")*(DB!H$2:H$2576=$F$7))),ROW()-13)-1,"")</f>
        <v/>
      </c>
      <c r="Q565" t="str" cm="1">
        <f t="array" ref="Q565">IFERROR(INDEX(DB!G$2:G$2576,P565),"")</f>
        <v/>
      </c>
      <c r="R565" t="str" cm="1">
        <f t="array" ref="R565">IFERROR(INDEX(DB!O$2:O$2576,P565),"")</f>
        <v/>
      </c>
      <c r="S565" t="str">
        <f t="shared" si="27"/>
        <v/>
      </c>
      <c r="T565" t="str">
        <f t="shared" si="28"/>
        <v/>
      </c>
    </row>
    <row r="566" spans="1:20" ht="100" customHeight="1">
      <c r="A566" s="26"/>
      <c r="B566" s="39" t="str">
        <f t="shared" si="26"/>
        <v/>
      </c>
      <c r="C566" s="43"/>
      <c r="D566" s="51" t="str" cm="1">
        <f t="array" ref="D566">IFERROR(INDEX(DB!G$2:G$2576,T566),"")</f>
        <v/>
      </c>
      <c r="E566" s="43"/>
      <c r="F566" s="52" t="str" cm="1">
        <f t="array" ref="F566">IFERROR(INDEX(DB!O$2:O$2576,T566),"")</f>
        <v/>
      </c>
      <c r="G566" s="43"/>
      <c r="H566" s="40" t="str" cm="1">
        <f t="array" ref="H566">IFERROR(INDEX(DB!P$2:P$2576,T566),"")</f>
        <v/>
      </c>
      <c r="I566" s="43"/>
      <c r="J566" s="53" t="str" cm="1">
        <f t="array" ref="J566">IFERROR(INDEX(DB!Q$2:Q$2576,T566),"")</f>
        <v/>
      </c>
      <c r="K566" s="43"/>
      <c r="L566" s="41" t="str" cm="1">
        <f t="array" ref="L566">IFERROR(INDEX(DB!R$2:R$2576,T566),"")</f>
        <v/>
      </c>
      <c r="M566" s="43"/>
      <c r="P566" t="str" cm="1">
        <f t="array" ref="P566">IFERROR(_xlfn.AGGREGATE(15,6,ROW(DB!A$2:A$2576)/((($D$3&lt;&gt;"YES")+($D$3="YES")*(DB!E$2:E$2576="YES"))*(($D$4="")+($D$4&lt;&gt;"")*( DB!B$2:B$2576=$D$4))*(($D$5="")+($D$5&lt;&gt;"")*( DB!C$2:C$2576=$D$5))*(($D$6="")+($D$6&lt;&gt;"")*( DB!D$2:D$2576=$D$6))*(($D$7="")+($D$7&lt;&gt;"")*(ISNUMBER(SEARCH($D$7,DB!G$2:G$2576))))*(($F$7="전체")+($F$7&lt;&gt;"전체")*(DB!H$2:H$2576=$F$7))),ROW()-13)-1,"")</f>
        <v/>
      </c>
      <c r="Q566" t="str" cm="1">
        <f t="array" ref="Q566">IFERROR(INDEX(DB!G$2:G$2576,P566),"")</f>
        <v/>
      </c>
      <c r="R566" t="str" cm="1">
        <f t="array" ref="R566">IFERROR(INDEX(DB!O$2:O$2576,P566),"")</f>
        <v/>
      </c>
      <c r="S566" t="str">
        <f t="shared" si="27"/>
        <v/>
      </c>
      <c r="T566" t="str">
        <f t="shared" si="28"/>
        <v/>
      </c>
    </row>
    <row r="567" spans="1:20" ht="100" customHeight="1">
      <c r="A567" s="26"/>
      <c r="B567" s="42" t="str">
        <f t="shared" si="26"/>
        <v/>
      </c>
      <c r="C567" s="43"/>
      <c r="D567" s="51" t="str" cm="1">
        <f t="array" ref="D567">IFERROR(INDEX(DB!G$2:G$2576,T567),"")</f>
        <v/>
      </c>
      <c r="E567" s="43"/>
      <c r="F567" s="52" t="str" cm="1">
        <f t="array" ref="F567">IFERROR(INDEX(DB!O$2:O$2576,T567),"")</f>
        <v/>
      </c>
      <c r="G567" s="43"/>
      <c r="H567" s="40" t="str" cm="1">
        <f t="array" ref="H567">IFERROR(INDEX(DB!P$2:P$2576,T567),"")</f>
        <v/>
      </c>
      <c r="I567" s="43"/>
      <c r="J567" s="53" t="str" cm="1">
        <f t="array" ref="J567">IFERROR(INDEX(DB!Q$2:Q$2576,T567),"")</f>
        <v/>
      </c>
      <c r="K567" s="43"/>
      <c r="L567" s="41" t="str" cm="1">
        <f t="array" ref="L567">IFERROR(INDEX(DB!R$2:R$2576,T567),"")</f>
        <v/>
      </c>
      <c r="M567" s="43"/>
      <c r="P567" t="str" cm="1">
        <f t="array" ref="P567">IFERROR(_xlfn.AGGREGATE(15,6,ROW(DB!A$2:A$2576)/((($D$3&lt;&gt;"YES")+($D$3="YES")*(DB!E$2:E$2576="YES"))*(($D$4="")+($D$4&lt;&gt;"")*( DB!B$2:B$2576=$D$4))*(($D$5="")+($D$5&lt;&gt;"")*( DB!C$2:C$2576=$D$5))*(($D$6="")+($D$6&lt;&gt;"")*( DB!D$2:D$2576=$D$6))*(($D$7="")+($D$7&lt;&gt;"")*(ISNUMBER(SEARCH($D$7,DB!G$2:G$2576))))*(($F$7="전체")+($F$7&lt;&gt;"전체")*(DB!H$2:H$2576=$F$7))),ROW()-13)-1,"")</f>
        <v/>
      </c>
      <c r="Q567" t="str" cm="1">
        <f t="array" ref="Q567">IFERROR(INDEX(DB!G$2:G$2576,P567),"")</f>
        <v/>
      </c>
      <c r="R567" t="str" cm="1">
        <f t="array" ref="R567">IFERROR(INDEX(DB!O$2:O$2576,P567),"")</f>
        <v/>
      </c>
      <c r="S567" t="str">
        <f t="shared" si="27"/>
        <v/>
      </c>
      <c r="T567" t="str">
        <f t="shared" si="28"/>
        <v/>
      </c>
    </row>
    <row r="568" spans="1:20" ht="100" customHeight="1">
      <c r="A568" s="26"/>
      <c r="B568" s="39" t="str">
        <f t="shared" si="26"/>
        <v/>
      </c>
      <c r="C568" s="43"/>
      <c r="D568" s="51" t="str" cm="1">
        <f t="array" ref="D568">IFERROR(INDEX(DB!G$2:G$2576,T568),"")</f>
        <v/>
      </c>
      <c r="E568" s="43"/>
      <c r="F568" s="52" t="str" cm="1">
        <f t="array" ref="F568">IFERROR(INDEX(DB!O$2:O$2576,T568),"")</f>
        <v/>
      </c>
      <c r="G568" s="43"/>
      <c r="H568" s="40" t="str" cm="1">
        <f t="array" ref="H568">IFERROR(INDEX(DB!P$2:P$2576,T568),"")</f>
        <v/>
      </c>
      <c r="I568" s="43"/>
      <c r="J568" s="53" t="str" cm="1">
        <f t="array" ref="J568">IFERROR(INDEX(DB!Q$2:Q$2576,T568),"")</f>
        <v/>
      </c>
      <c r="K568" s="43"/>
      <c r="L568" s="41" t="str" cm="1">
        <f t="array" ref="L568">IFERROR(INDEX(DB!R$2:R$2576,T568),"")</f>
        <v/>
      </c>
      <c r="M568" s="43"/>
      <c r="P568" t="str" cm="1">
        <f t="array" ref="P568">IFERROR(_xlfn.AGGREGATE(15,6,ROW(DB!A$2:A$2576)/((($D$3&lt;&gt;"YES")+($D$3="YES")*(DB!E$2:E$2576="YES"))*(($D$4="")+($D$4&lt;&gt;"")*( DB!B$2:B$2576=$D$4))*(($D$5="")+($D$5&lt;&gt;"")*( DB!C$2:C$2576=$D$5))*(($D$6="")+($D$6&lt;&gt;"")*( DB!D$2:D$2576=$D$6))*(($D$7="")+($D$7&lt;&gt;"")*(ISNUMBER(SEARCH($D$7,DB!G$2:G$2576))))*(($F$7="전체")+($F$7&lt;&gt;"전체")*(DB!H$2:H$2576=$F$7))),ROW()-13)-1,"")</f>
        <v/>
      </c>
      <c r="Q568" t="str" cm="1">
        <f t="array" ref="Q568">IFERROR(INDEX(DB!G$2:G$2576,P568),"")</f>
        <v/>
      </c>
      <c r="R568" t="str" cm="1">
        <f t="array" ref="R568">IFERROR(INDEX(DB!O$2:O$2576,P568),"")</f>
        <v/>
      </c>
      <c r="S568" t="str">
        <f t="shared" si="27"/>
        <v/>
      </c>
      <c r="T568" t="str">
        <f t="shared" si="28"/>
        <v/>
      </c>
    </row>
    <row r="569" spans="1:20" ht="100" customHeight="1">
      <c r="A569" s="26"/>
      <c r="B569" s="42" t="str">
        <f t="shared" si="26"/>
        <v/>
      </c>
      <c r="C569" s="43"/>
      <c r="D569" s="51" t="str" cm="1">
        <f t="array" ref="D569">IFERROR(INDEX(DB!G$2:G$2576,T569),"")</f>
        <v/>
      </c>
      <c r="E569" s="43"/>
      <c r="F569" s="52" t="str" cm="1">
        <f t="array" ref="F569">IFERROR(INDEX(DB!O$2:O$2576,T569),"")</f>
        <v/>
      </c>
      <c r="G569" s="43"/>
      <c r="H569" s="40" t="str" cm="1">
        <f t="array" ref="H569">IFERROR(INDEX(DB!P$2:P$2576,T569),"")</f>
        <v/>
      </c>
      <c r="I569" s="43"/>
      <c r="J569" s="53" t="str" cm="1">
        <f t="array" ref="J569">IFERROR(INDEX(DB!Q$2:Q$2576,T569),"")</f>
        <v/>
      </c>
      <c r="K569" s="43"/>
      <c r="L569" s="41" t="str" cm="1">
        <f t="array" ref="L569">IFERROR(INDEX(DB!R$2:R$2576,T569),"")</f>
        <v/>
      </c>
      <c r="M569" s="43"/>
      <c r="P569" t="str" cm="1">
        <f t="array" ref="P569">IFERROR(_xlfn.AGGREGATE(15,6,ROW(DB!A$2:A$2576)/((($D$3&lt;&gt;"YES")+($D$3="YES")*(DB!E$2:E$2576="YES"))*(($D$4="")+($D$4&lt;&gt;"")*( DB!B$2:B$2576=$D$4))*(($D$5="")+($D$5&lt;&gt;"")*( DB!C$2:C$2576=$D$5))*(($D$6="")+($D$6&lt;&gt;"")*( DB!D$2:D$2576=$D$6))*(($D$7="")+($D$7&lt;&gt;"")*(ISNUMBER(SEARCH($D$7,DB!G$2:G$2576))))*(($F$7="전체")+($F$7&lt;&gt;"전체")*(DB!H$2:H$2576=$F$7))),ROW()-13)-1,"")</f>
        <v/>
      </c>
      <c r="Q569" t="str" cm="1">
        <f t="array" ref="Q569">IFERROR(INDEX(DB!G$2:G$2576,P569),"")</f>
        <v/>
      </c>
      <c r="R569" t="str" cm="1">
        <f t="array" ref="R569">IFERROR(INDEX(DB!O$2:O$2576,P569),"")</f>
        <v/>
      </c>
      <c r="S569" t="str">
        <f t="shared" si="27"/>
        <v/>
      </c>
      <c r="T569" t="str">
        <f t="shared" si="28"/>
        <v/>
      </c>
    </row>
    <row r="570" spans="1:20" ht="100" customHeight="1">
      <c r="A570" s="26"/>
      <c r="B570" s="39" t="str">
        <f t="shared" si="26"/>
        <v/>
      </c>
      <c r="C570" s="43"/>
      <c r="D570" s="51" t="str" cm="1">
        <f t="array" ref="D570">IFERROR(INDEX(DB!G$2:G$2576,T570),"")</f>
        <v/>
      </c>
      <c r="E570" s="43"/>
      <c r="F570" s="52" t="str" cm="1">
        <f t="array" ref="F570">IFERROR(INDEX(DB!O$2:O$2576,T570),"")</f>
        <v/>
      </c>
      <c r="G570" s="43"/>
      <c r="H570" s="40" t="str" cm="1">
        <f t="array" ref="H570">IFERROR(INDEX(DB!P$2:P$2576,T570),"")</f>
        <v/>
      </c>
      <c r="I570" s="43"/>
      <c r="J570" s="53" t="str" cm="1">
        <f t="array" ref="J570">IFERROR(INDEX(DB!Q$2:Q$2576,T570),"")</f>
        <v/>
      </c>
      <c r="K570" s="43"/>
      <c r="L570" s="41" t="str" cm="1">
        <f t="array" ref="L570">IFERROR(INDEX(DB!R$2:R$2576,T570),"")</f>
        <v/>
      </c>
      <c r="M570" s="43"/>
      <c r="P570" t="str" cm="1">
        <f t="array" ref="P570">IFERROR(_xlfn.AGGREGATE(15,6,ROW(DB!A$2:A$2576)/((($D$3&lt;&gt;"YES")+($D$3="YES")*(DB!E$2:E$2576="YES"))*(($D$4="")+($D$4&lt;&gt;"")*( DB!B$2:B$2576=$D$4))*(($D$5="")+($D$5&lt;&gt;"")*( DB!C$2:C$2576=$D$5))*(($D$6="")+($D$6&lt;&gt;"")*( DB!D$2:D$2576=$D$6))*(($D$7="")+($D$7&lt;&gt;"")*(ISNUMBER(SEARCH($D$7,DB!G$2:G$2576))))*(($F$7="전체")+($F$7&lt;&gt;"전체")*(DB!H$2:H$2576=$F$7))),ROW()-13)-1,"")</f>
        <v/>
      </c>
      <c r="Q570" t="str" cm="1">
        <f t="array" ref="Q570">IFERROR(INDEX(DB!G$2:G$2576,P570),"")</f>
        <v/>
      </c>
      <c r="R570" t="str" cm="1">
        <f t="array" ref="R570">IFERROR(INDEX(DB!O$2:O$2576,P570),"")</f>
        <v/>
      </c>
      <c r="S570" t="str">
        <f t="shared" si="27"/>
        <v/>
      </c>
      <c r="T570" t="str">
        <f t="shared" si="28"/>
        <v/>
      </c>
    </row>
    <row r="571" spans="1:20" ht="100" customHeight="1">
      <c r="A571" s="26"/>
      <c r="B571" s="42" t="str">
        <f t="shared" si="26"/>
        <v/>
      </c>
      <c r="C571" s="43"/>
      <c r="D571" s="51" t="str" cm="1">
        <f t="array" ref="D571">IFERROR(INDEX(DB!G$2:G$2576,T571),"")</f>
        <v/>
      </c>
      <c r="E571" s="43"/>
      <c r="F571" s="52" t="str" cm="1">
        <f t="array" ref="F571">IFERROR(INDEX(DB!O$2:O$2576,T571),"")</f>
        <v/>
      </c>
      <c r="G571" s="43"/>
      <c r="H571" s="40" t="str" cm="1">
        <f t="array" ref="H571">IFERROR(INDEX(DB!P$2:P$2576,T571),"")</f>
        <v/>
      </c>
      <c r="I571" s="43"/>
      <c r="J571" s="53" t="str" cm="1">
        <f t="array" ref="J571">IFERROR(INDEX(DB!Q$2:Q$2576,T571),"")</f>
        <v/>
      </c>
      <c r="K571" s="43"/>
      <c r="L571" s="41" t="str" cm="1">
        <f t="array" ref="L571">IFERROR(INDEX(DB!R$2:R$2576,T571),"")</f>
        <v/>
      </c>
      <c r="M571" s="43"/>
      <c r="P571" t="str" cm="1">
        <f t="array" ref="P571">IFERROR(_xlfn.AGGREGATE(15,6,ROW(DB!A$2:A$2576)/((($D$3&lt;&gt;"YES")+($D$3="YES")*(DB!E$2:E$2576="YES"))*(($D$4="")+($D$4&lt;&gt;"")*( DB!B$2:B$2576=$D$4))*(($D$5="")+($D$5&lt;&gt;"")*( DB!C$2:C$2576=$D$5))*(($D$6="")+($D$6&lt;&gt;"")*( DB!D$2:D$2576=$D$6))*(($D$7="")+($D$7&lt;&gt;"")*(ISNUMBER(SEARCH($D$7,DB!G$2:G$2576))))*(($F$7="전체")+($F$7&lt;&gt;"전체")*(DB!H$2:H$2576=$F$7))),ROW()-13)-1,"")</f>
        <v/>
      </c>
      <c r="Q571" t="str" cm="1">
        <f t="array" ref="Q571">IFERROR(INDEX(DB!G$2:G$2576,P571),"")</f>
        <v/>
      </c>
      <c r="R571" t="str" cm="1">
        <f t="array" ref="R571">IFERROR(INDEX(DB!O$2:O$2576,P571),"")</f>
        <v/>
      </c>
      <c r="S571" t="str">
        <f t="shared" si="27"/>
        <v/>
      </c>
      <c r="T571" t="str">
        <f t="shared" si="28"/>
        <v/>
      </c>
    </row>
    <row r="572" spans="1:20" ht="100" customHeight="1">
      <c r="A572" s="26"/>
      <c r="B572" s="39" t="str">
        <f t="shared" si="26"/>
        <v/>
      </c>
      <c r="C572" s="43"/>
      <c r="D572" s="51" t="str" cm="1">
        <f t="array" ref="D572">IFERROR(INDEX(DB!G$2:G$2576,T572),"")</f>
        <v/>
      </c>
      <c r="E572" s="43"/>
      <c r="F572" s="52" t="str" cm="1">
        <f t="array" ref="F572">IFERROR(INDEX(DB!O$2:O$2576,T572),"")</f>
        <v/>
      </c>
      <c r="G572" s="43"/>
      <c r="H572" s="40" t="str" cm="1">
        <f t="array" ref="H572">IFERROR(INDEX(DB!P$2:P$2576,T572),"")</f>
        <v/>
      </c>
      <c r="I572" s="43"/>
      <c r="J572" s="53" t="str" cm="1">
        <f t="array" ref="J572">IFERROR(INDEX(DB!Q$2:Q$2576,T572),"")</f>
        <v/>
      </c>
      <c r="K572" s="43"/>
      <c r="L572" s="41" t="str" cm="1">
        <f t="array" ref="L572">IFERROR(INDEX(DB!R$2:R$2576,T572),"")</f>
        <v/>
      </c>
      <c r="M572" s="43"/>
      <c r="P572" t="str" cm="1">
        <f t="array" ref="P572">IFERROR(_xlfn.AGGREGATE(15,6,ROW(DB!A$2:A$2576)/((($D$3&lt;&gt;"YES")+($D$3="YES")*(DB!E$2:E$2576="YES"))*(($D$4="")+($D$4&lt;&gt;"")*( DB!B$2:B$2576=$D$4))*(($D$5="")+($D$5&lt;&gt;"")*( DB!C$2:C$2576=$D$5))*(($D$6="")+($D$6&lt;&gt;"")*( DB!D$2:D$2576=$D$6))*(($D$7="")+($D$7&lt;&gt;"")*(ISNUMBER(SEARCH($D$7,DB!G$2:G$2576))))*(($F$7="전체")+($F$7&lt;&gt;"전체")*(DB!H$2:H$2576=$F$7))),ROW()-13)-1,"")</f>
        <v/>
      </c>
      <c r="Q572" t="str" cm="1">
        <f t="array" ref="Q572">IFERROR(INDEX(DB!G$2:G$2576,P572),"")</f>
        <v/>
      </c>
      <c r="R572" t="str" cm="1">
        <f t="array" ref="R572">IFERROR(INDEX(DB!O$2:O$2576,P572),"")</f>
        <v/>
      </c>
      <c r="S572" t="str">
        <f t="shared" si="27"/>
        <v/>
      </c>
      <c r="T572" t="str">
        <f t="shared" si="28"/>
        <v/>
      </c>
    </row>
    <row r="573" spans="1:20" ht="100" customHeight="1">
      <c r="A573" s="26"/>
      <c r="B573" s="42" t="str">
        <f t="shared" si="26"/>
        <v/>
      </c>
      <c r="C573" s="43"/>
      <c r="D573" s="51" t="str" cm="1">
        <f t="array" ref="D573">IFERROR(INDEX(DB!G$2:G$2576,T573),"")</f>
        <v/>
      </c>
      <c r="E573" s="43"/>
      <c r="F573" s="52" t="str" cm="1">
        <f t="array" ref="F573">IFERROR(INDEX(DB!O$2:O$2576,T573),"")</f>
        <v/>
      </c>
      <c r="G573" s="43"/>
      <c r="H573" s="40" t="str" cm="1">
        <f t="array" ref="H573">IFERROR(INDEX(DB!P$2:P$2576,T573),"")</f>
        <v/>
      </c>
      <c r="I573" s="43"/>
      <c r="J573" s="53" t="str" cm="1">
        <f t="array" ref="J573">IFERROR(INDEX(DB!Q$2:Q$2576,T573),"")</f>
        <v/>
      </c>
      <c r="K573" s="43"/>
      <c r="L573" s="41" t="str" cm="1">
        <f t="array" ref="L573">IFERROR(INDEX(DB!R$2:R$2576,T573),"")</f>
        <v/>
      </c>
      <c r="M573" s="43"/>
      <c r="P573" t="str" cm="1">
        <f t="array" ref="P573">IFERROR(_xlfn.AGGREGATE(15,6,ROW(DB!A$2:A$2576)/((($D$3&lt;&gt;"YES")+($D$3="YES")*(DB!E$2:E$2576="YES"))*(($D$4="")+($D$4&lt;&gt;"")*( DB!B$2:B$2576=$D$4))*(($D$5="")+($D$5&lt;&gt;"")*( DB!C$2:C$2576=$D$5))*(($D$6="")+($D$6&lt;&gt;"")*( DB!D$2:D$2576=$D$6))*(($D$7="")+($D$7&lt;&gt;"")*(ISNUMBER(SEARCH($D$7,DB!G$2:G$2576))))*(($F$7="전체")+($F$7&lt;&gt;"전체")*(DB!H$2:H$2576=$F$7))),ROW()-13)-1,"")</f>
        <v/>
      </c>
      <c r="Q573" t="str" cm="1">
        <f t="array" ref="Q573">IFERROR(INDEX(DB!G$2:G$2576,P573),"")</f>
        <v/>
      </c>
      <c r="R573" t="str" cm="1">
        <f t="array" ref="R573">IFERROR(INDEX(DB!O$2:O$2576,P573),"")</f>
        <v/>
      </c>
      <c r="S573" t="str">
        <f t="shared" si="27"/>
        <v/>
      </c>
      <c r="T573" t="str">
        <f t="shared" si="28"/>
        <v/>
      </c>
    </row>
    <row r="574" spans="1:20" ht="100" customHeight="1">
      <c r="A574" s="26"/>
      <c r="B574" s="39" t="str">
        <f t="shared" si="26"/>
        <v/>
      </c>
      <c r="C574" s="43"/>
      <c r="D574" s="51" t="str" cm="1">
        <f t="array" ref="D574">IFERROR(INDEX(DB!G$2:G$2576,T574),"")</f>
        <v/>
      </c>
      <c r="E574" s="43"/>
      <c r="F574" s="52" t="str" cm="1">
        <f t="array" ref="F574">IFERROR(INDEX(DB!O$2:O$2576,T574),"")</f>
        <v/>
      </c>
      <c r="G574" s="43"/>
      <c r="H574" s="40" t="str" cm="1">
        <f t="array" ref="H574">IFERROR(INDEX(DB!P$2:P$2576,T574),"")</f>
        <v/>
      </c>
      <c r="I574" s="43"/>
      <c r="J574" s="53" t="str" cm="1">
        <f t="array" ref="J574">IFERROR(INDEX(DB!Q$2:Q$2576,T574),"")</f>
        <v/>
      </c>
      <c r="K574" s="43"/>
      <c r="L574" s="41" t="str" cm="1">
        <f t="array" ref="L574">IFERROR(INDEX(DB!R$2:R$2576,T574),"")</f>
        <v/>
      </c>
      <c r="M574" s="43"/>
      <c r="P574" t="str" cm="1">
        <f t="array" ref="P574">IFERROR(_xlfn.AGGREGATE(15,6,ROW(DB!A$2:A$2576)/((($D$3&lt;&gt;"YES")+($D$3="YES")*(DB!E$2:E$2576="YES"))*(($D$4="")+($D$4&lt;&gt;"")*( DB!B$2:B$2576=$D$4))*(($D$5="")+($D$5&lt;&gt;"")*( DB!C$2:C$2576=$D$5))*(($D$6="")+($D$6&lt;&gt;"")*( DB!D$2:D$2576=$D$6))*(($D$7="")+($D$7&lt;&gt;"")*(ISNUMBER(SEARCH($D$7,DB!G$2:G$2576))))*(($F$7="전체")+($F$7&lt;&gt;"전체")*(DB!H$2:H$2576=$F$7))),ROW()-13)-1,"")</f>
        <v/>
      </c>
      <c r="Q574" t="str" cm="1">
        <f t="array" ref="Q574">IFERROR(INDEX(DB!G$2:G$2576,P574),"")</f>
        <v/>
      </c>
      <c r="R574" t="str" cm="1">
        <f t="array" ref="R574">IFERROR(INDEX(DB!O$2:O$2576,P574),"")</f>
        <v/>
      </c>
      <c r="S574" t="str">
        <f t="shared" si="27"/>
        <v/>
      </c>
      <c r="T574" t="str">
        <f t="shared" si="28"/>
        <v/>
      </c>
    </row>
    <row r="575" spans="1:20" ht="100" customHeight="1">
      <c r="A575" s="26"/>
      <c r="B575" s="42" t="str">
        <f t="shared" si="26"/>
        <v/>
      </c>
      <c r="C575" s="43"/>
      <c r="D575" s="51" t="str" cm="1">
        <f t="array" ref="D575">IFERROR(INDEX(DB!G$2:G$2576,T575),"")</f>
        <v/>
      </c>
      <c r="E575" s="43"/>
      <c r="F575" s="52" t="str" cm="1">
        <f t="array" ref="F575">IFERROR(INDEX(DB!O$2:O$2576,T575),"")</f>
        <v/>
      </c>
      <c r="G575" s="43"/>
      <c r="H575" s="40" t="str" cm="1">
        <f t="array" ref="H575">IFERROR(INDEX(DB!P$2:P$2576,T575),"")</f>
        <v/>
      </c>
      <c r="I575" s="43"/>
      <c r="J575" s="53" t="str" cm="1">
        <f t="array" ref="J575">IFERROR(INDEX(DB!Q$2:Q$2576,T575),"")</f>
        <v/>
      </c>
      <c r="K575" s="43"/>
      <c r="L575" s="41" t="str" cm="1">
        <f t="array" ref="L575">IFERROR(INDEX(DB!R$2:R$2576,T575),"")</f>
        <v/>
      </c>
      <c r="M575" s="43"/>
      <c r="P575" t="str" cm="1">
        <f t="array" ref="P575">IFERROR(_xlfn.AGGREGATE(15,6,ROW(DB!A$2:A$2576)/((($D$3&lt;&gt;"YES")+($D$3="YES")*(DB!E$2:E$2576="YES"))*(($D$4="")+($D$4&lt;&gt;"")*( DB!B$2:B$2576=$D$4))*(($D$5="")+($D$5&lt;&gt;"")*( DB!C$2:C$2576=$D$5))*(($D$6="")+($D$6&lt;&gt;"")*( DB!D$2:D$2576=$D$6))*(($D$7="")+($D$7&lt;&gt;"")*(ISNUMBER(SEARCH($D$7,DB!G$2:G$2576))))*(($F$7="전체")+($F$7&lt;&gt;"전체")*(DB!H$2:H$2576=$F$7))),ROW()-13)-1,"")</f>
        <v/>
      </c>
      <c r="Q575" t="str" cm="1">
        <f t="array" ref="Q575">IFERROR(INDEX(DB!G$2:G$2576,P575),"")</f>
        <v/>
      </c>
      <c r="R575" t="str" cm="1">
        <f t="array" ref="R575">IFERROR(INDEX(DB!O$2:O$2576,P575),"")</f>
        <v/>
      </c>
      <c r="S575" t="str">
        <f t="shared" si="27"/>
        <v/>
      </c>
      <c r="T575" t="str">
        <f t="shared" si="28"/>
        <v/>
      </c>
    </row>
    <row r="576" spans="1:20" ht="100" customHeight="1">
      <c r="A576" s="26"/>
      <c r="B576" s="39" t="str">
        <f t="shared" si="26"/>
        <v/>
      </c>
      <c r="C576" s="43"/>
      <c r="D576" s="51" t="str" cm="1">
        <f t="array" ref="D576">IFERROR(INDEX(DB!G$2:G$2576,T576),"")</f>
        <v/>
      </c>
      <c r="E576" s="43"/>
      <c r="F576" s="52" t="str" cm="1">
        <f t="array" ref="F576">IFERROR(INDEX(DB!O$2:O$2576,T576),"")</f>
        <v/>
      </c>
      <c r="G576" s="43"/>
      <c r="H576" s="40" t="str" cm="1">
        <f t="array" ref="H576">IFERROR(INDEX(DB!P$2:P$2576,T576),"")</f>
        <v/>
      </c>
      <c r="I576" s="43"/>
      <c r="J576" s="53" t="str" cm="1">
        <f t="array" ref="J576">IFERROR(INDEX(DB!Q$2:Q$2576,T576),"")</f>
        <v/>
      </c>
      <c r="K576" s="43"/>
      <c r="L576" s="41" t="str" cm="1">
        <f t="array" ref="L576">IFERROR(INDEX(DB!R$2:R$2576,T576),"")</f>
        <v/>
      </c>
      <c r="M576" s="43"/>
      <c r="P576" t="str" cm="1">
        <f t="array" ref="P576">IFERROR(_xlfn.AGGREGATE(15,6,ROW(DB!A$2:A$2576)/((($D$3&lt;&gt;"YES")+($D$3="YES")*(DB!E$2:E$2576="YES"))*(($D$4="")+($D$4&lt;&gt;"")*( DB!B$2:B$2576=$D$4))*(($D$5="")+($D$5&lt;&gt;"")*( DB!C$2:C$2576=$D$5))*(($D$6="")+($D$6&lt;&gt;"")*( DB!D$2:D$2576=$D$6))*(($D$7="")+($D$7&lt;&gt;"")*(ISNUMBER(SEARCH($D$7,DB!G$2:G$2576))))*(($F$7="전체")+($F$7&lt;&gt;"전체")*(DB!H$2:H$2576=$F$7))),ROW()-13)-1,"")</f>
        <v/>
      </c>
      <c r="Q576" t="str" cm="1">
        <f t="array" ref="Q576">IFERROR(INDEX(DB!G$2:G$2576,P576),"")</f>
        <v/>
      </c>
      <c r="R576" t="str" cm="1">
        <f t="array" ref="R576">IFERROR(INDEX(DB!O$2:O$2576,P576),"")</f>
        <v/>
      </c>
      <c r="S576" t="str">
        <f t="shared" si="27"/>
        <v/>
      </c>
      <c r="T576" t="str">
        <f t="shared" si="28"/>
        <v/>
      </c>
    </row>
    <row r="577" spans="1:20" ht="100" customHeight="1">
      <c r="A577" s="26"/>
      <c r="B577" s="42" t="str">
        <f t="shared" si="26"/>
        <v/>
      </c>
      <c r="C577" s="43"/>
      <c r="D577" s="51" t="str" cm="1">
        <f t="array" ref="D577">IFERROR(INDEX(DB!G$2:G$2576,T577),"")</f>
        <v/>
      </c>
      <c r="E577" s="43"/>
      <c r="F577" s="52" t="str" cm="1">
        <f t="array" ref="F577">IFERROR(INDEX(DB!O$2:O$2576,T577),"")</f>
        <v/>
      </c>
      <c r="G577" s="43"/>
      <c r="H577" s="40" t="str" cm="1">
        <f t="array" ref="H577">IFERROR(INDEX(DB!P$2:P$2576,T577),"")</f>
        <v/>
      </c>
      <c r="I577" s="43"/>
      <c r="J577" s="53" t="str" cm="1">
        <f t="array" ref="J577">IFERROR(INDEX(DB!Q$2:Q$2576,T577),"")</f>
        <v/>
      </c>
      <c r="K577" s="43"/>
      <c r="L577" s="41" t="str" cm="1">
        <f t="array" ref="L577">IFERROR(INDEX(DB!R$2:R$2576,T577),"")</f>
        <v/>
      </c>
      <c r="M577" s="43"/>
      <c r="P577" t="str" cm="1">
        <f t="array" ref="P577">IFERROR(_xlfn.AGGREGATE(15,6,ROW(DB!A$2:A$2576)/((($D$3&lt;&gt;"YES")+($D$3="YES")*(DB!E$2:E$2576="YES"))*(($D$4="")+($D$4&lt;&gt;"")*( DB!B$2:B$2576=$D$4))*(($D$5="")+($D$5&lt;&gt;"")*( DB!C$2:C$2576=$D$5))*(($D$6="")+($D$6&lt;&gt;"")*( DB!D$2:D$2576=$D$6))*(($D$7="")+($D$7&lt;&gt;"")*(ISNUMBER(SEARCH($D$7,DB!G$2:G$2576))))*(($F$7="전체")+($F$7&lt;&gt;"전체")*(DB!H$2:H$2576=$F$7))),ROW()-13)-1,"")</f>
        <v/>
      </c>
      <c r="Q577" t="str" cm="1">
        <f t="array" ref="Q577">IFERROR(INDEX(DB!G$2:G$2576,P577),"")</f>
        <v/>
      </c>
      <c r="R577" t="str" cm="1">
        <f t="array" ref="R577">IFERROR(INDEX(DB!O$2:O$2576,P577),"")</f>
        <v/>
      </c>
      <c r="S577" t="str">
        <f t="shared" si="27"/>
        <v/>
      </c>
      <c r="T577" t="str">
        <f t="shared" si="28"/>
        <v/>
      </c>
    </row>
    <row r="578" spans="1:20" ht="100" customHeight="1">
      <c r="A578" s="26"/>
      <c r="B578" s="39" t="str">
        <f t="shared" si="26"/>
        <v/>
      </c>
      <c r="C578" s="43"/>
      <c r="D578" s="51" t="str" cm="1">
        <f t="array" ref="D578">IFERROR(INDEX(DB!G$2:G$2576,T578),"")</f>
        <v/>
      </c>
      <c r="E578" s="43"/>
      <c r="F578" s="52" t="str" cm="1">
        <f t="array" ref="F578">IFERROR(INDEX(DB!O$2:O$2576,T578),"")</f>
        <v/>
      </c>
      <c r="G578" s="43"/>
      <c r="H578" s="40" t="str" cm="1">
        <f t="array" ref="H578">IFERROR(INDEX(DB!P$2:P$2576,T578),"")</f>
        <v/>
      </c>
      <c r="I578" s="43"/>
      <c r="J578" s="53" t="str" cm="1">
        <f t="array" ref="J578">IFERROR(INDEX(DB!Q$2:Q$2576,T578),"")</f>
        <v/>
      </c>
      <c r="K578" s="43"/>
      <c r="L578" s="41" t="str" cm="1">
        <f t="array" ref="L578">IFERROR(INDEX(DB!R$2:R$2576,T578),"")</f>
        <v/>
      </c>
      <c r="M578" s="43"/>
      <c r="P578" t="str" cm="1">
        <f t="array" ref="P578">IFERROR(_xlfn.AGGREGATE(15,6,ROW(DB!A$2:A$2576)/((($D$3&lt;&gt;"YES")+($D$3="YES")*(DB!E$2:E$2576="YES"))*(($D$4="")+($D$4&lt;&gt;"")*( DB!B$2:B$2576=$D$4))*(($D$5="")+($D$5&lt;&gt;"")*( DB!C$2:C$2576=$D$5))*(($D$6="")+($D$6&lt;&gt;"")*( DB!D$2:D$2576=$D$6))*(($D$7="")+($D$7&lt;&gt;"")*(ISNUMBER(SEARCH($D$7,DB!G$2:G$2576))))*(($F$7="전체")+($F$7&lt;&gt;"전체")*(DB!H$2:H$2576=$F$7))),ROW()-13)-1,"")</f>
        <v/>
      </c>
      <c r="Q578" t="str" cm="1">
        <f t="array" ref="Q578">IFERROR(INDEX(DB!G$2:G$2576,P578),"")</f>
        <v/>
      </c>
      <c r="R578" t="str" cm="1">
        <f t="array" ref="R578">IFERROR(INDEX(DB!O$2:O$2576,P578),"")</f>
        <v/>
      </c>
      <c r="S578" t="str">
        <f t="shared" si="27"/>
        <v/>
      </c>
      <c r="T578" t="str">
        <f t="shared" si="28"/>
        <v/>
      </c>
    </row>
    <row r="579" spans="1:20" ht="100" customHeight="1">
      <c r="A579" s="26"/>
      <c r="B579" s="42" t="str">
        <f t="shared" si="26"/>
        <v/>
      </c>
      <c r="C579" s="43"/>
      <c r="D579" s="51" t="str" cm="1">
        <f t="array" ref="D579">IFERROR(INDEX(DB!G$2:G$2576,T579),"")</f>
        <v/>
      </c>
      <c r="E579" s="43"/>
      <c r="F579" s="52" t="str" cm="1">
        <f t="array" ref="F579">IFERROR(INDEX(DB!O$2:O$2576,T579),"")</f>
        <v/>
      </c>
      <c r="G579" s="43"/>
      <c r="H579" s="40" t="str" cm="1">
        <f t="array" ref="H579">IFERROR(INDEX(DB!P$2:P$2576,T579),"")</f>
        <v/>
      </c>
      <c r="I579" s="43"/>
      <c r="J579" s="53" t="str" cm="1">
        <f t="array" ref="J579">IFERROR(INDEX(DB!Q$2:Q$2576,T579),"")</f>
        <v/>
      </c>
      <c r="K579" s="43"/>
      <c r="L579" s="41" t="str" cm="1">
        <f t="array" ref="L579">IFERROR(INDEX(DB!R$2:R$2576,T579),"")</f>
        <v/>
      </c>
      <c r="M579" s="43"/>
      <c r="P579" t="str" cm="1">
        <f t="array" ref="P579">IFERROR(_xlfn.AGGREGATE(15,6,ROW(DB!A$2:A$2576)/((($D$3&lt;&gt;"YES")+($D$3="YES")*(DB!E$2:E$2576="YES"))*(($D$4="")+($D$4&lt;&gt;"")*( DB!B$2:B$2576=$D$4))*(($D$5="")+($D$5&lt;&gt;"")*( DB!C$2:C$2576=$D$5))*(($D$6="")+($D$6&lt;&gt;"")*( DB!D$2:D$2576=$D$6))*(($D$7="")+($D$7&lt;&gt;"")*(ISNUMBER(SEARCH($D$7,DB!G$2:G$2576))))*(($F$7="전체")+($F$7&lt;&gt;"전체")*(DB!H$2:H$2576=$F$7))),ROW()-13)-1,"")</f>
        <v/>
      </c>
      <c r="Q579" t="str" cm="1">
        <f t="array" ref="Q579">IFERROR(INDEX(DB!G$2:G$2576,P579),"")</f>
        <v/>
      </c>
      <c r="R579" t="str" cm="1">
        <f t="array" ref="R579">IFERROR(INDEX(DB!O$2:O$2576,P579),"")</f>
        <v/>
      </c>
      <c r="S579" t="str">
        <f t="shared" si="27"/>
        <v/>
      </c>
      <c r="T579" t="str">
        <f t="shared" si="28"/>
        <v/>
      </c>
    </row>
    <row r="580" spans="1:20" ht="100" customHeight="1">
      <c r="A580" s="26"/>
      <c r="B580" s="39" t="str">
        <f t="shared" si="26"/>
        <v/>
      </c>
      <c r="C580" s="43"/>
      <c r="D580" s="51" t="str" cm="1">
        <f t="array" ref="D580">IFERROR(INDEX(DB!G$2:G$2576,T580),"")</f>
        <v/>
      </c>
      <c r="E580" s="43"/>
      <c r="F580" s="52" t="str" cm="1">
        <f t="array" ref="F580">IFERROR(INDEX(DB!O$2:O$2576,T580),"")</f>
        <v/>
      </c>
      <c r="G580" s="43"/>
      <c r="H580" s="40" t="str" cm="1">
        <f t="array" ref="H580">IFERROR(INDEX(DB!P$2:P$2576,T580),"")</f>
        <v/>
      </c>
      <c r="I580" s="43"/>
      <c r="J580" s="53" t="str" cm="1">
        <f t="array" ref="J580">IFERROR(INDEX(DB!Q$2:Q$2576,T580),"")</f>
        <v/>
      </c>
      <c r="K580" s="43"/>
      <c r="L580" s="41" t="str" cm="1">
        <f t="array" ref="L580">IFERROR(INDEX(DB!R$2:R$2576,T580),"")</f>
        <v/>
      </c>
      <c r="M580" s="43"/>
      <c r="P580" t="str" cm="1">
        <f t="array" ref="P580">IFERROR(_xlfn.AGGREGATE(15,6,ROW(DB!A$2:A$2576)/((($D$3&lt;&gt;"YES")+($D$3="YES")*(DB!E$2:E$2576="YES"))*(($D$4="")+($D$4&lt;&gt;"")*( DB!B$2:B$2576=$D$4))*(($D$5="")+($D$5&lt;&gt;"")*( DB!C$2:C$2576=$D$5))*(($D$6="")+($D$6&lt;&gt;"")*( DB!D$2:D$2576=$D$6))*(($D$7="")+($D$7&lt;&gt;"")*(ISNUMBER(SEARCH($D$7,DB!G$2:G$2576))))*(($F$7="전체")+($F$7&lt;&gt;"전체")*(DB!H$2:H$2576=$F$7))),ROW()-13)-1,"")</f>
        <v/>
      </c>
      <c r="Q580" t="str" cm="1">
        <f t="array" ref="Q580">IFERROR(INDEX(DB!G$2:G$2576,P580),"")</f>
        <v/>
      </c>
      <c r="R580" t="str" cm="1">
        <f t="array" ref="R580">IFERROR(INDEX(DB!O$2:O$2576,P580),"")</f>
        <v/>
      </c>
      <c r="S580" t="str">
        <f t="shared" si="27"/>
        <v/>
      </c>
      <c r="T580" t="str">
        <f t="shared" si="28"/>
        <v/>
      </c>
    </row>
    <row r="581" spans="1:20" ht="100" customHeight="1">
      <c r="A581" s="26"/>
      <c r="B581" s="42" t="str">
        <f t="shared" si="26"/>
        <v/>
      </c>
      <c r="C581" s="43"/>
      <c r="D581" s="51" t="str" cm="1">
        <f t="array" ref="D581">IFERROR(INDEX(DB!G$2:G$2576,T581),"")</f>
        <v/>
      </c>
      <c r="E581" s="43"/>
      <c r="F581" s="52" t="str" cm="1">
        <f t="array" ref="F581">IFERROR(INDEX(DB!O$2:O$2576,T581),"")</f>
        <v/>
      </c>
      <c r="G581" s="43"/>
      <c r="H581" s="40" t="str" cm="1">
        <f t="array" ref="H581">IFERROR(INDEX(DB!P$2:P$2576,T581),"")</f>
        <v/>
      </c>
      <c r="I581" s="43"/>
      <c r="J581" s="53" t="str" cm="1">
        <f t="array" ref="J581">IFERROR(INDEX(DB!Q$2:Q$2576,T581),"")</f>
        <v/>
      </c>
      <c r="K581" s="43"/>
      <c r="L581" s="41" t="str" cm="1">
        <f t="array" ref="L581">IFERROR(INDEX(DB!R$2:R$2576,T581),"")</f>
        <v/>
      </c>
      <c r="M581" s="43"/>
      <c r="P581" t="str" cm="1">
        <f t="array" ref="P581">IFERROR(_xlfn.AGGREGATE(15,6,ROW(DB!A$2:A$2576)/((($D$3&lt;&gt;"YES")+($D$3="YES")*(DB!E$2:E$2576="YES"))*(($D$4="")+($D$4&lt;&gt;"")*( DB!B$2:B$2576=$D$4))*(($D$5="")+($D$5&lt;&gt;"")*( DB!C$2:C$2576=$D$5))*(($D$6="")+($D$6&lt;&gt;"")*( DB!D$2:D$2576=$D$6))*(($D$7="")+($D$7&lt;&gt;"")*(ISNUMBER(SEARCH($D$7,DB!G$2:G$2576))))*(($F$7="전체")+($F$7&lt;&gt;"전체")*(DB!H$2:H$2576=$F$7))),ROW()-13)-1,"")</f>
        <v/>
      </c>
      <c r="Q581" t="str" cm="1">
        <f t="array" ref="Q581">IFERROR(INDEX(DB!G$2:G$2576,P581),"")</f>
        <v/>
      </c>
      <c r="R581" t="str" cm="1">
        <f t="array" ref="R581">IFERROR(INDEX(DB!O$2:O$2576,P581),"")</f>
        <v/>
      </c>
      <c r="S581" t="str">
        <f t="shared" si="27"/>
        <v/>
      </c>
      <c r="T581" t="str">
        <f t="shared" si="28"/>
        <v/>
      </c>
    </row>
    <row r="582" spans="1:20" ht="100" customHeight="1">
      <c r="A582" s="26"/>
      <c r="B582" s="39" t="str">
        <f t="shared" si="26"/>
        <v/>
      </c>
      <c r="C582" s="43"/>
      <c r="D582" s="51" t="str" cm="1">
        <f t="array" ref="D582">IFERROR(INDEX(DB!G$2:G$2576,T582),"")</f>
        <v/>
      </c>
      <c r="E582" s="43"/>
      <c r="F582" s="52" t="str" cm="1">
        <f t="array" ref="F582">IFERROR(INDEX(DB!O$2:O$2576,T582),"")</f>
        <v/>
      </c>
      <c r="G582" s="43"/>
      <c r="H582" s="40" t="str" cm="1">
        <f t="array" ref="H582">IFERROR(INDEX(DB!P$2:P$2576,T582),"")</f>
        <v/>
      </c>
      <c r="I582" s="43"/>
      <c r="J582" s="53" t="str" cm="1">
        <f t="array" ref="J582">IFERROR(INDEX(DB!Q$2:Q$2576,T582),"")</f>
        <v/>
      </c>
      <c r="K582" s="43"/>
      <c r="L582" s="41" t="str" cm="1">
        <f t="array" ref="L582">IFERROR(INDEX(DB!R$2:R$2576,T582),"")</f>
        <v/>
      </c>
      <c r="M582" s="43"/>
      <c r="P582" t="str" cm="1">
        <f t="array" ref="P582">IFERROR(_xlfn.AGGREGATE(15,6,ROW(DB!A$2:A$2576)/((($D$3&lt;&gt;"YES")+($D$3="YES")*(DB!E$2:E$2576="YES"))*(($D$4="")+($D$4&lt;&gt;"")*( DB!B$2:B$2576=$D$4))*(($D$5="")+($D$5&lt;&gt;"")*( DB!C$2:C$2576=$D$5))*(($D$6="")+($D$6&lt;&gt;"")*( DB!D$2:D$2576=$D$6))*(($D$7="")+($D$7&lt;&gt;"")*(ISNUMBER(SEARCH($D$7,DB!G$2:G$2576))))*(($F$7="전체")+($F$7&lt;&gt;"전체")*(DB!H$2:H$2576=$F$7))),ROW()-13)-1,"")</f>
        <v/>
      </c>
      <c r="Q582" t="str" cm="1">
        <f t="array" ref="Q582">IFERROR(INDEX(DB!G$2:G$2576,P582),"")</f>
        <v/>
      </c>
      <c r="R582" t="str" cm="1">
        <f t="array" ref="R582">IFERROR(INDEX(DB!O$2:O$2576,P582),"")</f>
        <v/>
      </c>
      <c r="S582" t="str">
        <f t="shared" si="27"/>
        <v/>
      </c>
      <c r="T582" t="str">
        <f t="shared" si="28"/>
        <v/>
      </c>
    </row>
    <row r="583" spans="1:20" ht="100" customHeight="1">
      <c r="A583" s="26"/>
      <c r="B583" s="42" t="str">
        <f t="shared" si="26"/>
        <v/>
      </c>
      <c r="C583" s="43"/>
      <c r="D583" s="51" t="str" cm="1">
        <f t="array" ref="D583">IFERROR(INDEX(DB!G$2:G$2576,T583),"")</f>
        <v/>
      </c>
      <c r="E583" s="43"/>
      <c r="F583" s="52" t="str" cm="1">
        <f t="array" ref="F583">IFERROR(INDEX(DB!O$2:O$2576,T583),"")</f>
        <v/>
      </c>
      <c r="G583" s="43"/>
      <c r="H583" s="40" t="str" cm="1">
        <f t="array" ref="H583">IFERROR(INDEX(DB!P$2:P$2576,T583),"")</f>
        <v/>
      </c>
      <c r="I583" s="43"/>
      <c r="J583" s="53" t="str" cm="1">
        <f t="array" ref="J583">IFERROR(INDEX(DB!Q$2:Q$2576,T583),"")</f>
        <v/>
      </c>
      <c r="K583" s="43"/>
      <c r="L583" s="41" t="str" cm="1">
        <f t="array" ref="L583">IFERROR(INDEX(DB!R$2:R$2576,T583),"")</f>
        <v/>
      </c>
      <c r="M583" s="43"/>
      <c r="P583" t="str" cm="1">
        <f t="array" ref="P583">IFERROR(_xlfn.AGGREGATE(15,6,ROW(DB!A$2:A$2576)/((($D$3&lt;&gt;"YES")+($D$3="YES")*(DB!E$2:E$2576="YES"))*(($D$4="")+($D$4&lt;&gt;"")*( DB!B$2:B$2576=$D$4))*(($D$5="")+($D$5&lt;&gt;"")*( DB!C$2:C$2576=$D$5))*(($D$6="")+($D$6&lt;&gt;"")*( DB!D$2:D$2576=$D$6))*(($D$7="")+($D$7&lt;&gt;"")*(ISNUMBER(SEARCH($D$7,DB!G$2:G$2576))))*(($F$7="전체")+($F$7&lt;&gt;"전체")*(DB!H$2:H$2576=$F$7))),ROW()-13)-1,"")</f>
        <v/>
      </c>
      <c r="Q583" t="str" cm="1">
        <f t="array" ref="Q583">IFERROR(INDEX(DB!G$2:G$2576,P583),"")</f>
        <v/>
      </c>
      <c r="R583" t="str" cm="1">
        <f t="array" ref="R583">IFERROR(INDEX(DB!O$2:O$2576,P583),"")</f>
        <v/>
      </c>
      <c r="S583" t="str">
        <f t="shared" si="27"/>
        <v/>
      </c>
      <c r="T583" t="str">
        <f t="shared" si="28"/>
        <v/>
      </c>
    </row>
    <row r="584" spans="1:20" ht="100" customHeight="1">
      <c r="A584" s="26"/>
      <c r="B584" s="39" t="str">
        <f t="shared" si="26"/>
        <v/>
      </c>
      <c r="C584" s="43"/>
      <c r="D584" s="51" t="str" cm="1">
        <f t="array" ref="D584">IFERROR(INDEX(DB!G$2:G$2576,T584),"")</f>
        <v/>
      </c>
      <c r="E584" s="43"/>
      <c r="F584" s="52" t="str" cm="1">
        <f t="array" ref="F584">IFERROR(INDEX(DB!O$2:O$2576,T584),"")</f>
        <v/>
      </c>
      <c r="G584" s="43"/>
      <c r="H584" s="40" t="str" cm="1">
        <f t="array" ref="H584">IFERROR(INDEX(DB!P$2:P$2576,T584),"")</f>
        <v/>
      </c>
      <c r="I584" s="43"/>
      <c r="J584" s="53" t="str" cm="1">
        <f t="array" ref="J584">IFERROR(INDEX(DB!Q$2:Q$2576,T584),"")</f>
        <v/>
      </c>
      <c r="K584" s="43"/>
      <c r="L584" s="41" t="str" cm="1">
        <f t="array" ref="L584">IFERROR(INDEX(DB!R$2:R$2576,T584),"")</f>
        <v/>
      </c>
      <c r="M584" s="43"/>
      <c r="P584" t="str" cm="1">
        <f t="array" ref="P584">IFERROR(_xlfn.AGGREGATE(15,6,ROW(DB!A$2:A$2576)/((($D$3&lt;&gt;"YES")+($D$3="YES")*(DB!E$2:E$2576="YES"))*(($D$4="")+($D$4&lt;&gt;"")*( DB!B$2:B$2576=$D$4))*(($D$5="")+($D$5&lt;&gt;"")*( DB!C$2:C$2576=$D$5))*(($D$6="")+($D$6&lt;&gt;"")*( DB!D$2:D$2576=$D$6))*(($D$7="")+($D$7&lt;&gt;"")*(ISNUMBER(SEARCH($D$7,DB!G$2:G$2576))))*(($F$7="전체")+($F$7&lt;&gt;"전체")*(DB!H$2:H$2576=$F$7))),ROW()-13)-1,"")</f>
        <v/>
      </c>
      <c r="Q584" t="str" cm="1">
        <f t="array" ref="Q584">IFERROR(INDEX(DB!G$2:G$2576,P584),"")</f>
        <v/>
      </c>
      <c r="R584" t="str" cm="1">
        <f t="array" ref="R584">IFERROR(INDEX(DB!O$2:O$2576,P584),"")</f>
        <v/>
      </c>
      <c r="S584" t="str">
        <f t="shared" si="27"/>
        <v/>
      </c>
      <c r="T584" t="str">
        <f t="shared" si="28"/>
        <v/>
      </c>
    </row>
    <row r="585" spans="1:20" ht="100" customHeight="1">
      <c r="A585" s="26"/>
      <c r="B585" s="42" t="str">
        <f t="shared" si="26"/>
        <v/>
      </c>
      <c r="C585" s="43"/>
      <c r="D585" s="51" t="str" cm="1">
        <f t="array" ref="D585">IFERROR(INDEX(DB!G$2:G$2576,T585),"")</f>
        <v/>
      </c>
      <c r="E585" s="43"/>
      <c r="F585" s="52" t="str" cm="1">
        <f t="array" ref="F585">IFERROR(INDEX(DB!O$2:O$2576,T585),"")</f>
        <v/>
      </c>
      <c r="G585" s="43"/>
      <c r="H585" s="40" t="str" cm="1">
        <f t="array" ref="H585">IFERROR(INDEX(DB!P$2:P$2576,T585),"")</f>
        <v/>
      </c>
      <c r="I585" s="43"/>
      <c r="J585" s="53" t="str" cm="1">
        <f t="array" ref="J585">IFERROR(INDEX(DB!Q$2:Q$2576,T585),"")</f>
        <v/>
      </c>
      <c r="K585" s="43"/>
      <c r="L585" s="41" t="str" cm="1">
        <f t="array" ref="L585">IFERROR(INDEX(DB!R$2:R$2576,T585),"")</f>
        <v/>
      </c>
      <c r="M585" s="43"/>
      <c r="P585" t="str" cm="1">
        <f t="array" ref="P585">IFERROR(_xlfn.AGGREGATE(15,6,ROW(DB!A$2:A$2576)/((($D$3&lt;&gt;"YES")+($D$3="YES")*(DB!E$2:E$2576="YES"))*(($D$4="")+($D$4&lt;&gt;"")*( DB!B$2:B$2576=$D$4))*(($D$5="")+($D$5&lt;&gt;"")*( DB!C$2:C$2576=$D$5))*(($D$6="")+($D$6&lt;&gt;"")*( DB!D$2:D$2576=$D$6))*(($D$7="")+($D$7&lt;&gt;"")*(ISNUMBER(SEARCH($D$7,DB!G$2:G$2576))))*(($F$7="전체")+($F$7&lt;&gt;"전체")*(DB!H$2:H$2576=$F$7))),ROW()-13)-1,"")</f>
        <v/>
      </c>
      <c r="Q585" t="str" cm="1">
        <f t="array" ref="Q585">IFERROR(INDEX(DB!G$2:G$2576,P585),"")</f>
        <v/>
      </c>
      <c r="R585" t="str" cm="1">
        <f t="array" ref="R585">IFERROR(INDEX(DB!O$2:O$2576,P585),"")</f>
        <v/>
      </c>
      <c r="S585" t="str">
        <f t="shared" si="27"/>
        <v/>
      </c>
      <c r="T585" t="str">
        <f t="shared" si="28"/>
        <v/>
      </c>
    </row>
    <row r="586" spans="1:20" ht="100" customHeight="1">
      <c r="A586" s="26"/>
      <c r="B586" s="39" t="str">
        <f t="shared" si="26"/>
        <v/>
      </c>
      <c r="C586" s="43"/>
      <c r="D586" s="51" t="str" cm="1">
        <f t="array" ref="D586">IFERROR(INDEX(DB!G$2:G$2576,T586),"")</f>
        <v/>
      </c>
      <c r="E586" s="43"/>
      <c r="F586" s="52" t="str" cm="1">
        <f t="array" ref="F586">IFERROR(INDEX(DB!O$2:O$2576,T586),"")</f>
        <v/>
      </c>
      <c r="G586" s="43"/>
      <c r="H586" s="40" t="str" cm="1">
        <f t="array" ref="H586">IFERROR(INDEX(DB!P$2:P$2576,T586),"")</f>
        <v/>
      </c>
      <c r="I586" s="43"/>
      <c r="J586" s="53" t="str" cm="1">
        <f t="array" ref="J586">IFERROR(INDEX(DB!Q$2:Q$2576,T586),"")</f>
        <v/>
      </c>
      <c r="K586" s="43"/>
      <c r="L586" s="41" t="str" cm="1">
        <f t="array" ref="L586">IFERROR(INDEX(DB!R$2:R$2576,T586),"")</f>
        <v/>
      </c>
      <c r="M586" s="43"/>
      <c r="P586" t="str" cm="1">
        <f t="array" ref="P586">IFERROR(_xlfn.AGGREGATE(15,6,ROW(DB!A$2:A$2576)/((($D$3&lt;&gt;"YES")+($D$3="YES")*(DB!E$2:E$2576="YES"))*(($D$4="")+($D$4&lt;&gt;"")*( DB!B$2:B$2576=$D$4))*(($D$5="")+($D$5&lt;&gt;"")*( DB!C$2:C$2576=$D$5))*(($D$6="")+($D$6&lt;&gt;"")*( DB!D$2:D$2576=$D$6))*(($D$7="")+($D$7&lt;&gt;"")*(ISNUMBER(SEARCH($D$7,DB!G$2:G$2576))))*(($F$7="전체")+($F$7&lt;&gt;"전체")*(DB!H$2:H$2576=$F$7))),ROW()-13)-1,"")</f>
        <v/>
      </c>
      <c r="Q586" t="str" cm="1">
        <f t="array" ref="Q586">IFERROR(INDEX(DB!G$2:G$2576,P586),"")</f>
        <v/>
      </c>
      <c r="R586" t="str" cm="1">
        <f t="array" ref="R586">IFERROR(INDEX(DB!O$2:O$2576,P586),"")</f>
        <v/>
      </c>
      <c r="S586" t="str">
        <f t="shared" si="27"/>
        <v/>
      </c>
      <c r="T586" t="str">
        <f t="shared" si="28"/>
        <v/>
      </c>
    </row>
    <row r="587" spans="1:20" ht="100" customHeight="1">
      <c r="A587" s="26"/>
      <c r="B587" s="42" t="str">
        <f t="shared" si="26"/>
        <v/>
      </c>
      <c r="C587" s="43"/>
      <c r="D587" s="51" t="str" cm="1">
        <f t="array" ref="D587">IFERROR(INDEX(DB!G$2:G$2576,T587),"")</f>
        <v/>
      </c>
      <c r="E587" s="43"/>
      <c r="F587" s="52" t="str" cm="1">
        <f t="array" ref="F587">IFERROR(INDEX(DB!O$2:O$2576,T587),"")</f>
        <v/>
      </c>
      <c r="G587" s="43"/>
      <c r="H587" s="40" t="str" cm="1">
        <f t="array" ref="H587">IFERROR(INDEX(DB!P$2:P$2576,T587),"")</f>
        <v/>
      </c>
      <c r="I587" s="43"/>
      <c r="J587" s="53" t="str" cm="1">
        <f t="array" ref="J587">IFERROR(INDEX(DB!Q$2:Q$2576,T587),"")</f>
        <v/>
      </c>
      <c r="K587" s="43"/>
      <c r="L587" s="41" t="str" cm="1">
        <f t="array" ref="L587">IFERROR(INDEX(DB!R$2:R$2576,T587),"")</f>
        <v/>
      </c>
      <c r="M587" s="43"/>
      <c r="P587" t="str" cm="1">
        <f t="array" ref="P587">IFERROR(_xlfn.AGGREGATE(15,6,ROW(DB!A$2:A$2576)/((($D$3&lt;&gt;"YES")+($D$3="YES")*(DB!E$2:E$2576="YES"))*(($D$4="")+($D$4&lt;&gt;"")*( DB!B$2:B$2576=$D$4))*(($D$5="")+($D$5&lt;&gt;"")*( DB!C$2:C$2576=$D$5))*(($D$6="")+($D$6&lt;&gt;"")*( DB!D$2:D$2576=$D$6))*(($D$7="")+($D$7&lt;&gt;"")*(ISNUMBER(SEARCH($D$7,DB!G$2:G$2576))))*(($F$7="전체")+($F$7&lt;&gt;"전체")*(DB!H$2:H$2576=$F$7))),ROW()-13)-1,"")</f>
        <v/>
      </c>
      <c r="Q587" t="str" cm="1">
        <f t="array" ref="Q587">IFERROR(INDEX(DB!G$2:G$2576,P587),"")</f>
        <v/>
      </c>
      <c r="R587" t="str" cm="1">
        <f t="array" ref="R587">IFERROR(INDEX(DB!O$2:O$2576,P587),"")</f>
        <v/>
      </c>
      <c r="S587" t="str">
        <f t="shared" si="27"/>
        <v/>
      </c>
      <c r="T587" t="str">
        <f t="shared" si="28"/>
        <v/>
      </c>
    </row>
    <row r="588" spans="1:20" ht="100" customHeight="1">
      <c r="A588" s="26"/>
      <c r="B588" s="39" t="str">
        <f t="shared" si="26"/>
        <v/>
      </c>
      <c r="C588" s="43"/>
      <c r="D588" s="51" t="str" cm="1">
        <f t="array" ref="D588">IFERROR(INDEX(DB!G$2:G$2576,T588),"")</f>
        <v/>
      </c>
      <c r="E588" s="43"/>
      <c r="F588" s="52" t="str" cm="1">
        <f t="array" ref="F588">IFERROR(INDEX(DB!O$2:O$2576,T588),"")</f>
        <v/>
      </c>
      <c r="G588" s="43"/>
      <c r="H588" s="40" t="str" cm="1">
        <f t="array" ref="H588">IFERROR(INDEX(DB!P$2:P$2576,T588),"")</f>
        <v/>
      </c>
      <c r="I588" s="43"/>
      <c r="J588" s="53" t="str" cm="1">
        <f t="array" ref="J588">IFERROR(INDEX(DB!Q$2:Q$2576,T588),"")</f>
        <v/>
      </c>
      <c r="K588" s="43"/>
      <c r="L588" s="41" t="str" cm="1">
        <f t="array" ref="L588">IFERROR(INDEX(DB!R$2:R$2576,T588),"")</f>
        <v/>
      </c>
      <c r="M588" s="43"/>
      <c r="P588" t="str" cm="1">
        <f t="array" ref="P588">IFERROR(_xlfn.AGGREGATE(15,6,ROW(DB!A$2:A$2576)/((($D$3&lt;&gt;"YES")+($D$3="YES")*(DB!E$2:E$2576="YES"))*(($D$4="")+($D$4&lt;&gt;"")*( DB!B$2:B$2576=$D$4))*(($D$5="")+($D$5&lt;&gt;"")*( DB!C$2:C$2576=$D$5))*(($D$6="")+($D$6&lt;&gt;"")*( DB!D$2:D$2576=$D$6))*(($D$7="")+($D$7&lt;&gt;"")*(ISNUMBER(SEARCH($D$7,DB!G$2:G$2576))))*(($F$7="전체")+($F$7&lt;&gt;"전체")*(DB!H$2:H$2576=$F$7))),ROW()-13)-1,"")</f>
        <v/>
      </c>
      <c r="Q588" t="str" cm="1">
        <f t="array" ref="Q588">IFERROR(INDEX(DB!G$2:G$2576,P588),"")</f>
        <v/>
      </c>
      <c r="R588" t="str" cm="1">
        <f t="array" ref="R588">IFERROR(INDEX(DB!O$2:O$2576,P588),"")</f>
        <v/>
      </c>
      <c r="S588" t="str">
        <f t="shared" si="27"/>
        <v/>
      </c>
      <c r="T588" t="str">
        <f t="shared" si="28"/>
        <v/>
      </c>
    </row>
    <row r="589" spans="1:20" ht="100" customHeight="1">
      <c r="A589" s="26"/>
      <c r="B589" s="42" t="str">
        <f t="shared" si="26"/>
        <v/>
      </c>
      <c r="C589" s="43"/>
      <c r="D589" s="51" t="str" cm="1">
        <f t="array" ref="D589">IFERROR(INDEX(DB!G$2:G$2576,T589),"")</f>
        <v/>
      </c>
      <c r="E589" s="43"/>
      <c r="F589" s="52" t="str" cm="1">
        <f t="array" ref="F589">IFERROR(INDEX(DB!O$2:O$2576,T589),"")</f>
        <v/>
      </c>
      <c r="G589" s="43"/>
      <c r="H589" s="40" t="str" cm="1">
        <f t="array" ref="H589">IFERROR(INDEX(DB!P$2:P$2576,T589),"")</f>
        <v/>
      </c>
      <c r="I589" s="43"/>
      <c r="J589" s="53" t="str" cm="1">
        <f t="array" ref="J589">IFERROR(INDEX(DB!Q$2:Q$2576,T589),"")</f>
        <v/>
      </c>
      <c r="K589" s="43"/>
      <c r="L589" s="41" t="str" cm="1">
        <f t="array" ref="L589">IFERROR(INDEX(DB!R$2:R$2576,T589),"")</f>
        <v/>
      </c>
      <c r="M589" s="43"/>
      <c r="P589" t="str" cm="1">
        <f t="array" ref="P589">IFERROR(_xlfn.AGGREGATE(15,6,ROW(DB!A$2:A$2576)/((($D$3&lt;&gt;"YES")+($D$3="YES")*(DB!E$2:E$2576="YES"))*(($D$4="")+($D$4&lt;&gt;"")*( DB!B$2:B$2576=$D$4))*(($D$5="")+($D$5&lt;&gt;"")*( DB!C$2:C$2576=$D$5))*(($D$6="")+($D$6&lt;&gt;"")*( DB!D$2:D$2576=$D$6))*(($D$7="")+($D$7&lt;&gt;"")*(ISNUMBER(SEARCH($D$7,DB!G$2:G$2576))))*(($F$7="전체")+($F$7&lt;&gt;"전체")*(DB!H$2:H$2576=$F$7))),ROW()-13)-1,"")</f>
        <v/>
      </c>
      <c r="Q589" t="str" cm="1">
        <f t="array" ref="Q589">IFERROR(INDEX(DB!G$2:G$2576,P589),"")</f>
        <v/>
      </c>
      <c r="R589" t="str" cm="1">
        <f t="array" ref="R589">IFERROR(INDEX(DB!O$2:O$2576,P589),"")</f>
        <v/>
      </c>
      <c r="S589" t="str">
        <f t="shared" si="27"/>
        <v/>
      </c>
      <c r="T589" t="str">
        <f t="shared" si="28"/>
        <v/>
      </c>
    </row>
    <row r="590" spans="1:20" ht="100" customHeight="1">
      <c r="A590" s="26"/>
      <c r="B590" s="39" t="str">
        <f t="shared" si="26"/>
        <v/>
      </c>
      <c r="C590" s="43"/>
      <c r="D590" s="51" t="str" cm="1">
        <f t="array" ref="D590">IFERROR(INDEX(DB!G$2:G$2576,T590),"")</f>
        <v/>
      </c>
      <c r="E590" s="43"/>
      <c r="F590" s="52" t="str" cm="1">
        <f t="array" ref="F590">IFERROR(INDEX(DB!O$2:O$2576,T590),"")</f>
        <v/>
      </c>
      <c r="G590" s="43"/>
      <c r="H590" s="40" t="str" cm="1">
        <f t="array" ref="H590">IFERROR(INDEX(DB!P$2:P$2576,T590),"")</f>
        <v/>
      </c>
      <c r="I590" s="43"/>
      <c r="J590" s="53" t="str" cm="1">
        <f t="array" ref="J590">IFERROR(INDEX(DB!Q$2:Q$2576,T590),"")</f>
        <v/>
      </c>
      <c r="K590" s="43"/>
      <c r="L590" s="41" t="str" cm="1">
        <f t="array" ref="L590">IFERROR(INDEX(DB!R$2:R$2576,T590),"")</f>
        <v/>
      </c>
      <c r="M590" s="43"/>
      <c r="P590" t="str" cm="1">
        <f t="array" ref="P590">IFERROR(_xlfn.AGGREGATE(15,6,ROW(DB!A$2:A$2576)/((($D$3&lt;&gt;"YES")+($D$3="YES")*(DB!E$2:E$2576="YES"))*(($D$4="")+($D$4&lt;&gt;"")*( DB!B$2:B$2576=$D$4))*(($D$5="")+($D$5&lt;&gt;"")*( DB!C$2:C$2576=$D$5))*(($D$6="")+($D$6&lt;&gt;"")*( DB!D$2:D$2576=$D$6))*(($D$7="")+($D$7&lt;&gt;"")*(ISNUMBER(SEARCH($D$7,DB!G$2:G$2576))))*(($F$7="전체")+($F$7&lt;&gt;"전체")*(DB!H$2:H$2576=$F$7))),ROW()-13)-1,"")</f>
        <v/>
      </c>
      <c r="Q590" t="str" cm="1">
        <f t="array" ref="Q590">IFERROR(INDEX(DB!G$2:G$2576,P590),"")</f>
        <v/>
      </c>
      <c r="R590" t="str" cm="1">
        <f t="array" ref="R590">IFERROR(INDEX(DB!O$2:O$2576,P590),"")</f>
        <v/>
      </c>
      <c r="S590" t="str">
        <f t="shared" si="27"/>
        <v/>
      </c>
      <c r="T590" t="str">
        <f t="shared" si="28"/>
        <v/>
      </c>
    </row>
    <row r="591" spans="1:20" ht="100" customHeight="1">
      <c r="A591" s="26"/>
      <c r="B591" s="42" t="str">
        <f t="shared" ref="B591:B654" si="29">IFERROR(IF(T591="","",ROW()-13),"")</f>
        <v/>
      </c>
      <c r="C591" s="43"/>
      <c r="D591" s="51" t="str" cm="1">
        <f t="array" ref="D591">IFERROR(INDEX(DB!G$2:G$2576,T591),"")</f>
        <v/>
      </c>
      <c r="E591" s="43"/>
      <c r="F591" s="52" t="str" cm="1">
        <f t="array" ref="F591">IFERROR(INDEX(DB!O$2:O$2576,T591),"")</f>
        <v/>
      </c>
      <c r="G591" s="43"/>
      <c r="H591" s="40" t="str" cm="1">
        <f t="array" ref="H591">IFERROR(INDEX(DB!P$2:P$2576,T591),"")</f>
        <v/>
      </c>
      <c r="I591" s="43"/>
      <c r="J591" s="53" t="str" cm="1">
        <f t="array" ref="J591">IFERROR(INDEX(DB!Q$2:Q$2576,T591),"")</f>
        <v/>
      </c>
      <c r="K591" s="43"/>
      <c r="L591" s="41" t="str" cm="1">
        <f t="array" ref="L591">IFERROR(INDEX(DB!R$2:R$2576,T591),"")</f>
        <v/>
      </c>
      <c r="M591" s="43"/>
      <c r="P591" t="str" cm="1">
        <f t="array" ref="P591">IFERROR(_xlfn.AGGREGATE(15,6,ROW(DB!A$2:A$2576)/((($D$3&lt;&gt;"YES")+($D$3="YES")*(DB!E$2:E$2576="YES"))*(($D$4="")+($D$4&lt;&gt;"")*( DB!B$2:B$2576=$D$4))*(($D$5="")+($D$5&lt;&gt;"")*( DB!C$2:C$2576=$D$5))*(($D$6="")+($D$6&lt;&gt;"")*( DB!D$2:D$2576=$D$6))*(($D$7="")+($D$7&lt;&gt;"")*(ISNUMBER(SEARCH($D$7,DB!G$2:G$2576))))*(($F$7="전체")+($F$7&lt;&gt;"전체")*(DB!H$2:H$2576=$F$7))),ROW()-13)-1,"")</f>
        <v/>
      </c>
      <c r="Q591" t="str" cm="1">
        <f t="array" ref="Q591">IFERROR(INDEX(DB!G$2:G$2576,P591),"")</f>
        <v/>
      </c>
      <c r="R591" t="str" cm="1">
        <f t="array" ref="R591">IFERROR(INDEX(DB!O$2:O$2576,P591),"")</f>
        <v/>
      </c>
      <c r="S591" t="str">
        <f t="shared" ref="S591:S654" si="30">IF(P591="","",COUNTIF($Q$14:$Q$2587,"&lt;"&amp;Q591)*100+COUNTIF($R$14:$R$2587,"&lt;"&amp;R591)+(ROW()-13)*0.001)</f>
        <v/>
      </c>
      <c r="T591" t="str">
        <f t="shared" ref="T591:T654" si="31">IFERROR(INDEX($P$14:$P$2587,MATCH(SMALL($S$14:$S$2587,ROW()-13),$S$14:$S$2587,0)),"")</f>
        <v/>
      </c>
    </row>
    <row r="592" spans="1:20" ht="100" customHeight="1">
      <c r="A592" s="26"/>
      <c r="B592" s="39" t="str">
        <f t="shared" si="29"/>
        <v/>
      </c>
      <c r="C592" s="43"/>
      <c r="D592" s="51" t="str" cm="1">
        <f t="array" ref="D592">IFERROR(INDEX(DB!G$2:G$2576,T592),"")</f>
        <v/>
      </c>
      <c r="E592" s="43"/>
      <c r="F592" s="52" t="str" cm="1">
        <f t="array" ref="F592">IFERROR(INDEX(DB!O$2:O$2576,T592),"")</f>
        <v/>
      </c>
      <c r="G592" s="43"/>
      <c r="H592" s="40" t="str" cm="1">
        <f t="array" ref="H592">IFERROR(INDEX(DB!P$2:P$2576,T592),"")</f>
        <v/>
      </c>
      <c r="I592" s="43"/>
      <c r="J592" s="53" t="str" cm="1">
        <f t="array" ref="J592">IFERROR(INDEX(DB!Q$2:Q$2576,T592),"")</f>
        <v/>
      </c>
      <c r="K592" s="43"/>
      <c r="L592" s="41" t="str" cm="1">
        <f t="array" ref="L592">IFERROR(INDEX(DB!R$2:R$2576,T592),"")</f>
        <v/>
      </c>
      <c r="M592" s="43"/>
      <c r="P592" t="str" cm="1">
        <f t="array" ref="P592">IFERROR(_xlfn.AGGREGATE(15,6,ROW(DB!A$2:A$2576)/((($D$3&lt;&gt;"YES")+($D$3="YES")*(DB!E$2:E$2576="YES"))*(($D$4="")+($D$4&lt;&gt;"")*( DB!B$2:B$2576=$D$4))*(($D$5="")+($D$5&lt;&gt;"")*( DB!C$2:C$2576=$D$5))*(($D$6="")+($D$6&lt;&gt;"")*( DB!D$2:D$2576=$D$6))*(($D$7="")+($D$7&lt;&gt;"")*(ISNUMBER(SEARCH($D$7,DB!G$2:G$2576))))*(($F$7="전체")+($F$7&lt;&gt;"전체")*(DB!H$2:H$2576=$F$7))),ROW()-13)-1,"")</f>
        <v/>
      </c>
      <c r="Q592" t="str" cm="1">
        <f t="array" ref="Q592">IFERROR(INDEX(DB!G$2:G$2576,P592),"")</f>
        <v/>
      </c>
      <c r="R592" t="str" cm="1">
        <f t="array" ref="R592">IFERROR(INDEX(DB!O$2:O$2576,P592),"")</f>
        <v/>
      </c>
      <c r="S592" t="str">
        <f t="shared" si="30"/>
        <v/>
      </c>
      <c r="T592" t="str">
        <f t="shared" si="31"/>
        <v/>
      </c>
    </row>
    <row r="593" spans="1:20" ht="100" customHeight="1">
      <c r="A593" s="26"/>
      <c r="B593" s="42" t="str">
        <f t="shared" si="29"/>
        <v/>
      </c>
      <c r="C593" s="43"/>
      <c r="D593" s="51" t="str" cm="1">
        <f t="array" ref="D593">IFERROR(INDEX(DB!G$2:G$2576,T593),"")</f>
        <v/>
      </c>
      <c r="E593" s="43"/>
      <c r="F593" s="52" t="str" cm="1">
        <f t="array" ref="F593">IFERROR(INDEX(DB!O$2:O$2576,T593),"")</f>
        <v/>
      </c>
      <c r="G593" s="43"/>
      <c r="H593" s="40" t="str" cm="1">
        <f t="array" ref="H593">IFERROR(INDEX(DB!P$2:P$2576,T593),"")</f>
        <v/>
      </c>
      <c r="I593" s="43"/>
      <c r="J593" s="53" t="str" cm="1">
        <f t="array" ref="J593">IFERROR(INDEX(DB!Q$2:Q$2576,T593),"")</f>
        <v/>
      </c>
      <c r="K593" s="43"/>
      <c r="L593" s="41" t="str" cm="1">
        <f t="array" ref="L593">IFERROR(INDEX(DB!R$2:R$2576,T593),"")</f>
        <v/>
      </c>
      <c r="M593" s="43"/>
      <c r="P593" t="str" cm="1">
        <f t="array" ref="P593">IFERROR(_xlfn.AGGREGATE(15,6,ROW(DB!A$2:A$2576)/((($D$3&lt;&gt;"YES")+($D$3="YES")*(DB!E$2:E$2576="YES"))*(($D$4="")+($D$4&lt;&gt;"")*( DB!B$2:B$2576=$D$4))*(($D$5="")+($D$5&lt;&gt;"")*( DB!C$2:C$2576=$D$5))*(($D$6="")+($D$6&lt;&gt;"")*( DB!D$2:D$2576=$D$6))*(($D$7="")+($D$7&lt;&gt;"")*(ISNUMBER(SEARCH($D$7,DB!G$2:G$2576))))*(($F$7="전체")+($F$7&lt;&gt;"전체")*(DB!H$2:H$2576=$F$7))),ROW()-13)-1,"")</f>
        <v/>
      </c>
      <c r="Q593" t="str" cm="1">
        <f t="array" ref="Q593">IFERROR(INDEX(DB!G$2:G$2576,P593),"")</f>
        <v/>
      </c>
      <c r="R593" t="str" cm="1">
        <f t="array" ref="R593">IFERROR(INDEX(DB!O$2:O$2576,P593),"")</f>
        <v/>
      </c>
      <c r="S593" t="str">
        <f t="shared" si="30"/>
        <v/>
      </c>
      <c r="T593" t="str">
        <f t="shared" si="31"/>
        <v/>
      </c>
    </row>
    <row r="594" spans="1:20" ht="100" customHeight="1">
      <c r="A594" s="26"/>
      <c r="B594" s="39" t="str">
        <f t="shared" si="29"/>
        <v/>
      </c>
      <c r="C594" s="43"/>
      <c r="D594" s="51" t="str" cm="1">
        <f t="array" ref="D594">IFERROR(INDEX(DB!G$2:G$2576,T594),"")</f>
        <v/>
      </c>
      <c r="E594" s="43"/>
      <c r="F594" s="52" t="str" cm="1">
        <f t="array" ref="F594">IFERROR(INDEX(DB!O$2:O$2576,T594),"")</f>
        <v/>
      </c>
      <c r="G594" s="43"/>
      <c r="H594" s="40" t="str" cm="1">
        <f t="array" ref="H594">IFERROR(INDEX(DB!P$2:P$2576,T594),"")</f>
        <v/>
      </c>
      <c r="I594" s="43"/>
      <c r="J594" s="53" t="str" cm="1">
        <f t="array" ref="J594">IFERROR(INDEX(DB!Q$2:Q$2576,T594),"")</f>
        <v/>
      </c>
      <c r="K594" s="43"/>
      <c r="L594" s="41" t="str" cm="1">
        <f t="array" ref="L594">IFERROR(INDEX(DB!R$2:R$2576,T594),"")</f>
        <v/>
      </c>
      <c r="M594" s="43"/>
      <c r="P594" t="str" cm="1">
        <f t="array" ref="P594">IFERROR(_xlfn.AGGREGATE(15,6,ROW(DB!A$2:A$2576)/((($D$3&lt;&gt;"YES")+($D$3="YES")*(DB!E$2:E$2576="YES"))*(($D$4="")+($D$4&lt;&gt;"")*( DB!B$2:B$2576=$D$4))*(($D$5="")+($D$5&lt;&gt;"")*( DB!C$2:C$2576=$D$5))*(($D$6="")+($D$6&lt;&gt;"")*( DB!D$2:D$2576=$D$6))*(($D$7="")+($D$7&lt;&gt;"")*(ISNUMBER(SEARCH($D$7,DB!G$2:G$2576))))*(($F$7="전체")+($F$7&lt;&gt;"전체")*(DB!H$2:H$2576=$F$7))),ROW()-13)-1,"")</f>
        <v/>
      </c>
      <c r="Q594" t="str" cm="1">
        <f t="array" ref="Q594">IFERROR(INDEX(DB!G$2:G$2576,P594),"")</f>
        <v/>
      </c>
      <c r="R594" t="str" cm="1">
        <f t="array" ref="R594">IFERROR(INDEX(DB!O$2:O$2576,P594),"")</f>
        <v/>
      </c>
      <c r="S594" t="str">
        <f t="shared" si="30"/>
        <v/>
      </c>
      <c r="T594" t="str">
        <f t="shared" si="31"/>
        <v/>
      </c>
    </row>
    <row r="595" spans="1:20" ht="100" customHeight="1">
      <c r="A595" s="26"/>
      <c r="B595" s="42" t="str">
        <f t="shared" si="29"/>
        <v/>
      </c>
      <c r="C595" s="43"/>
      <c r="D595" s="51" t="str" cm="1">
        <f t="array" ref="D595">IFERROR(INDEX(DB!G$2:G$2576,T595),"")</f>
        <v/>
      </c>
      <c r="E595" s="43"/>
      <c r="F595" s="52" t="str" cm="1">
        <f t="array" ref="F595">IFERROR(INDEX(DB!O$2:O$2576,T595),"")</f>
        <v/>
      </c>
      <c r="G595" s="43"/>
      <c r="H595" s="40" t="str" cm="1">
        <f t="array" ref="H595">IFERROR(INDEX(DB!P$2:P$2576,T595),"")</f>
        <v/>
      </c>
      <c r="I595" s="43"/>
      <c r="J595" s="53" t="str" cm="1">
        <f t="array" ref="J595">IFERROR(INDEX(DB!Q$2:Q$2576,T595),"")</f>
        <v/>
      </c>
      <c r="K595" s="43"/>
      <c r="L595" s="41" t="str" cm="1">
        <f t="array" ref="L595">IFERROR(INDEX(DB!R$2:R$2576,T595),"")</f>
        <v/>
      </c>
      <c r="M595" s="43"/>
      <c r="P595" t="str" cm="1">
        <f t="array" ref="P595">IFERROR(_xlfn.AGGREGATE(15,6,ROW(DB!A$2:A$2576)/((($D$3&lt;&gt;"YES")+($D$3="YES")*(DB!E$2:E$2576="YES"))*(($D$4="")+($D$4&lt;&gt;"")*( DB!B$2:B$2576=$D$4))*(($D$5="")+($D$5&lt;&gt;"")*( DB!C$2:C$2576=$D$5))*(($D$6="")+($D$6&lt;&gt;"")*( DB!D$2:D$2576=$D$6))*(($D$7="")+($D$7&lt;&gt;"")*(ISNUMBER(SEARCH($D$7,DB!G$2:G$2576))))*(($F$7="전체")+($F$7&lt;&gt;"전체")*(DB!H$2:H$2576=$F$7))),ROW()-13)-1,"")</f>
        <v/>
      </c>
      <c r="Q595" t="str" cm="1">
        <f t="array" ref="Q595">IFERROR(INDEX(DB!G$2:G$2576,P595),"")</f>
        <v/>
      </c>
      <c r="R595" t="str" cm="1">
        <f t="array" ref="R595">IFERROR(INDEX(DB!O$2:O$2576,P595),"")</f>
        <v/>
      </c>
      <c r="S595" t="str">
        <f t="shared" si="30"/>
        <v/>
      </c>
      <c r="T595" t="str">
        <f t="shared" si="31"/>
        <v/>
      </c>
    </row>
    <row r="596" spans="1:20" ht="100" customHeight="1">
      <c r="A596" s="26"/>
      <c r="B596" s="39" t="str">
        <f t="shared" si="29"/>
        <v/>
      </c>
      <c r="C596" s="43"/>
      <c r="D596" s="51" t="str" cm="1">
        <f t="array" ref="D596">IFERROR(INDEX(DB!G$2:G$2576,T596),"")</f>
        <v/>
      </c>
      <c r="E596" s="43"/>
      <c r="F596" s="52" t="str" cm="1">
        <f t="array" ref="F596">IFERROR(INDEX(DB!O$2:O$2576,T596),"")</f>
        <v/>
      </c>
      <c r="G596" s="43"/>
      <c r="H596" s="40" t="str" cm="1">
        <f t="array" ref="H596">IFERROR(INDEX(DB!P$2:P$2576,T596),"")</f>
        <v/>
      </c>
      <c r="I596" s="43"/>
      <c r="J596" s="53" t="str" cm="1">
        <f t="array" ref="J596">IFERROR(INDEX(DB!Q$2:Q$2576,T596),"")</f>
        <v/>
      </c>
      <c r="K596" s="43"/>
      <c r="L596" s="41" t="str" cm="1">
        <f t="array" ref="L596">IFERROR(INDEX(DB!R$2:R$2576,T596),"")</f>
        <v/>
      </c>
      <c r="M596" s="43"/>
      <c r="P596" t="str" cm="1">
        <f t="array" ref="P596">IFERROR(_xlfn.AGGREGATE(15,6,ROW(DB!A$2:A$2576)/((($D$3&lt;&gt;"YES")+($D$3="YES")*(DB!E$2:E$2576="YES"))*(($D$4="")+($D$4&lt;&gt;"")*( DB!B$2:B$2576=$D$4))*(($D$5="")+($D$5&lt;&gt;"")*( DB!C$2:C$2576=$D$5))*(($D$6="")+($D$6&lt;&gt;"")*( DB!D$2:D$2576=$D$6))*(($D$7="")+($D$7&lt;&gt;"")*(ISNUMBER(SEARCH($D$7,DB!G$2:G$2576))))*(($F$7="전체")+($F$7&lt;&gt;"전체")*(DB!H$2:H$2576=$F$7))),ROW()-13)-1,"")</f>
        <v/>
      </c>
      <c r="Q596" t="str" cm="1">
        <f t="array" ref="Q596">IFERROR(INDEX(DB!G$2:G$2576,P596),"")</f>
        <v/>
      </c>
      <c r="R596" t="str" cm="1">
        <f t="array" ref="R596">IFERROR(INDEX(DB!O$2:O$2576,P596),"")</f>
        <v/>
      </c>
      <c r="S596" t="str">
        <f t="shared" si="30"/>
        <v/>
      </c>
      <c r="T596" t="str">
        <f t="shared" si="31"/>
        <v/>
      </c>
    </row>
    <row r="597" spans="1:20" ht="100" customHeight="1">
      <c r="A597" s="26"/>
      <c r="B597" s="42" t="str">
        <f t="shared" si="29"/>
        <v/>
      </c>
      <c r="C597" s="43"/>
      <c r="D597" s="51" t="str" cm="1">
        <f t="array" ref="D597">IFERROR(INDEX(DB!G$2:G$2576,T597),"")</f>
        <v/>
      </c>
      <c r="E597" s="43"/>
      <c r="F597" s="52" t="str" cm="1">
        <f t="array" ref="F597">IFERROR(INDEX(DB!O$2:O$2576,T597),"")</f>
        <v/>
      </c>
      <c r="G597" s="43"/>
      <c r="H597" s="40" t="str" cm="1">
        <f t="array" ref="H597">IFERROR(INDEX(DB!P$2:P$2576,T597),"")</f>
        <v/>
      </c>
      <c r="I597" s="43"/>
      <c r="J597" s="53" t="str" cm="1">
        <f t="array" ref="J597">IFERROR(INDEX(DB!Q$2:Q$2576,T597),"")</f>
        <v/>
      </c>
      <c r="K597" s="43"/>
      <c r="L597" s="41" t="str" cm="1">
        <f t="array" ref="L597">IFERROR(INDEX(DB!R$2:R$2576,T597),"")</f>
        <v/>
      </c>
      <c r="M597" s="43"/>
      <c r="P597" t="str" cm="1">
        <f t="array" ref="P597">IFERROR(_xlfn.AGGREGATE(15,6,ROW(DB!A$2:A$2576)/((($D$3&lt;&gt;"YES")+($D$3="YES")*(DB!E$2:E$2576="YES"))*(($D$4="")+($D$4&lt;&gt;"")*( DB!B$2:B$2576=$D$4))*(($D$5="")+($D$5&lt;&gt;"")*( DB!C$2:C$2576=$D$5))*(($D$6="")+($D$6&lt;&gt;"")*( DB!D$2:D$2576=$D$6))*(($D$7="")+($D$7&lt;&gt;"")*(ISNUMBER(SEARCH($D$7,DB!G$2:G$2576))))*(($F$7="전체")+($F$7&lt;&gt;"전체")*(DB!H$2:H$2576=$F$7))),ROW()-13)-1,"")</f>
        <v/>
      </c>
      <c r="Q597" t="str" cm="1">
        <f t="array" ref="Q597">IFERROR(INDEX(DB!G$2:G$2576,P597),"")</f>
        <v/>
      </c>
      <c r="R597" t="str" cm="1">
        <f t="array" ref="R597">IFERROR(INDEX(DB!O$2:O$2576,P597),"")</f>
        <v/>
      </c>
      <c r="S597" t="str">
        <f t="shared" si="30"/>
        <v/>
      </c>
      <c r="T597" t="str">
        <f t="shared" si="31"/>
        <v/>
      </c>
    </row>
    <row r="598" spans="1:20" ht="100" customHeight="1">
      <c r="A598" s="26"/>
      <c r="B598" s="39" t="str">
        <f t="shared" si="29"/>
        <v/>
      </c>
      <c r="C598" s="43"/>
      <c r="D598" s="51" t="str" cm="1">
        <f t="array" ref="D598">IFERROR(INDEX(DB!G$2:G$2576,T598),"")</f>
        <v/>
      </c>
      <c r="E598" s="43"/>
      <c r="F598" s="52" t="str" cm="1">
        <f t="array" ref="F598">IFERROR(INDEX(DB!O$2:O$2576,T598),"")</f>
        <v/>
      </c>
      <c r="G598" s="43"/>
      <c r="H598" s="40" t="str" cm="1">
        <f t="array" ref="H598">IFERROR(INDEX(DB!P$2:P$2576,T598),"")</f>
        <v/>
      </c>
      <c r="I598" s="43"/>
      <c r="J598" s="53" t="str" cm="1">
        <f t="array" ref="J598">IFERROR(INDEX(DB!Q$2:Q$2576,T598),"")</f>
        <v/>
      </c>
      <c r="K598" s="43"/>
      <c r="L598" s="41" t="str" cm="1">
        <f t="array" ref="L598">IFERROR(INDEX(DB!R$2:R$2576,T598),"")</f>
        <v/>
      </c>
      <c r="M598" s="43"/>
      <c r="P598" t="str" cm="1">
        <f t="array" ref="P598">IFERROR(_xlfn.AGGREGATE(15,6,ROW(DB!A$2:A$2576)/((($D$3&lt;&gt;"YES")+($D$3="YES")*(DB!E$2:E$2576="YES"))*(($D$4="")+($D$4&lt;&gt;"")*( DB!B$2:B$2576=$D$4))*(($D$5="")+($D$5&lt;&gt;"")*( DB!C$2:C$2576=$D$5))*(($D$6="")+($D$6&lt;&gt;"")*( DB!D$2:D$2576=$D$6))*(($D$7="")+($D$7&lt;&gt;"")*(ISNUMBER(SEARCH($D$7,DB!G$2:G$2576))))*(($F$7="전체")+($F$7&lt;&gt;"전체")*(DB!H$2:H$2576=$F$7))),ROW()-13)-1,"")</f>
        <v/>
      </c>
      <c r="Q598" t="str" cm="1">
        <f t="array" ref="Q598">IFERROR(INDEX(DB!G$2:G$2576,P598),"")</f>
        <v/>
      </c>
      <c r="R598" t="str" cm="1">
        <f t="array" ref="R598">IFERROR(INDEX(DB!O$2:O$2576,P598),"")</f>
        <v/>
      </c>
      <c r="S598" t="str">
        <f t="shared" si="30"/>
        <v/>
      </c>
      <c r="T598" t="str">
        <f t="shared" si="31"/>
        <v/>
      </c>
    </row>
    <row r="599" spans="1:20" ht="100" customHeight="1">
      <c r="A599" s="26"/>
      <c r="B599" s="42" t="str">
        <f t="shared" si="29"/>
        <v/>
      </c>
      <c r="C599" s="43"/>
      <c r="D599" s="51" t="str" cm="1">
        <f t="array" ref="D599">IFERROR(INDEX(DB!G$2:G$2576,T599),"")</f>
        <v/>
      </c>
      <c r="E599" s="43"/>
      <c r="F599" s="52" t="str" cm="1">
        <f t="array" ref="F599">IFERROR(INDEX(DB!O$2:O$2576,T599),"")</f>
        <v/>
      </c>
      <c r="G599" s="43"/>
      <c r="H599" s="40" t="str" cm="1">
        <f t="array" ref="H599">IFERROR(INDEX(DB!P$2:P$2576,T599),"")</f>
        <v/>
      </c>
      <c r="I599" s="43"/>
      <c r="J599" s="53" t="str" cm="1">
        <f t="array" ref="J599">IFERROR(INDEX(DB!Q$2:Q$2576,T599),"")</f>
        <v/>
      </c>
      <c r="K599" s="43"/>
      <c r="L599" s="41" t="str" cm="1">
        <f t="array" ref="L599">IFERROR(INDEX(DB!R$2:R$2576,T599),"")</f>
        <v/>
      </c>
      <c r="M599" s="43"/>
      <c r="P599" t="str" cm="1">
        <f t="array" ref="P599">IFERROR(_xlfn.AGGREGATE(15,6,ROW(DB!A$2:A$2576)/((($D$3&lt;&gt;"YES")+($D$3="YES")*(DB!E$2:E$2576="YES"))*(($D$4="")+($D$4&lt;&gt;"")*( DB!B$2:B$2576=$D$4))*(($D$5="")+($D$5&lt;&gt;"")*( DB!C$2:C$2576=$D$5))*(($D$6="")+($D$6&lt;&gt;"")*( DB!D$2:D$2576=$D$6))*(($D$7="")+($D$7&lt;&gt;"")*(ISNUMBER(SEARCH($D$7,DB!G$2:G$2576))))*(($F$7="전체")+($F$7&lt;&gt;"전체")*(DB!H$2:H$2576=$F$7))),ROW()-13)-1,"")</f>
        <v/>
      </c>
      <c r="Q599" t="str" cm="1">
        <f t="array" ref="Q599">IFERROR(INDEX(DB!G$2:G$2576,P599),"")</f>
        <v/>
      </c>
      <c r="R599" t="str" cm="1">
        <f t="array" ref="R599">IFERROR(INDEX(DB!O$2:O$2576,P599),"")</f>
        <v/>
      </c>
      <c r="S599" t="str">
        <f t="shared" si="30"/>
        <v/>
      </c>
      <c r="T599" t="str">
        <f t="shared" si="31"/>
        <v/>
      </c>
    </row>
    <row r="600" spans="1:20" ht="100" customHeight="1">
      <c r="A600" s="26"/>
      <c r="B600" s="39" t="str">
        <f t="shared" si="29"/>
        <v/>
      </c>
      <c r="C600" s="43"/>
      <c r="D600" s="51" t="str" cm="1">
        <f t="array" ref="D600">IFERROR(INDEX(DB!G$2:G$2576,T600),"")</f>
        <v/>
      </c>
      <c r="E600" s="43"/>
      <c r="F600" s="52" t="str" cm="1">
        <f t="array" ref="F600">IFERROR(INDEX(DB!O$2:O$2576,T600),"")</f>
        <v/>
      </c>
      <c r="G600" s="43"/>
      <c r="H600" s="40" t="str" cm="1">
        <f t="array" ref="H600">IFERROR(INDEX(DB!P$2:P$2576,T600),"")</f>
        <v/>
      </c>
      <c r="I600" s="43"/>
      <c r="J600" s="53" t="str" cm="1">
        <f t="array" ref="J600">IFERROR(INDEX(DB!Q$2:Q$2576,T600),"")</f>
        <v/>
      </c>
      <c r="K600" s="43"/>
      <c r="L600" s="41" t="str" cm="1">
        <f t="array" ref="L600">IFERROR(INDEX(DB!R$2:R$2576,T600),"")</f>
        <v/>
      </c>
      <c r="M600" s="43"/>
      <c r="P600" t="str" cm="1">
        <f t="array" ref="P600">IFERROR(_xlfn.AGGREGATE(15,6,ROW(DB!A$2:A$2576)/((($D$3&lt;&gt;"YES")+($D$3="YES")*(DB!E$2:E$2576="YES"))*(($D$4="")+($D$4&lt;&gt;"")*( DB!B$2:B$2576=$D$4))*(($D$5="")+($D$5&lt;&gt;"")*( DB!C$2:C$2576=$D$5))*(($D$6="")+($D$6&lt;&gt;"")*( DB!D$2:D$2576=$D$6))*(($D$7="")+($D$7&lt;&gt;"")*(ISNUMBER(SEARCH($D$7,DB!G$2:G$2576))))*(($F$7="전체")+($F$7&lt;&gt;"전체")*(DB!H$2:H$2576=$F$7))),ROW()-13)-1,"")</f>
        <v/>
      </c>
      <c r="Q600" t="str" cm="1">
        <f t="array" ref="Q600">IFERROR(INDEX(DB!G$2:G$2576,P600),"")</f>
        <v/>
      </c>
      <c r="R600" t="str" cm="1">
        <f t="array" ref="R600">IFERROR(INDEX(DB!O$2:O$2576,P600),"")</f>
        <v/>
      </c>
      <c r="S600" t="str">
        <f t="shared" si="30"/>
        <v/>
      </c>
      <c r="T600" t="str">
        <f t="shared" si="31"/>
        <v/>
      </c>
    </row>
    <row r="601" spans="1:20" ht="100" customHeight="1">
      <c r="A601" s="26"/>
      <c r="B601" s="42" t="str">
        <f t="shared" si="29"/>
        <v/>
      </c>
      <c r="C601" s="43"/>
      <c r="D601" s="51" t="str" cm="1">
        <f t="array" ref="D601">IFERROR(INDEX(DB!G$2:G$2576,T601),"")</f>
        <v/>
      </c>
      <c r="E601" s="43"/>
      <c r="F601" s="52" t="str" cm="1">
        <f t="array" ref="F601">IFERROR(INDEX(DB!O$2:O$2576,T601),"")</f>
        <v/>
      </c>
      <c r="G601" s="43"/>
      <c r="H601" s="40" t="str" cm="1">
        <f t="array" ref="H601">IFERROR(INDEX(DB!P$2:P$2576,T601),"")</f>
        <v/>
      </c>
      <c r="I601" s="43"/>
      <c r="J601" s="53" t="str" cm="1">
        <f t="array" ref="J601">IFERROR(INDEX(DB!Q$2:Q$2576,T601),"")</f>
        <v/>
      </c>
      <c r="K601" s="43"/>
      <c r="L601" s="41" t="str" cm="1">
        <f t="array" ref="L601">IFERROR(INDEX(DB!R$2:R$2576,T601),"")</f>
        <v/>
      </c>
      <c r="M601" s="43"/>
      <c r="P601" t="str" cm="1">
        <f t="array" ref="P601">IFERROR(_xlfn.AGGREGATE(15,6,ROW(DB!A$2:A$2576)/((($D$3&lt;&gt;"YES")+($D$3="YES")*(DB!E$2:E$2576="YES"))*(($D$4="")+($D$4&lt;&gt;"")*( DB!B$2:B$2576=$D$4))*(($D$5="")+($D$5&lt;&gt;"")*( DB!C$2:C$2576=$D$5))*(($D$6="")+($D$6&lt;&gt;"")*( DB!D$2:D$2576=$D$6))*(($D$7="")+($D$7&lt;&gt;"")*(ISNUMBER(SEARCH($D$7,DB!G$2:G$2576))))*(($F$7="전체")+($F$7&lt;&gt;"전체")*(DB!H$2:H$2576=$F$7))),ROW()-13)-1,"")</f>
        <v/>
      </c>
      <c r="Q601" t="str" cm="1">
        <f t="array" ref="Q601">IFERROR(INDEX(DB!G$2:G$2576,P601),"")</f>
        <v/>
      </c>
      <c r="R601" t="str" cm="1">
        <f t="array" ref="R601">IFERROR(INDEX(DB!O$2:O$2576,P601),"")</f>
        <v/>
      </c>
      <c r="S601" t="str">
        <f t="shared" si="30"/>
        <v/>
      </c>
      <c r="T601" t="str">
        <f t="shared" si="31"/>
        <v/>
      </c>
    </row>
    <row r="602" spans="1:20" ht="100" customHeight="1">
      <c r="A602" s="26"/>
      <c r="B602" s="39" t="str">
        <f t="shared" si="29"/>
        <v/>
      </c>
      <c r="C602" s="43"/>
      <c r="D602" s="51" t="str" cm="1">
        <f t="array" ref="D602">IFERROR(INDEX(DB!G$2:G$2576,T602),"")</f>
        <v/>
      </c>
      <c r="E602" s="43"/>
      <c r="F602" s="52" t="str" cm="1">
        <f t="array" ref="F602">IFERROR(INDEX(DB!O$2:O$2576,T602),"")</f>
        <v/>
      </c>
      <c r="G602" s="43"/>
      <c r="H602" s="40" t="str" cm="1">
        <f t="array" ref="H602">IFERROR(INDEX(DB!P$2:P$2576,T602),"")</f>
        <v/>
      </c>
      <c r="I602" s="43"/>
      <c r="J602" s="53" t="str" cm="1">
        <f t="array" ref="J602">IFERROR(INDEX(DB!Q$2:Q$2576,T602),"")</f>
        <v/>
      </c>
      <c r="K602" s="43"/>
      <c r="L602" s="41" t="str" cm="1">
        <f t="array" ref="L602">IFERROR(INDEX(DB!R$2:R$2576,T602),"")</f>
        <v/>
      </c>
      <c r="M602" s="43"/>
      <c r="P602" t="str" cm="1">
        <f t="array" ref="P602">IFERROR(_xlfn.AGGREGATE(15,6,ROW(DB!A$2:A$2576)/((($D$3&lt;&gt;"YES")+($D$3="YES")*(DB!E$2:E$2576="YES"))*(($D$4="")+($D$4&lt;&gt;"")*( DB!B$2:B$2576=$D$4))*(($D$5="")+($D$5&lt;&gt;"")*( DB!C$2:C$2576=$D$5))*(($D$6="")+($D$6&lt;&gt;"")*( DB!D$2:D$2576=$D$6))*(($D$7="")+($D$7&lt;&gt;"")*(ISNUMBER(SEARCH($D$7,DB!G$2:G$2576))))*(($F$7="전체")+($F$7&lt;&gt;"전체")*(DB!H$2:H$2576=$F$7))),ROW()-13)-1,"")</f>
        <v/>
      </c>
      <c r="Q602" t="str" cm="1">
        <f t="array" ref="Q602">IFERROR(INDEX(DB!G$2:G$2576,P602),"")</f>
        <v/>
      </c>
      <c r="R602" t="str" cm="1">
        <f t="array" ref="R602">IFERROR(INDEX(DB!O$2:O$2576,P602),"")</f>
        <v/>
      </c>
      <c r="S602" t="str">
        <f t="shared" si="30"/>
        <v/>
      </c>
      <c r="T602" t="str">
        <f t="shared" si="31"/>
        <v/>
      </c>
    </row>
    <row r="603" spans="1:20" ht="100" customHeight="1">
      <c r="A603" s="26"/>
      <c r="B603" s="42" t="str">
        <f t="shared" si="29"/>
        <v/>
      </c>
      <c r="C603" s="43"/>
      <c r="D603" s="51" t="str" cm="1">
        <f t="array" ref="D603">IFERROR(INDEX(DB!G$2:G$2576,T603),"")</f>
        <v/>
      </c>
      <c r="E603" s="43"/>
      <c r="F603" s="52" t="str" cm="1">
        <f t="array" ref="F603">IFERROR(INDEX(DB!O$2:O$2576,T603),"")</f>
        <v/>
      </c>
      <c r="G603" s="43"/>
      <c r="H603" s="40" t="str" cm="1">
        <f t="array" ref="H603">IFERROR(INDEX(DB!P$2:P$2576,T603),"")</f>
        <v/>
      </c>
      <c r="I603" s="43"/>
      <c r="J603" s="53" t="str" cm="1">
        <f t="array" ref="J603">IFERROR(INDEX(DB!Q$2:Q$2576,T603),"")</f>
        <v/>
      </c>
      <c r="K603" s="43"/>
      <c r="L603" s="41" t="str" cm="1">
        <f t="array" ref="L603">IFERROR(INDEX(DB!R$2:R$2576,T603),"")</f>
        <v/>
      </c>
      <c r="M603" s="43"/>
      <c r="P603" t="str" cm="1">
        <f t="array" ref="P603">IFERROR(_xlfn.AGGREGATE(15,6,ROW(DB!A$2:A$2576)/((($D$3&lt;&gt;"YES")+($D$3="YES")*(DB!E$2:E$2576="YES"))*(($D$4="")+($D$4&lt;&gt;"")*( DB!B$2:B$2576=$D$4))*(($D$5="")+($D$5&lt;&gt;"")*( DB!C$2:C$2576=$D$5))*(($D$6="")+($D$6&lt;&gt;"")*( DB!D$2:D$2576=$D$6))*(($D$7="")+($D$7&lt;&gt;"")*(ISNUMBER(SEARCH($D$7,DB!G$2:G$2576))))*(($F$7="전체")+($F$7&lt;&gt;"전체")*(DB!H$2:H$2576=$F$7))),ROW()-13)-1,"")</f>
        <v/>
      </c>
      <c r="Q603" t="str" cm="1">
        <f t="array" ref="Q603">IFERROR(INDEX(DB!G$2:G$2576,P603),"")</f>
        <v/>
      </c>
      <c r="R603" t="str" cm="1">
        <f t="array" ref="R603">IFERROR(INDEX(DB!O$2:O$2576,P603),"")</f>
        <v/>
      </c>
      <c r="S603" t="str">
        <f t="shared" si="30"/>
        <v/>
      </c>
      <c r="T603" t="str">
        <f t="shared" si="31"/>
        <v/>
      </c>
    </row>
    <row r="604" spans="1:20" ht="100" customHeight="1">
      <c r="A604" s="26"/>
      <c r="B604" s="39" t="str">
        <f t="shared" si="29"/>
        <v/>
      </c>
      <c r="C604" s="43"/>
      <c r="D604" s="51" t="str" cm="1">
        <f t="array" ref="D604">IFERROR(INDEX(DB!G$2:G$2576,T604),"")</f>
        <v/>
      </c>
      <c r="E604" s="43"/>
      <c r="F604" s="52" t="str" cm="1">
        <f t="array" ref="F604">IFERROR(INDEX(DB!O$2:O$2576,T604),"")</f>
        <v/>
      </c>
      <c r="G604" s="43"/>
      <c r="H604" s="40" t="str" cm="1">
        <f t="array" ref="H604">IFERROR(INDEX(DB!P$2:P$2576,T604),"")</f>
        <v/>
      </c>
      <c r="I604" s="43"/>
      <c r="J604" s="53" t="str" cm="1">
        <f t="array" ref="J604">IFERROR(INDEX(DB!Q$2:Q$2576,T604),"")</f>
        <v/>
      </c>
      <c r="K604" s="43"/>
      <c r="L604" s="41" t="str" cm="1">
        <f t="array" ref="L604">IFERROR(INDEX(DB!R$2:R$2576,T604),"")</f>
        <v/>
      </c>
      <c r="M604" s="43"/>
      <c r="P604" t="str" cm="1">
        <f t="array" ref="P604">IFERROR(_xlfn.AGGREGATE(15,6,ROW(DB!A$2:A$2576)/((($D$3&lt;&gt;"YES")+($D$3="YES")*(DB!E$2:E$2576="YES"))*(($D$4="")+($D$4&lt;&gt;"")*( DB!B$2:B$2576=$D$4))*(($D$5="")+($D$5&lt;&gt;"")*( DB!C$2:C$2576=$D$5))*(($D$6="")+($D$6&lt;&gt;"")*( DB!D$2:D$2576=$D$6))*(($D$7="")+($D$7&lt;&gt;"")*(ISNUMBER(SEARCH($D$7,DB!G$2:G$2576))))*(($F$7="전체")+($F$7&lt;&gt;"전체")*(DB!H$2:H$2576=$F$7))),ROW()-13)-1,"")</f>
        <v/>
      </c>
      <c r="Q604" t="str" cm="1">
        <f t="array" ref="Q604">IFERROR(INDEX(DB!G$2:G$2576,P604),"")</f>
        <v/>
      </c>
      <c r="R604" t="str" cm="1">
        <f t="array" ref="R604">IFERROR(INDEX(DB!O$2:O$2576,P604),"")</f>
        <v/>
      </c>
      <c r="S604" t="str">
        <f t="shared" si="30"/>
        <v/>
      </c>
      <c r="T604" t="str">
        <f t="shared" si="31"/>
        <v/>
      </c>
    </row>
    <row r="605" spans="1:20" ht="100" customHeight="1">
      <c r="A605" s="26"/>
      <c r="B605" s="42" t="str">
        <f t="shared" si="29"/>
        <v/>
      </c>
      <c r="C605" s="43"/>
      <c r="D605" s="51" t="str" cm="1">
        <f t="array" ref="D605">IFERROR(INDEX(DB!G$2:G$2576,T605),"")</f>
        <v/>
      </c>
      <c r="E605" s="43"/>
      <c r="F605" s="52" t="str" cm="1">
        <f t="array" ref="F605">IFERROR(INDEX(DB!O$2:O$2576,T605),"")</f>
        <v/>
      </c>
      <c r="G605" s="43"/>
      <c r="H605" s="40" t="str" cm="1">
        <f t="array" ref="H605">IFERROR(INDEX(DB!P$2:P$2576,T605),"")</f>
        <v/>
      </c>
      <c r="I605" s="43"/>
      <c r="J605" s="53" t="str" cm="1">
        <f t="array" ref="J605">IFERROR(INDEX(DB!Q$2:Q$2576,T605),"")</f>
        <v/>
      </c>
      <c r="K605" s="43"/>
      <c r="L605" s="41" t="str" cm="1">
        <f t="array" ref="L605">IFERROR(INDEX(DB!R$2:R$2576,T605),"")</f>
        <v/>
      </c>
      <c r="M605" s="43"/>
      <c r="P605" t="str" cm="1">
        <f t="array" ref="P605">IFERROR(_xlfn.AGGREGATE(15,6,ROW(DB!A$2:A$2576)/((($D$3&lt;&gt;"YES")+($D$3="YES")*(DB!E$2:E$2576="YES"))*(($D$4="")+($D$4&lt;&gt;"")*( DB!B$2:B$2576=$D$4))*(($D$5="")+($D$5&lt;&gt;"")*( DB!C$2:C$2576=$D$5))*(($D$6="")+($D$6&lt;&gt;"")*( DB!D$2:D$2576=$D$6))*(($D$7="")+($D$7&lt;&gt;"")*(ISNUMBER(SEARCH($D$7,DB!G$2:G$2576))))*(($F$7="전체")+($F$7&lt;&gt;"전체")*(DB!H$2:H$2576=$F$7))),ROW()-13)-1,"")</f>
        <v/>
      </c>
      <c r="Q605" t="str" cm="1">
        <f t="array" ref="Q605">IFERROR(INDEX(DB!G$2:G$2576,P605),"")</f>
        <v/>
      </c>
      <c r="R605" t="str" cm="1">
        <f t="array" ref="R605">IFERROR(INDEX(DB!O$2:O$2576,P605),"")</f>
        <v/>
      </c>
      <c r="S605" t="str">
        <f t="shared" si="30"/>
        <v/>
      </c>
      <c r="T605" t="str">
        <f t="shared" si="31"/>
        <v/>
      </c>
    </row>
    <row r="606" spans="1:20" ht="100" customHeight="1">
      <c r="A606" s="26"/>
      <c r="B606" s="39" t="str">
        <f t="shared" si="29"/>
        <v/>
      </c>
      <c r="C606" s="43"/>
      <c r="D606" s="51" t="str" cm="1">
        <f t="array" ref="D606">IFERROR(INDEX(DB!G$2:G$2576,T606),"")</f>
        <v/>
      </c>
      <c r="E606" s="43"/>
      <c r="F606" s="52" t="str" cm="1">
        <f t="array" ref="F606">IFERROR(INDEX(DB!O$2:O$2576,T606),"")</f>
        <v/>
      </c>
      <c r="G606" s="43"/>
      <c r="H606" s="40" t="str" cm="1">
        <f t="array" ref="H606">IFERROR(INDEX(DB!P$2:P$2576,T606),"")</f>
        <v/>
      </c>
      <c r="I606" s="43"/>
      <c r="J606" s="53" t="str" cm="1">
        <f t="array" ref="J606">IFERROR(INDEX(DB!Q$2:Q$2576,T606),"")</f>
        <v/>
      </c>
      <c r="K606" s="43"/>
      <c r="L606" s="41" t="str" cm="1">
        <f t="array" ref="L606">IFERROR(INDEX(DB!R$2:R$2576,T606),"")</f>
        <v/>
      </c>
      <c r="M606" s="43"/>
      <c r="P606" t="str" cm="1">
        <f t="array" ref="P606">IFERROR(_xlfn.AGGREGATE(15,6,ROW(DB!A$2:A$2576)/((($D$3&lt;&gt;"YES")+($D$3="YES")*(DB!E$2:E$2576="YES"))*(($D$4="")+($D$4&lt;&gt;"")*( DB!B$2:B$2576=$D$4))*(($D$5="")+($D$5&lt;&gt;"")*( DB!C$2:C$2576=$D$5))*(($D$6="")+($D$6&lt;&gt;"")*( DB!D$2:D$2576=$D$6))*(($D$7="")+($D$7&lt;&gt;"")*(ISNUMBER(SEARCH($D$7,DB!G$2:G$2576))))*(($F$7="전체")+($F$7&lt;&gt;"전체")*(DB!H$2:H$2576=$F$7))),ROW()-13)-1,"")</f>
        <v/>
      </c>
      <c r="Q606" t="str" cm="1">
        <f t="array" ref="Q606">IFERROR(INDEX(DB!G$2:G$2576,P606),"")</f>
        <v/>
      </c>
      <c r="R606" t="str" cm="1">
        <f t="array" ref="R606">IFERROR(INDEX(DB!O$2:O$2576,P606),"")</f>
        <v/>
      </c>
      <c r="S606" t="str">
        <f t="shared" si="30"/>
        <v/>
      </c>
      <c r="T606" t="str">
        <f t="shared" si="31"/>
        <v/>
      </c>
    </row>
    <row r="607" spans="1:20" ht="100" customHeight="1">
      <c r="A607" s="26"/>
      <c r="B607" s="42" t="str">
        <f t="shared" si="29"/>
        <v/>
      </c>
      <c r="C607" s="43"/>
      <c r="D607" s="51" t="str" cm="1">
        <f t="array" ref="D607">IFERROR(INDEX(DB!G$2:G$2576,T607),"")</f>
        <v/>
      </c>
      <c r="E607" s="43"/>
      <c r="F607" s="52" t="str" cm="1">
        <f t="array" ref="F607">IFERROR(INDEX(DB!O$2:O$2576,T607),"")</f>
        <v/>
      </c>
      <c r="G607" s="43"/>
      <c r="H607" s="40" t="str" cm="1">
        <f t="array" ref="H607">IFERROR(INDEX(DB!P$2:P$2576,T607),"")</f>
        <v/>
      </c>
      <c r="I607" s="43"/>
      <c r="J607" s="53" t="str" cm="1">
        <f t="array" ref="J607">IFERROR(INDEX(DB!Q$2:Q$2576,T607),"")</f>
        <v/>
      </c>
      <c r="K607" s="43"/>
      <c r="L607" s="41" t="str" cm="1">
        <f t="array" ref="L607">IFERROR(INDEX(DB!R$2:R$2576,T607),"")</f>
        <v/>
      </c>
      <c r="M607" s="43"/>
      <c r="P607" t="str" cm="1">
        <f t="array" ref="P607">IFERROR(_xlfn.AGGREGATE(15,6,ROW(DB!A$2:A$2576)/((($D$3&lt;&gt;"YES")+($D$3="YES")*(DB!E$2:E$2576="YES"))*(($D$4="")+($D$4&lt;&gt;"")*( DB!B$2:B$2576=$D$4))*(($D$5="")+($D$5&lt;&gt;"")*( DB!C$2:C$2576=$D$5))*(($D$6="")+($D$6&lt;&gt;"")*( DB!D$2:D$2576=$D$6))*(($D$7="")+($D$7&lt;&gt;"")*(ISNUMBER(SEARCH($D$7,DB!G$2:G$2576))))*(($F$7="전체")+($F$7&lt;&gt;"전체")*(DB!H$2:H$2576=$F$7))),ROW()-13)-1,"")</f>
        <v/>
      </c>
      <c r="Q607" t="str" cm="1">
        <f t="array" ref="Q607">IFERROR(INDEX(DB!G$2:G$2576,P607),"")</f>
        <v/>
      </c>
      <c r="R607" t="str" cm="1">
        <f t="array" ref="R607">IFERROR(INDEX(DB!O$2:O$2576,P607),"")</f>
        <v/>
      </c>
      <c r="S607" t="str">
        <f t="shared" si="30"/>
        <v/>
      </c>
      <c r="T607" t="str">
        <f t="shared" si="31"/>
        <v/>
      </c>
    </row>
    <row r="608" spans="1:20" ht="100" customHeight="1">
      <c r="A608" s="26"/>
      <c r="B608" s="39" t="str">
        <f t="shared" si="29"/>
        <v/>
      </c>
      <c r="C608" s="43"/>
      <c r="D608" s="51" t="str" cm="1">
        <f t="array" ref="D608">IFERROR(INDEX(DB!G$2:G$2576,T608),"")</f>
        <v/>
      </c>
      <c r="E608" s="43"/>
      <c r="F608" s="52" t="str" cm="1">
        <f t="array" ref="F608">IFERROR(INDEX(DB!O$2:O$2576,T608),"")</f>
        <v/>
      </c>
      <c r="G608" s="43"/>
      <c r="H608" s="40" t="str" cm="1">
        <f t="array" ref="H608">IFERROR(INDEX(DB!P$2:P$2576,T608),"")</f>
        <v/>
      </c>
      <c r="I608" s="43"/>
      <c r="J608" s="53" t="str" cm="1">
        <f t="array" ref="J608">IFERROR(INDEX(DB!Q$2:Q$2576,T608),"")</f>
        <v/>
      </c>
      <c r="K608" s="43"/>
      <c r="L608" s="41" t="str" cm="1">
        <f t="array" ref="L608">IFERROR(INDEX(DB!R$2:R$2576,T608),"")</f>
        <v/>
      </c>
      <c r="M608" s="43"/>
      <c r="P608" t="str" cm="1">
        <f t="array" ref="P608">IFERROR(_xlfn.AGGREGATE(15,6,ROW(DB!A$2:A$2576)/((($D$3&lt;&gt;"YES")+($D$3="YES")*(DB!E$2:E$2576="YES"))*(($D$4="")+($D$4&lt;&gt;"")*( DB!B$2:B$2576=$D$4))*(($D$5="")+($D$5&lt;&gt;"")*( DB!C$2:C$2576=$D$5))*(($D$6="")+($D$6&lt;&gt;"")*( DB!D$2:D$2576=$D$6))*(($D$7="")+($D$7&lt;&gt;"")*(ISNUMBER(SEARCH($D$7,DB!G$2:G$2576))))*(($F$7="전체")+($F$7&lt;&gt;"전체")*(DB!H$2:H$2576=$F$7))),ROW()-13)-1,"")</f>
        <v/>
      </c>
      <c r="Q608" t="str" cm="1">
        <f t="array" ref="Q608">IFERROR(INDEX(DB!G$2:G$2576,P608),"")</f>
        <v/>
      </c>
      <c r="R608" t="str" cm="1">
        <f t="array" ref="R608">IFERROR(INDEX(DB!O$2:O$2576,P608),"")</f>
        <v/>
      </c>
      <c r="S608" t="str">
        <f t="shared" si="30"/>
        <v/>
      </c>
      <c r="T608" t="str">
        <f t="shared" si="31"/>
        <v/>
      </c>
    </row>
    <row r="609" spans="1:20" ht="100" customHeight="1">
      <c r="A609" s="26"/>
      <c r="B609" s="42" t="str">
        <f t="shared" si="29"/>
        <v/>
      </c>
      <c r="C609" s="43"/>
      <c r="D609" s="51" t="str" cm="1">
        <f t="array" ref="D609">IFERROR(INDEX(DB!G$2:G$2576,T609),"")</f>
        <v/>
      </c>
      <c r="E609" s="43"/>
      <c r="F609" s="52" t="str" cm="1">
        <f t="array" ref="F609">IFERROR(INDEX(DB!O$2:O$2576,T609),"")</f>
        <v/>
      </c>
      <c r="G609" s="43"/>
      <c r="H609" s="40" t="str" cm="1">
        <f t="array" ref="H609">IFERROR(INDEX(DB!P$2:P$2576,T609),"")</f>
        <v/>
      </c>
      <c r="I609" s="43"/>
      <c r="J609" s="53" t="str" cm="1">
        <f t="array" ref="J609">IFERROR(INDEX(DB!Q$2:Q$2576,T609),"")</f>
        <v/>
      </c>
      <c r="K609" s="43"/>
      <c r="L609" s="41" t="str" cm="1">
        <f t="array" ref="L609">IFERROR(INDEX(DB!R$2:R$2576,T609),"")</f>
        <v/>
      </c>
      <c r="M609" s="43"/>
      <c r="P609" t="str" cm="1">
        <f t="array" ref="P609">IFERROR(_xlfn.AGGREGATE(15,6,ROW(DB!A$2:A$2576)/((($D$3&lt;&gt;"YES")+($D$3="YES")*(DB!E$2:E$2576="YES"))*(($D$4="")+($D$4&lt;&gt;"")*( DB!B$2:B$2576=$D$4))*(($D$5="")+($D$5&lt;&gt;"")*( DB!C$2:C$2576=$D$5))*(($D$6="")+($D$6&lt;&gt;"")*( DB!D$2:D$2576=$D$6))*(($D$7="")+($D$7&lt;&gt;"")*(ISNUMBER(SEARCH($D$7,DB!G$2:G$2576))))*(($F$7="전체")+($F$7&lt;&gt;"전체")*(DB!H$2:H$2576=$F$7))),ROW()-13)-1,"")</f>
        <v/>
      </c>
      <c r="Q609" t="str" cm="1">
        <f t="array" ref="Q609">IFERROR(INDEX(DB!G$2:G$2576,P609),"")</f>
        <v/>
      </c>
      <c r="R609" t="str" cm="1">
        <f t="array" ref="R609">IFERROR(INDEX(DB!O$2:O$2576,P609),"")</f>
        <v/>
      </c>
      <c r="S609" t="str">
        <f t="shared" si="30"/>
        <v/>
      </c>
      <c r="T609" t="str">
        <f t="shared" si="31"/>
        <v/>
      </c>
    </row>
    <row r="610" spans="1:20" ht="100" customHeight="1">
      <c r="A610" s="26"/>
      <c r="B610" s="39" t="str">
        <f t="shared" si="29"/>
        <v/>
      </c>
      <c r="C610" s="43"/>
      <c r="D610" s="51" t="str" cm="1">
        <f t="array" ref="D610">IFERROR(INDEX(DB!G$2:G$2576,T610),"")</f>
        <v/>
      </c>
      <c r="E610" s="43"/>
      <c r="F610" s="52" t="str" cm="1">
        <f t="array" ref="F610">IFERROR(INDEX(DB!O$2:O$2576,T610),"")</f>
        <v/>
      </c>
      <c r="G610" s="43"/>
      <c r="H610" s="40" t="str" cm="1">
        <f t="array" ref="H610">IFERROR(INDEX(DB!P$2:P$2576,T610),"")</f>
        <v/>
      </c>
      <c r="I610" s="43"/>
      <c r="J610" s="53" t="str" cm="1">
        <f t="array" ref="J610">IFERROR(INDEX(DB!Q$2:Q$2576,T610),"")</f>
        <v/>
      </c>
      <c r="K610" s="43"/>
      <c r="L610" s="41" t="str" cm="1">
        <f t="array" ref="L610">IFERROR(INDEX(DB!R$2:R$2576,T610),"")</f>
        <v/>
      </c>
      <c r="M610" s="43"/>
      <c r="P610" t="str" cm="1">
        <f t="array" ref="P610">IFERROR(_xlfn.AGGREGATE(15,6,ROW(DB!A$2:A$2576)/((($D$3&lt;&gt;"YES")+($D$3="YES")*(DB!E$2:E$2576="YES"))*(($D$4="")+($D$4&lt;&gt;"")*( DB!B$2:B$2576=$D$4))*(($D$5="")+($D$5&lt;&gt;"")*( DB!C$2:C$2576=$D$5))*(($D$6="")+($D$6&lt;&gt;"")*( DB!D$2:D$2576=$D$6))*(($D$7="")+($D$7&lt;&gt;"")*(ISNUMBER(SEARCH($D$7,DB!G$2:G$2576))))*(($F$7="전체")+($F$7&lt;&gt;"전체")*(DB!H$2:H$2576=$F$7))),ROW()-13)-1,"")</f>
        <v/>
      </c>
      <c r="Q610" t="str" cm="1">
        <f t="array" ref="Q610">IFERROR(INDEX(DB!G$2:G$2576,P610),"")</f>
        <v/>
      </c>
      <c r="R610" t="str" cm="1">
        <f t="array" ref="R610">IFERROR(INDEX(DB!O$2:O$2576,P610),"")</f>
        <v/>
      </c>
      <c r="S610" t="str">
        <f t="shared" si="30"/>
        <v/>
      </c>
      <c r="T610" t="str">
        <f t="shared" si="31"/>
        <v/>
      </c>
    </row>
    <row r="611" spans="1:20" ht="100" customHeight="1">
      <c r="A611" s="26"/>
      <c r="B611" s="42" t="str">
        <f t="shared" si="29"/>
        <v/>
      </c>
      <c r="C611" s="43"/>
      <c r="D611" s="51" t="str" cm="1">
        <f t="array" ref="D611">IFERROR(INDEX(DB!G$2:G$2576,T611),"")</f>
        <v/>
      </c>
      <c r="E611" s="43"/>
      <c r="F611" s="52" t="str" cm="1">
        <f t="array" ref="F611">IFERROR(INDEX(DB!O$2:O$2576,T611),"")</f>
        <v/>
      </c>
      <c r="G611" s="43"/>
      <c r="H611" s="40" t="str" cm="1">
        <f t="array" ref="H611">IFERROR(INDEX(DB!P$2:P$2576,T611),"")</f>
        <v/>
      </c>
      <c r="I611" s="43"/>
      <c r="J611" s="53" t="str" cm="1">
        <f t="array" ref="J611">IFERROR(INDEX(DB!Q$2:Q$2576,T611),"")</f>
        <v/>
      </c>
      <c r="K611" s="43"/>
      <c r="L611" s="41" t="str" cm="1">
        <f t="array" ref="L611">IFERROR(INDEX(DB!R$2:R$2576,T611),"")</f>
        <v/>
      </c>
      <c r="M611" s="43"/>
      <c r="P611" t="str" cm="1">
        <f t="array" ref="P611">IFERROR(_xlfn.AGGREGATE(15,6,ROW(DB!A$2:A$2576)/((($D$3&lt;&gt;"YES")+($D$3="YES")*(DB!E$2:E$2576="YES"))*(($D$4="")+($D$4&lt;&gt;"")*( DB!B$2:B$2576=$D$4))*(($D$5="")+($D$5&lt;&gt;"")*( DB!C$2:C$2576=$D$5))*(($D$6="")+($D$6&lt;&gt;"")*( DB!D$2:D$2576=$D$6))*(($D$7="")+($D$7&lt;&gt;"")*(ISNUMBER(SEARCH($D$7,DB!G$2:G$2576))))*(($F$7="전체")+($F$7&lt;&gt;"전체")*(DB!H$2:H$2576=$F$7))),ROW()-13)-1,"")</f>
        <v/>
      </c>
      <c r="Q611" t="str" cm="1">
        <f t="array" ref="Q611">IFERROR(INDEX(DB!G$2:G$2576,P611),"")</f>
        <v/>
      </c>
      <c r="R611" t="str" cm="1">
        <f t="array" ref="R611">IFERROR(INDEX(DB!O$2:O$2576,P611),"")</f>
        <v/>
      </c>
      <c r="S611" t="str">
        <f t="shared" si="30"/>
        <v/>
      </c>
      <c r="T611" t="str">
        <f t="shared" si="31"/>
        <v/>
      </c>
    </row>
    <row r="612" spans="1:20" ht="100" customHeight="1">
      <c r="A612" s="26"/>
      <c r="B612" s="39" t="str">
        <f t="shared" si="29"/>
        <v/>
      </c>
      <c r="C612" s="43"/>
      <c r="D612" s="51" t="str" cm="1">
        <f t="array" ref="D612">IFERROR(INDEX(DB!G$2:G$2576,T612),"")</f>
        <v/>
      </c>
      <c r="E612" s="43"/>
      <c r="F612" s="52" t="str" cm="1">
        <f t="array" ref="F612">IFERROR(INDEX(DB!O$2:O$2576,T612),"")</f>
        <v/>
      </c>
      <c r="G612" s="43"/>
      <c r="H612" s="40" t="str" cm="1">
        <f t="array" ref="H612">IFERROR(INDEX(DB!P$2:P$2576,T612),"")</f>
        <v/>
      </c>
      <c r="I612" s="43"/>
      <c r="J612" s="53" t="str" cm="1">
        <f t="array" ref="J612">IFERROR(INDEX(DB!Q$2:Q$2576,T612),"")</f>
        <v/>
      </c>
      <c r="K612" s="43"/>
      <c r="L612" s="41" t="str" cm="1">
        <f t="array" ref="L612">IFERROR(INDEX(DB!R$2:R$2576,T612),"")</f>
        <v/>
      </c>
      <c r="M612" s="43"/>
      <c r="P612" t="str" cm="1">
        <f t="array" ref="P612">IFERROR(_xlfn.AGGREGATE(15,6,ROW(DB!A$2:A$2576)/((($D$3&lt;&gt;"YES")+($D$3="YES")*(DB!E$2:E$2576="YES"))*(($D$4="")+($D$4&lt;&gt;"")*( DB!B$2:B$2576=$D$4))*(($D$5="")+($D$5&lt;&gt;"")*( DB!C$2:C$2576=$D$5))*(($D$6="")+($D$6&lt;&gt;"")*( DB!D$2:D$2576=$D$6))*(($D$7="")+($D$7&lt;&gt;"")*(ISNUMBER(SEARCH($D$7,DB!G$2:G$2576))))*(($F$7="전체")+($F$7&lt;&gt;"전체")*(DB!H$2:H$2576=$F$7))),ROW()-13)-1,"")</f>
        <v/>
      </c>
      <c r="Q612" t="str" cm="1">
        <f t="array" ref="Q612">IFERROR(INDEX(DB!G$2:G$2576,P612),"")</f>
        <v/>
      </c>
      <c r="R612" t="str" cm="1">
        <f t="array" ref="R612">IFERROR(INDEX(DB!O$2:O$2576,P612),"")</f>
        <v/>
      </c>
      <c r="S612" t="str">
        <f t="shared" si="30"/>
        <v/>
      </c>
      <c r="T612" t="str">
        <f t="shared" si="31"/>
        <v/>
      </c>
    </row>
    <row r="613" spans="1:20" ht="100" customHeight="1">
      <c r="A613" s="26"/>
      <c r="B613" s="42" t="str">
        <f t="shared" si="29"/>
        <v/>
      </c>
      <c r="C613" s="43"/>
      <c r="D613" s="51" t="str" cm="1">
        <f t="array" ref="D613">IFERROR(INDEX(DB!G$2:G$2576,T613),"")</f>
        <v/>
      </c>
      <c r="E613" s="43"/>
      <c r="F613" s="52" t="str" cm="1">
        <f t="array" ref="F613">IFERROR(INDEX(DB!O$2:O$2576,T613),"")</f>
        <v/>
      </c>
      <c r="G613" s="43"/>
      <c r="H613" s="40" t="str" cm="1">
        <f t="array" ref="H613">IFERROR(INDEX(DB!P$2:P$2576,T613),"")</f>
        <v/>
      </c>
      <c r="I613" s="43"/>
      <c r="J613" s="53" t="str" cm="1">
        <f t="array" ref="J613">IFERROR(INDEX(DB!Q$2:Q$2576,T613),"")</f>
        <v/>
      </c>
      <c r="K613" s="43"/>
      <c r="L613" s="41" t="str" cm="1">
        <f t="array" ref="L613">IFERROR(INDEX(DB!R$2:R$2576,T613),"")</f>
        <v/>
      </c>
      <c r="M613" s="43"/>
      <c r="P613" t="str" cm="1">
        <f t="array" ref="P613">IFERROR(_xlfn.AGGREGATE(15,6,ROW(DB!A$2:A$2576)/((($D$3&lt;&gt;"YES")+($D$3="YES")*(DB!E$2:E$2576="YES"))*(($D$4="")+($D$4&lt;&gt;"")*( DB!B$2:B$2576=$D$4))*(($D$5="")+($D$5&lt;&gt;"")*( DB!C$2:C$2576=$D$5))*(($D$6="")+($D$6&lt;&gt;"")*( DB!D$2:D$2576=$D$6))*(($D$7="")+($D$7&lt;&gt;"")*(ISNUMBER(SEARCH($D$7,DB!G$2:G$2576))))*(($F$7="전체")+($F$7&lt;&gt;"전체")*(DB!H$2:H$2576=$F$7))),ROW()-13)-1,"")</f>
        <v/>
      </c>
      <c r="Q613" t="str" cm="1">
        <f t="array" ref="Q613">IFERROR(INDEX(DB!G$2:G$2576,P613),"")</f>
        <v/>
      </c>
      <c r="R613" t="str" cm="1">
        <f t="array" ref="R613">IFERROR(INDEX(DB!O$2:O$2576,P613),"")</f>
        <v/>
      </c>
      <c r="S613" t="str">
        <f t="shared" si="30"/>
        <v/>
      </c>
      <c r="T613" t="str">
        <f t="shared" si="31"/>
        <v/>
      </c>
    </row>
    <row r="614" spans="1:20" ht="100" customHeight="1">
      <c r="A614" s="26"/>
      <c r="B614" s="39" t="str">
        <f t="shared" si="29"/>
        <v/>
      </c>
      <c r="C614" s="43"/>
      <c r="D614" s="51" t="str" cm="1">
        <f t="array" ref="D614">IFERROR(INDEX(DB!G$2:G$2576,T614),"")</f>
        <v/>
      </c>
      <c r="E614" s="43"/>
      <c r="F614" s="52" t="str" cm="1">
        <f t="array" ref="F614">IFERROR(INDEX(DB!O$2:O$2576,T614),"")</f>
        <v/>
      </c>
      <c r="G614" s="43"/>
      <c r="H614" s="40" t="str" cm="1">
        <f t="array" ref="H614">IFERROR(INDEX(DB!P$2:P$2576,T614),"")</f>
        <v/>
      </c>
      <c r="I614" s="43"/>
      <c r="J614" s="53" t="str" cm="1">
        <f t="array" ref="J614">IFERROR(INDEX(DB!Q$2:Q$2576,T614),"")</f>
        <v/>
      </c>
      <c r="K614" s="43"/>
      <c r="L614" s="41" t="str" cm="1">
        <f t="array" ref="L614">IFERROR(INDEX(DB!R$2:R$2576,T614),"")</f>
        <v/>
      </c>
      <c r="M614" s="43"/>
      <c r="P614" t="str" cm="1">
        <f t="array" ref="P614">IFERROR(_xlfn.AGGREGATE(15,6,ROW(DB!A$2:A$2576)/((($D$3&lt;&gt;"YES")+($D$3="YES")*(DB!E$2:E$2576="YES"))*(($D$4="")+($D$4&lt;&gt;"")*( DB!B$2:B$2576=$D$4))*(($D$5="")+($D$5&lt;&gt;"")*( DB!C$2:C$2576=$D$5))*(($D$6="")+($D$6&lt;&gt;"")*( DB!D$2:D$2576=$D$6))*(($D$7="")+($D$7&lt;&gt;"")*(ISNUMBER(SEARCH($D$7,DB!G$2:G$2576))))*(($F$7="전체")+($F$7&lt;&gt;"전체")*(DB!H$2:H$2576=$F$7))),ROW()-13)-1,"")</f>
        <v/>
      </c>
      <c r="Q614" t="str" cm="1">
        <f t="array" ref="Q614">IFERROR(INDEX(DB!G$2:G$2576,P614),"")</f>
        <v/>
      </c>
      <c r="R614" t="str" cm="1">
        <f t="array" ref="R614">IFERROR(INDEX(DB!O$2:O$2576,P614),"")</f>
        <v/>
      </c>
      <c r="S614" t="str">
        <f t="shared" si="30"/>
        <v/>
      </c>
      <c r="T614" t="str">
        <f t="shared" si="31"/>
        <v/>
      </c>
    </row>
    <row r="615" spans="1:20" ht="100" customHeight="1">
      <c r="A615" s="26"/>
      <c r="B615" s="42" t="str">
        <f t="shared" si="29"/>
        <v/>
      </c>
      <c r="C615" s="43"/>
      <c r="D615" s="51" t="str" cm="1">
        <f t="array" ref="D615">IFERROR(INDEX(DB!G$2:G$2576,T615),"")</f>
        <v/>
      </c>
      <c r="E615" s="43"/>
      <c r="F615" s="52" t="str" cm="1">
        <f t="array" ref="F615">IFERROR(INDEX(DB!O$2:O$2576,T615),"")</f>
        <v/>
      </c>
      <c r="G615" s="43"/>
      <c r="H615" s="40" t="str" cm="1">
        <f t="array" ref="H615">IFERROR(INDEX(DB!P$2:P$2576,T615),"")</f>
        <v/>
      </c>
      <c r="I615" s="43"/>
      <c r="J615" s="53" t="str" cm="1">
        <f t="array" ref="J615">IFERROR(INDEX(DB!Q$2:Q$2576,T615),"")</f>
        <v/>
      </c>
      <c r="K615" s="43"/>
      <c r="L615" s="41" t="str" cm="1">
        <f t="array" ref="L615">IFERROR(INDEX(DB!R$2:R$2576,T615),"")</f>
        <v/>
      </c>
      <c r="M615" s="43"/>
      <c r="P615" t="str" cm="1">
        <f t="array" ref="P615">IFERROR(_xlfn.AGGREGATE(15,6,ROW(DB!A$2:A$2576)/((($D$3&lt;&gt;"YES")+($D$3="YES")*(DB!E$2:E$2576="YES"))*(($D$4="")+($D$4&lt;&gt;"")*( DB!B$2:B$2576=$D$4))*(($D$5="")+($D$5&lt;&gt;"")*( DB!C$2:C$2576=$D$5))*(($D$6="")+($D$6&lt;&gt;"")*( DB!D$2:D$2576=$D$6))*(($D$7="")+($D$7&lt;&gt;"")*(ISNUMBER(SEARCH($D$7,DB!G$2:G$2576))))*(($F$7="전체")+($F$7&lt;&gt;"전체")*(DB!H$2:H$2576=$F$7))),ROW()-13)-1,"")</f>
        <v/>
      </c>
      <c r="Q615" t="str" cm="1">
        <f t="array" ref="Q615">IFERROR(INDEX(DB!G$2:G$2576,P615),"")</f>
        <v/>
      </c>
      <c r="R615" t="str" cm="1">
        <f t="array" ref="R615">IFERROR(INDEX(DB!O$2:O$2576,P615),"")</f>
        <v/>
      </c>
      <c r="S615" t="str">
        <f t="shared" si="30"/>
        <v/>
      </c>
      <c r="T615" t="str">
        <f t="shared" si="31"/>
        <v/>
      </c>
    </row>
    <row r="616" spans="1:20" ht="100" customHeight="1">
      <c r="A616" s="26"/>
      <c r="B616" s="39" t="str">
        <f t="shared" si="29"/>
        <v/>
      </c>
      <c r="C616" s="43"/>
      <c r="D616" s="51" t="str" cm="1">
        <f t="array" ref="D616">IFERROR(INDEX(DB!G$2:G$2576,T616),"")</f>
        <v/>
      </c>
      <c r="E616" s="43"/>
      <c r="F616" s="52" t="str" cm="1">
        <f t="array" ref="F616">IFERROR(INDEX(DB!O$2:O$2576,T616),"")</f>
        <v/>
      </c>
      <c r="G616" s="43"/>
      <c r="H616" s="40" t="str" cm="1">
        <f t="array" ref="H616">IFERROR(INDEX(DB!P$2:P$2576,T616),"")</f>
        <v/>
      </c>
      <c r="I616" s="43"/>
      <c r="J616" s="53" t="str" cm="1">
        <f t="array" ref="J616">IFERROR(INDEX(DB!Q$2:Q$2576,T616),"")</f>
        <v/>
      </c>
      <c r="K616" s="43"/>
      <c r="L616" s="41" t="str" cm="1">
        <f t="array" ref="L616">IFERROR(INDEX(DB!R$2:R$2576,T616),"")</f>
        <v/>
      </c>
      <c r="M616" s="43"/>
      <c r="P616" t="str" cm="1">
        <f t="array" ref="P616">IFERROR(_xlfn.AGGREGATE(15,6,ROW(DB!A$2:A$2576)/((($D$3&lt;&gt;"YES")+($D$3="YES")*(DB!E$2:E$2576="YES"))*(($D$4="")+($D$4&lt;&gt;"")*( DB!B$2:B$2576=$D$4))*(($D$5="")+($D$5&lt;&gt;"")*( DB!C$2:C$2576=$D$5))*(($D$6="")+($D$6&lt;&gt;"")*( DB!D$2:D$2576=$D$6))*(($D$7="")+($D$7&lt;&gt;"")*(ISNUMBER(SEARCH($D$7,DB!G$2:G$2576))))*(($F$7="전체")+($F$7&lt;&gt;"전체")*(DB!H$2:H$2576=$F$7))),ROW()-13)-1,"")</f>
        <v/>
      </c>
      <c r="Q616" t="str" cm="1">
        <f t="array" ref="Q616">IFERROR(INDEX(DB!G$2:G$2576,P616),"")</f>
        <v/>
      </c>
      <c r="R616" t="str" cm="1">
        <f t="array" ref="R616">IFERROR(INDEX(DB!O$2:O$2576,P616),"")</f>
        <v/>
      </c>
      <c r="S616" t="str">
        <f t="shared" si="30"/>
        <v/>
      </c>
      <c r="T616" t="str">
        <f t="shared" si="31"/>
        <v/>
      </c>
    </row>
    <row r="617" spans="1:20" ht="100" customHeight="1">
      <c r="A617" s="26"/>
      <c r="B617" s="42" t="str">
        <f t="shared" si="29"/>
        <v/>
      </c>
      <c r="C617" s="43"/>
      <c r="D617" s="51" t="str" cm="1">
        <f t="array" ref="D617">IFERROR(INDEX(DB!G$2:G$2576,T617),"")</f>
        <v/>
      </c>
      <c r="E617" s="43"/>
      <c r="F617" s="52" t="str" cm="1">
        <f t="array" ref="F617">IFERROR(INDEX(DB!O$2:O$2576,T617),"")</f>
        <v/>
      </c>
      <c r="G617" s="43"/>
      <c r="H617" s="40" t="str" cm="1">
        <f t="array" ref="H617">IFERROR(INDEX(DB!P$2:P$2576,T617),"")</f>
        <v/>
      </c>
      <c r="I617" s="43"/>
      <c r="J617" s="53" t="str" cm="1">
        <f t="array" ref="J617">IFERROR(INDEX(DB!Q$2:Q$2576,T617),"")</f>
        <v/>
      </c>
      <c r="K617" s="43"/>
      <c r="L617" s="41" t="str" cm="1">
        <f t="array" ref="L617">IFERROR(INDEX(DB!R$2:R$2576,T617),"")</f>
        <v/>
      </c>
      <c r="M617" s="43"/>
      <c r="P617" t="str" cm="1">
        <f t="array" ref="P617">IFERROR(_xlfn.AGGREGATE(15,6,ROW(DB!A$2:A$2576)/((($D$3&lt;&gt;"YES")+($D$3="YES")*(DB!E$2:E$2576="YES"))*(($D$4="")+($D$4&lt;&gt;"")*( DB!B$2:B$2576=$D$4))*(($D$5="")+($D$5&lt;&gt;"")*( DB!C$2:C$2576=$D$5))*(($D$6="")+($D$6&lt;&gt;"")*( DB!D$2:D$2576=$D$6))*(($D$7="")+($D$7&lt;&gt;"")*(ISNUMBER(SEARCH($D$7,DB!G$2:G$2576))))*(($F$7="전체")+($F$7&lt;&gt;"전체")*(DB!H$2:H$2576=$F$7))),ROW()-13)-1,"")</f>
        <v/>
      </c>
      <c r="Q617" t="str" cm="1">
        <f t="array" ref="Q617">IFERROR(INDEX(DB!G$2:G$2576,P617),"")</f>
        <v/>
      </c>
      <c r="R617" t="str" cm="1">
        <f t="array" ref="R617">IFERROR(INDEX(DB!O$2:O$2576,P617),"")</f>
        <v/>
      </c>
      <c r="S617" t="str">
        <f t="shared" si="30"/>
        <v/>
      </c>
      <c r="T617" t="str">
        <f t="shared" si="31"/>
        <v/>
      </c>
    </row>
    <row r="618" spans="1:20" ht="100" customHeight="1">
      <c r="A618" s="26"/>
      <c r="B618" s="39" t="str">
        <f t="shared" si="29"/>
        <v/>
      </c>
      <c r="C618" s="43"/>
      <c r="D618" s="51" t="str" cm="1">
        <f t="array" ref="D618">IFERROR(INDEX(DB!G$2:G$2576,T618),"")</f>
        <v/>
      </c>
      <c r="E618" s="43"/>
      <c r="F618" s="52" t="str" cm="1">
        <f t="array" ref="F618">IFERROR(INDEX(DB!O$2:O$2576,T618),"")</f>
        <v/>
      </c>
      <c r="G618" s="43"/>
      <c r="H618" s="40" t="str" cm="1">
        <f t="array" ref="H618">IFERROR(INDEX(DB!P$2:P$2576,T618),"")</f>
        <v/>
      </c>
      <c r="I618" s="43"/>
      <c r="J618" s="53" t="str" cm="1">
        <f t="array" ref="J618">IFERROR(INDEX(DB!Q$2:Q$2576,T618),"")</f>
        <v/>
      </c>
      <c r="K618" s="43"/>
      <c r="L618" s="41" t="str" cm="1">
        <f t="array" ref="L618">IFERROR(INDEX(DB!R$2:R$2576,T618),"")</f>
        <v/>
      </c>
      <c r="M618" s="43"/>
      <c r="P618" t="str" cm="1">
        <f t="array" ref="P618">IFERROR(_xlfn.AGGREGATE(15,6,ROW(DB!A$2:A$2576)/((($D$3&lt;&gt;"YES")+($D$3="YES")*(DB!E$2:E$2576="YES"))*(($D$4="")+($D$4&lt;&gt;"")*( DB!B$2:B$2576=$D$4))*(($D$5="")+($D$5&lt;&gt;"")*( DB!C$2:C$2576=$D$5))*(($D$6="")+($D$6&lt;&gt;"")*( DB!D$2:D$2576=$D$6))*(($D$7="")+($D$7&lt;&gt;"")*(ISNUMBER(SEARCH($D$7,DB!G$2:G$2576))))*(($F$7="전체")+($F$7&lt;&gt;"전체")*(DB!H$2:H$2576=$F$7))),ROW()-13)-1,"")</f>
        <v/>
      </c>
      <c r="Q618" t="str" cm="1">
        <f t="array" ref="Q618">IFERROR(INDEX(DB!G$2:G$2576,P618),"")</f>
        <v/>
      </c>
      <c r="R618" t="str" cm="1">
        <f t="array" ref="R618">IFERROR(INDEX(DB!O$2:O$2576,P618),"")</f>
        <v/>
      </c>
      <c r="S618" t="str">
        <f t="shared" si="30"/>
        <v/>
      </c>
      <c r="T618" t="str">
        <f t="shared" si="31"/>
        <v/>
      </c>
    </row>
    <row r="619" spans="1:20" ht="100" customHeight="1">
      <c r="A619" s="26"/>
      <c r="B619" s="42" t="str">
        <f t="shared" si="29"/>
        <v/>
      </c>
      <c r="C619" s="43"/>
      <c r="D619" s="51" t="str" cm="1">
        <f t="array" ref="D619">IFERROR(INDEX(DB!G$2:G$2576,T619),"")</f>
        <v/>
      </c>
      <c r="E619" s="43"/>
      <c r="F619" s="52" t="str" cm="1">
        <f t="array" ref="F619">IFERROR(INDEX(DB!O$2:O$2576,T619),"")</f>
        <v/>
      </c>
      <c r="G619" s="43"/>
      <c r="H619" s="40" t="str" cm="1">
        <f t="array" ref="H619">IFERROR(INDEX(DB!P$2:P$2576,T619),"")</f>
        <v/>
      </c>
      <c r="I619" s="43"/>
      <c r="J619" s="53" t="str" cm="1">
        <f t="array" ref="J619">IFERROR(INDEX(DB!Q$2:Q$2576,T619),"")</f>
        <v/>
      </c>
      <c r="K619" s="43"/>
      <c r="L619" s="41" t="str" cm="1">
        <f t="array" ref="L619">IFERROR(INDEX(DB!R$2:R$2576,T619),"")</f>
        <v/>
      </c>
      <c r="M619" s="43"/>
      <c r="P619" t="str" cm="1">
        <f t="array" ref="P619">IFERROR(_xlfn.AGGREGATE(15,6,ROW(DB!A$2:A$2576)/((($D$3&lt;&gt;"YES")+($D$3="YES")*(DB!E$2:E$2576="YES"))*(($D$4="")+($D$4&lt;&gt;"")*( DB!B$2:B$2576=$D$4))*(($D$5="")+($D$5&lt;&gt;"")*( DB!C$2:C$2576=$D$5))*(($D$6="")+($D$6&lt;&gt;"")*( DB!D$2:D$2576=$D$6))*(($D$7="")+($D$7&lt;&gt;"")*(ISNUMBER(SEARCH($D$7,DB!G$2:G$2576))))*(($F$7="전체")+($F$7&lt;&gt;"전체")*(DB!H$2:H$2576=$F$7))),ROW()-13)-1,"")</f>
        <v/>
      </c>
      <c r="Q619" t="str" cm="1">
        <f t="array" ref="Q619">IFERROR(INDEX(DB!G$2:G$2576,P619),"")</f>
        <v/>
      </c>
      <c r="R619" t="str" cm="1">
        <f t="array" ref="R619">IFERROR(INDEX(DB!O$2:O$2576,P619),"")</f>
        <v/>
      </c>
      <c r="S619" t="str">
        <f t="shared" si="30"/>
        <v/>
      </c>
      <c r="T619" t="str">
        <f t="shared" si="31"/>
        <v/>
      </c>
    </row>
    <row r="620" spans="1:20" ht="100" customHeight="1">
      <c r="A620" s="26"/>
      <c r="B620" s="39" t="str">
        <f t="shared" si="29"/>
        <v/>
      </c>
      <c r="C620" s="43"/>
      <c r="D620" s="51" t="str" cm="1">
        <f t="array" ref="D620">IFERROR(INDEX(DB!G$2:G$2576,T620),"")</f>
        <v/>
      </c>
      <c r="E620" s="43"/>
      <c r="F620" s="52" t="str" cm="1">
        <f t="array" ref="F620">IFERROR(INDEX(DB!O$2:O$2576,T620),"")</f>
        <v/>
      </c>
      <c r="G620" s="43"/>
      <c r="H620" s="40" t="str" cm="1">
        <f t="array" ref="H620">IFERROR(INDEX(DB!P$2:P$2576,T620),"")</f>
        <v/>
      </c>
      <c r="I620" s="43"/>
      <c r="J620" s="53" t="str" cm="1">
        <f t="array" ref="J620">IFERROR(INDEX(DB!Q$2:Q$2576,T620),"")</f>
        <v/>
      </c>
      <c r="K620" s="43"/>
      <c r="L620" s="41" t="str" cm="1">
        <f t="array" ref="L620">IFERROR(INDEX(DB!R$2:R$2576,T620),"")</f>
        <v/>
      </c>
      <c r="M620" s="43"/>
      <c r="P620" t="str" cm="1">
        <f t="array" ref="P620">IFERROR(_xlfn.AGGREGATE(15,6,ROW(DB!A$2:A$2576)/((($D$3&lt;&gt;"YES")+($D$3="YES")*(DB!E$2:E$2576="YES"))*(($D$4="")+($D$4&lt;&gt;"")*( DB!B$2:B$2576=$D$4))*(($D$5="")+($D$5&lt;&gt;"")*( DB!C$2:C$2576=$D$5))*(($D$6="")+($D$6&lt;&gt;"")*( DB!D$2:D$2576=$D$6))*(($D$7="")+($D$7&lt;&gt;"")*(ISNUMBER(SEARCH($D$7,DB!G$2:G$2576))))*(($F$7="전체")+($F$7&lt;&gt;"전체")*(DB!H$2:H$2576=$F$7))),ROW()-13)-1,"")</f>
        <v/>
      </c>
      <c r="Q620" t="str" cm="1">
        <f t="array" ref="Q620">IFERROR(INDEX(DB!G$2:G$2576,P620),"")</f>
        <v/>
      </c>
      <c r="R620" t="str" cm="1">
        <f t="array" ref="R620">IFERROR(INDEX(DB!O$2:O$2576,P620),"")</f>
        <v/>
      </c>
      <c r="S620" t="str">
        <f t="shared" si="30"/>
        <v/>
      </c>
      <c r="T620" t="str">
        <f t="shared" si="31"/>
        <v/>
      </c>
    </row>
    <row r="621" spans="1:20" ht="100" customHeight="1">
      <c r="A621" s="26"/>
      <c r="B621" s="42" t="str">
        <f t="shared" si="29"/>
        <v/>
      </c>
      <c r="C621" s="43"/>
      <c r="D621" s="51" t="str" cm="1">
        <f t="array" ref="D621">IFERROR(INDEX(DB!G$2:G$2576,T621),"")</f>
        <v/>
      </c>
      <c r="E621" s="43"/>
      <c r="F621" s="52" t="str" cm="1">
        <f t="array" ref="F621">IFERROR(INDEX(DB!O$2:O$2576,T621),"")</f>
        <v/>
      </c>
      <c r="G621" s="43"/>
      <c r="H621" s="40" t="str" cm="1">
        <f t="array" ref="H621">IFERROR(INDEX(DB!P$2:P$2576,T621),"")</f>
        <v/>
      </c>
      <c r="I621" s="43"/>
      <c r="J621" s="53" t="str" cm="1">
        <f t="array" ref="J621">IFERROR(INDEX(DB!Q$2:Q$2576,T621),"")</f>
        <v/>
      </c>
      <c r="K621" s="43"/>
      <c r="L621" s="41" t="str" cm="1">
        <f t="array" ref="L621">IFERROR(INDEX(DB!R$2:R$2576,T621),"")</f>
        <v/>
      </c>
      <c r="M621" s="43"/>
      <c r="P621" t="str" cm="1">
        <f t="array" ref="P621">IFERROR(_xlfn.AGGREGATE(15,6,ROW(DB!A$2:A$2576)/((($D$3&lt;&gt;"YES")+($D$3="YES")*(DB!E$2:E$2576="YES"))*(($D$4="")+($D$4&lt;&gt;"")*( DB!B$2:B$2576=$D$4))*(($D$5="")+($D$5&lt;&gt;"")*( DB!C$2:C$2576=$D$5))*(($D$6="")+($D$6&lt;&gt;"")*( DB!D$2:D$2576=$D$6))*(($D$7="")+($D$7&lt;&gt;"")*(ISNUMBER(SEARCH($D$7,DB!G$2:G$2576))))*(($F$7="전체")+($F$7&lt;&gt;"전체")*(DB!H$2:H$2576=$F$7))),ROW()-13)-1,"")</f>
        <v/>
      </c>
      <c r="Q621" t="str" cm="1">
        <f t="array" ref="Q621">IFERROR(INDEX(DB!G$2:G$2576,P621),"")</f>
        <v/>
      </c>
      <c r="R621" t="str" cm="1">
        <f t="array" ref="R621">IFERROR(INDEX(DB!O$2:O$2576,P621),"")</f>
        <v/>
      </c>
      <c r="S621" t="str">
        <f t="shared" si="30"/>
        <v/>
      </c>
      <c r="T621" t="str">
        <f t="shared" si="31"/>
        <v/>
      </c>
    </row>
    <row r="622" spans="1:20" ht="100" customHeight="1">
      <c r="A622" s="26"/>
      <c r="B622" s="39" t="str">
        <f t="shared" si="29"/>
        <v/>
      </c>
      <c r="C622" s="43"/>
      <c r="D622" s="51" t="str" cm="1">
        <f t="array" ref="D622">IFERROR(INDEX(DB!G$2:G$2576,T622),"")</f>
        <v/>
      </c>
      <c r="E622" s="43"/>
      <c r="F622" s="52" t="str" cm="1">
        <f t="array" ref="F622">IFERROR(INDEX(DB!O$2:O$2576,T622),"")</f>
        <v/>
      </c>
      <c r="G622" s="43"/>
      <c r="H622" s="40" t="str" cm="1">
        <f t="array" ref="H622">IFERROR(INDEX(DB!P$2:P$2576,T622),"")</f>
        <v/>
      </c>
      <c r="I622" s="43"/>
      <c r="J622" s="53" t="str" cm="1">
        <f t="array" ref="J622">IFERROR(INDEX(DB!Q$2:Q$2576,T622),"")</f>
        <v/>
      </c>
      <c r="K622" s="43"/>
      <c r="L622" s="41" t="str" cm="1">
        <f t="array" ref="L622">IFERROR(INDEX(DB!R$2:R$2576,T622),"")</f>
        <v/>
      </c>
      <c r="M622" s="43"/>
      <c r="P622" t="str" cm="1">
        <f t="array" ref="P622">IFERROR(_xlfn.AGGREGATE(15,6,ROW(DB!A$2:A$2576)/((($D$3&lt;&gt;"YES")+($D$3="YES")*(DB!E$2:E$2576="YES"))*(($D$4="")+($D$4&lt;&gt;"")*( DB!B$2:B$2576=$D$4))*(($D$5="")+($D$5&lt;&gt;"")*( DB!C$2:C$2576=$D$5))*(($D$6="")+($D$6&lt;&gt;"")*( DB!D$2:D$2576=$D$6))*(($D$7="")+($D$7&lt;&gt;"")*(ISNUMBER(SEARCH($D$7,DB!G$2:G$2576))))*(($F$7="전체")+($F$7&lt;&gt;"전체")*(DB!H$2:H$2576=$F$7))),ROW()-13)-1,"")</f>
        <v/>
      </c>
      <c r="Q622" t="str" cm="1">
        <f t="array" ref="Q622">IFERROR(INDEX(DB!G$2:G$2576,P622),"")</f>
        <v/>
      </c>
      <c r="R622" t="str" cm="1">
        <f t="array" ref="R622">IFERROR(INDEX(DB!O$2:O$2576,P622),"")</f>
        <v/>
      </c>
      <c r="S622" t="str">
        <f t="shared" si="30"/>
        <v/>
      </c>
      <c r="T622" t="str">
        <f t="shared" si="31"/>
        <v/>
      </c>
    </row>
    <row r="623" spans="1:20" ht="100" customHeight="1">
      <c r="A623" s="26"/>
      <c r="B623" s="42" t="str">
        <f t="shared" si="29"/>
        <v/>
      </c>
      <c r="C623" s="43"/>
      <c r="D623" s="51" t="str" cm="1">
        <f t="array" ref="D623">IFERROR(INDEX(DB!G$2:G$2576,T623),"")</f>
        <v/>
      </c>
      <c r="E623" s="43"/>
      <c r="F623" s="52" t="str" cm="1">
        <f t="array" ref="F623">IFERROR(INDEX(DB!O$2:O$2576,T623),"")</f>
        <v/>
      </c>
      <c r="G623" s="43"/>
      <c r="H623" s="40" t="str" cm="1">
        <f t="array" ref="H623">IFERROR(INDEX(DB!P$2:P$2576,T623),"")</f>
        <v/>
      </c>
      <c r="I623" s="43"/>
      <c r="J623" s="53" t="str" cm="1">
        <f t="array" ref="J623">IFERROR(INDEX(DB!Q$2:Q$2576,T623),"")</f>
        <v/>
      </c>
      <c r="K623" s="43"/>
      <c r="L623" s="41" t="str" cm="1">
        <f t="array" ref="L623">IFERROR(INDEX(DB!R$2:R$2576,T623),"")</f>
        <v/>
      </c>
      <c r="M623" s="43"/>
      <c r="P623" t="str" cm="1">
        <f t="array" ref="P623">IFERROR(_xlfn.AGGREGATE(15,6,ROW(DB!A$2:A$2576)/((($D$3&lt;&gt;"YES")+($D$3="YES")*(DB!E$2:E$2576="YES"))*(($D$4="")+($D$4&lt;&gt;"")*( DB!B$2:B$2576=$D$4))*(($D$5="")+($D$5&lt;&gt;"")*( DB!C$2:C$2576=$D$5))*(($D$6="")+($D$6&lt;&gt;"")*( DB!D$2:D$2576=$D$6))*(($D$7="")+($D$7&lt;&gt;"")*(ISNUMBER(SEARCH($D$7,DB!G$2:G$2576))))*(($F$7="전체")+($F$7&lt;&gt;"전체")*(DB!H$2:H$2576=$F$7))),ROW()-13)-1,"")</f>
        <v/>
      </c>
      <c r="Q623" t="str" cm="1">
        <f t="array" ref="Q623">IFERROR(INDEX(DB!G$2:G$2576,P623),"")</f>
        <v/>
      </c>
      <c r="R623" t="str" cm="1">
        <f t="array" ref="R623">IFERROR(INDEX(DB!O$2:O$2576,P623),"")</f>
        <v/>
      </c>
      <c r="S623" t="str">
        <f t="shared" si="30"/>
        <v/>
      </c>
      <c r="T623" t="str">
        <f t="shared" si="31"/>
        <v/>
      </c>
    </row>
    <row r="624" spans="1:20" ht="100" customHeight="1">
      <c r="A624" s="26"/>
      <c r="B624" s="39" t="str">
        <f t="shared" si="29"/>
        <v/>
      </c>
      <c r="C624" s="43"/>
      <c r="D624" s="51" t="str" cm="1">
        <f t="array" ref="D624">IFERROR(INDEX(DB!G$2:G$2576,T624),"")</f>
        <v/>
      </c>
      <c r="E624" s="43"/>
      <c r="F624" s="52" t="str" cm="1">
        <f t="array" ref="F624">IFERROR(INDEX(DB!O$2:O$2576,T624),"")</f>
        <v/>
      </c>
      <c r="G624" s="43"/>
      <c r="H624" s="40" t="str" cm="1">
        <f t="array" ref="H624">IFERROR(INDEX(DB!P$2:P$2576,T624),"")</f>
        <v/>
      </c>
      <c r="I624" s="43"/>
      <c r="J624" s="53" t="str" cm="1">
        <f t="array" ref="J624">IFERROR(INDEX(DB!Q$2:Q$2576,T624),"")</f>
        <v/>
      </c>
      <c r="K624" s="43"/>
      <c r="L624" s="41" t="str" cm="1">
        <f t="array" ref="L624">IFERROR(INDEX(DB!R$2:R$2576,T624),"")</f>
        <v/>
      </c>
      <c r="M624" s="43"/>
      <c r="P624" t="str" cm="1">
        <f t="array" ref="P624">IFERROR(_xlfn.AGGREGATE(15,6,ROW(DB!A$2:A$2576)/((($D$3&lt;&gt;"YES")+($D$3="YES")*(DB!E$2:E$2576="YES"))*(($D$4="")+($D$4&lt;&gt;"")*( DB!B$2:B$2576=$D$4))*(($D$5="")+($D$5&lt;&gt;"")*( DB!C$2:C$2576=$D$5))*(($D$6="")+($D$6&lt;&gt;"")*( DB!D$2:D$2576=$D$6))*(($D$7="")+($D$7&lt;&gt;"")*(ISNUMBER(SEARCH($D$7,DB!G$2:G$2576))))*(($F$7="전체")+($F$7&lt;&gt;"전체")*(DB!H$2:H$2576=$F$7))),ROW()-13)-1,"")</f>
        <v/>
      </c>
      <c r="Q624" t="str" cm="1">
        <f t="array" ref="Q624">IFERROR(INDEX(DB!G$2:G$2576,P624),"")</f>
        <v/>
      </c>
      <c r="R624" t="str" cm="1">
        <f t="array" ref="R624">IFERROR(INDEX(DB!O$2:O$2576,P624),"")</f>
        <v/>
      </c>
      <c r="S624" t="str">
        <f t="shared" si="30"/>
        <v/>
      </c>
      <c r="T624" t="str">
        <f t="shared" si="31"/>
        <v/>
      </c>
    </row>
    <row r="625" spans="1:20" ht="100" customHeight="1">
      <c r="A625" s="26"/>
      <c r="B625" s="42" t="str">
        <f t="shared" si="29"/>
        <v/>
      </c>
      <c r="C625" s="43"/>
      <c r="D625" s="51" t="str" cm="1">
        <f t="array" ref="D625">IFERROR(INDEX(DB!G$2:G$2576,T625),"")</f>
        <v/>
      </c>
      <c r="E625" s="43"/>
      <c r="F625" s="52" t="str" cm="1">
        <f t="array" ref="F625">IFERROR(INDEX(DB!O$2:O$2576,T625),"")</f>
        <v/>
      </c>
      <c r="G625" s="43"/>
      <c r="H625" s="40" t="str" cm="1">
        <f t="array" ref="H625">IFERROR(INDEX(DB!P$2:P$2576,T625),"")</f>
        <v/>
      </c>
      <c r="I625" s="43"/>
      <c r="J625" s="53" t="str" cm="1">
        <f t="array" ref="J625">IFERROR(INDEX(DB!Q$2:Q$2576,T625),"")</f>
        <v/>
      </c>
      <c r="K625" s="43"/>
      <c r="L625" s="41" t="str" cm="1">
        <f t="array" ref="L625">IFERROR(INDEX(DB!R$2:R$2576,T625),"")</f>
        <v/>
      </c>
      <c r="M625" s="43"/>
      <c r="P625" t="str" cm="1">
        <f t="array" ref="P625">IFERROR(_xlfn.AGGREGATE(15,6,ROW(DB!A$2:A$2576)/((($D$3&lt;&gt;"YES")+($D$3="YES")*(DB!E$2:E$2576="YES"))*(($D$4="")+($D$4&lt;&gt;"")*( DB!B$2:B$2576=$D$4))*(($D$5="")+($D$5&lt;&gt;"")*( DB!C$2:C$2576=$D$5))*(($D$6="")+($D$6&lt;&gt;"")*( DB!D$2:D$2576=$D$6))*(($D$7="")+($D$7&lt;&gt;"")*(ISNUMBER(SEARCH($D$7,DB!G$2:G$2576))))*(($F$7="전체")+($F$7&lt;&gt;"전체")*(DB!H$2:H$2576=$F$7))),ROW()-13)-1,"")</f>
        <v/>
      </c>
      <c r="Q625" t="str" cm="1">
        <f t="array" ref="Q625">IFERROR(INDEX(DB!G$2:G$2576,P625),"")</f>
        <v/>
      </c>
      <c r="R625" t="str" cm="1">
        <f t="array" ref="R625">IFERROR(INDEX(DB!O$2:O$2576,P625),"")</f>
        <v/>
      </c>
      <c r="S625" t="str">
        <f t="shared" si="30"/>
        <v/>
      </c>
      <c r="T625" t="str">
        <f t="shared" si="31"/>
        <v/>
      </c>
    </row>
    <row r="626" spans="1:20" ht="100" customHeight="1">
      <c r="A626" s="26"/>
      <c r="B626" s="39" t="str">
        <f t="shared" si="29"/>
        <v/>
      </c>
      <c r="C626" s="43"/>
      <c r="D626" s="51" t="str" cm="1">
        <f t="array" ref="D626">IFERROR(INDEX(DB!G$2:G$2576,T626),"")</f>
        <v/>
      </c>
      <c r="E626" s="43"/>
      <c r="F626" s="52" t="str" cm="1">
        <f t="array" ref="F626">IFERROR(INDEX(DB!O$2:O$2576,T626),"")</f>
        <v/>
      </c>
      <c r="G626" s="43"/>
      <c r="H626" s="40" t="str" cm="1">
        <f t="array" ref="H626">IFERROR(INDEX(DB!P$2:P$2576,T626),"")</f>
        <v/>
      </c>
      <c r="I626" s="43"/>
      <c r="J626" s="53" t="str" cm="1">
        <f t="array" ref="J626">IFERROR(INDEX(DB!Q$2:Q$2576,T626),"")</f>
        <v/>
      </c>
      <c r="K626" s="43"/>
      <c r="L626" s="41" t="str" cm="1">
        <f t="array" ref="L626">IFERROR(INDEX(DB!R$2:R$2576,T626),"")</f>
        <v/>
      </c>
      <c r="M626" s="43"/>
      <c r="P626" t="str" cm="1">
        <f t="array" ref="P626">IFERROR(_xlfn.AGGREGATE(15,6,ROW(DB!A$2:A$2576)/((($D$3&lt;&gt;"YES")+($D$3="YES")*(DB!E$2:E$2576="YES"))*(($D$4="")+($D$4&lt;&gt;"")*( DB!B$2:B$2576=$D$4))*(($D$5="")+($D$5&lt;&gt;"")*( DB!C$2:C$2576=$D$5))*(($D$6="")+($D$6&lt;&gt;"")*( DB!D$2:D$2576=$D$6))*(($D$7="")+($D$7&lt;&gt;"")*(ISNUMBER(SEARCH($D$7,DB!G$2:G$2576))))*(($F$7="전체")+($F$7&lt;&gt;"전체")*(DB!H$2:H$2576=$F$7))),ROW()-13)-1,"")</f>
        <v/>
      </c>
      <c r="Q626" t="str" cm="1">
        <f t="array" ref="Q626">IFERROR(INDEX(DB!G$2:G$2576,P626),"")</f>
        <v/>
      </c>
      <c r="R626" t="str" cm="1">
        <f t="array" ref="R626">IFERROR(INDEX(DB!O$2:O$2576,P626),"")</f>
        <v/>
      </c>
      <c r="S626" t="str">
        <f t="shared" si="30"/>
        <v/>
      </c>
      <c r="T626" t="str">
        <f t="shared" si="31"/>
        <v/>
      </c>
    </row>
    <row r="627" spans="1:20" ht="100" customHeight="1">
      <c r="A627" s="26"/>
      <c r="B627" s="42" t="str">
        <f t="shared" si="29"/>
        <v/>
      </c>
      <c r="C627" s="43"/>
      <c r="D627" s="51" t="str" cm="1">
        <f t="array" ref="D627">IFERROR(INDEX(DB!G$2:G$2576,T627),"")</f>
        <v/>
      </c>
      <c r="E627" s="43"/>
      <c r="F627" s="52" t="str" cm="1">
        <f t="array" ref="F627">IFERROR(INDEX(DB!O$2:O$2576,T627),"")</f>
        <v/>
      </c>
      <c r="G627" s="43"/>
      <c r="H627" s="40" t="str" cm="1">
        <f t="array" ref="H627">IFERROR(INDEX(DB!P$2:P$2576,T627),"")</f>
        <v/>
      </c>
      <c r="I627" s="43"/>
      <c r="J627" s="53" t="str" cm="1">
        <f t="array" ref="J627">IFERROR(INDEX(DB!Q$2:Q$2576,T627),"")</f>
        <v/>
      </c>
      <c r="K627" s="43"/>
      <c r="L627" s="41" t="str" cm="1">
        <f t="array" ref="L627">IFERROR(INDEX(DB!R$2:R$2576,T627),"")</f>
        <v/>
      </c>
      <c r="M627" s="43"/>
      <c r="P627" t="str" cm="1">
        <f t="array" ref="P627">IFERROR(_xlfn.AGGREGATE(15,6,ROW(DB!A$2:A$2576)/((($D$3&lt;&gt;"YES")+($D$3="YES")*(DB!E$2:E$2576="YES"))*(($D$4="")+($D$4&lt;&gt;"")*( DB!B$2:B$2576=$D$4))*(($D$5="")+($D$5&lt;&gt;"")*( DB!C$2:C$2576=$D$5))*(($D$6="")+($D$6&lt;&gt;"")*( DB!D$2:D$2576=$D$6))*(($D$7="")+($D$7&lt;&gt;"")*(ISNUMBER(SEARCH($D$7,DB!G$2:G$2576))))*(($F$7="전체")+($F$7&lt;&gt;"전체")*(DB!H$2:H$2576=$F$7))),ROW()-13)-1,"")</f>
        <v/>
      </c>
      <c r="Q627" t="str" cm="1">
        <f t="array" ref="Q627">IFERROR(INDEX(DB!G$2:G$2576,P627),"")</f>
        <v/>
      </c>
      <c r="R627" t="str" cm="1">
        <f t="array" ref="R627">IFERROR(INDEX(DB!O$2:O$2576,P627),"")</f>
        <v/>
      </c>
      <c r="S627" t="str">
        <f t="shared" si="30"/>
        <v/>
      </c>
      <c r="T627" t="str">
        <f t="shared" si="31"/>
        <v/>
      </c>
    </row>
    <row r="628" spans="1:20" ht="100" customHeight="1">
      <c r="A628" s="26"/>
      <c r="B628" s="39" t="str">
        <f t="shared" si="29"/>
        <v/>
      </c>
      <c r="C628" s="43"/>
      <c r="D628" s="51" t="str" cm="1">
        <f t="array" ref="D628">IFERROR(INDEX(DB!G$2:G$2576,T628),"")</f>
        <v/>
      </c>
      <c r="E628" s="43"/>
      <c r="F628" s="52" t="str" cm="1">
        <f t="array" ref="F628">IFERROR(INDEX(DB!O$2:O$2576,T628),"")</f>
        <v/>
      </c>
      <c r="G628" s="43"/>
      <c r="H628" s="40" t="str" cm="1">
        <f t="array" ref="H628">IFERROR(INDEX(DB!P$2:P$2576,T628),"")</f>
        <v/>
      </c>
      <c r="I628" s="43"/>
      <c r="J628" s="53" t="str" cm="1">
        <f t="array" ref="J628">IFERROR(INDEX(DB!Q$2:Q$2576,T628),"")</f>
        <v/>
      </c>
      <c r="K628" s="43"/>
      <c r="L628" s="41" t="str" cm="1">
        <f t="array" ref="L628">IFERROR(INDEX(DB!R$2:R$2576,T628),"")</f>
        <v/>
      </c>
      <c r="M628" s="43"/>
      <c r="P628" t="str" cm="1">
        <f t="array" ref="P628">IFERROR(_xlfn.AGGREGATE(15,6,ROW(DB!A$2:A$2576)/((($D$3&lt;&gt;"YES")+($D$3="YES")*(DB!E$2:E$2576="YES"))*(($D$4="")+($D$4&lt;&gt;"")*( DB!B$2:B$2576=$D$4))*(($D$5="")+($D$5&lt;&gt;"")*( DB!C$2:C$2576=$D$5))*(($D$6="")+($D$6&lt;&gt;"")*( DB!D$2:D$2576=$D$6))*(($D$7="")+($D$7&lt;&gt;"")*(ISNUMBER(SEARCH($D$7,DB!G$2:G$2576))))*(($F$7="전체")+($F$7&lt;&gt;"전체")*(DB!H$2:H$2576=$F$7))),ROW()-13)-1,"")</f>
        <v/>
      </c>
      <c r="Q628" t="str" cm="1">
        <f t="array" ref="Q628">IFERROR(INDEX(DB!G$2:G$2576,P628),"")</f>
        <v/>
      </c>
      <c r="R628" t="str" cm="1">
        <f t="array" ref="R628">IFERROR(INDEX(DB!O$2:O$2576,P628),"")</f>
        <v/>
      </c>
      <c r="S628" t="str">
        <f t="shared" si="30"/>
        <v/>
      </c>
      <c r="T628" t="str">
        <f t="shared" si="31"/>
        <v/>
      </c>
    </row>
    <row r="629" spans="1:20" ht="100" customHeight="1">
      <c r="A629" s="26"/>
      <c r="B629" s="42" t="str">
        <f t="shared" si="29"/>
        <v/>
      </c>
      <c r="C629" s="43"/>
      <c r="D629" s="51" t="str" cm="1">
        <f t="array" ref="D629">IFERROR(INDEX(DB!G$2:G$2576,T629),"")</f>
        <v/>
      </c>
      <c r="E629" s="43"/>
      <c r="F629" s="52" t="str" cm="1">
        <f t="array" ref="F629">IFERROR(INDEX(DB!O$2:O$2576,T629),"")</f>
        <v/>
      </c>
      <c r="G629" s="43"/>
      <c r="H629" s="40" t="str" cm="1">
        <f t="array" ref="H629">IFERROR(INDEX(DB!P$2:P$2576,T629),"")</f>
        <v/>
      </c>
      <c r="I629" s="43"/>
      <c r="J629" s="53" t="str" cm="1">
        <f t="array" ref="J629">IFERROR(INDEX(DB!Q$2:Q$2576,T629),"")</f>
        <v/>
      </c>
      <c r="K629" s="43"/>
      <c r="L629" s="41" t="str" cm="1">
        <f t="array" ref="L629">IFERROR(INDEX(DB!R$2:R$2576,T629),"")</f>
        <v/>
      </c>
      <c r="M629" s="43"/>
      <c r="P629" t="str" cm="1">
        <f t="array" ref="P629">IFERROR(_xlfn.AGGREGATE(15,6,ROW(DB!A$2:A$2576)/((($D$3&lt;&gt;"YES")+($D$3="YES")*(DB!E$2:E$2576="YES"))*(($D$4="")+($D$4&lt;&gt;"")*( DB!B$2:B$2576=$D$4))*(($D$5="")+($D$5&lt;&gt;"")*( DB!C$2:C$2576=$D$5))*(($D$6="")+($D$6&lt;&gt;"")*( DB!D$2:D$2576=$D$6))*(($D$7="")+($D$7&lt;&gt;"")*(ISNUMBER(SEARCH($D$7,DB!G$2:G$2576))))*(($F$7="전체")+($F$7&lt;&gt;"전체")*(DB!H$2:H$2576=$F$7))),ROW()-13)-1,"")</f>
        <v/>
      </c>
      <c r="Q629" t="str" cm="1">
        <f t="array" ref="Q629">IFERROR(INDEX(DB!G$2:G$2576,P629),"")</f>
        <v/>
      </c>
      <c r="R629" t="str" cm="1">
        <f t="array" ref="R629">IFERROR(INDEX(DB!O$2:O$2576,P629),"")</f>
        <v/>
      </c>
      <c r="S629" t="str">
        <f t="shared" si="30"/>
        <v/>
      </c>
      <c r="T629" t="str">
        <f t="shared" si="31"/>
        <v/>
      </c>
    </row>
    <row r="630" spans="1:20" ht="100" customHeight="1">
      <c r="A630" s="26"/>
      <c r="B630" s="39" t="str">
        <f t="shared" si="29"/>
        <v/>
      </c>
      <c r="C630" s="43"/>
      <c r="D630" s="51" t="str" cm="1">
        <f t="array" ref="D630">IFERROR(INDEX(DB!G$2:G$2576,T630),"")</f>
        <v/>
      </c>
      <c r="E630" s="43"/>
      <c r="F630" s="52" t="str" cm="1">
        <f t="array" ref="F630">IFERROR(INDEX(DB!O$2:O$2576,T630),"")</f>
        <v/>
      </c>
      <c r="G630" s="43"/>
      <c r="H630" s="40" t="str" cm="1">
        <f t="array" ref="H630">IFERROR(INDEX(DB!P$2:P$2576,T630),"")</f>
        <v/>
      </c>
      <c r="I630" s="43"/>
      <c r="J630" s="53" t="str" cm="1">
        <f t="array" ref="J630">IFERROR(INDEX(DB!Q$2:Q$2576,T630),"")</f>
        <v/>
      </c>
      <c r="K630" s="43"/>
      <c r="L630" s="41" t="str" cm="1">
        <f t="array" ref="L630">IFERROR(INDEX(DB!R$2:R$2576,T630),"")</f>
        <v/>
      </c>
      <c r="M630" s="43"/>
      <c r="P630" t="str" cm="1">
        <f t="array" ref="P630">IFERROR(_xlfn.AGGREGATE(15,6,ROW(DB!A$2:A$2576)/((($D$3&lt;&gt;"YES")+($D$3="YES")*(DB!E$2:E$2576="YES"))*(($D$4="")+($D$4&lt;&gt;"")*( DB!B$2:B$2576=$D$4))*(($D$5="")+($D$5&lt;&gt;"")*( DB!C$2:C$2576=$D$5))*(($D$6="")+($D$6&lt;&gt;"")*( DB!D$2:D$2576=$D$6))*(($D$7="")+($D$7&lt;&gt;"")*(ISNUMBER(SEARCH($D$7,DB!G$2:G$2576))))*(($F$7="전체")+($F$7&lt;&gt;"전체")*(DB!H$2:H$2576=$F$7))),ROW()-13)-1,"")</f>
        <v/>
      </c>
      <c r="Q630" t="str" cm="1">
        <f t="array" ref="Q630">IFERROR(INDEX(DB!G$2:G$2576,P630),"")</f>
        <v/>
      </c>
      <c r="R630" t="str" cm="1">
        <f t="array" ref="R630">IFERROR(INDEX(DB!O$2:O$2576,P630),"")</f>
        <v/>
      </c>
      <c r="S630" t="str">
        <f t="shared" si="30"/>
        <v/>
      </c>
      <c r="T630" t="str">
        <f t="shared" si="31"/>
        <v/>
      </c>
    </row>
    <row r="631" spans="1:20" ht="100" customHeight="1">
      <c r="A631" s="26"/>
      <c r="B631" s="42" t="str">
        <f t="shared" si="29"/>
        <v/>
      </c>
      <c r="C631" s="43"/>
      <c r="D631" s="51" t="str" cm="1">
        <f t="array" ref="D631">IFERROR(INDEX(DB!G$2:G$2576,T631),"")</f>
        <v/>
      </c>
      <c r="E631" s="43"/>
      <c r="F631" s="52" t="str" cm="1">
        <f t="array" ref="F631">IFERROR(INDEX(DB!O$2:O$2576,T631),"")</f>
        <v/>
      </c>
      <c r="G631" s="43"/>
      <c r="H631" s="40" t="str" cm="1">
        <f t="array" ref="H631">IFERROR(INDEX(DB!P$2:P$2576,T631),"")</f>
        <v/>
      </c>
      <c r="I631" s="43"/>
      <c r="J631" s="53" t="str" cm="1">
        <f t="array" ref="J631">IFERROR(INDEX(DB!Q$2:Q$2576,T631),"")</f>
        <v/>
      </c>
      <c r="K631" s="43"/>
      <c r="L631" s="41" t="str" cm="1">
        <f t="array" ref="L631">IFERROR(INDEX(DB!R$2:R$2576,T631),"")</f>
        <v/>
      </c>
      <c r="M631" s="43"/>
      <c r="P631" t="str" cm="1">
        <f t="array" ref="P631">IFERROR(_xlfn.AGGREGATE(15,6,ROW(DB!A$2:A$2576)/((($D$3&lt;&gt;"YES")+($D$3="YES")*(DB!E$2:E$2576="YES"))*(($D$4="")+($D$4&lt;&gt;"")*( DB!B$2:B$2576=$D$4))*(($D$5="")+($D$5&lt;&gt;"")*( DB!C$2:C$2576=$D$5))*(($D$6="")+($D$6&lt;&gt;"")*( DB!D$2:D$2576=$D$6))*(($D$7="")+($D$7&lt;&gt;"")*(ISNUMBER(SEARCH($D$7,DB!G$2:G$2576))))*(($F$7="전체")+($F$7&lt;&gt;"전체")*(DB!H$2:H$2576=$F$7))),ROW()-13)-1,"")</f>
        <v/>
      </c>
      <c r="Q631" t="str" cm="1">
        <f t="array" ref="Q631">IFERROR(INDEX(DB!G$2:G$2576,P631),"")</f>
        <v/>
      </c>
      <c r="R631" t="str" cm="1">
        <f t="array" ref="R631">IFERROR(INDEX(DB!O$2:O$2576,P631),"")</f>
        <v/>
      </c>
      <c r="S631" t="str">
        <f t="shared" si="30"/>
        <v/>
      </c>
      <c r="T631" t="str">
        <f t="shared" si="31"/>
        <v/>
      </c>
    </row>
    <row r="632" spans="1:20" ht="100" customHeight="1">
      <c r="A632" s="26"/>
      <c r="B632" s="39" t="str">
        <f t="shared" si="29"/>
        <v/>
      </c>
      <c r="C632" s="43"/>
      <c r="D632" s="51" t="str" cm="1">
        <f t="array" ref="D632">IFERROR(INDEX(DB!G$2:G$2576,T632),"")</f>
        <v/>
      </c>
      <c r="E632" s="43"/>
      <c r="F632" s="52" t="str" cm="1">
        <f t="array" ref="F632">IFERROR(INDEX(DB!O$2:O$2576,T632),"")</f>
        <v/>
      </c>
      <c r="G632" s="43"/>
      <c r="H632" s="40" t="str" cm="1">
        <f t="array" ref="H632">IFERROR(INDEX(DB!P$2:P$2576,T632),"")</f>
        <v/>
      </c>
      <c r="I632" s="43"/>
      <c r="J632" s="53" t="str" cm="1">
        <f t="array" ref="J632">IFERROR(INDEX(DB!Q$2:Q$2576,T632),"")</f>
        <v/>
      </c>
      <c r="K632" s="43"/>
      <c r="L632" s="41" t="str" cm="1">
        <f t="array" ref="L632">IFERROR(INDEX(DB!R$2:R$2576,T632),"")</f>
        <v/>
      </c>
      <c r="M632" s="43"/>
      <c r="P632" t="str" cm="1">
        <f t="array" ref="P632">IFERROR(_xlfn.AGGREGATE(15,6,ROW(DB!A$2:A$2576)/((($D$3&lt;&gt;"YES")+($D$3="YES")*(DB!E$2:E$2576="YES"))*(($D$4="")+($D$4&lt;&gt;"")*( DB!B$2:B$2576=$D$4))*(($D$5="")+($D$5&lt;&gt;"")*( DB!C$2:C$2576=$D$5))*(($D$6="")+($D$6&lt;&gt;"")*( DB!D$2:D$2576=$D$6))*(($D$7="")+($D$7&lt;&gt;"")*(ISNUMBER(SEARCH($D$7,DB!G$2:G$2576))))*(($F$7="전체")+($F$7&lt;&gt;"전체")*(DB!H$2:H$2576=$F$7))),ROW()-13)-1,"")</f>
        <v/>
      </c>
      <c r="Q632" t="str" cm="1">
        <f t="array" ref="Q632">IFERROR(INDEX(DB!G$2:G$2576,P632),"")</f>
        <v/>
      </c>
      <c r="R632" t="str" cm="1">
        <f t="array" ref="R632">IFERROR(INDEX(DB!O$2:O$2576,P632),"")</f>
        <v/>
      </c>
      <c r="S632" t="str">
        <f t="shared" si="30"/>
        <v/>
      </c>
      <c r="T632" t="str">
        <f t="shared" si="31"/>
        <v/>
      </c>
    </row>
    <row r="633" spans="1:20" ht="100" customHeight="1">
      <c r="A633" s="26"/>
      <c r="B633" s="42" t="str">
        <f t="shared" si="29"/>
        <v/>
      </c>
      <c r="C633" s="43"/>
      <c r="D633" s="51" t="str" cm="1">
        <f t="array" ref="D633">IFERROR(INDEX(DB!G$2:G$2576,T633),"")</f>
        <v/>
      </c>
      <c r="E633" s="43"/>
      <c r="F633" s="52" t="str" cm="1">
        <f t="array" ref="F633">IFERROR(INDEX(DB!O$2:O$2576,T633),"")</f>
        <v/>
      </c>
      <c r="G633" s="43"/>
      <c r="H633" s="40" t="str" cm="1">
        <f t="array" ref="H633">IFERROR(INDEX(DB!P$2:P$2576,T633),"")</f>
        <v/>
      </c>
      <c r="I633" s="43"/>
      <c r="J633" s="53" t="str" cm="1">
        <f t="array" ref="J633">IFERROR(INDEX(DB!Q$2:Q$2576,T633),"")</f>
        <v/>
      </c>
      <c r="K633" s="43"/>
      <c r="L633" s="41" t="str" cm="1">
        <f t="array" ref="L633">IFERROR(INDEX(DB!R$2:R$2576,T633),"")</f>
        <v/>
      </c>
      <c r="M633" s="43"/>
      <c r="P633" t="str" cm="1">
        <f t="array" ref="P633">IFERROR(_xlfn.AGGREGATE(15,6,ROW(DB!A$2:A$2576)/((($D$3&lt;&gt;"YES")+($D$3="YES")*(DB!E$2:E$2576="YES"))*(($D$4="")+($D$4&lt;&gt;"")*( DB!B$2:B$2576=$D$4))*(($D$5="")+($D$5&lt;&gt;"")*( DB!C$2:C$2576=$D$5))*(($D$6="")+($D$6&lt;&gt;"")*( DB!D$2:D$2576=$D$6))*(($D$7="")+($D$7&lt;&gt;"")*(ISNUMBER(SEARCH($D$7,DB!G$2:G$2576))))*(($F$7="전체")+($F$7&lt;&gt;"전체")*(DB!H$2:H$2576=$F$7))),ROW()-13)-1,"")</f>
        <v/>
      </c>
      <c r="Q633" t="str" cm="1">
        <f t="array" ref="Q633">IFERROR(INDEX(DB!G$2:G$2576,P633),"")</f>
        <v/>
      </c>
      <c r="R633" t="str" cm="1">
        <f t="array" ref="R633">IFERROR(INDEX(DB!O$2:O$2576,P633),"")</f>
        <v/>
      </c>
      <c r="S633" t="str">
        <f t="shared" si="30"/>
        <v/>
      </c>
      <c r="T633" t="str">
        <f t="shared" si="31"/>
        <v/>
      </c>
    </row>
    <row r="634" spans="1:20" ht="100" customHeight="1">
      <c r="A634" s="26"/>
      <c r="B634" s="39" t="str">
        <f t="shared" si="29"/>
        <v/>
      </c>
      <c r="C634" s="43"/>
      <c r="D634" s="51" t="str" cm="1">
        <f t="array" ref="D634">IFERROR(INDEX(DB!G$2:G$2576,T634),"")</f>
        <v/>
      </c>
      <c r="E634" s="43"/>
      <c r="F634" s="52" t="str" cm="1">
        <f t="array" ref="F634">IFERROR(INDEX(DB!O$2:O$2576,T634),"")</f>
        <v/>
      </c>
      <c r="G634" s="43"/>
      <c r="H634" s="40" t="str" cm="1">
        <f t="array" ref="H634">IFERROR(INDEX(DB!P$2:P$2576,T634),"")</f>
        <v/>
      </c>
      <c r="I634" s="43"/>
      <c r="J634" s="53" t="str" cm="1">
        <f t="array" ref="J634">IFERROR(INDEX(DB!Q$2:Q$2576,T634),"")</f>
        <v/>
      </c>
      <c r="K634" s="43"/>
      <c r="L634" s="41" t="str" cm="1">
        <f t="array" ref="L634">IFERROR(INDEX(DB!R$2:R$2576,T634),"")</f>
        <v/>
      </c>
      <c r="M634" s="43"/>
      <c r="P634" t="str" cm="1">
        <f t="array" ref="P634">IFERROR(_xlfn.AGGREGATE(15,6,ROW(DB!A$2:A$2576)/((($D$3&lt;&gt;"YES")+($D$3="YES")*(DB!E$2:E$2576="YES"))*(($D$4="")+($D$4&lt;&gt;"")*( DB!B$2:B$2576=$D$4))*(($D$5="")+($D$5&lt;&gt;"")*( DB!C$2:C$2576=$D$5))*(($D$6="")+($D$6&lt;&gt;"")*( DB!D$2:D$2576=$D$6))*(($D$7="")+($D$7&lt;&gt;"")*(ISNUMBER(SEARCH($D$7,DB!G$2:G$2576))))*(($F$7="전체")+($F$7&lt;&gt;"전체")*(DB!H$2:H$2576=$F$7))),ROW()-13)-1,"")</f>
        <v/>
      </c>
      <c r="Q634" t="str" cm="1">
        <f t="array" ref="Q634">IFERROR(INDEX(DB!G$2:G$2576,P634),"")</f>
        <v/>
      </c>
      <c r="R634" t="str" cm="1">
        <f t="array" ref="R634">IFERROR(INDEX(DB!O$2:O$2576,P634),"")</f>
        <v/>
      </c>
      <c r="S634" t="str">
        <f t="shared" si="30"/>
        <v/>
      </c>
      <c r="T634" t="str">
        <f t="shared" si="31"/>
        <v/>
      </c>
    </row>
    <row r="635" spans="1:20" ht="100" customHeight="1">
      <c r="A635" s="26"/>
      <c r="B635" s="42" t="str">
        <f t="shared" si="29"/>
        <v/>
      </c>
      <c r="C635" s="43"/>
      <c r="D635" s="51" t="str" cm="1">
        <f t="array" ref="D635">IFERROR(INDEX(DB!G$2:G$2576,T635),"")</f>
        <v/>
      </c>
      <c r="E635" s="43"/>
      <c r="F635" s="52" t="str" cm="1">
        <f t="array" ref="F635">IFERROR(INDEX(DB!O$2:O$2576,T635),"")</f>
        <v/>
      </c>
      <c r="G635" s="43"/>
      <c r="H635" s="40" t="str" cm="1">
        <f t="array" ref="H635">IFERROR(INDEX(DB!P$2:P$2576,T635),"")</f>
        <v/>
      </c>
      <c r="I635" s="43"/>
      <c r="J635" s="53" t="str" cm="1">
        <f t="array" ref="J635">IFERROR(INDEX(DB!Q$2:Q$2576,T635),"")</f>
        <v/>
      </c>
      <c r="K635" s="43"/>
      <c r="L635" s="41" t="str" cm="1">
        <f t="array" ref="L635">IFERROR(INDEX(DB!R$2:R$2576,T635),"")</f>
        <v/>
      </c>
      <c r="M635" s="43"/>
      <c r="P635" t="str" cm="1">
        <f t="array" ref="P635">IFERROR(_xlfn.AGGREGATE(15,6,ROW(DB!A$2:A$2576)/((($D$3&lt;&gt;"YES")+($D$3="YES")*(DB!E$2:E$2576="YES"))*(($D$4="")+($D$4&lt;&gt;"")*( DB!B$2:B$2576=$D$4))*(($D$5="")+($D$5&lt;&gt;"")*( DB!C$2:C$2576=$D$5))*(($D$6="")+($D$6&lt;&gt;"")*( DB!D$2:D$2576=$D$6))*(($D$7="")+($D$7&lt;&gt;"")*(ISNUMBER(SEARCH($D$7,DB!G$2:G$2576))))*(($F$7="전체")+($F$7&lt;&gt;"전체")*(DB!H$2:H$2576=$F$7))),ROW()-13)-1,"")</f>
        <v/>
      </c>
      <c r="Q635" t="str" cm="1">
        <f t="array" ref="Q635">IFERROR(INDEX(DB!G$2:G$2576,P635),"")</f>
        <v/>
      </c>
      <c r="R635" t="str" cm="1">
        <f t="array" ref="R635">IFERROR(INDEX(DB!O$2:O$2576,P635),"")</f>
        <v/>
      </c>
      <c r="S635" t="str">
        <f t="shared" si="30"/>
        <v/>
      </c>
      <c r="T635" t="str">
        <f t="shared" si="31"/>
        <v/>
      </c>
    </row>
    <row r="636" spans="1:20" ht="100" customHeight="1">
      <c r="A636" s="26"/>
      <c r="B636" s="39" t="str">
        <f t="shared" si="29"/>
        <v/>
      </c>
      <c r="C636" s="43"/>
      <c r="D636" s="51" t="str" cm="1">
        <f t="array" ref="D636">IFERROR(INDEX(DB!G$2:G$2576,T636),"")</f>
        <v/>
      </c>
      <c r="E636" s="43"/>
      <c r="F636" s="52" t="str" cm="1">
        <f t="array" ref="F636">IFERROR(INDEX(DB!O$2:O$2576,T636),"")</f>
        <v/>
      </c>
      <c r="G636" s="43"/>
      <c r="H636" s="40" t="str" cm="1">
        <f t="array" ref="H636">IFERROR(INDEX(DB!P$2:P$2576,T636),"")</f>
        <v/>
      </c>
      <c r="I636" s="43"/>
      <c r="J636" s="53" t="str" cm="1">
        <f t="array" ref="J636">IFERROR(INDEX(DB!Q$2:Q$2576,T636),"")</f>
        <v/>
      </c>
      <c r="K636" s="43"/>
      <c r="L636" s="41" t="str" cm="1">
        <f t="array" ref="L636">IFERROR(INDEX(DB!R$2:R$2576,T636),"")</f>
        <v/>
      </c>
      <c r="M636" s="43"/>
      <c r="P636" t="str" cm="1">
        <f t="array" ref="P636">IFERROR(_xlfn.AGGREGATE(15,6,ROW(DB!A$2:A$2576)/((($D$3&lt;&gt;"YES")+($D$3="YES")*(DB!E$2:E$2576="YES"))*(($D$4="")+($D$4&lt;&gt;"")*( DB!B$2:B$2576=$D$4))*(($D$5="")+($D$5&lt;&gt;"")*( DB!C$2:C$2576=$D$5))*(($D$6="")+($D$6&lt;&gt;"")*( DB!D$2:D$2576=$D$6))*(($D$7="")+($D$7&lt;&gt;"")*(ISNUMBER(SEARCH($D$7,DB!G$2:G$2576))))*(($F$7="전체")+($F$7&lt;&gt;"전체")*(DB!H$2:H$2576=$F$7))),ROW()-13)-1,"")</f>
        <v/>
      </c>
      <c r="Q636" t="str" cm="1">
        <f t="array" ref="Q636">IFERROR(INDEX(DB!G$2:G$2576,P636),"")</f>
        <v/>
      </c>
      <c r="R636" t="str" cm="1">
        <f t="array" ref="R636">IFERROR(INDEX(DB!O$2:O$2576,P636),"")</f>
        <v/>
      </c>
      <c r="S636" t="str">
        <f t="shared" si="30"/>
        <v/>
      </c>
      <c r="T636" t="str">
        <f t="shared" si="31"/>
        <v/>
      </c>
    </row>
    <row r="637" spans="1:20" ht="100" customHeight="1">
      <c r="A637" s="26"/>
      <c r="B637" s="42" t="str">
        <f t="shared" si="29"/>
        <v/>
      </c>
      <c r="C637" s="43"/>
      <c r="D637" s="51" t="str" cm="1">
        <f t="array" ref="D637">IFERROR(INDEX(DB!G$2:G$2576,T637),"")</f>
        <v/>
      </c>
      <c r="E637" s="43"/>
      <c r="F637" s="52" t="str" cm="1">
        <f t="array" ref="F637">IFERROR(INDEX(DB!O$2:O$2576,T637),"")</f>
        <v/>
      </c>
      <c r="G637" s="43"/>
      <c r="H637" s="40" t="str" cm="1">
        <f t="array" ref="H637">IFERROR(INDEX(DB!P$2:P$2576,T637),"")</f>
        <v/>
      </c>
      <c r="I637" s="43"/>
      <c r="J637" s="53" t="str" cm="1">
        <f t="array" ref="J637">IFERROR(INDEX(DB!Q$2:Q$2576,T637),"")</f>
        <v/>
      </c>
      <c r="K637" s="43"/>
      <c r="L637" s="41" t="str" cm="1">
        <f t="array" ref="L637">IFERROR(INDEX(DB!R$2:R$2576,T637),"")</f>
        <v/>
      </c>
      <c r="M637" s="43"/>
      <c r="P637" t="str" cm="1">
        <f t="array" ref="P637">IFERROR(_xlfn.AGGREGATE(15,6,ROW(DB!A$2:A$2576)/((($D$3&lt;&gt;"YES")+($D$3="YES")*(DB!E$2:E$2576="YES"))*(($D$4="")+($D$4&lt;&gt;"")*( DB!B$2:B$2576=$D$4))*(($D$5="")+($D$5&lt;&gt;"")*( DB!C$2:C$2576=$D$5))*(($D$6="")+($D$6&lt;&gt;"")*( DB!D$2:D$2576=$D$6))*(($D$7="")+($D$7&lt;&gt;"")*(ISNUMBER(SEARCH($D$7,DB!G$2:G$2576))))*(($F$7="전체")+($F$7&lt;&gt;"전체")*(DB!H$2:H$2576=$F$7))),ROW()-13)-1,"")</f>
        <v/>
      </c>
      <c r="Q637" t="str" cm="1">
        <f t="array" ref="Q637">IFERROR(INDEX(DB!G$2:G$2576,P637),"")</f>
        <v/>
      </c>
      <c r="R637" t="str" cm="1">
        <f t="array" ref="R637">IFERROR(INDEX(DB!O$2:O$2576,P637),"")</f>
        <v/>
      </c>
      <c r="S637" t="str">
        <f t="shared" si="30"/>
        <v/>
      </c>
      <c r="T637" t="str">
        <f t="shared" si="31"/>
        <v/>
      </c>
    </row>
    <row r="638" spans="1:20" ht="100" customHeight="1">
      <c r="A638" s="26"/>
      <c r="B638" s="39" t="str">
        <f t="shared" si="29"/>
        <v/>
      </c>
      <c r="C638" s="43"/>
      <c r="D638" s="51" t="str" cm="1">
        <f t="array" ref="D638">IFERROR(INDEX(DB!G$2:G$2576,T638),"")</f>
        <v/>
      </c>
      <c r="E638" s="43"/>
      <c r="F638" s="52" t="str" cm="1">
        <f t="array" ref="F638">IFERROR(INDEX(DB!O$2:O$2576,T638),"")</f>
        <v/>
      </c>
      <c r="G638" s="43"/>
      <c r="H638" s="40" t="str" cm="1">
        <f t="array" ref="H638">IFERROR(INDEX(DB!P$2:P$2576,T638),"")</f>
        <v/>
      </c>
      <c r="I638" s="43"/>
      <c r="J638" s="53" t="str" cm="1">
        <f t="array" ref="J638">IFERROR(INDEX(DB!Q$2:Q$2576,T638),"")</f>
        <v/>
      </c>
      <c r="K638" s="43"/>
      <c r="L638" s="41" t="str" cm="1">
        <f t="array" ref="L638">IFERROR(INDEX(DB!R$2:R$2576,T638),"")</f>
        <v/>
      </c>
      <c r="M638" s="43"/>
      <c r="P638" t="str" cm="1">
        <f t="array" ref="P638">IFERROR(_xlfn.AGGREGATE(15,6,ROW(DB!A$2:A$2576)/((($D$3&lt;&gt;"YES")+($D$3="YES")*(DB!E$2:E$2576="YES"))*(($D$4="")+($D$4&lt;&gt;"")*( DB!B$2:B$2576=$D$4))*(($D$5="")+($D$5&lt;&gt;"")*( DB!C$2:C$2576=$D$5))*(($D$6="")+($D$6&lt;&gt;"")*( DB!D$2:D$2576=$D$6))*(($D$7="")+($D$7&lt;&gt;"")*(ISNUMBER(SEARCH($D$7,DB!G$2:G$2576))))*(($F$7="전체")+($F$7&lt;&gt;"전체")*(DB!H$2:H$2576=$F$7))),ROW()-13)-1,"")</f>
        <v/>
      </c>
      <c r="Q638" t="str" cm="1">
        <f t="array" ref="Q638">IFERROR(INDEX(DB!G$2:G$2576,P638),"")</f>
        <v/>
      </c>
      <c r="R638" t="str" cm="1">
        <f t="array" ref="R638">IFERROR(INDEX(DB!O$2:O$2576,P638),"")</f>
        <v/>
      </c>
      <c r="S638" t="str">
        <f t="shared" si="30"/>
        <v/>
      </c>
      <c r="T638" t="str">
        <f t="shared" si="31"/>
        <v/>
      </c>
    </row>
    <row r="639" spans="1:20" ht="100" customHeight="1">
      <c r="A639" s="26"/>
      <c r="B639" s="42" t="str">
        <f t="shared" si="29"/>
        <v/>
      </c>
      <c r="C639" s="43"/>
      <c r="D639" s="51" t="str" cm="1">
        <f t="array" ref="D639">IFERROR(INDEX(DB!G$2:G$2576,T639),"")</f>
        <v/>
      </c>
      <c r="E639" s="43"/>
      <c r="F639" s="52" t="str" cm="1">
        <f t="array" ref="F639">IFERROR(INDEX(DB!O$2:O$2576,T639),"")</f>
        <v/>
      </c>
      <c r="G639" s="43"/>
      <c r="H639" s="40" t="str" cm="1">
        <f t="array" ref="H639">IFERROR(INDEX(DB!P$2:P$2576,T639),"")</f>
        <v/>
      </c>
      <c r="I639" s="43"/>
      <c r="J639" s="53" t="str" cm="1">
        <f t="array" ref="J639">IFERROR(INDEX(DB!Q$2:Q$2576,T639),"")</f>
        <v/>
      </c>
      <c r="K639" s="43"/>
      <c r="L639" s="41" t="str" cm="1">
        <f t="array" ref="L639">IFERROR(INDEX(DB!R$2:R$2576,T639),"")</f>
        <v/>
      </c>
      <c r="M639" s="43"/>
      <c r="P639" t="str" cm="1">
        <f t="array" ref="P639">IFERROR(_xlfn.AGGREGATE(15,6,ROW(DB!A$2:A$2576)/((($D$3&lt;&gt;"YES")+($D$3="YES")*(DB!E$2:E$2576="YES"))*(($D$4="")+($D$4&lt;&gt;"")*( DB!B$2:B$2576=$D$4))*(($D$5="")+($D$5&lt;&gt;"")*( DB!C$2:C$2576=$D$5))*(($D$6="")+($D$6&lt;&gt;"")*( DB!D$2:D$2576=$D$6))*(($D$7="")+($D$7&lt;&gt;"")*(ISNUMBER(SEARCH($D$7,DB!G$2:G$2576))))*(($F$7="전체")+($F$7&lt;&gt;"전체")*(DB!H$2:H$2576=$F$7))),ROW()-13)-1,"")</f>
        <v/>
      </c>
      <c r="Q639" t="str" cm="1">
        <f t="array" ref="Q639">IFERROR(INDEX(DB!G$2:G$2576,P639),"")</f>
        <v/>
      </c>
      <c r="R639" t="str" cm="1">
        <f t="array" ref="R639">IFERROR(INDEX(DB!O$2:O$2576,P639),"")</f>
        <v/>
      </c>
      <c r="S639" t="str">
        <f t="shared" si="30"/>
        <v/>
      </c>
      <c r="T639" t="str">
        <f t="shared" si="31"/>
        <v/>
      </c>
    </row>
    <row r="640" spans="1:20" ht="100" customHeight="1">
      <c r="A640" s="26"/>
      <c r="B640" s="39" t="str">
        <f t="shared" si="29"/>
        <v/>
      </c>
      <c r="C640" s="43"/>
      <c r="D640" s="51" t="str" cm="1">
        <f t="array" ref="D640">IFERROR(INDEX(DB!G$2:G$2576,T640),"")</f>
        <v/>
      </c>
      <c r="E640" s="43"/>
      <c r="F640" s="52" t="str" cm="1">
        <f t="array" ref="F640">IFERROR(INDEX(DB!O$2:O$2576,T640),"")</f>
        <v/>
      </c>
      <c r="G640" s="43"/>
      <c r="H640" s="40" t="str" cm="1">
        <f t="array" ref="H640">IFERROR(INDEX(DB!P$2:P$2576,T640),"")</f>
        <v/>
      </c>
      <c r="I640" s="43"/>
      <c r="J640" s="53" t="str" cm="1">
        <f t="array" ref="J640">IFERROR(INDEX(DB!Q$2:Q$2576,T640),"")</f>
        <v/>
      </c>
      <c r="K640" s="43"/>
      <c r="L640" s="41" t="str" cm="1">
        <f t="array" ref="L640">IFERROR(INDEX(DB!R$2:R$2576,T640),"")</f>
        <v/>
      </c>
      <c r="M640" s="43"/>
      <c r="P640" t="str" cm="1">
        <f t="array" ref="P640">IFERROR(_xlfn.AGGREGATE(15,6,ROW(DB!A$2:A$2576)/((($D$3&lt;&gt;"YES")+($D$3="YES")*(DB!E$2:E$2576="YES"))*(($D$4="")+($D$4&lt;&gt;"")*( DB!B$2:B$2576=$D$4))*(($D$5="")+($D$5&lt;&gt;"")*( DB!C$2:C$2576=$D$5))*(($D$6="")+($D$6&lt;&gt;"")*( DB!D$2:D$2576=$D$6))*(($D$7="")+($D$7&lt;&gt;"")*(ISNUMBER(SEARCH($D$7,DB!G$2:G$2576))))*(($F$7="전체")+($F$7&lt;&gt;"전체")*(DB!H$2:H$2576=$F$7))),ROW()-13)-1,"")</f>
        <v/>
      </c>
      <c r="Q640" t="str" cm="1">
        <f t="array" ref="Q640">IFERROR(INDEX(DB!G$2:G$2576,P640),"")</f>
        <v/>
      </c>
      <c r="R640" t="str" cm="1">
        <f t="array" ref="R640">IFERROR(INDEX(DB!O$2:O$2576,P640),"")</f>
        <v/>
      </c>
      <c r="S640" t="str">
        <f t="shared" si="30"/>
        <v/>
      </c>
      <c r="T640" t="str">
        <f t="shared" si="31"/>
        <v/>
      </c>
    </row>
    <row r="641" spans="1:20" ht="100" customHeight="1">
      <c r="A641" s="26"/>
      <c r="B641" s="42" t="str">
        <f t="shared" si="29"/>
        <v/>
      </c>
      <c r="C641" s="43"/>
      <c r="D641" s="51" t="str" cm="1">
        <f t="array" ref="D641">IFERROR(INDEX(DB!G$2:G$2576,T641),"")</f>
        <v/>
      </c>
      <c r="E641" s="43"/>
      <c r="F641" s="52" t="str" cm="1">
        <f t="array" ref="F641">IFERROR(INDEX(DB!O$2:O$2576,T641),"")</f>
        <v/>
      </c>
      <c r="G641" s="43"/>
      <c r="H641" s="40" t="str" cm="1">
        <f t="array" ref="H641">IFERROR(INDEX(DB!P$2:P$2576,T641),"")</f>
        <v/>
      </c>
      <c r="I641" s="43"/>
      <c r="J641" s="53" t="str" cm="1">
        <f t="array" ref="J641">IFERROR(INDEX(DB!Q$2:Q$2576,T641),"")</f>
        <v/>
      </c>
      <c r="K641" s="43"/>
      <c r="L641" s="41" t="str" cm="1">
        <f t="array" ref="L641">IFERROR(INDEX(DB!R$2:R$2576,T641),"")</f>
        <v/>
      </c>
      <c r="M641" s="43"/>
      <c r="P641" t="str" cm="1">
        <f t="array" ref="P641">IFERROR(_xlfn.AGGREGATE(15,6,ROW(DB!A$2:A$2576)/((($D$3&lt;&gt;"YES")+($D$3="YES")*(DB!E$2:E$2576="YES"))*(($D$4="")+($D$4&lt;&gt;"")*( DB!B$2:B$2576=$D$4))*(($D$5="")+($D$5&lt;&gt;"")*( DB!C$2:C$2576=$D$5))*(($D$6="")+($D$6&lt;&gt;"")*( DB!D$2:D$2576=$D$6))*(($D$7="")+($D$7&lt;&gt;"")*(ISNUMBER(SEARCH($D$7,DB!G$2:G$2576))))*(($F$7="전체")+($F$7&lt;&gt;"전체")*(DB!H$2:H$2576=$F$7))),ROW()-13)-1,"")</f>
        <v/>
      </c>
      <c r="Q641" t="str" cm="1">
        <f t="array" ref="Q641">IFERROR(INDEX(DB!G$2:G$2576,P641),"")</f>
        <v/>
      </c>
      <c r="R641" t="str" cm="1">
        <f t="array" ref="R641">IFERROR(INDEX(DB!O$2:O$2576,P641),"")</f>
        <v/>
      </c>
      <c r="S641" t="str">
        <f t="shared" si="30"/>
        <v/>
      </c>
      <c r="T641" t="str">
        <f t="shared" si="31"/>
        <v/>
      </c>
    </row>
    <row r="642" spans="1:20" ht="100" customHeight="1">
      <c r="A642" s="26"/>
      <c r="B642" s="39" t="str">
        <f t="shared" si="29"/>
        <v/>
      </c>
      <c r="C642" s="43"/>
      <c r="D642" s="51" t="str" cm="1">
        <f t="array" ref="D642">IFERROR(INDEX(DB!G$2:G$2576,T642),"")</f>
        <v/>
      </c>
      <c r="E642" s="43"/>
      <c r="F642" s="52" t="str" cm="1">
        <f t="array" ref="F642">IFERROR(INDEX(DB!O$2:O$2576,T642),"")</f>
        <v/>
      </c>
      <c r="G642" s="43"/>
      <c r="H642" s="40" t="str" cm="1">
        <f t="array" ref="H642">IFERROR(INDEX(DB!P$2:P$2576,T642),"")</f>
        <v/>
      </c>
      <c r="I642" s="43"/>
      <c r="J642" s="53" t="str" cm="1">
        <f t="array" ref="J642">IFERROR(INDEX(DB!Q$2:Q$2576,T642),"")</f>
        <v/>
      </c>
      <c r="K642" s="43"/>
      <c r="L642" s="41" t="str" cm="1">
        <f t="array" ref="L642">IFERROR(INDEX(DB!R$2:R$2576,T642),"")</f>
        <v/>
      </c>
      <c r="M642" s="43"/>
      <c r="P642" t="str" cm="1">
        <f t="array" ref="P642">IFERROR(_xlfn.AGGREGATE(15,6,ROW(DB!A$2:A$2576)/((($D$3&lt;&gt;"YES")+($D$3="YES")*(DB!E$2:E$2576="YES"))*(($D$4="")+($D$4&lt;&gt;"")*( DB!B$2:B$2576=$D$4))*(($D$5="")+($D$5&lt;&gt;"")*( DB!C$2:C$2576=$D$5))*(($D$6="")+($D$6&lt;&gt;"")*( DB!D$2:D$2576=$D$6))*(($D$7="")+($D$7&lt;&gt;"")*(ISNUMBER(SEARCH($D$7,DB!G$2:G$2576))))*(($F$7="전체")+($F$7&lt;&gt;"전체")*(DB!H$2:H$2576=$F$7))),ROW()-13)-1,"")</f>
        <v/>
      </c>
      <c r="Q642" t="str" cm="1">
        <f t="array" ref="Q642">IFERROR(INDEX(DB!G$2:G$2576,P642),"")</f>
        <v/>
      </c>
      <c r="R642" t="str" cm="1">
        <f t="array" ref="R642">IFERROR(INDEX(DB!O$2:O$2576,P642),"")</f>
        <v/>
      </c>
      <c r="S642" t="str">
        <f t="shared" si="30"/>
        <v/>
      </c>
      <c r="T642" t="str">
        <f t="shared" si="31"/>
        <v/>
      </c>
    </row>
    <row r="643" spans="1:20" ht="100" customHeight="1">
      <c r="A643" s="26"/>
      <c r="B643" s="42" t="str">
        <f t="shared" si="29"/>
        <v/>
      </c>
      <c r="C643" s="43"/>
      <c r="D643" s="51" t="str" cm="1">
        <f t="array" ref="D643">IFERROR(INDEX(DB!G$2:G$2576,T643),"")</f>
        <v/>
      </c>
      <c r="E643" s="43"/>
      <c r="F643" s="52" t="str" cm="1">
        <f t="array" ref="F643">IFERROR(INDEX(DB!O$2:O$2576,T643),"")</f>
        <v/>
      </c>
      <c r="G643" s="43"/>
      <c r="H643" s="40" t="str" cm="1">
        <f t="array" ref="H643">IFERROR(INDEX(DB!P$2:P$2576,T643),"")</f>
        <v/>
      </c>
      <c r="I643" s="43"/>
      <c r="J643" s="53" t="str" cm="1">
        <f t="array" ref="J643">IFERROR(INDEX(DB!Q$2:Q$2576,T643),"")</f>
        <v/>
      </c>
      <c r="K643" s="43"/>
      <c r="L643" s="41" t="str" cm="1">
        <f t="array" ref="L643">IFERROR(INDEX(DB!R$2:R$2576,T643),"")</f>
        <v/>
      </c>
      <c r="M643" s="43"/>
      <c r="P643" t="str" cm="1">
        <f t="array" ref="P643">IFERROR(_xlfn.AGGREGATE(15,6,ROW(DB!A$2:A$2576)/((($D$3&lt;&gt;"YES")+($D$3="YES")*(DB!E$2:E$2576="YES"))*(($D$4="")+($D$4&lt;&gt;"")*( DB!B$2:B$2576=$D$4))*(($D$5="")+($D$5&lt;&gt;"")*( DB!C$2:C$2576=$D$5))*(($D$6="")+($D$6&lt;&gt;"")*( DB!D$2:D$2576=$D$6))*(($D$7="")+($D$7&lt;&gt;"")*(ISNUMBER(SEARCH($D$7,DB!G$2:G$2576))))*(($F$7="전체")+($F$7&lt;&gt;"전체")*(DB!H$2:H$2576=$F$7))),ROW()-13)-1,"")</f>
        <v/>
      </c>
      <c r="Q643" t="str" cm="1">
        <f t="array" ref="Q643">IFERROR(INDEX(DB!G$2:G$2576,P643),"")</f>
        <v/>
      </c>
      <c r="R643" t="str" cm="1">
        <f t="array" ref="R643">IFERROR(INDEX(DB!O$2:O$2576,P643),"")</f>
        <v/>
      </c>
      <c r="S643" t="str">
        <f t="shared" si="30"/>
        <v/>
      </c>
      <c r="T643" t="str">
        <f t="shared" si="31"/>
        <v/>
      </c>
    </row>
    <row r="644" spans="1:20" ht="100" customHeight="1">
      <c r="A644" s="26"/>
      <c r="B644" s="39" t="str">
        <f t="shared" si="29"/>
        <v/>
      </c>
      <c r="C644" s="43"/>
      <c r="D644" s="51" t="str" cm="1">
        <f t="array" ref="D644">IFERROR(INDEX(DB!G$2:G$2576,T644),"")</f>
        <v/>
      </c>
      <c r="E644" s="43"/>
      <c r="F644" s="52" t="str" cm="1">
        <f t="array" ref="F644">IFERROR(INDEX(DB!O$2:O$2576,T644),"")</f>
        <v/>
      </c>
      <c r="G644" s="43"/>
      <c r="H644" s="40" t="str" cm="1">
        <f t="array" ref="H644">IFERROR(INDEX(DB!P$2:P$2576,T644),"")</f>
        <v/>
      </c>
      <c r="I644" s="43"/>
      <c r="J644" s="53" t="str" cm="1">
        <f t="array" ref="J644">IFERROR(INDEX(DB!Q$2:Q$2576,T644),"")</f>
        <v/>
      </c>
      <c r="K644" s="43"/>
      <c r="L644" s="41" t="str" cm="1">
        <f t="array" ref="L644">IFERROR(INDEX(DB!R$2:R$2576,T644),"")</f>
        <v/>
      </c>
      <c r="M644" s="43"/>
      <c r="P644" t="str" cm="1">
        <f t="array" ref="P644">IFERROR(_xlfn.AGGREGATE(15,6,ROW(DB!A$2:A$2576)/((($D$3&lt;&gt;"YES")+($D$3="YES")*(DB!E$2:E$2576="YES"))*(($D$4="")+($D$4&lt;&gt;"")*( DB!B$2:B$2576=$D$4))*(($D$5="")+($D$5&lt;&gt;"")*( DB!C$2:C$2576=$D$5))*(($D$6="")+($D$6&lt;&gt;"")*( DB!D$2:D$2576=$D$6))*(($D$7="")+($D$7&lt;&gt;"")*(ISNUMBER(SEARCH($D$7,DB!G$2:G$2576))))*(($F$7="전체")+($F$7&lt;&gt;"전체")*(DB!H$2:H$2576=$F$7))),ROW()-13)-1,"")</f>
        <v/>
      </c>
      <c r="Q644" t="str" cm="1">
        <f t="array" ref="Q644">IFERROR(INDEX(DB!G$2:G$2576,P644),"")</f>
        <v/>
      </c>
      <c r="R644" t="str" cm="1">
        <f t="array" ref="R644">IFERROR(INDEX(DB!O$2:O$2576,P644),"")</f>
        <v/>
      </c>
      <c r="S644" t="str">
        <f t="shared" si="30"/>
        <v/>
      </c>
      <c r="T644" t="str">
        <f t="shared" si="31"/>
        <v/>
      </c>
    </row>
    <row r="645" spans="1:20" ht="100" customHeight="1">
      <c r="A645" s="26"/>
      <c r="B645" s="42" t="str">
        <f t="shared" si="29"/>
        <v/>
      </c>
      <c r="C645" s="43"/>
      <c r="D645" s="51" t="str" cm="1">
        <f t="array" ref="D645">IFERROR(INDEX(DB!G$2:G$2576,T645),"")</f>
        <v/>
      </c>
      <c r="E645" s="43"/>
      <c r="F645" s="52" t="str" cm="1">
        <f t="array" ref="F645">IFERROR(INDEX(DB!O$2:O$2576,T645),"")</f>
        <v/>
      </c>
      <c r="G645" s="43"/>
      <c r="H645" s="40" t="str" cm="1">
        <f t="array" ref="H645">IFERROR(INDEX(DB!P$2:P$2576,T645),"")</f>
        <v/>
      </c>
      <c r="I645" s="43"/>
      <c r="J645" s="53" t="str" cm="1">
        <f t="array" ref="J645">IFERROR(INDEX(DB!Q$2:Q$2576,T645),"")</f>
        <v/>
      </c>
      <c r="K645" s="43"/>
      <c r="L645" s="41" t="str" cm="1">
        <f t="array" ref="L645">IFERROR(INDEX(DB!R$2:R$2576,T645),"")</f>
        <v/>
      </c>
      <c r="M645" s="43"/>
      <c r="P645" t="str" cm="1">
        <f t="array" ref="P645">IFERROR(_xlfn.AGGREGATE(15,6,ROW(DB!A$2:A$2576)/((($D$3&lt;&gt;"YES")+($D$3="YES")*(DB!E$2:E$2576="YES"))*(($D$4="")+($D$4&lt;&gt;"")*( DB!B$2:B$2576=$D$4))*(($D$5="")+($D$5&lt;&gt;"")*( DB!C$2:C$2576=$D$5))*(($D$6="")+($D$6&lt;&gt;"")*( DB!D$2:D$2576=$D$6))*(($D$7="")+($D$7&lt;&gt;"")*(ISNUMBER(SEARCH($D$7,DB!G$2:G$2576))))*(($F$7="전체")+($F$7&lt;&gt;"전체")*(DB!H$2:H$2576=$F$7))),ROW()-13)-1,"")</f>
        <v/>
      </c>
      <c r="Q645" t="str" cm="1">
        <f t="array" ref="Q645">IFERROR(INDEX(DB!G$2:G$2576,P645),"")</f>
        <v/>
      </c>
      <c r="R645" t="str" cm="1">
        <f t="array" ref="R645">IFERROR(INDEX(DB!O$2:O$2576,P645),"")</f>
        <v/>
      </c>
      <c r="S645" t="str">
        <f t="shared" si="30"/>
        <v/>
      </c>
      <c r="T645" t="str">
        <f t="shared" si="31"/>
        <v/>
      </c>
    </row>
    <row r="646" spans="1:20" ht="100" customHeight="1">
      <c r="A646" s="26"/>
      <c r="B646" s="39" t="str">
        <f t="shared" si="29"/>
        <v/>
      </c>
      <c r="C646" s="43"/>
      <c r="D646" s="51" t="str" cm="1">
        <f t="array" ref="D646">IFERROR(INDEX(DB!G$2:G$2576,T646),"")</f>
        <v/>
      </c>
      <c r="E646" s="43"/>
      <c r="F646" s="52" t="str" cm="1">
        <f t="array" ref="F646">IFERROR(INDEX(DB!O$2:O$2576,T646),"")</f>
        <v/>
      </c>
      <c r="G646" s="43"/>
      <c r="H646" s="40" t="str" cm="1">
        <f t="array" ref="H646">IFERROR(INDEX(DB!P$2:P$2576,T646),"")</f>
        <v/>
      </c>
      <c r="I646" s="43"/>
      <c r="J646" s="53" t="str" cm="1">
        <f t="array" ref="J646">IFERROR(INDEX(DB!Q$2:Q$2576,T646),"")</f>
        <v/>
      </c>
      <c r="K646" s="43"/>
      <c r="L646" s="41" t="str" cm="1">
        <f t="array" ref="L646">IFERROR(INDEX(DB!R$2:R$2576,T646),"")</f>
        <v/>
      </c>
      <c r="M646" s="43"/>
      <c r="P646" t="str" cm="1">
        <f t="array" ref="P646">IFERROR(_xlfn.AGGREGATE(15,6,ROW(DB!A$2:A$2576)/((($D$3&lt;&gt;"YES")+($D$3="YES")*(DB!E$2:E$2576="YES"))*(($D$4="")+($D$4&lt;&gt;"")*( DB!B$2:B$2576=$D$4))*(($D$5="")+($D$5&lt;&gt;"")*( DB!C$2:C$2576=$D$5))*(($D$6="")+($D$6&lt;&gt;"")*( DB!D$2:D$2576=$D$6))*(($D$7="")+($D$7&lt;&gt;"")*(ISNUMBER(SEARCH($D$7,DB!G$2:G$2576))))*(($F$7="전체")+($F$7&lt;&gt;"전체")*(DB!H$2:H$2576=$F$7))),ROW()-13)-1,"")</f>
        <v/>
      </c>
      <c r="Q646" t="str" cm="1">
        <f t="array" ref="Q646">IFERROR(INDEX(DB!G$2:G$2576,P646),"")</f>
        <v/>
      </c>
      <c r="R646" t="str" cm="1">
        <f t="array" ref="R646">IFERROR(INDEX(DB!O$2:O$2576,P646),"")</f>
        <v/>
      </c>
      <c r="S646" t="str">
        <f t="shared" si="30"/>
        <v/>
      </c>
      <c r="T646" t="str">
        <f t="shared" si="31"/>
        <v/>
      </c>
    </row>
    <row r="647" spans="1:20" ht="100" customHeight="1">
      <c r="A647" s="26"/>
      <c r="B647" s="42" t="str">
        <f t="shared" si="29"/>
        <v/>
      </c>
      <c r="C647" s="43"/>
      <c r="D647" s="51" t="str" cm="1">
        <f t="array" ref="D647">IFERROR(INDEX(DB!G$2:G$2576,T647),"")</f>
        <v/>
      </c>
      <c r="E647" s="43"/>
      <c r="F647" s="52" t="str" cm="1">
        <f t="array" ref="F647">IFERROR(INDEX(DB!O$2:O$2576,T647),"")</f>
        <v/>
      </c>
      <c r="G647" s="43"/>
      <c r="H647" s="40" t="str" cm="1">
        <f t="array" ref="H647">IFERROR(INDEX(DB!P$2:P$2576,T647),"")</f>
        <v/>
      </c>
      <c r="I647" s="43"/>
      <c r="J647" s="53" t="str" cm="1">
        <f t="array" ref="J647">IFERROR(INDEX(DB!Q$2:Q$2576,T647),"")</f>
        <v/>
      </c>
      <c r="K647" s="43"/>
      <c r="L647" s="41" t="str" cm="1">
        <f t="array" ref="L647">IFERROR(INDEX(DB!R$2:R$2576,T647),"")</f>
        <v/>
      </c>
      <c r="M647" s="43"/>
      <c r="P647" t="str" cm="1">
        <f t="array" ref="P647">IFERROR(_xlfn.AGGREGATE(15,6,ROW(DB!A$2:A$2576)/((($D$3&lt;&gt;"YES")+($D$3="YES")*(DB!E$2:E$2576="YES"))*(($D$4="")+($D$4&lt;&gt;"")*( DB!B$2:B$2576=$D$4))*(($D$5="")+($D$5&lt;&gt;"")*( DB!C$2:C$2576=$D$5))*(($D$6="")+($D$6&lt;&gt;"")*( DB!D$2:D$2576=$D$6))*(($D$7="")+($D$7&lt;&gt;"")*(ISNUMBER(SEARCH($D$7,DB!G$2:G$2576))))*(($F$7="전체")+($F$7&lt;&gt;"전체")*(DB!H$2:H$2576=$F$7))),ROW()-13)-1,"")</f>
        <v/>
      </c>
      <c r="Q647" t="str" cm="1">
        <f t="array" ref="Q647">IFERROR(INDEX(DB!G$2:G$2576,P647),"")</f>
        <v/>
      </c>
      <c r="R647" t="str" cm="1">
        <f t="array" ref="R647">IFERROR(INDEX(DB!O$2:O$2576,P647),"")</f>
        <v/>
      </c>
      <c r="S647" t="str">
        <f t="shared" si="30"/>
        <v/>
      </c>
      <c r="T647" t="str">
        <f t="shared" si="31"/>
        <v/>
      </c>
    </row>
    <row r="648" spans="1:20" ht="100" customHeight="1">
      <c r="A648" s="26"/>
      <c r="B648" s="39" t="str">
        <f t="shared" si="29"/>
        <v/>
      </c>
      <c r="C648" s="43"/>
      <c r="D648" s="51" t="str" cm="1">
        <f t="array" ref="D648">IFERROR(INDEX(DB!G$2:G$2576,T648),"")</f>
        <v/>
      </c>
      <c r="E648" s="43"/>
      <c r="F648" s="52" t="str" cm="1">
        <f t="array" ref="F648">IFERROR(INDEX(DB!O$2:O$2576,T648),"")</f>
        <v/>
      </c>
      <c r="G648" s="43"/>
      <c r="H648" s="40" t="str" cm="1">
        <f t="array" ref="H648">IFERROR(INDEX(DB!P$2:P$2576,T648),"")</f>
        <v/>
      </c>
      <c r="I648" s="43"/>
      <c r="J648" s="53" t="str" cm="1">
        <f t="array" ref="J648">IFERROR(INDEX(DB!Q$2:Q$2576,T648),"")</f>
        <v/>
      </c>
      <c r="K648" s="43"/>
      <c r="L648" s="41" t="str" cm="1">
        <f t="array" ref="L648">IFERROR(INDEX(DB!R$2:R$2576,T648),"")</f>
        <v/>
      </c>
      <c r="M648" s="43"/>
      <c r="P648" t="str" cm="1">
        <f t="array" ref="P648">IFERROR(_xlfn.AGGREGATE(15,6,ROW(DB!A$2:A$2576)/((($D$3&lt;&gt;"YES")+($D$3="YES")*(DB!E$2:E$2576="YES"))*(($D$4="")+($D$4&lt;&gt;"")*( DB!B$2:B$2576=$D$4))*(($D$5="")+($D$5&lt;&gt;"")*( DB!C$2:C$2576=$D$5))*(($D$6="")+($D$6&lt;&gt;"")*( DB!D$2:D$2576=$D$6))*(($D$7="")+($D$7&lt;&gt;"")*(ISNUMBER(SEARCH($D$7,DB!G$2:G$2576))))*(($F$7="전체")+($F$7&lt;&gt;"전체")*(DB!H$2:H$2576=$F$7))),ROW()-13)-1,"")</f>
        <v/>
      </c>
      <c r="Q648" t="str" cm="1">
        <f t="array" ref="Q648">IFERROR(INDEX(DB!G$2:G$2576,P648),"")</f>
        <v/>
      </c>
      <c r="R648" t="str" cm="1">
        <f t="array" ref="R648">IFERROR(INDEX(DB!O$2:O$2576,P648),"")</f>
        <v/>
      </c>
      <c r="S648" t="str">
        <f t="shared" si="30"/>
        <v/>
      </c>
      <c r="T648" t="str">
        <f t="shared" si="31"/>
        <v/>
      </c>
    </row>
    <row r="649" spans="1:20" ht="100" customHeight="1">
      <c r="A649" s="26"/>
      <c r="B649" s="42" t="str">
        <f t="shared" si="29"/>
        <v/>
      </c>
      <c r="C649" s="43"/>
      <c r="D649" s="51" t="str" cm="1">
        <f t="array" ref="D649">IFERROR(INDEX(DB!G$2:G$2576,T649),"")</f>
        <v/>
      </c>
      <c r="E649" s="43"/>
      <c r="F649" s="52" t="str" cm="1">
        <f t="array" ref="F649">IFERROR(INDEX(DB!O$2:O$2576,T649),"")</f>
        <v/>
      </c>
      <c r="G649" s="43"/>
      <c r="H649" s="40" t="str" cm="1">
        <f t="array" ref="H649">IFERROR(INDEX(DB!P$2:P$2576,T649),"")</f>
        <v/>
      </c>
      <c r="I649" s="43"/>
      <c r="J649" s="53" t="str" cm="1">
        <f t="array" ref="J649">IFERROR(INDEX(DB!Q$2:Q$2576,T649),"")</f>
        <v/>
      </c>
      <c r="K649" s="43"/>
      <c r="L649" s="41" t="str" cm="1">
        <f t="array" ref="L649">IFERROR(INDEX(DB!R$2:R$2576,T649),"")</f>
        <v/>
      </c>
      <c r="M649" s="43"/>
      <c r="P649" t="str" cm="1">
        <f t="array" ref="P649">IFERROR(_xlfn.AGGREGATE(15,6,ROW(DB!A$2:A$2576)/((($D$3&lt;&gt;"YES")+($D$3="YES")*(DB!E$2:E$2576="YES"))*(($D$4="")+($D$4&lt;&gt;"")*( DB!B$2:B$2576=$D$4))*(($D$5="")+($D$5&lt;&gt;"")*( DB!C$2:C$2576=$D$5))*(($D$6="")+($D$6&lt;&gt;"")*( DB!D$2:D$2576=$D$6))*(($D$7="")+($D$7&lt;&gt;"")*(ISNUMBER(SEARCH($D$7,DB!G$2:G$2576))))*(($F$7="전체")+($F$7&lt;&gt;"전체")*(DB!H$2:H$2576=$F$7))),ROW()-13)-1,"")</f>
        <v/>
      </c>
      <c r="Q649" t="str" cm="1">
        <f t="array" ref="Q649">IFERROR(INDEX(DB!G$2:G$2576,P649),"")</f>
        <v/>
      </c>
      <c r="R649" t="str" cm="1">
        <f t="array" ref="R649">IFERROR(INDEX(DB!O$2:O$2576,P649),"")</f>
        <v/>
      </c>
      <c r="S649" t="str">
        <f t="shared" si="30"/>
        <v/>
      </c>
      <c r="T649" t="str">
        <f t="shared" si="31"/>
        <v/>
      </c>
    </row>
    <row r="650" spans="1:20" ht="100" customHeight="1">
      <c r="A650" s="26"/>
      <c r="B650" s="39" t="str">
        <f t="shared" si="29"/>
        <v/>
      </c>
      <c r="C650" s="43"/>
      <c r="D650" s="51" t="str" cm="1">
        <f t="array" ref="D650">IFERROR(INDEX(DB!G$2:G$2576,T650),"")</f>
        <v/>
      </c>
      <c r="E650" s="43"/>
      <c r="F650" s="52" t="str" cm="1">
        <f t="array" ref="F650">IFERROR(INDEX(DB!O$2:O$2576,T650),"")</f>
        <v/>
      </c>
      <c r="G650" s="43"/>
      <c r="H650" s="40" t="str" cm="1">
        <f t="array" ref="H650">IFERROR(INDEX(DB!P$2:P$2576,T650),"")</f>
        <v/>
      </c>
      <c r="I650" s="43"/>
      <c r="J650" s="53" t="str" cm="1">
        <f t="array" ref="J650">IFERROR(INDEX(DB!Q$2:Q$2576,T650),"")</f>
        <v/>
      </c>
      <c r="K650" s="43"/>
      <c r="L650" s="41" t="str" cm="1">
        <f t="array" ref="L650">IFERROR(INDEX(DB!R$2:R$2576,T650),"")</f>
        <v/>
      </c>
      <c r="M650" s="43"/>
      <c r="P650" t="str" cm="1">
        <f t="array" ref="P650">IFERROR(_xlfn.AGGREGATE(15,6,ROW(DB!A$2:A$2576)/((($D$3&lt;&gt;"YES")+($D$3="YES")*(DB!E$2:E$2576="YES"))*(($D$4="")+($D$4&lt;&gt;"")*( DB!B$2:B$2576=$D$4))*(($D$5="")+($D$5&lt;&gt;"")*( DB!C$2:C$2576=$D$5))*(($D$6="")+($D$6&lt;&gt;"")*( DB!D$2:D$2576=$D$6))*(($D$7="")+($D$7&lt;&gt;"")*(ISNUMBER(SEARCH($D$7,DB!G$2:G$2576))))*(($F$7="전체")+($F$7&lt;&gt;"전체")*(DB!H$2:H$2576=$F$7))),ROW()-13)-1,"")</f>
        <v/>
      </c>
      <c r="Q650" t="str" cm="1">
        <f t="array" ref="Q650">IFERROR(INDEX(DB!G$2:G$2576,P650),"")</f>
        <v/>
      </c>
      <c r="R650" t="str" cm="1">
        <f t="array" ref="R650">IFERROR(INDEX(DB!O$2:O$2576,P650),"")</f>
        <v/>
      </c>
      <c r="S650" t="str">
        <f t="shared" si="30"/>
        <v/>
      </c>
      <c r="T650" t="str">
        <f t="shared" si="31"/>
        <v/>
      </c>
    </row>
    <row r="651" spans="1:20" ht="100" customHeight="1">
      <c r="A651" s="26"/>
      <c r="B651" s="42" t="str">
        <f t="shared" si="29"/>
        <v/>
      </c>
      <c r="C651" s="43"/>
      <c r="D651" s="51" t="str" cm="1">
        <f t="array" ref="D651">IFERROR(INDEX(DB!G$2:G$2576,T651),"")</f>
        <v/>
      </c>
      <c r="E651" s="43"/>
      <c r="F651" s="52" t="str" cm="1">
        <f t="array" ref="F651">IFERROR(INDEX(DB!O$2:O$2576,T651),"")</f>
        <v/>
      </c>
      <c r="G651" s="43"/>
      <c r="H651" s="40" t="str" cm="1">
        <f t="array" ref="H651">IFERROR(INDEX(DB!P$2:P$2576,T651),"")</f>
        <v/>
      </c>
      <c r="I651" s="43"/>
      <c r="J651" s="53" t="str" cm="1">
        <f t="array" ref="J651">IFERROR(INDEX(DB!Q$2:Q$2576,T651),"")</f>
        <v/>
      </c>
      <c r="K651" s="43"/>
      <c r="L651" s="41" t="str" cm="1">
        <f t="array" ref="L651">IFERROR(INDEX(DB!R$2:R$2576,T651),"")</f>
        <v/>
      </c>
      <c r="M651" s="43"/>
      <c r="P651" t="str" cm="1">
        <f t="array" ref="P651">IFERROR(_xlfn.AGGREGATE(15,6,ROW(DB!A$2:A$2576)/((($D$3&lt;&gt;"YES")+($D$3="YES")*(DB!E$2:E$2576="YES"))*(($D$4="")+($D$4&lt;&gt;"")*( DB!B$2:B$2576=$D$4))*(($D$5="")+($D$5&lt;&gt;"")*( DB!C$2:C$2576=$D$5))*(($D$6="")+($D$6&lt;&gt;"")*( DB!D$2:D$2576=$D$6))*(($D$7="")+($D$7&lt;&gt;"")*(ISNUMBER(SEARCH($D$7,DB!G$2:G$2576))))*(($F$7="전체")+($F$7&lt;&gt;"전체")*(DB!H$2:H$2576=$F$7))),ROW()-13)-1,"")</f>
        <v/>
      </c>
      <c r="Q651" t="str" cm="1">
        <f t="array" ref="Q651">IFERROR(INDEX(DB!G$2:G$2576,P651),"")</f>
        <v/>
      </c>
      <c r="R651" t="str" cm="1">
        <f t="array" ref="R651">IFERROR(INDEX(DB!O$2:O$2576,P651),"")</f>
        <v/>
      </c>
      <c r="S651" t="str">
        <f t="shared" si="30"/>
        <v/>
      </c>
      <c r="T651" t="str">
        <f t="shared" si="31"/>
        <v/>
      </c>
    </row>
    <row r="652" spans="1:20" ht="100" customHeight="1">
      <c r="A652" s="26"/>
      <c r="B652" s="39" t="str">
        <f t="shared" si="29"/>
        <v/>
      </c>
      <c r="C652" s="43"/>
      <c r="D652" s="51" t="str" cm="1">
        <f t="array" ref="D652">IFERROR(INDEX(DB!G$2:G$2576,T652),"")</f>
        <v/>
      </c>
      <c r="E652" s="43"/>
      <c r="F652" s="52" t="str" cm="1">
        <f t="array" ref="F652">IFERROR(INDEX(DB!O$2:O$2576,T652),"")</f>
        <v/>
      </c>
      <c r="G652" s="43"/>
      <c r="H652" s="40" t="str" cm="1">
        <f t="array" ref="H652">IFERROR(INDEX(DB!P$2:P$2576,T652),"")</f>
        <v/>
      </c>
      <c r="I652" s="43"/>
      <c r="J652" s="53" t="str" cm="1">
        <f t="array" ref="J652">IFERROR(INDEX(DB!Q$2:Q$2576,T652),"")</f>
        <v/>
      </c>
      <c r="K652" s="43"/>
      <c r="L652" s="41" t="str" cm="1">
        <f t="array" ref="L652">IFERROR(INDEX(DB!R$2:R$2576,T652),"")</f>
        <v/>
      </c>
      <c r="M652" s="43"/>
      <c r="P652" t="str" cm="1">
        <f t="array" ref="P652">IFERROR(_xlfn.AGGREGATE(15,6,ROW(DB!A$2:A$2576)/((($D$3&lt;&gt;"YES")+($D$3="YES")*(DB!E$2:E$2576="YES"))*(($D$4="")+($D$4&lt;&gt;"")*( DB!B$2:B$2576=$D$4))*(($D$5="")+($D$5&lt;&gt;"")*( DB!C$2:C$2576=$D$5))*(($D$6="")+($D$6&lt;&gt;"")*( DB!D$2:D$2576=$D$6))*(($D$7="")+($D$7&lt;&gt;"")*(ISNUMBER(SEARCH($D$7,DB!G$2:G$2576))))*(($F$7="전체")+($F$7&lt;&gt;"전체")*(DB!H$2:H$2576=$F$7))),ROW()-13)-1,"")</f>
        <v/>
      </c>
      <c r="Q652" t="str" cm="1">
        <f t="array" ref="Q652">IFERROR(INDEX(DB!G$2:G$2576,P652),"")</f>
        <v/>
      </c>
      <c r="R652" t="str" cm="1">
        <f t="array" ref="R652">IFERROR(INDEX(DB!O$2:O$2576,P652),"")</f>
        <v/>
      </c>
      <c r="S652" t="str">
        <f t="shared" si="30"/>
        <v/>
      </c>
      <c r="T652" t="str">
        <f t="shared" si="31"/>
        <v/>
      </c>
    </row>
    <row r="653" spans="1:20" ht="100" customHeight="1">
      <c r="A653" s="26"/>
      <c r="B653" s="42" t="str">
        <f t="shared" si="29"/>
        <v/>
      </c>
      <c r="C653" s="43"/>
      <c r="D653" s="51" t="str" cm="1">
        <f t="array" ref="D653">IFERROR(INDEX(DB!G$2:G$2576,T653),"")</f>
        <v/>
      </c>
      <c r="E653" s="43"/>
      <c r="F653" s="52" t="str" cm="1">
        <f t="array" ref="F653">IFERROR(INDEX(DB!O$2:O$2576,T653),"")</f>
        <v/>
      </c>
      <c r="G653" s="43"/>
      <c r="H653" s="40" t="str" cm="1">
        <f t="array" ref="H653">IFERROR(INDEX(DB!P$2:P$2576,T653),"")</f>
        <v/>
      </c>
      <c r="I653" s="43"/>
      <c r="J653" s="53" t="str" cm="1">
        <f t="array" ref="J653">IFERROR(INDEX(DB!Q$2:Q$2576,T653),"")</f>
        <v/>
      </c>
      <c r="K653" s="43"/>
      <c r="L653" s="41" t="str" cm="1">
        <f t="array" ref="L653">IFERROR(INDEX(DB!R$2:R$2576,T653),"")</f>
        <v/>
      </c>
      <c r="M653" s="43"/>
      <c r="P653" t="str" cm="1">
        <f t="array" ref="P653">IFERROR(_xlfn.AGGREGATE(15,6,ROW(DB!A$2:A$2576)/((($D$3&lt;&gt;"YES")+($D$3="YES")*(DB!E$2:E$2576="YES"))*(($D$4="")+($D$4&lt;&gt;"")*( DB!B$2:B$2576=$D$4))*(($D$5="")+($D$5&lt;&gt;"")*( DB!C$2:C$2576=$D$5))*(($D$6="")+($D$6&lt;&gt;"")*( DB!D$2:D$2576=$D$6))*(($D$7="")+($D$7&lt;&gt;"")*(ISNUMBER(SEARCH($D$7,DB!G$2:G$2576))))*(($F$7="전체")+($F$7&lt;&gt;"전체")*(DB!H$2:H$2576=$F$7))),ROW()-13)-1,"")</f>
        <v/>
      </c>
      <c r="Q653" t="str" cm="1">
        <f t="array" ref="Q653">IFERROR(INDEX(DB!G$2:G$2576,P653),"")</f>
        <v/>
      </c>
      <c r="R653" t="str" cm="1">
        <f t="array" ref="R653">IFERROR(INDEX(DB!O$2:O$2576,P653),"")</f>
        <v/>
      </c>
      <c r="S653" t="str">
        <f t="shared" si="30"/>
        <v/>
      </c>
      <c r="T653" t="str">
        <f t="shared" si="31"/>
        <v/>
      </c>
    </row>
    <row r="654" spans="1:20" ht="100" customHeight="1">
      <c r="A654" s="26"/>
      <c r="B654" s="39" t="str">
        <f t="shared" si="29"/>
        <v/>
      </c>
      <c r="C654" s="43"/>
      <c r="D654" s="51" t="str" cm="1">
        <f t="array" ref="D654">IFERROR(INDEX(DB!G$2:G$2576,T654),"")</f>
        <v/>
      </c>
      <c r="E654" s="43"/>
      <c r="F654" s="52" t="str" cm="1">
        <f t="array" ref="F654">IFERROR(INDEX(DB!O$2:O$2576,T654),"")</f>
        <v/>
      </c>
      <c r="G654" s="43"/>
      <c r="H654" s="40" t="str" cm="1">
        <f t="array" ref="H654">IFERROR(INDEX(DB!P$2:P$2576,T654),"")</f>
        <v/>
      </c>
      <c r="I654" s="43"/>
      <c r="J654" s="53" t="str" cm="1">
        <f t="array" ref="J654">IFERROR(INDEX(DB!Q$2:Q$2576,T654),"")</f>
        <v/>
      </c>
      <c r="K654" s="43"/>
      <c r="L654" s="41" t="str" cm="1">
        <f t="array" ref="L654">IFERROR(INDEX(DB!R$2:R$2576,T654),"")</f>
        <v/>
      </c>
      <c r="M654" s="43"/>
      <c r="P654" t="str" cm="1">
        <f t="array" ref="P654">IFERROR(_xlfn.AGGREGATE(15,6,ROW(DB!A$2:A$2576)/((($D$3&lt;&gt;"YES")+($D$3="YES")*(DB!E$2:E$2576="YES"))*(($D$4="")+($D$4&lt;&gt;"")*( DB!B$2:B$2576=$D$4))*(($D$5="")+($D$5&lt;&gt;"")*( DB!C$2:C$2576=$D$5))*(($D$6="")+($D$6&lt;&gt;"")*( DB!D$2:D$2576=$D$6))*(($D$7="")+($D$7&lt;&gt;"")*(ISNUMBER(SEARCH($D$7,DB!G$2:G$2576))))*(($F$7="전체")+($F$7&lt;&gt;"전체")*(DB!H$2:H$2576=$F$7))),ROW()-13)-1,"")</f>
        <v/>
      </c>
      <c r="Q654" t="str" cm="1">
        <f t="array" ref="Q654">IFERROR(INDEX(DB!G$2:G$2576,P654),"")</f>
        <v/>
      </c>
      <c r="R654" t="str" cm="1">
        <f t="array" ref="R654">IFERROR(INDEX(DB!O$2:O$2576,P654),"")</f>
        <v/>
      </c>
      <c r="S654" t="str">
        <f t="shared" si="30"/>
        <v/>
      </c>
      <c r="T654" t="str">
        <f t="shared" si="31"/>
        <v/>
      </c>
    </row>
    <row r="655" spans="1:20" ht="100" customHeight="1">
      <c r="A655" s="26"/>
      <c r="B655" s="42" t="str">
        <f t="shared" ref="B655:B718" si="32">IFERROR(IF(T655="","",ROW()-13),"")</f>
        <v/>
      </c>
      <c r="C655" s="43"/>
      <c r="D655" s="51" t="str" cm="1">
        <f t="array" ref="D655">IFERROR(INDEX(DB!G$2:G$2576,T655),"")</f>
        <v/>
      </c>
      <c r="E655" s="43"/>
      <c r="F655" s="52" t="str" cm="1">
        <f t="array" ref="F655">IFERROR(INDEX(DB!O$2:O$2576,T655),"")</f>
        <v/>
      </c>
      <c r="G655" s="43"/>
      <c r="H655" s="40" t="str" cm="1">
        <f t="array" ref="H655">IFERROR(INDEX(DB!P$2:P$2576,T655),"")</f>
        <v/>
      </c>
      <c r="I655" s="43"/>
      <c r="J655" s="53" t="str" cm="1">
        <f t="array" ref="J655">IFERROR(INDEX(DB!Q$2:Q$2576,T655),"")</f>
        <v/>
      </c>
      <c r="K655" s="43"/>
      <c r="L655" s="41" t="str" cm="1">
        <f t="array" ref="L655">IFERROR(INDEX(DB!R$2:R$2576,T655),"")</f>
        <v/>
      </c>
      <c r="M655" s="43"/>
      <c r="P655" t="str" cm="1">
        <f t="array" ref="P655">IFERROR(_xlfn.AGGREGATE(15,6,ROW(DB!A$2:A$2576)/((($D$3&lt;&gt;"YES")+($D$3="YES")*(DB!E$2:E$2576="YES"))*(($D$4="")+($D$4&lt;&gt;"")*( DB!B$2:B$2576=$D$4))*(($D$5="")+($D$5&lt;&gt;"")*( DB!C$2:C$2576=$D$5))*(($D$6="")+($D$6&lt;&gt;"")*( DB!D$2:D$2576=$D$6))*(($D$7="")+($D$7&lt;&gt;"")*(ISNUMBER(SEARCH($D$7,DB!G$2:G$2576))))*(($F$7="전체")+($F$7&lt;&gt;"전체")*(DB!H$2:H$2576=$F$7))),ROW()-13)-1,"")</f>
        <v/>
      </c>
      <c r="Q655" t="str" cm="1">
        <f t="array" ref="Q655">IFERROR(INDEX(DB!G$2:G$2576,P655),"")</f>
        <v/>
      </c>
      <c r="R655" t="str" cm="1">
        <f t="array" ref="R655">IFERROR(INDEX(DB!O$2:O$2576,P655),"")</f>
        <v/>
      </c>
      <c r="S655" t="str">
        <f t="shared" ref="S655:S718" si="33">IF(P655="","",COUNTIF($Q$14:$Q$2587,"&lt;"&amp;Q655)*100+COUNTIF($R$14:$R$2587,"&lt;"&amp;R655)+(ROW()-13)*0.001)</f>
        <v/>
      </c>
      <c r="T655" t="str">
        <f t="shared" ref="T655:T718" si="34">IFERROR(INDEX($P$14:$P$2587,MATCH(SMALL($S$14:$S$2587,ROW()-13),$S$14:$S$2587,0)),"")</f>
        <v/>
      </c>
    </row>
    <row r="656" spans="1:20" ht="100" customHeight="1">
      <c r="A656" s="26"/>
      <c r="B656" s="39" t="str">
        <f t="shared" si="32"/>
        <v/>
      </c>
      <c r="C656" s="43"/>
      <c r="D656" s="51" t="str" cm="1">
        <f t="array" ref="D656">IFERROR(INDEX(DB!G$2:G$2576,T656),"")</f>
        <v/>
      </c>
      <c r="E656" s="43"/>
      <c r="F656" s="52" t="str" cm="1">
        <f t="array" ref="F656">IFERROR(INDEX(DB!O$2:O$2576,T656),"")</f>
        <v/>
      </c>
      <c r="G656" s="43"/>
      <c r="H656" s="40" t="str" cm="1">
        <f t="array" ref="H656">IFERROR(INDEX(DB!P$2:P$2576,T656),"")</f>
        <v/>
      </c>
      <c r="I656" s="43"/>
      <c r="J656" s="53" t="str" cm="1">
        <f t="array" ref="J656">IFERROR(INDEX(DB!Q$2:Q$2576,T656),"")</f>
        <v/>
      </c>
      <c r="K656" s="43"/>
      <c r="L656" s="41" t="str" cm="1">
        <f t="array" ref="L656">IFERROR(INDEX(DB!R$2:R$2576,T656),"")</f>
        <v/>
      </c>
      <c r="M656" s="43"/>
      <c r="P656" t="str" cm="1">
        <f t="array" ref="P656">IFERROR(_xlfn.AGGREGATE(15,6,ROW(DB!A$2:A$2576)/((($D$3&lt;&gt;"YES")+($D$3="YES")*(DB!E$2:E$2576="YES"))*(($D$4="")+($D$4&lt;&gt;"")*( DB!B$2:B$2576=$D$4))*(($D$5="")+($D$5&lt;&gt;"")*( DB!C$2:C$2576=$D$5))*(($D$6="")+($D$6&lt;&gt;"")*( DB!D$2:D$2576=$D$6))*(($D$7="")+($D$7&lt;&gt;"")*(ISNUMBER(SEARCH($D$7,DB!G$2:G$2576))))*(($F$7="전체")+($F$7&lt;&gt;"전체")*(DB!H$2:H$2576=$F$7))),ROW()-13)-1,"")</f>
        <v/>
      </c>
      <c r="Q656" t="str" cm="1">
        <f t="array" ref="Q656">IFERROR(INDEX(DB!G$2:G$2576,P656),"")</f>
        <v/>
      </c>
      <c r="R656" t="str" cm="1">
        <f t="array" ref="R656">IFERROR(INDEX(DB!O$2:O$2576,P656),"")</f>
        <v/>
      </c>
      <c r="S656" t="str">
        <f t="shared" si="33"/>
        <v/>
      </c>
      <c r="T656" t="str">
        <f t="shared" si="34"/>
        <v/>
      </c>
    </row>
    <row r="657" spans="1:20" ht="100" customHeight="1">
      <c r="A657" s="26"/>
      <c r="B657" s="42" t="str">
        <f t="shared" si="32"/>
        <v/>
      </c>
      <c r="C657" s="43"/>
      <c r="D657" s="51" t="str" cm="1">
        <f t="array" ref="D657">IFERROR(INDEX(DB!G$2:G$2576,T657),"")</f>
        <v/>
      </c>
      <c r="E657" s="43"/>
      <c r="F657" s="52" t="str" cm="1">
        <f t="array" ref="F657">IFERROR(INDEX(DB!O$2:O$2576,T657),"")</f>
        <v/>
      </c>
      <c r="G657" s="43"/>
      <c r="H657" s="40" t="str" cm="1">
        <f t="array" ref="H657">IFERROR(INDEX(DB!P$2:P$2576,T657),"")</f>
        <v/>
      </c>
      <c r="I657" s="43"/>
      <c r="J657" s="53" t="str" cm="1">
        <f t="array" ref="J657">IFERROR(INDEX(DB!Q$2:Q$2576,T657),"")</f>
        <v/>
      </c>
      <c r="K657" s="43"/>
      <c r="L657" s="41" t="str" cm="1">
        <f t="array" ref="L657">IFERROR(INDEX(DB!R$2:R$2576,T657),"")</f>
        <v/>
      </c>
      <c r="M657" s="43"/>
      <c r="P657" t="str" cm="1">
        <f t="array" ref="P657">IFERROR(_xlfn.AGGREGATE(15,6,ROW(DB!A$2:A$2576)/((($D$3&lt;&gt;"YES")+($D$3="YES")*(DB!E$2:E$2576="YES"))*(($D$4="")+($D$4&lt;&gt;"")*( DB!B$2:B$2576=$D$4))*(($D$5="")+($D$5&lt;&gt;"")*( DB!C$2:C$2576=$D$5))*(($D$6="")+($D$6&lt;&gt;"")*( DB!D$2:D$2576=$D$6))*(($D$7="")+($D$7&lt;&gt;"")*(ISNUMBER(SEARCH($D$7,DB!G$2:G$2576))))*(($F$7="전체")+($F$7&lt;&gt;"전체")*(DB!H$2:H$2576=$F$7))),ROW()-13)-1,"")</f>
        <v/>
      </c>
      <c r="Q657" t="str" cm="1">
        <f t="array" ref="Q657">IFERROR(INDEX(DB!G$2:G$2576,P657),"")</f>
        <v/>
      </c>
      <c r="R657" t="str" cm="1">
        <f t="array" ref="R657">IFERROR(INDEX(DB!O$2:O$2576,P657),"")</f>
        <v/>
      </c>
      <c r="S657" t="str">
        <f t="shared" si="33"/>
        <v/>
      </c>
      <c r="T657" t="str">
        <f t="shared" si="34"/>
        <v/>
      </c>
    </row>
    <row r="658" spans="1:20" ht="100" customHeight="1">
      <c r="A658" s="26"/>
      <c r="B658" s="39" t="str">
        <f t="shared" si="32"/>
        <v/>
      </c>
      <c r="C658" s="43"/>
      <c r="D658" s="51" t="str" cm="1">
        <f t="array" ref="D658">IFERROR(INDEX(DB!G$2:G$2576,T658),"")</f>
        <v/>
      </c>
      <c r="E658" s="43"/>
      <c r="F658" s="52" t="str" cm="1">
        <f t="array" ref="F658">IFERROR(INDEX(DB!O$2:O$2576,T658),"")</f>
        <v/>
      </c>
      <c r="G658" s="43"/>
      <c r="H658" s="40" t="str" cm="1">
        <f t="array" ref="H658">IFERROR(INDEX(DB!P$2:P$2576,T658),"")</f>
        <v/>
      </c>
      <c r="I658" s="43"/>
      <c r="J658" s="53" t="str" cm="1">
        <f t="array" ref="J658">IFERROR(INDEX(DB!Q$2:Q$2576,T658),"")</f>
        <v/>
      </c>
      <c r="K658" s="43"/>
      <c r="L658" s="41" t="str" cm="1">
        <f t="array" ref="L658">IFERROR(INDEX(DB!R$2:R$2576,T658),"")</f>
        <v/>
      </c>
      <c r="M658" s="43"/>
      <c r="P658" t="str" cm="1">
        <f t="array" ref="P658">IFERROR(_xlfn.AGGREGATE(15,6,ROW(DB!A$2:A$2576)/((($D$3&lt;&gt;"YES")+($D$3="YES")*(DB!E$2:E$2576="YES"))*(($D$4="")+($D$4&lt;&gt;"")*( DB!B$2:B$2576=$D$4))*(($D$5="")+($D$5&lt;&gt;"")*( DB!C$2:C$2576=$D$5))*(($D$6="")+($D$6&lt;&gt;"")*( DB!D$2:D$2576=$D$6))*(($D$7="")+($D$7&lt;&gt;"")*(ISNUMBER(SEARCH($D$7,DB!G$2:G$2576))))*(($F$7="전체")+($F$7&lt;&gt;"전체")*(DB!H$2:H$2576=$F$7))),ROW()-13)-1,"")</f>
        <v/>
      </c>
      <c r="Q658" t="str" cm="1">
        <f t="array" ref="Q658">IFERROR(INDEX(DB!G$2:G$2576,P658),"")</f>
        <v/>
      </c>
      <c r="R658" t="str" cm="1">
        <f t="array" ref="R658">IFERROR(INDEX(DB!O$2:O$2576,P658),"")</f>
        <v/>
      </c>
      <c r="S658" t="str">
        <f t="shared" si="33"/>
        <v/>
      </c>
      <c r="T658" t="str">
        <f t="shared" si="34"/>
        <v/>
      </c>
    </row>
    <row r="659" spans="1:20" ht="100" customHeight="1">
      <c r="A659" s="26"/>
      <c r="B659" s="42" t="str">
        <f t="shared" si="32"/>
        <v/>
      </c>
      <c r="C659" s="43"/>
      <c r="D659" s="51" t="str" cm="1">
        <f t="array" ref="D659">IFERROR(INDEX(DB!G$2:G$2576,T659),"")</f>
        <v/>
      </c>
      <c r="E659" s="43"/>
      <c r="F659" s="52" t="str" cm="1">
        <f t="array" ref="F659">IFERROR(INDEX(DB!O$2:O$2576,T659),"")</f>
        <v/>
      </c>
      <c r="G659" s="43"/>
      <c r="H659" s="40" t="str" cm="1">
        <f t="array" ref="H659">IFERROR(INDEX(DB!P$2:P$2576,T659),"")</f>
        <v/>
      </c>
      <c r="I659" s="43"/>
      <c r="J659" s="53" t="str" cm="1">
        <f t="array" ref="J659">IFERROR(INDEX(DB!Q$2:Q$2576,T659),"")</f>
        <v/>
      </c>
      <c r="K659" s="43"/>
      <c r="L659" s="41" t="str" cm="1">
        <f t="array" ref="L659">IFERROR(INDEX(DB!R$2:R$2576,T659),"")</f>
        <v/>
      </c>
      <c r="M659" s="43"/>
      <c r="P659" t="str" cm="1">
        <f t="array" ref="P659">IFERROR(_xlfn.AGGREGATE(15,6,ROW(DB!A$2:A$2576)/((($D$3&lt;&gt;"YES")+($D$3="YES")*(DB!E$2:E$2576="YES"))*(($D$4="")+($D$4&lt;&gt;"")*( DB!B$2:B$2576=$D$4))*(($D$5="")+($D$5&lt;&gt;"")*( DB!C$2:C$2576=$D$5))*(($D$6="")+($D$6&lt;&gt;"")*( DB!D$2:D$2576=$D$6))*(($D$7="")+($D$7&lt;&gt;"")*(ISNUMBER(SEARCH($D$7,DB!G$2:G$2576))))*(($F$7="전체")+($F$7&lt;&gt;"전체")*(DB!H$2:H$2576=$F$7))),ROW()-13)-1,"")</f>
        <v/>
      </c>
      <c r="Q659" t="str" cm="1">
        <f t="array" ref="Q659">IFERROR(INDEX(DB!G$2:G$2576,P659),"")</f>
        <v/>
      </c>
      <c r="R659" t="str" cm="1">
        <f t="array" ref="R659">IFERROR(INDEX(DB!O$2:O$2576,P659),"")</f>
        <v/>
      </c>
      <c r="S659" t="str">
        <f t="shared" si="33"/>
        <v/>
      </c>
      <c r="T659" t="str">
        <f t="shared" si="34"/>
        <v/>
      </c>
    </row>
    <row r="660" spans="1:20" ht="100" customHeight="1">
      <c r="A660" s="26"/>
      <c r="B660" s="39" t="str">
        <f t="shared" si="32"/>
        <v/>
      </c>
      <c r="C660" s="43"/>
      <c r="D660" s="51" t="str" cm="1">
        <f t="array" ref="D660">IFERROR(INDEX(DB!G$2:G$2576,T660),"")</f>
        <v/>
      </c>
      <c r="E660" s="43"/>
      <c r="F660" s="52" t="str" cm="1">
        <f t="array" ref="F660">IFERROR(INDEX(DB!O$2:O$2576,T660),"")</f>
        <v/>
      </c>
      <c r="G660" s="43"/>
      <c r="H660" s="40" t="str" cm="1">
        <f t="array" ref="H660">IFERROR(INDEX(DB!P$2:P$2576,T660),"")</f>
        <v/>
      </c>
      <c r="I660" s="43"/>
      <c r="J660" s="53" t="str" cm="1">
        <f t="array" ref="J660">IFERROR(INDEX(DB!Q$2:Q$2576,T660),"")</f>
        <v/>
      </c>
      <c r="K660" s="43"/>
      <c r="L660" s="41" t="str" cm="1">
        <f t="array" ref="L660">IFERROR(INDEX(DB!R$2:R$2576,T660),"")</f>
        <v/>
      </c>
      <c r="M660" s="43"/>
      <c r="P660" t="str" cm="1">
        <f t="array" ref="P660">IFERROR(_xlfn.AGGREGATE(15,6,ROW(DB!A$2:A$2576)/((($D$3&lt;&gt;"YES")+($D$3="YES")*(DB!E$2:E$2576="YES"))*(($D$4="")+($D$4&lt;&gt;"")*( DB!B$2:B$2576=$D$4))*(($D$5="")+($D$5&lt;&gt;"")*( DB!C$2:C$2576=$D$5))*(($D$6="")+($D$6&lt;&gt;"")*( DB!D$2:D$2576=$D$6))*(($D$7="")+($D$7&lt;&gt;"")*(ISNUMBER(SEARCH($D$7,DB!G$2:G$2576))))*(($F$7="전체")+($F$7&lt;&gt;"전체")*(DB!H$2:H$2576=$F$7))),ROW()-13)-1,"")</f>
        <v/>
      </c>
      <c r="Q660" t="str" cm="1">
        <f t="array" ref="Q660">IFERROR(INDEX(DB!G$2:G$2576,P660),"")</f>
        <v/>
      </c>
      <c r="R660" t="str" cm="1">
        <f t="array" ref="R660">IFERROR(INDEX(DB!O$2:O$2576,P660),"")</f>
        <v/>
      </c>
      <c r="S660" t="str">
        <f t="shared" si="33"/>
        <v/>
      </c>
      <c r="T660" t="str">
        <f t="shared" si="34"/>
        <v/>
      </c>
    </row>
    <row r="661" spans="1:20" ht="100" customHeight="1">
      <c r="A661" s="26"/>
      <c r="B661" s="42" t="str">
        <f t="shared" si="32"/>
        <v/>
      </c>
      <c r="C661" s="43"/>
      <c r="D661" s="51" t="str" cm="1">
        <f t="array" ref="D661">IFERROR(INDEX(DB!G$2:G$2576,T661),"")</f>
        <v/>
      </c>
      <c r="E661" s="43"/>
      <c r="F661" s="52" t="str" cm="1">
        <f t="array" ref="F661">IFERROR(INDEX(DB!O$2:O$2576,T661),"")</f>
        <v/>
      </c>
      <c r="G661" s="43"/>
      <c r="H661" s="40" t="str" cm="1">
        <f t="array" ref="H661">IFERROR(INDEX(DB!P$2:P$2576,T661),"")</f>
        <v/>
      </c>
      <c r="I661" s="43"/>
      <c r="J661" s="53" t="str" cm="1">
        <f t="array" ref="J661">IFERROR(INDEX(DB!Q$2:Q$2576,T661),"")</f>
        <v/>
      </c>
      <c r="K661" s="43"/>
      <c r="L661" s="41" t="str" cm="1">
        <f t="array" ref="L661">IFERROR(INDEX(DB!R$2:R$2576,T661),"")</f>
        <v/>
      </c>
      <c r="M661" s="43"/>
      <c r="P661" t="str" cm="1">
        <f t="array" ref="P661">IFERROR(_xlfn.AGGREGATE(15,6,ROW(DB!A$2:A$2576)/((($D$3&lt;&gt;"YES")+($D$3="YES")*(DB!E$2:E$2576="YES"))*(($D$4="")+($D$4&lt;&gt;"")*( DB!B$2:B$2576=$D$4))*(($D$5="")+($D$5&lt;&gt;"")*( DB!C$2:C$2576=$D$5))*(($D$6="")+($D$6&lt;&gt;"")*( DB!D$2:D$2576=$D$6))*(($D$7="")+($D$7&lt;&gt;"")*(ISNUMBER(SEARCH($D$7,DB!G$2:G$2576))))*(($F$7="전체")+($F$7&lt;&gt;"전체")*(DB!H$2:H$2576=$F$7))),ROW()-13)-1,"")</f>
        <v/>
      </c>
      <c r="Q661" t="str" cm="1">
        <f t="array" ref="Q661">IFERROR(INDEX(DB!G$2:G$2576,P661),"")</f>
        <v/>
      </c>
      <c r="R661" t="str" cm="1">
        <f t="array" ref="R661">IFERROR(INDEX(DB!O$2:O$2576,P661),"")</f>
        <v/>
      </c>
      <c r="S661" t="str">
        <f t="shared" si="33"/>
        <v/>
      </c>
      <c r="T661" t="str">
        <f t="shared" si="34"/>
        <v/>
      </c>
    </row>
    <row r="662" spans="1:20" ht="100" customHeight="1">
      <c r="A662" s="26"/>
      <c r="B662" s="39" t="str">
        <f t="shared" si="32"/>
        <v/>
      </c>
      <c r="C662" s="43"/>
      <c r="D662" s="51" t="str" cm="1">
        <f t="array" ref="D662">IFERROR(INDEX(DB!G$2:G$2576,T662),"")</f>
        <v/>
      </c>
      <c r="E662" s="43"/>
      <c r="F662" s="52" t="str" cm="1">
        <f t="array" ref="F662">IFERROR(INDEX(DB!O$2:O$2576,T662),"")</f>
        <v/>
      </c>
      <c r="G662" s="43"/>
      <c r="H662" s="40" t="str" cm="1">
        <f t="array" ref="H662">IFERROR(INDEX(DB!P$2:P$2576,T662),"")</f>
        <v/>
      </c>
      <c r="I662" s="43"/>
      <c r="J662" s="53" t="str" cm="1">
        <f t="array" ref="J662">IFERROR(INDEX(DB!Q$2:Q$2576,T662),"")</f>
        <v/>
      </c>
      <c r="K662" s="43"/>
      <c r="L662" s="41" t="str" cm="1">
        <f t="array" ref="L662">IFERROR(INDEX(DB!R$2:R$2576,T662),"")</f>
        <v/>
      </c>
      <c r="M662" s="43"/>
      <c r="P662" t="str" cm="1">
        <f t="array" ref="P662">IFERROR(_xlfn.AGGREGATE(15,6,ROW(DB!A$2:A$2576)/((($D$3&lt;&gt;"YES")+($D$3="YES")*(DB!E$2:E$2576="YES"))*(($D$4="")+($D$4&lt;&gt;"")*( DB!B$2:B$2576=$D$4))*(($D$5="")+($D$5&lt;&gt;"")*( DB!C$2:C$2576=$D$5))*(($D$6="")+($D$6&lt;&gt;"")*( DB!D$2:D$2576=$D$6))*(($D$7="")+($D$7&lt;&gt;"")*(ISNUMBER(SEARCH($D$7,DB!G$2:G$2576))))*(($F$7="전체")+($F$7&lt;&gt;"전체")*(DB!H$2:H$2576=$F$7))),ROW()-13)-1,"")</f>
        <v/>
      </c>
      <c r="Q662" t="str" cm="1">
        <f t="array" ref="Q662">IFERROR(INDEX(DB!G$2:G$2576,P662),"")</f>
        <v/>
      </c>
      <c r="R662" t="str" cm="1">
        <f t="array" ref="R662">IFERROR(INDEX(DB!O$2:O$2576,P662),"")</f>
        <v/>
      </c>
      <c r="S662" t="str">
        <f t="shared" si="33"/>
        <v/>
      </c>
      <c r="T662" t="str">
        <f t="shared" si="34"/>
        <v/>
      </c>
    </row>
    <row r="663" spans="1:20" ht="100" customHeight="1">
      <c r="A663" s="26"/>
      <c r="B663" s="42" t="str">
        <f t="shared" si="32"/>
        <v/>
      </c>
      <c r="C663" s="43"/>
      <c r="D663" s="51" t="str" cm="1">
        <f t="array" ref="D663">IFERROR(INDEX(DB!G$2:G$2576,T663),"")</f>
        <v/>
      </c>
      <c r="E663" s="43"/>
      <c r="F663" s="52" t="str" cm="1">
        <f t="array" ref="F663">IFERROR(INDEX(DB!O$2:O$2576,T663),"")</f>
        <v/>
      </c>
      <c r="G663" s="43"/>
      <c r="H663" s="40" t="str" cm="1">
        <f t="array" ref="H663">IFERROR(INDEX(DB!P$2:P$2576,T663),"")</f>
        <v/>
      </c>
      <c r="I663" s="43"/>
      <c r="J663" s="53" t="str" cm="1">
        <f t="array" ref="J663">IFERROR(INDEX(DB!Q$2:Q$2576,T663),"")</f>
        <v/>
      </c>
      <c r="K663" s="43"/>
      <c r="L663" s="41" t="str" cm="1">
        <f t="array" ref="L663">IFERROR(INDEX(DB!R$2:R$2576,T663),"")</f>
        <v/>
      </c>
      <c r="M663" s="43"/>
      <c r="P663" t="str" cm="1">
        <f t="array" ref="P663">IFERROR(_xlfn.AGGREGATE(15,6,ROW(DB!A$2:A$2576)/((($D$3&lt;&gt;"YES")+($D$3="YES")*(DB!E$2:E$2576="YES"))*(($D$4="")+($D$4&lt;&gt;"")*( DB!B$2:B$2576=$D$4))*(($D$5="")+($D$5&lt;&gt;"")*( DB!C$2:C$2576=$D$5))*(($D$6="")+($D$6&lt;&gt;"")*( DB!D$2:D$2576=$D$6))*(($D$7="")+($D$7&lt;&gt;"")*(ISNUMBER(SEARCH($D$7,DB!G$2:G$2576))))*(($F$7="전체")+($F$7&lt;&gt;"전체")*(DB!H$2:H$2576=$F$7))),ROW()-13)-1,"")</f>
        <v/>
      </c>
      <c r="Q663" t="str" cm="1">
        <f t="array" ref="Q663">IFERROR(INDEX(DB!G$2:G$2576,P663),"")</f>
        <v/>
      </c>
      <c r="R663" t="str" cm="1">
        <f t="array" ref="R663">IFERROR(INDEX(DB!O$2:O$2576,P663),"")</f>
        <v/>
      </c>
      <c r="S663" t="str">
        <f t="shared" si="33"/>
        <v/>
      </c>
      <c r="T663" t="str">
        <f t="shared" si="34"/>
        <v/>
      </c>
    </row>
    <row r="664" spans="1:20" ht="100" customHeight="1">
      <c r="A664" s="26"/>
      <c r="B664" s="39" t="str">
        <f t="shared" si="32"/>
        <v/>
      </c>
      <c r="C664" s="43"/>
      <c r="D664" s="51" t="str" cm="1">
        <f t="array" ref="D664">IFERROR(INDEX(DB!G$2:G$2576,T664),"")</f>
        <v/>
      </c>
      <c r="E664" s="43"/>
      <c r="F664" s="52" t="str" cm="1">
        <f t="array" ref="F664">IFERROR(INDEX(DB!O$2:O$2576,T664),"")</f>
        <v/>
      </c>
      <c r="G664" s="43"/>
      <c r="H664" s="40" t="str" cm="1">
        <f t="array" ref="H664">IFERROR(INDEX(DB!P$2:P$2576,T664),"")</f>
        <v/>
      </c>
      <c r="I664" s="43"/>
      <c r="J664" s="53" t="str" cm="1">
        <f t="array" ref="J664">IFERROR(INDEX(DB!Q$2:Q$2576,T664),"")</f>
        <v/>
      </c>
      <c r="K664" s="43"/>
      <c r="L664" s="41" t="str" cm="1">
        <f t="array" ref="L664">IFERROR(INDEX(DB!R$2:R$2576,T664),"")</f>
        <v/>
      </c>
      <c r="M664" s="43"/>
      <c r="P664" t="str" cm="1">
        <f t="array" ref="P664">IFERROR(_xlfn.AGGREGATE(15,6,ROW(DB!A$2:A$2576)/((($D$3&lt;&gt;"YES")+($D$3="YES")*(DB!E$2:E$2576="YES"))*(($D$4="")+($D$4&lt;&gt;"")*( DB!B$2:B$2576=$D$4))*(($D$5="")+($D$5&lt;&gt;"")*( DB!C$2:C$2576=$D$5))*(($D$6="")+($D$6&lt;&gt;"")*( DB!D$2:D$2576=$D$6))*(($D$7="")+($D$7&lt;&gt;"")*(ISNUMBER(SEARCH($D$7,DB!G$2:G$2576))))*(($F$7="전체")+($F$7&lt;&gt;"전체")*(DB!H$2:H$2576=$F$7))),ROW()-13)-1,"")</f>
        <v/>
      </c>
      <c r="Q664" t="str" cm="1">
        <f t="array" ref="Q664">IFERROR(INDEX(DB!G$2:G$2576,P664),"")</f>
        <v/>
      </c>
      <c r="R664" t="str" cm="1">
        <f t="array" ref="R664">IFERROR(INDEX(DB!O$2:O$2576,P664),"")</f>
        <v/>
      </c>
      <c r="S664" t="str">
        <f t="shared" si="33"/>
        <v/>
      </c>
      <c r="T664" t="str">
        <f t="shared" si="34"/>
        <v/>
      </c>
    </row>
    <row r="665" spans="1:20" ht="100" customHeight="1">
      <c r="A665" s="26"/>
      <c r="B665" s="42" t="str">
        <f t="shared" si="32"/>
        <v/>
      </c>
      <c r="C665" s="43"/>
      <c r="D665" s="51" t="str" cm="1">
        <f t="array" ref="D665">IFERROR(INDEX(DB!G$2:G$2576,T665),"")</f>
        <v/>
      </c>
      <c r="E665" s="43"/>
      <c r="F665" s="52" t="str" cm="1">
        <f t="array" ref="F665">IFERROR(INDEX(DB!O$2:O$2576,T665),"")</f>
        <v/>
      </c>
      <c r="G665" s="43"/>
      <c r="H665" s="40" t="str" cm="1">
        <f t="array" ref="H665">IFERROR(INDEX(DB!P$2:P$2576,T665),"")</f>
        <v/>
      </c>
      <c r="I665" s="43"/>
      <c r="J665" s="53" t="str" cm="1">
        <f t="array" ref="J665">IFERROR(INDEX(DB!Q$2:Q$2576,T665),"")</f>
        <v/>
      </c>
      <c r="K665" s="43"/>
      <c r="L665" s="41" t="str" cm="1">
        <f t="array" ref="L665">IFERROR(INDEX(DB!R$2:R$2576,T665),"")</f>
        <v/>
      </c>
      <c r="M665" s="43"/>
      <c r="P665" t="str" cm="1">
        <f t="array" ref="P665">IFERROR(_xlfn.AGGREGATE(15,6,ROW(DB!A$2:A$2576)/((($D$3&lt;&gt;"YES")+($D$3="YES")*(DB!E$2:E$2576="YES"))*(($D$4="")+($D$4&lt;&gt;"")*( DB!B$2:B$2576=$D$4))*(($D$5="")+($D$5&lt;&gt;"")*( DB!C$2:C$2576=$D$5))*(($D$6="")+($D$6&lt;&gt;"")*( DB!D$2:D$2576=$D$6))*(($D$7="")+($D$7&lt;&gt;"")*(ISNUMBER(SEARCH($D$7,DB!G$2:G$2576))))*(($F$7="전체")+($F$7&lt;&gt;"전체")*(DB!H$2:H$2576=$F$7))),ROW()-13)-1,"")</f>
        <v/>
      </c>
      <c r="Q665" t="str" cm="1">
        <f t="array" ref="Q665">IFERROR(INDEX(DB!G$2:G$2576,P665),"")</f>
        <v/>
      </c>
      <c r="R665" t="str" cm="1">
        <f t="array" ref="R665">IFERROR(INDEX(DB!O$2:O$2576,P665),"")</f>
        <v/>
      </c>
      <c r="S665" t="str">
        <f t="shared" si="33"/>
        <v/>
      </c>
      <c r="T665" t="str">
        <f t="shared" si="34"/>
        <v/>
      </c>
    </row>
    <row r="666" spans="1:20" ht="100" customHeight="1">
      <c r="A666" s="26"/>
      <c r="B666" s="39" t="str">
        <f t="shared" si="32"/>
        <v/>
      </c>
      <c r="C666" s="43"/>
      <c r="D666" s="51" t="str" cm="1">
        <f t="array" ref="D666">IFERROR(INDEX(DB!G$2:G$2576,T666),"")</f>
        <v/>
      </c>
      <c r="E666" s="43"/>
      <c r="F666" s="52" t="str" cm="1">
        <f t="array" ref="F666">IFERROR(INDEX(DB!O$2:O$2576,T666),"")</f>
        <v/>
      </c>
      <c r="G666" s="43"/>
      <c r="H666" s="40" t="str" cm="1">
        <f t="array" ref="H666">IFERROR(INDEX(DB!P$2:P$2576,T666),"")</f>
        <v/>
      </c>
      <c r="I666" s="43"/>
      <c r="J666" s="53" t="str" cm="1">
        <f t="array" ref="J666">IFERROR(INDEX(DB!Q$2:Q$2576,T666),"")</f>
        <v/>
      </c>
      <c r="K666" s="43"/>
      <c r="L666" s="41" t="str" cm="1">
        <f t="array" ref="L666">IFERROR(INDEX(DB!R$2:R$2576,T666),"")</f>
        <v/>
      </c>
      <c r="M666" s="43"/>
      <c r="P666" t="str" cm="1">
        <f t="array" ref="P666">IFERROR(_xlfn.AGGREGATE(15,6,ROW(DB!A$2:A$2576)/((($D$3&lt;&gt;"YES")+($D$3="YES")*(DB!E$2:E$2576="YES"))*(($D$4="")+($D$4&lt;&gt;"")*( DB!B$2:B$2576=$D$4))*(($D$5="")+($D$5&lt;&gt;"")*( DB!C$2:C$2576=$D$5))*(($D$6="")+($D$6&lt;&gt;"")*( DB!D$2:D$2576=$D$6))*(($D$7="")+($D$7&lt;&gt;"")*(ISNUMBER(SEARCH($D$7,DB!G$2:G$2576))))*(($F$7="전체")+($F$7&lt;&gt;"전체")*(DB!H$2:H$2576=$F$7))),ROW()-13)-1,"")</f>
        <v/>
      </c>
      <c r="Q666" t="str" cm="1">
        <f t="array" ref="Q666">IFERROR(INDEX(DB!G$2:G$2576,P666),"")</f>
        <v/>
      </c>
      <c r="R666" t="str" cm="1">
        <f t="array" ref="R666">IFERROR(INDEX(DB!O$2:O$2576,P666),"")</f>
        <v/>
      </c>
      <c r="S666" t="str">
        <f t="shared" si="33"/>
        <v/>
      </c>
      <c r="T666" t="str">
        <f t="shared" si="34"/>
        <v/>
      </c>
    </row>
    <row r="667" spans="1:20" ht="100" customHeight="1">
      <c r="A667" s="26"/>
      <c r="B667" s="42" t="str">
        <f t="shared" si="32"/>
        <v/>
      </c>
      <c r="C667" s="43"/>
      <c r="D667" s="51" t="str" cm="1">
        <f t="array" ref="D667">IFERROR(INDEX(DB!G$2:G$2576,T667),"")</f>
        <v/>
      </c>
      <c r="E667" s="43"/>
      <c r="F667" s="52" t="str" cm="1">
        <f t="array" ref="F667">IFERROR(INDEX(DB!O$2:O$2576,T667),"")</f>
        <v/>
      </c>
      <c r="G667" s="43"/>
      <c r="H667" s="40" t="str" cm="1">
        <f t="array" ref="H667">IFERROR(INDEX(DB!P$2:P$2576,T667),"")</f>
        <v/>
      </c>
      <c r="I667" s="43"/>
      <c r="J667" s="53" t="str" cm="1">
        <f t="array" ref="J667">IFERROR(INDEX(DB!Q$2:Q$2576,T667),"")</f>
        <v/>
      </c>
      <c r="K667" s="43"/>
      <c r="L667" s="41" t="str" cm="1">
        <f t="array" ref="L667">IFERROR(INDEX(DB!R$2:R$2576,T667),"")</f>
        <v/>
      </c>
      <c r="M667" s="43"/>
      <c r="P667" t="str" cm="1">
        <f t="array" ref="P667">IFERROR(_xlfn.AGGREGATE(15,6,ROW(DB!A$2:A$2576)/((($D$3&lt;&gt;"YES")+($D$3="YES")*(DB!E$2:E$2576="YES"))*(($D$4="")+($D$4&lt;&gt;"")*( DB!B$2:B$2576=$D$4))*(($D$5="")+($D$5&lt;&gt;"")*( DB!C$2:C$2576=$D$5))*(($D$6="")+($D$6&lt;&gt;"")*( DB!D$2:D$2576=$D$6))*(($D$7="")+($D$7&lt;&gt;"")*(ISNUMBER(SEARCH($D$7,DB!G$2:G$2576))))*(($F$7="전체")+($F$7&lt;&gt;"전체")*(DB!H$2:H$2576=$F$7))),ROW()-13)-1,"")</f>
        <v/>
      </c>
      <c r="Q667" t="str" cm="1">
        <f t="array" ref="Q667">IFERROR(INDEX(DB!G$2:G$2576,P667),"")</f>
        <v/>
      </c>
      <c r="R667" t="str" cm="1">
        <f t="array" ref="R667">IFERROR(INDEX(DB!O$2:O$2576,P667),"")</f>
        <v/>
      </c>
      <c r="S667" t="str">
        <f t="shared" si="33"/>
        <v/>
      </c>
      <c r="T667" t="str">
        <f t="shared" si="34"/>
        <v/>
      </c>
    </row>
    <row r="668" spans="1:20" ht="100" customHeight="1">
      <c r="A668" s="26"/>
      <c r="B668" s="39" t="str">
        <f t="shared" si="32"/>
        <v/>
      </c>
      <c r="C668" s="43"/>
      <c r="D668" s="51" t="str" cm="1">
        <f t="array" ref="D668">IFERROR(INDEX(DB!G$2:G$2576,T668),"")</f>
        <v/>
      </c>
      <c r="E668" s="43"/>
      <c r="F668" s="52" t="str" cm="1">
        <f t="array" ref="F668">IFERROR(INDEX(DB!O$2:O$2576,T668),"")</f>
        <v/>
      </c>
      <c r="G668" s="43"/>
      <c r="H668" s="40" t="str" cm="1">
        <f t="array" ref="H668">IFERROR(INDEX(DB!P$2:P$2576,T668),"")</f>
        <v/>
      </c>
      <c r="I668" s="43"/>
      <c r="J668" s="53" t="str" cm="1">
        <f t="array" ref="J668">IFERROR(INDEX(DB!Q$2:Q$2576,T668),"")</f>
        <v/>
      </c>
      <c r="K668" s="43"/>
      <c r="L668" s="41" t="str" cm="1">
        <f t="array" ref="L668">IFERROR(INDEX(DB!R$2:R$2576,T668),"")</f>
        <v/>
      </c>
      <c r="M668" s="43"/>
      <c r="P668" t="str" cm="1">
        <f t="array" ref="P668">IFERROR(_xlfn.AGGREGATE(15,6,ROW(DB!A$2:A$2576)/((($D$3&lt;&gt;"YES")+($D$3="YES")*(DB!E$2:E$2576="YES"))*(($D$4="")+($D$4&lt;&gt;"")*( DB!B$2:B$2576=$D$4))*(($D$5="")+($D$5&lt;&gt;"")*( DB!C$2:C$2576=$D$5))*(($D$6="")+($D$6&lt;&gt;"")*( DB!D$2:D$2576=$D$6))*(($D$7="")+($D$7&lt;&gt;"")*(ISNUMBER(SEARCH($D$7,DB!G$2:G$2576))))*(($F$7="전체")+($F$7&lt;&gt;"전체")*(DB!H$2:H$2576=$F$7))),ROW()-13)-1,"")</f>
        <v/>
      </c>
      <c r="Q668" t="str" cm="1">
        <f t="array" ref="Q668">IFERROR(INDEX(DB!G$2:G$2576,P668),"")</f>
        <v/>
      </c>
      <c r="R668" t="str" cm="1">
        <f t="array" ref="R668">IFERROR(INDEX(DB!O$2:O$2576,P668),"")</f>
        <v/>
      </c>
      <c r="S668" t="str">
        <f t="shared" si="33"/>
        <v/>
      </c>
      <c r="T668" t="str">
        <f t="shared" si="34"/>
        <v/>
      </c>
    </row>
    <row r="669" spans="1:20" ht="100" customHeight="1">
      <c r="A669" s="26"/>
      <c r="B669" s="42" t="str">
        <f t="shared" si="32"/>
        <v/>
      </c>
      <c r="C669" s="43"/>
      <c r="D669" s="51" t="str" cm="1">
        <f t="array" ref="D669">IFERROR(INDEX(DB!G$2:G$2576,T669),"")</f>
        <v/>
      </c>
      <c r="E669" s="43"/>
      <c r="F669" s="52" t="str" cm="1">
        <f t="array" ref="F669">IFERROR(INDEX(DB!O$2:O$2576,T669),"")</f>
        <v/>
      </c>
      <c r="G669" s="43"/>
      <c r="H669" s="40" t="str" cm="1">
        <f t="array" ref="H669">IFERROR(INDEX(DB!P$2:P$2576,T669),"")</f>
        <v/>
      </c>
      <c r="I669" s="43"/>
      <c r="J669" s="53" t="str" cm="1">
        <f t="array" ref="J669">IFERROR(INDEX(DB!Q$2:Q$2576,T669),"")</f>
        <v/>
      </c>
      <c r="K669" s="43"/>
      <c r="L669" s="41" t="str" cm="1">
        <f t="array" ref="L669">IFERROR(INDEX(DB!R$2:R$2576,T669),"")</f>
        <v/>
      </c>
      <c r="M669" s="43"/>
      <c r="P669" t="str" cm="1">
        <f t="array" ref="P669">IFERROR(_xlfn.AGGREGATE(15,6,ROW(DB!A$2:A$2576)/((($D$3&lt;&gt;"YES")+($D$3="YES")*(DB!E$2:E$2576="YES"))*(($D$4="")+($D$4&lt;&gt;"")*( DB!B$2:B$2576=$D$4))*(($D$5="")+($D$5&lt;&gt;"")*( DB!C$2:C$2576=$D$5))*(($D$6="")+($D$6&lt;&gt;"")*( DB!D$2:D$2576=$D$6))*(($D$7="")+($D$7&lt;&gt;"")*(ISNUMBER(SEARCH($D$7,DB!G$2:G$2576))))*(($F$7="전체")+($F$7&lt;&gt;"전체")*(DB!H$2:H$2576=$F$7))),ROW()-13)-1,"")</f>
        <v/>
      </c>
      <c r="Q669" t="str" cm="1">
        <f t="array" ref="Q669">IFERROR(INDEX(DB!G$2:G$2576,P669),"")</f>
        <v/>
      </c>
      <c r="R669" t="str" cm="1">
        <f t="array" ref="R669">IFERROR(INDEX(DB!O$2:O$2576,P669),"")</f>
        <v/>
      </c>
      <c r="S669" t="str">
        <f t="shared" si="33"/>
        <v/>
      </c>
      <c r="T669" t="str">
        <f t="shared" si="34"/>
        <v/>
      </c>
    </row>
    <row r="670" spans="1:20" ht="100" customHeight="1">
      <c r="A670" s="26"/>
      <c r="B670" s="39" t="str">
        <f t="shared" si="32"/>
        <v/>
      </c>
      <c r="C670" s="43"/>
      <c r="D670" s="51" t="str" cm="1">
        <f t="array" ref="D670">IFERROR(INDEX(DB!G$2:G$2576,T670),"")</f>
        <v/>
      </c>
      <c r="E670" s="43"/>
      <c r="F670" s="52" t="str" cm="1">
        <f t="array" ref="F670">IFERROR(INDEX(DB!O$2:O$2576,T670),"")</f>
        <v/>
      </c>
      <c r="G670" s="43"/>
      <c r="H670" s="40" t="str" cm="1">
        <f t="array" ref="H670">IFERROR(INDEX(DB!P$2:P$2576,T670),"")</f>
        <v/>
      </c>
      <c r="I670" s="43"/>
      <c r="J670" s="53" t="str" cm="1">
        <f t="array" ref="J670">IFERROR(INDEX(DB!Q$2:Q$2576,T670),"")</f>
        <v/>
      </c>
      <c r="K670" s="43"/>
      <c r="L670" s="41" t="str" cm="1">
        <f t="array" ref="L670">IFERROR(INDEX(DB!R$2:R$2576,T670),"")</f>
        <v/>
      </c>
      <c r="M670" s="43"/>
      <c r="P670" t="str" cm="1">
        <f t="array" ref="P670">IFERROR(_xlfn.AGGREGATE(15,6,ROW(DB!A$2:A$2576)/((($D$3&lt;&gt;"YES")+($D$3="YES")*(DB!E$2:E$2576="YES"))*(($D$4="")+($D$4&lt;&gt;"")*( DB!B$2:B$2576=$D$4))*(($D$5="")+($D$5&lt;&gt;"")*( DB!C$2:C$2576=$D$5))*(($D$6="")+($D$6&lt;&gt;"")*( DB!D$2:D$2576=$D$6))*(($D$7="")+($D$7&lt;&gt;"")*(ISNUMBER(SEARCH($D$7,DB!G$2:G$2576))))*(($F$7="전체")+($F$7&lt;&gt;"전체")*(DB!H$2:H$2576=$F$7))),ROW()-13)-1,"")</f>
        <v/>
      </c>
      <c r="Q670" t="str" cm="1">
        <f t="array" ref="Q670">IFERROR(INDEX(DB!G$2:G$2576,P670),"")</f>
        <v/>
      </c>
      <c r="R670" t="str" cm="1">
        <f t="array" ref="R670">IFERROR(INDEX(DB!O$2:O$2576,P670),"")</f>
        <v/>
      </c>
      <c r="S670" t="str">
        <f t="shared" si="33"/>
        <v/>
      </c>
      <c r="T670" t="str">
        <f t="shared" si="34"/>
        <v/>
      </c>
    </row>
    <row r="671" spans="1:20" ht="100" customHeight="1">
      <c r="A671" s="26"/>
      <c r="B671" s="42" t="str">
        <f t="shared" si="32"/>
        <v/>
      </c>
      <c r="C671" s="43"/>
      <c r="D671" s="51" t="str" cm="1">
        <f t="array" ref="D671">IFERROR(INDEX(DB!G$2:G$2576,T671),"")</f>
        <v/>
      </c>
      <c r="E671" s="43"/>
      <c r="F671" s="52" t="str" cm="1">
        <f t="array" ref="F671">IFERROR(INDEX(DB!O$2:O$2576,T671),"")</f>
        <v/>
      </c>
      <c r="G671" s="43"/>
      <c r="H671" s="40" t="str" cm="1">
        <f t="array" ref="H671">IFERROR(INDEX(DB!P$2:P$2576,T671),"")</f>
        <v/>
      </c>
      <c r="I671" s="43"/>
      <c r="J671" s="53" t="str" cm="1">
        <f t="array" ref="J671">IFERROR(INDEX(DB!Q$2:Q$2576,T671),"")</f>
        <v/>
      </c>
      <c r="K671" s="43"/>
      <c r="L671" s="41" t="str" cm="1">
        <f t="array" ref="L671">IFERROR(INDEX(DB!R$2:R$2576,T671),"")</f>
        <v/>
      </c>
      <c r="M671" s="43"/>
      <c r="P671" t="str" cm="1">
        <f t="array" ref="P671">IFERROR(_xlfn.AGGREGATE(15,6,ROW(DB!A$2:A$2576)/((($D$3&lt;&gt;"YES")+($D$3="YES")*(DB!E$2:E$2576="YES"))*(($D$4="")+($D$4&lt;&gt;"")*( DB!B$2:B$2576=$D$4))*(($D$5="")+($D$5&lt;&gt;"")*( DB!C$2:C$2576=$D$5))*(($D$6="")+($D$6&lt;&gt;"")*( DB!D$2:D$2576=$D$6))*(($D$7="")+($D$7&lt;&gt;"")*(ISNUMBER(SEARCH($D$7,DB!G$2:G$2576))))*(($F$7="전체")+($F$7&lt;&gt;"전체")*(DB!H$2:H$2576=$F$7))),ROW()-13)-1,"")</f>
        <v/>
      </c>
      <c r="Q671" t="str" cm="1">
        <f t="array" ref="Q671">IFERROR(INDEX(DB!G$2:G$2576,P671),"")</f>
        <v/>
      </c>
      <c r="R671" t="str" cm="1">
        <f t="array" ref="R671">IFERROR(INDEX(DB!O$2:O$2576,P671),"")</f>
        <v/>
      </c>
      <c r="S671" t="str">
        <f t="shared" si="33"/>
        <v/>
      </c>
      <c r="T671" t="str">
        <f t="shared" si="34"/>
        <v/>
      </c>
    </row>
    <row r="672" spans="1:20" ht="100" customHeight="1">
      <c r="A672" s="26"/>
      <c r="B672" s="39" t="str">
        <f t="shared" si="32"/>
        <v/>
      </c>
      <c r="C672" s="43"/>
      <c r="D672" s="51" t="str" cm="1">
        <f t="array" ref="D672">IFERROR(INDEX(DB!G$2:G$2576,T672),"")</f>
        <v/>
      </c>
      <c r="E672" s="43"/>
      <c r="F672" s="52" t="str" cm="1">
        <f t="array" ref="F672">IFERROR(INDEX(DB!O$2:O$2576,T672),"")</f>
        <v/>
      </c>
      <c r="G672" s="43"/>
      <c r="H672" s="40" t="str" cm="1">
        <f t="array" ref="H672">IFERROR(INDEX(DB!P$2:P$2576,T672),"")</f>
        <v/>
      </c>
      <c r="I672" s="43"/>
      <c r="J672" s="53" t="str" cm="1">
        <f t="array" ref="J672">IFERROR(INDEX(DB!Q$2:Q$2576,T672),"")</f>
        <v/>
      </c>
      <c r="K672" s="43"/>
      <c r="L672" s="41" t="str" cm="1">
        <f t="array" ref="L672">IFERROR(INDEX(DB!R$2:R$2576,T672),"")</f>
        <v/>
      </c>
      <c r="M672" s="43"/>
      <c r="P672" t="str" cm="1">
        <f t="array" ref="P672">IFERROR(_xlfn.AGGREGATE(15,6,ROW(DB!A$2:A$2576)/((($D$3&lt;&gt;"YES")+($D$3="YES")*(DB!E$2:E$2576="YES"))*(($D$4="")+($D$4&lt;&gt;"")*( DB!B$2:B$2576=$D$4))*(($D$5="")+($D$5&lt;&gt;"")*( DB!C$2:C$2576=$D$5))*(($D$6="")+($D$6&lt;&gt;"")*( DB!D$2:D$2576=$D$6))*(($D$7="")+($D$7&lt;&gt;"")*(ISNUMBER(SEARCH($D$7,DB!G$2:G$2576))))*(($F$7="전체")+($F$7&lt;&gt;"전체")*(DB!H$2:H$2576=$F$7))),ROW()-13)-1,"")</f>
        <v/>
      </c>
      <c r="Q672" t="str" cm="1">
        <f t="array" ref="Q672">IFERROR(INDEX(DB!G$2:G$2576,P672),"")</f>
        <v/>
      </c>
      <c r="R672" t="str" cm="1">
        <f t="array" ref="R672">IFERROR(INDEX(DB!O$2:O$2576,P672),"")</f>
        <v/>
      </c>
      <c r="S672" t="str">
        <f t="shared" si="33"/>
        <v/>
      </c>
      <c r="T672" t="str">
        <f t="shared" si="34"/>
        <v/>
      </c>
    </row>
    <row r="673" spans="1:20" ht="100" customHeight="1">
      <c r="A673" s="26"/>
      <c r="B673" s="42" t="str">
        <f t="shared" si="32"/>
        <v/>
      </c>
      <c r="C673" s="43"/>
      <c r="D673" s="51" t="str" cm="1">
        <f t="array" ref="D673">IFERROR(INDEX(DB!G$2:G$2576,T673),"")</f>
        <v/>
      </c>
      <c r="E673" s="43"/>
      <c r="F673" s="52" t="str" cm="1">
        <f t="array" ref="F673">IFERROR(INDEX(DB!O$2:O$2576,T673),"")</f>
        <v/>
      </c>
      <c r="G673" s="43"/>
      <c r="H673" s="40" t="str" cm="1">
        <f t="array" ref="H673">IFERROR(INDEX(DB!P$2:P$2576,T673),"")</f>
        <v/>
      </c>
      <c r="I673" s="43"/>
      <c r="J673" s="53" t="str" cm="1">
        <f t="array" ref="J673">IFERROR(INDEX(DB!Q$2:Q$2576,T673),"")</f>
        <v/>
      </c>
      <c r="K673" s="43"/>
      <c r="L673" s="41" t="str" cm="1">
        <f t="array" ref="L673">IFERROR(INDEX(DB!R$2:R$2576,T673),"")</f>
        <v/>
      </c>
      <c r="M673" s="43"/>
      <c r="P673" t="str" cm="1">
        <f t="array" ref="P673">IFERROR(_xlfn.AGGREGATE(15,6,ROW(DB!A$2:A$2576)/((($D$3&lt;&gt;"YES")+($D$3="YES")*(DB!E$2:E$2576="YES"))*(($D$4="")+($D$4&lt;&gt;"")*( DB!B$2:B$2576=$D$4))*(($D$5="")+($D$5&lt;&gt;"")*( DB!C$2:C$2576=$D$5))*(($D$6="")+($D$6&lt;&gt;"")*( DB!D$2:D$2576=$D$6))*(($D$7="")+($D$7&lt;&gt;"")*(ISNUMBER(SEARCH($D$7,DB!G$2:G$2576))))*(($F$7="전체")+($F$7&lt;&gt;"전체")*(DB!H$2:H$2576=$F$7))),ROW()-13)-1,"")</f>
        <v/>
      </c>
      <c r="Q673" t="str" cm="1">
        <f t="array" ref="Q673">IFERROR(INDEX(DB!G$2:G$2576,P673),"")</f>
        <v/>
      </c>
      <c r="R673" t="str" cm="1">
        <f t="array" ref="R673">IFERROR(INDEX(DB!O$2:O$2576,P673),"")</f>
        <v/>
      </c>
      <c r="S673" t="str">
        <f t="shared" si="33"/>
        <v/>
      </c>
      <c r="T673" t="str">
        <f t="shared" si="34"/>
        <v/>
      </c>
    </row>
    <row r="674" spans="1:20" ht="100" customHeight="1">
      <c r="A674" s="26"/>
      <c r="B674" s="39" t="str">
        <f t="shared" si="32"/>
        <v/>
      </c>
      <c r="C674" s="43"/>
      <c r="D674" s="51" t="str" cm="1">
        <f t="array" ref="D674">IFERROR(INDEX(DB!G$2:G$2576,T674),"")</f>
        <v/>
      </c>
      <c r="E674" s="43"/>
      <c r="F674" s="52" t="str" cm="1">
        <f t="array" ref="F674">IFERROR(INDEX(DB!O$2:O$2576,T674),"")</f>
        <v/>
      </c>
      <c r="G674" s="43"/>
      <c r="H674" s="40" t="str" cm="1">
        <f t="array" ref="H674">IFERROR(INDEX(DB!P$2:P$2576,T674),"")</f>
        <v/>
      </c>
      <c r="I674" s="43"/>
      <c r="J674" s="53" t="str" cm="1">
        <f t="array" ref="J674">IFERROR(INDEX(DB!Q$2:Q$2576,T674),"")</f>
        <v/>
      </c>
      <c r="K674" s="43"/>
      <c r="L674" s="41" t="str" cm="1">
        <f t="array" ref="L674">IFERROR(INDEX(DB!R$2:R$2576,T674),"")</f>
        <v/>
      </c>
      <c r="M674" s="43"/>
      <c r="P674" t="str" cm="1">
        <f t="array" ref="P674">IFERROR(_xlfn.AGGREGATE(15,6,ROW(DB!A$2:A$2576)/((($D$3&lt;&gt;"YES")+($D$3="YES")*(DB!E$2:E$2576="YES"))*(($D$4="")+($D$4&lt;&gt;"")*( DB!B$2:B$2576=$D$4))*(($D$5="")+($D$5&lt;&gt;"")*( DB!C$2:C$2576=$D$5))*(($D$6="")+($D$6&lt;&gt;"")*( DB!D$2:D$2576=$D$6))*(($D$7="")+($D$7&lt;&gt;"")*(ISNUMBER(SEARCH($D$7,DB!G$2:G$2576))))*(($F$7="전체")+($F$7&lt;&gt;"전체")*(DB!H$2:H$2576=$F$7))),ROW()-13)-1,"")</f>
        <v/>
      </c>
      <c r="Q674" t="str" cm="1">
        <f t="array" ref="Q674">IFERROR(INDEX(DB!G$2:G$2576,P674),"")</f>
        <v/>
      </c>
      <c r="R674" t="str" cm="1">
        <f t="array" ref="R674">IFERROR(INDEX(DB!O$2:O$2576,P674),"")</f>
        <v/>
      </c>
      <c r="S674" t="str">
        <f t="shared" si="33"/>
        <v/>
      </c>
      <c r="T674" t="str">
        <f t="shared" si="34"/>
        <v/>
      </c>
    </row>
    <row r="675" spans="1:20" ht="100" customHeight="1">
      <c r="A675" s="26"/>
      <c r="B675" s="42" t="str">
        <f t="shared" si="32"/>
        <v/>
      </c>
      <c r="C675" s="43"/>
      <c r="D675" s="51" t="str" cm="1">
        <f t="array" ref="D675">IFERROR(INDEX(DB!G$2:G$2576,T675),"")</f>
        <v/>
      </c>
      <c r="E675" s="43"/>
      <c r="F675" s="52" t="str" cm="1">
        <f t="array" ref="F675">IFERROR(INDEX(DB!O$2:O$2576,T675),"")</f>
        <v/>
      </c>
      <c r="G675" s="43"/>
      <c r="H675" s="40" t="str" cm="1">
        <f t="array" ref="H675">IFERROR(INDEX(DB!P$2:P$2576,T675),"")</f>
        <v/>
      </c>
      <c r="I675" s="43"/>
      <c r="J675" s="53" t="str" cm="1">
        <f t="array" ref="J675">IFERROR(INDEX(DB!Q$2:Q$2576,T675),"")</f>
        <v/>
      </c>
      <c r="K675" s="43"/>
      <c r="L675" s="41" t="str" cm="1">
        <f t="array" ref="L675">IFERROR(INDEX(DB!R$2:R$2576,T675),"")</f>
        <v/>
      </c>
      <c r="M675" s="43"/>
      <c r="P675" t="str" cm="1">
        <f t="array" ref="P675">IFERROR(_xlfn.AGGREGATE(15,6,ROW(DB!A$2:A$2576)/((($D$3&lt;&gt;"YES")+($D$3="YES")*(DB!E$2:E$2576="YES"))*(($D$4="")+($D$4&lt;&gt;"")*( DB!B$2:B$2576=$D$4))*(($D$5="")+($D$5&lt;&gt;"")*( DB!C$2:C$2576=$D$5))*(($D$6="")+($D$6&lt;&gt;"")*( DB!D$2:D$2576=$D$6))*(($D$7="")+($D$7&lt;&gt;"")*(ISNUMBER(SEARCH($D$7,DB!G$2:G$2576))))*(($F$7="전체")+($F$7&lt;&gt;"전체")*(DB!H$2:H$2576=$F$7))),ROW()-13)-1,"")</f>
        <v/>
      </c>
      <c r="Q675" t="str" cm="1">
        <f t="array" ref="Q675">IFERROR(INDEX(DB!G$2:G$2576,P675),"")</f>
        <v/>
      </c>
      <c r="R675" t="str" cm="1">
        <f t="array" ref="R675">IFERROR(INDEX(DB!O$2:O$2576,P675),"")</f>
        <v/>
      </c>
      <c r="S675" t="str">
        <f t="shared" si="33"/>
        <v/>
      </c>
      <c r="T675" t="str">
        <f t="shared" si="34"/>
        <v/>
      </c>
    </row>
    <row r="676" spans="1:20" ht="100" customHeight="1">
      <c r="A676" s="26"/>
      <c r="B676" s="39" t="str">
        <f t="shared" si="32"/>
        <v/>
      </c>
      <c r="C676" s="43"/>
      <c r="D676" s="51" t="str" cm="1">
        <f t="array" ref="D676">IFERROR(INDEX(DB!G$2:G$2576,T676),"")</f>
        <v/>
      </c>
      <c r="E676" s="43"/>
      <c r="F676" s="52" t="str" cm="1">
        <f t="array" ref="F676">IFERROR(INDEX(DB!O$2:O$2576,T676),"")</f>
        <v/>
      </c>
      <c r="G676" s="43"/>
      <c r="H676" s="40" t="str" cm="1">
        <f t="array" ref="H676">IFERROR(INDEX(DB!P$2:P$2576,T676),"")</f>
        <v/>
      </c>
      <c r="I676" s="43"/>
      <c r="J676" s="53" t="str" cm="1">
        <f t="array" ref="J676">IFERROR(INDEX(DB!Q$2:Q$2576,T676),"")</f>
        <v/>
      </c>
      <c r="K676" s="43"/>
      <c r="L676" s="41" t="str" cm="1">
        <f t="array" ref="L676">IFERROR(INDEX(DB!R$2:R$2576,T676),"")</f>
        <v/>
      </c>
      <c r="M676" s="43"/>
      <c r="P676" t="str" cm="1">
        <f t="array" ref="P676">IFERROR(_xlfn.AGGREGATE(15,6,ROW(DB!A$2:A$2576)/((($D$3&lt;&gt;"YES")+($D$3="YES")*(DB!E$2:E$2576="YES"))*(($D$4="")+($D$4&lt;&gt;"")*( DB!B$2:B$2576=$D$4))*(($D$5="")+($D$5&lt;&gt;"")*( DB!C$2:C$2576=$D$5))*(($D$6="")+($D$6&lt;&gt;"")*( DB!D$2:D$2576=$D$6))*(($D$7="")+($D$7&lt;&gt;"")*(ISNUMBER(SEARCH($D$7,DB!G$2:G$2576))))*(($F$7="전체")+($F$7&lt;&gt;"전체")*(DB!H$2:H$2576=$F$7))),ROW()-13)-1,"")</f>
        <v/>
      </c>
      <c r="Q676" t="str" cm="1">
        <f t="array" ref="Q676">IFERROR(INDEX(DB!G$2:G$2576,P676),"")</f>
        <v/>
      </c>
      <c r="R676" t="str" cm="1">
        <f t="array" ref="R676">IFERROR(INDEX(DB!O$2:O$2576,P676),"")</f>
        <v/>
      </c>
      <c r="S676" t="str">
        <f t="shared" si="33"/>
        <v/>
      </c>
      <c r="T676" t="str">
        <f t="shared" si="34"/>
        <v/>
      </c>
    </row>
    <row r="677" spans="1:20" ht="100" customHeight="1">
      <c r="A677" s="26"/>
      <c r="B677" s="42" t="str">
        <f t="shared" si="32"/>
        <v/>
      </c>
      <c r="C677" s="43"/>
      <c r="D677" s="51" t="str" cm="1">
        <f t="array" ref="D677">IFERROR(INDEX(DB!G$2:G$2576,T677),"")</f>
        <v/>
      </c>
      <c r="E677" s="43"/>
      <c r="F677" s="52" t="str" cm="1">
        <f t="array" ref="F677">IFERROR(INDEX(DB!O$2:O$2576,T677),"")</f>
        <v/>
      </c>
      <c r="G677" s="43"/>
      <c r="H677" s="40" t="str" cm="1">
        <f t="array" ref="H677">IFERROR(INDEX(DB!P$2:P$2576,T677),"")</f>
        <v/>
      </c>
      <c r="I677" s="43"/>
      <c r="J677" s="53" t="str" cm="1">
        <f t="array" ref="J677">IFERROR(INDEX(DB!Q$2:Q$2576,T677),"")</f>
        <v/>
      </c>
      <c r="K677" s="43"/>
      <c r="L677" s="41" t="str" cm="1">
        <f t="array" ref="L677">IFERROR(INDEX(DB!R$2:R$2576,T677),"")</f>
        <v/>
      </c>
      <c r="M677" s="43"/>
      <c r="P677" t="str" cm="1">
        <f t="array" ref="P677">IFERROR(_xlfn.AGGREGATE(15,6,ROW(DB!A$2:A$2576)/((($D$3&lt;&gt;"YES")+($D$3="YES")*(DB!E$2:E$2576="YES"))*(($D$4="")+($D$4&lt;&gt;"")*( DB!B$2:B$2576=$D$4))*(($D$5="")+($D$5&lt;&gt;"")*( DB!C$2:C$2576=$D$5))*(($D$6="")+($D$6&lt;&gt;"")*( DB!D$2:D$2576=$D$6))*(($D$7="")+($D$7&lt;&gt;"")*(ISNUMBER(SEARCH($D$7,DB!G$2:G$2576))))*(($F$7="전체")+($F$7&lt;&gt;"전체")*(DB!H$2:H$2576=$F$7))),ROW()-13)-1,"")</f>
        <v/>
      </c>
      <c r="Q677" t="str" cm="1">
        <f t="array" ref="Q677">IFERROR(INDEX(DB!G$2:G$2576,P677),"")</f>
        <v/>
      </c>
      <c r="R677" t="str" cm="1">
        <f t="array" ref="R677">IFERROR(INDEX(DB!O$2:O$2576,P677),"")</f>
        <v/>
      </c>
      <c r="S677" t="str">
        <f t="shared" si="33"/>
        <v/>
      </c>
      <c r="T677" t="str">
        <f t="shared" si="34"/>
        <v/>
      </c>
    </row>
    <row r="678" spans="1:20" ht="100" customHeight="1">
      <c r="A678" s="26"/>
      <c r="B678" s="39" t="str">
        <f t="shared" si="32"/>
        <v/>
      </c>
      <c r="C678" s="43"/>
      <c r="D678" s="51" t="str" cm="1">
        <f t="array" ref="D678">IFERROR(INDEX(DB!G$2:G$2576,T678),"")</f>
        <v/>
      </c>
      <c r="E678" s="43"/>
      <c r="F678" s="52" t="str" cm="1">
        <f t="array" ref="F678">IFERROR(INDEX(DB!O$2:O$2576,T678),"")</f>
        <v/>
      </c>
      <c r="G678" s="43"/>
      <c r="H678" s="40" t="str" cm="1">
        <f t="array" ref="H678">IFERROR(INDEX(DB!P$2:P$2576,T678),"")</f>
        <v/>
      </c>
      <c r="I678" s="43"/>
      <c r="J678" s="53" t="str" cm="1">
        <f t="array" ref="J678">IFERROR(INDEX(DB!Q$2:Q$2576,T678),"")</f>
        <v/>
      </c>
      <c r="K678" s="43"/>
      <c r="L678" s="41" t="str" cm="1">
        <f t="array" ref="L678">IFERROR(INDEX(DB!R$2:R$2576,T678),"")</f>
        <v/>
      </c>
      <c r="M678" s="43"/>
      <c r="P678" t="str" cm="1">
        <f t="array" ref="P678">IFERROR(_xlfn.AGGREGATE(15,6,ROW(DB!A$2:A$2576)/((($D$3&lt;&gt;"YES")+($D$3="YES")*(DB!E$2:E$2576="YES"))*(($D$4="")+($D$4&lt;&gt;"")*( DB!B$2:B$2576=$D$4))*(($D$5="")+($D$5&lt;&gt;"")*( DB!C$2:C$2576=$D$5))*(($D$6="")+($D$6&lt;&gt;"")*( DB!D$2:D$2576=$D$6))*(($D$7="")+($D$7&lt;&gt;"")*(ISNUMBER(SEARCH($D$7,DB!G$2:G$2576))))*(($F$7="전체")+($F$7&lt;&gt;"전체")*(DB!H$2:H$2576=$F$7))),ROW()-13)-1,"")</f>
        <v/>
      </c>
      <c r="Q678" t="str" cm="1">
        <f t="array" ref="Q678">IFERROR(INDEX(DB!G$2:G$2576,P678),"")</f>
        <v/>
      </c>
      <c r="R678" t="str" cm="1">
        <f t="array" ref="R678">IFERROR(INDEX(DB!O$2:O$2576,P678),"")</f>
        <v/>
      </c>
      <c r="S678" t="str">
        <f t="shared" si="33"/>
        <v/>
      </c>
      <c r="T678" t="str">
        <f t="shared" si="34"/>
        <v/>
      </c>
    </row>
    <row r="679" spans="1:20" ht="100" customHeight="1">
      <c r="A679" s="26"/>
      <c r="B679" s="42" t="str">
        <f t="shared" si="32"/>
        <v/>
      </c>
      <c r="C679" s="43"/>
      <c r="D679" s="51" t="str" cm="1">
        <f t="array" ref="D679">IFERROR(INDEX(DB!G$2:G$2576,T679),"")</f>
        <v/>
      </c>
      <c r="E679" s="43"/>
      <c r="F679" s="52" t="str" cm="1">
        <f t="array" ref="F679">IFERROR(INDEX(DB!O$2:O$2576,T679),"")</f>
        <v/>
      </c>
      <c r="G679" s="43"/>
      <c r="H679" s="40" t="str" cm="1">
        <f t="array" ref="H679">IFERROR(INDEX(DB!P$2:P$2576,T679),"")</f>
        <v/>
      </c>
      <c r="I679" s="43"/>
      <c r="J679" s="53" t="str" cm="1">
        <f t="array" ref="J679">IFERROR(INDEX(DB!Q$2:Q$2576,T679),"")</f>
        <v/>
      </c>
      <c r="K679" s="43"/>
      <c r="L679" s="41" t="str" cm="1">
        <f t="array" ref="L679">IFERROR(INDEX(DB!R$2:R$2576,T679),"")</f>
        <v/>
      </c>
      <c r="M679" s="43"/>
      <c r="P679" t="str" cm="1">
        <f t="array" ref="P679">IFERROR(_xlfn.AGGREGATE(15,6,ROW(DB!A$2:A$2576)/((($D$3&lt;&gt;"YES")+($D$3="YES")*(DB!E$2:E$2576="YES"))*(($D$4="")+($D$4&lt;&gt;"")*( DB!B$2:B$2576=$D$4))*(($D$5="")+($D$5&lt;&gt;"")*( DB!C$2:C$2576=$D$5))*(($D$6="")+($D$6&lt;&gt;"")*( DB!D$2:D$2576=$D$6))*(($D$7="")+($D$7&lt;&gt;"")*(ISNUMBER(SEARCH($D$7,DB!G$2:G$2576))))*(($F$7="전체")+($F$7&lt;&gt;"전체")*(DB!H$2:H$2576=$F$7))),ROW()-13)-1,"")</f>
        <v/>
      </c>
      <c r="Q679" t="str" cm="1">
        <f t="array" ref="Q679">IFERROR(INDEX(DB!G$2:G$2576,P679),"")</f>
        <v/>
      </c>
      <c r="R679" t="str" cm="1">
        <f t="array" ref="R679">IFERROR(INDEX(DB!O$2:O$2576,P679),"")</f>
        <v/>
      </c>
      <c r="S679" t="str">
        <f t="shared" si="33"/>
        <v/>
      </c>
      <c r="T679" t="str">
        <f t="shared" si="34"/>
        <v/>
      </c>
    </row>
    <row r="680" spans="1:20" ht="100" customHeight="1">
      <c r="A680" s="26"/>
      <c r="B680" s="39" t="str">
        <f t="shared" si="32"/>
        <v/>
      </c>
      <c r="C680" s="43"/>
      <c r="D680" s="51" t="str" cm="1">
        <f t="array" ref="D680">IFERROR(INDEX(DB!G$2:G$2576,T680),"")</f>
        <v/>
      </c>
      <c r="E680" s="43"/>
      <c r="F680" s="52" t="str" cm="1">
        <f t="array" ref="F680">IFERROR(INDEX(DB!O$2:O$2576,T680),"")</f>
        <v/>
      </c>
      <c r="G680" s="43"/>
      <c r="H680" s="40" t="str" cm="1">
        <f t="array" ref="H680">IFERROR(INDEX(DB!P$2:P$2576,T680),"")</f>
        <v/>
      </c>
      <c r="I680" s="43"/>
      <c r="J680" s="53" t="str" cm="1">
        <f t="array" ref="J680">IFERROR(INDEX(DB!Q$2:Q$2576,T680),"")</f>
        <v/>
      </c>
      <c r="K680" s="43"/>
      <c r="L680" s="41" t="str" cm="1">
        <f t="array" ref="L680">IFERROR(INDEX(DB!R$2:R$2576,T680),"")</f>
        <v/>
      </c>
      <c r="M680" s="43"/>
      <c r="P680" t="str" cm="1">
        <f t="array" ref="P680">IFERROR(_xlfn.AGGREGATE(15,6,ROW(DB!A$2:A$2576)/((($D$3&lt;&gt;"YES")+($D$3="YES")*(DB!E$2:E$2576="YES"))*(($D$4="")+($D$4&lt;&gt;"")*( DB!B$2:B$2576=$D$4))*(($D$5="")+($D$5&lt;&gt;"")*( DB!C$2:C$2576=$D$5))*(($D$6="")+($D$6&lt;&gt;"")*( DB!D$2:D$2576=$D$6))*(($D$7="")+($D$7&lt;&gt;"")*(ISNUMBER(SEARCH($D$7,DB!G$2:G$2576))))*(($F$7="전체")+($F$7&lt;&gt;"전체")*(DB!H$2:H$2576=$F$7))),ROW()-13)-1,"")</f>
        <v/>
      </c>
      <c r="Q680" t="str" cm="1">
        <f t="array" ref="Q680">IFERROR(INDEX(DB!G$2:G$2576,P680),"")</f>
        <v/>
      </c>
      <c r="R680" t="str" cm="1">
        <f t="array" ref="R680">IFERROR(INDEX(DB!O$2:O$2576,P680),"")</f>
        <v/>
      </c>
      <c r="S680" t="str">
        <f t="shared" si="33"/>
        <v/>
      </c>
      <c r="T680" t="str">
        <f t="shared" si="34"/>
        <v/>
      </c>
    </row>
    <row r="681" spans="1:20" ht="100" customHeight="1">
      <c r="A681" s="26"/>
      <c r="B681" s="42" t="str">
        <f t="shared" si="32"/>
        <v/>
      </c>
      <c r="C681" s="43"/>
      <c r="D681" s="51" t="str" cm="1">
        <f t="array" ref="D681">IFERROR(INDEX(DB!G$2:G$2576,T681),"")</f>
        <v/>
      </c>
      <c r="E681" s="43"/>
      <c r="F681" s="52" t="str" cm="1">
        <f t="array" ref="F681">IFERROR(INDEX(DB!O$2:O$2576,T681),"")</f>
        <v/>
      </c>
      <c r="G681" s="43"/>
      <c r="H681" s="40" t="str" cm="1">
        <f t="array" ref="H681">IFERROR(INDEX(DB!P$2:P$2576,T681),"")</f>
        <v/>
      </c>
      <c r="I681" s="43"/>
      <c r="J681" s="53" t="str" cm="1">
        <f t="array" ref="J681">IFERROR(INDEX(DB!Q$2:Q$2576,T681),"")</f>
        <v/>
      </c>
      <c r="K681" s="43"/>
      <c r="L681" s="41" t="str" cm="1">
        <f t="array" ref="L681">IFERROR(INDEX(DB!R$2:R$2576,T681),"")</f>
        <v/>
      </c>
      <c r="M681" s="43"/>
      <c r="P681" t="str" cm="1">
        <f t="array" ref="P681">IFERROR(_xlfn.AGGREGATE(15,6,ROW(DB!A$2:A$2576)/((($D$3&lt;&gt;"YES")+($D$3="YES")*(DB!E$2:E$2576="YES"))*(($D$4="")+($D$4&lt;&gt;"")*( DB!B$2:B$2576=$D$4))*(($D$5="")+($D$5&lt;&gt;"")*( DB!C$2:C$2576=$D$5))*(($D$6="")+($D$6&lt;&gt;"")*( DB!D$2:D$2576=$D$6))*(($D$7="")+($D$7&lt;&gt;"")*(ISNUMBER(SEARCH($D$7,DB!G$2:G$2576))))*(($F$7="전체")+($F$7&lt;&gt;"전체")*(DB!H$2:H$2576=$F$7))),ROW()-13)-1,"")</f>
        <v/>
      </c>
      <c r="Q681" t="str" cm="1">
        <f t="array" ref="Q681">IFERROR(INDEX(DB!G$2:G$2576,P681),"")</f>
        <v/>
      </c>
      <c r="R681" t="str" cm="1">
        <f t="array" ref="R681">IFERROR(INDEX(DB!O$2:O$2576,P681),"")</f>
        <v/>
      </c>
      <c r="S681" t="str">
        <f t="shared" si="33"/>
        <v/>
      </c>
      <c r="T681" t="str">
        <f t="shared" si="34"/>
        <v/>
      </c>
    </row>
    <row r="682" spans="1:20" ht="100" customHeight="1">
      <c r="A682" s="26"/>
      <c r="B682" s="39" t="str">
        <f t="shared" si="32"/>
        <v/>
      </c>
      <c r="C682" s="43"/>
      <c r="D682" s="51" t="str" cm="1">
        <f t="array" ref="D682">IFERROR(INDEX(DB!G$2:G$2576,T682),"")</f>
        <v/>
      </c>
      <c r="E682" s="43"/>
      <c r="F682" s="52" t="str" cm="1">
        <f t="array" ref="F682">IFERROR(INDEX(DB!O$2:O$2576,T682),"")</f>
        <v/>
      </c>
      <c r="G682" s="43"/>
      <c r="H682" s="40" t="str" cm="1">
        <f t="array" ref="H682">IFERROR(INDEX(DB!P$2:P$2576,T682),"")</f>
        <v/>
      </c>
      <c r="I682" s="43"/>
      <c r="J682" s="53" t="str" cm="1">
        <f t="array" ref="J682">IFERROR(INDEX(DB!Q$2:Q$2576,T682),"")</f>
        <v/>
      </c>
      <c r="K682" s="43"/>
      <c r="L682" s="41" t="str" cm="1">
        <f t="array" ref="L682">IFERROR(INDEX(DB!R$2:R$2576,T682),"")</f>
        <v/>
      </c>
      <c r="M682" s="43"/>
      <c r="P682" t="str" cm="1">
        <f t="array" ref="P682">IFERROR(_xlfn.AGGREGATE(15,6,ROW(DB!A$2:A$2576)/((($D$3&lt;&gt;"YES")+($D$3="YES")*(DB!E$2:E$2576="YES"))*(($D$4="")+($D$4&lt;&gt;"")*( DB!B$2:B$2576=$D$4))*(($D$5="")+($D$5&lt;&gt;"")*( DB!C$2:C$2576=$D$5))*(($D$6="")+($D$6&lt;&gt;"")*( DB!D$2:D$2576=$D$6))*(($D$7="")+($D$7&lt;&gt;"")*(ISNUMBER(SEARCH($D$7,DB!G$2:G$2576))))*(($F$7="전체")+($F$7&lt;&gt;"전체")*(DB!H$2:H$2576=$F$7))),ROW()-13)-1,"")</f>
        <v/>
      </c>
      <c r="Q682" t="str" cm="1">
        <f t="array" ref="Q682">IFERROR(INDEX(DB!G$2:G$2576,P682),"")</f>
        <v/>
      </c>
      <c r="R682" t="str" cm="1">
        <f t="array" ref="R682">IFERROR(INDEX(DB!O$2:O$2576,P682),"")</f>
        <v/>
      </c>
      <c r="S682" t="str">
        <f t="shared" si="33"/>
        <v/>
      </c>
      <c r="T682" t="str">
        <f t="shared" si="34"/>
        <v/>
      </c>
    </row>
    <row r="683" spans="1:20" ht="100" customHeight="1">
      <c r="A683" s="26"/>
      <c r="B683" s="42" t="str">
        <f t="shared" si="32"/>
        <v/>
      </c>
      <c r="C683" s="43"/>
      <c r="D683" s="51" t="str" cm="1">
        <f t="array" ref="D683">IFERROR(INDEX(DB!G$2:G$2576,T683),"")</f>
        <v/>
      </c>
      <c r="E683" s="43"/>
      <c r="F683" s="52" t="str" cm="1">
        <f t="array" ref="F683">IFERROR(INDEX(DB!O$2:O$2576,T683),"")</f>
        <v/>
      </c>
      <c r="G683" s="43"/>
      <c r="H683" s="40" t="str" cm="1">
        <f t="array" ref="H683">IFERROR(INDEX(DB!P$2:P$2576,T683),"")</f>
        <v/>
      </c>
      <c r="I683" s="43"/>
      <c r="J683" s="53" t="str" cm="1">
        <f t="array" ref="J683">IFERROR(INDEX(DB!Q$2:Q$2576,T683),"")</f>
        <v/>
      </c>
      <c r="K683" s="43"/>
      <c r="L683" s="41" t="str" cm="1">
        <f t="array" ref="L683">IFERROR(INDEX(DB!R$2:R$2576,T683),"")</f>
        <v/>
      </c>
      <c r="M683" s="43"/>
      <c r="P683" t="str" cm="1">
        <f t="array" ref="P683">IFERROR(_xlfn.AGGREGATE(15,6,ROW(DB!A$2:A$2576)/((($D$3&lt;&gt;"YES")+($D$3="YES")*(DB!E$2:E$2576="YES"))*(($D$4="")+($D$4&lt;&gt;"")*( DB!B$2:B$2576=$D$4))*(($D$5="")+($D$5&lt;&gt;"")*( DB!C$2:C$2576=$D$5))*(($D$6="")+($D$6&lt;&gt;"")*( DB!D$2:D$2576=$D$6))*(($D$7="")+($D$7&lt;&gt;"")*(ISNUMBER(SEARCH($D$7,DB!G$2:G$2576))))*(($F$7="전체")+($F$7&lt;&gt;"전체")*(DB!H$2:H$2576=$F$7))),ROW()-13)-1,"")</f>
        <v/>
      </c>
      <c r="Q683" t="str" cm="1">
        <f t="array" ref="Q683">IFERROR(INDEX(DB!G$2:G$2576,P683),"")</f>
        <v/>
      </c>
      <c r="R683" t="str" cm="1">
        <f t="array" ref="R683">IFERROR(INDEX(DB!O$2:O$2576,P683),"")</f>
        <v/>
      </c>
      <c r="S683" t="str">
        <f t="shared" si="33"/>
        <v/>
      </c>
      <c r="T683" t="str">
        <f t="shared" si="34"/>
        <v/>
      </c>
    </row>
    <row r="684" spans="1:20" ht="100" customHeight="1">
      <c r="A684" s="26"/>
      <c r="B684" s="39" t="str">
        <f t="shared" si="32"/>
        <v/>
      </c>
      <c r="C684" s="43"/>
      <c r="D684" s="51" t="str" cm="1">
        <f t="array" ref="D684">IFERROR(INDEX(DB!G$2:G$2576,T684),"")</f>
        <v/>
      </c>
      <c r="E684" s="43"/>
      <c r="F684" s="52" t="str" cm="1">
        <f t="array" ref="F684">IFERROR(INDEX(DB!O$2:O$2576,T684),"")</f>
        <v/>
      </c>
      <c r="G684" s="43"/>
      <c r="H684" s="40" t="str" cm="1">
        <f t="array" ref="H684">IFERROR(INDEX(DB!P$2:P$2576,T684),"")</f>
        <v/>
      </c>
      <c r="I684" s="43"/>
      <c r="J684" s="53" t="str" cm="1">
        <f t="array" ref="J684">IFERROR(INDEX(DB!Q$2:Q$2576,T684),"")</f>
        <v/>
      </c>
      <c r="K684" s="43"/>
      <c r="L684" s="41" t="str" cm="1">
        <f t="array" ref="L684">IFERROR(INDEX(DB!R$2:R$2576,T684),"")</f>
        <v/>
      </c>
      <c r="M684" s="43"/>
      <c r="P684" t="str" cm="1">
        <f t="array" ref="P684">IFERROR(_xlfn.AGGREGATE(15,6,ROW(DB!A$2:A$2576)/((($D$3&lt;&gt;"YES")+($D$3="YES")*(DB!E$2:E$2576="YES"))*(($D$4="")+($D$4&lt;&gt;"")*( DB!B$2:B$2576=$D$4))*(($D$5="")+($D$5&lt;&gt;"")*( DB!C$2:C$2576=$D$5))*(($D$6="")+($D$6&lt;&gt;"")*( DB!D$2:D$2576=$D$6))*(($D$7="")+($D$7&lt;&gt;"")*(ISNUMBER(SEARCH($D$7,DB!G$2:G$2576))))*(($F$7="전체")+($F$7&lt;&gt;"전체")*(DB!H$2:H$2576=$F$7))),ROW()-13)-1,"")</f>
        <v/>
      </c>
      <c r="Q684" t="str" cm="1">
        <f t="array" ref="Q684">IFERROR(INDEX(DB!G$2:G$2576,P684),"")</f>
        <v/>
      </c>
      <c r="R684" t="str" cm="1">
        <f t="array" ref="R684">IFERROR(INDEX(DB!O$2:O$2576,P684),"")</f>
        <v/>
      </c>
      <c r="S684" t="str">
        <f t="shared" si="33"/>
        <v/>
      </c>
      <c r="T684" t="str">
        <f t="shared" si="34"/>
        <v/>
      </c>
    </row>
    <row r="685" spans="1:20" ht="100" customHeight="1">
      <c r="A685" s="26"/>
      <c r="B685" s="42" t="str">
        <f t="shared" si="32"/>
        <v/>
      </c>
      <c r="C685" s="43"/>
      <c r="D685" s="51" t="str" cm="1">
        <f t="array" ref="D685">IFERROR(INDEX(DB!G$2:G$2576,T685),"")</f>
        <v/>
      </c>
      <c r="E685" s="43"/>
      <c r="F685" s="52" t="str" cm="1">
        <f t="array" ref="F685">IFERROR(INDEX(DB!O$2:O$2576,T685),"")</f>
        <v/>
      </c>
      <c r="G685" s="43"/>
      <c r="H685" s="40" t="str" cm="1">
        <f t="array" ref="H685">IFERROR(INDEX(DB!P$2:P$2576,T685),"")</f>
        <v/>
      </c>
      <c r="I685" s="43"/>
      <c r="J685" s="53" t="str" cm="1">
        <f t="array" ref="J685">IFERROR(INDEX(DB!Q$2:Q$2576,T685),"")</f>
        <v/>
      </c>
      <c r="K685" s="43"/>
      <c r="L685" s="41" t="str" cm="1">
        <f t="array" ref="L685">IFERROR(INDEX(DB!R$2:R$2576,T685),"")</f>
        <v/>
      </c>
      <c r="M685" s="43"/>
      <c r="P685" t="str" cm="1">
        <f t="array" ref="P685">IFERROR(_xlfn.AGGREGATE(15,6,ROW(DB!A$2:A$2576)/((($D$3&lt;&gt;"YES")+($D$3="YES")*(DB!E$2:E$2576="YES"))*(($D$4="")+($D$4&lt;&gt;"")*( DB!B$2:B$2576=$D$4))*(($D$5="")+($D$5&lt;&gt;"")*( DB!C$2:C$2576=$D$5))*(($D$6="")+($D$6&lt;&gt;"")*( DB!D$2:D$2576=$D$6))*(($D$7="")+($D$7&lt;&gt;"")*(ISNUMBER(SEARCH($D$7,DB!G$2:G$2576))))*(($F$7="전체")+($F$7&lt;&gt;"전체")*(DB!H$2:H$2576=$F$7))),ROW()-13)-1,"")</f>
        <v/>
      </c>
      <c r="Q685" t="str" cm="1">
        <f t="array" ref="Q685">IFERROR(INDEX(DB!G$2:G$2576,P685),"")</f>
        <v/>
      </c>
      <c r="R685" t="str" cm="1">
        <f t="array" ref="R685">IFERROR(INDEX(DB!O$2:O$2576,P685),"")</f>
        <v/>
      </c>
      <c r="S685" t="str">
        <f t="shared" si="33"/>
        <v/>
      </c>
      <c r="T685" t="str">
        <f t="shared" si="34"/>
        <v/>
      </c>
    </row>
    <row r="686" spans="1:20" ht="100" customHeight="1">
      <c r="A686" s="26"/>
      <c r="B686" s="39" t="str">
        <f t="shared" si="32"/>
        <v/>
      </c>
      <c r="C686" s="43"/>
      <c r="D686" s="51" t="str" cm="1">
        <f t="array" ref="D686">IFERROR(INDEX(DB!G$2:G$2576,T686),"")</f>
        <v/>
      </c>
      <c r="E686" s="43"/>
      <c r="F686" s="52" t="str" cm="1">
        <f t="array" ref="F686">IFERROR(INDEX(DB!O$2:O$2576,T686),"")</f>
        <v/>
      </c>
      <c r="G686" s="43"/>
      <c r="H686" s="40" t="str" cm="1">
        <f t="array" ref="H686">IFERROR(INDEX(DB!P$2:P$2576,T686),"")</f>
        <v/>
      </c>
      <c r="I686" s="43"/>
      <c r="J686" s="53" t="str" cm="1">
        <f t="array" ref="J686">IFERROR(INDEX(DB!Q$2:Q$2576,T686),"")</f>
        <v/>
      </c>
      <c r="K686" s="43"/>
      <c r="L686" s="41" t="str" cm="1">
        <f t="array" ref="L686">IFERROR(INDEX(DB!R$2:R$2576,T686),"")</f>
        <v/>
      </c>
      <c r="M686" s="43"/>
      <c r="P686" t="str" cm="1">
        <f t="array" ref="P686">IFERROR(_xlfn.AGGREGATE(15,6,ROW(DB!A$2:A$2576)/((($D$3&lt;&gt;"YES")+($D$3="YES")*(DB!E$2:E$2576="YES"))*(($D$4="")+($D$4&lt;&gt;"")*( DB!B$2:B$2576=$D$4))*(($D$5="")+($D$5&lt;&gt;"")*( DB!C$2:C$2576=$D$5))*(($D$6="")+($D$6&lt;&gt;"")*( DB!D$2:D$2576=$D$6))*(($D$7="")+($D$7&lt;&gt;"")*(ISNUMBER(SEARCH($D$7,DB!G$2:G$2576))))*(($F$7="전체")+($F$7&lt;&gt;"전체")*(DB!H$2:H$2576=$F$7))),ROW()-13)-1,"")</f>
        <v/>
      </c>
      <c r="Q686" t="str" cm="1">
        <f t="array" ref="Q686">IFERROR(INDEX(DB!G$2:G$2576,P686),"")</f>
        <v/>
      </c>
      <c r="R686" t="str" cm="1">
        <f t="array" ref="R686">IFERROR(INDEX(DB!O$2:O$2576,P686),"")</f>
        <v/>
      </c>
      <c r="S686" t="str">
        <f t="shared" si="33"/>
        <v/>
      </c>
      <c r="T686" t="str">
        <f t="shared" si="34"/>
        <v/>
      </c>
    </row>
    <row r="687" spans="1:20" ht="100" customHeight="1">
      <c r="A687" s="26"/>
      <c r="B687" s="42" t="str">
        <f t="shared" si="32"/>
        <v/>
      </c>
      <c r="C687" s="43"/>
      <c r="D687" s="51" t="str" cm="1">
        <f t="array" ref="D687">IFERROR(INDEX(DB!G$2:G$2576,T687),"")</f>
        <v/>
      </c>
      <c r="E687" s="43"/>
      <c r="F687" s="52" t="str" cm="1">
        <f t="array" ref="F687">IFERROR(INDEX(DB!O$2:O$2576,T687),"")</f>
        <v/>
      </c>
      <c r="G687" s="43"/>
      <c r="H687" s="40" t="str" cm="1">
        <f t="array" ref="H687">IFERROR(INDEX(DB!P$2:P$2576,T687),"")</f>
        <v/>
      </c>
      <c r="I687" s="43"/>
      <c r="J687" s="53" t="str" cm="1">
        <f t="array" ref="J687">IFERROR(INDEX(DB!Q$2:Q$2576,T687),"")</f>
        <v/>
      </c>
      <c r="K687" s="43"/>
      <c r="L687" s="41" t="str" cm="1">
        <f t="array" ref="L687">IFERROR(INDEX(DB!R$2:R$2576,T687),"")</f>
        <v/>
      </c>
      <c r="M687" s="43"/>
      <c r="P687" t="str" cm="1">
        <f t="array" ref="P687">IFERROR(_xlfn.AGGREGATE(15,6,ROW(DB!A$2:A$2576)/((($D$3&lt;&gt;"YES")+($D$3="YES")*(DB!E$2:E$2576="YES"))*(($D$4="")+($D$4&lt;&gt;"")*( DB!B$2:B$2576=$D$4))*(($D$5="")+($D$5&lt;&gt;"")*( DB!C$2:C$2576=$D$5))*(($D$6="")+($D$6&lt;&gt;"")*( DB!D$2:D$2576=$D$6))*(($D$7="")+($D$7&lt;&gt;"")*(ISNUMBER(SEARCH($D$7,DB!G$2:G$2576))))*(($F$7="전체")+($F$7&lt;&gt;"전체")*(DB!H$2:H$2576=$F$7))),ROW()-13)-1,"")</f>
        <v/>
      </c>
      <c r="Q687" t="str" cm="1">
        <f t="array" ref="Q687">IFERROR(INDEX(DB!G$2:G$2576,P687),"")</f>
        <v/>
      </c>
      <c r="R687" t="str" cm="1">
        <f t="array" ref="R687">IFERROR(INDEX(DB!O$2:O$2576,P687),"")</f>
        <v/>
      </c>
      <c r="S687" t="str">
        <f t="shared" si="33"/>
        <v/>
      </c>
      <c r="T687" t="str">
        <f t="shared" si="34"/>
        <v/>
      </c>
    </row>
    <row r="688" spans="1:20" ht="100" customHeight="1">
      <c r="A688" s="26"/>
      <c r="B688" s="39" t="str">
        <f t="shared" si="32"/>
        <v/>
      </c>
      <c r="C688" s="43"/>
      <c r="D688" s="51" t="str" cm="1">
        <f t="array" ref="D688">IFERROR(INDEX(DB!G$2:G$2576,T688),"")</f>
        <v/>
      </c>
      <c r="E688" s="43"/>
      <c r="F688" s="52" t="str" cm="1">
        <f t="array" ref="F688">IFERROR(INDEX(DB!O$2:O$2576,T688),"")</f>
        <v/>
      </c>
      <c r="G688" s="43"/>
      <c r="H688" s="40" t="str" cm="1">
        <f t="array" ref="H688">IFERROR(INDEX(DB!P$2:P$2576,T688),"")</f>
        <v/>
      </c>
      <c r="I688" s="43"/>
      <c r="J688" s="53" t="str" cm="1">
        <f t="array" ref="J688">IFERROR(INDEX(DB!Q$2:Q$2576,T688),"")</f>
        <v/>
      </c>
      <c r="K688" s="43"/>
      <c r="L688" s="41" t="str" cm="1">
        <f t="array" ref="L688">IFERROR(INDEX(DB!R$2:R$2576,T688),"")</f>
        <v/>
      </c>
      <c r="M688" s="43"/>
      <c r="P688" t="str" cm="1">
        <f t="array" ref="P688">IFERROR(_xlfn.AGGREGATE(15,6,ROW(DB!A$2:A$2576)/((($D$3&lt;&gt;"YES")+($D$3="YES")*(DB!E$2:E$2576="YES"))*(($D$4="")+($D$4&lt;&gt;"")*( DB!B$2:B$2576=$D$4))*(($D$5="")+($D$5&lt;&gt;"")*( DB!C$2:C$2576=$D$5))*(($D$6="")+($D$6&lt;&gt;"")*( DB!D$2:D$2576=$D$6))*(($D$7="")+($D$7&lt;&gt;"")*(ISNUMBER(SEARCH($D$7,DB!G$2:G$2576))))*(($F$7="전체")+($F$7&lt;&gt;"전체")*(DB!H$2:H$2576=$F$7))),ROW()-13)-1,"")</f>
        <v/>
      </c>
      <c r="Q688" t="str" cm="1">
        <f t="array" ref="Q688">IFERROR(INDEX(DB!G$2:G$2576,P688),"")</f>
        <v/>
      </c>
      <c r="R688" t="str" cm="1">
        <f t="array" ref="R688">IFERROR(INDEX(DB!O$2:O$2576,P688),"")</f>
        <v/>
      </c>
      <c r="S688" t="str">
        <f t="shared" si="33"/>
        <v/>
      </c>
      <c r="T688" t="str">
        <f t="shared" si="34"/>
        <v/>
      </c>
    </row>
    <row r="689" spans="1:20" ht="100" customHeight="1">
      <c r="A689" s="26"/>
      <c r="B689" s="42" t="str">
        <f t="shared" si="32"/>
        <v/>
      </c>
      <c r="C689" s="43"/>
      <c r="D689" s="51" t="str" cm="1">
        <f t="array" ref="D689">IFERROR(INDEX(DB!G$2:G$2576,T689),"")</f>
        <v/>
      </c>
      <c r="E689" s="43"/>
      <c r="F689" s="52" t="str" cm="1">
        <f t="array" ref="F689">IFERROR(INDEX(DB!O$2:O$2576,T689),"")</f>
        <v/>
      </c>
      <c r="G689" s="43"/>
      <c r="H689" s="40" t="str" cm="1">
        <f t="array" ref="H689">IFERROR(INDEX(DB!P$2:P$2576,T689),"")</f>
        <v/>
      </c>
      <c r="I689" s="43"/>
      <c r="J689" s="53" t="str" cm="1">
        <f t="array" ref="J689">IFERROR(INDEX(DB!Q$2:Q$2576,T689),"")</f>
        <v/>
      </c>
      <c r="K689" s="43"/>
      <c r="L689" s="41" t="str" cm="1">
        <f t="array" ref="L689">IFERROR(INDEX(DB!R$2:R$2576,T689),"")</f>
        <v/>
      </c>
      <c r="M689" s="43"/>
      <c r="P689" t="str" cm="1">
        <f t="array" ref="P689">IFERROR(_xlfn.AGGREGATE(15,6,ROW(DB!A$2:A$2576)/((($D$3&lt;&gt;"YES")+($D$3="YES")*(DB!E$2:E$2576="YES"))*(($D$4="")+($D$4&lt;&gt;"")*( DB!B$2:B$2576=$D$4))*(($D$5="")+($D$5&lt;&gt;"")*( DB!C$2:C$2576=$D$5))*(($D$6="")+($D$6&lt;&gt;"")*( DB!D$2:D$2576=$D$6))*(($D$7="")+($D$7&lt;&gt;"")*(ISNUMBER(SEARCH($D$7,DB!G$2:G$2576))))*(($F$7="전체")+($F$7&lt;&gt;"전체")*(DB!H$2:H$2576=$F$7))),ROW()-13)-1,"")</f>
        <v/>
      </c>
      <c r="Q689" t="str" cm="1">
        <f t="array" ref="Q689">IFERROR(INDEX(DB!G$2:G$2576,P689),"")</f>
        <v/>
      </c>
      <c r="R689" t="str" cm="1">
        <f t="array" ref="R689">IFERROR(INDEX(DB!O$2:O$2576,P689),"")</f>
        <v/>
      </c>
      <c r="S689" t="str">
        <f t="shared" si="33"/>
        <v/>
      </c>
      <c r="T689" t="str">
        <f t="shared" si="34"/>
        <v/>
      </c>
    </row>
    <row r="690" spans="1:20" ht="100" customHeight="1">
      <c r="A690" s="26"/>
      <c r="B690" s="39" t="str">
        <f t="shared" si="32"/>
        <v/>
      </c>
      <c r="C690" s="43"/>
      <c r="D690" s="51" t="str" cm="1">
        <f t="array" ref="D690">IFERROR(INDEX(DB!G$2:G$2576,T690),"")</f>
        <v/>
      </c>
      <c r="E690" s="43"/>
      <c r="F690" s="52" t="str" cm="1">
        <f t="array" ref="F690">IFERROR(INDEX(DB!O$2:O$2576,T690),"")</f>
        <v/>
      </c>
      <c r="G690" s="43"/>
      <c r="H690" s="40" t="str" cm="1">
        <f t="array" ref="H690">IFERROR(INDEX(DB!P$2:P$2576,T690),"")</f>
        <v/>
      </c>
      <c r="I690" s="43"/>
      <c r="J690" s="53" t="str" cm="1">
        <f t="array" ref="J690">IFERROR(INDEX(DB!Q$2:Q$2576,T690),"")</f>
        <v/>
      </c>
      <c r="K690" s="43"/>
      <c r="L690" s="41" t="str" cm="1">
        <f t="array" ref="L690">IFERROR(INDEX(DB!R$2:R$2576,T690),"")</f>
        <v/>
      </c>
      <c r="M690" s="43"/>
      <c r="P690" t="str" cm="1">
        <f t="array" ref="P690">IFERROR(_xlfn.AGGREGATE(15,6,ROW(DB!A$2:A$2576)/((($D$3&lt;&gt;"YES")+($D$3="YES")*(DB!E$2:E$2576="YES"))*(($D$4="")+($D$4&lt;&gt;"")*( DB!B$2:B$2576=$D$4))*(($D$5="")+($D$5&lt;&gt;"")*( DB!C$2:C$2576=$D$5))*(($D$6="")+($D$6&lt;&gt;"")*( DB!D$2:D$2576=$D$6))*(($D$7="")+($D$7&lt;&gt;"")*(ISNUMBER(SEARCH($D$7,DB!G$2:G$2576))))*(($F$7="전체")+($F$7&lt;&gt;"전체")*(DB!H$2:H$2576=$F$7))),ROW()-13)-1,"")</f>
        <v/>
      </c>
      <c r="Q690" t="str" cm="1">
        <f t="array" ref="Q690">IFERROR(INDEX(DB!G$2:G$2576,P690),"")</f>
        <v/>
      </c>
      <c r="R690" t="str" cm="1">
        <f t="array" ref="R690">IFERROR(INDEX(DB!O$2:O$2576,P690),"")</f>
        <v/>
      </c>
      <c r="S690" t="str">
        <f t="shared" si="33"/>
        <v/>
      </c>
      <c r="T690" t="str">
        <f t="shared" si="34"/>
        <v/>
      </c>
    </row>
    <row r="691" spans="1:20" ht="100" customHeight="1">
      <c r="A691" s="26"/>
      <c r="B691" s="42" t="str">
        <f t="shared" si="32"/>
        <v/>
      </c>
      <c r="C691" s="43"/>
      <c r="D691" s="51" t="str" cm="1">
        <f t="array" ref="D691">IFERROR(INDEX(DB!G$2:G$2576,T691),"")</f>
        <v/>
      </c>
      <c r="E691" s="43"/>
      <c r="F691" s="52" t="str" cm="1">
        <f t="array" ref="F691">IFERROR(INDEX(DB!O$2:O$2576,T691),"")</f>
        <v/>
      </c>
      <c r="G691" s="43"/>
      <c r="H691" s="40" t="str" cm="1">
        <f t="array" ref="H691">IFERROR(INDEX(DB!P$2:P$2576,T691),"")</f>
        <v/>
      </c>
      <c r="I691" s="43"/>
      <c r="J691" s="53" t="str" cm="1">
        <f t="array" ref="J691">IFERROR(INDEX(DB!Q$2:Q$2576,T691),"")</f>
        <v/>
      </c>
      <c r="K691" s="43"/>
      <c r="L691" s="41" t="str" cm="1">
        <f t="array" ref="L691">IFERROR(INDEX(DB!R$2:R$2576,T691),"")</f>
        <v/>
      </c>
      <c r="M691" s="43"/>
      <c r="P691" t="str" cm="1">
        <f t="array" ref="P691">IFERROR(_xlfn.AGGREGATE(15,6,ROW(DB!A$2:A$2576)/((($D$3&lt;&gt;"YES")+($D$3="YES")*(DB!E$2:E$2576="YES"))*(($D$4="")+($D$4&lt;&gt;"")*( DB!B$2:B$2576=$D$4))*(($D$5="")+($D$5&lt;&gt;"")*( DB!C$2:C$2576=$D$5))*(($D$6="")+($D$6&lt;&gt;"")*( DB!D$2:D$2576=$D$6))*(($D$7="")+($D$7&lt;&gt;"")*(ISNUMBER(SEARCH($D$7,DB!G$2:G$2576))))*(($F$7="전체")+($F$7&lt;&gt;"전체")*(DB!H$2:H$2576=$F$7))),ROW()-13)-1,"")</f>
        <v/>
      </c>
      <c r="Q691" t="str" cm="1">
        <f t="array" ref="Q691">IFERROR(INDEX(DB!G$2:G$2576,P691),"")</f>
        <v/>
      </c>
      <c r="R691" t="str" cm="1">
        <f t="array" ref="R691">IFERROR(INDEX(DB!O$2:O$2576,P691),"")</f>
        <v/>
      </c>
      <c r="S691" t="str">
        <f t="shared" si="33"/>
        <v/>
      </c>
      <c r="T691" t="str">
        <f t="shared" si="34"/>
        <v/>
      </c>
    </row>
    <row r="692" spans="1:20" ht="100" customHeight="1">
      <c r="A692" s="26"/>
      <c r="B692" s="39" t="str">
        <f t="shared" si="32"/>
        <v/>
      </c>
      <c r="C692" s="43"/>
      <c r="D692" s="51" t="str" cm="1">
        <f t="array" ref="D692">IFERROR(INDEX(DB!G$2:G$2576,T692),"")</f>
        <v/>
      </c>
      <c r="E692" s="43"/>
      <c r="F692" s="52" t="str" cm="1">
        <f t="array" ref="F692">IFERROR(INDEX(DB!O$2:O$2576,T692),"")</f>
        <v/>
      </c>
      <c r="G692" s="43"/>
      <c r="H692" s="40" t="str" cm="1">
        <f t="array" ref="H692">IFERROR(INDEX(DB!P$2:P$2576,T692),"")</f>
        <v/>
      </c>
      <c r="I692" s="43"/>
      <c r="J692" s="53" t="str" cm="1">
        <f t="array" ref="J692">IFERROR(INDEX(DB!Q$2:Q$2576,T692),"")</f>
        <v/>
      </c>
      <c r="K692" s="43"/>
      <c r="L692" s="41" t="str" cm="1">
        <f t="array" ref="L692">IFERROR(INDEX(DB!R$2:R$2576,T692),"")</f>
        <v/>
      </c>
      <c r="M692" s="43"/>
      <c r="P692" t="str" cm="1">
        <f t="array" ref="P692">IFERROR(_xlfn.AGGREGATE(15,6,ROW(DB!A$2:A$2576)/((($D$3&lt;&gt;"YES")+($D$3="YES")*(DB!E$2:E$2576="YES"))*(($D$4="")+($D$4&lt;&gt;"")*( DB!B$2:B$2576=$D$4))*(($D$5="")+($D$5&lt;&gt;"")*( DB!C$2:C$2576=$D$5))*(($D$6="")+($D$6&lt;&gt;"")*( DB!D$2:D$2576=$D$6))*(($D$7="")+($D$7&lt;&gt;"")*(ISNUMBER(SEARCH($D$7,DB!G$2:G$2576))))*(($F$7="전체")+($F$7&lt;&gt;"전체")*(DB!H$2:H$2576=$F$7))),ROW()-13)-1,"")</f>
        <v/>
      </c>
      <c r="Q692" t="str" cm="1">
        <f t="array" ref="Q692">IFERROR(INDEX(DB!G$2:G$2576,P692),"")</f>
        <v/>
      </c>
      <c r="R692" t="str" cm="1">
        <f t="array" ref="R692">IFERROR(INDEX(DB!O$2:O$2576,P692),"")</f>
        <v/>
      </c>
      <c r="S692" t="str">
        <f t="shared" si="33"/>
        <v/>
      </c>
      <c r="T692" t="str">
        <f t="shared" si="34"/>
        <v/>
      </c>
    </row>
    <row r="693" spans="1:20" ht="100" customHeight="1">
      <c r="A693" s="26"/>
      <c r="B693" s="42" t="str">
        <f t="shared" si="32"/>
        <v/>
      </c>
      <c r="C693" s="43"/>
      <c r="D693" s="51" t="str" cm="1">
        <f t="array" ref="D693">IFERROR(INDEX(DB!G$2:G$2576,T693),"")</f>
        <v/>
      </c>
      <c r="E693" s="43"/>
      <c r="F693" s="52" t="str" cm="1">
        <f t="array" ref="F693">IFERROR(INDEX(DB!O$2:O$2576,T693),"")</f>
        <v/>
      </c>
      <c r="G693" s="43"/>
      <c r="H693" s="40" t="str" cm="1">
        <f t="array" ref="H693">IFERROR(INDEX(DB!P$2:P$2576,T693),"")</f>
        <v/>
      </c>
      <c r="I693" s="43"/>
      <c r="J693" s="53" t="str" cm="1">
        <f t="array" ref="J693">IFERROR(INDEX(DB!Q$2:Q$2576,T693),"")</f>
        <v/>
      </c>
      <c r="K693" s="43"/>
      <c r="L693" s="41" t="str" cm="1">
        <f t="array" ref="L693">IFERROR(INDEX(DB!R$2:R$2576,T693),"")</f>
        <v/>
      </c>
      <c r="M693" s="43"/>
      <c r="P693" t="str" cm="1">
        <f t="array" ref="P693">IFERROR(_xlfn.AGGREGATE(15,6,ROW(DB!A$2:A$2576)/((($D$3&lt;&gt;"YES")+($D$3="YES")*(DB!E$2:E$2576="YES"))*(($D$4="")+($D$4&lt;&gt;"")*( DB!B$2:B$2576=$D$4))*(($D$5="")+($D$5&lt;&gt;"")*( DB!C$2:C$2576=$D$5))*(($D$6="")+($D$6&lt;&gt;"")*( DB!D$2:D$2576=$D$6))*(($D$7="")+($D$7&lt;&gt;"")*(ISNUMBER(SEARCH($D$7,DB!G$2:G$2576))))*(($F$7="전체")+($F$7&lt;&gt;"전체")*(DB!H$2:H$2576=$F$7))),ROW()-13)-1,"")</f>
        <v/>
      </c>
      <c r="Q693" t="str" cm="1">
        <f t="array" ref="Q693">IFERROR(INDEX(DB!G$2:G$2576,P693),"")</f>
        <v/>
      </c>
      <c r="R693" t="str" cm="1">
        <f t="array" ref="R693">IFERROR(INDEX(DB!O$2:O$2576,P693),"")</f>
        <v/>
      </c>
      <c r="S693" t="str">
        <f t="shared" si="33"/>
        <v/>
      </c>
      <c r="T693" t="str">
        <f t="shared" si="34"/>
        <v/>
      </c>
    </row>
    <row r="694" spans="1:20" ht="100" customHeight="1">
      <c r="A694" s="26"/>
      <c r="B694" s="39" t="str">
        <f t="shared" si="32"/>
        <v/>
      </c>
      <c r="C694" s="43"/>
      <c r="D694" s="51" t="str" cm="1">
        <f t="array" ref="D694">IFERROR(INDEX(DB!G$2:G$2576,T694),"")</f>
        <v/>
      </c>
      <c r="E694" s="43"/>
      <c r="F694" s="52" t="str" cm="1">
        <f t="array" ref="F694">IFERROR(INDEX(DB!O$2:O$2576,T694),"")</f>
        <v/>
      </c>
      <c r="G694" s="43"/>
      <c r="H694" s="40" t="str" cm="1">
        <f t="array" ref="H694">IFERROR(INDEX(DB!P$2:P$2576,T694),"")</f>
        <v/>
      </c>
      <c r="I694" s="43"/>
      <c r="J694" s="53" t="str" cm="1">
        <f t="array" ref="J694">IFERROR(INDEX(DB!Q$2:Q$2576,T694),"")</f>
        <v/>
      </c>
      <c r="K694" s="43"/>
      <c r="L694" s="41" t="str" cm="1">
        <f t="array" ref="L694">IFERROR(INDEX(DB!R$2:R$2576,T694),"")</f>
        <v/>
      </c>
      <c r="M694" s="43"/>
      <c r="P694" t="str" cm="1">
        <f t="array" ref="P694">IFERROR(_xlfn.AGGREGATE(15,6,ROW(DB!A$2:A$2576)/((($D$3&lt;&gt;"YES")+($D$3="YES")*(DB!E$2:E$2576="YES"))*(($D$4="")+($D$4&lt;&gt;"")*( DB!B$2:B$2576=$D$4))*(($D$5="")+($D$5&lt;&gt;"")*( DB!C$2:C$2576=$D$5))*(($D$6="")+($D$6&lt;&gt;"")*( DB!D$2:D$2576=$D$6))*(($D$7="")+($D$7&lt;&gt;"")*(ISNUMBER(SEARCH($D$7,DB!G$2:G$2576))))*(($F$7="전체")+($F$7&lt;&gt;"전체")*(DB!H$2:H$2576=$F$7))),ROW()-13)-1,"")</f>
        <v/>
      </c>
      <c r="Q694" t="str" cm="1">
        <f t="array" ref="Q694">IFERROR(INDEX(DB!G$2:G$2576,P694),"")</f>
        <v/>
      </c>
      <c r="R694" t="str" cm="1">
        <f t="array" ref="R694">IFERROR(INDEX(DB!O$2:O$2576,P694),"")</f>
        <v/>
      </c>
      <c r="S694" t="str">
        <f t="shared" si="33"/>
        <v/>
      </c>
      <c r="T694" t="str">
        <f t="shared" si="34"/>
        <v/>
      </c>
    </row>
    <row r="695" spans="1:20" ht="100" customHeight="1">
      <c r="A695" s="26"/>
      <c r="B695" s="42" t="str">
        <f t="shared" si="32"/>
        <v/>
      </c>
      <c r="C695" s="43"/>
      <c r="D695" s="51" t="str" cm="1">
        <f t="array" ref="D695">IFERROR(INDEX(DB!G$2:G$2576,T695),"")</f>
        <v/>
      </c>
      <c r="E695" s="43"/>
      <c r="F695" s="52" t="str" cm="1">
        <f t="array" ref="F695">IFERROR(INDEX(DB!O$2:O$2576,T695),"")</f>
        <v/>
      </c>
      <c r="G695" s="43"/>
      <c r="H695" s="40" t="str" cm="1">
        <f t="array" ref="H695">IFERROR(INDEX(DB!P$2:P$2576,T695),"")</f>
        <v/>
      </c>
      <c r="I695" s="43"/>
      <c r="J695" s="53" t="str" cm="1">
        <f t="array" ref="J695">IFERROR(INDEX(DB!Q$2:Q$2576,T695),"")</f>
        <v/>
      </c>
      <c r="K695" s="43"/>
      <c r="L695" s="41" t="str" cm="1">
        <f t="array" ref="L695">IFERROR(INDEX(DB!R$2:R$2576,T695),"")</f>
        <v/>
      </c>
      <c r="M695" s="43"/>
      <c r="P695" t="str" cm="1">
        <f t="array" ref="P695">IFERROR(_xlfn.AGGREGATE(15,6,ROW(DB!A$2:A$2576)/((($D$3&lt;&gt;"YES")+($D$3="YES")*(DB!E$2:E$2576="YES"))*(($D$4="")+($D$4&lt;&gt;"")*( DB!B$2:B$2576=$D$4))*(($D$5="")+($D$5&lt;&gt;"")*( DB!C$2:C$2576=$D$5))*(($D$6="")+($D$6&lt;&gt;"")*( DB!D$2:D$2576=$D$6))*(($D$7="")+($D$7&lt;&gt;"")*(ISNUMBER(SEARCH($D$7,DB!G$2:G$2576))))*(($F$7="전체")+($F$7&lt;&gt;"전체")*(DB!H$2:H$2576=$F$7))),ROW()-13)-1,"")</f>
        <v/>
      </c>
      <c r="Q695" t="str" cm="1">
        <f t="array" ref="Q695">IFERROR(INDEX(DB!G$2:G$2576,P695),"")</f>
        <v/>
      </c>
      <c r="R695" t="str" cm="1">
        <f t="array" ref="R695">IFERROR(INDEX(DB!O$2:O$2576,P695),"")</f>
        <v/>
      </c>
      <c r="S695" t="str">
        <f t="shared" si="33"/>
        <v/>
      </c>
      <c r="T695" t="str">
        <f t="shared" si="34"/>
        <v/>
      </c>
    </row>
    <row r="696" spans="1:20" ht="100" customHeight="1">
      <c r="A696" s="26"/>
      <c r="B696" s="39" t="str">
        <f t="shared" si="32"/>
        <v/>
      </c>
      <c r="C696" s="43"/>
      <c r="D696" s="51" t="str" cm="1">
        <f t="array" ref="D696">IFERROR(INDEX(DB!G$2:G$2576,T696),"")</f>
        <v/>
      </c>
      <c r="E696" s="43"/>
      <c r="F696" s="52" t="str" cm="1">
        <f t="array" ref="F696">IFERROR(INDEX(DB!O$2:O$2576,T696),"")</f>
        <v/>
      </c>
      <c r="G696" s="43"/>
      <c r="H696" s="40" t="str" cm="1">
        <f t="array" ref="H696">IFERROR(INDEX(DB!P$2:P$2576,T696),"")</f>
        <v/>
      </c>
      <c r="I696" s="43"/>
      <c r="J696" s="53" t="str" cm="1">
        <f t="array" ref="J696">IFERROR(INDEX(DB!Q$2:Q$2576,T696),"")</f>
        <v/>
      </c>
      <c r="K696" s="43"/>
      <c r="L696" s="41" t="str" cm="1">
        <f t="array" ref="L696">IFERROR(INDEX(DB!R$2:R$2576,T696),"")</f>
        <v/>
      </c>
      <c r="M696" s="43"/>
      <c r="P696" t="str" cm="1">
        <f t="array" ref="P696">IFERROR(_xlfn.AGGREGATE(15,6,ROW(DB!A$2:A$2576)/((($D$3&lt;&gt;"YES")+($D$3="YES")*(DB!E$2:E$2576="YES"))*(($D$4="")+($D$4&lt;&gt;"")*( DB!B$2:B$2576=$D$4))*(($D$5="")+($D$5&lt;&gt;"")*( DB!C$2:C$2576=$D$5))*(($D$6="")+($D$6&lt;&gt;"")*( DB!D$2:D$2576=$D$6))*(($D$7="")+($D$7&lt;&gt;"")*(ISNUMBER(SEARCH($D$7,DB!G$2:G$2576))))*(($F$7="전체")+($F$7&lt;&gt;"전체")*(DB!H$2:H$2576=$F$7))),ROW()-13)-1,"")</f>
        <v/>
      </c>
      <c r="Q696" t="str" cm="1">
        <f t="array" ref="Q696">IFERROR(INDEX(DB!G$2:G$2576,P696),"")</f>
        <v/>
      </c>
      <c r="R696" t="str" cm="1">
        <f t="array" ref="R696">IFERROR(INDEX(DB!O$2:O$2576,P696),"")</f>
        <v/>
      </c>
      <c r="S696" t="str">
        <f t="shared" si="33"/>
        <v/>
      </c>
      <c r="T696" t="str">
        <f t="shared" si="34"/>
        <v/>
      </c>
    </row>
    <row r="697" spans="1:20" ht="100" customHeight="1">
      <c r="A697" s="26"/>
      <c r="B697" s="42" t="str">
        <f t="shared" si="32"/>
        <v/>
      </c>
      <c r="C697" s="43"/>
      <c r="D697" s="51" t="str" cm="1">
        <f t="array" ref="D697">IFERROR(INDEX(DB!G$2:G$2576,T697),"")</f>
        <v/>
      </c>
      <c r="E697" s="43"/>
      <c r="F697" s="52" t="str" cm="1">
        <f t="array" ref="F697">IFERROR(INDEX(DB!O$2:O$2576,T697),"")</f>
        <v/>
      </c>
      <c r="G697" s="43"/>
      <c r="H697" s="40" t="str" cm="1">
        <f t="array" ref="H697">IFERROR(INDEX(DB!P$2:P$2576,T697),"")</f>
        <v/>
      </c>
      <c r="I697" s="43"/>
      <c r="J697" s="53" t="str" cm="1">
        <f t="array" ref="J697">IFERROR(INDEX(DB!Q$2:Q$2576,T697),"")</f>
        <v/>
      </c>
      <c r="K697" s="43"/>
      <c r="L697" s="41" t="str" cm="1">
        <f t="array" ref="L697">IFERROR(INDEX(DB!R$2:R$2576,T697),"")</f>
        <v/>
      </c>
      <c r="M697" s="43"/>
      <c r="P697" t="str" cm="1">
        <f t="array" ref="P697">IFERROR(_xlfn.AGGREGATE(15,6,ROW(DB!A$2:A$2576)/((($D$3&lt;&gt;"YES")+($D$3="YES")*(DB!E$2:E$2576="YES"))*(($D$4="")+($D$4&lt;&gt;"")*( DB!B$2:B$2576=$D$4))*(($D$5="")+($D$5&lt;&gt;"")*( DB!C$2:C$2576=$D$5))*(($D$6="")+($D$6&lt;&gt;"")*( DB!D$2:D$2576=$D$6))*(($D$7="")+($D$7&lt;&gt;"")*(ISNUMBER(SEARCH($D$7,DB!G$2:G$2576))))*(($F$7="전체")+($F$7&lt;&gt;"전체")*(DB!H$2:H$2576=$F$7))),ROW()-13)-1,"")</f>
        <v/>
      </c>
      <c r="Q697" t="str" cm="1">
        <f t="array" ref="Q697">IFERROR(INDEX(DB!G$2:G$2576,P697),"")</f>
        <v/>
      </c>
      <c r="R697" t="str" cm="1">
        <f t="array" ref="R697">IFERROR(INDEX(DB!O$2:O$2576,P697),"")</f>
        <v/>
      </c>
      <c r="S697" t="str">
        <f t="shared" si="33"/>
        <v/>
      </c>
      <c r="T697" t="str">
        <f t="shared" si="34"/>
        <v/>
      </c>
    </row>
    <row r="698" spans="1:20" ht="100" customHeight="1">
      <c r="A698" s="26"/>
      <c r="B698" s="39" t="str">
        <f t="shared" si="32"/>
        <v/>
      </c>
      <c r="C698" s="43"/>
      <c r="D698" s="51" t="str" cm="1">
        <f t="array" ref="D698">IFERROR(INDEX(DB!G$2:G$2576,T698),"")</f>
        <v/>
      </c>
      <c r="E698" s="43"/>
      <c r="F698" s="52" t="str" cm="1">
        <f t="array" ref="F698">IFERROR(INDEX(DB!O$2:O$2576,T698),"")</f>
        <v/>
      </c>
      <c r="G698" s="43"/>
      <c r="H698" s="40" t="str" cm="1">
        <f t="array" ref="H698">IFERROR(INDEX(DB!P$2:P$2576,T698),"")</f>
        <v/>
      </c>
      <c r="I698" s="43"/>
      <c r="J698" s="53" t="str" cm="1">
        <f t="array" ref="J698">IFERROR(INDEX(DB!Q$2:Q$2576,T698),"")</f>
        <v/>
      </c>
      <c r="K698" s="43"/>
      <c r="L698" s="41" t="str" cm="1">
        <f t="array" ref="L698">IFERROR(INDEX(DB!R$2:R$2576,T698),"")</f>
        <v/>
      </c>
      <c r="M698" s="43"/>
      <c r="P698" t="str" cm="1">
        <f t="array" ref="P698">IFERROR(_xlfn.AGGREGATE(15,6,ROW(DB!A$2:A$2576)/((($D$3&lt;&gt;"YES")+($D$3="YES")*(DB!E$2:E$2576="YES"))*(($D$4="")+($D$4&lt;&gt;"")*( DB!B$2:B$2576=$D$4))*(($D$5="")+($D$5&lt;&gt;"")*( DB!C$2:C$2576=$D$5))*(($D$6="")+($D$6&lt;&gt;"")*( DB!D$2:D$2576=$D$6))*(($D$7="")+($D$7&lt;&gt;"")*(ISNUMBER(SEARCH($D$7,DB!G$2:G$2576))))*(($F$7="전체")+($F$7&lt;&gt;"전체")*(DB!H$2:H$2576=$F$7))),ROW()-13)-1,"")</f>
        <v/>
      </c>
      <c r="Q698" t="str" cm="1">
        <f t="array" ref="Q698">IFERROR(INDEX(DB!G$2:G$2576,P698),"")</f>
        <v/>
      </c>
      <c r="R698" t="str" cm="1">
        <f t="array" ref="R698">IFERROR(INDEX(DB!O$2:O$2576,P698),"")</f>
        <v/>
      </c>
      <c r="S698" t="str">
        <f t="shared" si="33"/>
        <v/>
      </c>
      <c r="T698" t="str">
        <f t="shared" si="34"/>
        <v/>
      </c>
    </row>
    <row r="699" spans="1:20" ht="100" customHeight="1">
      <c r="A699" s="26"/>
      <c r="B699" s="42" t="str">
        <f t="shared" si="32"/>
        <v/>
      </c>
      <c r="C699" s="43"/>
      <c r="D699" s="51" t="str" cm="1">
        <f t="array" ref="D699">IFERROR(INDEX(DB!G$2:G$2576,T699),"")</f>
        <v/>
      </c>
      <c r="E699" s="43"/>
      <c r="F699" s="52" t="str" cm="1">
        <f t="array" ref="F699">IFERROR(INDEX(DB!O$2:O$2576,T699),"")</f>
        <v/>
      </c>
      <c r="G699" s="43"/>
      <c r="H699" s="40" t="str" cm="1">
        <f t="array" ref="H699">IFERROR(INDEX(DB!P$2:P$2576,T699),"")</f>
        <v/>
      </c>
      <c r="I699" s="43"/>
      <c r="J699" s="53" t="str" cm="1">
        <f t="array" ref="J699">IFERROR(INDEX(DB!Q$2:Q$2576,T699),"")</f>
        <v/>
      </c>
      <c r="K699" s="43"/>
      <c r="L699" s="41" t="str" cm="1">
        <f t="array" ref="L699">IFERROR(INDEX(DB!R$2:R$2576,T699),"")</f>
        <v/>
      </c>
      <c r="M699" s="43"/>
      <c r="P699" t="str" cm="1">
        <f t="array" ref="P699">IFERROR(_xlfn.AGGREGATE(15,6,ROW(DB!A$2:A$2576)/((($D$3&lt;&gt;"YES")+($D$3="YES")*(DB!E$2:E$2576="YES"))*(($D$4="")+($D$4&lt;&gt;"")*( DB!B$2:B$2576=$D$4))*(($D$5="")+($D$5&lt;&gt;"")*( DB!C$2:C$2576=$D$5))*(($D$6="")+($D$6&lt;&gt;"")*( DB!D$2:D$2576=$D$6))*(($D$7="")+($D$7&lt;&gt;"")*(ISNUMBER(SEARCH($D$7,DB!G$2:G$2576))))*(($F$7="전체")+($F$7&lt;&gt;"전체")*(DB!H$2:H$2576=$F$7))),ROW()-13)-1,"")</f>
        <v/>
      </c>
      <c r="Q699" t="str" cm="1">
        <f t="array" ref="Q699">IFERROR(INDEX(DB!G$2:G$2576,P699),"")</f>
        <v/>
      </c>
      <c r="R699" t="str" cm="1">
        <f t="array" ref="R699">IFERROR(INDEX(DB!O$2:O$2576,P699),"")</f>
        <v/>
      </c>
      <c r="S699" t="str">
        <f t="shared" si="33"/>
        <v/>
      </c>
      <c r="T699" t="str">
        <f t="shared" si="34"/>
        <v/>
      </c>
    </row>
    <row r="700" spans="1:20" ht="100" customHeight="1">
      <c r="A700" s="26"/>
      <c r="B700" s="39" t="str">
        <f t="shared" si="32"/>
        <v/>
      </c>
      <c r="C700" s="43"/>
      <c r="D700" s="51" t="str" cm="1">
        <f t="array" ref="D700">IFERROR(INDEX(DB!G$2:G$2576,T700),"")</f>
        <v/>
      </c>
      <c r="E700" s="43"/>
      <c r="F700" s="52" t="str" cm="1">
        <f t="array" ref="F700">IFERROR(INDEX(DB!O$2:O$2576,T700),"")</f>
        <v/>
      </c>
      <c r="G700" s="43"/>
      <c r="H700" s="40" t="str" cm="1">
        <f t="array" ref="H700">IFERROR(INDEX(DB!P$2:P$2576,T700),"")</f>
        <v/>
      </c>
      <c r="I700" s="43"/>
      <c r="J700" s="53" t="str" cm="1">
        <f t="array" ref="J700">IFERROR(INDEX(DB!Q$2:Q$2576,T700),"")</f>
        <v/>
      </c>
      <c r="K700" s="43"/>
      <c r="L700" s="41" t="str" cm="1">
        <f t="array" ref="L700">IFERROR(INDEX(DB!R$2:R$2576,T700),"")</f>
        <v/>
      </c>
      <c r="M700" s="43"/>
      <c r="P700" t="str" cm="1">
        <f t="array" ref="P700">IFERROR(_xlfn.AGGREGATE(15,6,ROW(DB!A$2:A$2576)/((($D$3&lt;&gt;"YES")+($D$3="YES")*(DB!E$2:E$2576="YES"))*(($D$4="")+($D$4&lt;&gt;"")*( DB!B$2:B$2576=$D$4))*(($D$5="")+($D$5&lt;&gt;"")*( DB!C$2:C$2576=$D$5))*(($D$6="")+($D$6&lt;&gt;"")*( DB!D$2:D$2576=$D$6))*(($D$7="")+($D$7&lt;&gt;"")*(ISNUMBER(SEARCH($D$7,DB!G$2:G$2576))))*(($F$7="전체")+($F$7&lt;&gt;"전체")*(DB!H$2:H$2576=$F$7))),ROW()-13)-1,"")</f>
        <v/>
      </c>
      <c r="Q700" t="str" cm="1">
        <f t="array" ref="Q700">IFERROR(INDEX(DB!G$2:G$2576,P700),"")</f>
        <v/>
      </c>
      <c r="R700" t="str" cm="1">
        <f t="array" ref="R700">IFERROR(INDEX(DB!O$2:O$2576,P700),"")</f>
        <v/>
      </c>
      <c r="S700" t="str">
        <f t="shared" si="33"/>
        <v/>
      </c>
      <c r="T700" t="str">
        <f t="shared" si="34"/>
        <v/>
      </c>
    </row>
    <row r="701" spans="1:20" ht="100" customHeight="1">
      <c r="A701" s="26"/>
      <c r="B701" s="42" t="str">
        <f t="shared" si="32"/>
        <v/>
      </c>
      <c r="C701" s="43"/>
      <c r="D701" s="51" t="str" cm="1">
        <f t="array" ref="D701">IFERROR(INDEX(DB!G$2:G$2576,T701),"")</f>
        <v/>
      </c>
      <c r="E701" s="43"/>
      <c r="F701" s="52" t="str" cm="1">
        <f t="array" ref="F701">IFERROR(INDEX(DB!O$2:O$2576,T701),"")</f>
        <v/>
      </c>
      <c r="G701" s="43"/>
      <c r="H701" s="40" t="str" cm="1">
        <f t="array" ref="H701">IFERROR(INDEX(DB!P$2:P$2576,T701),"")</f>
        <v/>
      </c>
      <c r="I701" s="43"/>
      <c r="J701" s="53" t="str" cm="1">
        <f t="array" ref="J701">IFERROR(INDEX(DB!Q$2:Q$2576,T701),"")</f>
        <v/>
      </c>
      <c r="K701" s="43"/>
      <c r="L701" s="41" t="str" cm="1">
        <f t="array" ref="L701">IFERROR(INDEX(DB!R$2:R$2576,T701),"")</f>
        <v/>
      </c>
      <c r="M701" s="43"/>
      <c r="P701" t="str" cm="1">
        <f t="array" ref="P701">IFERROR(_xlfn.AGGREGATE(15,6,ROW(DB!A$2:A$2576)/((($D$3&lt;&gt;"YES")+($D$3="YES")*(DB!E$2:E$2576="YES"))*(($D$4="")+($D$4&lt;&gt;"")*( DB!B$2:B$2576=$D$4))*(($D$5="")+($D$5&lt;&gt;"")*( DB!C$2:C$2576=$D$5))*(($D$6="")+($D$6&lt;&gt;"")*( DB!D$2:D$2576=$D$6))*(($D$7="")+($D$7&lt;&gt;"")*(ISNUMBER(SEARCH($D$7,DB!G$2:G$2576))))*(($F$7="전체")+($F$7&lt;&gt;"전체")*(DB!H$2:H$2576=$F$7))),ROW()-13)-1,"")</f>
        <v/>
      </c>
      <c r="Q701" t="str" cm="1">
        <f t="array" ref="Q701">IFERROR(INDEX(DB!G$2:G$2576,P701),"")</f>
        <v/>
      </c>
      <c r="R701" t="str" cm="1">
        <f t="array" ref="R701">IFERROR(INDEX(DB!O$2:O$2576,P701),"")</f>
        <v/>
      </c>
      <c r="S701" t="str">
        <f t="shared" si="33"/>
        <v/>
      </c>
      <c r="T701" t="str">
        <f t="shared" si="34"/>
        <v/>
      </c>
    </row>
    <row r="702" spans="1:20" ht="100" customHeight="1">
      <c r="A702" s="26"/>
      <c r="B702" s="39" t="str">
        <f t="shared" si="32"/>
        <v/>
      </c>
      <c r="C702" s="43"/>
      <c r="D702" s="51" t="str" cm="1">
        <f t="array" ref="D702">IFERROR(INDEX(DB!G$2:G$2576,T702),"")</f>
        <v/>
      </c>
      <c r="E702" s="43"/>
      <c r="F702" s="52" t="str" cm="1">
        <f t="array" ref="F702">IFERROR(INDEX(DB!O$2:O$2576,T702),"")</f>
        <v/>
      </c>
      <c r="G702" s="43"/>
      <c r="H702" s="40" t="str" cm="1">
        <f t="array" ref="H702">IFERROR(INDEX(DB!P$2:P$2576,T702),"")</f>
        <v/>
      </c>
      <c r="I702" s="43"/>
      <c r="J702" s="53" t="str" cm="1">
        <f t="array" ref="J702">IFERROR(INDEX(DB!Q$2:Q$2576,T702),"")</f>
        <v/>
      </c>
      <c r="K702" s="43"/>
      <c r="L702" s="41" t="str" cm="1">
        <f t="array" ref="L702">IFERROR(INDEX(DB!R$2:R$2576,T702),"")</f>
        <v/>
      </c>
      <c r="M702" s="43"/>
      <c r="P702" t="str" cm="1">
        <f t="array" ref="P702">IFERROR(_xlfn.AGGREGATE(15,6,ROW(DB!A$2:A$2576)/((($D$3&lt;&gt;"YES")+($D$3="YES")*(DB!E$2:E$2576="YES"))*(($D$4="")+($D$4&lt;&gt;"")*( DB!B$2:B$2576=$D$4))*(($D$5="")+($D$5&lt;&gt;"")*( DB!C$2:C$2576=$D$5))*(($D$6="")+($D$6&lt;&gt;"")*( DB!D$2:D$2576=$D$6))*(($D$7="")+($D$7&lt;&gt;"")*(ISNUMBER(SEARCH($D$7,DB!G$2:G$2576))))*(($F$7="전체")+($F$7&lt;&gt;"전체")*(DB!H$2:H$2576=$F$7))),ROW()-13)-1,"")</f>
        <v/>
      </c>
      <c r="Q702" t="str" cm="1">
        <f t="array" ref="Q702">IFERROR(INDEX(DB!G$2:G$2576,P702),"")</f>
        <v/>
      </c>
      <c r="R702" t="str" cm="1">
        <f t="array" ref="R702">IFERROR(INDEX(DB!O$2:O$2576,P702),"")</f>
        <v/>
      </c>
      <c r="S702" t="str">
        <f t="shared" si="33"/>
        <v/>
      </c>
      <c r="T702" t="str">
        <f t="shared" si="34"/>
        <v/>
      </c>
    </row>
    <row r="703" spans="1:20" ht="100" customHeight="1">
      <c r="A703" s="26"/>
      <c r="B703" s="42" t="str">
        <f t="shared" si="32"/>
        <v/>
      </c>
      <c r="C703" s="43"/>
      <c r="D703" s="51" t="str" cm="1">
        <f t="array" ref="D703">IFERROR(INDEX(DB!G$2:G$2576,T703),"")</f>
        <v/>
      </c>
      <c r="E703" s="43"/>
      <c r="F703" s="52" t="str" cm="1">
        <f t="array" ref="F703">IFERROR(INDEX(DB!O$2:O$2576,T703),"")</f>
        <v/>
      </c>
      <c r="G703" s="43"/>
      <c r="H703" s="40" t="str" cm="1">
        <f t="array" ref="H703">IFERROR(INDEX(DB!P$2:P$2576,T703),"")</f>
        <v/>
      </c>
      <c r="I703" s="43"/>
      <c r="J703" s="53" t="str" cm="1">
        <f t="array" ref="J703">IFERROR(INDEX(DB!Q$2:Q$2576,T703),"")</f>
        <v/>
      </c>
      <c r="K703" s="43"/>
      <c r="L703" s="41" t="str" cm="1">
        <f t="array" ref="L703">IFERROR(INDEX(DB!R$2:R$2576,T703),"")</f>
        <v/>
      </c>
      <c r="M703" s="43"/>
      <c r="P703" t="str" cm="1">
        <f t="array" ref="P703">IFERROR(_xlfn.AGGREGATE(15,6,ROW(DB!A$2:A$2576)/((($D$3&lt;&gt;"YES")+($D$3="YES")*(DB!E$2:E$2576="YES"))*(($D$4="")+($D$4&lt;&gt;"")*( DB!B$2:B$2576=$D$4))*(($D$5="")+($D$5&lt;&gt;"")*( DB!C$2:C$2576=$D$5))*(($D$6="")+($D$6&lt;&gt;"")*( DB!D$2:D$2576=$D$6))*(($D$7="")+($D$7&lt;&gt;"")*(ISNUMBER(SEARCH($D$7,DB!G$2:G$2576))))*(($F$7="전체")+($F$7&lt;&gt;"전체")*(DB!H$2:H$2576=$F$7))),ROW()-13)-1,"")</f>
        <v/>
      </c>
      <c r="Q703" t="str" cm="1">
        <f t="array" ref="Q703">IFERROR(INDEX(DB!G$2:G$2576,P703),"")</f>
        <v/>
      </c>
      <c r="R703" t="str" cm="1">
        <f t="array" ref="R703">IFERROR(INDEX(DB!O$2:O$2576,P703),"")</f>
        <v/>
      </c>
      <c r="S703" t="str">
        <f t="shared" si="33"/>
        <v/>
      </c>
      <c r="T703" t="str">
        <f t="shared" si="34"/>
        <v/>
      </c>
    </row>
    <row r="704" spans="1:20" ht="100" customHeight="1">
      <c r="A704" s="26"/>
      <c r="B704" s="39" t="str">
        <f t="shared" si="32"/>
        <v/>
      </c>
      <c r="C704" s="43"/>
      <c r="D704" s="51" t="str" cm="1">
        <f t="array" ref="D704">IFERROR(INDEX(DB!G$2:G$2576,T704),"")</f>
        <v/>
      </c>
      <c r="E704" s="43"/>
      <c r="F704" s="52" t="str" cm="1">
        <f t="array" ref="F704">IFERROR(INDEX(DB!O$2:O$2576,T704),"")</f>
        <v/>
      </c>
      <c r="G704" s="43"/>
      <c r="H704" s="40" t="str" cm="1">
        <f t="array" ref="H704">IFERROR(INDEX(DB!P$2:P$2576,T704),"")</f>
        <v/>
      </c>
      <c r="I704" s="43"/>
      <c r="J704" s="53" t="str" cm="1">
        <f t="array" ref="J704">IFERROR(INDEX(DB!Q$2:Q$2576,T704),"")</f>
        <v/>
      </c>
      <c r="K704" s="43"/>
      <c r="L704" s="41" t="str" cm="1">
        <f t="array" ref="L704">IFERROR(INDEX(DB!R$2:R$2576,T704),"")</f>
        <v/>
      </c>
      <c r="M704" s="43"/>
      <c r="P704" t="str" cm="1">
        <f t="array" ref="P704">IFERROR(_xlfn.AGGREGATE(15,6,ROW(DB!A$2:A$2576)/((($D$3&lt;&gt;"YES")+($D$3="YES")*(DB!E$2:E$2576="YES"))*(($D$4="")+($D$4&lt;&gt;"")*( DB!B$2:B$2576=$D$4))*(($D$5="")+($D$5&lt;&gt;"")*( DB!C$2:C$2576=$D$5))*(($D$6="")+($D$6&lt;&gt;"")*( DB!D$2:D$2576=$D$6))*(($D$7="")+($D$7&lt;&gt;"")*(ISNUMBER(SEARCH($D$7,DB!G$2:G$2576))))*(($F$7="전체")+($F$7&lt;&gt;"전체")*(DB!H$2:H$2576=$F$7))),ROW()-13)-1,"")</f>
        <v/>
      </c>
      <c r="Q704" t="str" cm="1">
        <f t="array" ref="Q704">IFERROR(INDEX(DB!G$2:G$2576,P704),"")</f>
        <v/>
      </c>
      <c r="R704" t="str" cm="1">
        <f t="array" ref="R704">IFERROR(INDEX(DB!O$2:O$2576,P704),"")</f>
        <v/>
      </c>
      <c r="S704" t="str">
        <f t="shared" si="33"/>
        <v/>
      </c>
      <c r="T704" t="str">
        <f t="shared" si="34"/>
        <v/>
      </c>
    </row>
    <row r="705" spans="1:20" ht="100" customHeight="1">
      <c r="A705" s="26"/>
      <c r="B705" s="42" t="str">
        <f t="shared" si="32"/>
        <v/>
      </c>
      <c r="C705" s="43"/>
      <c r="D705" s="51" t="str" cm="1">
        <f t="array" ref="D705">IFERROR(INDEX(DB!G$2:G$2576,T705),"")</f>
        <v/>
      </c>
      <c r="E705" s="43"/>
      <c r="F705" s="52" t="str" cm="1">
        <f t="array" ref="F705">IFERROR(INDEX(DB!O$2:O$2576,T705),"")</f>
        <v/>
      </c>
      <c r="G705" s="43"/>
      <c r="H705" s="40" t="str" cm="1">
        <f t="array" ref="H705">IFERROR(INDEX(DB!P$2:P$2576,T705),"")</f>
        <v/>
      </c>
      <c r="I705" s="43"/>
      <c r="J705" s="53" t="str" cm="1">
        <f t="array" ref="J705">IFERROR(INDEX(DB!Q$2:Q$2576,T705),"")</f>
        <v/>
      </c>
      <c r="K705" s="43"/>
      <c r="L705" s="41" t="str" cm="1">
        <f t="array" ref="L705">IFERROR(INDEX(DB!R$2:R$2576,T705),"")</f>
        <v/>
      </c>
      <c r="M705" s="43"/>
      <c r="P705" t="str" cm="1">
        <f t="array" ref="P705">IFERROR(_xlfn.AGGREGATE(15,6,ROW(DB!A$2:A$2576)/((($D$3&lt;&gt;"YES")+($D$3="YES")*(DB!E$2:E$2576="YES"))*(($D$4="")+($D$4&lt;&gt;"")*( DB!B$2:B$2576=$D$4))*(($D$5="")+($D$5&lt;&gt;"")*( DB!C$2:C$2576=$D$5))*(($D$6="")+($D$6&lt;&gt;"")*( DB!D$2:D$2576=$D$6))*(($D$7="")+($D$7&lt;&gt;"")*(ISNUMBER(SEARCH($D$7,DB!G$2:G$2576))))*(($F$7="전체")+($F$7&lt;&gt;"전체")*(DB!H$2:H$2576=$F$7))),ROW()-13)-1,"")</f>
        <v/>
      </c>
      <c r="Q705" t="str" cm="1">
        <f t="array" ref="Q705">IFERROR(INDEX(DB!G$2:G$2576,P705),"")</f>
        <v/>
      </c>
      <c r="R705" t="str" cm="1">
        <f t="array" ref="R705">IFERROR(INDEX(DB!O$2:O$2576,P705),"")</f>
        <v/>
      </c>
      <c r="S705" t="str">
        <f t="shared" si="33"/>
        <v/>
      </c>
      <c r="T705" t="str">
        <f t="shared" si="34"/>
        <v/>
      </c>
    </row>
    <row r="706" spans="1:20" ht="100" customHeight="1">
      <c r="A706" s="26"/>
      <c r="B706" s="39" t="str">
        <f t="shared" si="32"/>
        <v/>
      </c>
      <c r="C706" s="43"/>
      <c r="D706" s="51" t="str" cm="1">
        <f t="array" ref="D706">IFERROR(INDEX(DB!G$2:G$2576,T706),"")</f>
        <v/>
      </c>
      <c r="E706" s="43"/>
      <c r="F706" s="52" t="str" cm="1">
        <f t="array" ref="F706">IFERROR(INDEX(DB!O$2:O$2576,T706),"")</f>
        <v/>
      </c>
      <c r="G706" s="43"/>
      <c r="H706" s="40" t="str" cm="1">
        <f t="array" ref="H706">IFERROR(INDEX(DB!P$2:P$2576,T706),"")</f>
        <v/>
      </c>
      <c r="I706" s="43"/>
      <c r="J706" s="53" t="str" cm="1">
        <f t="array" ref="J706">IFERROR(INDEX(DB!Q$2:Q$2576,T706),"")</f>
        <v/>
      </c>
      <c r="K706" s="43"/>
      <c r="L706" s="41" t="str" cm="1">
        <f t="array" ref="L706">IFERROR(INDEX(DB!R$2:R$2576,T706),"")</f>
        <v/>
      </c>
      <c r="M706" s="43"/>
      <c r="P706" t="str" cm="1">
        <f t="array" ref="P706">IFERROR(_xlfn.AGGREGATE(15,6,ROW(DB!A$2:A$2576)/((($D$3&lt;&gt;"YES")+($D$3="YES")*(DB!E$2:E$2576="YES"))*(($D$4="")+($D$4&lt;&gt;"")*( DB!B$2:B$2576=$D$4))*(($D$5="")+($D$5&lt;&gt;"")*( DB!C$2:C$2576=$D$5))*(($D$6="")+($D$6&lt;&gt;"")*( DB!D$2:D$2576=$D$6))*(($D$7="")+($D$7&lt;&gt;"")*(ISNUMBER(SEARCH($D$7,DB!G$2:G$2576))))*(($F$7="전체")+($F$7&lt;&gt;"전체")*(DB!H$2:H$2576=$F$7))),ROW()-13)-1,"")</f>
        <v/>
      </c>
      <c r="Q706" t="str" cm="1">
        <f t="array" ref="Q706">IFERROR(INDEX(DB!G$2:G$2576,P706),"")</f>
        <v/>
      </c>
      <c r="R706" t="str" cm="1">
        <f t="array" ref="R706">IFERROR(INDEX(DB!O$2:O$2576,P706),"")</f>
        <v/>
      </c>
      <c r="S706" t="str">
        <f t="shared" si="33"/>
        <v/>
      </c>
      <c r="T706" t="str">
        <f t="shared" si="34"/>
        <v/>
      </c>
    </row>
    <row r="707" spans="1:20" ht="100" customHeight="1">
      <c r="A707" s="26"/>
      <c r="B707" s="42" t="str">
        <f t="shared" si="32"/>
        <v/>
      </c>
      <c r="C707" s="43"/>
      <c r="D707" s="51" t="str" cm="1">
        <f t="array" ref="D707">IFERROR(INDEX(DB!G$2:G$2576,T707),"")</f>
        <v/>
      </c>
      <c r="E707" s="43"/>
      <c r="F707" s="52" t="str" cm="1">
        <f t="array" ref="F707">IFERROR(INDEX(DB!O$2:O$2576,T707),"")</f>
        <v/>
      </c>
      <c r="G707" s="43"/>
      <c r="H707" s="40" t="str" cm="1">
        <f t="array" ref="H707">IFERROR(INDEX(DB!P$2:P$2576,T707),"")</f>
        <v/>
      </c>
      <c r="I707" s="43"/>
      <c r="J707" s="53" t="str" cm="1">
        <f t="array" ref="J707">IFERROR(INDEX(DB!Q$2:Q$2576,T707),"")</f>
        <v/>
      </c>
      <c r="K707" s="43"/>
      <c r="L707" s="41" t="str" cm="1">
        <f t="array" ref="L707">IFERROR(INDEX(DB!R$2:R$2576,T707),"")</f>
        <v/>
      </c>
      <c r="M707" s="43"/>
      <c r="P707" t="str" cm="1">
        <f t="array" ref="P707">IFERROR(_xlfn.AGGREGATE(15,6,ROW(DB!A$2:A$2576)/((($D$3&lt;&gt;"YES")+($D$3="YES")*(DB!E$2:E$2576="YES"))*(($D$4="")+($D$4&lt;&gt;"")*( DB!B$2:B$2576=$D$4))*(($D$5="")+($D$5&lt;&gt;"")*( DB!C$2:C$2576=$D$5))*(($D$6="")+($D$6&lt;&gt;"")*( DB!D$2:D$2576=$D$6))*(($D$7="")+($D$7&lt;&gt;"")*(ISNUMBER(SEARCH($D$7,DB!G$2:G$2576))))*(($F$7="전체")+($F$7&lt;&gt;"전체")*(DB!H$2:H$2576=$F$7))),ROW()-13)-1,"")</f>
        <v/>
      </c>
      <c r="Q707" t="str" cm="1">
        <f t="array" ref="Q707">IFERROR(INDEX(DB!G$2:G$2576,P707),"")</f>
        <v/>
      </c>
      <c r="R707" t="str" cm="1">
        <f t="array" ref="R707">IFERROR(INDEX(DB!O$2:O$2576,P707),"")</f>
        <v/>
      </c>
      <c r="S707" t="str">
        <f t="shared" si="33"/>
        <v/>
      </c>
      <c r="T707" t="str">
        <f t="shared" si="34"/>
        <v/>
      </c>
    </row>
    <row r="708" spans="1:20" ht="100" customHeight="1">
      <c r="A708" s="26"/>
      <c r="B708" s="39" t="str">
        <f t="shared" si="32"/>
        <v/>
      </c>
      <c r="C708" s="43"/>
      <c r="D708" s="51" t="str" cm="1">
        <f t="array" ref="D708">IFERROR(INDEX(DB!G$2:G$2576,T708),"")</f>
        <v/>
      </c>
      <c r="E708" s="43"/>
      <c r="F708" s="52" t="str" cm="1">
        <f t="array" ref="F708">IFERROR(INDEX(DB!O$2:O$2576,T708),"")</f>
        <v/>
      </c>
      <c r="G708" s="43"/>
      <c r="H708" s="40" t="str" cm="1">
        <f t="array" ref="H708">IFERROR(INDEX(DB!P$2:P$2576,T708),"")</f>
        <v/>
      </c>
      <c r="I708" s="43"/>
      <c r="J708" s="53" t="str" cm="1">
        <f t="array" ref="J708">IFERROR(INDEX(DB!Q$2:Q$2576,T708),"")</f>
        <v/>
      </c>
      <c r="K708" s="43"/>
      <c r="L708" s="41" t="str" cm="1">
        <f t="array" ref="L708">IFERROR(INDEX(DB!R$2:R$2576,T708),"")</f>
        <v/>
      </c>
      <c r="M708" s="43"/>
      <c r="P708" t="str" cm="1">
        <f t="array" ref="P708">IFERROR(_xlfn.AGGREGATE(15,6,ROW(DB!A$2:A$2576)/((($D$3&lt;&gt;"YES")+($D$3="YES")*(DB!E$2:E$2576="YES"))*(($D$4="")+($D$4&lt;&gt;"")*( DB!B$2:B$2576=$D$4))*(($D$5="")+($D$5&lt;&gt;"")*( DB!C$2:C$2576=$D$5))*(($D$6="")+($D$6&lt;&gt;"")*( DB!D$2:D$2576=$D$6))*(($D$7="")+($D$7&lt;&gt;"")*(ISNUMBER(SEARCH($D$7,DB!G$2:G$2576))))*(($F$7="전체")+($F$7&lt;&gt;"전체")*(DB!H$2:H$2576=$F$7))),ROW()-13)-1,"")</f>
        <v/>
      </c>
      <c r="Q708" t="str" cm="1">
        <f t="array" ref="Q708">IFERROR(INDEX(DB!G$2:G$2576,P708),"")</f>
        <v/>
      </c>
      <c r="R708" t="str" cm="1">
        <f t="array" ref="R708">IFERROR(INDEX(DB!O$2:O$2576,P708),"")</f>
        <v/>
      </c>
      <c r="S708" t="str">
        <f t="shared" si="33"/>
        <v/>
      </c>
      <c r="T708" t="str">
        <f t="shared" si="34"/>
        <v/>
      </c>
    </row>
    <row r="709" spans="1:20" ht="100" customHeight="1">
      <c r="A709" s="26"/>
      <c r="B709" s="42" t="str">
        <f t="shared" si="32"/>
        <v/>
      </c>
      <c r="C709" s="43"/>
      <c r="D709" s="51" t="str" cm="1">
        <f t="array" ref="D709">IFERROR(INDEX(DB!G$2:G$2576,T709),"")</f>
        <v/>
      </c>
      <c r="E709" s="43"/>
      <c r="F709" s="52" t="str" cm="1">
        <f t="array" ref="F709">IFERROR(INDEX(DB!O$2:O$2576,T709),"")</f>
        <v/>
      </c>
      <c r="G709" s="43"/>
      <c r="H709" s="40" t="str" cm="1">
        <f t="array" ref="H709">IFERROR(INDEX(DB!P$2:P$2576,T709),"")</f>
        <v/>
      </c>
      <c r="I709" s="43"/>
      <c r="J709" s="53" t="str" cm="1">
        <f t="array" ref="J709">IFERROR(INDEX(DB!Q$2:Q$2576,T709),"")</f>
        <v/>
      </c>
      <c r="K709" s="43"/>
      <c r="L709" s="41" t="str" cm="1">
        <f t="array" ref="L709">IFERROR(INDEX(DB!R$2:R$2576,T709),"")</f>
        <v/>
      </c>
      <c r="M709" s="43"/>
      <c r="P709" t="str" cm="1">
        <f t="array" ref="P709">IFERROR(_xlfn.AGGREGATE(15,6,ROW(DB!A$2:A$2576)/((($D$3&lt;&gt;"YES")+($D$3="YES")*(DB!E$2:E$2576="YES"))*(($D$4="")+($D$4&lt;&gt;"")*( DB!B$2:B$2576=$D$4))*(($D$5="")+($D$5&lt;&gt;"")*( DB!C$2:C$2576=$D$5))*(($D$6="")+($D$6&lt;&gt;"")*( DB!D$2:D$2576=$D$6))*(($D$7="")+($D$7&lt;&gt;"")*(ISNUMBER(SEARCH($D$7,DB!G$2:G$2576))))*(($F$7="전체")+($F$7&lt;&gt;"전체")*(DB!H$2:H$2576=$F$7))),ROW()-13)-1,"")</f>
        <v/>
      </c>
      <c r="Q709" t="str" cm="1">
        <f t="array" ref="Q709">IFERROR(INDEX(DB!G$2:G$2576,P709),"")</f>
        <v/>
      </c>
      <c r="R709" t="str" cm="1">
        <f t="array" ref="R709">IFERROR(INDEX(DB!O$2:O$2576,P709),"")</f>
        <v/>
      </c>
      <c r="S709" t="str">
        <f t="shared" si="33"/>
        <v/>
      </c>
      <c r="T709" t="str">
        <f t="shared" si="34"/>
        <v/>
      </c>
    </row>
    <row r="710" spans="1:20" ht="100" customHeight="1">
      <c r="A710" s="26"/>
      <c r="B710" s="39" t="str">
        <f t="shared" si="32"/>
        <v/>
      </c>
      <c r="C710" s="43"/>
      <c r="D710" s="51" t="str" cm="1">
        <f t="array" ref="D710">IFERROR(INDEX(DB!G$2:G$2576,T710),"")</f>
        <v/>
      </c>
      <c r="E710" s="43"/>
      <c r="F710" s="52" t="str" cm="1">
        <f t="array" ref="F710">IFERROR(INDEX(DB!O$2:O$2576,T710),"")</f>
        <v/>
      </c>
      <c r="G710" s="43"/>
      <c r="H710" s="40" t="str" cm="1">
        <f t="array" ref="H710">IFERROR(INDEX(DB!P$2:P$2576,T710),"")</f>
        <v/>
      </c>
      <c r="I710" s="43"/>
      <c r="J710" s="53" t="str" cm="1">
        <f t="array" ref="J710">IFERROR(INDEX(DB!Q$2:Q$2576,T710),"")</f>
        <v/>
      </c>
      <c r="K710" s="43"/>
      <c r="L710" s="41" t="str" cm="1">
        <f t="array" ref="L710">IFERROR(INDEX(DB!R$2:R$2576,T710),"")</f>
        <v/>
      </c>
      <c r="M710" s="43"/>
      <c r="P710" t="str" cm="1">
        <f t="array" ref="P710">IFERROR(_xlfn.AGGREGATE(15,6,ROW(DB!A$2:A$2576)/((($D$3&lt;&gt;"YES")+($D$3="YES")*(DB!E$2:E$2576="YES"))*(($D$4="")+($D$4&lt;&gt;"")*( DB!B$2:B$2576=$D$4))*(($D$5="")+($D$5&lt;&gt;"")*( DB!C$2:C$2576=$D$5))*(($D$6="")+($D$6&lt;&gt;"")*( DB!D$2:D$2576=$D$6))*(($D$7="")+($D$7&lt;&gt;"")*(ISNUMBER(SEARCH($D$7,DB!G$2:G$2576))))*(($F$7="전체")+($F$7&lt;&gt;"전체")*(DB!H$2:H$2576=$F$7))),ROW()-13)-1,"")</f>
        <v/>
      </c>
      <c r="Q710" t="str" cm="1">
        <f t="array" ref="Q710">IFERROR(INDEX(DB!G$2:G$2576,P710),"")</f>
        <v/>
      </c>
      <c r="R710" t="str" cm="1">
        <f t="array" ref="R710">IFERROR(INDEX(DB!O$2:O$2576,P710),"")</f>
        <v/>
      </c>
      <c r="S710" t="str">
        <f t="shared" si="33"/>
        <v/>
      </c>
      <c r="T710" t="str">
        <f t="shared" si="34"/>
        <v/>
      </c>
    </row>
    <row r="711" spans="1:20" ht="100" customHeight="1">
      <c r="A711" s="26"/>
      <c r="B711" s="42" t="str">
        <f t="shared" si="32"/>
        <v/>
      </c>
      <c r="C711" s="43"/>
      <c r="D711" s="51" t="str" cm="1">
        <f t="array" ref="D711">IFERROR(INDEX(DB!G$2:G$2576,T711),"")</f>
        <v/>
      </c>
      <c r="E711" s="43"/>
      <c r="F711" s="52" t="str" cm="1">
        <f t="array" ref="F711">IFERROR(INDEX(DB!O$2:O$2576,T711),"")</f>
        <v/>
      </c>
      <c r="G711" s="43"/>
      <c r="H711" s="40" t="str" cm="1">
        <f t="array" ref="H711">IFERROR(INDEX(DB!P$2:P$2576,T711),"")</f>
        <v/>
      </c>
      <c r="I711" s="43"/>
      <c r="J711" s="53" t="str" cm="1">
        <f t="array" ref="J711">IFERROR(INDEX(DB!Q$2:Q$2576,T711),"")</f>
        <v/>
      </c>
      <c r="K711" s="43"/>
      <c r="L711" s="41" t="str" cm="1">
        <f t="array" ref="L711">IFERROR(INDEX(DB!R$2:R$2576,T711),"")</f>
        <v/>
      </c>
      <c r="M711" s="43"/>
      <c r="P711" t="str" cm="1">
        <f t="array" ref="P711">IFERROR(_xlfn.AGGREGATE(15,6,ROW(DB!A$2:A$2576)/((($D$3&lt;&gt;"YES")+($D$3="YES")*(DB!E$2:E$2576="YES"))*(($D$4="")+($D$4&lt;&gt;"")*( DB!B$2:B$2576=$D$4))*(($D$5="")+($D$5&lt;&gt;"")*( DB!C$2:C$2576=$D$5))*(($D$6="")+($D$6&lt;&gt;"")*( DB!D$2:D$2576=$D$6))*(($D$7="")+($D$7&lt;&gt;"")*(ISNUMBER(SEARCH($D$7,DB!G$2:G$2576))))*(($F$7="전체")+($F$7&lt;&gt;"전체")*(DB!H$2:H$2576=$F$7))),ROW()-13)-1,"")</f>
        <v/>
      </c>
      <c r="Q711" t="str" cm="1">
        <f t="array" ref="Q711">IFERROR(INDEX(DB!G$2:G$2576,P711),"")</f>
        <v/>
      </c>
      <c r="R711" t="str" cm="1">
        <f t="array" ref="R711">IFERROR(INDEX(DB!O$2:O$2576,P711),"")</f>
        <v/>
      </c>
      <c r="S711" t="str">
        <f t="shared" si="33"/>
        <v/>
      </c>
      <c r="T711" t="str">
        <f t="shared" si="34"/>
        <v/>
      </c>
    </row>
    <row r="712" spans="1:20" ht="100" customHeight="1">
      <c r="A712" s="26"/>
      <c r="B712" s="39" t="str">
        <f t="shared" si="32"/>
        <v/>
      </c>
      <c r="C712" s="43"/>
      <c r="D712" s="51" t="str" cm="1">
        <f t="array" ref="D712">IFERROR(INDEX(DB!G$2:G$2576,T712),"")</f>
        <v/>
      </c>
      <c r="E712" s="43"/>
      <c r="F712" s="52" t="str" cm="1">
        <f t="array" ref="F712">IFERROR(INDEX(DB!O$2:O$2576,T712),"")</f>
        <v/>
      </c>
      <c r="G712" s="43"/>
      <c r="H712" s="40" t="str" cm="1">
        <f t="array" ref="H712">IFERROR(INDEX(DB!P$2:P$2576,T712),"")</f>
        <v/>
      </c>
      <c r="I712" s="43"/>
      <c r="J712" s="53" t="str" cm="1">
        <f t="array" ref="J712">IFERROR(INDEX(DB!Q$2:Q$2576,T712),"")</f>
        <v/>
      </c>
      <c r="K712" s="43"/>
      <c r="L712" s="41" t="str" cm="1">
        <f t="array" ref="L712">IFERROR(INDEX(DB!R$2:R$2576,T712),"")</f>
        <v/>
      </c>
      <c r="M712" s="43"/>
      <c r="P712" t="str" cm="1">
        <f t="array" ref="P712">IFERROR(_xlfn.AGGREGATE(15,6,ROW(DB!A$2:A$2576)/((($D$3&lt;&gt;"YES")+($D$3="YES")*(DB!E$2:E$2576="YES"))*(($D$4="")+($D$4&lt;&gt;"")*( DB!B$2:B$2576=$D$4))*(($D$5="")+($D$5&lt;&gt;"")*( DB!C$2:C$2576=$D$5))*(($D$6="")+($D$6&lt;&gt;"")*( DB!D$2:D$2576=$D$6))*(($D$7="")+($D$7&lt;&gt;"")*(ISNUMBER(SEARCH($D$7,DB!G$2:G$2576))))*(($F$7="전체")+($F$7&lt;&gt;"전체")*(DB!H$2:H$2576=$F$7))),ROW()-13)-1,"")</f>
        <v/>
      </c>
      <c r="Q712" t="str" cm="1">
        <f t="array" ref="Q712">IFERROR(INDEX(DB!G$2:G$2576,P712),"")</f>
        <v/>
      </c>
      <c r="R712" t="str" cm="1">
        <f t="array" ref="R712">IFERROR(INDEX(DB!O$2:O$2576,P712),"")</f>
        <v/>
      </c>
      <c r="S712" t="str">
        <f t="shared" si="33"/>
        <v/>
      </c>
      <c r="T712" t="str">
        <f t="shared" si="34"/>
        <v/>
      </c>
    </row>
    <row r="713" spans="1:20" ht="100" customHeight="1">
      <c r="A713" s="26"/>
      <c r="B713" s="42" t="str">
        <f t="shared" si="32"/>
        <v/>
      </c>
      <c r="C713" s="43"/>
      <c r="D713" s="51" t="str" cm="1">
        <f t="array" ref="D713">IFERROR(INDEX(DB!G$2:G$2576,T713),"")</f>
        <v/>
      </c>
      <c r="E713" s="43"/>
      <c r="F713" s="52" t="str" cm="1">
        <f t="array" ref="F713">IFERROR(INDEX(DB!O$2:O$2576,T713),"")</f>
        <v/>
      </c>
      <c r="G713" s="43"/>
      <c r="H713" s="40" t="str" cm="1">
        <f t="array" ref="H713">IFERROR(INDEX(DB!P$2:P$2576,T713),"")</f>
        <v/>
      </c>
      <c r="I713" s="43"/>
      <c r="J713" s="53" t="str" cm="1">
        <f t="array" ref="J713">IFERROR(INDEX(DB!Q$2:Q$2576,T713),"")</f>
        <v/>
      </c>
      <c r="K713" s="43"/>
      <c r="L713" s="41" t="str" cm="1">
        <f t="array" ref="L713">IFERROR(INDEX(DB!R$2:R$2576,T713),"")</f>
        <v/>
      </c>
      <c r="M713" s="43"/>
      <c r="P713" t="str" cm="1">
        <f t="array" ref="P713">IFERROR(_xlfn.AGGREGATE(15,6,ROW(DB!A$2:A$2576)/((($D$3&lt;&gt;"YES")+($D$3="YES")*(DB!E$2:E$2576="YES"))*(($D$4="")+($D$4&lt;&gt;"")*( DB!B$2:B$2576=$D$4))*(($D$5="")+($D$5&lt;&gt;"")*( DB!C$2:C$2576=$D$5))*(($D$6="")+($D$6&lt;&gt;"")*( DB!D$2:D$2576=$D$6))*(($D$7="")+($D$7&lt;&gt;"")*(ISNUMBER(SEARCH($D$7,DB!G$2:G$2576))))*(($F$7="전체")+($F$7&lt;&gt;"전체")*(DB!H$2:H$2576=$F$7))),ROW()-13)-1,"")</f>
        <v/>
      </c>
      <c r="Q713" t="str" cm="1">
        <f t="array" ref="Q713">IFERROR(INDEX(DB!G$2:G$2576,P713),"")</f>
        <v/>
      </c>
      <c r="R713" t="str" cm="1">
        <f t="array" ref="R713">IFERROR(INDEX(DB!O$2:O$2576,P713),"")</f>
        <v/>
      </c>
      <c r="S713" t="str">
        <f t="shared" si="33"/>
        <v/>
      </c>
      <c r="T713" t="str">
        <f t="shared" si="34"/>
        <v/>
      </c>
    </row>
    <row r="714" spans="1:20" ht="100" customHeight="1">
      <c r="A714" s="26"/>
      <c r="B714" s="39" t="str">
        <f t="shared" si="32"/>
        <v/>
      </c>
      <c r="C714" s="43"/>
      <c r="D714" s="51" t="str" cm="1">
        <f t="array" ref="D714">IFERROR(INDEX(DB!G$2:G$2576,T714),"")</f>
        <v/>
      </c>
      <c r="E714" s="43"/>
      <c r="F714" s="52" t="str" cm="1">
        <f t="array" ref="F714">IFERROR(INDEX(DB!O$2:O$2576,T714),"")</f>
        <v/>
      </c>
      <c r="G714" s="43"/>
      <c r="H714" s="40" t="str" cm="1">
        <f t="array" ref="H714">IFERROR(INDEX(DB!P$2:P$2576,T714),"")</f>
        <v/>
      </c>
      <c r="I714" s="43"/>
      <c r="J714" s="53" t="str" cm="1">
        <f t="array" ref="J714">IFERROR(INDEX(DB!Q$2:Q$2576,T714),"")</f>
        <v/>
      </c>
      <c r="K714" s="43"/>
      <c r="L714" s="41" t="str" cm="1">
        <f t="array" ref="L714">IFERROR(INDEX(DB!R$2:R$2576,T714),"")</f>
        <v/>
      </c>
      <c r="M714" s="43"/>
      <c r="P714" t="str" cm="1">
        <f t="array" ref="P714">IFERROR(_xlfn.AGGREGATE(15,6,ROW(DB!A$2:A$2576)/((($D$3&lt;&gt;"YES")+($D$3="YES")*(DB!E$2:E$2576="YES"))*(($D$4="")+($D$4&lt;&gt;"")*( DB!B$2:B$2576=$D$4))*(($D$5="")+($D$5&lt;&gt;"")*( DB!C$2:C$2576=$D$5))*(($D$6="")+($D$6&lt;&gt;"")*( DB!D$2:D$2576=$D$6))*(($D$7="")+($D$7&lt;&gt;"")*(ISNUMBER(SEARCH($D$7,DB!G$2:G$2576))))*(($F$7="전체")+($F$7&lt;&gt;"전체")*(DB!H$2:H$2576=$F$7))),ROW()-13)-1,"")</f>
        <v/>
      </c>
      <c r="Q714" t="str" cm="1">
        <f t="array" ref="Q714">IFERROR(INDEX(DB!G$2:G$2576,P714),"")</f>
        <v/>
      </c>
      <c r="R714" t="str" cm="1">
        <f t="array" ref="R714">IFERROR(INDEX(DB!O$2:O$2576,P714),"")</f>
        <v/>
      </c>
      <c r="S714" t="str">
        <f t="shared" si="33"/>
        <v/>
      </c>
      <c r="T714" t="str">
        <f t="shared" si="34"/>
        <v/>
      </c>
    </row>
    <row r="715" spans="1:20" ht="100" customHeight="1">
      <c r="A715" s="26"/>
      <c r="B715" s="42" t="str">
        <f t="shared" si="32"/>
        <v/>
      </c>
      <c r="C715" s="43"/>
      <c r="D715" s="51" t="str" cm="1">
        <f t="array" ref="D715">IFERROR(INDEX(DB!G$2:G$2576,T715),"")</f>
        <v/>
      </c>
      <c r="E715" s="43"/>
      <c r="F715" s="52" t="str" cm="1">
        <f t="array" ref="F715">IFERROR(INDEX(DB!O$2:O$2576,T715),"")</f>
        <v/>
      </c>
      <c r="G715" s="43"/>
      <c r="H715" s="40" t="str" cm="1">
        <f t="array" ref="H715">IFERROR(INDEX(DB!P$2:P$2576,T715),"")</f>
        <v/>
      </c>
      <c r="I715" s="43"/>
      <c r="J715" s="53" t="str" cm="1">
        <f t="array" ref="J715">IFERROR(INDEX(DB!Q$2:Q$2576,T715),"")</f>
        <v/>
      </c>
      <c r="K715" s="43"/>
      <c r="L715" s="41" t="str" cm="1">
        <f t="array" ref="L715">IFERROR(INDEX(DB!R$2:R$2576,T715),"")</f>
        <v/>
      </c>
      <c r="M715" s="43"/>
      <c r="P715" t="str" cm="1">
        <f t="array" ref="P715">IFERROR(_xlfn.AGGREGATE(15,6,ROW(DB!A$2:A$2576)/((($D$3&lt;&gt;"YES")+($D$3="YES")*(DB!E$2:E$2576="YES"))*(($D$4="")+($D$4&lt;&gt;"")*( DB!B$2:B$2576=$D$4))*(($D$5="")+($D$5&lt;&gt;"")*( DB!C$2:C$2576=$D$5))*(($D$6="")+($D$6&lt;&gt;"")*( DB!D$2:D$2576=$D$6))*(($D$7="")+($D$7&lt;&gt;"")*(ISNUMBER(SEARCH($D$7,DB!G$2:G$2576))))*(($F$7="전체")+($F$7&lt;&gt;"전체")*(DB!H$2:H$2576=$F$7))),ROW()-13)-1,"")</f>
        <v/>
      </c>
      <c r="Q715" t="str" cm="1">
        <f t="array" ref="Q715">IFERROR(INDEX(DB!G$2:G$2576,P715),"")</f>
        <v/>
      </c>
      <c r="R715" t="str" cm="1">
        <f t="array" ref="R715">IFERROR(INDEX(DB!O$2:O$2576,P715),"")</f>
        <v/>
      </c>
      <c r="S715" t="str">
        <f t="shared" si="33"/>
        <v/>
      </c>
      <c r="T715" t="str">
        <f t="shared" si="34"/>
        <v/>
      </c>
    </row>
    <row r="716" spans="1:20" ht="100" customHeight="1">
      <c r="A716" s="26"/>
      <c r="B716" s="39" t="str">
        <f t="shared" si="32"/>
        <v/>
      </c>
      <c r="C716" s="43"/>
      <c r="D716" s="51" t="str" cm="1">
        <f t="array" ref="D716">IFERROR(INDEX(DB!G$2:G$2576,T716),"")</f>
        <v/>
      </c>
      <c r="E716" s="43"/>
      <c r="F716" s="52" t="str" cm="1">
        <f t="array" ref="F716">IFERROR(INDEX(DB!O$2:O$2576,T716),"")</f>
        <v/>
      </c>
      <c r="G716" s="43"/>
      <c r="H716" s="40" t="str" cm="1">
        <f t="array" ref="H716">IFERROR(INDEX(DB!P$2:P$2576,T716),"")</f>
        <v/>
      </c>
      <c r="I716" s="43"/>
      <c r="J716" s="53" t="str" cm="1">
        <f t="array" ref="J716">IFERROR(INDEX(DB!Q$2:Q$2576,T716),"")</f>
        <v/>
      </c>
      <c r="K716" s="43"/>
      <c r="L716" s="41" t="str" cm="1">
        <f t="array" ref="L716">IFERROR(INDEX(DB!R$2:R$2576,T716),"")</f>
        <v/>
      </c>
      <c r="M716" s="43"/>
      <c r="P716" t="str" cm="1">
        <f t="array" ref="P716">IFERROR(_xlfn.AGGREGATE(15,6,ROW(DB!A$2:A$2576)/((($D$3&lt;&gt;"YES")+($D$3="YES")*(DB!E$2:E$2576="YES"))*(($D$4="")+($D$4&lt;&gt;"")*( DB!B$2:B$2576=$D$4))*(($D$5="")+($D$5&lt;&gt;"")*( DB!C$2:C$2576=$D$5))*(($D$6="")+($D$6&lt;&gt;"")*( DB!D$2:D$2576=$D$6))*(($D$7="")+($D$7&lt;&gt;"")*(ISNUMBER(SEARCH($D$7,DB!G$2:G$2576))))*(($F$7="전체")+($F$7&lt;&gt;"전체")*(DB!H$2:H$2576=$F$7))),ROW()-13)-1,"")</f>
        <v/>
      </c>
      <c r="Q716" t="str" cm="1">
        <f t="array" ref="Q716">IFERROR(INDEX(DB!G$2:G$2576,P716),"")</f>
        <v/>
      </c>
      <c r="R716" t="str" cm="1">
        <f t="array" ref="R716">IFERROR(INDEX(DB!O$2:O$2576,P716),"")</f>
        <v/>
      </c>
      <c r="S716" t="str">
        <f t="shared" si="33"/>
        <v/>
      </c>
      <c r="T716" t="str">
        <f t="shared" si="34"/>
        <v/>
      </c>
    </row>
    <row r="717" spans="1:20" ht="100" customHeight="1">
      <c r="A717" s="26"/>
      <c r="B717" s="42" t="str">
        <f t="shared" si="32"/>
        <v/>
      </c>
      <c r="C717" s="43"/>
      <c r="D717" s="51" t="str" cm="1">
        <f t="array" ref="D717">IFERROR(INDEX(DB!G$2:G$2576,T717),"")</f>
        <v/>
      </c>
      <c r="E717" s="43"/>
      <c r="F717" s="52" t="str" cm="1">
        <f t="array" ref="F717">IFERROR(INDEX(DB!O$2:O$2576,T717),"")</f>
        <v/>
      </c>
      <c r="G717" s="43"/>
      <c r="H717" s="40" t="str" cm="1">
        <f t="array" ref="H717">IFERROR(INDEX(DB!P$2:P$2576,T717),"")</f>
        <v/>
      </c>
      <c r="I717" s="43"/>
      <c r="J717" s="53" t="str" cm="1">
        <f t="array" ref="J717">IFERROR(INDEX(DB!Q$2:Q$2576,T717),"")</f>
        <v/>
      </c>
      <c r="K717" s="43"/>
      <c r="L717" s="41" t="str" cm="1">
        <f t="array" ref="L717">IFERROR(INDEX(DB!R$2:R$2576,T717),"")</f>
        <v/>
      </c>
      <c r="M717" s="43"/>
      <c r="P717" t="str" cm="1">
        <f t="array" ref="P717">IFERROR(_xlfn.AGGREGATE(15,6,ROW(DB!A$2:A$2576)/((($D$3&lt;&gt;"YES")+($D$3="YES")*(DB!E$2:E$2576="YES"))*(($D$4="")+($D$4&lt;&gt;"")*( DB!B$2:B$2576=$D$4))*(($D$5="")+($D$5&lt;&gt;"")*( DB!C$2:C$2576=$D$5))*(($D$6="")+($D$6&lt;&gt;"")*( DB!D$2:D$2576=$D$6))*(($D$7="")+($D$7&lt;&gt;"")*(ISNUMBER(SEARCH($D$7,DB!G$2:G$2576))))*(($F$7="전체")+($F$7&lt;&gt;"전체")*(DB!H$2:H$2576=$F$7))),ROW()-13)-1,"")</f>
        <v/>
      </c>
      <c r="Q717" t="str" cm="1">
        <f t="array" ref="Q717">IFERROR(INDEX(DB!G$2:G$2576,P717),"")</f>
        <v/>
      </c>
      <c r="R717" t="str" cm="1">
        <f t="array" ref="R717">IFERROR(INDEX(DB!O$2:O$2576,P717),"")</f>
        <v/>
      </c>
      <c r="S717" t="str">
        <f t="shared" si="33"/>
        <v/>
      </c>
      <c r="T717" t="str">
        <f t="shared" si="34"/>
        <v/>
      </c>
    </row>
    <row r="718" spans="1:20" ht="100" customHeight="1">
      <c r="A718" s="26"/>
      <c r="B718" s="39" t="str">
        <f t="shared" si="32"/>
        <v/>
      </c>
      <c r="C718" s="43"/>
      <c r="D718" s="51" t="str" cm="1">
        <f t="array" ref="D718">IFERROR(INDEX(DB!G$2:G$2576,T718),"")</f>
        <v/>
      </c>
      <c r="E718" s="43"/>
      <c r="F718" s="52" t="str" cm="1">
        <f t="array" ref="F718">IFERROR(INDEX(DB!O$2:O$2576,T718),"")</f>
        <v/>
      </c>
      <c r="G718" s="43"/>
      <c r="H718" s="40" t="str" cm="1">
        <f t="array" ref="H718">IFERROR(INDEX(DB!P$2:P$2576,T718),"")</f>
        <v/>
      </c>
      <c r="I718" s="43"/>
      <c r="J718" s="53" t="str" cm="1">
        <f t="array" ref="J718">IFERROR(INDEX(DB!Q$2:Q$2576,T718),"")</f>
        <v/>
      </c>
      <c r="K718" s="43"/>
      <c r="L718" s="41" t="str" cm="1">
        <f t="array" ref="L718">IFERROR(INDEX(DB!R$2:R$2576,T718),"")</f>
        <v/>
      </c>
      <c r="M718" s="43"/>
      <c r="P718" t="str" cm="1">
        <f t="array" ref="P718">IFERROR(_xlfn.AGGREGATE(15,6,ROW(DB!A$2:A$2576)/((($D$3&lt;&gt;"YES")+($D$3="YES")*(DB!E$2:E$2576="YES"))*(($D$4="")+($D$4&lt;&gt;"")*( DB!B$2:B$2576=$D$4))*(($D$5="")+($D$5&lt;&gt;"")*( DB!C$2:C$2576=$D$5))*(($D$6="")+($D$6&lt;&gt;"")*( DB!D$2:D$2576=$D$6))*(($D$7="")+($D$7&lt;&gt;"")*(ISNUMBER(SEARCH($D$7,DB!G$2:G$2576))))*(($F$7="전체")+($F$7&lt;&gt;"전체")*(DB!H$2:H$2576=$F$7))),ROW()-13)-1,"")</f>
        <v/>
      </c>
      <c r="Q718" t="str" cm="1">
        <f t="array" ref="Q718">IFERROR(INDEX(DB!G$2:G$2576,P718),"")</f>
        <v/>
      </c>
      <c r="R718" t="str" cm="1">
        <f t="array" ref="R718">IFERROR(INDEX(DB!O$2:O$2576,P718),"")</f>
        <v/>
      </c>
      <c r="S718" t="str">
        <f t="shared" si="33"/>
        <v/>
      </c>
      <c r="T718" t="str">
        <f t="shared" si="34"/>
        <v/>
      </c>
    </row>
    <row r="719" spans="1:20" ht="100" customHeight="1">
      <c r="A719" s="26"/>
      <c r="B719" s="42" t="str">
        <f t="shared" ref="B719:B782" si="35">IFERROR(IF(T719="","",ROW()-13),"")</f>
        <v/>
      </c>
      <c r="C719" s="43"/>
      <c r="D719" s="51" t="str" cm="1">
        <f t="array" ref="D719">IFERROR(INDEX(DB!G$2:G$2576,T719),"")</f>
        <v/>
      </c>
      <c r="E719" s="43"/>
      <c r="F719" s="52" t="str" cm="1">
        <f t="array" ref="F719">IFERROR(INDEX(DB!O$2:O$2576,T719),"")</f>
        <v/>
      </c>
      <c r="G719" s="43"/>
      <c r="H719" s="40" t="str" cm="1">
        <f t="array" ref="H719">IFERROR(INDEX(DB!P$2:P$2576,T719),"")</f>
        <v/>
      </c>
      <c r="I719" s="43"/>
      <c r="J719" s="53" t="str" cm="1">
        <f t="array" ref="J719">IFERROR(INDEX(DB!Q$2:Q$2576,T719),"")</f>
        <v/>
      </c>
      <c r="K719" s="43"/>
      <c r="L719" s="41" t="str" cm="1">
        <f t="array" ref="L719">IFERROR(INDEX(DB!R$2:R$2576,T719),"")</f>
        <v/>
      </c>
      <c r="M719" s="43"/>
      <c r="P719" t="str" cm="1">
        <f t="array" ref="P719">IFERROR(_xlfn.AGGREGATE(15,6,ROW(DB!A$2:A$2576)/((($D$3&lt;&gt;"YES")+($D$3="YES")*(DB!E$2:E$2576="YES"))*(($D$4="")+($D$4&lt;&gt;"")*( DB!B$2:B$2576=$D$4))*(($D$5="")+($D$5&lt;&gt;"")*( DB!C$2:C$2576=$D$5))*(($D$6="")+($D$6&lt;&gt;"")*( DB!D$2:D$2576=$D$6))*(($D$7="")+($D$7&lt;&gt;"")*(ISNUMBER(SEARCH($D$7,DB!G$2:G$2576))))*(($F$7="전체")+($F$7&lt;&gt;"전체")*(DB!H$2:H$2576=$F$7))),ROW()-13)-1,"")</f>
        <v/>
      </c>
      <c r="Q719" t="str" cm="1">
        <f t="array" ref="Q719">IFERROR(INDEX(DB!G$2:G$2576,P719),"")</f>
        <v/>
      </c>
      <c r="R719" t="str" cm="1">
        <f t="array" ref="R719">IFERROR(INDEX(DB!O$2:O$2576,P719),"")</f>
        <v/>
      </c>
      <c r="S719" t="str">
        <f t="shared" ref="S719:S782" si="36">IF(P719="","",COUNTIF($Q$14:$Q$2587,"&lt;"&amp;Q719)*100+COUNTIF($R$14:$R$2587,"&lt;"&amp;R719)+(ROW()-13)*0.001)</f>
        <v/>
      </c>
      <c r="T719" t="str">
        <f t="shared" ref="T719:T782" si="37">IFERROR(INDEX($P$14:$P$2587,MATCH(SMALL($S$14:$S$2587,ROW()-13),$S$14:$S$2587,0)),"")</f>
        <v/>
      </c>
    </row>
    <row r="720" spans="1:20" ht="100" customHeight="1">
      <c r="A720" s="26"/>
      <c r="B720" s="39" t="str">
        <f t="shared" si="35"/>
        <v/>
      </c>
      <c r="C720" s="43"/>
      <c r="D720" s="51" t="str" cm="1">
        <f t="array" ref="D720">IFERROR(INDEX(DB!G$2:G$2576,T720),"")</f>
        <v/>
      </c>
      <c r="E720" s="43"/>
      <c r="F720" s="52" t="str" cm="1">
        <f t="array" ref="F720">IFERROR(INDEX(DB!O$2:O$2576,T720),"")</f>
        <v/>
      </c>
      <c r="G720" s="43"/>
      <c r="H720" s="40" t="str" cm="1">
        <f t="array" ref="H720">IFERROR(INDEX(DB!P$2:P$2576,T720),"")</f>
        <v/>
      </c>
      <c r="I720" s="43"/>
      <c r="J720" s="53" t="str" cm="1">
        <f t="array" ref="J720">IFERROR(INDEX(DB!Q$2:Q$2576,T720),"")</f>
        <v/>
      </c>
      <c r="K720" s="43"/>
      <c r="L720" s="41" t="str" cm="1">
        <f t="array" ref="L720">IFERROR(INDEX(DB!R$2:R$2576,T720),"")</f>
        <v/>
      </c>
      <c r="M720" s="43"/>
      <c r="P720" t="str" cm="1">
        <f t="array" ref="P720">IFERROR(_xlfn.AGGREGATE(15,6,ROW(DB!A$2:A$2576)/((($D$3&lt;&gt;"YES")+($D$3="YES")*(DB!E$2:E$2576="YES"))*(($D$4="")+($D$4&lt;&gt;"")*( DB!B$2:B$2576=$D$4))*(($D$5="")+($D$5&lt;&gt;"")*( DB!C$2:C$2576=$D$5))*(($D$6="")+($D$6&lt;&gt;"")*( DB!D$2:D$2576=$D$6))*(($D$7="")+($D$7&lt;&gt;"")*(ISNUMBER(SEARCH($D$7,DB!G$2:G$2576))))*(($F$7="전체")+($F$7&lt;&gt;"전체")*(DB!H$2:H$2576=$F$7))),ROW()-13)-1,"")</f>
        <v/>
      </c>
      <c r="Q720" t="str" cm="1">
        <f t="array" ref="Q720">IFERROR(INDEX(DB!G$2:G$2576,P720),"")</f>
        <v/>
      </c>
      <c r="R720" t="str" cm="1">
        <f t="array" ref="R720">IFERROR(INDEX(DB!O$2:O$2576,P720),"")</f>
        <v/>
      </c>
      <c r="S720" t="str">
        <f t="shared" si="36"/>
        <v/>
      </c>
      <c r="T720" t="str">
        <f t="shared" si="37"/>
        <v/>
      </c>
    </row>
    <row r="721" spans="1:20" ht="100" customHeight="1">
      <c r="A721" s="26"/>
      <c r="B721" s="42" t="str">
        <f t="shared" si="35"/>
        <v/>
      </c>
      <c r="C721" s="43"/>
      <c r="D721" s="51" t="str" cm="1">
        <f t="array" ref="D721">IFERROR(INDEX(DB!G$2:G$2576,T721),"")</f>
        <v/>
      </c>
      <c r="E721" s="43"/>
      <c r="F721" s="52" t="str" cm="1">
        <f t="array" ref="F721">IFERROR(INDEX(DB!O$2:O$2576,T721),"")</f>
        <v/>
      </c>
      <c r="G721" s="43"/>
      <c r="H721" s="40" t="str" cm="1">
        <f t="array" ref="H721">IFERROR(INDEX(DB!P$2:P$2576,T721),"")</f>
        <v/>
      </c>
      <c r="I721" s="43"/>
      <c r="J721" s="53" t="str" cm="1">
        <f t="array" ref="J721">IFERROR(INDEX(DB!Q$2:Q$2576,T721),"")</f>
        <v/>
      </c>
      <c r="K721" s="43"/>
      <c r="L721" s="41" t="str" cm="1">
        <f t="array" ref="L721">IFERROR(INDEX(DB!R$2:R$2576,T721),"")</f>
        <v/>
      </c>
      <c r="M721" s="43"/>
      <c r="P721" t="str" cm="1">
        <f t="array" ref="P721">IFERROR(_xlfn.AGGREGATE(15,6,ROW(DB!A$2:A$2576)/((($D$3&lt;&gt;"YES")+($D$3="YES")*(DB!E$2:E$2576="YES"))*(($D$4="")+($D$4&lt;&gt;"")*( DB!B$2:B$2576=$D$4))*(($D$5="")+($D$5&lt;&gt;"")*( DB!C$2:C$2576=$D$5))*(($D$6="")+($D$6&lt;&gt;"")*( DB!D$2:D$2576=$D$6))*(($D$7="")+($D$7&lt;&gt;"")*(ISNUMBER(SEARCH($D$7,DB!G$2:G$2576))))*(($F$7="전체")+($F$7&lt;&gt;"전체")*(DB!H$2:H$2576=$F$7))),ROW()-13)-1,"")</f>
        <v/>
      </c>
      <c r="Q721" t="str" cm="1">
        <f t="array" ref="Q721">IFERROR(INDEX(DB!G$2:G$2576,P721),"")</f>
        <v/>
      </c>
      <c r="R721" t="str" cm="1">
        <f t="array" ref="R721">IFERROR(INDEX(DB!O$2:O$2576,P721),"")</f>
        <v/>
      </c>
      <c r="S721" t="str">
        <f t="shared" si="36"/>
        <v/>
      </c>
      <c r="T721" t="str">
        <f t="shared" si="37"/>
        <v/>
      </c>
    </row>
    <row r="722" spans="1:20" ht="100" customHeight="1">
      <c r="A722" s="26"/>
      <c r="B722" s="39" t="str">
        <f t="shared" si="35"/>
        <v/>
      </c>
      <c r="C722" s="43"/>
      <c r="D722" s="51" t="str" cm="1">
        <f t="array" ref="D722">IFERROR(INDEX(DB!G$2:G$2576,T722),"")</f>
        <v/>
      </c>
      <c r="E722" s="43"/>
      <c r="F722" s="52" t="str" cm="1">
        <f t="array" ref="F722">IFERROR(INDEX(DB!O$2:O$2576,T722),"")</f>
        <v/>
      </c>
      <c r="G722" s="43"/>
      <c r="H722" s="40" t="str" cm="1">
        <f t="array" ref="H722">IFERROR(INDEX(DB!P$2:P$2576,T722),"")</f>
        <v/>
      </c>
      <c r="I722" s="43"/>
      <c r="J722" s="53" t="str" cm="1">
        <f t="array" ref="J722">IFERROR(INDEX(DB!Q$2:Q$2576,T722),"")</f>
        <v/>
      </c>
      <c r="K722" s="43"/>
      <c r="L722" s="41" t="str" cm="1">
        <f t="array" ref="L722">IFERROR(INDEX(DB!R$2:R$2576,T722),"")</f>
        <v/>
      </c>
      <c r="M722" s="43"/>
      <c r="P722" t="str" cm="1">
        <f t="array" ref="P722">IFERROR(_xlfn.AGGREGATE(15,6,ROW(DB!A$2:A$2576)/((($D$3&lt;&gt;"YES")+($D$3="YES")*(DB!E$2:E$2576="YES"))*(($D$4="")+($D$4&lt;&gt;"")*( DB!B$2:B$2576=$D$4))*(($D$5="")+($D$5&lt;&gt;"")*( DB!C$2:C$2576=$D$5))*(($D$6="")+($D$6&lt;&gt;"")*( DB!D$2:D$2576=$D$6))*(($D$7="")+($D$7&lt;&gt;"")*(ISNUMBER(SEARCH($D$7,DB!G$2:G$2576))))*(($F$7="전체")+($F$7&lt;&gt;"전체")*(DB!H$2:H$2576=$F$7))),ROW()-13)-1,"")</f>
        <v/>
      </c>
      <c r="Q722" t="str" cm="1">
        <f t="array" ref="Q722">IFERROR(INDEX(DB!G$2:G$2576,P722),"")</f>
        <v/>
      </c>
      <c r="R722" t="str" cm="1">
        <f t="array" ref="R722">IFERROR(INDEX(DB!O$2:O$2576,P722),"")</f>
        <v/>
      </c>
      <c r="S722" t="str">
        <f t="shared" si="36"/>
        <v/>
      </c>
      <c r="T722" t="str">
        <f t="shared" si="37"/>
        <v/>
      </c>
    </row>
    <row r="723" spans="1:20" ht="100" customHeight="1">
      <c r="A723" s="26"/>
      <c r="B723" s="42" t="str">
        <f t="shared" si="35"/>
        <v/>
      </c>
      <c r="C723" s="43"/>
      <c r="D723" s="51" t="str" cm="1">
        <f t="array" ref="D723">IFERROR(INDEX(DB!G$2:G$2576,T723),"")</f>
        <v/>
      </c>
      <c r="E723" s="43"/>
      <c r="F723" s="52" t="str" cm="1">
        <f t="array" ref="F723">IFERROR(INDEX(DB!O$2:O$2576,T723),"")</f>
        <v/>
      </c>
      <c r="G723" s="43"/>
      <c r="H723" s="40" t="str" cm="1">
        <f t="array" ref="H723">IFERROR(INDEX(DB!P$2:P$2576,T723),"")</f>
        <v/>
      </c>
      <c r="I723" s="43"/>
      <c r="J723" s="53" t="str" cm="1">
        <f t="array" ref="J723">IFERROR(INDEX(DB!Q$2:Q$2576,T723),"")</f>
        <v/>
      </c>
      <c r="K723" s="43"/>
      <c r="L723" s="41" t="str" cm="1">
        <f t="array" ref="L723">IFERROR(INDEX(DB!R$2:R$2576,T723),"")</f>
        <v/>
      </c>
      <c r="M723" s="43"/>
      <c r="P723" t="str" cm="1">
        <f t="array" ref="P723">IFERROR(_xlfn.AGGREGATE(15,6,ROW(DB!A$2:A$2576)/((($D$3&lt;&gt;"YES")+($D$3="YES")*(DB!E$2:E$2576="YES"))*(($D$4="")+($D$4&lt;&gt;"")*( DB!B$2:B$2576=$D$4))*(($D$5="")+($D$5&lt;&gt;"")*( DB!C$2:C$2576=$D$5))*(($D$6="")+($D$6&lt;&gt;"")*( DB!D$2:D$2576=$D$6))*(($D$7="")+($D$7&lt;&gt;"")*(ISNUMBER(SEARCH($D$7,DB!G$2:G$2576))))*(($F$7="전체")+($F$7&lt;&gt;"전체")*(DB!H$2:H$2576=$F$7))),ROW()-13)-1,"")</f>
        <v/>
      </c>
      <c r="Q723" t="str" cm="1">
        <f t="array" ref="Q723">IFERROR(INDEX(DB!G$2:G$2576,P723),"")</f>
        <v/>
      </c>
      <c r="R723" t="str" cm="1">
        <f t="array" ref="R723">IFERROR(INDEX(DB!O$2:O$2576,P723),"")</f>
        <v/>
      </c>
      <c r="S723" t="str">
        <f t="shared" si="36"/>
        <v/>
      </c>
      <c r="T723" t="str">
        <f t="shared" si="37"/>
        <v/>
      </c>
    </row>
    <row r="724" spans="1:20" ht="100" customHeight="1">
      <c r="A724" s="26"/>
      <c r="B724" s="39" t="str">
        <f t="shared" si="35"/>
        <v/>
      </c>
      <c r="C724" s="43"/>
      <c r="D724" s="51" t="str" cm="1">
        <f t="array" ref="D724">IFERROR(INDEX(DB!G$2:G$2576,T724),"")</f>
        <v/>
      </c>
      <c r="E724" s="43"/>
      <c r="F724" s="52" t="str" cm="1">
        <f t="array" ref="F724">IFERROR(INDEX(DB!O$2:O$2576,T724),"")</f>
        <v/>
      </c>
      <c r="G724" s="43"/>
      <c r="H724" s="40" t="str" cm="1">
        <f t="array" ref="H724">IFERROR(INDEX(DB!P$2:P$2576,T724),"")</f>
        <v/>
      </c>
      <c r="I724" s="43"/>
      <c r="J724" s="53" t="str" cm="1">
        <f t="array" ref="J724">IFERROR(INDEX(DB!Q$2:Q$2576,T724),"")</f>
        <v/>
      </c>
      <c r="K724" s="43"/>
      <c r="L724" s="41" t="str" cm="1">
        <f t="array" ref="L724">IFERROR(INDEX(DB!R$2:R$2576,T724),"")</f>
        <v/>
      </c>
      <c r="M724" s="43"/>
      <c r="P724" t="str" cm="1">
        <f t="array" ref="P724">IFERROR(_xlfn.AGGREGATE(15,6,ROW(DB!A$2:A$2576)/((($D$3&lt;&gt;"YES")+($D$3="YES")*(DB!E$2:E$2576="YES"))*(($D$4="")+($D$4&lt;&gt;"")*( DB!B$2:B$2576=$D$4))*(($D$5="")+($D$5&lt;&gt;"")*( DB!C$2:C$2576=$D$5))*(($D$6="")+($D$6&lt;&gt;"")*( DB!D$2:D$2576=$D$6))*(($D$7="")+($D$7&lt;&gt;"")*(ISNUMBER(SEARCH($D$7,DB!G$2:G$2576))))*(($F$7="전체")+($F$7&lt;&gt;"전체")*(DB!H$2:H$2576=$F$7))),ROW()-13)-1,"")</f>
        <v/>
      </c>
      <c r="Q724" t="str" cm="1">
        <f t="array" ref="Q724">IFERROR(INDEX(DB!G$2:G$2576,P724),"")</f>
        <v/>
      </c>
      <c r="R724" t="str" cm="1">
        <f t="array" ref="R724">IFERROR(INDEX(DB!O$2:O$2576,P724),"")</f>
        <v/>
      </c>
      <c r="S724" t="str">
        <f t="shared" si="36"/>
        <v/>
      </c>
      <c r="T724" t="str">
        <f t="shared" si="37"/>
        <v/>
      </c>
    </row>
    <row r="725" spans="1:20" ht="100" customHeight="1">
      <c r="A725" s="26"/>
      <c r="B725" s="42" t="str">
        <f t="shared" si="35"/>
        <v/>
      </c>
      <c r="C725" s="43"/>
      <c r="D725" s="51" t="str" cm="1">
        <f t="array" ref="D725">IFERROR(INDEX(DB!G$2:G$2576,T725),"")</f>
        <v/>
      </c>
      <c r="E725" s="43"/>
      <c r="F725" s="52" t="str" cm="1">
        <f t="array" ref="F725">IFERROR(INDEX(DB!O$2:O$2576,T725),"")</f>
        <v/>
      </c>
      <c r="G725" s="43"/>
      <c r="H725" s="40" t="str" cm="1">
        <f t="array" ref="H725">IFERROR(INDEX(DB!P$2:P$2576,T725),"")</f>
        <v/>
      </c>
      <c r="I725" s="43"/>
      <c r="J725" s="53" t="str" cm="1">
        <f t="array" ref="J725">IFERROR(INDEX(DB!Q$2:Q$2576,T725),"")</f>
        <v/>
      </c>
      <c r="K725" s="43"/>
      <c r="L725" s="41" t="str" cm="1">
        <f t="array" ref="L725">IFERROR(INDEX(DB!R$2:R$2576,T725),"")</f>
        <v/>
      </c>
      <c r="M725" s="43"/>
      <c r="P725" t="str" cm="1">
        <f t="array" ref="P725">IFERROR(_xlfn.AGGREGATE(15,6,ROW(DB!A$2:A$2576)/((($D$3&lt;&gt;"YES")+($D$3="YES")*(DB!E$2:E$2576="YES"))*(($D$4="")+($D$4&lt;&gt;"")*( DB!B$2:B$2576=$D$4))*(($D$5="")+($D$5&lt;&gt;"")*( DB!C$2:C$2576=$D$5))*(($D$6="")+($D$6&lt;&gt;"")*( DB!D$2:D$2576=$D$6))*(($D$7="")+($D$7&lt;&gt;"")*(ISNUMBER(SEARCH($D$7,DB!G$2:G$2576))))*(($F$7="전체")+($F$7&lt;&gt;"전체")*(DB!H$2:H$2576=$F$7))),ROW()-13)-1,"")</f>
        <v/>
      </c>
      <c r="Q725" t="str" cm="1">
        <f t="array" ref="Q725">IFERROR(INDEX(DB!G$2:G$2576,P725),"")</f>
        <v/>
      </c>
      <c r="R725" t="str" cm="1">
        <f t="array" ref="R725">IFERROR(INDEX(DB!O$2:O$2576,P725),"")</f>
        <v/>
      </c>
      <c r="S725" t="str">
        <f t="shared" si="36"/>
        <v/>
      </c>
      <c r="T725" t="str">
        <f t="shared" si="37"/>
        <v/>
      </c>
    </row>
    <row r="726" spans="1:20" ht="100" customHeight="1">
      <c r="A726" s="26"/>
      <c r="B726" s="39" t="str">
        <f t="shared" si="35"/>
        <v/>
      </c>
      <c r="C726" s="43"/>
      <c r="D726" s="51" t="str" cm="1">
        <f t="array" ref="D726">IFERROR(INDEX(DB!G$2:G$2576,T726),"")</f>
        <v/>
      </c>
      <c r="E726" s="43"/>
      <c r="F726" s="52" t="str" cm="1">
        <f t="array" ref="F726">IFERROR(INDEX(DB!O$2:O$2576,T726),"")</f>
        <v/>
      </c>
      <c r="G726" s="43"/>
      <c r="H726" s="40" t="str" cm="1">
        <f t="array" ref="H726">IFERROR(INDEX(DB!P$2:P$2576,T726),"")</f>
        <v/>
      </c>
      <c r="I726" s="43"/>
      <c r="J726" s="53" t="str" cm="1">
        <f t="array" ref="J726">IFERROR(INDEX(DB!Q$2:Q$2576,T726),"")</f>
        <v/>
      </c>
      <c r="K726" s="43"/>
      <c r="L726" s="41" t="str" cm="1">
        <f t="array" ref="L726">IFERROR(INDEX(DB!R$2:R$2576,T726),"")</f>
        <v/>
      </c>
      <c r="M726" s="43"/>
      <c r="P726" t="str" cm="1">
        <f t="array" ref="P726">IFERROR(_xlfn.AGGREGATE(15,6,ROW(DB!A$2:A$2576)/((($D$3&lt;&gt;"YES")+($D$3="YES")*(DB!E$2:E$2576="YES"))*(($D$4="")+($D$4&lt;&gt;"")*( DB!B$2:B$2576=$D$4))*(($D$5="")+($D$5&lt;&gt;"")*( DB!C$2:C$2576=$D$5))*(($D$6="")+($D$6&lt;&gt;"")*( DB!D$2:D$2576=$D$6))*(($D$7="")+($D$7&lt;&gt;"")*(ISNUMBER(SEARCH($D$7,DB!G$2:G$2576))))*(($F$7="전체")+($F$7&lt;&gt;"전체")*(DB!H$2:H$2576=$F$7))),ROW()-13)-1,"")</f>
        <v/>
      </c>
      <c r="Q726" t="str" cm="1">
        <f t="array" ref="Q726">IFERROR(INDEX(DB!G$2:G$2576,P726),"")</f>
        <v/>
      </c>
      <c r="R726" t="str" cm="1">
        <f t="array" ref="R726">IFERROR(INDEX(DB!O$2:O$2576,P726),"")</f>
        <v/>
      </c>
      <c r="S726" t="str">
        <f t="shared" si="36"/>
        <v/>
      </c>
      <c r="T726" t="str">
        <f t="shared" si="37"/>
        <v/>
      </c>
    </row>
    <row r="727" spans="1:20" ht="100" customHeight="1">
      <c r="A727" s="26"/>
      <c r="B727" s="42" t="str">
        <f t="shared" si="35"/>
        <v/>
      </c>
      <c r="C727" s="43"/>
      <c r="D727" s="51" t="str" cm="1">
        <f t="array" ref="D727">IFERROR(INDEX(DB!G$2:G$2576,T727),"")</f>
        <v/>
      </c>
      <c r="E727" s="43"/>
      <c r="F727" s="52" t="str" cm="1">
        <f t="array" ref="F727">IFERROR(INDEX(DB!O$2:O$2576,T727),"")</f>
        <v/>
      </c>
      <c r="G727" s="43"/>
      <c r="H727" s="40" t="str" cm="1">
        <f t="array" ref="H727">IFERROR(INDEX(DB!P$2:P$2576,T727),"")</f>
        <v/>
      </c>
      <c r="I727" s="43"/>
      <c r="J727" s="53" t="str" cm="1">
        <f t="array" ref="J727">IFERROR(INDEX(DB!Q$2:Q$2576,T727),"")</f>
        <v/>
      </c>
      <c r="K727" s="43"/>
      <c r="L727" s="41" t="str" cm="1">
        <f t="array" ref="L727">IFERROR(INDEX(DB!R$2:R$2576,T727),"")</f>
        <v/>
      </c>
      <c r="M727" s="43"/>
      <c r="P727" t="str" cm="1">
        <f t="array" ref="P727">IFERROR(_xlfn.AGGREGATE(15,6,ROW(DB!A$2:A$2576)/((($D$3&lt;&gt;"YES")+($D$3="YES")*(DB!E$2:E$2576="YES"))*(($D$4="")+($D$4&lt;&gt;"")*( DB!B$2:B$2576=$D$4))*(($D$5="")+($D$5&lt;&gt;"")*( DB!C$2:C$2576=$D$5))*(($D$6="")+($D$6&lt;&gt;"")*( DB!D$2:D$2576=$D$6))*(($D$7="")+($D$7&lt;&gt;"")*(ISNUMBER(SEARCH($D$7,DB!G$2:G$2576))))*(($F$7="전체")+($F$7&lt;&gt;"전체")*(DB!H$2:H$2576=$F$7))),ROW()-13)-1,"")</f>
        <v/>
      </c>
      <c r="Q727" t="str" cm="1">
        <f t="array" ref="Q727">IFERROR(INDEX(DB!G$2:G$2576,P727),"")</f>
        <v/>
      </c>
      <c r="R727" t="str" cm="1">
        <f t="array" ref="R727">IFERROR(INDEX(DB!O$2:O$2576,P727),"")</f>
        <v/>
      </c>
      <c r="S727" t="str">
        <f t="shared" si="36"/>
        <v/>
      </c>
      <c r="T727" t="str">
        <f t="shared" si="37"/>
        <v/>
      </c>
    </row>
    <row r="728" spans="1:20" ht="100" customHeight="1">
      <c r="A728" s="26"/>
      <c r="B728" s="39" t="str">
        <f t="shared" si="35"/>
        <v/>
      </c>
      <c r="C728" s="43"/>
      <c r="D728" s="51" t="str" cm="1">
        <f t="array" ref="D728">IFERROR(INDEX(DB!G$2:G$2576,T728),"")</f>
        <v/>
      </c>
      <c r="E728" s="43"/>
      <c r="F728" s="52" t="str" cm="1">
        <f t="array" ref="F728">IFERROR(INDEX(DB!O$2:O$2576,T728),"")</f>
        <v/>
      </c>
      <c r="G728" s="43"/>
      <c r="H728" s="40" t="str" cm="1">
        <f t="array" ref="H728">IFERROR(INDEX(DB!P$2:P$2576,T728),"")</f>
        <v/>
      </c>
      <c r="I728" s="43"/>
      <c r="J728" s="53" t="str" cm="1">
        <f t="array" ref="J728">IFERROR(INDEX(DB!Q$2:Q$2576,T728),"")</f>
        <v/>
      </c>
      <c r="K728" s="43"/>
      <c r="L728" s="41" t="str" cm="1">
        <f t="array" ref="L728">IFERROR(INDEX(DB!R$2:R$2576,T728),"")</f>
        <v/>
      </c>
      <c r="M728" s="43"/>
      <c r="P728" t="str" cm="1">
        <f t="array" ref="P728">IFERROR(_xlfn.AGGREGATE(15,6,ROW(DB!A$2:A$2576)/((($D$3&lt;&gt;"YES")+($D$3="YES")*(DB!E$2:E$2576="YES"))*(($D$4="")+($D$4&lt;&gt;"")*( DB!B$2:B$2576=$D$4))*(($D$5="")+($D$5&lt;&gt;"")*( DB!C$2:C$2576=$D$5))*(($D$6="")+($D$6&lt;&gt;"")*( DB!D$2:D$2576=$D$6))*(($D$7="")+($D$7&lt;&gt;"")*(ISNUMBER(SEARCH($D$7,DB!G$2:G$2576))))*(($F$7="전체")+($F$7&lt;&gt;"전체")*(DB!H$2:H$2576=$F$7))),ROW()-13)-1,"")</f>
        <v/>
      </c>
      <c r="Q728" t="str" cm="1">
        <f t="array" ref="Q728">IFERROR(INDEX(DB!G$2:G$2576,P728),"")</f>
        <v/>
      </c>
      <c r="R728" t="str" cm="1">
        <f t="array" ref="R728">IFERROR(INDEX(DB!O$2:O$2576,P728),"")</f>
        <v/>
      </c>
      <c r="S728" t="str">
        <f t="shared" si="36"/>
        <v/>
      </c>
      <c r="T728" t="str">
        <f t="shared" si="37"/>
        <v/>
      </c>
    </row>
    <row r="729" spans="1:20" ht="100" customHeight="1">
      <c r="A729" s="26"/>
      <c r="B729" s="42" t="str">
        <f t="shared" si="35"/>
        <v/>
      </c>
      <c r="C729" s="43"/>
      <c r="D729" s="51" t="str" cm="1">
        <f t="array" ref="D729">IFERROR(INDEX(DB!G$2:G$2576,T729),"")</f>
        <v/>
      </c>
      <c r="E729" s="43"/>
      <c r="F729" s="52" t="str" cm="1">
        <f t="array" ref="F729">IFERROR(INDEX(DB!O$2:O$2576,T729),"")</f>
        <v/>
      </c>
      <c r="G729" s="43"/>
      <c r="H729" s="40" t="str" cm="1">
        <f t="array" ref="H729">IFERROR(INDEX(DB!P$2:P$2576,T729),"")</f>
        <v/>
      </c>
      <c r="I729" s="43"/>
      <c r="J729" s="53" t="str" cm="1">
        <f t="array" ref="J729">IFERROR(INDEX(DB!Q$2:Q$2576,T729),"")</f>
        <v/>
      </c>
      <c r="K729" s="43"/>
      <c r="L729" s="41" t="str" cm="1">
        <f t="array" ref="L729">IFERROR(INDEX(DB!R$2:R$2576,T729),"")</f>
        <v/>
      </c>
      <c r="M729" s="43"/>
      <c r="P729" t="str" cm="1">
        <f t="array" ref="P729">IFERROR(_xlfn.AGGREGATE(15,6,ROW(DB!A$2:A$2576)/((($D$3&lt;&gt;"YES")+($D$3="YES")*(DB!E$2:E$2576="YES"))*(($D$4="")+($D$4&lt;&gt;"")*( DB!B$2:B$2576=$D$4))*(($D$5="")+($D$5&lt;&gt;"")*( DB!C$2:C$2576=$D$5))*(($D$6="")+($D$6&lt;&gt;"")*( DB!D$2:D$2576=$D$6))*(($D$7="")+($D$7&lt;&gt;"")*(ISNUMBER(SEARCH($D$7,DB!G$2:G$2576))))*(($F$7="전체")+($F$7&lt;&gt;"전체")*(DB!H$2:H$2576=$F$7))),ROW()-13)-1,"")</f>
        <v/>
      </c>
      <c r="Q729" t="str" cm="1">
        <f t="array" ref="Q729">IFERROR(INDEX(DB!G$2:G$2576,P729),"")</f>
        <v/>
      </c>
      <c r="R729" t="str" cm="1">
        <f t="array" ref="R729">IFERROR(INDEX(DB!O$2:O$2576,P729),"")</f>
        <v/>
      </c>
      <c r="S729" t="str">
        <f t="shared" si="36"/>
        <v/>
      </c>
      <c r="T729" t="str">
        <f t="shared" si="37"/>
        <v/>
      </c>
    </row>
    <row r="730" spans="1:20" ht="100" customHeight="1">
      <c r="A730" s="26"/>
      <c r="B730" s="39" t="str">
        <f t="shared" si="35"/>
        <v/>
      </c>
      <c r="C730" s="43"/>
      <c r="D730" s="51" t="str" cm="1">
        <f t="array" ref="D730">IFERROR(INDEX(DB!G$2:G$2576,T730),"")</f>
        <v/>
      </c>
      <c r="E730" s="43"/>
      <c r="F730" s="52" t="str" cm="1">
        <f t="array" ref="F730">IFERROR(INDEX(DB!O$2:O$2576,T730),"")</f>
        <v/>
      </c>
      <c r="G730" s="43"/>
      <c r="H730" s="40" t="str" cm="1">
        <f t="array" ref="H730">IFERROR(INDEX(DB!P$2:P$2576,T730),"")</f>
        <v/>
      </c>
      <c r="I730" s="43"/>
      <c r="J730" s="53" t="str" cm="1">
        <f t="array" ref="J730">IFERROR(INDEX(DB!Q$2:Q$2576,T730),"")</f>
        <v/>
      </c>
      <c r="K730" s="43"/>
      <c r="L730" s="41" t="str" cm="1">
        <f t="array" ref="L730">IFERROR(INDEX(DB!R$2:R$2576,T730),"")</f>
        <v/>
      </c>
      <c r="M730" s="43"/>
      <c r="P730" t="str" cm="1">
        <f t="array" ref="P730">IFERROR(_xlfn.AGGREGATE(15,6,ROW(DB!A$2:A$2576)/((($D$3&lt;&gt;"YES")+($D$3="YES")*(DB!E$2:E$2576="YES"))*(($D$4="")+($D$4&lt;&gt;"")*( DB!B$2:B$2576=$D$4))*(($D$5="")+($D$5&lt;&gt;"")*( DB!C$2:C$2576=$D$5))*(($D$6="")+($D$6&lt;&gt;"")*( DB!D$2:D$2576=$D$6))*(($D$7="")+($D$7&lt;&gt;"")*(ISNUMBER(SEARCH($D$7,DB!G$2:G$2576))))*(($F$7="전체")+($F$7&lt;&gt;"전체")*(DB!H$2:H$2576=$F$7))),ROW()-13)-1,"")</f>
        <v/>
      </c>
      <c r="Q730" t="str" cm="1">
        <f t="array" ref="Q730">IFERROR(INDEX(DB!G$2:G$2576,P730),"")</f>
        <v/>
      </c>
      <c r="R730" t="str" cm="1">
        <f t="array" ref="R730">IFERROR(INDEX(DB!O$2:O$2576,P730),"")</f>
        <v/>
      </c>
      <c r="S730" t="str">
        <f t="shared" si="36"/>
        <v/>
      </c>
      <c r="T730" t="str">
        <f t="shared" si="37"/>
        <v/>
      </c>
    </row>
    <row r="731" spans="1:20" ht="100" customHeight="1">
      <c r="A731" s="26"/>
      <c r="B731" s="42" t="str">
        <f t="shared" si="35"/>
        <v/>
      </c>
      <c r="C731" s="43"/>
      <c r="D731" s="51" t="str" cm="1">
        <f t="array" ref="D731">IFERROR(INDEX(DB!G$2:G$2576,T731),"")</f>
        <v/>
      </c>
      <c r="E731" s="43"/>
      <c r="F731" s="52" t="str" cm="1">
        <f t="array" ref="F731">IFERROR(INDEX(DB!O$2:O$2576,T731),"")</f>
        <v/>
      </c>
      <c r="G731" s="43"/>
      <c r="H731" s="40" t="str" cm="1">
        <f t="array" ref="H731">IFERROR(INDEX(DB!P$2:P$2576,T731),"")</f>
        <v/>
      </c>
      <c r="I731" s="43"/>
      <c r="J731" s="53" t="str" cm="1">
        <f t="array" ref="J731">IFERROR(INDEX(DB!Q$2:Q$2576,T731),"")</f>
        <v/>
      </c>
      <c r="K731" s="43"/>
      <c r="L731" s="41" t="str" cm="1">
        <f t="array" ref="L731">IFERROR(INDEX(DB!R$2:R$2576,T731),"")</f>
        <v/>
      </c>
      <c r="M731" s="43"/>
      <c r="P731" t="str" cm="1">
        <f t="array" ref="P731">IFERROR(_xlfn.AGGREGATE(15,6,ROW(DB!A$2:A$2576)/((($D$3&lt;&gt;"YES")+($D$3="YES")*(DB!E$2:E$2576="YES"))*(($D$4="")+($D$4&lt;&gt;"")*( DB!B$2:B$2576=$D$4))*(($D$5="")+($D$5&lt;&gt;"")*( DB!C$2:C$2576=$D$5))*(($D$6="")+($D$6&lt;&gt;"")*( DB!D$2:D$2576=$D$6))*(($D$7="")+($D$7&lt;&gt;"")*(ISNUMBER(SEARCH($D$7,DB!G$2:G$2576))))*(($F$7="전체")+($F$7&lt;&gt;"전체")*(DB!H$2:H$2576=$F$7))),ROW()-13)-1,"")</f>
        <v/>
      </c>
      <c r="Q731" t="str" cm="1">
        <f t="array" ref="Q731">IFERROR(INDEX(DB!G$2:G$2576,P731),"")</f>
        <v/>
      </c>
      <c r="R731" t="str" cm="1">
        <f t="array" ref="R731">IFERROR(INDEX(DB!O$2:O$2576,P731),"")</f>
        <v/>
      </c>
      <c r="S731" t="str">
        <f t="shared" si="36"/>
        <v/>
      </c>
      <c r="T731" t="str">
        <f t="shared" si="37"/>
        <v/>
      </c>
    </row>
    <row r="732" spans="1:20" ht="100" customHeight="1">
      <c r="A732" s="26"/>
      <c r="B732" s="39" t="str">
        <f t="shared" si="35"/>
        <v/>
      </c>
      <c r="C732" s="43"/>
      <c r="D732" s="51" t="str" cm="1">
        <f t="array" ref="D732">IFERROR(INDEX(DB!G$2:G$2576,T732),"")</f>
        <v/>
      </c>
      <c r="E732" s="43"/>
      <c r="F732" s="52" t="str" cm="1">
        <f t="array" ref="F732">IFERROR(INDEX(DB!O$2:O$2576,T732),"")</f>
        <v/>
      </c>
      <c r="G732" s="43"/>
      <c r="H732" s="40" t="str" cm="1">
        <f t="array" ref="H732">IFERROR(INDEX(DB!P$2:P$2576,T732),"")</f>
        <v/>
      </c>
      <c r="I732" s="43"/>
      <c r="J732" s="53" t="str" cm="1">
        <f t="array" ref="J732">IFERROR(INDEX(DB!Q$2:Q$2576,T732),"")</f>
        <v/>
      </c>
      <c r="K732" s="43"/>
      <c r="L732" s="41" t="str" cm="1">
        <f t="array" ref="L732">IFERROR(INDEX(DB!R$2:R$2576,T732),"")</f>
        <v/>
      </c>
      <c r="M732" s="43"/>
      <c r="P732" t="str" cm="1">
        <f t="array" ref="P732">IFERROR(_xlfn.AGGREGATE(15,6,ROW(DB!A$2:A$2576)/((($D$3&lt;&gt;"YES")+($D$3="YES")*(DB!E$2:E$2576="YES"))*(($D$4="")+($D$4&lt;&gt;"")*( DB!B$2:B$2576=$D$4))*(($D$5="")+($D$5&lt;&gt;"")*( DB!C$2:C$2576=$D$5))*(($D$6="")+($D$6&lt;&gt;"")*( DB!D$2:D$2576=$D$6))*(($D$7="")+($D$7&lt;&gt;"")*(ISNUMBER(SEARCH($D$7,DB!G$2:G$2576))))*(($F$7="전체")+($F$7&lt;&gt;"전체")*(DB!H$2:H$2576=$F$7))),ROW()-13)-1,"")</f>
        <v/>
      </c>
      <c r="Q732" t="str" cm="1">
        <f t="array" ref="Q732">IFERROR(INDEX(DB!G$2:G$2576,P732),"")</f>
        <v/>
      </c>
      <c r="R732" t="str" cm="1">
        <f t="array" ref="R732">IFERROR(INDEX(DB!O$2:O$2576,P732),"")</f>
        <v/>
      </c>
      <c r="S732" t="str">
        <f t="shared" si="36"/>
        <v/>
      </c>
      <c r="T732" t="str">
        <f t="shared" si="37"/>
        <v/>
      </c>
    </row>
    <row r="733" spans="1:20" ht="100" customHeight="1">
      <c r="A733" s="26"/>
      <c r="B733" s="42" t="str">
        <f t="shared" si="35"/>
        <v/>
      </c>
      <c r="C733" s="43"/>
      <c r="D733" s="51" t="str" cm="1">
        <f t="array" ref="D733">IFERROR(INDEX(DB!G$2:G$2576,T733),"")</f>
        <v/>
      </c>
      <c r="E733" s="43"/>
      <c r="F733" s="52" t="str" cm="1">
        <f t="array" ref="F733">IFERROR(INDEX(DB!O$2:O$2576,T733),"")</f>
        <v/>
      </c>
      <c r="G733" s="43"/>
      <c r="H733" s="40" t="str" cm="1">
        <f t="array" ref="H733">IFERROR(INDEX(DB!P$2:P$2576,T733),"")</f>
        <v/>
      </c>
      <c r="I733" s="43"/>
      <c r="J733" s="53" t="str" cm="1">
        <f t="array" ref="J733">IFERROR(INDEX(DB!Q$2:Q$2576,T733),"")</f>
        <v/>
      </c>
      <c r="K733" s="43"/>
      <c r="L733" s="41" t="str" cm="1">
        <f t="array" ref="L733">IFERROR(INDEX(DB!R$2:R$2576,T733),"")</f>
        <v/>
      </c>
      <c r="M733" s="43"/>
      <c r="P733" t="str" cm="1">
        <f t="array" ref="P733">IFERROR(_xlfn.AGGREGATE(15,6,ROW(DB!A$2:A$2576)/((($D$3&lt;&gt;"YES")+($D$3="YES")*(DB!E$2:E$2576="YES"))*(($D$4="")+($D$4&lt;&gt;"")*( DB!B$2:B$2576=$D$4))*(($D$5="")+($D$5&lt;&gt;"")*( DB!C$2:C$2576=$D$5))*(($D$6="")+($D$6&lt;&gt;"")*( DB!D$2:D$2576=$D$6))*(($D$7="")+($D$7&lt;&gt;"")*(ISNUMBER(SEARCH($D$7,DB!G$2:G$2576))))*(($F$7="전체")+($F$7&lt;&gt;"전체")*(DB!H$2:H$2576=$F$7))),ROW()-13)-1,"")</f>
        <v/>
      </c>
      <c r="Q733" t="str" cm="1">
        <f t="array" ref="Q733">IFERROR(INDEX(DB!G$2:G$2576,P733),"")</f>
        <v/>
      </c>
      <c r="R733" t="str" cm="1">
        <f t="array" ref="R733">IFERROR(INDEX(DB!O$2:O$2576,P733),"")</f>
        <v/>
      </c>
      <c r="S733" t="str">
        <f t="shared" si="36"/>
        <v/>
      </c>
      <c r="T733" t="str">
        <f t="shared" si="37"/>
        <v/>
      </c>
    </row>
    <row r="734" spans="1:20" ht="100" customHeight="1">
      <c r="A734" s="26"/>
      <c r="B734" s="39" t="str">
        <f t="shared" si="35"/>
        <v/>
      </c>
      <c r="C734" s="43"/>
      <c r="D734" s="51" t="str" cm="1">
        <f t="array" ref="D734">IFERROR(INDEX(DB!G$2:G$2576,T734),"")</f>
        <v/>
      </c>
      <c r="E734" s="43"/>
      <c r="F734" s="52" t="str" cm="1">
        <f t="array" ref="F734">IFERROR(INDEX(DB!O$2:O$2576,T734),"")</f>
        <v/>
      </c>
      <c r="G734" s="43"/>
      <c r="H734" s="40" t="str" cm="1">
        <f t="array" ref="H734">IFERROR(INDEX(DB!P$2:P$2576,T734),"")</f>
        <v/>
      </c>
      <c r="I734" s="43"/>
      <c r="J734" s="53" t="str" cm="1">
        <f t="array" ref="J734">IFERROR(INDEX(DB!Q$2:Q$2576,T734),"")</f>
        <v/>
      </c>
      <c r="K734" s="43"/>
      <c r="L734" s="41" t="str" cm="1">
        <f t="array" ref="L734">IFERROR(INDEX(DB!R$2:R$2576,T734),"")</f>
        <v/>
      </c>
      <c r="M734" s="43"/>
      <c r="P734" t="str" cm="1">
        <f t="array" ref="P734">IFERROR(_xlfn.AGGREGATE(15,6,ROW(DB!A$2:A$2576)/((($D$3&lt;&gt;"YES")+($D$3="YES")*(DB!E$2:E$2576="YES"))*(($D$4="")+($D$4&lt;&gt;"")*( DB!B$2:B$2576=$D$4))*(($D$5="")+($D$5&lt;&gt;"")*( DB!C$2:C$2576=$D$5))*(($D$6="")+($D$6&lt;&gt;"")*( DB!D$2:D$2576=$D$6))*(($D$7="")+($D$7&lt;&gt;"")*(ISNUMBER(SEARCH($D$7,DB!G$2:G$2576))))*(($F$7="전체")+($F$7&lt;&gt;"전체")*(DB!H$2:H$2576=$F$7))),ROW()-13)-1,"")</f>
        <v/>
      </c>
      <c r="Q734" t="str" cm="1">
        <f t="array" ref="Q734">IFERROR(INDEX(DB!G$2:G$2576,P734),"")</f>
        <v/>
      </c>
      <c r="R734" t="str" cm="1">
        <f t="array" ref="R734">IFERROR(INDEX(DB!O$2:O$2576,P734),"")</f>
        <v/>
      </c>
      <c r="S734" t="str">
        <f t="shared" si="36"/>
        <v/>
      </c>
      <c r="T734" t="str">
        <f t="shared" si="37"/>
        <v/>
      </c>
    </row>
    <row r="735" spans="1:20" ht="100" customHeight="1">
      <c r="A735" s="26"/>
      <c r="B735" s="42" t="str">
        <f t="shared" si="35"/>
        <v/>
      </c>
      <c r="C735" s="43"/>
      <c r="D735" s="51" t="str" cm="1">
        <f t="array" ref="D735">IFERROR(INDEX(DB!G$2:G$2576,T735),"")</f>
        <v/>
      </c>
      <c r="E735" s="43"/>
      <c r="F735" s="52" t="str" cm="1">
        <f t="array" ref="F735">IFERROR(INDEX(DB!O$2:O$2576,T735),"")</f>
        <v/>
      </c>
      <c r="G735" s="43"/>
      <c r="H735" s="40" t="str" cm="1">
        <f t="array" ref="H735">IFERROR(INDEX(DB!P$2:P$2576,T735),"")</f>
        <v/>
      </c>
      <c r="I735" s="43"/>
      <c r="J735" s="53" t="str" cm="1">
        <f t="array" ref="J735">IFERROR(INDEX(DB!Q$2:Q$2576,T735),"")</f>
        <v/>
      </c>
      <c r="K735" s="43"/>
      <c r="L735" s="41" t="str" cm="1">
        <f t="array" ref="L735">IFERROR(INDEX(DB!R$2:R$2576,T735),"")</f>
        <v/>
      </c>
      <c r="M735" s="43"/>
      <c r="P735" t="str" cm="1">
        <f t="array" ref="P735">IFERROR(_xlfn.AGGREGATE(15,6,ROW(DB!A$2:A$2576)/((($D$3&lt;&gt;"YES")+($D$3="YES")*(DB!E$2:E$2576="YES"))*(($D$4="")+($D$4&lt;&gt;"")*( DB!B$2:B$2576=$D$4))*(($D$5="")+($D$5&lt;&gt;"")*( DB!C$2:C$2576=$D$5))*(($D$6="")+($D$6&lt;&gt;"")*( DB!D$2:D$2576=$D$6))*(($D$7="")+($D$7&lt;&gt;"")*(ISNUMBER(SEARCH($D$7,DB!G$2:G$2576))))*(($F$7="전체")+($F$7&lt;&gt;"전체")*(DB!H$2:H$2576=$F$7))),ROW()-13)-1,"")</f>
        <v/>
      </c>
      <c r="Q735" t="str" cm="1">
        <f t="array" ref="Q735">IFERROR(INDEX(DB!G$2:G$2576,P735),"")</f>
        <v/>
      </c>
      <c r="R735" t="str" cm="1">
        <f t="array" ref="R735">IFERROR(INDEX(DB!O$2:O$2576,P735),"")</f>
        <v/>
      </c>
      <c r="S735" t="str">
        <f t="shared" si="36"/>
        <v/>
      </c>
      <c r="T735" t="str">
        <f t="shared" si="37"/>
        <v/>
      </c>
    </row>
    <row r="736" spans="1:20" ht="100" customHeight="1">
      <c r="A736" s="26"/>
      <c r="B736" s="39" t="str">
        <f t="shared" si="35"/>
        <v/>
      </c>
      <c r="C736" s="43"/>
      <c r="D736" s="51" t="str" cm="1">
        <f t="array" ref="D736">IFERROR(INDEX(DB!G$2:G$2576,T736),"")</f>
        <v/>
      </c>
      <c r="E736" s="43"/>
      <c r="F736" s="52" t="str" cm="1">
        <f t="array" ref="F736">IFERROR(INDEX(DB!O$2:O$2576,T736),"")</f>
        <v/>
      </c>
      <c r="G736" s="43"/>
      <c r="H736" s="40" t="str" cm="1">
        <f t="array" ref="H736">IFERROR(INDEX(DB!P$2:P$2576,T736),"")</f>
        <v/>
      </c>
      <c r="I736" s="43"/>
      <c r="J736" s="53" t="str" cm="1">
        <f t="array" ref="J736">IFERROR(INDEX(DB!Q$2:Q$2576,T736),"")</f>
        <v/>
      </c>
      <c r="K736" s="43"/>
      <c r="L736" s="41" t="str" cm="1">
        <f t="array" ref="L736">IFERROR(INDEX(DB!R$2:R$2576,T736),"")</f>
        <v/>
      </c>
      <c r="M736" s="43"/>
      <c r="P736" t="str" cm="1">
        <f t="array" ref="P736">IFERROR(_xlfn.AGGREGATE(15,6,ROW(DB!A$2:A$2576)/((($D$3&lt;&gt;"YES")+($D$3="YES")*(DB!E$2:E$2576="YES"))*(($D$4="")+($D$4&lt;&gt;"")*( DB!B$2:B$2576=$D$4))*(($D$5="")+($D$5&lt;&gt;"")*( DB!C$2:C$2576=$D$5))*(($D$6="")+($D$6&lt;&gt;"")*( DB!D$2:D$2576=$D$6))*(($D$7="")+($D$7&lt;&gt;"")*(ISNUMBER(SEARCH($D$7,DB!G$2:G$2576))))*(($F$7="전체")+($F$7&lt;&gt;"전체")*(DB!H$2:H$2576=$F$7))),ROW()-13)-1,"")</f>
        <v/>
      </c>
      <c r="Q736" t="str" cm="1">
        <f t="array" ref="Q736">IFERROR(INDEX(DB!G$2:G$2576,P736),"")</f>
        <v/>
      </c>
      <c r="R736" t="str" cm="1">
        <f t="array" ref="R736">IFERROR(INDEX(DB!O$2:O$2576,P736),"")</f>
        <v/>
      </c>
      <c r="S736" t="str">
        <f t="shared" si="36"/>
        <v/>
      </c>
      <c r="T736" t="str">
        <f t="shared" si="37"/>
        <v/>
      </c>
    </row>
    <row r="737" spans="1:20" ht="100" customHeight="1">
      <c r="A737" s="26"/>
      <c r="B737" s="42" t="str">
        <f t="shared" si="35"/>
        <v/>
      </c>
      <c r="C737" s="43"/>
      <c r="D737" s="51" t="str" cm="1">
        <f t="array" ref="D737">IFERROR(INDEX(DB!G$2:G$2576,T737),"")</f>
        <v/>
      </c>
      <c r="E737" s="43"/>
      <c r="F737" s="52" t="str" cm="1">
        <f t="array" ref="F737">IFERROR(INDEX(DB!O$2:O$2576,T737),"")</f>
        <v/>
      </c>
      <c r="G737" s="43"/>
      <c r="H737" s="40" t="str" cm="1">
        <f t="array" ref="H737">IFERROR(INDEX(DB!P$2:P$2576,T737),"")</f>
        <v/>
      </c>
      <c r="I737" s="43"/>
      <c r="J737" s="53" t="str" cm="1">
        <f t="array" ref="J737">IFERROR(INDEX(DB!Q$2:Q$2576,T737),"")</f>
        <v/>
      </c>
      <c r="K737" s="43"/>
      <c r="L737" s="41" t="str" cm="1">
        <f t="array" ref="L737">IFERROR(INDEX(DB!R$2:R$2576,T737),"")</f>
        <v/>
      </c>
      <c r="M737" s="43"/>
      <c r="P737" t="str" cm="1">
        <f t="array" ref="P737">IFERROR(_xlfn.AGGREGATE(15,6,ROW(DB!A$2:A$2576)/((($D$3&lt;&gt;"YES")+($D$3="YES")*(DB!E$2:E$2576="YES"))*(($D$4="")+($D$4&lt;&gt;"")*( DB!B$2:B$2576=$D$4))*(($D$5="")+($D$5&lt;&gt;"")*( DB!C$2:C$2576=$D$5))*(($D$6="")+($D$6&lt;&gt;"")*( DB!D$2:D$2576=$D$6))*(($D$7="")+($D$7&lt;&gt;"")*(ISNUMBER(SEARCH($D$7,DB!G$2:G$2576))))*(($F$7="전체")+($F$7&lt;&gt;"전체")*(DB!H$2:H$2576=$F$7))),ROW()-13)-1,"")</f>
        <v/>
      </c>
      <c r="Q737" t="str" cm="1">
        <f t="array" ref="Q737">IFERROR(INDEX(DB!G$2:G$2576,P737),"")</f>
        <v/>
      </c>
      <c r="R737" t="str" cm="1">
        <f t="array" ref="R737">IFERROR(INDEX(DB!O$2:O$2576,P737),"")</f>
        <v/>
      </c>
      <c r="S737" t="str">
        <f t="shared" si="36"/>
        <v/>
      </c>
      <c r="T737" t="str">
        <f t="shared" si="37"/>
        <v/>
      </c>
    </row>
    <row r="738" spans="1:20" ht="100" customHeight="1">
      <c r="A738" s="26"/>
      <c r="B738" s="39" t="str">
        <f t="shared" si="35"/>
        <v/>
      </c>
      <c r="C738" s="43"/>
      <c r="D738" s="51" t="str" cm="1">
        <f t="array" ref="D738">IFERROR(INDEX(DB!G$2:G$2576,T738),"")</f>
        <v/>
      </c>
      <c r="E738" s="43"/>
      <c r="F738" s="52" t="str" cm="1">
        <f t="array" ref="F738">IFERROR(INDEX(DB!O$2:O$2576,T738),"")</f>
        <v/>
      </c>
      <c r="G738" s="43"/>
      <c r="H738" s="40" t="str" cm="1">
        <f t="array" ref="H738">IFERROR(INDEX(DB!P$2:P$2576,T738),"")</f>
        <v/>
      </c>
      <c r="I738" s="43"/>
      <c r="J738" s="53" t="str" cm="1">
        <f t="array" ref="J738">IFERROR(INDEX(DB!Q$2:Q$2576,T738),"")</f>
        <v/>
      </c>
      <c r="K738" s="43"/>
      <c r="L738" s="41" t="str" cm="1">
        <f t="array" ref="L738">IFERROR(INDEX(DB!R$2:R$2576,T738),"")</f>
        <v/>
      </c>
      <c r="M738" s="43"/>
      <c r="P738" t="str" cm="1">
        <f t="array" ref="P738">IFERROR(_xlfn.AGGREGATE(15,6,ROW(DB!A$2:A$2576)/((($D$3&lt;&gt;"YES")+($D$3="YES")*(DB!E$2:E$2576="YES"))*(($D$4="")+($D$4&lt;&gt;"")*( DB!B$2:B$2576=$D$4))*(($D$5="")+($D$5&lt;&gt;"")*( DB!C$2:C$2576=$D$5))*(($D$6="")+($D$6&lt;&gt;"")*( DB!D$2:D$2576=$D$6))*(($D$7="")+($D$7&lt;&gt;"")*(ISNUMBER(SEARCH($D$7,DB!G$2:G$2576))))*(($F$7="전체")+($F$7&lt;&gt;"전체")*(DB!H$2:H$2576=$F$7))),ROW()-13)-1,"")</f>
        <v/>
      </c>
      <c r="Q738" t="str" cm="1">
        <f t="array" ref="Q738">IFERROR(INDEX(DB!G$2:G$2576,P738),"")</f>
        <v/>
      </c>
      <c r="R738" t="str" cm="1">
        <f t="array" ref="R738">IFERROR(INDEX(DB!O$2:O$2576,P738),"")</f>
        <v/>
      </c>
      <c r="S738" t="str">
        <f t="shared" si="36"/>
        <v/>
      </c>
      <c r="T738" t="str">
        <f t="shared" si="37"/>
        <v/>
      </c>
    </row>
    <row r="739" spans="1:20" ht="100" customHeight="1">
      <c r="A739" s="26"/>
      <c r="B739" s="42" t="str">
        <f t="shared" si="35"/>
        <v/>
      </c>
      <c r="C739" s="43"/>
      <c r="D739" s="51" t="str" cm="1">
        <f t="array" ref="D739">IFERROR(INDEX(DB!G$2:G$2576,T739),"")</f>
        <v/>
      </c>
      <c r="E739" s="43"/>
      <c r="F739" s="52" t="str" cm="1">
        <f t="array" ref="F739">IFERROR(INDEX(DB!O$2:O$2576,T739),"")</f>
        <v/>
      </c>
      <c r="G739" s="43"/>
      <c r="H739" s="40" t="str" cm="1">
        <f t="array" ref="H739">IFERROR(INDEX(DB!P$2:P$2576,T739),"")</f>
        <v/>
      </c>
      <c r="I739" s="43"/>
      <c r="J739" s="53" t="str" cm="1">
        <f t="array" ref="J739">IFERROR(INDEX(DB!Q$2:Q$2576,T739),"")</f>
        <v/>
      </c>
      <c r="K739" s="43"/>
      <c r="L739" s="41" t="str" cm="1">
        <f t="array" ref="L739">IFERROR(INDEX(DB!R$2:R$2576,T739),"")</f>
        <v/>
      </c>
      <c r="M739" s="43"/>
      <c r="P739" t="str" cm="1">
        <f t="array" ref="P739">IFERROR(_xlfn.AGGREGATE(15,6,ROW(DB!A$2:A$2576)/((($D$3&lt;&gt;"YES")+($D$3="YES")*(DB!E$2:E$2576="YES"))*(($D$4="")+($D$4&lt;&gt;"")*( DB!B$2:B$2576=$D$4))*(($D$5="")+($D$5&lt;&gt;"")*( DB!C$2:C$2576=$D$5))*(($D$6="")+($D$6&lt;&gt;"")*( DB!D$2:D$2576=$D$6))*(($D$7="")+($D$7&lt;&gt;"")*(ISNUMBER(SEARCH($D$7,DB!G$2:G$2576))))*(($F$7="전체")+($F$7&lt;&gt;"전체")*(DB!H$2:H$2576=$F$7))),ROW()-13)-1,"")</f>
        <v/>
      </c>
      <c r="Q739" t="str" cm="1">
        <f t="array" ref="Q739">IFERROR(INDEX(DB!G$2:G$2576,P739),"")</f>
        <v/>
      </c>
      <c r="R739" t="str" cm="1">
        <f t="array" ref="R739">IFERROR(INDEX(DB!O$2:O$2576,P739),"")</f>
        <v/>
      </c>
      <c r="S739" t="str">
        <f t="shared" si="36"/>
        <v/>
      </c>
      <c r="T739" t="str">
        <f t="shared" si="37"/>
        <v/>
      </c>
    </row>
    <row r="740" spans="1:20" ht="100" customHeight="1">
      <c r="A740" s="26"/>
      <c r="B740" s="39" t="str">
        <f t="shared" si="35"/>
        <v/>
      </c>
      <c r="C740" s="43"/>
      <c r="D740" s="51" t="str" cm="1">
        <f t="array" ref="D740">IFERROR(INDEX(DB!G$2:G$2576,T740),"")</f>
        <v/>
      </c>
      <c r="E740" s="43"/>
      <c r="F740" s="52" t="str" cm="1">
        <f t="array" ref="F740">IFERROR(INDEX(DB!O$2:O$2576,T740),"")</f>
        <v/>
      </c>
      <c r="G740" s="43"/>
      <c r="H740" s="40" t="str" cm="1">
        <f t="array" ref="H740">IFERROR(INDEX(DB!P$2:P$2576,T740),"")</f>
        <v/>
      </c>
      <c r="I740" s="43"/>
      <c r="J740" s="53" t="str" cm="1">
        <f t="array" ref="J740">IFERROR(INDEX(DB!Q$2:Q$2576,T740),"")</f>
        <v/>
      </c>
      <c r="K740" s="43"/>
      <c r="L740" s="41" t="str" cm="1">
        <f t="array" ref="L740">IFERROR(INDEX(DB!R$2:R$2576,T740),"")</f>
        <v/>
      </c>
      <c r="M740" s="43"/>
      <c r="P740" t="str" cm="1">
        <f t="array" ref="P740">IFERROR(_xlfn.AGGREGATE(15,6,ROW(DB!A$2:A$2576)/((($D$3&lt;&gt;"YES")+($D$3="YES")*(DB!E$2:E$2576="YES"))*(($D$4="")+($D$4&lt;&gt;"")*( DB!B$2:B$2576=$D$4))*(($D$5="")+($D$5&lt;&gt;"")*( DB!C$2:C$2576=$D$5))*(($D$6="")+($D$6&lt;&gt;"")*( DB!D$2:D$2576=$D$6))*(($D$7="")+($D$7&lt;&gt;"")*(ISNUMBER(SEARCH($D$7,DB!G$2:G$2576))))*(($F$7="전체")+($F$7&lt;&gt;"전체")*(DB!H$2:H$2576=$F$7))),ROW()-13)-1,"")</f>
        <v/>
      </c>
      <c r="Q740" t="str" cm="1">
        <f t="array" ref="Q740">IFERROR(INDEX(DB!G$2:G$2576,P740),"")</f>
        <v/>
      </c>
      <c r="R740" t="str" cm="1">
        <f t="array" ref="R740">IFERROR(INDEX(DB!O$2:O$2576,P740),"")</f>
        <v/>
      </c>
      <c r="S740" t="str">
        <f t="shared" si="36"/>
        <v/>
      </c>
      <c r="T740" t="str">
        <f t="shared" si="37"/>
        <v/>
      </c>
    </row>
    <row r="741" spans="1:20" ht="100" customHeight="1">
      <c r="A741" s="26"/>
      <c r="B741" s="42" t="str">
        <f t="shared" si="35"/>
        <v/>
      </c>
      <c r="C741" s="43"/>
      <c r="D741" s="51" t="str" cm="1">
        <f t="array" ref="D741">IFERROR(INDEX(DB!G$2:G$2576,T741),"")</f>
        <v/>
      </c>
      <c r="E741" s="43"/>
      <c r="F741" s="52" t="str" cm="1">
        <f t="array" ref="F741">IFERROR(INDEX(DB!O$2:O$2576,T741),"")</f>
        <v/>
      </c>
      <c r="G741" s="43"/>
      <c r="H741" s="40" t="str" cm="1">
        <f t="array" ref="H741">IFERROR(INDEX(DB!P$2:P$2576,T741),"")</f>
        <v/>
      </c>
      <c r="I741" s="43"/>
      <c r="J741" s="53" t="str" cm="1">
        <f t="array" ref="J741">IFERROR(INDEX(DB!Q$2:Q$2576,T741),"")</f>
        <v/>
      </c>
      <c r="K741" s="43"/>
      <c r="L741" s="41" t="str" cm="1">
        <f t="array" ref="L741">IFERROR(INDEX(DB!R$2:R$2576,T741),"")</f>
        <v/>
      </c>
      <c r="M741" s="43"/>
      <c r="P741" t="str" cm="1">
        <f t="array" ref="P741">IFERROR(_xlfn.AGGREGATE(15,6,ROW(DB!A$2:A$2576)/((($D$3&lt;&gt;"YES")+($D$3="YES")*(DB!E$2:E$2576="YES"))*(($D$4="")+($D$4&lt;&gt;"")*( DB!B$2:B$2576=$D$4))*(($D$5="")+($D$5&lt;&gt;"")*( DB!C$2:C$2576=$D$5))*(($D$6="")+($D$6&lt;&gt;"")*( DB!D$2:D$2576=$D$6))*(($D$7="")+($D$7&lt;&gt;"")*(ISNUMBER(SEARCH($D$7,DB!G$2:G$2576))))*(($F$7="전체")+($F$7&lt;&gt;"전체")*(DB!H$2:H$2576=$F$7))),ROW()-13)-1,"")</f>
        <v/>
      </c>
      <c r="Q741" t="str" cm="1">
        <f t="array" ref="Q741">IFERROR(INDEX(DB!G$2:G$2576,P741),"")</f>
        <v/>
      </c>
      <c r="R741" t="str" cm="1">
        <f t="array" ref="R741">IFERROR(INDEX(DB!O$2:O$2576,P741),"")</f>
        <v/>
      </c>
      <c r="S741" t="str">
        <f t="shared" si="36"/>
        <v/>
      </c>
      <c r="T741" t="str">
        <f t="shared" si="37"/>
        <v/>
      </c>
    </row>
    <row r="742" spans="1:20" ht="100" customHeight="1">
      <c r="A742" s="26"/>
      <c r="B742" s="39" t="str">
        <f t="shared" si="35"/>
        <v/>
      </c>
      <c r="C742" s="43"/>
      <c r="D742" s="51" t="str" cm="1">
        <f t="array" ref="D742">IFERROR(INDEX(DB!G$2:G$2576,T742),"")</f>
        <v/>
      </c>
      <c r="E742" s="43"/>
      <c r="F742" s="52" t="str" cm="1">
        <f t="array" ref="F742">IFERROR(INDEX(DB!O$2:O$2576,T742),"")</f>
        <v/>
      </c>
      <c r="G742" s="43"/>
      <c r="H742" s="40" t="str" cm="1">
        <f t="array" ref="H742">IFERROR(INDEX(DB!P$2:P$2576,T742),"")</f>
        <v/>
      </c>
      <c r="I742" s="43"/>
      <c r="J742" s="53" t="str" cm="1">
        <f t="array" ref="J742">IFERROR(INDEX(DB!Q$2:Q$2576,T742),"")</f>
        <v/>
      </c>
      <c r="K742" s="43"/>
      <c r="L742" s="41" t="str" cm="1">
        <f t="array" ref="L742">IFERROR(INDEX(DB!R$2:R$2576,T742),"")</f>
        <v/>
      </c>
      <c r="M742" s="43"/>
      <c r="P742" t="str" cm="1">
        <f t="array" ref="P742">IFERROR(_xlfn.AGGREGATE(15,6,ROW(DB!A$2:A$2576)/((($D$3&lt;&gt;"YES")+($D$3="YES")*(DB!E$2:E$2576="YES"))*(($D$4="")+($D$4&lt;&gt;"")*( DB!B$2:B$2576=$D$4))*(($D$5="")+($D$5&lt;&gt;"")*( DB!C$2:C$2576=$D$5))*(($D$6="")+($D$6&lt;&gt;"")*( DB!D$2:D$2576=$D$6))*(($D$7="")+($D$7&lt;&gt;"")*(ISNUMBER(SEARCH($D$7,DB!G$2:G$2576))))*(($F$7="전체")+($F$7&lt;&gt;"전체")*(DB!H$2:H$2576=$F$7))),ROW()-13)-1,"")</f>
        <v/>
      </c>
      <c r="Q742" t="str" cm="1">
        <f t="array" ref="Q742">IFERROR(INDEX(DB!G$2:G$2576,P742),"")</f>
        <v/>
      </c>
      <c r="R742" t="str" cm="1">
        <f t="array" ref="R742">IFERROR(INDEX(DB!O$2:O$2576,P742),"")</f>
        <v/>
      </c>
      <c r="S742" t="str">
        <f t="shared" si="36"/>
        <v/>
      </c>
      <c r="T742" t="str">
        <f t="shared" si="37"/>
        <v/>
      </c>
    </row>
    <row r="743" spans="1:20" ht="100" customHeight="1">
      <c r="A743" s="26"/>
      <c r="B743" s="42" t="str">
        <f t="shared" si="35"/>
        <v/>
      </c>
      <c r="C743" s="43"/>
      <c r="D743" s="51" t="str" cm="1">
        <f t="array" ref="D743">IFERROR(INDEX(DB!G$2:G$2576,T743),"")</f>
        <v/>
      </c>
      <c r="E743" s="43"/>
      <c r="F743" s="52" t="str" cm="1">
        <f t="array" ref="F743">IFERROR(INDEX(DB!O$2:O$2576,T743),"")</f>
        <v/>
      </c>
      <c r="G743" s="43"/>
      <c r="H743" s="40" t="str" cm="1">
        <f t="array" ref="H743">IFERROR(INDEX(DB!P$2:P$2576,T743),"")</f>
        <v/>
      </c>
      <c r="I743" s="43"/>
      <c r="J743" s="53" t="str" cm="1">
        <f t="array" ref="J743">IFERROR(INDEX(DB!Q$2:Q$2576,T743),"")</f>
        <v/>
      </c>
      <c r="K743" s="43"/>
      <c r="L743" s="41" t="str" cm="1">
        <f t="array" ref="L743">IFERROR(INDEX(DB!R$2:R$2576,T743),"")</f>
        <v/>
      </c>
      <c r="M743" s="43"/>
      <c r="P743" t="str" cm="1">
        <f t="array" ref="P743">IFERROR(_xlfn.AGGREGATE(15,6,ROW(DB!A$2:A$2576)/((($D$3&lt;&gt;"YES")+($D$3="YES")*(DB!E$2:E$2576="YES"))*(($D$4="")+($D$4&lt;&gt;"")*( DB!B$2:B$2576=$D$4))*(($D$5="")+($D$5&lt;&gt;"")*( DB!C$2:C$2576=$D$5))*(($D$6="")+($D$6&lt;&gt;"")*( DB!D$2:D$2576=$D$6))*(($D$7="")+($D$7&lt;&gt;"")*(ISNUMBER(SEARCH($D$7,DB!G$2:G$2576))))*(($F$7="전체")+($F$7&lt;&gt;"전체")*(DB!H$2:H$2576=$F$7))),ROW()-13)-1,"")</f>
        <v/>
      </c>
      <c r="Q743" t="str" cm="1">
        <f t="array" ref="Q743">IFERROR(INDEX(DB!G$2:G$2576,P743),"")</f>
        <v/>
      </c>
      <c r="R743" t="str" cm="1">
        <f t="array" ref="R743">IFERROR(INDEX(DB!O$2:O$2576,P743),"")</f>
        <v/>
      </c>
      <c r="S743" t="str">
        <f t="shared" si="36"/>
        <v/>
      </c>
      <c r="T743" t="str">
        <f t="shared" si="37"/>
        <v/>
      </c>
    </row>
    <row r="744" spans="1:20" ht="100" customHeight="1">
      <c r="A744" s="26"/>
      <c r="B744" s="39" t="str">
        <f t="shared" si="35"/>
        <v/>
      </c>
      <c r="C744" s="43"/>
      <c r="D744" s="51" t="str" cm="1">
        <f t="array" ref="D744">IFERROR(INDEX(DB!G$2:G$2576,T744),"")</f>
        <v/>
      </c>
      <c r="E744" s="43"/>
      <c r="F744" s="52" t="str" cm="1">
        <f t="array" ref="F744">IFERROR(INDEX(DB!O$2:O$2576,T744),"")</f>
        <v/>
      </c>
      <c r="G744" s="43"/>
      <c r="H744" s="40" t="str" cm="1">
        <f t="array" ref="H744">IFERROR(INDEX(DB!P$2:P$2576,T744),"")</f>
        <v/>
      </c>
      <c r="I744" s="43"/>
      <c r="J744" s="53" t="str" cm="1">
        <f t="array" ref="J744">IFERROR(INDEX(DB!Q$2:Q$2576,T744),"")</f>
        <v/>
      </c>
      <c r="K744" s="43"/>
      <c r="L744" s="41" t="str" cm="1">
        <f t="array" ref="L744">IFERROR(INDEX(DB!R$2:R$2576,T744),"")</f>
        <v/>
      </c>
      <c r="M744" s="43"/>
      <c r="P744" t="str" cm="1">
        <f t="array" ref="P744">IFERROR(_xlfn.AGGREGATE(15,6,ROW(DB!A$2:A$2576)/((($D$3&lt;&gt;"YES")+($D$3="YES")*(DB!E$2:E$2576="YES"))*(($D$4="")+($D$4&lt;&gt;"")*( DB!B$2:B$2576=$D$4))*(($D$5="")+($D$5&lt;&gt;"")*( DB!C$2:C$2576=$D$5))*(($D$6="")+($D$6&lt;&gt;"")*( DB!D$2:D$2576=$D$6))*(($D$7="")+($D$7&lt;&gt;"")*(ISNUMBER(SEARCH($D$7,DB!G$2:G$2576))))*(($F$7="전체")+($F$7&lt;&gt;"전체")*(DB!H$2:H$2576=$F$7))),ROW()-13)-1,"")</f>
        <v/>
      </c>
      <c r="Q744" t="str" cm="1">
        <f t="array" ref="Q744">IFERROR(INDEX(DB!G$2:G$2576,P744),"")</f>
        <v/>
      </c>
      <c r="R744" t="str" cm="1">
        <f t="array" ref="R744">IFERROR(INDEX(DB!O$2:O$2576,P744),"")</f>
        <v/>
      </c>
      <c r="S744" t="str">
        <f t="shared" si="36"/>
        <v/>
      </c>
      <c r="T744" t="str">
        <f t="shared" si="37"/>
        <v/>
      </c>
    </row>
    <row r="745" spans="1:20" ht="100" customHeight="1">
      <c r="A745" s="26"/>
      <c r="B745" s="42" t="str">
        <f t="shared" si="35"/>
        <v/>
      </c>
      <c r="C745" s="43"/>
      <c r="D745" s="51" t="str" cm="1">
        <f t="array" ref="D745">IFERROR(INDEX(DB!G$2:G$2576,T745),"")</f>
        <v/>
      </c>
      <c r="E745" s="43"/>
      <c r="F745" s="52" t="str" cm="1">
        <f t="array" ref="F745">IFERROR(INDEX(DB!O$2:O$2576,T745),"")</f>
        <v/>
      </c>
      <c r="G745" s="43"/>
      <c r="H745" s="40" t="str" cm="1">
        <f t="array" ref="H745">IFERROR(INDEX(DB!P$2:P$2576,T745),"")</f>
        <v/>
      </c>
      <c r="I745" s="43"/>
      <c r="J745" s="53" t="str" cm="1">
        <f t="array" ref="J745">IFERROR(INDEX(DB!Q$2:Q$2576,T745),"")</f>
        <v/>
      </c>
      <c r="K745" s="43"/>
      <c r="L745" s="41" t="str" cm="1">
        <f t="array" ref="L745">IFERROR(INDEX(DB!R$2:R$2576,T745),"")</f>
        <v/>
      </c>
      <c r="M745" s="43"/>
      <c r="P745" t="str" cm="1">
        <f t="array" ref="P745">IFERROR(_xlfn.AGGREGATE(15,6,ROW(DB!A$2:A$2576)/((($D$3&lt;&gt;"YES")+($D$3="YES")*(DB!E$2:E$2576="YES"))*(($D$4="")+($D$4&lt;&gt;"")*( DB!B$2:B$2576=$D$4))*(($D$5="")+($D$5&lt;&gt;"")*( DB!C$2:C$2576=$D$5))*(($D$6="")+($D$6&lt;&gt;"")*( DB!D$2:D$2576=$D$6))*(($D$7="")+($D$7&lt;&gt;"")*(ISNUMBER(SEARCH($D$7,DB!G$2:G$2576))))*(($F$7="전체")+($F$7&lt;&gt;"전체")*(DB!H$2:H$2576=$F$7))),ROW()-13)-1,"")</f>
        <v/>
      </c>
      <c r="Q745" t="str" cm="1">
        <f t="array" ref="Q745">IFERROR(INDEX(DB!G$2:G$2576,P745),"")</f>
        <v/>
      </c>
      <c r="R745" t="str" cm="1">
        <f t="array" ref="R745">IFERROR(INDEX(DB!O$2:O$2576,P745),"")</f>
        <v/>
      </c>
      <c r="S745" t="str">
        <f t="shared" si="36"/>
        <v/>
      </c>
      <c r="T745" t="str">
        <f t="shared" si="37"/>
        <v/>
      </c>
    </row>
    <row r="746" spans="1:20" ht="100" customHeight="1">
      <c r="A746" s="26"/>
      <c r="B746" s="39" t="str">
        <f t="shared" si="35"/>
        <v/>
      </c>
      <c r="C746" s="43"/>
      <c r="D746" s="51" t="str" cm="1">
        <f t="array" ref="D746">IFERROR(INDEX(DB!G$2:G$2576,T746),"")</f>
        <v/>
      </c>
      <c r="E746" s="43"/>
      <c r="F746" s="52" t="str" cm="1">
        <f t="array" ref="F746">IFERROR(INDEX(DB!O$2:O$2576,T746),"")</f>
        <v/>
      </c>
      <c r="G746" s="43"/>
      <c r="H746" s="40" t="str" cm="1">
        <f t="array" ref="H746">IFERROR(INDEX(DB!P$2:P$2576,T746),"")</f>
        <v/>
      </c>
      <c r="I746" s="43"/>
      <c r="J746" s="53" t="str" cm="1">
        <f t="array" ref="J746">IFERROR(INDEX(DB!Q$2:Q$2576,T746),"")</f>
        <v/>
      </c>
      <c r="K746" s="43"/>
      <c r="L746" s="41" t="str" cm="1">
        <f t="array" ref="L746">IFERROR(INDEX(DB!R$2:R$2576,T746),"")</f>
        <v/>
      </c>
      <c r="M746" s="43"/>
      <c r="P746" t="str" cm="1">
        <f t="array" ref="P746">IFERROR(_xlfn.AGGREGATE(15,6,ROW(DB!A$2:A$2576)/((($D$3&lt;&gt;"YES")+($D$3="YES")*(DB!E$2:E$2576="YES"))*(($D$4="")+($D$4&lt;&gt;"")*( DB!B$2:B$2576=$D$4))*(($D$5="")+($D$5&lt;&gt;"")*( DB!C$2:C$2576=$D$5))*(($D$6="")+($D$6&lt;&gt;"")*( DB!D$2:D$2576=$D$6))*(($D$7="")+($D$7&lt;&gt;"")*(ISNUMBER(SEARCH($D$7,DB!G$2:G$2576))))*(($F$7="전체")+($F$7&lt;&gt;"전체")*(DB!H$2:H$2576=$F$7))),ROW()-13)-1,"")</f>
        <v/>
      </c>
      <c r="Q746" t="str" cm="1">
        <f t="array" ref="Q746">IFERROR(INDEX(DB!G$2:G$2576,P746),"")</f>
        <v/>
      </c>
      <c r="R746" t="str" cm="1">
        <f t="array" ref="R746">IFERROR(INDEX(DB!O$2:O$2576,P746),"")</f>
        <v/>
      </c>
      <c r="S746" t="str">
        <f t="shared" si="36"/>
        <v/>
      </c>
      <c r="T746" t="str">
        <f t="shared" si="37"/>
        <v/>
      </c>
    </row>
    <row r="747" spans="1:20" ht="100" customHeight="1">
      <c r="A747" s="26"/>
      <c r="B747" s="42" t="str">
        <f t="shared" si="35"/>
        <v/>
      </c>
      <c r="C747" s="43"/>
      <c r="D747" s="51" t="str" cm="1">
        <f t="array" ref="D747">IFERROR(INDEX(DB!G$2:G$2576,T747),"")</f>
        <v/>
      </c>
      <c r="E747" s="43"/>
      <c r="F747" s="52" t="str" cm="1">
        <f t="array" ref="F747">IFERROR(INDEX(DB!O$2:O$2576,T747),"")</f>
        <v/>
      </c>
      <c r="G747" s="43"/>
      <c r="H747" s="40" t="str" cm="1">
        <f t="array" ref="H747">IFERROR(INDEX(DB!P$2:P$2576,T747),"")</f>
        <v/>
      </c>
      <c r="I747" s="43"/>
      <c r="J747" s="53" t="str" cm="1">
        <f t="array" ref="J747">IFERROR(INDEX(DB!Q$2:Q$2576,T747),"")</f>
        <v/>
      </c>
      <c r="K747" s="43"/>
      <c r="L747" s="41" t="str" cm="1">
        <f t="array" ref="L747">IFERROR(INDEX(DB!R$2:R$2576,T747),"")</f>
        <v/>
      </c>
      <c r="M747" s="43"/>
      <c r="P747" t="str" cm="1">
        <f t="array" ref="P747">IFERROR(_xlfn.AGGREGATE(15,6,ROW(DB!A$2:A$2576)/((($D$3&lt;&gt;"YES")+($D$3="YES")*(DB!E$2:E$2576="YES"))*(($D$4="")+($D$4&lt;&gt;"")*( DB!B$2:B$2576=$D$4))*(($D$5="")+($D$5&lt;&gt;"")*( DB!C$2:C$2576=$D$5))*(($D$6="")+($D$6&lt;&gt;"")*( DB!D$2:D$2576=$D$6))*(($D$7="")+($D$7&lt;&gt;"")*(ISNUMBER(SEARCH($D$7,DB!G$2:G$2576))))*(($F$7="전체")+($F$7&lt;&gt;"전체")*(DB!H$2:H$2576=$F$7))),ROW()-13)-1,"")</f>
        <v/>
      </c>
      <c r="Q747" t="str" cm="1">
        <f t="array" ref="Q747">IFERROR(INDEX(DB!G$2:G$2576,P747),"")</f>
        <v/>
      </c>
      <c r="R747" t="str" cm="1">
        <f t="array" ref="R747">IFERROR(INDEX(DB!O$2:O$2576,P747),"")</f>
        <v/>
      </c>
      <c r="S747" t="str">
        <f t="shared" si="36"/>
        <v/>
      </c>
      <c r="T747" t="str">
        <f t="shared" si="37"/>
        <v/>
      </c>
    </row>
    <row r="748" spans="1:20" ht="100" customHeight="1">
      <c r="A748" s="26"/>
      <c r="B748" s="39" t="str">
        <f t="shared" si="35"/>
        <v/>
      </c>
      <c r="C748" s="43"/>
      <c r="D748" s="51" t="str" cm="1">
        <f t="array" ref="D748">IFERROR(INDEX(DB!G$2:G$2576,T748),"")</f>
        <v/>
      </c>
      <c r="E748" s="43"/>
      <c r="F748" s="52" t="str" cm="1">
        <f t="array" ref="F748">IFERROR(INDEX(DB!O$2:O$2576,T748),"")</f>
        <v/>
      </c>
      <c r="G748" s="43"/>
      <c r="H748" s="40" t="str" cm="1">
        <f t="array" ref="H748">IFERROR(INDEX(DB!P$2:P$2576,T748),"")</f>
        <v/>
      </c>
      <c r="I748" s="43"/>
      <c r="J748" s="53" t="str" cm="1">
        <f t="array" ref="J748">IFERROR(INDEX(DB!Q$2:Q$2576,T748),"")</f>
        <v/>
      </c>
      <c r="K748" s="43"/>
      <c r="L748" s="41" t="str" cm="1">
        <f t="array" ref="L748">IFERROR(INDEX(DB!R$2:R$2576,T748),"")</f>
        <v/>
      </c>
      <c r="M748" s="43"/>
      <c r="P748" t="str" cm="1">
        <f t="array" ref="P748">IFERROR(_xlfn.AGGREGATE(15,6,ROW(DB!A$2:A$2576)/((($D$3&lt;&gt;"YES")+($D$3="YES")*(DB!E$2:E$2576="YES"))*(($D$4="")+($D$4&lt;&gt;"")*( DB!B$2:B$2576=$D$4))*(($D$5="")+($D$5&lt;&gt;"")*( DB!C$2:C$2576=$D$5))*(($D$6="")+($D$6&lt;&gt;"")*( DB!D$2:D$2576=$D$6))*(($D$7="")+($D$7&lt;&gt;"")*(ISNUMBER(SEARCH($D$7,DB!G$2:G$2576))))*(($F$7="전체")+($F$7&lt;&gt;"전체")*(DB!H$2:H$2576=$F$7))),ROW()-13)-1,"")</f>
        <v/>
      </c>
      <c r="Q748" t="str" cm="1">
        <f t="array" ref="Q748">IFERROR(INDEX(DB!G$2:G$2576,P748),"")</f>
        <v/>
      </c>
      <c r="R748" t="str" cm="1">
        <f t="array" ref="R748">IFERROR(INDEX(DB!O$2:O$2576,P748),"")</f>
        <v/>
      </c>
      <c r="S748" t="str">
        <f t="shared" si="36"/>
        <v/>
      </c>
      <c r="T748" t="str">
        <f t="shared" si="37"/>
        <v/>
      </c>
    </row>
    <row r="749" spans="1:20" ht="100" customHeight="1">
      <c r="A749" s="26"/>
      <c r="B749" s="42" t="str">
        <f t="shared" si="35"/>
        <v/>
      </c>
      <c r="C749" s="43"/>
      <c r="D749" s="51" t="str" cm="1">
        <f t="array" ref="D749">IFERROR(INDEX(DB!G$2:G$2576,T749),"")</f>
        <v/>
      </c>
      <c r="E749" s="43"/>
      <c r="F749" s="52" t="str" cm="1">
        <f t="array" ref="F749">IFERROR(INDEX(DB!O$2:O$2576,T749),"")</f>
        <v/>
      </c>
      <c r="G749" s="43"/>
      <c r="H749" s="40" t="str" cm="1">
        <f t="array" ref="H749">IFERROR(INDEX(DB!P$2:P$2576,T749),"")</f>
        <v/>
      </c>
      <c r="I749" s="43"/>
      <c r="J749" s="53" t="str" cm="1">
        <f t="array" ref="J749">IFERROR(INDEX(DB!Q$2:Q$2576,T749),"")</f>
        <v/>
      </c>
      <c r="K749" s="43"/>
      <c r="L749" s="41" t="str" cm="1">
        <f t="array" ref="L749">IFERROR(INDEX(DB!R$2:R$2576,T749),"")</f>
        <v/>
      </c>
      <c r="M749" s="43"/>
      <c r="P749" t="str" cm="1">
        <f t="array" ref="P749">IFERROR(_xlfn.AGGREGATE(15,6,ROW(DB!A$2:A$2576)/((($D$3&lt;&gt;"YES")+($D$3="YES")*(DB!E$2:E$2576="YES"))*(($D$4="")+($D$4&lt;&gt;"")*( DB!B$2:B$2576=$D$4))*(($D$5="")+($D$5&lt;&gt;"")*( DB!C$2:C$2576=$D$5))*(($D$6="")+($D$6&lt;&gt;"")*( DB!D$2:D$2576=$D$6))*(($D$7="")+($D$7&lt;&gt;"")*(ISNUMBER(SEARCH($D$7,DB!G$2:G$2576))))*(($F$7="전체")+($F$7&lt;&gt;"전체")*(DB!H$2:H$2576=$F$7))),ROW()-13)-1,"")</f>
        <v/>
      </c>
      <c r="Q749" t="str" cm="1">
        <f t="array" ref="Q749">IFERROR(INDEX(DB!G$2:G$2576,P749),"")</f>
        <v/>
      </c>
      <c r="R749" t="str" cm="1">
        <f t="array" ref="R749">IFERROR(INDEX(DB!O$2:O$2576,P749),"")</f>
        <v/>
      </c>
      <c r="S749" t="str">
        <f t="shared" si="36"/>
        <v/>
      </c>
      <c r="T749" t="str">
        <f t="shared" si="37"/>
        <v/>
      </c>
    </row>
    <row r="750" spans="1:20" ht="100" customHeight="1">
      <c r="A750" s="26"/>
      <c r="B750" s="39" t="str">
        <f t="shared" si="35"/>
        <v/>
      </c>
      <c r="C750" s="43"/>
      <c r="D750" s="51" t="str" cm="1">
        <f t="array" ref="D750">IFERROR(INDEX(DB!G$2:G$2576,T750),"")</f>
        <v/>
      </c>
      <c r="E750" s="43"/>
      <c r="F750" s="52" t="str" cm="1">
        <f t="array" ref="F750">IFERROR(INDEX(DB!O$2:O$2576,T750),"")</f>
        <v/>
      </c>
      <c r="G750" s="43"/>
      <c r="H750" s="40" t="str" cm="1">
        <f t="array" ref="H750">IFERROR(INDEX(DB!P$2:P$2576,T750),"")</f>
        <v/>
      </c>
      <c r="I750" s="43"/>
      <c r="J750" s="53" t="str" cm="1">
        <f t="array" ref="J750">IFERROR(INDEX(DB!Q$2:Q$2576,T750),"")</f>
        <v/>
      </c>
      <c r="K750" s="43"/>
      <c r="L750" s="41" t="str" cm="1">
        <f t="array" ref="L750">IFERROR(INDEX(DB!R$2:R$2576,T750),"")</f>
        <v/>
      </c>
      <c r="M750" s="43"/>
      <c r="P750" t="str" cm="1">
        <f t="array" ref="P750">IFERROR(_xlfn.AGGREGATE(15,6,ROW(DB!A$2:A$2576)/((($D$3&lt;&gt;"YES")+($D$3="YES")*(DB!E$2:E$2576="YES"))*(($D$4="")+($D$4&lt;&gt;"")*( DB!B$2:B$2576=$D$4))*(($D$5="")+($D$5&lt;&gt;"")*( DB!C$2:C$2576=$D$5))*(($D$6="")+($D$6&lt;&gt;"")*( DB!D$2:D$2576=$D$6))*(($D$7="")+($D$7&lt;&gt;"")*(ISNUMBER(SEARCH($D$7,DB!G$2:G$2576))))*(($F$7="전체")+($F$7&lt;&gt;"전체")*(DB!H$2:H$2576=$F$7))),ROW()-13)-1,"")</f>
        <v/>
      </c>
      <c r="Q750" t="str" cm="1">
        <f t="array" ref="Q750">IFERROR(INDEX(DB!G$2:G$2576,P750),"")</f>
        <v/>
      </c>
      <c r="R750" t="str" cm="1">
        <f t="array" ref="R750">IFERROR(INDEX(DB!O$2:O$2576,P750),"")</f>
        <v/>
      </c>
      <c r="S750" t="str">
        <f t="shared" si="36"/>
        <v/>
      </c>
      <c r="T750" t="str">
        <f t="shared" si="37"/>
        <v/>
      </c>
    </row>
    <row r="751" spans="1:20" ht="100" customHeight="1">
      <c r="A751" s="26"/>
      <c r="B751" s="42" t="str">
        <f t="shared" si="35"/>
        <v/>
      </c>
      <c r="C751" s="43"/>
      <c r="D751" s="51" t="str" cm="1">
        <f t="array" ref="D751">IFERROR(INDEX(DB!G$2:G$2576,T751),"")</f>
        <v/>
      </c>
      <c r="E751" s="43"/>
      <c r="F751" s="52" t="str" cm="1">
        <f t="array" ref="F751">IFERROR(INDEX(DB!O$2:O$2576,T751),"")</f>
        <v/>
      </c>
      <c r="G751" s="43"/>
      <c r="H751" s="40" t="str" cm="1">
        <f t="array" ref="H751">IFERROR(INDEX(DB!P$2:P$2576,T751),"")</f>
        <v/>
      </c>
      <c r="I751" s="43"/>
      <c r="J751" s="53" t="str" cm="1">
        <f t="array" ref="J751">IFERROR(INDEX(DB!Q$2:Q$2576,T751),"")</f>
        <v/>
      </c>
      <c r="K751" s="43"/>
      <c r="L751" s="41" t="str" cm="1">
        <f t="array" ref="L751">IFERROR(INDEX(DB!R$2:R$2576,T751),"")</f>
        <v/>
      </c>
      <c r="M751" s="43"/>
      <c r="P751" t="str" cm="1">
        <f t="array" ref="P751">IFERROR(_xlfn.AGGREGATE(15,6,ROW(DB!A$2:A$2576)/((($D$3&lt;&gt;"YES")+($D$3="YES")*(DB!E$2:E$2576="YES"))*(($D$4="")+($D$4&lt;&gt;"")*( DB!B$2:B$2576=$D$4))*(($D$5="")+($D$5&lt;&gt;"")*( DB!C$2:C$2576=$D$5))*(($D$6="")+($D$6&lt;&gt;"")*( DB!D$2:D$2576=$D$6))*(($D$7="")+($D$7&lt;&gt;"")*(ISNUMBER(SEARCH($D$7,DB!G$2:G$2576))))*(($F$7="전체")+($F$7&lt;&gt;"전체")*(DB!H$2:H$2576=$F$7))),ROW()-13)-1,"")</f>
        <v/>
      </c>
      <c r="Q751" t="str" cm="1">
        <f t="array" ref="Q751">IFERROR(INDEX(DB!G$2:G$2576,P751),"")</f>
        <v/>
      </c>
      <c r="R751" t="str" cm="1">
        <f t="array" ref="R751">IFERROR(INDEX(DB!O$2:O$2576,P751),"")</f>
        <v/>
      </c>
      <c r="S751" t="str">
        <f t="shared" si="36"/>
        <v/>
      </c>
      <c r="T751" t="str">
        <f t="shared" si="37"/>
        <v/>
      </c>
    </row>
    <row r="752" spans="1:20" ht="100" customHeight="1">
      <c r="A752" s="26"/>
      <c r="B752" s="39" t="str">
        <f t="shared" si="35"/>
        <v/>
      </c>
      <c r="C752" s="43"/>
      <c r="D752" s="51" t="str" cm="1">
        <f t="array" ref="D752">IFERROR(INDEX(DB!G$2:G$2576,T752),"")</f>
        <v/>
      </c>
      <c r="E752" s="43"/>
      <c r="F752" s="52" t="str" cm="1">
        <f t="array" ref="F752">IFERROR(INDEX(DB!O$2:O$2576,T752),"")</f>
        <v/>
      </c>
      <c r="G752" s="43"/>
      <c r="H752" s="40" t="str" cm="1">
        <f t="array" ref="H752">IFERROR(INDEX(DB!P$2:P$2576,T752),"")</f>
        <v/>
      </c>
      <c r="I752" s="43"/>
      <c r="J752" s="53" t="str" cm="1">
        <f t="array" ref="J752">IFERROR(INDEX(DB!Q$2:Q$2576,T752),"")</f>
        <v/>
      </c>
      <c r="K752" s="43"/>
      <c r="L752" s="41" t="str" cm="1">
        <f t="array" ref="L752">IFERROR(INDEX(DB!R$2:R$2576,T752),"")</f>
        <v/>
      </c>
      <c r="M752" s="43"/>
      <c r="P752" t="str" cm="1">
        <f t="array" ref="P752">IFERROR(_xlfn.AGGREGATE(15,6,ROW(DB!A$2:A$2576)/((($D$3&lt;&gt;"YES")+($D$3="YES")*(DB!E$2:E$2576="YES"))*(($D$4="")+($D$4&lt;&gt;"")*( DB!B$2:B$2576=$D$4))*(($D$5="")+($D$5&lt;&gt;"")*( DB!C$2:C$2576=$D$5))*(($D$6="")+($D$6&lt;&gt;"")*( DB!D$2:D$2576=$D$6))*(($D$7="")+($D$7&lt;&gt;"")*(ISNUMBER(SEARCH($D$7,DB!G$2:G$2576))))*(($F$7="전체")+($F$7&lt;&gt;"전체")*(DB!H$2:H$2576=$F$7))),ROW()-13)-1,"")</f>
        <v/>
      </c>
      <c r="Q752" t="str" cm="1">
        <f t="array" ref="Q752">IFERROR(INDEX(DB!G$2:G$2576,P752),"")</f>
        <v/>
      </c>
      <c r="R752" t="str" cm="1">
        <f t="array" ref="R752">IFERROR(INDEX(DB!O$2:O$2576,P752),"")</f>
        <v/>
      </c>
      <c r="S752" t="str">
        <f t="shared" si="36"/>
        <v/>
      </c>
      <c r="T752" t="str">
        <f t="shared" si="37"/>
        <v/>
      </c>
    </row>
    <row r="753" spans="1:20" ht="100" customHeight="1">
      <c r="A753" s="26"/>
      <c r="B753" s="42" t="str">
        <f t="shared" si="35"/>
        <v/>
      </c>
      <c r="C753" s="43"/>
      <c r="D753" s="51" t="str" cm="1">
        <f t="array" ref="D753">IFERROR(INDEX(DB!G$2:G$2576,T753),"")</f>
        <v/>
      </c>
      <c r="E753" s="43"/>
      <c r="F753" s="52" t="str" cm="1">
        <f t="array" ref="F753">IFERROR(INDEX(DB!O$2:O$2576,T753),"")</f>
        <v/>
      </c>
      <c r="G753" s="43"/>
      <c r="H753" s="40" t="str" cm="1">
        <f t="array" ref="H753">IFERROR(INDEX(DB!P$2:P$2576,T753),"")</f>
        <v/>
      </c>
      <c r="I753" s="43"/>
      <c r="J753" s="53" t="str" cm="1">
        <f t="array" ref="J753">IFERROR(INDEX(DB!Q$2:Q$2576,T753),"")</f>
        <v/>
      </c>
      <c r="K753" s="43"/>
      <c r="L753" s="41" t="str" cm="1">
        <f t="array" ref="L753">IFERROR(INDEX(DB!R$2:R$2576,T753),"")</f>
        <v/>
      </c>
      <c r="M753" s="43"/>
      <c r="P753" t="str" cm="1">
        <f t="array" ref="P753">IFERROR(_xlfn.AGGREGATE(15,6,ROW(DB!A$2:A$2576)/((($D$3&lt;&gt;"YES")+($D$3="YES")*(DB!E$2:E$2576="YES"))*(($D$4="")+($D$4&lt;&gt;"")*( DB!B$2:B$2576=$D$4))*(($D$5="")+($D$5&lt;&gt;"")*( DB!C$2:C$2576=$D$5))*(($D$6="")+($D$6&lt;&gt;"")*( DB!D$2:D$2576=$D$6))*(($D$7="")+($D$7&lt;&gt;"")*(ISNUMBER(SEARCH($D$7,DB!G$2:G$2576))))*(($F$7="전체")+($F$7&lt;&gt;"전체")*(DB!H$2:H$2576=$F$7))),ROW()-13)-1,"")</f>
        <v/>
      </c>
      <c r="Q753" t="str" cm="1">
        <f t="array" ref="Q753">IFERROR(INDEX(DB!G$2:G$2576,P753),"")</f>
        <v/>
      </c>
      <c r="R753" t="str" cm="1">
        <f t="array" ref="R753">IFERROR(INDEX(DB!O$2:O$2576,P753),"")</f>
        <v/>
      </c>
      <c r="S753" t="str">
        <f t="shared" si="36"/>
        <v/>
      </c>
      <c r="T753" t="str">
        <f t="shared" si="37"/>
        <v/>
      </c>
    </row>
    <row r="754" spans="1:20" ht="100" customHeight="1">
      <c r="A754" s="26"/>
      <c r="B754" s="39" t="str">
        <f t="shared" si="35"/>
        <v/>
      </c>
      <c r="C754" s="43"/>
      <c r="D754" s="51" t="str" cm="1">
        <f t="array" ref="D754">IFERROR(INDEX(DB!G$2:G$2576,T754),"")</f>
        <v/>
      </c>
      <c r="E754" s="43"/>
      <c r="F754" s="52" t="str" cm="1">
        <f t="array" ref="F754">IFERROR(INDEX(DB!O$2:O$2576,T754),"")</f>
        <v/>
      </c>
      <c r="G754" s="43"/>
      <c r="H754" s="40" t="str" cm="1">
        <f t="array" ref="H754">IFERROR(INDEX(DB!P$2:P$2576,T754),"")</f>
        <v/>
      </c>
      <c r="I754" s="43"/>
      <c r="J754" s="53" t="str" cm="1">
        <f t="array" ref="J754">IFERROR(INDEX(DB!Q$2:Q$2576,T754),"")</f>
        <v/>
      </c>
      <c r="K754" s="43"/>
      <c r="L754" s="41" t="str" cm="1">
        <f t="array" ref="L754">IFERROR(INDEX(DB!R$2:R$2576,T754),"")</f>
        <v/>
      </c>
      <c r="M754" s="43"/>
      <c r="P754" t="str" cm="1">
        <f t="array" ref="P754">IFERROR(_xlfn.AGGREGATE(15,6,ROW(DB!A$2:A$2576)/((($D$3&lt;&gt;"YES")+($D$3="YES")*(DB!E$2:E$2576="YES"))*(($D$4="")+($D$4&lt;&gt;"")*( DB!B$2:B$2576=$D$4))*(($D$5="")+($D$5&lt;&gt;"")*( DB!C$2:C$2576=$D$5))*(($D$6="")+($D$6&lt;&gt;"")*( DB!D$2:D$2576=$D$6))*(($D$7="")+($D$7&lt;&gt;"")*(ISNUMBER(SEARCH($D$7,DB!G$2:G$2576))))*(($F$7="전체")+($F$7&lt;&gt;"전체")*(DB!H$2:H$2576=$F$7))),ROW()-13)-1,"")</f>
        <v/>
      </c>
      <c r="Q754" t="str" cm="1">
        <f t="array" ref="Q754">IFERROR(INDEX(DB!G$2:G$2576,P754),"")</f>
        <v/>
      </c>
      <c r="R754" t="str" cm="1">
        <f t="array" ref="R754">IFERROR(INDEX(DB!O$2:O$2576,P754),"")</f>
        <v/>
      </c>
      <c r="S754" t="str">
        <f t="shared" si="36"/>
        <v/>
      </c>
      <c r="T754" t="str">
        <f t="shared" si="37"/>
        <v/>
      </c>
    </row>
    <row r="755" spans="1:20" ht="100" customHeight="1">
      <c r="A755" s="26"/>
      <c r="B755" s="42" t="str">
        <f t="shared" si="35"/>
        <v/>
      </c>
      <c r="C755" s="43"/>
      <c r="D755" s="51" t="str" cm="1">
        <f t="array" ref="D755">IFERROR(INDEX(DB!G$2:G$2576,T755),"")</f>
        <v/>
      </c>
      <c r="E755" s="43"/>
      <c r="F755" s="52" t="str" cm="1">
        <f t="array" ref="F755">IFERROR(INDEX(DB!O$2:O$2576,T755),"")</f>
        <v/>
      </c>
      <c r="G755" s="43"/>
      <c r="H755" s="40" t="str" cm="1">
        <f t="array" ref="H755">IFERROR(INDEX(DB!P$2:P$2576,T755),"")</f>
        <v/>
      </c>
      <c r="I755" s="43"/>
      <c r="J755" s="53" t="str" cm="1">
        <f t="array" ref="J755">IFERROR(INDEX(DB!Q$2:Q$2576,T755),"")</f>
        <v/>
      </c>
      <c r="K755" s="43"/>
      <c r="L755" s="41" t="str" cm="1">
        <f t="array" ref="L755">IFERROR(INDEX(DB!R$2:R$2576,T755),"")</f>
        <v/>
      </c>
      <c r="M755" s="43"/>
      <c r="P755" t="str" cm="1">
        <f t="array" ref="P755">IFERROR(_xlfn.AGGREGATE(15,6,ROW(DB!A$2:A$2576)/((($D$3&lt;&gt;"YES")+($D$3="YES")*(DB!E$2:E$2576="YES"))*(($D$4="")+($D$4&lt;&gt;"")*( DB!B$2:B$2576=$D$4))*(($D$5="")+($D$5&lt;&gt;"")*( DB!C$2:C$2576=$D$5))*(($D$6="")+($D$6&lt;&gt;"")*( DB!D$2:D$2576=$D$6))*(($D$7="")+($D$7&lt;&gt;"")*(ISNUMBER(SEARCH($D$7,DB!G$2:G$2576))))*(($F$7="전체")+($F$7&lt;&gt;"전체")*(DB!H$2:H$2576=$F$7))),ROW()-13)-1,"")</f>
        <v/>
      </c>
      <c r="Q755" t="str" cm="1">
        <f t="array" ref="Q755">IFERROR(INDEX(DB!G$2:G$2576,P755),"")</f>
        <v/>
      </c>
      <c r="R755" t="str" cm="1">
        <f t="array" ref="R755">IFERROR(INDEX(DB!O$2:O$2576,P755),"")</f>
        <v/>
      </c>
      <c r="S755" t="str">
        <f t="shared" si="36"/>
        <v/>
      </c>
      <c r="T755" t="str">
        <f t="shared" si="37"/>
        <v/>
      </c>
    </row>
    <row r="756" spans="1:20" ht="100" customHeight="1">
      <c r="A756" s="26"/>
      <c r="B756" s="39" t="str">
        <f t="shared" si="35"/>
        <v/>
      </c>
      <c r="C756" s="43"/>
      <c r="D756" s="51" t="str" cm="1">
        <f t="array" ref="D756">IFERROR(INDEX(DB!G$2:G$2576,T756),"")</f>
        <v/>
      </c>
      <c r="E756" s="43"/>
      <c r="F756" s="52" t="str" cm="1">
        <f t="array" ref="F756">IFERROR(INDEX(DB!O$2:O$2576,T756),"")</f>
        <v/>
      </c>
      <c r="G756" s="43"/>
      <c r="H756" s="40" t="str" cm="1">
        <f t="array" ref="H756">IFERROR(INDEX(DB!P$2:P$2576,T756),"")</f>
        <v/>
      </c>
      <c r="I756" s="43"/>
      <c r="J756" s="53" t="str" cm="1">
        <f t="array" ref="J756">IFERROR(INDEX(DB!Q$2:Q$2576,T756),"")</f>
        <v/>
      </c>
      <c r="K756" s="43"/>
      <c r="L756" s="41" t="str" cm="1">
        <f t="array" ref="L756">IFERROR(INDEX(DB!R$2:R$2576,T756),"")</f>
        <v/>
      </c>
      <c r="M756" s="43"/>
      <c r="P756" t="str" cm="1">
        <f t="array" ref="P756">IFERROR(_xlfn.AGGREGATE(15,6,ROW(DB!A$2:A$2576)/((($D$3&lt;&gt;"YES")+($D$3="YES")*(DB!E$2:E$2576="YES"))*(($D$4="")+($D$4&lt;&gt;"")*( DB!B$2:B$2576=$D$4))*(($D$5="")+($D$5&lt;&gt;"")*( DB!C$2:C$2576=$D$5))*(($D$6="")+($D$6&lt;&gt;"")*( DB!D$2:D$2576=$D$6))*(($D$7="")+($D$7&lt;&gt;"")*(ISNUMBER(SEARCH($D$7,DB!G$2:G$2576))))*(($F$7="전체")+($F$7&lt;&gt;"전체")*(DB!H$2:H$2576=$F$7))),ROW()-13)-1,"")</f>
        <v/>
      </c>
      <c r="Q756" t="str" cm="1">
        <f t="array" ref="Q756">IFERROR(INDEX(DB!G$2:G$2576,P756),"")</f>
        <v/>
      </c>
      <c r="R756" t="str" cm="1">
        <f t="array" ref="R756">IFERROR(INDEX(DB!O$2:O$2576,P756),"")</f>
        <v/>
      </c>
      <c r="S756" t="str">
        <f t="shared" si="36"/>
        <v/>
      </c>
      <c r="T756" t="str">
        <f t="shared" si="37"/>
        <v/>
      </c>
    </row>
    <row r="757" spans="1:20" ht="100" customHeight="1">
      <c r="A757" s="26"/>
      <c r="B757" s="42" t="str">
        <f t="shared" si="35"/>
        <v/>
      </c>
      <c r="C757" s="43"/>
      <c r="D757" s="51" t="str" cm="1">
        <f t="array" ref="D757">IFERROR(INDEX(DB!G$2:G$2576,T757),"")</f>
        <v/>
      </c>
      <c r="E757" s="43"/>
      <c r="F757" s="52" t="str" cm="1">
        <f t="array" ref="F757">IFERROR(INDEX(DB!O$2:O$2576,T757),"")</f>
        <v/>
      </c>
      <c r="G757" s="43"/>
      <c r="H757" s="40" t="str" cm="1">
        <f t="array" ref="H757">IFERROR(INDEX(DB!P$2:P$2576,T757),"")</f>
        <v/>
      </c>
      <c r="I757" s="43"/>
      <c r="J757" s="53" t="str" cm="1">
        <f t="array" ref="J757">IFERROR(INDEX(DB!Q$2:Q$2576,T757),"")</f>
        <v/>
      </c>
      <c r="K757" s="43"/>
      <c r="L757" s="41" t="str" cm="1">
        <f t="array" ref="L757">IFERROR(INDEX(DB!R$2:R$2576,T757),"")</f>
        <v/>
      </c>
      <c r="M757" s="43"/>
      <c r="P757" t="str" cm="1">
        <f t="array" ref="P757">IFERROR(_xlfn.AGGREGATE(15,6,ROW(DB!A$2:A$2576)/((($D$3&lt;&gt;"YES")+($D$3="YES")*(DB!E$2:E$2576="YES"))*(($D$4="")+($D$4&lt;&gt;"")*( DB!B$2:B$2576=$D$4))*(($D$5="")+($D$5&lt;&gt;"")*( DB!C$2:C$2576=$D$5))*(($D$6="")+($D$6&lt;&gt;"")*( DB!D$2:D$2576=$D$6))*(($D$7="")+($D$7&lt;&gt;"")*(ISNUMBER(SEARCH($D$7,DB!G$2:G$2576))))*(($F$7="전체")+($F$7&lt;&gt;"전체")*(DB!H$2:H$2576=$F$7))),ROW()-13)-1,"")</f>
        <v/>
      </c>
      <c r="Q757" t="str" cm="1">
        <f t="array" ref="Q757">IFERROR(INDEX(DB!G$2:G$2576,P757),"")</f>
        <v/>
      </c>
      <c r="R757" t="str" cm="1">
        <f t="array" ref="R757">IFERROR(INDEX(DB!O$2:O$2576,P757),"")</f>
        <v/>
      </c>
      <c r="S757" t="str">
        <f t="shared" si="36"/>
        <v/>
      </c>
      <c r="T757" t="str">
        <f t="shared" si="37"/>
        <v/>
      </c>
    </row>
    <row r="758" spans="1:20" ht="100" customHeight="1">
      <c r="A758" s="26"/>
      <c r="B758" s="39" t="str">
        <f t="shared" si="35"/>
        <v/>
      </c>
      <c r="C758" s="43"/>
      <c r="D758" s="51" t="str" cm="1">
        <f t="array" ref="D758">IFERROR(INDEX(DB!G$2:G$2576,T758),"")</f>
        <v/>
      </c>
      <c r="E758" s="43"/>
      <c r="F758" s="52" t="str" cm="1">
        <f t="array" ref="F758">IFERROR(INDEX(DB!O$2:O$2576,T758),"")</f>
        <v/>
      </c>
      <c r="G758" s="43"/>
      <c r="H758" s="40" t="str" cm="1">
        <f t="array" ref="H758">IFERROR(INDEX(DB!P$2:P$2576,T758),"")</f>
        <v/>
      </c>
      <c r="I758" s="43"/>
      <c r="J758" s="53" t="str" cm="1">
        <f t="array" ref="J758">IFERROR(INDEX(DB!Q$2:Q$2576,T758),"")</f>
        <v/>
      </c>
      <c r="K758" s="43"/>
      <c r="L758" s="41" t="str" cm="1">
        <f t="array" ref="L758">IFERROR(INDEX(DB!R$2:R$2576,T758),"")</f>
        <v/>
      </c>
      <c r="M758" s="43"/>
      <c r="P758" t="str" cm="1">
        <f t="array" ref="P758">IFERROR(_xlfn.AGGREGATE(15,6,ROW(DB!A$2:A$2576)/((($D$3&lt;&gt;"YES")+($D$3="YES")*(DB!E$2:E$2576="YES"))*(($D$4="")+($D$4&lt;&gt;"")*( DB!B$2:B$2576=$D$4))*(($D$5="")+($D$5&lt;&gt;"")*( DB!C$2:C$2576=$D$5))*(($D$6="")+($D$6&lt;&gt;"")*( DB!D$2:D$2576=$D$6))*(($D$7="")+($D$7&lt;&gt;"")*(ISNUMBER(SEARCH($D$7,DB!G$2:G$2576))))*(($F$7="전체")+($F$7&lt;&gt;"전체")*(DB!H$2:H$2576=$F$7))),ROW()-13)-1,"")</f>
        <v/>
      </c>
      <c r="Q758" t="str" cm="1">
        <f t="array" ref="Q758">IFERROR(INDEX(DB!G$2:G$2576,P758),"")</f>
        <v/>
      </c>
      <c r="R758" t="str" cm="1">
        <f t="array" ref="R758">IFERROR(INDEX(DB!O$2:O$2576,P758),"")</f>
        <v/>
      </c>
      <c r="S758" t="str">
        <f t="shared" si="36"/>
        <v/>
      </c>
      <c r="T758" t="str">
        <f t="shared" si="37"/>
        <v/>
      </c>
    </row>
    <row r="759" spans="1:20" ht="100" customHeight="1">
      <c r="A759" s="26"/>
      <c r="B759" s="42" t="str">
        <f t="shared" si="35"/>
        <v/>
      </c>
      <c r="C759" s="43"/>
      <c r="D759" s="51" t="str" cm="1">
        <f t="array" ref="D759">IFERROR(INDEX(DB!G$2:G$2576,T759),"")</f>
        <v/>
      </c>
      <c r="E759" s="43"/>
      <c r="F759" s="52" t="str" cm="1">
        <f t="array" ref="F759">IFERROR(INDEX(DB!O$2:O$2576,T759),"")</f>
        <v/>
      </c>
      <c r="G759" s="43"/>
      <c r="H759" s="40" t="str" cm="1">
        <f t="array" ref="H759">IFERROR(INDEX(DB!P$2:P$2576,T759),"")</f>
        <v/>
      </c>
      <c r="I759" s="43"/>
      <c r="J759" s="53" t="str" cm="1">
        <f t="array" ref="J759">IFERROR(INDEX(DB!Q$2:Q$2576,T759),"")</f>
        <v/>
      </c>
      <c r="K759" s="43"/>
      <c r="L759" s="41" t="str" cm="1">
        <f t="array" ref="L759">IFERROR(INDEX(DB!R$2:R$2576,T759),"")</f>
        <v/>
      </c>
      <c r="M759" s="43"/>
      <c r="P759" t="str" cm="1">
        <f t="array" ref="P759">IFERROR(_xlfn.AGGREGATE(15,6,ROW(DB!A$2:A$2576)/((($D$3&lt;&gt;"YES")+($D$3="YES")*(DB!E$2:E$2576="YES"))*(($D$4="")+($D$4&lt;&gt;"")*( DB!B$2:B$2576=$D$4))*(($D$5="")+($D$5&lt;&gt;"")*( DB!C$2:C$2576=$D$5))*(($D$6="")+($D$6&lt;&gt;"")*( DB!D$2:D$2576=$D$6))*(($D$7="")+($D$7&lt;&gt;"")*(ISNUMBER(SEARCH($D$7,DB!G$2:G$2576))))*(($F$7="전체")+($F$7&lt;&gt;"전체")*(DB!H$2:H$2576=$F$7))),ROW()-13)-1,"")</f>
        <v/>
      </c>
      <c r="Q759" t="str" cm="1">
        <f t="array" ref="Q759">IFERROR(INDEX(DB!G$2:G$2576,P759),"")</f>
        <v/>
      </c>
      <c r="R759" t="str" cm="1">
        <f t="array" ref="R759">IFERROR(INDEX(DB!O$2:O$2576,P759),"")</f>
        <v/>
      </c>
      <c r="S759" t="str">
        <f t="shared" si="36"/>
        <v/>
      </c>
      <c r="T759" t="str">
        <f t="shared" si="37"/>
        <v/>
      </c>
    </row>
    <row r="760" spans="1:20" ht="100" customHeight="1">
      <c r="A760" s="26"/>
      <c r="B760" s="39" t="str">
        <f t="shared" si="35"/>
        <v/>
      </c>
      <c r="C760" s="43"/>
      <c r="D760" s="51" t="str" cm="1">
        <f t="array" ref="D760">IFERROR(INDEX(DB!G$2:G$2576,T760),"")</f>
        <v/>
      </c>
      <c r="E760" s="43"/>
      <c r="F760" s="52" t="str" cm="1">
        <f t="array" ref="F760">IFERROR(INDEX(DB!O$2:O$2576,T760),"")</f>
        <v/>
      </c>
      <c r="G760" s="43"/>
      <c r="H760" s="40" t="str" cm="1">
        <f t="array" ref="H760">IFERROR(INDEX(DB!P$2:P$2576,T760),"")</f>
        <v/>
      </c>
      <c r="I760" s="43"/>
      <c r="J760" s="53" t="str" cm="1">
        <f t="array" ref="J760">IFERROR(INDEX(DB!Q$2:Q$2576,T760),"")</f>
        <v/>
      </c>
      <c r="K760" s="43"/>
      <c r="L760" s="41" t="str" cm="1">
        <f t="array" ref="L760">IFERROR(INDEX(DB!R$2:R$2576,T760),"")</f>
        <v/>
      </c>
      <c r="M760" s="43"/>
      <c r="P760" t="str" cm="1">
        <f t="array" ref="P760">IFERROR(_xlfn.AGGREGATE(15,6,ROW(DB!A$2:A$2576)/((($D$3&lt;&gt;"YES")+($D$3="YES")*(DB!E$2:E$2576="YES"))*(($D$4="")+($D$4&lt;&gt;"")*( DB!B$2:B$2576=$D$4))*(($D$5="")+($D$5&lt;&gt;"")*( DB!C$2:C$2576=$D$5))*(($D$6="")+($D$6&lt;&gt;"")*( DB!D$2:D$2576=$D$6))*(($D$7="")+($D$7&lt;&gt;"")*(ISNUMBER(SEARCH($D$7,DB!G$2:G$2576))))*(($F$7="전체")+($F$7&lt;&gt;"전체")*(DB!H$2:H$2576=$F$7))),ROW()-13)-1,"")</f>
        <v/>
      </c>
      <c r="Q760" t="str" cm="1">
        <f t="array" ref="Q760">IFERROR(INDEX(DB!G$2:G$2576,P760),"")</f>
        <v/>
      </c>
      <c r="R760" t="str" cm="1">
        <f t="array" ref="R760">IFERROR(INDEX(DB!O$2:O$2576,P760),"")</f>
        <v/>
      </c>
      <c r="S760" t="str">
        <f t="shared" si="36"/>
        <v/>
      </c>
      <c r="T760" t="str">
        <f t="shared" si="37"/>
        <v/>
      </c>
    </row>
    <row r="761" spans="1:20" ht="100" customHeight="1">
      <c r="A761" s="26"/>
      <c r="B761" s="42" t="str">
        <f t="shared" si="35"/>
        <v/>
      </c>
      <c r="C761" s="43"/>
      <c r="D761" s="51" t="str" cm="1">
        <f t="array" ref="D761">IFERROR(INDEX(DB!G$2:G$2576,T761),"")</f>
        <v/>
      </c>
      <c r="E761" s="43"/>
      <c r="F761" s="52" t="str" cm="1">
        <f t="array" ref="F761">IFERROR(INDEX(DB!O$2:O$2576,T761),"")</f>
        <v/>
      </c>
      <c r="G761" s="43"/>
      <c r="H761" s="40" t="str" cm="1">
        <f t="array" ref="H761">IFERROR(INDEX(DB!P$2:P$2576,T761),"")</f>
        <v/>
      </c>
      <c r="I761" s="43"/>
      <c r="J761" s="53" t="str" cm="1">
        <f t="array" ref="J761">IFERROR(INDEX(DB!Q$2:Q$2576,T761),"")</f>
        <v/>
      </c>
      <c r="K761" s="43"/>
      <c r="L761" s="41" t="str" cm="1">
        <f t="array" ref="L761">IFERROR(INDEX(DB!R$2:R$2576,T761),"")</f>
        <v/>
      </c>
      <c r="M761" s="43"/>
      <c r="P761" t="str" cm="1">
        <f t="array" ref="P761">IFERROR(_xlfn.AGGREGATE(15,6,ROW(DB!A$2:A$2576)/((($D$3&lt;&gt;"YES")+($D$3="YES")*(DB!E$2:E$2576="YES"))*(($D$4="")+($D$4&lt;&gt;"")*( DB!B$2:B$2576=$D$4))*(($D$5="")+($D$5&lt;&gt;"")*( DB!C$2:C$2576=$D$5))*(($D$6="")+($D$6&lt;&gt;"")*( DB!D$2:D$2576=$D$6))*(($D$7="")+($D$7&lt;&gt;"")*(ISNUMBER(SEARCH($D$7,DB!G$2:G$2576))))*(($F$7="전체")+($F$7&lt;&gt;"전체")*(DB!H$2:H$2576=$F$7))),ROW()-13)-1,"")</f>
        <v/>
      </c>
      <c r="Q761" t="str" cm="1">
        <f t="array" ref="Q761">IFERROR(INDEX(DB!G$2:G$2576,P761),"")</f>
        <v/>
      </c>
      <c r="R761" t="str" cm="1">
        <f t="array" ref="R761">IFERROR(INDEX(DB!O$2:O$2576,P761),"")</f>
        <v/>
      </c>
      <c r="S761" t="str">
        <f t="shared" si="36"/>
        <v/>
      </c>
      <c r="T761" t="str">
        <f t="shared" si="37"/>
        <v/>
      </c>
    </row>
    <row r="762" spans="1:20" ht="100" customHeight="1">
      <c r="A762" s="26"/>
      <c r="B762" s="39" t="str">
        <f t="shared" si="35"/>
        <v/>
      </c>
      <c r="C762" s="43"/>
      <c r="D762" s="51" t="str" cm="1">
        <f t="array" ref="D762">IFERROR(INDEX(DB!G$2:G$2576,T762),"")</f>
        <v/>
      </c>
      <c r="E762" s="43"/>
      <c r="F762" s="52" t="str" cm="1">
        <f t="array" ref="F762">IFERROR(INDEX(DB!O$2:O$2576,T762),"")</f>
        <v/>
      </c>
      <c r="G762" s="43"/>
      <c r="H762" s="40" t="str" cm="1">
        <f t="array" ref="H762">IFERROR(INDEX(DB!P$2:P$2576,T762),"")</f>
        <v/>
      </c>
      <c r="I762" s="43"/>
      <c r="J762" s="53" t="str" cm="1">
        <f t="array" ref="J762">IFERROR(INDEX(DB!Q$2:Q$2576,T762),"")</f>
        <v/>
      </c>
      <c r="K762" s="43"/>
      <c r="L762" s="41" t="str" cm="1">
        <f t="array" ref="L762">IFERROR(INDEX(DB!R$2:R$2576,T762),"")</f>
        <v/>
      </c>
      <c r="M762" s="43"/>
      <c r="P762" t="str" cm="1">
        <f t="array" ref="P762">IFERROR(_xlfn.AGGREGATE(15,6,ROW(DB!A$2:A$2576)/((($D$3&lt;&gt;"YES")+($D$3="YES")*(DB!E$2:E$2576="YES"))*(($D$4="")+($D$4&lt;&gt;"")*( DB!B$2:B$2576=$D$4))*(($D$5="")+($D$5&lt;&gt;"")*( DB!C$2:C$2576=$D$5))*(($D$6="")+($D$6&lt;&gt;"")*( DB!D$2:D$2576=$D$6))*(($D$7="")+($D$7&lt;&gt;"")*(ISNUMBER(SEARCH($D$7,DB!G$2:G$2576))))*(($F$7="전체")+($F$7&lt;&gt;"전체")*(DB!H$2:H$2576=$F$7))),ROW()-13)-1,"")</f>
        <v/>
      </c>
      <c r="Q762" t="str" cm="1">
        <f t="array" ref="Q762">IFERROR(INDEX(DB!G$2:G$2576,P762),"")</f>
        <v/>
      </c>
      <c r="R762" t="str" cm="1">
        <f t="array" ref="R762">IFERROR(INDEX(DB!O$2:O$2576,P762),"")</f>
        <v/>
      </c>
      <c r="S762" t="str">
        <f t="shared" si="36"/>
        <v/>
      </c>
      <c r="T762" t="str">
        <f t="shared" si="37"/>
        <v/>
      </c>
    </row>
    <row r="763" spans="1:20" ht="100" customHeight="1">
      <c r="A763" s="26"/>
      <c r="B763" s="42" t="str">
        <f t="shared" si="35"/>
        <v/>
      </c>
      <c r="C763" s="43"/>
      <c r="D763" s="51" t="str" cm="1">
        <f t="array" ref="D763">IFERROR(INDEX(DB!G$2:G$2576,T763),"")</f>
        <v/>
      </c>
      <c r="E763" s="43"/>
      <c r="F763" s="52" t="str" cm="1">
        <f t="array" ref="F763">IFERROR(INDEX(DB!O$2:O$2576,T763),"")</f>
        <v/>
      </c>
      <c r="G763" s="43"/>
      <c r="H763" s="40" t="str" cm="1">
        <f t="array" ref="H763">IFERROR(INDEX(DB!P$2:P$2576,T763),"")</f>
        <v/>
      </c>
      <c r="I763" s="43"/>
      <c r="J763" s="53" t="str" cm="1">
        <f t="array" ref="J763">IFERROR(INDEX(DB!Q$2:Q$2576,T763),"")</f>
        <v/>
      </c>
      <c r="K763" s="43"/>
      <c r="L763" s="41" t="str" cm="1">
        <f t="array" ref="L763">IFERROR(INDEX(DB!R$2:R$2576,T763),"")</f>
        <v/>
      </c>
      <c r="M763" s="43"/>
      <c r="P763" t="str" cm="1">
        <f t="array" ref="P763">IFERROR(_xlfn.AGGREGATE(15,6,ROW(DB!A$2:A$2576)/((($D$3&lt;&gt;"YES")+($D$3="YES")*(DB!E$2:E$2576="YES"))*(($D$4="")+($D$4&lt;&gt;"")*( DB!B$2:B$2576=$D$4))*(($D$5="")+($D$5&lt;&gt;"")*( DB!C$2:C$2576=$D$5))*(($D$6="")+($D$6&lt;&gt;"")*( DB!D$2:D$2576=$D$6))*(($D$7="")+($D$7&lt;&gt;"")*(ISNUMBER(SEARCH($D$7,DB!G$2:G$2576))))*(($F$7="전체")+($F$7&lt;&gt;"전체")*(DB!H$2:H$2576=$F$7))),ROW()-13)-1,"")</f>
        <v/>
      </c>
      <c r="Q763" t="str" cm="1">
        <f t="array" ref="Q763">IFERROR(INDEX(DB!G$2:G$2576,P763),"")</f>
        <v/>
      </c>
      <c r="R763" t="str" cm="1">
        <f t="array" ref="R763">IFERROR(INDEX(DB!O$2:O$2576,P763),"")</f>
        <v/>
      </c>
      <c r="S763" t="str">
        <f t="shared" si="36"/>
        <v/>
      </c>
      <c r="T763" t="str">
        <f t="shared" si="37"/>
        <v/>
      </c>
    </row>
    <row r="764" spans="1:20" ht="100" customHeight="1">
      <c r="A764" s="26"/>
      <c r="B764" s="39" t="str">
        <f t="shared" si="35"/>
        <v/>
      </c>
      <c r="C764" s="43"/>
      <c r="D764" s="51" t="str" cm="1">
        <f t="array" ref="D764">IFERROR(INDEX(DB!G$2:G$2576,T764),"")</f>
        <v/>
      </c>
      <c r="E764" s="43"/>
      <c r="F764" s="52" t="str" cm="1">
        <f t="array" ref="F764">IFERROR(INDEX(DB!O$2:O$2576,T764),"")</f>
        <v/>
      </c>
      <c r="G764" s="43"/>
      <c r="H764" s="40" t="str" cm="1">
        <f t="array" ref="H764">IFERROR(INDEX(DB!P$2:P$2576,T764),"")</f>
        <v/>
      </c>
      <c r="I764" s="43"/>
      <c r="J764" s="53" t="str" cm="1">
        <f t="array" ref="J764">IFERROR(INDEX(DB!Q$2:Q$2576,T764),"")</f>
        <v/>
      </c>
      <c r="K764" s="43"/>
      <c r="L764" s="41" t="str" cm="1">
        <f t="array" ref="L764">IFERROR(INDEX(DB!R$2:R$2576,T764),"")</f>
        <v/>
      </c>
      <c r="M764" s="43"/>
      <c r="P764" t="str" cm="1">
        <f t="array" ref="P764">IFERROR(_xlfn.AGGREGATE(15,6,ROW(DB!A$2:A$2576)/((($D$3&lt;&gt;"YES")+($D$3="YES")*(DB!E$2:E$2576="YES"))*(($D$4="")+($D$4&lt;&gt;"")*( DB!B$2:B$2576=$D$4))*(($D$5="")+($D$5&lt;&gt;"")*( DB!C$2:C$2576=$D$5))*(($D$6="")+($D$6&lt;&gt;"")*( DB!D$2:D$2576=$D$6))*(($D$7="")+($D$7&lt;&gt;"")*(ISNUMBER(SEARCH($D$7,DB!G$2:G$2576))))*(($F$7="전체")+($F$7&lt;&gt;"전체")*(DB!H$2:H$2576=$F$7))),ROW()-13)-1,"")</f>
        <v/>
      </c>
      <c r="Q764" t="str" cm="1">
        <f t="array" ref="Q764">IFERROR(INDEX(DB!G$2:G$2576,P764),"")</f>
        <v/>
      </c>
      <c r="R764" t="str" cm="1">
        <f t="array" ref="R764">IFERROR(INDEX(DB!O$2:O$2576,P764),"")</f>
        <v/>
      </c>
      <c r="S764" t="str">
        <f t="shared" si="36"/>
        <v/>
      </c>
      <c r="T764" t="str">
        <f t="shared" si="37"/>
        <v/>
      </c>
    </row>
    <row r="765" spans="1:20" ht="100" customHeight="1">
      <c r="A765" s="26"/>
      <c r="B765" s="42" t="str">
        <f t="shared" si="35"/>
        <v/>
      </c>
      <c r="C765" s="43"/>
      <c r="D765" s="51" t="str" cm="1">
        <f t="array" ref="D765">IFERROR(INDEX(DB!G$2:G$2576,T765),"")</f>
        <v/>
      </c>
      <c r="E765" s="43"/>
      <c r="F765" s="52" t="str" cm="1">
        <f t="array" ref="F765">IFERROR(INDEX(DB!O$2:O$2576,T765),"")</f>
        <v/>
      </c>
      <c r="G765" s="43"/>
      <c r="H765" s="40" t="str" cm="1">
        <f t="array" ref="H765">IFERROR(INDEX(DB!P$2:P$2576,T765),"")</f>
        <v/>
      </c>
      <c r="I765" s="43"/>
      <c r="J765" s="53" t="str" cm="1">
        <f t="array" ref="J765">IFERROR(INDEX(DB!Q$2:Q$2576,T765),"")</f>
        <v/>
      </c>
      <c r="K765" s="43"/>
      <c r="L765" s="41" t="str" cm="1">
        <f t="array" ref="L765">IFERROR(INDEX(DB!R$2:R$2576,T765),"")</f>
        <v/>
      </c>
      <c r="M765" s="43"/>
      <c r="P765" t="str" cm="1">
        <f t="array" ref="P765">IFERROR(_xlfn.AGGREGATE(15,6,ROW(DB!A$2:A$2576)/((($D$3&lt;&gt;"YES")+($D$3="YES")*(DB!E$2:E$2576="YES"))*(($D$4="")+($D$4&lt;&gt;"")*( DB!B$2:B$2576=$D$4))*(($D$5="")+($D$5&lt;&gt;"")*( DB!C$2:C$2576=$D$5))*(($D$6="")+($D$6&lt;&gt;"")*( DB!D$2:D$2576=$D$6))*(($D$7="")+($D$7&lt;&gt;"")*(ISNUMBER(SEARCH($D$7,DB!G$2:G$2576))))*(($F$7="전체")+($F$7&lt;&gt;"전체")*(DB!H$2:H$2576=$F$7))),ROW()-13)-1,"")</f>
        <v/>
      </c>
      <c r="Q765" t="str" cm="1">
        <f t="array" ref="Q765">IFERROR(INDEX(DB!G$2:G$2576,P765),"")</f>
        <v/>
      </c>
      <c r="R765" t="str" cm="1">
        <f t="array" ref="R765">IFERROR(INDEX(DB!O$2:O$2576,P765),"")</f>
        <v/>
      </c>
      <c r="S765" t="str">
        <f t="shared" si="36"/>
        <v/>
      </c>
      <c r="T765" t="str">
        <f t="shared" si="37"/>
        <v/>
      </c>
    </row>
    <row r="766" spans="1:20" ht="100" customHeight="1">
      <c r="A766" s="26"/>
      <c r="B766" s="39" t="str">
        <f t="shared" si="35"/>
        <v/>
      </c>
      <c r="C766" s="43"/>
      <c r="D766" s="51" t="str" cm="1">
        <f t="array" ref="D766">IFERROR(INDEX(DB!G$2:G$2576,T766),"")</f>
        <v/>
      </c>
      <c r="E766" s="43"/>
      <c r="F766" s="52" t="str" cm="1">
        <f t="array" ref="F766">IFERROR(INDEX(DB!O$2:O$2576,T766),"")</f>
        <v/>
      </c>
      <c r="G766" s="43"/>
      <c r="H766" s="40" t="str" cm="1">
        <f t="array" ref="H766">IFERROR(INDEX(DB!P$2:P$2576,T766),"")</f>
        <v/>
      </c>
      <c r="I766" s="43"/>
      <c r="J766" s="53" t="str" cm="1">
        <f t="array" ref="J766">IFERROR(INDEX(DB!Q$2:Q$2576,T766),"")</f>
        <v/>
      </c>
      <c r="K766" s="43"/>
      <c r="L766" s="41" t="str" cm="1">
        <f t="array" ref="L766">IFERROR(INDEX(DB!R$2:R$2576,T766),"")</f>
        <v/>
      </c>
      <c r="M766" s="43"/>
      <c r="P766" t="str" cm="1">
        <f t="array" ref="P766">IFERROR(_xlfn.AGGREGATE(15,6,ROW(DB!A$2:A$2576)/((($D$3&lt;&gt;"YES")+($D$3="YES")*(DB!E$2:E$2576="YES"))*(($D$4="")+($D$4&lt;&gt;"")*( DB!B$2:B$2576=$D$4))*(($D$5="")+($D$5&lt;&gt;"")*( DB!C$2:C$2576=$D$5))*(($D$6="")+($D$6&lt;&gt;"")*( DB!D$2:D$2576=$D$6))*(($D$7="")+($D$7&lt;&gt;"")*(ISNUMBER(SEARCH($D$7,DB!G$2:G$2576))))*(($F$7="전체")+($F$7&lt;&gt;"전체")*(DB!H$2:H$2576=$F$7))),ROW()-13)-1,"")</f>
        <v/>
      </c>
      <c r="Q766" t="str" cm="1">
        <f t="array" ref="Q766">IFERROR(INDEX(DB!G$2:G$2576,P766),"")</f>
        <v/>
      </c>
      <c r="R766" t="str" cm="1">
        <f t="array" ref="R766">IFERROR(INDEX(DB!O$2:O$2576,P766),"")</f>
        <v/>
      </c>
      <c r="S766" t="str">
        <f t="shared" si="36"/>
        <v/>
      </c>
      <c r="T766" t="str">
        <f t="shared" si="37"/>
        <v/>
      </c>
    </row>
    <row r="767" spans="1:20" ht="100" customHeight="1">
      <c r="A767" s="26"/>
      <c r="B767" s="42" t="str">
        <f t="shared" si="35"/>
        <v/>
      </c>
      <c r="C767" s="43"/>
      <c r="D767" s="51" t="str" cm="1">
        <f t="array" ref="D767">IFERROR(INDEX(DB!G$2:G$2576,T767),"")</f>
        <v/>
      </c>
      <c r="E767" s="43"/>
      <c r="F767" s="52" t="str" cm="1">
        <f t="array" ref="F767">IFERROR(INDEX(DB!O$2:O$2576,T767),"")</f>
        <v/>
      </c>
      <c r="G767" s="43"/>
      <c r="H767" s="40" t="str" cm="1">
        <f t="array" ref="H767">IFERROR(INDEX(DB!P$2:P$2576,T767),"")</f>
        <v/>
      </c>
      <c r="I767" s="43"/>
      <c r="J767" s="53" t="str" cm="1">
        <f t="array" ref="J767">IFERROR(INDEX(DB!Q$2:Q$2576,T767),"")</f>
        <v/>
      </c>
      <c r="K767" s="43"/>
      <c r="L767" s="41" t="str" cm="1">
        <f t="array" ref="L767">IFERROR(INDEX(DB!R$2:R$2576,T767),"")</f>
        <v/>
      </c>
      <c r="M767" s="43"/>
      <c r="P767" t="str" cm="1">
        <f t="array" ref="P767">IFERROR(_xlfn.AGGREGATE(15,6,ROW(DB!A$2:A$2576)/((($D$3&lt;&gt;"YES")+($D$3="YES")*(DB!E$2:E$2576="YES"))*(($D$4="")+($D$4&lt;&gt;"")*( DB!B$2:B$2576=$D$4))*(($D$5="")+($D$5&lt;&gt;"")*( DB!C$2:C$2576=$D$5))*(($D$6="")+($D$6&lt;&gt;"")*( DB!D$2:D$2576=$D$6))*(($D$7="")+($D$7&lt;&gt;"")*(ISNUMBER(SEARCH($D$7,DB!G$2:G$2576))))*(($F$7="전체")+($F$7&lt;&gt;"전체")*(DB!H$2:H$2576=$F$7))),ROW()-13)-1,"")</f>
        <v/>
      </c>
      <c r="Q767" t="str" cm="1">
        <f t="array" ref="Q767">IFERROR(INDEX(DB!G$2:G$2576,P767),"")</f>
        <v/>
      </c>
      <c r="R767" t="str" cm="1">
        <f t="array" ref="R767">IFERROR(INDEX(DB!O$2:O$2576,P767),"")</f>
        <v/>
      </c>
      <c r="S767" t="str">
        <f t="shared" si="36"/>
        <v/>
      </c>
      <c r="T767" t="str">
        <f t="shared" si="37"/>
        <v/>
      </c>
    </row>
    <row r="768" spans="1:20" ht="100" customHeight="1">
      <c r="A768" s="26"/>
      <c r="B768" s="39" t="str">
        <f t="shared" si="35"/>
        <v/>
      </c>
      <c r="C768" s="43"/>
      <c r="D768" s="51" t="str" cm="1">
        <f t="array" ref="D768">IFERROR(INDEX(DB!G$2:G$2576,T768),"")</f>
        <v/>
      </c>
      <c r="E768" s="43"/>
      <c r="F768" s="52" t="str" cm="1">
        <f t="array" ref="F768">IFERROR(INDEX(DB!O$2:O$2576,T768),"")</f>
        <v/>
      </c>
      <c r="G768" s="43"/>
      <c r="H768" s="40" t="str" cm="1">
        <f t="array" ref="H768">IFERROR(INDEX(DB!P$2:P$2576,T768),"")</f>
        <v/>
      </c>
      <c r="I768" s="43"/>
      <c r="J768" s="53" t="str" cm="1">
        <f t="array" ref="J768">IFERROR(INDEX(DB!Q$2:Q$2576,T768),"")</f>
        <v/>
      </c>
      <c r="K768" s="43"/>
      <c r="L768" s="41" t="str" cm="1">
        <f t="array" ref="L768">IFERROR(INDEX(DB!R$2:R$2576,T768),"")</f>
        <v/>
      </c>
      <c r="M768" s="43"/>
      <c r="P768" t="str" cm="1">
        <f t="array" ref="P768">IFERROR(_xlfn.AGGREGATE(15,6,ROW(DB!A$2:A$2576)/((($D$3&lt;&gt;"YES")+($D$3="YES")*(DB!E$2:E$2576="YES"))*(($D$4="")+($D$4&lt;&gt;"")*( DB!B$2:B$2576=$D$4))*(($D$5="")+($D$5&lt;&gt;"")*( DB!C$2:C$2576=$D$5))*(($D$6="")+($D$6&lt;&gt;"")*( DB!D$2:D$2576=$D$6))*(($D$7="")+($D$7&lt;&gt;"")*(ISNUMBER(SEARCH($D$7,DB!G$2:G$2576))))*(($F$7="전체")+($F$7&lt;&gt;"전체")*(DB!H$2:H$2576=$F$7))),ROW()-13)-1,"")</f>
        <v/>
      </c>
      <c r="Q768" t="str" cm="1">
        <f t="array" ref="Q768">IFERROR(INDEX(DB!G$2:G$2576,P768),"")</f>
        <v/>
      </c>
      <c r="R768" t="str" cm="1">
        <f t="array" ref="R768">IFERROR(INDEX(DB!O$2:O$2576,P768),"")</f>
        <v/>
      </c>
      <c r="S768" t="str">
        <f t="shared" si="36"/>
        <v/>
      </c>
      <c r="T768" t="str">
        <f t="shared" si="37"/>
        <v/>
      </c>
    </row>
    <row r="769" spans="1:20" ht="100" customHeight="1">
      <c r="A769" s="26"/>
      <c r="B769" s="42" t="str">
        <f t="shared" si="35"/>
        <v/>
      </c>
      <c r="C769" s="43"/>
      <c r="D769" s="51" t="str" cm="1">
        <f t="array" ref="D769">IFERROR(INDEX(DB!G$2:G$2576,T769),"")</f>
        <v/>
      </c>
      <c r="E769" s="43"/>
      <c r="F769" s="52" t="str" cm="1">
        <f t="array" ref="F769">IFERROR(INDEX(DB!O$2:O$2576,T769),"")</f>
        <v/>
      </c>
      <c r="G769" s="43"/>
      <c r="H769" s="40" t="str" cm="1">
        <f t="array" ref="H769">IFERROR(INDEX(DB!P$2:P$2576,T769),"")</f>
        <v/>
      </c>
      <c r="I769" s="43"/>
      <c r="J769" s="53" t="str" cm="1">
        <f t="array" ref="J769">IFERROR(INDEX(DB!Q$2:Q$2576,T769),"")</f>
        <v/>
      </c>
      <c r="K769" s="43"/>
      <c r="L769" s="41" t="str" cm="1">
        <f t="array" ref="L769">IFERROR(INDEX(DB!R$2:R$2576,T769),"")</f>
        <v/>
      </c>
      <c r="M769" s="43"/>
      <c r="P769" t="str" cm="1">
        <f t="array" ref="P769">IFERROR(_xlfn.AGGREGATE(15,6,ROW(DB!A$2:A$2576)/((($D$3&lt;&gt;"YES")+($D$3="YES")*(DB!E$2:E$2576="YES"))*(($D$4="")+($D$4&lt;&gt;"")*( DB!B$2:B$2576=$D$4))*(($D$5="")+($D$5&lt;&gt;"")*( DB!C$2:C$2576=$D$5))*(($D$6="")+($D$6&lt;&gt;"")*( DB!D$2:D$2576=$D$6))*(($D$7="")+($D$7&lt;&gt;"")*(ISNUMBER(SEARCH($D$7,DB!G$2:G$2576))))*(($F$7="전체")+($F$7&lt;&gt;"전체")*(DB!H$2:H$2576=$F$7))),ROW()-13)-1,"")</f>
        <v/>
      </c>
      <c r="Q769" t="str" cm="1">
        <f t="array" ref="Q769">IFERROR(INDEX(DB!G$2:G$2576,P769),"")</f>
        <v/>
      </c>
      <c r="R769" t="str" cm="1">
        <f t="array" ref="R769">IFERROR(INDEX(DB!O$2:O$2576,P769),"")</f>
        <v/>
      </c>
      <c r="S769" t="str">
        <f t="shared" si="36"/>
        <v/>
      </c>
      <c r="T769" t="str">
        <f t="shared" si="37"/>
        <v/>
      </c>
    </row>
    <row r="770" spans="1:20" ht="100" customHeight="1">
      <c r="A770" s="26"/>
      <c r="B770" s="39" t="str">
        <f t="shared" si="35"/>
        <v/>
      </c>
      <c r="C770" s="43"/>
      <c r="D770" s="51" t="str" cm="1">
        <f t="array" ref="D770">IFERROR(INDEX(DB!G$2:G$2576,T770),"")</f>
        <v/>
      </c>
      <c r="E770" s="43"/>
      <c r="F770" s="52" t="str" cm="1">
        <f t="array" ref="F770">IFERROR(INDEX(DB!O$2:O$2576,T770),"")</f>
        <v/>
      </c>
      <c r="G770" s="43"/>
      <c r="H770" s="40" t="str" cm="1">
        <f t="array" ref="H770">IFERROR(INDEX(DB!P$2:P$2576,T770),"")</f>
        <v/>
      </c>
      <c r="I770" s="43"/>
      <c r="J770" s="53" t="str" cm="1">
        <f t="array" ref="J770">IFERROR(INDEX(DB!Q$2:Q$2576,T770),"")</f>
        <v/>
      </c>
      <c r="K770" s="43"/>
      <c r="L770" s="41" t="str" cm="1">
        <f t="array" ref="L770">IFERROR(INDEX(DB!R$2:R$2576,T770),"")</f>
        <v/>
      </c>
      <c r="M770" s="43"/>
      <c r="P770" t="str" cm="1">
        <f t="array" ref="P770">IFERROR(_xlfn.AGGREGATE(15,6,ROW(DB!A$2:A$2576)/((($D$3&lt;&gt;"YES")+($D$3="YES")*(DB!E$2:E$2576="YES"))*(($D$4="")+($D$4&lt;&gt;"")*( DB!B$2:B$2576=$D$4))*(($D$5="")+($D$5&lt;&gt;"")*( DB!C$2:C$2576=$D$5))*(($D$6="")+($D$6&lt;&gt;"")*( DB!D$2:D$2576=$D$6))*(($D$7="")+($D$7&lt;&gt;"")*(ISNUMBER(SEARCH($D$7,DB!G$2:G$2576))))*(($F$7="전체")+($F$7&lt;&gt;"전체")*(DB!H$2:H$2576=$F$7))),ROW()-13)-1,"")</f>
        <v/>
      </c>
      <c r="Q770" t="str" cm="1">
        <f t="array" ref="Q770">IFERROR(INDEX(DB!G$2:G$2576,P770),"")</f>
        <v/>
      </c>
      <c r="R770" t="str" cm="1">
        <f t="array" ref="R770">IFERROR(INDEX(DB!O$2:O$2576,P770),"")</f>
        <v/>
      </c>
      <c r="S770" t="str">
        <f t="shared" si="36"/>
        <v/>
      </c>
      <c r="T770" t="str">
        <f t="shared" si="37"/>
        <v/>
      </c>
    </row>
    <row r="771" spans="1:20" ht="100" customHeight="1">
      <c r="A771" s="26"/>
      <c r="B771" s="42" t="str">
        <f t="shared" si="35"/>
        <v/>
      </c>
      <c r="C771" s="43"/>
      <c r="D771" s="51" t="str" cm="1">
        <f t="array" ref="D771">IFERROR(INDEX(DB!G$2:G$2576,T771),"")</f>
        <v/>
      </c>
      <c r="E771" s="43"/>
      <c r="F771" s="52" t="str" cm="1">
        <f t="array" ref="F771">IFERROR(INDEX(DB!O$2:O$2576,T771),"")</f>
        <v/>
      </c>
      <c r="G771" s="43"/>
      <c r="H771" s="40" t="str" cm="1">
        <f t="array" ref="H771">IFERROR(INDEX(DB!P$2:P$2576,T771),"")</f>
        <v/>
      </c>
      <c r="I771" s="43"/>
      <c r="J771" s="53" t="str" cm="1">
        <f t="array" ref="J771">IFERROR(INDEX(DB!Q$2:Q$2576,T771),"")</f>
        <v/>
      </c>
      <c r="K771" s="43"/>
      <c r="L771" s="41" t="str" cm="1">
        <f t="array" ref="L771">IFERROR(INDEX(DB!R$2:R$2576,T771),"")</f>
        <v/>
      </c>
      <c r="M771" s="43"/>
      <c r="P771" t="str" cm="1">
        <f t="array" ref="P771">IFERROR(_xlfn.AGGREGATE(15,6,ROW(DB!A$2:A$2576)/((($D$3&lt;&gt;"YES")+($D$3="YES")*(DB!E$2:E$2576="YES"))*(($D$4="")+($D$4&lt;&gt;"")*( DB!B$2:B$2576=$D$4))*(($D$5="")+($D$5&lt;&gt;"")*( DB!C$2:C$2576=$D$5))*(($D$6="")+($D$6&lt;&gt;"")*( DB!D$2:D$2576=$D$6))*(($D$7="")+($D$7&lt;&gt;"")*(ISNUMBER(SEARCH($D$7,DB!G$2:G$2576))))*(($F$7="전체")+($F$7&lt;&gt;"전체")*(DB!H$2:H$2576=$F$7))),ROW()-13)-1,"")</f>
        <v/>
      </c>
      <c r="Q771" t="str" cm="1">
        <f t="array" ref="Q771">IFERROR(INDEX(DB!G$2:G$2576,P771),"")</f>
        <v/>
      </c>
      <c r="R771" t="str" cm="1">
        <f t="array" ref="R771">IFERROR(INDEX(DB!O$2:O$2576,P771),"")</f>
        <v/>
      </c>
      <c r="S771" t="str">
        <f t="shared" si="36"/>
        <v/>
      </c>
      <c r="T771" t="str">
        <f t="shared" si="37"/>
        <v/>
      </c>
    </row>
    <row r="772" spans="1:20" ht="100" customHeight="1">
      <c r="A772" s="26"/>
      <c r="B772" s="39" t="str">
        <f t="shared" si="35"/>
        <v/>
      </c>
      <c r="C772" s="43"/>
      <c r="D772" s="51" t="str" cm="1">
        <f t="array" ref="D772">IFERROR(INDEX(DB!G$2:G$2576,T772),"")</f>
        <v/>
      </c>
      <c r="E772" s="43"/>
      <c r="F772" s="52" t="str" cm="1">
        <f t="array" ref="F772">IFERROR(INDEX(DB!O$2:O$2576,T772),"")</f>
        <v/>
      </c>
      <c r="G772" s="43"/>
      <c r="H772" s="40" t="str" cm="1">
        <f t="array" ref="H772">IFERROR(INDEX(DB!P$2:P$2576,T772),"")</f>
        <v/>
      </c>
      <c r="I772" s="43"/>
      <c r="J772" s="53" t="str" cm="1">
        <f t="array" ref="J772">IFERROR(INDEX(DB!Q$2:Q$2576,T772),"")</f>
        <v/>
      </c>
      <c r="K772" s="43"/>
      <c r="L772" s="41" t="str" cm="1">
        <f t="array" ref="L772">IFERROR(INDEX(DB!R$2:R$2576,T772),"")</f>
        <v/>
      </c>
      <c r="M772" s="43"/>
      <c r="P772" t="str" cm="1">
        <f t="array" ref="P772">IFERROR(_xlfn.AGGREGATE(15,6,ROW(DB!A$2:A$2576)/((($D$3&lt;&gt;"YES")+($D$3="YES")*(DB!E$2:E$2576="YES"))*(($D$4="")+($D$4&lt;&gt;"")*( DB!B$2:B$2576=$D$4))*(($D$5="")+($D$5&lt;&gt;"")*( DB!C$2:C$2576=$D$5))*(($D$6="")+($D$6&lt;&gt;"")*( DB!D$2:D$2576=$D$6))*(($D$7="")+($D$7&lt;&gt;"")*(ISNUMBER(SEARCH($D$7,DB!G$2:G$2576))))*(($F$7="전체")+($F$7&lt;&gt;"전체")*(DB!H$2:H$2576=$F$7))),ROW()-13)-1,"")</f>
        <v/>
      </c>
      <c r="Q772" t="str" cm="1">
        <f t="array" ref="Q772">IFERROR(INDEX(DB!G$2:G$2576,P772),"")</f>
        <v/>
      </c>
      <c r="R772" t="str" cm="1">
        <f t="array" ref="R772">IFERROR(INDEX(DB!O$2:O$2576,P772),"")</f>
        <v/>
      </c>
      <c r="S772" t="str">
        <f t="shared" si="36"/>
        <v/>
      </c>
      <c r="T772" t="str">
        <f t="shared" si="37"/>
        <v/>
      </c>
    </row>
    <row r="773" spans="1:20" ht="100" customHeight="1">
      <c r="A773" s="26"/>
      <c r="B773" s="42" t="str">
        <f t="shared" si="35"/>
        <v/>
      </c>
      <c r="C773" s="43"/>
      <c r="D773" s="51" t="str" cm="1">
        <f t="array" ref="D773">IFERROR(INDEX(DB!G$2:G$2576,T773),"")</f>
        <v/>
      </c>
      <c r="E773" s="43"/>
      <c r="F773" s="52" t="str" cm="1">
        <f t="array" ref="F773">IFERROR(INDEX(DB!O$2:O$2576,T773),"")</f>
        <v/>
      </c>
      <c r="G773" s="43"/>
      <c r="H773" s="40" t="str" cm="1">
        <f t="array" ref="H773">IFERROR(INDEX(DB!P$2:P$2576,T773),"")</f>
        <v/>
      </c>
      <c r="I773" s="43"/>
      <c r="J773" s="53" t="str" cm="1">
        <f t="array" ref="J773">IFERROR(INDEX(DB!Q$2:Q$2576,T773),"")</f>
        <v/>
      </c>
      <c r="K773" s="43"/>
      <c r="L773" s="41" t="str" cm="1">
        <f t="array" ref="L773">IFERROR(INDEX(DB!R$2:R$2576,T773),"")</f>
        <v/>
      </c>
      <c r="M773" s="43"/>
      <c r="P773" t="str" cm="1">
        <f t="array" ref="P773">IFERROR(_xlfn.AGGREGATE(15,6,ROW(DB!A$2:A$2576)/((($D$3&lt;&gt;"YES")+($D$3="YES")*(DB!E$2:E$2576="YES"))*(($D$4="")+($D$4&lt;&gt;"")*( DB!B$2:B$2576=$D$4))*(($D$5="")+($D$5&lt;&gt;"")*( DB!C$2:C$2576=$D$5))*(($D$6="")+($D$6&lt;&gt;"")*( DB!D$2:D$2576=$D$6))*(($D$7="")+($D$7&lt;&gt;"")*(ISNUMBER(SEARCH($D$7,DB!G$2:G$2576))))*(($F$7="전체")+($F$7&lt;&gt;"전체")*(DB!H$2:H$2576=$F$7))),ROW()-13)-1,"")</f>
        <v/>
      </c>
      <c r="Q773" t="str" cm="1">
        <f t="array" ref="Q773">IFERROR(INDEX(DB!G$2:G$2576,P773),"")</f>
        <v/>
      </c>
      <c r="R773" t="str" cm="1">
        <f t="array" ref="R773">IFERROR(INDEX(DB!O$2:O$2576,P773),"")</f>
        <v/>
      </c>
      <c r="S773" t="str">
        <f t="shared" si="36"/>
        <v/>
      </c>
      <c r="T773" t="str">
        <f t="shared" si="37"/>
        <v/>
      </c>
    </row>
    <row r="774" spans="1:20" ht="100" customHeight="1">
      <c r="A774" s="26"/>
      <c r="B774" s="39" t="str">
        <f t="shared" si="35"/>
        <v/>
      </c>
      <c r="C774" s="43"/>
      <c r="D774" s="51" t="str" cm="1">
        <f t="array" ref="D774">IFERROR(INDEX(DB!G$2:G$2576,T774),"")</f>
        <v/>
      </c>
      <c r="E774" s="43"/>
      <c r="F774" s="52" t="str" cm="1">
        <f t="array" ref="F774">IFERROR(INDEX(DB!O$2:O$2576,T774),"")</f>
        <v/>
      </c>
      <c r="G774" s="43"/>
      <c r="H774" s="40" t="str" cm="1">
        <f t="array" ref="H774">IFERROR(INDEX(DB!P$2:P$2576,T774),"")</f>
        <v/>
      </c>
      <c r="I774" s="43"/>
      <c r="J774" s="53" t="str" cm="1">
        <f t="array" ref="J774">IFERROR(INDEX(DB!Q$2:Q$2576,T774),"")</f>
        <v/>
      </c>
      <c r="K774" s="43"/>
      <c r="L774" s="41" t="str" cm="1">
        <f t="array" ref="L774">IFERROR(INDEX(DB!R$2:R$2576,T774),"")</f>
        <v/>
      </c>
      <c r="M774" s="43"/>
      <c r="P774" t="str" cm="1">
        <f t="array" ref="P774">IFERROR(_xlfn.AGGREGATE(15,6,ROW(DB!A$2:A$2576)/((($D$3&lt;&gt;"YES")+($D$3="YES")*(DB!E$2:E$2576="YES"))*(($D$4="")+($D$4&lt;&gt;"")*( DB!B$2:B$2576=$D$4))*(($D$5="")+($D$5&lt;&gt;"")*( DB!C$2:C$2576=$D$5))*(($D$6="")+($D$6&lt;&gt;"")*( DB!D$2:D$2576=$D$6))*(($D$7="")+($D$7&lt;&gt;"")*(ISNUMBER(SEARCH($D$7,DB!G$2:G$2576))))*(($F$7="전체")+($F$7&lt;&gt;"전체")*(DB!H$2:H$2576=$F$7))),ROW()-13)-1,"")</f>
        <v/>
      </c>
      <c r="Q774" t="str" cm="1">
        <f t="array" ref="Q774">IFERROR(INDEX(DB!G$2:G$2576,P774),"")</f>
        <v/>
      </c>
      <c r="R774" t="str" cm="1">
        <f t="array" ref="R774">IFERROR(INDEX(DB!O$2:O$2576,P774),"")</f>
        <v/>
      </c>
      <c r="S774" t="str">
        <f t="shared" si="36"/>
        <v/>
      </c>
      <c r="T774" t="str">
        <f t="shared" si="37"/>
        <v/>
      </c>
    </row>
    <row r="775" spans="1:20" ht="100" customHeight="1">
      <c r="A775" s="26"/>
      <c r="B775" s="42" t="str">
        <f t="shared" si="35"/>
        <v/>
      </c>
      <c r="C775" s="43"/>
      <c r="D775" s="51" t="str" cm="1">
        <f t="array" ref="D775">IFERROR(INDEX(DB!G$2:G$2576,T775),"")</f>
        <v/>
      </c>
      <c r="E775" s="43"/>
      <c r="F775" s="52" t="str" cm="1">
        <f t="array" ref="F775">IFERROR(INDEX(DB!O$2:O$2576,T775),"")</f>
        <v/>
      </c>
      <c r="G775" s="43"/>
      <c r="H775" s="40" t="str" cm="1">
        <f t="array" ref="H775">IFERROR(INDEX(DB!P$2:P$2576,T775),"")</f>
        <v/>
      </c>
      <c r="I775" s="43"/>
      <c r="J775" s="53" t="str" cm="1">
        <f t="array" ref="J775">IFERROR(INDEX(DB!Q$2:Q$2576,T775),"")</f>
        <v/>
      </c>
      <c r="K775" s="43"/>
      <c r="L775" s="41" t="str" cm="1">
        <f t="array" ref="L775">IFERROR(INDEX(DB!R$2:R$2576,T775),"")</f>
        <v/>
      </c>
      <c r="M775" s="43"/>
      <c r="P775" t="str" cm="1">
        <f t="array" ref="P775">IFERROR(_xlfn.AGGREGATE(15,6,ROW(DB!A$2:A$2576)/((($D$3&lt;&gt;"YES")+($D$3="YES")*(DB!E$2:E$2576="YES"))*(($D$4="")+($D$4&lt;&gt;"")*( DB!B$2:B$2576=$D$4))*(($D$5="")+($D$5&lt;&gt;"")*( DB!C$2:C$2576=$D$5))*(($D$6="")+($D$6&lt;&gt;"")*( DB!D$2:D$2576=$D$6))*(($D$7="")+($D$7&lt;&gt;"")*(ISNUMBER(SEARCH($D$7,DB!G$2:G$2576))))*(($F$7="전체")+($F$7&lt;&gt;"전체")*(DB!H$2:H$2576=$F$7))),ROW()-13)-1,"")</f>
        <v/>
      </c>
      <c r="Q775" t="str" cm="1">
        <f t="array" ref="Q775">IFERROR(INDEX(DB!G$2:G$2576,P775),"")</f>
        <v/>
      </c>
      <c r="R775" t="str" cm="1">
        <f t="array" ref="R775">IFERROR(INDEX(DB!O$2:O$2576,P775),"")</f>
        <v/>
      </c>
      <c r="S775" t="str">
        <f t="shared" si="36"/>
        <v/>
      </c>
      <c r="T775" t="str">
        <f t="shared" si="37"/>
        <v/>
      </c>
    </row>
    <row r="776" spans="1:20" ht="100" customHeight="1">
      <c r="A776" s="26"/>
      <c r="B776" s="39" t="str">
        <f t="shared" si="35"/>
        <v/>
      </c>
      <c r="C776" s="43"/>
      <c r="D776" s="51" t="str" cm="1">
        <f t="array" ref="D776">IFERROR(INDEX(DB!G$2:G$2576,T776),"")</f>
        <v/>
      </c>
      <c r="E776" s="43"/>
      <c r="F776" s="52" t="str" cm="1">
        <f t="array" ref="F776">IFERROR(INDEX(DB!O$2:O$2576,T776),"")</f>
        <v/>
      </c>
      <c r="G776" s="43"/>
      <c r="H776" s="40" t="str" cm="1">
        <f t="array" ref="H776">IFERROR(INDEX(DB!P$2:P$2576,T776),"")</f>
        <v/>
      </c>
      <c r="I776" s="43"/>
      <c r="J776" s="53" t="str" cm="1">
        <f t="array" ref="J776">IFERROR(INDEX(DB!Q$2:Q$2576,T776),"")</f>
        <v/>
      </c>
      <c r="K776" s="43"/>
      <c r="L776" s="41" t="str" cm="1">
        <f t="array" ref="L776">IFERROR(INDEX(DB!R$2:R$2576,T776),"")</f>
        <v/>
      </c>
      <c r="M776" s="43"/>
      <c r="P776" t="str" cm="1">
        <f t="array" ref="P776">IFERROR(_xlfn.AGGREGATE(15,6,ROW(DB!A$2:A$2576)/((($D$3&lt;&gt;"YES")+($D$3="YES")*(DB!E$2:E$2576="YES"))*(($D$4="")+($D$4&lt;&gt;"")*( DB!B$2:B$2576=$D$4))*(($D$5="")+($D$5&lt;&gt;"")*( DB!C$2:C$2576=$D$5))*(($D$6="")+($D$6&lt;&gt;"")*( DB!D$2:D$2576=$D$6))*(($D$7="")+($D$7&lt;&gt;"")*(ISNUMBER(SEARCH($D$7,DB!G$2:G$2576))))*(($F$7="전체")+($F$7&lt;&gt;"전체")*(DB!H$2:H$2576=$F$7))),ROW()-13)-1,"")</f>
        <v/>
      </c>
      <c r="Q776" t="str" cm="1">
        <f t="array" ref="Q776">IFERROR(INDEX(DB!G$2:G$2576,P776),"")</f>
        <v/>
      </c>
      <c r="R776" t="str" cm="1">
        <f t="array" ref="R776">IFERROR(INDEX(DB!O$2:O$2576,P776),"")</f>
        <v/>
      </c>
      <c r="S776" t="str">
        <f t="shared" si="36"/>
        <v/>
      </c>
      <c r="T776" t="str">
        <f t="shared" si="37"/>
        <v/>
      </c>
    </row>
    <row r="777" spans="1:20" ht="100" customHeight="1">
      <c r="A777" s="26"/>
      <c r="B777" s="42" t="str">
        <f t="shared" si="35"/>
        <v/>
      </c>
      <c r="C777" s="43"/>
      <c r="D777" s="51" t="str" cm="1">
        <f t="array" ref="D777">IFERROR(INDEX(DB!G$2:G$2576,T777),"")</f>
        <v/>
      </c>
      <c r="E777" s="43"/>
      <c r="F777" s="52" t="str" cm="1">
        <f t="array" ref="F777">IFERROR(INDEX(DB!O$2:O$2576,T777),"")</f>
        <v/>
      </c>
      <c r="G777" s="43"/>
      <c r="H777" s="40" t="str" cm="1">
        <f t="array" ref="H777">IFERROR(INDEX(DB!P$2:P$2576,T777),"")</f>
        <v/>
      </c>
      <c r="I777" s="43"/>
      <c r="J777" s="53" t="str" cm="1">
        <f t="array" ref="J777">IFERROR(INDEX(DB!Q$2:Q$2576,T777),"")</f>
        <v/>
      </c>
      <c r="K777" s="43"/>
      <c r="L777" s="41" t="str" cm="1">
        <f t="array" ref="L777">IFERROR(INDEX(DB!R$2:R$2576,T777),"")</f>
        <v/>
      </c>
      <c r="M777" s="43"/>
      <c r="P777" t="str" cm="1">
        <f t="array" ref="P777">IFERROR(_xlfn.AGGREGATE(15,6,ROW(DB!A$2:A$2576)/((($D$3&lt;&gt;"YES")+($D$3="YES")*(DB!E$2:E$2576="YES"))*(($D$4="")+($D$4&lt;&gt;"")*( DB!B$2:B$2576=$D$4))*(($D$5="")+($D$5&lt;&gt;"")*( DB!C$2:C$2576=$D$5))*(($D$6="")+($D$6&lt;&gt;"")*( DB!D$2:D$2576=$D$6))*(($D$7="")+($D$7&lt;&gt;"")*(ISNUMBER(SEARCH($D$7,DB!G$2:G$2576))))*(($F$7="전체")+($F$7&lt;&gt;"전체")*(DB!H$2:H$2576=$F$7))),ROW()-13)-1,"")</f>
        <v/>
      </c>
      <c r="Q777" t="str" cm="1">
        <f t="array" ref="Q777">IFERROR(INDEX(DB!G$2:G$2576,P777),"")</f>
        <v/>
      </c>
      <c r="R777" t="str" cm="1">
        <f t="array" ref="R777">IFERROR(INDEX(DB!O$2:O$2576,P777),"")</f>
        <v/>
      </c>
      <c r="S777" t="str">
        <f t="shared" si="36"/>
        <v/>
      </c>
      <c r="T777" t="str">
        <f t="shared" si="37"/>
        <v/>
      </c>
    </row>
    <row r="778" spans="1:20" ht="100" customHeight="1">
      <c r="A778" s="26"/>
      <c r="B778" s="39" t="str">
        <f t="shared" si="35"/>
        <v/>
      </c>
      <c r="C778" s="43"/>
      <c r="D778" s="51" t="str" cm="1">
        <f t="array" ref="D778">IFERROR(INDEX(DB!G$2:G$2576,T778),"")</f>
        <v/>
      </c>
      <c r="E778" s="43"/>
      <c r="F778" s="52" t="str" cm="1">
        <f t="array" ref="F778">IFERROR(INDEX(DB!O$2:O$2576,T778),"")</f>
        <v/>
      </c>
      <c r="G778" s="43"/>
      <c r="H778" s="40" t="str" cm="1">
        <f t="array" ref="H778">IFERROR(INDEX(DB!P$2:P$2576,T778),"")</f>
        <v/>
      </c>
      <c r="I778" s="43"/>
      <c r="J778" s="53" t="str" cm="1">
        <f t="array" ref="J778">IFERROR(INDEX(DB!Q$2:Q$2576,T778),"")</f>
        <v/>
      </c>
      <c r="K778" s="43"/>
      <c r="L778" s="41" t="str" cm="1">
        <f t="array" ref="L778">IFERROR(INDEX(DB!R$2:R$2576,T778),"")</f>
        <v/>
      </c>
      <c r="M778" s="43"/>
      <c r="P778" t="str" cm="1">
        <f t="array" ref="P778">IFERROR(_xlfn.AGGREGATE(15,6,ROW(DB!A$2:A$2576)/((($D$3&lt;&gt;"YES")+($D$3="YES")*(DB!E$2:E$2576="YES"))*(($D$4="")+($D$4&lt;&gt;"")*( DB!B$2:B$2576=$D$4))*(($D$5="")+($D$5&lt;&gt;"")*( DB!C$2:C$2576=$D$5))*(($D$6="")+($D$6&lt;&gt;"")*( DB!D$2:D$2576=$D$6))*(($D$7="")+($D$7&lt;&gt;"")*(ISNUMBER(SEARCH($D$7,DB!G$2:G$2576))))*(($F$7="전체")+($F$7&lt;&gt;"전체")*(DB!H$2:H$2576=$F$7))),ROW()-13)-1,"")</f>
        <v/>
      </c>
      <c r="Q778" t="str" cm="1">
        <f t="array" ref="Q778">IFERROR(INDEX(DB!G$2:G$2576,P778),"")</f>
        <v/>
      </c>
      <c r="R778" t="str" cm="1">
        <f t="array" ref="R778">IFERROR(INDEX(DB!O$2:O$2576,P778),"")</f>
        <v/>
      </c>
      <c r="S778" t="str">
        <f t="shared" si="36"/>
        <v/>
      </c>
      <c r="T778" t="str">
        <f t="shared" si="37"/>
        <v/>
      </c>
    </row>
    <row r="779" spans="1:20" ht="100" customHeight="1">
      <c r="A779" s="26"/>
      <c r="B779" s="42" t="str">
        <f t="shared" si="35"/>
        <v/>
      </c>
      <c r="C779" s="43"/>
      <c r="D779" s="51" t="str" cm="1">
        <f t="array" ref="D779">IFERROR(INDEX(DB!G$2:G$2576,T779),"")</f>
        <v/>
      </c>
      <c r="E779" s="43"/>
      <c r="F779" s="52" t="str" cm="1">
        <f t="array" ref="F779">IFERROR(INDEX(DB!O$2:O$2576,T779),"")</f>
        <v/>
      </c>
      <c r="G779" s="43"/>
      <c r="H779" s="40" t="str" cm="1">
        <f t="array" ref="H779">IFERROR(INDEX(DB!P$2:P$2576,T779),"")</f>
        <v/>
      </c>
      <c r="I779" s="43"/>
      <c r="J779" s="53" t="str" cm="1">
        <f t="array" ref="J779">IFERROR(INDEX(DB!Q$2:Q$2576,T779),"")</f>
        <v/>
      </c>
      <c r="K779" s="43"/>
      <c r="L779" s="41" t="str" cm="1">
        <f t="array" ref="L779">IFERROR(INDEX(DB!R$2:R$2576,T779),"")</f>
        <v/>
      </c>
      <c r="M779" s="43"/>
      <c r="P779" t="str" cm="1">
        <f t="array" ref="P779">IFERROR(_xlfn.AGGREGATE(15,6,ROW(DB!A$2:A$2576)/((($D$3&lt;&gt;"YES")+($D$3="YES")*(DB!E$2:E$2576="YES"))*(($D$4="")+($D$4&lt;&gt;"")*( DB!B$2:B$2576=$D$4))*(($D$5="")+($D$5&lt;&gt;"")*( DB!C$2:C$2576=$D$5))*(($D$6="")+($D$6&lt;&gt;"")*( DB!D$2:D$2576=$D$6))*(($D$7="")+($D$7&lt;&gt;"")*(ISNUMBER(SEARCH($D$7,DB!G$2:G$2576))))*(($F$7="전체")+($F$7&lt;&gt;"전체")*(DB!H$2:H$2576=$F$7))),ROW()-13)-1,"")</f>
        <v/>
      </c>
      <c r="Q779" t="str" cm="1">
        <f t="array" ref="Q779">IFERROR(INDEX(DB!G$2:G$2576,P779),"")</f>
        <v/>
      </c>
      <c r="R779" t="str" cm="1">
        <f t="array" ref="R779">IFERROR(INDEX(DB!O$2:O$2576,P779),"")</f>
        <v/>
      </c>
      <c r="S779" t="str">
        <f t="shared" si="36"/>
        <v/>
      </c>
      <c r="T779" t="str">
        <f t="shared" si="37"/>
        <v/>
      </c>
    </row>
    <row r="780" spans="1:20" ht="100" customHeight="1">
      <c r="A780" s="26"/>
      <c r="B780" s="39" t="str">
        <f t="shared" si="35"/>
        <v/>
      </c>
      <c r="C780" s="43"/>
      <c r="D780" s="51" t="str" cm="1">
        <f t="array" ref="D780">IFERROR(INDEX(DB!G$2:G$2576,T780),"")</f>
        <v/>
      </c>
      <c r="E780" s="43"/>
      <c r="F780" s="52" t="str" cm="1">
        <f t="array" ref="F780">IFERROR(INDEX(DB!O$2:O$2576,T780),"")</f>
        <v/>
      </c>
      <c r="G780" s="43"/>
      <c r="H780" s="40" t="str" cm="1">
        <f t="array" ref="H780">IFERROR(INDEX(DB!P$2:P$2576,T780),"")</f>
        <v/>
      </c>
      <c r="I780" s="43"/>
      <c r="J780" s="53" t="str" cm="1">
        <f t="array" ref="J780">IFERROR(INDEX(DB!Q$2:Q$2576,T780),"")</f>
        <v/>
      </c>
      <c r="K780" s="43"/>
      <c r="L780" s="41" t="str" cm="1">
        <f t="array" ref="L780">IFERROR(INDEX(DB!R$2:R$2576,T780),"")</f>
        <v/>
      </c>
      <c r="M780" s="43"/>
      <c r="P780" t="str" cm="1">
        <f t="array" ref="P780">IFERROR(_xlfn.AGGREGATE(15,6,ROW(DB!A$2:A$2576)/((($D$3&lt;&gt;"YES")+($D$3="YES")*(DB!E$2:E$2576="YES"))*(($D$4="")+($D$4&lt;&gt;"")*( DB!B$2:B$2576=$D$4))*(($D$5="")+($D$5&lt;&gt;"")*( DB!C$2:C$2576=$D$5))*(($D$6="")+($D$6&lt;&gt;"")*( DB!D$2:D$2576=$D$6))*(($D$7="")+($D$7&lt;&gt;"")*(ISNUMBER(SEARCH($D$7,DB!G$2:G$2576))))*(($F$7="전체")+($F$7&lt;&gt;"전체")*(DB!H$2:H$2576=$F$7))),ROW()-13)-1,"")</f>
        <v/>
      </c>
      <c r="Q780" t="str" cm="1">
        <f t="array" ref="Q780">IFERROR(INDEX(DB!G$2:G$2576,P780),"")</f>
        <v/>
      </c>
      <c r="R780" t="str" cm="1">
        <f t="array" ref="R780">IFERROR(INDEX(DB!O$2:O$2576,P780),"")</f>
        <v/>
      </c>
      <c r="S780" t="str">
        <f t="shared" si="36"/>
        <v/>
      </c>
      <c r="T780" t="str">
        <f t="shared" si="37"/>
        <v/>
      </c>
    </row>
    <row r="781" spans="1:20" ht="100" customHeight="1">
      <c r="A781" s="26"/>
      <c r="B781" s="42" t="str">
        <f t="shared" si="35"/>
        <v/>
      </c>
      <c r="C781" s="43"/>
      <c r="D781" s="51" t="str" cm="1">
        <f t="array" ref="D781">IFERROR(INDEX(DB!G$2:G$2576,T781),"")</f>
        <v/>
      </c>
      <c r="E781" s="43"/>
      <c r="F781" s="52" t="str" cm="1">
        <f t="array" ref="F781">IFERROR(INDEX(DB!O$2:O$2576,T781),"")</f>
        <v/>
      </c>
      <c r="G781" s="43"/>
      <c r="H781" s="40" t="str" cm="1">
        <f t="array" ref="H781">IFERROR(INDEX(DB!P$2:P$2576,T781),"")</f>
        <v/>
      </c>
      <c r="I781" s="43"/>
      <c r="J781" s="53" t="str" cm="1">
        <f t="array" ref="J781">IFERROR(INDEX(DB!Q$2:Q$2576,T781),"")</f>
        <v/>
      </c>
      <c r="K781" s="43"/>
      <c r="L781" s="41" t="str" cm="1">
        <f t="array" ref="L781">IFERROR(INDEX(DB!R$2:R$2576,T781),"")</f>
        <v/>
      </c>
      <c r="M781" s="43"/>
      <c r="P781" t="str" cm="1">
        <f t="array" ref="P781">IFERROR(_xlfn.AGGREGATE(15,6,ROW(DB!A$2:A$2576)/((($D$3&lt;&gt;"YES")+($D$3="YES")*(DB!E$2:E$2576="YES"))*(($D$4="")+($D$4&lt;&gt;"")*( DB!B$2:B$2576=$D$4))*(($D$5="")+($D$5&lt;&gt;"")*( DB!C$2:C$2576=$D$5))*(($D$6="")+($D$6&lt;&gt;"")*( DB!D$2:D$2576=$D$6))*(($D$7="")+($D$7&lt;&gt;"")*(ISNUMBER(SEARCH($D$7,DB!G$2:G$2576))))*(($F$7="전체")+($F$7&lt;&gt;"전체")*(DB!H$2:H$2576=$F$7))),ROW()-13)-1,"")</f>
        <v/>
      </c>
      <c r="Q781" t="str" cm="1">
        <f t="array" ref="Q781">IFERROR(INDEX(DB!G$2:G$2576,P781),"")</f>
        <v/>
      </c>
      <c r="R781" t="str" cm="1">
        <f t="array" ref="R781">IFERROR(INDEX(DB!O$2:O$2576,P781),"")</f>
        <v/>
      </c>
      <c r="S781" t="str">
        <f t="shared" si="36"/>
        <v/>
      </c>
      <c r="T781" t="str">
        <f t="shared" si="37"/>
        <v/>
      </c>
    </row>
    <row r="782" spans="1:20" ht="100" customHeight="1">
      <c r="A782" s="26"/>
      <c r="B782" s="39" t="str">
        <f t="shared" si="35"/>
        <v/>
      </c>
      <c r="C782" s="43"/>
      <c r="D782" s="51" t="str" cm="1">
        <f t="array" ref="D782">IFERROR(INDEX(DB!G$2:G$2576,T782),"")</f>
        <v/>
      </c>
      <c r="E782" s="43"/>
      <c r="F782" s="52" t="str" cm="1">
        <f t="array" ref="F782">IFERROR(INDEX(DB!O$2:O$2576,T782),"")</f>
        <v/>
      </c>
      <c r="G782" s="43"/>
      <c r="H782" s="40" t="str" cm="1">
        <f t="array" ref="H782">IFERROR(INDEX(DB!P$2:P$2576,T782),"")</f>
        <v/>
      </c>
      <c r="I782" s="43"/>
      <c r="J782" s="53" t="str" cm="1">
        <f t="array" ref="J782">IFERROR(INDEX(DB!Q$2:Q$2576,T782),"")</f>
        <v/>
      </c>
      <c r="K782" s="43"/>
      <c r="L782" s="41" t="str" cm="1">
        <f t="array" ref="L782">IFERROR(INDEX(DB!R$2:R$2576,T782),"")</f>
        <v/>
      </c>
      <c r="M782" s="43"/>
      <c r="P782" t="str" cm="1">
        <f t="array" ref="P782">IFERROR(_xlfn.AGGREGATE(15,6,ROW(DB!A$2:A$2576)/((($D$3&lt;&gt;"YES")+($D$3="YES")*(DB!E$2:E$2576="YES"))*(($D$4="")+($D$4&lt;&gt;"")*( DB!B$2:B$2576=$D$4))*(($D$5="")+($D$5&lt;&gt;"")*( DB!C$2:C$2576=$D$5))*(($D$6="")+($D$6&lt;&gt;"")*( DB!D$2:D$2576=$D$6))*(($D$7="")+($D$7&lt;&gt;"")*(ISNUMBER(SEARCH($D$7,DB!G$2:G$2576))))*(($F$7="전체")+($F$7&lt;&gt;"전체")*(DB!H$2:H$2576=$F$7))),ROW()-13)-1,"")</f>
        <v/>
      </c>
      <c r="Q782" t="str" cm="1">
        <f t="array" ref="Q782">IFERROR(INDEX(DB!G$2:G$2576,P782),"")</f>
        <v/>
      </c>
      <c r="R782" t="str" cm="1">
        <f t="array" ref="R782">IFERROR(INDEX(DB!O$2:O$2576,P782),"")</f>
        <v/>
      </c>
      <c r="S782" t="str">
        <f t="shared" si="36"/>
        <v/>
      </c>
      <c r="T782" t="str">
        <f t="shared" si="37"/>
        <v/>
      </c>
    </row>
    <row r="783" spans="1:20" ht="100" customHeight="1">
      <c r="A783" s="26"/>
      <c r="B783" s="42" t="str">
        <f t="shared" ref="B783:B846" si="38">IFERROR(IF(T783="","",ROW()-13),"")</f>
        <v/>
      </c>
      <c r="C783" s="43"/>
      <c r="D783" s="51" t="str" cm="1">
        <f t="array" ref="D783">IFERROR(INDEX(DB!G$2:G$2576,T783),"")</f>
        <v/>
      </c>
      <c r="E783" s="43"/>
      <c r="F783" s="52" t="str" cm="1">
        <f t="array" ref="F783">IFERROR(INDEX(DB!O$2:O$2576,T783),"")</f>
        <v/>
      </c>
      <c r="G783" s="43"/>
      <c r="H783" s="40" t="str" cm="1">
        <f t="array" ref="H783">IFERROR(INDEX(DB!P$2:P$2576,T783),"")</f>
        <v/>
      </c>
      <c r="I783" s="43"/>
      <c r="J783" s="53" t="str" cm="1">
        <f t="array" ref="J783">IFERROR(INDEX(DB!Q$2:Q$2576,T783),"")</f>
        <v/>
      </c>
      <c r="K783" s="43"/>
      <c r="L783" s="41" t="str" cm="1">
        <f t="array" ref="L783">IFERROR(INDEX(DB!R$2:R$2576,T783),"")</f>
        <v/>
      </c>
      <c r="M783" s="43"/>
      <c r="P783" t="str" cm="1">
        <f t="array" ref="P783">IFERROR(_xlfn.AGGREGATE(15,6,ROW(DB!A$2:A$2576)/((($D$3&lt;&gt;"YES")+($D$3="YES")*(DB!E$2:E$2576="YES"))*(($D$4="")+($D$4&lt;&gt;"")*( DB!B$2:B$2576=$D$4))*(($D$5="")+($D$5&lt;&gt;"")*( DB!C$2:C$2576=$D$5))*(($D$6="")+($D$6&lt;&gt;"")*( DB!D$2:D$2576=$D$6))*(($D$7="")+($D$7&lt;&gt;"")*(ISNUMBER(SEARCH($D$7,DB!G$2:G$2576))))*(($F$7="전체")+($F$7&lt;&gt;"전체")*(DB!H$2:H$2576=$F$7))),ROW()-13)-1,"")</f>
        <v/>
      </c>
      <c r="Q783" t="str" cm="1">
        <f t="array" ref="Q783">IFERROR(INDEX(DB!G$2:G$2576,P783),"")</f>
        <v/>
      </c>
      <c r="R783" t="str" cm="1">
        <f t="array" ref="R783">IFERROR(INDEX(DB!O$2:O$2576,P783),"")</f>
        <v/>
      </c>
      <c r="S783" t="str">
        <f t="shared" ref="S783:S846" si="39">IF(P783="","",COUNTIF($Q$14:$Q$2587,"&lt;"&amp;Q783)*100+COUNTIF($R$14:$R$2587,"&lt;"&amp;R783)+(ROW()-13)*0.001)</f>
        <v/>
      </c>
      <c r="T783" t="str">
        <f t="shared" ref="T783:T846" si="40">IFERROR(INDEX($P$14:$P$2587,MATCH(SMALL($S$14:$S$2587,ROW()-13),$S$14:$S$2587,0)),"")</f>
        <v/>
      </c>
    </row>
    <row r="784" spans="1:20" ht="100" customHeight="1">
      <c r="A784" s="26"/>
      <c r="B784" s="39" t="str">
        <f t="shared" si="38"/>
        <v/>
      </c>
      <c r="C784" s="43"/>
      <c r="D784" s="51" t="str" cm="1">
        <f t="array" ref="D784">IFERROR(INDEX(DB!G$2:G$2576,T784),"")</f>
        <v/>
      </c>
      <c r="E784" s="43"/>
      <c r="F784" s="52" t="str" cm="1">
        <f t="array" ref="F784">IFERROR(INDEX(DB!O$2:O$2576,T784),"")</f>
        <v/>
      </c>
      <c r="G784" s="43"/>
      <c r="H784" s="40" t="str" cm="1">
        <f t="array" ref="H784">IFERROR(INDEX(DB!P$2:P$2576,T784),"")</f>
        <v/>
      </c>
      <c r="I784" s="43"/>
      <c r="J784" s="53" t="str" cm="1">
        <f t="array" ref="J784">IFERROR(INDEX(DB!Q$2:Q$2576,T784),"")</f>
        <v/>
      </c>
      <c r="K784" s="43"/>
      <c r="L784" s="41" t="str" cm="1">
        <f t="array" ref="L784">IFERROR(INDEX(DB!R$2:R$2576,T784),"")</f>
        <v/>
      </c>
      <c r="M784" s="43"/>
      <c r="P784" t="str" cm="1">
        <f t="array" ref="P784">IFERROR(_xlfn.AGGREGATE(15,6,ROW(DB!A$2:A$2576)/((($D$3&lt;&gt;"YES")+($D$3="YES")*(DB!E$2:E$2576="YES"))*(($D$4="")+($D$4&lt;&gt;"")*( DB!B$2:B$2576=$D$4))*(($D$5="")+($D$5&lt;&gt;"")*( DB!C$2:C$2576=$D$5))*(($D$6="")+($D$6&lt;&gt;"")*( DB!D$2:D$2576=$D$6))*(($D$7="")+($D$7&lt;&gt;"")*(ISNUMBER(SEARCH($D$7,DB!G$2:G$2576))))*(($F$7="전체")+($F$7&lt;&gt;"전체")*(DB!H$2:H$2576=$F$7))),ROW()-13)-1,"")</f>
        <v/>
      </c>
      <c r="Q784" t="str" cm="1">
        <f t="array" ref="Q784">IFERROR(INDEX(DB!G$2:G$2576,P784),"")</f>
        <v/>
      </c>
      <c r="R784" t="str" cm="1">
        <f t="array" ref="R784">IFERROR(INDEX(DB!O$2:O$2576,P784),"")</f>
        <v/>
      </c>
      <c r="S784" t="str">
        <f t="shared" si="39"/>
        <v/>
      </c>
      <c r="T784" t="str">
        <f t="shared" si="40"/>
        <v/>
      </c>
    </row>
    <row r="785" spans="1:20" ht="100" customHeight="1">
      <c r="A785" s="26"/>
      <c r="B785" s="42" t="str">
        <f t="shared" si="38"/>
        <v/>
      </c>
      <c r="C785" s="43"/>
      <c r="D785" s="51" t="str" cm="1">
        <f t="array" ref="D785">IFERROR(INDEX(DB!G$2:G$2576,T785),"")</f>
        <v/>
      </c>
      <c r="E785" s="43"/>
      <c r="F785" s="52" t="str" cm="1">
        <f t="array" ref="F785">IFERROR(INDEX(DB!O$2:O$2576,T785),"")</f>
        <v/>
      </c>
      <c r="G785" s="43"/>
      <c r="H785" s="40" t="str" cm="1">
        <f t="array" ref="H785">IFERROR(INDEX(DB!P$2:P$2576,T785),"")</f>
        <v/>
      </c>
      <c r="I785" s="43"/>
      <c r="J785" s="53" t="str" cm="1">
        <f t="array" ref="J785">IFERROR(INDEX(DB!Q$2:Q$2576,T785),"")</f>
        <v/>
      </c>
      <c r="K785" s="43"/>
      <c r="L785" s="41" t="str" cm="1">
        <f t="array" ref="L785">IFERROR(INDEX(DB!R$2:R$2576,T785),"")</f>
        <v/>
      </c>
      <c r="M785" s="43"/>
      <c r="P785" t="str" cm="1">
        <f t="array" ref="P785">IFERROR(_xlfn.AGGREGATE(15,6,ROW(DB!A$2:A$2576)/((($D$3&lt;&gt;"YES")+($D$3="YES")*(DB!E$2:E$2576="YES"))*(($D$4="")+($D$4&lt;&gt;"")*( DB!B$2:B$2576=$D$4))*(($D$5="")+($D$5&lt;&gt;"")*( DB!C$2:C$2576=$D$5))*(($D$6="")+($D$6&lt;&gt;"")*( DB!D$2:D$2576=$D$6))*(($D$7="")+($D$7&lt;&gt;"")*(ISNUMBER(SEARCH($D$7,DB!G$2:G$2576))))*(($F$7="전체")+($F$7&lt;&gt;"전체")*(DB!H$2:H$2576=$F$7))),ROW()-13)-1,"")</f>
        <v/>
      </c>
      <c r="Q785" t="str" cm="1">
        <f t="array" ref="Q785">IFERROR(INDEX(DB!G$2:G$2576,P785),"")</f>
        <v/>
      </c>
      <c r="R785" t="str" cm="1">
        <f t="array" ref="R785">IFERROR(INDEX(DB!O$2:O$2576,P785),"")</f>
        <v/>
      </c>
      <c r="S785" t="str">
        <f t="shared" si="39"/>
        <v/>
      </c>
      <c r="T785" t="str">
        <f t="shared" si="40"/>
        <v/>
      </c>
    </row>
    <row r="786" spans="1:20" ht="100" customHeight="1">
      <c r="A786" s="26"/>
      <c r="B786" s="39" t="str">
        <f t="shared" si="38"/>
        <v/>
      </c>
      <c r="C786" s="43"/>
      <c r="D786" s="51" t="str" cm="1">
        <f t="array" ref="D786">IFERROR(INDEX(DB!G$2:G$2576,T786),"")</f>
        <v/>
      </c>
      <c r="E786" s="43"/>
      <c r="F786" s="52" t="str" cm="1">
        <f t="array" ref="F786">IFERROR(INDEX(DB!O$2:O$2576,T786),"")</f>
        <v/>
      </c>
      <c r="G786" s="43"/>
      <c r="H786" s="40" t="str" cm="1">
        <f t="array" ref="H786">IFERROR(INDEX(DB!P$2:P$2576,T786),"")</f>
        <v/>
      </c>
      <c r="I786" s="43"/>
      <c r="J786" s="53" t="str" cm="1">
        <f t="array" ref="J786">IFERROR(INDEX(DB!Q$2:Q$2576,T786),"")</f>
        <v/>
      </c>
      <c r="K786" s="43"/>
      <c r="L786" s="41" t="str" cm="1">
        <f t="array" ref="L786">IFERROR(INDEX(DB!R$2:R$2576,T786),"")</f>
        <v/>
      </c>
      <c r="M786" s="43"/>
      <c r="P786" t="str" cm="1">
        <f t="array" ref="P786">IFERROR(_xlfn.AGGREGATE(15,6,ROW(DB!A$2:A$2576)/((($D$3&lt;&gt;"YES")+($D$3="YES")*(DB!E$2:E$2576="YES"))*(($D$4="")+($D$4&lt;&gt;"")*( DB!B$2:B$2576=$D$4))*(($D$5="")+($D$5&lt;&gt;"")*( DB!C$2:C$2576=$D$5))*(($D$6="")+($D$6&lt;&gt;"")*( DB!D$2:D$2576=$D$6))*(($D$7="")+($D$7&lt;&gt;"")*(ISNUMBER(SEARCH($D$7,DB!G$2:G$2576))))*(($F$7="전체")+($F$7&lt;&gt;"전체")*(DB!H$2:H$2576=$F$7))),ROW()-13)-1,"")</f>
        <v/>
      </c>
      <c r="Q786" t="str" cm="1">
        <f t="array" ref="Q786">IFERROR(INDEX(DB!G$2:G$2576,P786),"")</f>
        <v/>
      </c>
      <c r="R786" t="str" cm="1">
        <f t="array" ref="R786">IFERROR(INDEX(DB!O$2:O$2576,P786),"")</f>
        <v/>
      </c>
      <c r="S786" t="str">
        <f t="shared" si="39"/>
        <v/>
      </c>
      <c r="T786" t="str">
        <f t="shared" si="40"/>
        <v/>
      </c>
    </row>
    <row r="787" spans="1:20" ht="100" customHeight="1">
      <c r="A787" s="26"/>
      <c r="B787" s="42" t="str">
        <f t="shared" si="38"/>
        <v/>
      </c>
      <c r="C787" s="43"/>
      <c r="D787" s="51" t="str" cm="1">
        <f t="array" ref="D787">IFERROR(INDEX(DB!G$2:G$2576,T787),"")</f>
        <v/>
      </c>
      <c r="E787" s="43"/>
      <c r="F787" s="52" t="str" cm="1">
        <f t="array" ref="F787">IFERROR(INDEX(DB!O$2:O$2576,T787),"")</f>
        <v/>
      </c>
      <c r="G787" s="43"/>
      <c r="H787" s="40" t="str" cm="1">
        <f t="array" ref="H787">IFERROR(INDEX(DB!P$2:P$2576,T787),"")</f>
        <v/>
      </c>
      <c r="I787" s="43"/>
      <c r="J787" s="53" t="str" cm="1">
        <f t="array" ref="J787">IFERROR(INDEX(DB!Q$2:Q$2576,T787),"")</f>
        <v/>
      </c>
      <c r="K787" s="43"/>
      <c r="L787" s="41" t="str" cm="1">
        <f t="array" ref="L787">IFERROR(INDEX(DB!R$2:R$2576,T787),"")</f>
        <v/>
      </c>
      <c r="M787" s="43"/>
      <c r="P787" t="str" cm="1">
        <f t="array" ref="P787">IFERROR(_xlfn.AGGREGATE(15,6,ROW(DB!A$2:A$2576)/((($D$3&lt;&gt;"YES")+($D$3="YES")*(DB!E$2:E$2576="YES"))*(($D$4="")+($D$4&lt;&gt;"")*( DB!B$2:B$2576=$D$4))*(($D$5="")+($D$5&lt;&gt;"")*( DB!C$2:C$2576=$D$5))*(($D$6="")+($D$6&lt;&gt;"")*( DB!D$2:D$2576=$D$6))*(($D$7="")+($D$7&lt;&gt;"")*(ISNUMBER(SEARCH($D$7,DB!G$2:G$2576))))*(($F$7="전체")+($F$7&lt;&gt;"전체")*(DB!H$2:H$2576=$F$7))),ROW()-13)-1,"")</f>
        <v/>
      </c>
      <c r="Q787" t="str" cm="1">
        <f t="array" ref="Q787">IFERROR(INDEX(DB!G$2:G$2576,P787),"")</f>
        <v/>
      </c>
      <c r="R787" t="str" cm="1">
        <f t="array" ref="R787">IFERROR(INDEX(DB!O$2:O$2576,P787),"")</f>
        <v/>
      </c>
      <c r="S787" t="str">
        <f t="shared" si="39"/>
        <v/>
      </c>
      <c r="T787" t="str">
        <f t="shared" si="40"/>
        <v/>
      </c>
    </row>
    <row r="788" spans="1:20" ht="100" customHeight="1">
      <c r="A788" s="26"/>
      <c r="B788" s="39" t="str">
        <f t="shared" si="38"/>
        <v/>
      </c>
      <c r="C788" s="43"/>
      <c r="D788" s="51" t="str" cm="1">
        <f t="array" ref="D788">IFERROR(INDEX(DB!G$2:G$2576,T788),"")</f>
        <v/>
      </c>
      <c r="E788" s="43"/>
      <c r="F788" s="52" t="str" cm="1">
        <f t="array" ref="F788">IFERROR(INDEX(DB!O$2:O$2576,T788),"")</f>
        <v/>
      </c>
      <c r="G788" s="43"/>
      <c r="H788" s="40" t="str" cm="1">
        <f t="array" ref="H788">IFERROR(INDEX(DB!P$2:P$2576,T788),"")</f>
        <v/>
      </c>
      <c r="I788" s="43"/>
      <c r="J788" s="53" t="str" cm="1">
        <f t="array" ref="J788">IFERROR(INDEX(DB!Q$2:Q$2576,T788),"")</f>
        <v/>
      </c>
      <c r="K788" s="43"/>
      <c r="L788" s="41" t="str" cm="1">
        <f t="array" ref="L788">IFERROR(INDEX(DB!R$2:R$2576,T788),"")</f>
        <v/>
      </c>
      <c r="M788" s="43"/>
      <c r="P788" t="str" cm="1">
        <f t="array" ref="P788">IFERROR(_xlfn.AGGREGATE(15,6,ROW(DB!A$2:A$2576)/((($D$3&lt;&gt;"YES")+($D$3="YES")*(DB!E$2:E$2576="YES"))*(($D$4="")+($D$4&lt;&gt;"")*( DB!B$2:B$2576=$D$4))*(($D$5="")+($D$5&lt;&gt;"")*( DB!C$2:C$2576=$D$5))*(($D$6="")+($D$6&lt;&gt;"")*( DB!D$2:D$2576=$D$6))*(($D$7="")+($D$7&lt;&gt;"")*(ISNUMBER(SEARCH($D$7,DB!G$2:G$2576))))*(($F$7="전체")+($F$7&lt;&gt;"전체")*(DB!H$2:H$2576=$F$7))),ROW()-13)-1,"")</f>
        <v/>
      </c>
      <c r="Q788" t="str" cm="1">
        <f t="array" ref="Q788">IFERROR(INDEX(DB!G$2:G$2576,P788),"")</f>
        <v/>
      </c>
      <c r="R788" t="str" cm="1">
        <f t="array" ref="R788">IFERROR(INDEX(DB!O$2:O$2576,P788),"")</f>
        <v/>
      </c>
      <c r="S788" t="str">
        <f t="shared" si="39"/>
        <v/>
      </c>
      <c r="T788" t="str">
        <f t="shared" si="40"/>
        <v/>
      </c>
    </row>
    <row r="789" spans="1:20" ht="100" customHeight="1">
      <c r="A789" s="26"/>
      <c r="B789" s="42" t="str">
        <f t="shared" si="38"/>
        <v/>
      </c>
      <c r="C789" s="43"/>
      <c r="D789" s="51" t="str" cm="1">
        <f t="array" ref="D789">IFERROR(INDEX(DB!G$2:G$2576,T789),"")</f>
        <v/>
      </c>
      <c r="E789" s="43"/>
      <c r="F789" s="52" t="str" cm="1">
        <f t="array" ref="F789">IFERROR(INDEX(DB!O$2:O$2576,T789),"")</f>
        <v/>
      </c>
      <c r="G789" s="43"/>
      <c r="H789" s="40" t="str" cm="1">
        <f t="array" ref="H789">IFERROR(INDEX(DB!P$2:P$2576,T789),"")</f>
        <v/>
      </c>
      <c r="I789" s="43"/>
      <c r="J789" s="53" t="str" cm="1">
        <f t="array" ref="J789">IFERROR(INDEX(DB!Q$2:Q$2576,T789),"")</f>
        <v/>
      </c>
      <c r="K789" s="43"/>
      <c r="L789" s="41" t="str" cm="1">
        <f t="array" ref="L789">IFERROR(INDEX(DB!R$2:R$2576,T789),"")</f>
        <v/>
      </c>
      <c r="M789" s="43"/>
      <c r="P789" t="str" cm="1">
        <f t="array" ref="P789">IFERROR(_xlfn.AGGREGATE(15,6,ROW(DB!A$2:A$2576)/((($D$3&lt;&gt;"YES")+($D$3="YES")*(DB!E$2:E$2576="YES"))*(($D$4="")+($D$4&lt;&gt;"")*( DB!B$2:B$2576=$D$4))*(($D$5="")+($D$5&lt;&gt;"")*( DB!C$2:C$2576=$D$5))*(($D$6="")+($D$6&lt;&gt;"")*( DB!D$2:D$2576=$D$6))*(($D$7="")+($D$7&lt;&gt;"")*(ISNUMBER(SEARCH($D$7,DB!G$2:G$2576))))*(($F$7="전체")+($F$7&lt;&gt;"전체")*(DB!H$2:H$2576=$F$7))),ROW()-13)-1,"")</f>
        <v/>
      </c>
      <c r="Q789" t="str" cm="1">
        <f t="array" ref="Q789">IFERROR(INDEX(DB!G$2:G$2576,P789),"")</f>
        <v/>
      </c>
      <c r="R789" t="str" cm="1">
        <f t="array" ref="R789">IFERROR(INDEX(DB!O$2:O$2576,P789),"")</f>
        <v/>
      </c>
      <c r="S789" t="str">
        <f t="shared" si="39"/>
        <v/>
      </c>
      <c r="T789" t="str">
        <f t="shared" si="40"/>
        <v/>
      </c>
    </row>
    <row r="790" spans="1:20" ht="100" customHeight="1">
      <c r="A790" s="26"/>
      <c r="B790" s="39" t="str">
        <f t="shared" si="38"/>
        <v/>
      </c>
      <c r="C790" s="43"/>
      <c r="D790" s="51" t="str" cm="1">
        <f t="array" ref="D790">IFERROR(INDEX(DB!G$2:G$2576,T790),"")</f>
        <v/>
      </c>
      <c r="E790" s="43"/>
      <c r="F790" s="52" t="str" cm="1">
        <f t="array" ref="F790">IFERROR(INDEX(DB!O$2:O$2576,T790),"")</f>
        <v/>
      </c>
      <c r="G790" s="43"/>
      <c r="H790" s="40" t="str" cm="1">
        <f t="array" ref="H790">IFERROR(INDEX(DB!P$2:P$2576,T790),"")</f>
        <v/>
      </c>
      <c r="I790" s="43"/>
      <c r="J790" s="53" t="str" cm="1">
        <f t="array" ref="J790">IFERROR(INDEX(DB!Q$2:Q$2576,T790),"")</f>
        <v/>
      </c>
      <c r="K790" s="43"/>
      <c r="L790" s="41" t="str" cm="1">
        <f t="array" ref="L790">IFERROR(INDEX(DB!R$2:R$2576,T790),"")</f>
        <v/>
      </c>
      <c r="M790" s="43"/>
      <c r="P790" t="str" cm="1">
        <f t="array" ref="P790">IFERROR(_xlfn.AGGREGATE(15,6,ROW(DB!A$2:A$2576)/((($D$3&lt;&gt;"YES")+($D$3="YES")*(DB!E$2:E$2576="YES"))*(($D$4="")+($D$4&lt;&gt;"")*( DB!B$2:B$2576=$D$4))*(($D$5="")+($D$5&lt;&gt;"")*( DB!C$2:C$2576=$D$5))*(($D$6="")+($D$6&lt;&gt;"")*( DB!D$2:D$2576=$D$6))*(($D$7="")+($D$7&lt;&gt;"")*(ISNUMBER(SEARCH($D$7,DB!G$2:G$2576))))*(($F$7="전체")+($F$7&lt;&gt;"전체")*(DB!H$2:H$2576=$F$7))),ROW()-13)-1,"")</f>
        <v/>
      </c>
      <c r="Q790" t="str" cm="1">
        <f t="array" ref="Q790">IFERROR(INDEX(DB!G$2:G$2576,P790),"")</f>
        <v/>
      </c>
      <c r="R790" t="str" cm="1">
        <f t="array" ref="R790">IFERROR(INDEX(DB!O$2:O$2576,P790),"")</f>
        <v/>
      </c>
      <c r="S790" t="str">
        <f t="shared" si="39"/>
        <v/>
      </c>
      <c r="T790" t="str">
        <f t="shared" si="40"/>
        <v/>
      </c>
    </row>
    <row r="791" spans="1:20" ht="100" customHeight="1">
      <c r="A791" s="26"/>
      <c r="B791" s="42" t="str">
        <f t="shared" si="38"/>
        <v/>
      </c>
      <c r="C791" s="43"/>
      <c r="D791" s="51" t="str" cm="1">
        <f t="array" ref="D791">IFERROR(INDEX(DB!G$2:G$2576,T791),"")</f>
        <v/>
      </c>
      <c r="E791" s="43"/>
      <c r="F791" s="52" t="str" cm="1">
        <f t="array" ref="F791">IFERROR(INDEX(DB!O$2:O$2576,T791),"")</f>
        <v/>
      </c>
      <c r="G791" s="43"/>
      <c r="H791" s="40" t="str" cm="1">
        <f t="array" ref="H791">IFERROR(INDEX(DB!P$2:P$2576,T791),"")</f>
        <v/>
      </c>
      <c r="I791" s="43"/>
      <c r="J791" s="53" t="str" cm="1">
        <f t="array" ref="J791">IFERROR(INDEX(DB!Q$2:Q$2576,T791),"")</f>
        <v/>
      </c>
      <c r="K791" s="43"/>
      <c r="L791" s="41" t="str" cm="1">
        <f t="array" ref="L791">IFERROR(INDEX(DB!R$2:R$2576,T791),"")</f>
        <v/>
      </c>
      <c r="M791" s="43"/>
      <c r="P791" t="str" cm="1">
        <f t="array" ref="P791">IFERROR(_xlfn.AGGREGATE(15,6,ROW(DB!A$2:A$2576)/((($D$3&lt;&gt;"YES")+($D$3="YES")*(DB!E$2:E$2576="YES"))*(($D$4="")+($D$4&lt;&gt;"")*( DB!B$2:B$2576=$D$4))*(($D$5="")+($D$5&lt;&gt;"")*( DB!C$2:C$2576=$D$5))*(($D$6="")+($D$6&lt;&gt;"")*( DB!D$2:D$2576=$D$6))*(($D$7="")+($D$7&lt;&gt;"")*(ISNUMBER(SEARCH($D$7,DB!G$2:G$2576))))*(($F$7="전체")+($F$7&lt;&gt;"전체")*(DB!H$2:H$2576=$F$7))),ROW()-13)-1,"")</f>
        <v/>
      </c>
      <c r="Q791" t="str" cm="1">
        <f t="array" ref="Q791">IFERROR(INDEX(DB!G$2:G$2576,P791),"")</f>
        <v/>
      </c>
      <c r="R791" t="str" cm="1">
        <f t="array" ref="R791">IFERROR(INDEX(DB!O$2:O$2576,P791),"")</f>
        <v/>
      </c>
      <c r="S791" t="str">
        <f t="shared" si="39"/>
        <v/>
      </c>
      <c r="T791" t="str">
        <f t="shared" si="40"/>
        <v/>
      </c>
    </row>
    <row r="792" spans="1:20" ht="100" customHeight="1">
      <c r="A792" s="26"/>
      <c r="B792" s="39" t="str">
        <f t="shared" si="38"/>
        <v/>
      </c>
      <c r="C792" s="43"/>
      <c r="D792" s="51" t="str" cm="1">
        <f t="array" ref="D792">IFERROR(INDEX(DB!G$2:G$2576,T792),"")</f>
        <v/>
      </c>
      <c r="E792" s="43"/>
      <c r="F792" s="52" t="str" cm="1">
        <f t="array" ref="F792">IFERROR(INDEX(DB!O$2:O$2576,T792),"")</f>
        <v/>
      </c>
      <c r="G792" s="43"/>
      <c r="H792" s="40" t="str" cm="1">
        <f t="array" ref="H792">IFERROR(INDEX(DB!P$2:P$2576,T792),"")</f>
        <v/>
      </c>
      <c r="I792" s="43"/>
      <c r="J792" s="53" t="str" cm="1">
        <f t="array" ref="J792">IFERROR(INDEX(DB!Q$2:Q$2576,T792),"")</f>
        <v/>
      </c>
      <c r="K792" s="43"/>
      <c r="L792" s="41" t="str" cm="1">
        <f t="array" ref="L792">IFERROR(INDEX(DB!R$2:R$2576,T792),"")</f>
        <v/>
      </c>
      <c r="M792" s="43"/>
      <c r="P792" t="str" cm="1">
        <f t="array" ref="P792">IFERROR(_xlfn.AGGREGATE(15,6,ROW(DB!A$2:A$2576)/((($D$3&lt;&gt;"YES")+($D$3="YES")*(DB!E$2:E$2576="YES"))*(($D$4="")+($D$4&lt;&gt;"")*( DB!B$2:B$2576=$D$4))*(($D$5="")+($D$5&lt;&gt;"")*( DB!C$2:C$2576=$D$5))*(($D$6="")+($D$6&lt;&gt;"")*( DB!D$2:D$2576=$D$6))*(($D$7="")+($D$7&lt;&gt;"")*(ISNUMBER(SEARCH($D$7,DB!G$2:G$2576))))*(($F$7="전체")+($F$7&lt;&gt;"전체")*(DB!H$2:H$2576=$F$7))),ROW()-13)-1,"")</f>
        <v/>
      </c>
      <c r="Q792" t="str" cm="1">
        <f t="array" ref="Q792">IFERROR(INDEX(DB!G$2:G$2576,P792),"")</f>
        <v/>
      </c>
      <c r="R792" t="str" cm="1">
        <f t="array" ref="R792">IFERROR(INDEX(DB!O$2:O$2576,P792),"")</f>
        <v/>
      </c>
      <c r="S792" t="str">
        <f t="shared" si="39"/>
        <v/>
      </c>
      <c r="T792" t="str">
        <f t="shared" si="40"/>
        <v/>
      </c>
    </row>
    <row r="793" spans="1:20" ht="100" customHeight="1">
      <c r="A793" s="26"/>
      <c r="B793" s="42" t="str">
        <f t="shared" si="38"/>
        <v/>
      </c>
      <c r="C793" s="43"/>
      <c r="D793" s="51" t="str" cm="1">
        <f t="array" ref="D793">IFERROR(INDEX(DB!G$2:G$2576,T793),"")</f>
        <v/>
      </c>
      <c r="E793" s="43"/>
      <c r="F793" s="52" t="str" cm="1">
        <f t="array" ref="F793">IFERROR(INDEX(DB!O$2:O$2576,T793),"")</f>
        <v/>
      </c>
      <c r="G793" s="43"/>
      <c r="H793" s="40" t="str" cm="1">
        <f t="array" ref="H793">IFERROR(INDEX(DB!P$2:P$2576,T793),"")</f>
        <v/>
      </c>
      <c r="I793" s="43"/>
      <c r="J793" s="53" t="str" cm="1">
        <f t="array" ref="J793">IFERROR(INDEX(DB!Q$2:Q$2576,T793),"")</f>
        <v/>
      </c>
      <c r="K793" s="43"/>
      <c r="L793" s="41" t="str" cm="1">
        <f t="array" ref="L793">IFERROR(INDEX(DB!R$2:R$2576,T793),"")</f>
        <v/>
      </c>
      <c r="M793" s="43"/>
      <c r="P793" t="str" cm="1">
        <f t="array" ref="P793">IFERROR(_xlfn.AGGREGATE(15,6,ROW(DB!A$2:A$2576)/((($D$3&lt;&gt;"YES")+($D$3="YES")*(DB!E$2:E$2576="YES"))*(($D$4="")+($D$4&lt;&gt;"")*( DB!B$2:B$2576=$D$4))*(($D$5="")+($D$5&lt;&gt;"")*( DB!C$2:C$2576=$D$5))*(($D$6="")+($D$6&lt;&gt;"")*( DB!D$2:D$2576=$D$6))*(($D$7="")+($D$7&lt;&gt;"")*(ISNUMBER(SEARCH($D$7,DB!G$2:G$2576))))*(($F$7="전체")+($F$7&lt;&gt;"전체")*(DB!H$2:H$2576=$F$7))),ROW()-13)-1,"")</f>
        <v/>
      </c>
      <c r="Q793" t="str" cm="1">
        <f t="array" ref="Q793">IFERROR(INDEX(DB!G$2:G$2576,P793),"")</f>
        <v/>
      </c>
      <c r="R793" t="str" cm="1">
        <f t="array" ref="R793">IFERROR(INDEX(DB!O$2:O$2576,P793),"")</f>
        <v/>
      </c>
      <c r="S793" t="str">
        <f t="shared" si="39"/>
        <v/>
      </c>
      <c r="T793" t="str">
        <f t="shared" si="40"/>
        <v/>
      </c>
    </row>
    <row r="794" spans="1:20" ht="100" customHeight="1">
      <c r="A794" s="26"/>
      <c r="B794" s="39" t="str">
        <f t="shared" si="38"/>
        <v/>
      </c>
      <c r="C794" s="43"/>
      <c r="D794" s="51" t="str" cm="1">
        <f t="array" ref="D794">IFERROR(INDEX(DB!G$2:G$2576,T794),"")</f>
        <v/>
      </c>
      <c r="E794" s="43"/>
      <c r="F794" s="52" t="str" cm="1">
        <f t="array" ref="F794">IFERROR(INDEX(DB!O$2:O$2576,T794),"")</f>
        <v/>
      </c>
      <c r="G794" s="43"/>
      <c r="H794" s="40" t="str" cm="1">
        <f t="array" ref="H794">IFERROR(INDEX(DB!P$2:P$2576,T794),"")</f>
        <v/>
      </c>
      <c r="I794" s="43"/>
      <c r="J794" s="53" t="str" cm="1">
        <f t="array" ref="J794">IFERROR(INDEX(DB!Q$2:Q$2576,T794),"")</f>
        <v/>
      </c>
      <c r="K794" s="43"/>
      <c r="L794" s="41" t="str" cm="1">
        <f t="array" ref="L794">IFERROR(INDEX(DB!R$2:R$2576,T794),"")</f>
        <v/>
      </c>
      <c r="M794" s="43"/>
      <c r="P794" t="str" cm="1">
        <f t="array" ref="P794">IFERROR(_xlfn.AGGREGATE(15,6,ROW(DB!A$2:A$2576)/((($D$3&lt;&gt;"YES")+($D$3="YES")*(DB!E$2:E$2576="YES"))*(($D$4="")+($D$4&lt;&gt;"")*( DB!B$2:B$2576=$D$4))*(($D$5="")+($D$5&lt;&gt;"")*( DB!C$2:C$2576=$D$5))*(($D$6="")+($D$6&lt;&gt;"")*( DB!D$2:D$2576=$D$6))*(($D$7="")+($D$7&lt;&gt;"")*(ISNUMBER(SEARCH($D$7,DB!G$2:G$2576))))*(($F$7="전체")+($F$7&lt;&gt;"전체")*(DB!H$2:H$2576=$F$7))),ROW()-13)-1,"")</f>
        <v/>
      </c>
      <c r="Q794" t="str" cm="1">
        <f t="array" ref="Q794">IFERROR(INDEX(DB!G$2:G$2576,P794),"")</f>
        <v/>
      </c>
      <c r="R794" t="str" cm="1">
        <f t="array" ref="R794">IFERROR(INDEX(DB!O$2:O$2576,P794),"")</f>
        <v/>
      </c>
      <c r="S794" t="str">
        <f t="shared" si="39"/>
        <v/>
      </c>
      <c r="T794" t="str">
        <f t="shared" si="40"/>
        <v/>
      </c>
    </row>
    <row r="795" spans="1:20" ht="100" customHeight="1">
      <c r="A795" s="26"/>
      <c r="B795" s="42" t="str">
        <f t="shared" si="38"/>
        <v/>
      </c>
      <c r="C795" s="43"/>
      <c r="D795" s="51" t="str" cm="1">
        <f t="array" ref="D795">IFERROR(INDEX(DB!G$2:G$2576,T795),"")</f>
        <v/>
      </c>
      <c r="E795" s="43"/>
      <c r="F795" s="52" t="str" cm="1">
        <f t="array" ref="F795">IFERROR(INDEX(DB!O$2:O$2576,T795),"")</f>
        <v/>
      </c>
      <c r="G795" s="43"/>
      <c r="H795" s="40" t="str" cm="1">
        <f t="array" ref="H795">IFERROR(INDEX(DB!P$2:P$2576,T795),"")</f>
        <v/>
      </c>
      <c r="I795" s="43"/>
      <c r="J795" s="53" t="str" cm="1">
        <f t="array" ref="J795">IFERROR(INDEX(DB!Q$2:Q$2576,T795),"")</f>
        <v/>
      </c>
      <c r="K795" s="43"/>
      <c r="L795" s="41" t="str" cm="1">
        <f t="array" ref="L795">IFERROR(INDEX(DB!R$2:R$2576,T795),"")</f>
        <v/>
      </c>
      <c r="M795" s="43"/>
      <c r="P795" t="str" cm="1">
        <f t="array" ref="P795">IFERROR(_xlfn.AGGREGATE(15,6,ROW(DB!A$2:A$2576)/((($D$3&lt;&gt;"YES")+($D$3="YES")*(DB!E$2:E$2576="YES"))*(($D$4="")+($D$4&lt;&gt;"")*( DB!B$2:B$2576=$D$4))*(($D$5="")+($D$5&lt;&gt;"")*( DB!C$2:C$2576=$D$5))*(($D$6="")+($D$6&lt;&gt;"")*( DB!D$2:D$2576=$D$6))*(($D$7="")+($D$7&lt;&gt;"")*(ISNUMBER(SEARCH($D$7,DB!G$2:G$2576))))*(($F$7="전체")+($F$7&lt;&gt;"전체")*(DB!H$2:H$2576=$F$7))),ROW()-13)-1,"")</f>
        <v/>
      </c>
      <c r="Q795" t="str" cm="1">
        <f t="array" ref="Q795">IFERROR(INDEX(DB!G$2:G$2576,P795),"")</f>
        <v/>
      </c>
      <c r="R795" t="str" cm="1">
        <f t="array" ref="R795">IFERROR(INDEX(DB!O$2:O$2576,P795),"")</f>
        <v/>
      </c>
      <c r="S795" t="str">
        <f t="shared" si="39"/>
        <v/>
      </c>
      <c r="T795" t="str">
        <f t="shared" si="40"/>
        <v/>
      </c>
    </row>
    <row r="796" spans="1:20" ht="100" customHeight="1">
      <c r="A796" s="26"/>
      <c r="B796" s="39" t="str">
        <f t="shared" si="38"/>
        <v/>
      </c>
      <c r="C796" s="43"/>
      <c r="D796" s="51" t="str" cm="1">
        <f t="array" ref="D796">IFERROR(INDEX(DB!G$2:G$2576,T796),"")</f>
        <v/>
      </c>
      <c r="E796" s="43"/>
      <c r="F796" s="52" t="str" cm="1">
        <f t="array" ref="F796">IFERROR(INDEX(DB!O$2:O$2576,T796),"")</f>
        <v/>
      </c>
      <c r="G796" s="43"/>
      <c r="H796" s="40" t="str" cm="1">
        <f t="array" ref="H796">IFERROR(INDEX(DB!P$2:P$2576,T796),"")</f>
        <v/>
      </c>
      <c r="I796" s="43"/>
      <c r="J796" s="53" t="str" cm="1">
        <f t="array" ref="J796">IFERROR(INDEX(DB!Q$2:Q$2576,T796),"")</f>
        <v/>
      </c>
      <c r="K796" s="43"/>
      <c r="L796" s="41" t="str" cm="1">
        <f t="array" ref="L796">IFERROR(INDEX(DB!R$2:R$2576,T796),"")</f>
        <v/>
      </c>
      <c r="M796" s="43"/>
      <c r="P796" t="str" cm="1">
        <f t="array" ref="P796">IFERROR(_xlfn.AGGREGATE(15,6,ROW(DB!A$2:A$2576)/((($D$3&lt;&gt;"YES")+($D$3="YES")*(DB!E$2:E$2576="YES"))*(($D$4="")+($D$4&lt;&gt;"")*( DB!B$2:B$2576=$D$4))*(($D$5="")+($D$5&lt;&gt;"")*( DB!C$2:C$2576=$D$5))*(($D$6="")+($D$6&lt;&gt;"")*( DB!D$2:D$2576=$D$6))*(($D$7="")+($D$7&lt;&gt;"")*(ISNUMBER(SEARCH($D$7,DB!G$2:G$2576))))*(($F$7="전체")+($F$7&lt;&gt;"전체")*(DB!H$2:H$2576=$F$7))),ROW()-13)-1,"")</f>
        <v/>
      </c>
      <c r="Q796" t="str" cm="1">
        <f t="array" ref="Q796">IFERROR(INDEX(DB!G$2:G$2576,P796),"")</f>
        <v/>
      </c>
      <c r="R796" t="str" cm="1">
        <f t="array" ref="R796">IFERROR(INDEX(DB!O$2:O$2576,P796),"")</f>
        <v/>
      </c>
      <c r="S796" t="str">
        <f t="shared" si="39"/>
        <v/>
      </c>
      <c r="T796" t="str">
        <f t="shared" si="40"/>
        <v/>
      </c>
    </row>
    <row r="797" spans="1:20" ht="100" customHeight="1">
      <c r="A797" s="26"/>
      <c r="B797" s="42" t="str">
        <f t="shared" si="38"/>
        <v/>
      </c>
      <c r="C797" s="43"/>
      <c r="D797" s="51" t="str" cm="1">
        <f t="array" ref="D797">IFERROR(INDEX(DB!G$2:G$2576,T797),"")</f>
        <v/>
      </c>
      <c r="E797" s="43"/>
      <c r="F797" s="52" t="str" cm="1">
        <f t="array" ref="F797">IFERROR(INDEX(DB!O$2:O$2576,T797),"")</f>
        <v/>
      </c>
      <c r="G797" s="43"/>
      <c r="H797" s="40" t="str" cm="1">
        <f t="array" ref="H797">IFERROR(INDEX(DB!P$2:P$2576,T797),"")</f>
        <v/>
      </c>
      <c r="I797" s="43"/>
      <c r="J797" s="53" t="str" cm="1">
        <f t="array" ref="J797">IFERROR(INDEX(DB!Q$2:Q$2576,T797),"")</f>
        <v/>
      </c>
      <c r="K797" s="43"/>
      <c r="L797" s="41" t="str" cm="1">
        <f t="array" ref="L797">IFERROR(INDEX(DB!R$2:R$2576,T797),"")</f>
        <v/>
      </c>
      <c r="M797" s="43"/>
      <c r="P797" t="str" cm="1">
        <f t="array" ref="P797">IFERROR(_xlfn.AGGREGATE(15,6,ROW(DB!A$2:A$2576)/((($D$3&lt;&gt;"YES")+($D$3="YES")*(DB!E$2:E$2576="YES"))*(($D$4="")+($D$4&lt;&gt;"")*( DB!B$2:B$2576=$D$4))*(($D$5="")+($D$5&lt;&gt;"")*( DB!C$2:C$2576=$D$5))*(($D$6="")+($D$6&lt;&gt;"")*( DB!D$2:D$2576=$D$6))*(($D$7="")+($D$7&lt;&gt;"")*(ISNUMBER(SEARCH($D$7,DB!G$2:G$2576))))*(($F$7="전체")+($F$7&lt;&gt;"전체")*(DB!H$2:H$2576=$F$7))),ROW()-13)-1,"")</f>
        <v/>
      </c>
      <c r="Q797" t="str" cm="1">
        <f t="array" ref="Q797">IFERROR(INDEX(DB!G$2:G$2576,P797),"")</f>
        <v/>
      </c>
      <c r="R797" t="str" cm="1">
        <f t="array" ref="R797">IFERROR(INDEX(DB!O$2:O$2576,P797),"")</f>
        <v/>
      </c>
      <c r="S797" t="str">
        <f t="shared" si="39"/>
        <v/>
      </c>
      <c r="T797" t="str">
        <f t="shared" si="40"/>
        <v/>
      </c>
    </row>
    <row r="798" spans="1:20" ht="100" customHeight="1">
      <c r="A798" s="26"/>
      <c r="B798" s="39" t="str">
        <f t="shared" si="38"/>
        <v/>
      </c>
      <c r="C798" s="43"/>
      <c r="D798" s="51" t="str" cm="1">
        <f t="array" ref="D798">IFERROR(INDEX(DB!G$2:G$2576,T798),"")</f>
        <v/>
      </c>
      <c r="E798" s="43"/>
      <c r="F798" s="52" t="str" cm="1">
        <f t="array" ref="F798">IFERROR(INDEX(DB!O$2:O$2576,T798),"")</f>
        <v/>
      </c>
      <c r="G798" s="43"/>
      <c r="H798" s="40" t="str" cm="1">
        <f t="array" ref="H798">IFERROR(INDEX(DB!P$2:P$2576,T798),"")</f>
        <v/>
      </c>
      <c r="I798" s="43"/>
      <c r="J798" s="53" t="str" cm="1">
        <f t="array" ref="J798">IFERROR(INDEX(DB!Q$2:Q$2576,T798),"")</f>
        <v/>
      </c>
      <c r="K798" s="43"/>
      <c r="L798" s="41" t="str" cm="1">
        <f t="array" ref="L798">IFERROR(INDEX(DB!R$2:R$2576,T798),"")</f>
        <v/>
      </c>
      <c r="M798" s="43"/>
      <c r="P798" t="str" cm="1">
        <f t="array" ref="P798">IFERROR(_xlfn.AGGREGATE(15,6,ROW(DB!A$2:A$2576)/((($D$3&lt;&gt;"YES")+($D$3="YES")*(DB!E$2:E$2576="YES"))*(($D$4="")+($D$4&lt;&gt;"")*( DB!B$2:B$2576=$D$4))*(($D$5="")+($D$5&lt;&gt;"")*( DB!C$2:C$2576=$D$5))*(($D$6="")+($D$6&lt;&gt;"")*( DB!D$2:D$2576=$D$6))*(($D$7="")+($D$7&lt;&gt;"")*(ISNUMBER(SEARCH($D$7,DB!G$2:G$2576))))*(($F$7="전체")+($F$7&lt;&gt;"전체")*(DB!H$2:H$2576=$F$7))),ROW()-13)-1,"")</f>
        <v/>
      </c>
      <c r="Q798" t="str" cm="1">
        <f t="array" ref="Q798">IFERROR(INDEX(DB!G$2:G$2576,P798),"")</f>
        <v/>
      </c>
      <c r="R798" t="str" cm="1">
        <f t="array" ref="R798">IFERROR(INDEX(DB!O$2:O$2576,P798),"")</f>
        <v/>
      </c>
      <c r="S798" t="str">
        <f t="shared" si="39"/>
        <v/>
      </c>
      <c r="T798" t="str">
        <f t="shared" si="40"/>
        <v/>
      </c>
    </row>
    <row r="799" spans="1:20" ht="100" customHeight="1">
      <c r="A799" s="26"/>
      <c r="B799" s="42" t="str">
        <f t="shared" si="38"/>
        <v/>
      </c>
      <c r="C799" s="43"/>
      <c r="D799" s="51" t="str" cm="1">
        <f t="array" ref="D799">IFERROR(INDEX(DB!G$2:G$2576,T799),"")</f>
        <v/>
      </c>
      <c r="E799" s="43"/>
      <c r="F799" s="52" t="str" cm="1">
        <f t="array" ref="F799">IFERROR(INDEX(DB!O$2:O$2576,T799),"")</f>
        <v/>
      </c>
      <c r="G799" s="43"/>
      <c r="H799" s="40" t="str" cm="1">
        <f t="array" ref="H799">IFERROR(INDEX(DB!P$2:P$2576,T799),"")</f>
        <v/>
      </c>
      <c r="I799" s="43"/>
      <c r="J799" s="53" t="str" cm="1">
        <f t="array" ref="J799">IFERROR(INDEX(DB!Q$2:Q$2576,T799),"")</f>
        <v/>
      </c>
      <c r="K799" s="43"/>
      <c r="L799" s="41" t="str" cm="1">
        <f t="array" ref="L799">IFERROR(INDEX(DB!R$2:R$2576,T799),"")</f>
        <v/>
      </c>
      <c r="M799" s="43"/>
      <c r="P799" t="str" cm="1">
        <f t="array" ref="P799">IFERROR(_xlfn.AGGREGATE(15,6,ROW(DB!A$2:A$2576)/((($D$3&lt;&gt;"YES")+($D$3="YES")*(DB!E$2:E$2576="YES"))*(($D$4="")+($D$4&lt;&gt;"")*( DB!B$2:B$2576=$D$4))*(($D$5="")+($D$5&lt;&gt;"")*( DB!C$2:C$2576=$D$5))*(($D$6="")+($D$6&lt;&gt;"")*( DB!D$2:D$2576=$D$6))*(($D$7="")+($D$7&lt;&gt;"")*(ISNUMBER(SEARCH($D$7,DB!G$2:G$2576))))*(($F$7="전체")+($F$7&lt;&gt;"전체")*(DB!H$2:H$2576=$F$7))),ROW()-13)-1,"")</f>
        <v/>
      </c>
      <c r="Q799" t="str" cm="1">
        <f t="array" ref="Q799">IFERROR(INDEX(DB!G$2:G$2576,P799),"")</f>
        <v/>
      </c>
      <c r="R799" t="str" cm="1">
        <f t="array" ref="R799">IFERROR(INDEX(DB!O$2:O$2576,P799),"")</f>
        <v/>
      </c>
      <c r="S799" t="str">
        <f t="shared" si="39"/>
        <v/>
      </c>
      <c r="T799" t="str">
        <f t="shared" si="40"/>
        <v/>
      </c>
    </row>
    <row r="800" spans="1:20" ht="100" customHeight="1">
      <c r="A800" s="26"/>
      <c r="B800" s="39" t="str">
        <f t="shared" si="38"/>
        <v/>
      </c>
      <c r="C800" s="43"/>
      <c r="D800" s="51" t="str" cm="1">
        <f t="array" ref="D800">IFERROR(INDEX(DB!G$2:G$2576,T800),"")</f>
        <v/>
      </c>
      <c r="E800" s="43"/>
      <c r="F800" s="52" t="str" cm="1">
        <f t="array" ref="F800">IFERROR(INDEX(DB!O$2:O$2576,T800),"")</f>
        <v/>
      </c>
      <c r="G800" s="43"/>
      <c r="H800" s="40" t="str" cm="1">
        <f t="array" ref="H800">IFERROR(INDEX(DB!P$2:P$2576,T800),"")</f>
        <v/>
      </c>
      <c r="I800" s="43"/>
      <c r="J800" s="53" t="str" cm="1">
        <f t="array" ref="J800">IFERROR(INDEX(DB!Q$2:Q$2576,T800),"")</f>
        <v/>
      </c>
      <c r="K800" s="43"/>
      <c r="L800" s="41" t="str" cm="1">
        <f t="array" ref="L800">IFERROR(INDEX(DB!R$2:R$2576,T800),"")</f>
        <v/>
      </c>
      <c r="M800" s="43"/>
      <c r="P800" t="str" cm="1">
        <f t="array" ref="P800">IFERROR(_xlfn.AGGREGATE(15,6,ROW(DB!A$2:A$2576)/((($D$3&lt;&gt;"YES")+($D$3="YES")*(DB!E$2:E$2576="YES"))*(($D$4="")+($D$4&lt;&gt;"")*( DB!B$2:B$2576=$D$4))*(($D$5="")+($D$5&lt;&gt;"")*( DB!C$2:C$2576=$D$5))*(($D$6="")+($D$6&lt;&gt;"")*( DB!D$2:D$2576=$D$6))*(($D$7="")+($D$7&lt;&gt;"")*(ISNUMBER(SEARCH($D$7,DB!G$2:G$2576))))*(($F$7="전체")+($F$7&lt;&gt;"전체")*(DB!H$2:H$2576=$F$7))),ROW()-13)-1,"")</f>
        <v/>
      </c>
      <c r="Q800" t="str" cm="1">
        <f t="array" ref="Q800">IFERROR(INDEX(DB!G$2:G$2576,P800),"")</f>
        <v/>
      </c>
      <c r="R800" t="str" cm="1">
        <f t="array" ref="R800">IFERROR(INDEX(DB!O$2:O$2576,P800),"")</f>
        <v/>
      </c>
      <c r="S800" t="str">
        <f t="shared" si="39"/>
        <v/>
      </c>
      <c r="T800" t="str">
        <f t="shared" si="40"/>
        <v/>
      </c>
    </row>
    <row r="801" spans="1:20" ht="100" customHeight="1">
      <c r="A801" s="26"/>
      <c r="B801" s="42" t="str">
        <f t="shared" si="38"/>
        <v/>
      </c>
      <c r="C801" s="43"/>
      <c r="D801" s="51" t="str" cm="1">
        <f t="array" ref="D801">IFERROR(INDEX(DB!G$2:G$2576,T801),"")</f>
        <v/>
      </c>
      <c r="E801" s="43"/>
      <c r="F801" s="52" t="str" cm="1">
        <f t="array" ref="F801">IFERROR(INDEX(DB!O$2:O$2576,T801),"")</f>
        <v/>
      </c>
      <c r="G801" s="43"/>
      <c r="H801" s="40" t="str" cm="1">
        <f t="array" ref="H801">IFERROR(INDEX(DB!P$2:P$2576,T801),"")</f>
        <v/>
      </c>
      <c r="I801" s="43"/>
      <c r="J801" s="53" t="str" cm="1">
        <f t="array" ref="J801">IFERROR(INDEX(DB!Q$2:Q$2576,T801),"")</f>
        <v/>
      </c>
      <c r="K801" s="43"/>
      <c r="L801" s="41" t="str" cm="1">
        <f t="array" ref="L801">IFERROR(INDEX(DB!R$2:R$2576,T801),"")</f>
        <v/>
      </c>
      <c r="M801" s="43"/>
      <c r="P801" t="str" cm="1">
        <f t="array" ref="P801">IFERROR(_xlfn.AGGREGATE(15,6,ROW(DB!A$2:A$2576)/((($D$3&lt;&gt;"YES")+($D$3="YES")*(DB!E$2:E$2576="YES"))*(($D$4="")+($D$4&lt;&gt;"")*( DB!B$2:B$2576=$D$4))*(($D$5="")+($D$5&lt;&gt;"")*( DB!C$2:C$2576=$D$5))*(($D$6="")+($D$6&lt;&gt;"")*( DB!D$2:D$2576=$D$6))*(($D$7="")+($D$7&lt;&gt;"")*(ISNUMBER(SEARCH($D$7,DB!G$2:G$2576))))*(($F$7="전체")+($F$7&lt;&gt;"전체")*(DB!H$2:H$2576=$F$7))),ROW()-13)-1,"")</f>
        <v/>
      </c>
      <c r="Q801" t="str" cm="1">
        <f t="array" ref="Q801">IFERROR(INDEX(DB!G$2:G$2576,P801),"")</f>
        <v/>
      </c>
      <c r="R801" t="str" cm="1">
        <f t="array" ref="R801">IFERROR(INDEX(DB!O$2:O$2576,P801),"")</f>
        <v/>
      </c>
      <c r="S801" t="str">
        <f t="shared" si="39"/>
        <v/>
      </c>
      <c r="T801" t="str">
        <f t="shared" si="40"/>
        <v/>
      </c>
    </row>
    <row r="802" spans="1:20" ht="100" customHeight="1">
      <c r="A802" s="26"/>
      <c r="B802" s="39" t="str">
        <f t="shared" si="38"/>
        <v/>
      </c>
      <c r="C802" s="43"/>
      <c r="D802" s="51" t="str" cm="1">
        <f t="array" ref="D802">IFERROR(INDEX(DB!G$2:G$2576,T802),"")</f>
        <v/>
      </c>
      <c r="E802" s="43"/>
      <c r="F802" s="52" t="str" cm="1">
        <f t="array" ref="F802">IFERROR(INDEX(DB!O$2:O$2576,T802),"")</f>
        <v/>
      </c>
      <c r="G802" s="43"/>
      <c r="H802" s="40" t="str" cm="1">
        <f t="array" ref="H802">IFERROR(INDEX(DB!P$2:P$2576,T802),"")</f>
        <v/>
      </c>
      <c r="I802" s="43"/>
      <c r="J802" s="53" t="str" cm="1">
        <f t="array" ref="J802">IFERROR(INDEX(DB!Q$2:Q$2576,T802),"")</f>
        <v/>
      </c>
      <c r="K802" s="43"/>
      <c r="L802" s="41" t="str" cm="1">
        <f t="array" ref="L802">IFERROR(INDEX(DB!R$2:R$2576,T802),"")</f>
        <v/>
      </c>
      <c r="M802" s="43"/>
      <c r="P802" t="str" cm="1">
        <f t="array" ref="P802">IFERROR(_xlfn.AGGREGATE(15,6,ROW(DB!A$2:A$2576)/((($D$3&lt;&gt;"YES")+($D$3="YES")*(DB!E$2:E$2576="YES"))*(($D$4="")+($D$4&lt;&gt;"")*( DB!B$2:B$2576=$D$4))*(($D$5="")+($D$5&lt;&gt;"")*( DB!C$2:C$2576=$D$5))*(($D$6="")+($D$6&lt;&gt;"")*( DB!D$2:D$2576=$D$6))*(($D$7="")+($D$7&lt;&gt;"")*(ISNUMBER(SEARCH($D$7,DB!G$2:G$2576))))*(($F$7="전체")+($F$7&lt;&gt;"전체")*(DB!H$2:H$2576=$F$7))),ROW()-13)-1,"")</f>
        <v/>
      </c>
      <c r="Q802" t="str" cm="1">
        <f t="array" ref="Q802">IFERROR(INDEX(DB!G$2:G$2576,P802),"")</f>
        <v/>
      </c>
      <c r="R802" t="str" cm="1">
        <f t="array" ref="R802">IFERROR(INDEX(DB!O$2:O$2576,P802),"")</f>
        <v/>
      </c>
      <c r="S802" t="str">
        <f t="shared" si="39"/>
        <v/>
      </c>
      <c r="T802" t="str">
        <f t="shared" si="40"/>
        <v/>
      </c>
    </row>
    <row r="803" spans="1:20" ht="100" customHeight="1">
      <c r="A803" s="26"/>
      <c r="B803" s="42" t="str">
        <f t="shared" si="38"/>
        <v/>
      </c>
      <c r="C803" s="43"/>
      <c r="D803" s="51" t="str" cm="1">
        <f t="array" ref="D803">IFERROR(INDEX(DB!G$2:G$2576,T803),"")</f>
        <v/>
      </c>
      <c r="E803" s="43"/>
      <c r="F803" s="52" t="str" cm="1">
        <f t="array" ref="F803">IFERROR(INDEX(DB!O$2:O$2576,T803),"")</f>
        <v/>
      </c>
      <c r="G803" s="43"/>
      <c r="H803" s="40" t="str" cm="1">
        <f t="array" ref="H803">IFERROR(INDEX(DB!P$2:P$2576,T803),"")</f>
        <v/>
      </c>
      <c r="I803" s="43"/>
      <c r="J803" s="53" t="str" cm="1">
        <f t="array" ref="J803">IFERROR(INDEX(DB!Q$2:Q$2576,T803),"")</f>
        <v/>
      </c>
      <c r="K803" s="43"/>
      <c r="L803" s="41" t="str" cm="1">
        <f t="array" ref="L803">IFERROR(INDEX(DB!R$2:R$2576,T803),"")</f>
        <v/>
      </c>
      <c r="M803" s="43"/>
      <c r="P803" t="str" cm="1">
        <f t="array" ref="P803">IFERROR(_xlfn.AGGREGATE(15,6,ROW(DB!A$2:A$2576)/((($D$3&lt;&gt;"YES")+($D$3="YES")*(DB!E$2:E$2576="YES"))*(($D$4="")+($D$4&lt;&gt;"")*( DB!B$2:B$2576=$D$4))*(($D$5="")+($D$5&lt;&gt;"")*( DB!C$2:C$2576=$D$5))*(($D$6="")+($D$6&lt;&gt;"")*( DB!D$2:D$2576=$D$6))*(($D$7="")+($D$7&lt;&gt;"")*(ISNUMBER(SEARCH($D$7,DB!G$2:G$2576))))*(($F$7="전체")+($F$7&lt;&gt;"전체")*(DB!H$2:H$2576=$F$7))),ROW()-13)-1,"")</f>
        <v/>
      </c>
      <c r="Q803" t="str" cm="1">
        <f t="array" ref="Q803">IFERROR(INDEX(DB!G$2:G$2576,P803),"")</f>
        <v/>
      </c>
      <c r="R803" t="str" cm="1">
        <f t="array" ref="R803">IFERROR(INDEX(DB!O$2:O$2576,P803),"")</f>
        <v/>
      </c>
      <c r="S803" t="str">
        <f t="shared" si="39"/>
        <v/>
      </c>
      <c r="T803" t="str">
        <f t="shared" si="40"/>
        <v/>
      </c>
    </row>
    <row r="804" spans="1:20" ht="100" customHeight="1">
      <c r="A804" s="26"/>
      <c r="B804" s="39" t="str">
        <f t="shared" si="38"/>
        <v/>
      </c>
      <c r="C804" s="43"/>
      <c r="D804" s="51" t="str" cm="1">
        <f t="array" ref="D804">IFERROR(INDEX(DB!G$2:G$2576,T804),"")</f>
        <v/>
      </c>
      <c r="E804" s="43"/>
      <c r="F804" s="52" t="str" cm="1">
        <f t="array" ref="F804">IFERROR(INDEX(DB!O$2:O$2576,T804),"")</f>
        <v/>
      </c>
      <c r="G804" s="43"/>
      <c r="H804" s="40" t="str" cm="1">
        <f t="array" ref="H804">IFERROR(INDEX(DB!P$2:P$2576,T804),"")</f>
        <v/>
      </c>
      <c r="I804" s="43"/>
      <c r="J804" s="53" t="str" cm="1">
        <f t="array" ref="J804">IFERROR(INDEX(DB!Q$2:Q$2576,T804),"")</f>
        <v/>
      </c>
      <c r="K804" s="43"/>
      <c r="L804" s="41" t="str" cm="1">
        <f t="array" ref="L804">IFERROR(INDEX(DB!R$2:R$2576,T804),"")</f>
        <v/>
      </c>
      <c r="M804" s="43"/>
      <c r="P804" t="str" cm="1">
        <f t="array" ref="P804">IFERROR(_xlfn.AGGREGATE(15,6,ROW(DB!A$2:A$2576)/((($D$3&lt;&gt;"YES")+($D$3="YES")*(DB!E$2:E$2576="YES"))*(($D$4="")+($D$4&lt;&gt;"")*( DB!B$2:B$2576=$D$4))*(($D$5="")+($D$5&lt;&gt;"")*( DB!C$2:C$2576=$D$5))*(($D$6="")+($D$6&lt;&gt;"")*( DB!D$2:D$2576=$D$6))*(($D$7="")+($D$7&lt;&gt;"")*(ISNUMBER(SEARCH($D$7,DB!G$2:G$2576))))*(($F$7="전체")+($F$7&lt;&gt;"전체")*(DB!H$2:H$2576=$F$7))),ROW()-13)-1,"")</f>
        <v/>
      </c>
      <c r="Q804" t="str" cm="1">
        <f t="array" ref="Q804">IFERROR(INDEX(DB!G$2:G$2576,P804),"")</f>
        <v/>
      </c>
      <c r="R804" t="str" cm="1">
        <f t="array" ref="R804">IFERROR(INDEX(DB!O$2:O$2576,P804),"")</f>
        <v/>
      </c>
      <c r="S804" t="str">
        <f t="shared" si="39"/>
        <v/>
      </c>
      <c r="T804" t="str">
        <f t="shared" si="40"/>
        <v/>
      </c>
    </row>
    <row r="805" spans="1:20" ht="100" customHeight="1">
      <c r="A805" s="26"/>
      <c r="B805" s="42" t="str">
        <f t="shared" si="38"/>
        <v/>
      </c>
      <c r="C805" s="43"/>
      <c r="D805" s="51" t="str" cm="1">
        <f t="array" ref="D805">IFERROR(INDEX(DB!G$2:G$2576,T805),"")</f>
        <v/>
      </c>
      <c r="E805" s="43"/>
      <c r="F805" s="52" t="str" cm="1">
        <f t="array" ref="F805">IFERROR(INDEX(DB!O$2:O$2576,T805),"")</f>
        <v/>
      </c>
      <c r="G805" s="43"/>
      <c r="H805" s="40" t="str" cm="1">
        <f t="array" ref="H805">IFERROR(INDEX(DB!P$2:P$2576,T805),"")</f>
        <v/>
      </c>
      <c r="I805" s="43"/>
      <c r="J805" s="53" t="str" cm="1">
        <f t="array" ref="J805">IFERROR(INDEX(DB!Q$2:Q$2576,T805),"")</f>
        <v/>
      </c>
      <c r="K805" s="43"/>
      <c r="L805" s="41" t="str" cm="1">
        <f t="array" ref="L805">IFERROR(INDEX(DB!R$2:R$2576,T805),"")</f>
        <v/>
      </c>
      <c r="M805" s="43"/>
      <c r="P805" t="str" cm="1">
        <f t="array" ref="P805">IFERROR(_xlfn.AGGREGATE(15,6,ROW(DB!A$2:A$2576)/((($D$3&lt;&gt;"YES")+($D$3="YES")*(DB!E$2:E$2576="YES"))*(($D$4="")+($D$4&lt;&gt;"")*( DB!B$2:B$2576=$D$4))*(($D$5="")+($D$5&lt;&gt;"")*( DB!C$2:C$2576=$D$5))*(($D$6="")+($D$6&lt;&gt;"")*( DB!D$2:D$2576=$D$6))*(($D$7="")+($D$7&lt;&gt;"")*(ISNUMBER(SEARCH($D$7,DB!G$2:G$2576))))*(($F$7="전체")+($F$7&lt;&gt;"전체")*(DB!H$2:H$2576=$F$7))),ROW()-13)-1,"")</f>
        <v/>
      </c>
      <c r="Q805" t="str" cm="1">
        <f t="array" ref="Q805">IFERROR(INDEX(DB!G$2:G$2576,P805),"")</f>
        <v/>
      </c>
      <c r="R805" t="str" cm="1">
        <f t="array" ref="R805">IFERROR(INDEX(DB!O$2:O$2576,P805),"")</f>
        <v/>
      </c>
      <c r="S805" t="str">
        <f t="shared" si="39"/>
        <v/>
      </c>
      <c r="T805" t="str">
        <f t="shared" si="40"/>
        <v/>
      </c>
    </row>
    <row r="806" spans="1:20" ht="100" customHeight="1">
      <c r="A806" s="26"/>
      <c r="B806" s="39" t="str">
        <f t="shared" si="38"/>
        <v/>
      </c>
      <c r="C806" s="43"/>
      <c r="D806" s="51" t="str" cm="1">
        <f t="array" ref="D806">IFERROR(INDEX(DB!G$2:G$2576,T806),"")</f>
        <v/>
      </c>
      <c r="E806" s="43"/>
      <c r="F806" s="52" t="str" cm="1">
        <f t="array" ref="F806">IFERROR(INDEX(DB!O$2:O$2576,T806),"")</f>
        <v/>
      </c>
      <c r="G806" s="43"/>
      <c r="H806" s="40" t="str" cm="1">
        <f t="array" ref="H806">IFERROR(INDEX(DB!P$2:P$2576,T806),"")</f>
        <v/>
      </c>
      <c r="I806" s="43"/>
      <c r="J806" s="53" t="str" cm="1">
        <f t="array" ref="J806">IFERROR(INDEX(DB!Q$2:Q$2576,T806),"")</f>
        <v/>
      </c>
      <c r="K806" s="43"/>
      <c r="L806" s="41" t="str" cm="1">
        <f t="array" ref="L806">IFERROR(INDEX(DB!R$2:R$2576,T806),"")</f>
        <v/>
      </c>
      <c r="M806" s="43"/>
      <c r="P806" t="str" cm="1">
        <f t="array" ref="P806">IFERROR(_xlfn.AGGREGATE(15,6,ROW(DB!A$2:A$2576)/((($D$3&lt;&gt;"YES")+($D$3="YES")*(DB!E$2:E$2576="YES"))*(($D$4="")+($D$4&lt;&gt;"")*( DB!B$2:B$2576=$D$4))*(($D$5="")+($D$5&lt;&gt;"")*( DB!C$2:C$2576=$D$5))*(($D$6="")+($D$6&lt;&gt;"")*( DB!D$2:D$2576=$D$6))*(($D$7="")+($D$7&lt;&gt;"")*(ISNUMBER(SEARCH($D$7,DB!G$2:G$2576))))*(($F$7="전체")+($F$7&lt;&gt;"전체")*(DB!H$2:H$2576=$F$7))),ROW()-13)-1,"")</f>
        <v/>
      </c>
      <c r="Q806" t="str" cm="1">
        <f t="array" ref="Q806">IFERROR(INDEX(DB!G$2:G$2576,P806),"")</f>
        <v/>
      </c>
      <c r="R806" t="str" cm="1">
        <f t="array" ref="R806">IFERROR(INDEX(DB!O$2:O$2576,P806),"")</f>
        <v/>
      </c>
      <c r="S806" t="str">
        <f t="shared" si="39"/>
        <v/>
      </c>
      <c r="T806" t="str">
        <f t="shared" si="40"/>
        <v/>
      </c>
    </row>
    <row r="807" spans="1:20" ht="100" customHeight="1">
      <c r="A807" s="26"/>
      <c r="B807" s="42" t="str">
        <f t="shared" si="38"/>
        <v/>
      </c>
      <c r="C807" s="43"/>
      <c r="D807" s="51" t="str" cm="1">
        <f t="array" ref="D807">IFERROR(INDEX(DB!G$2:G$2576,T807),"")</f>
        <v/>
      </c>
      <c r="E807" s="43"/>
      <c r="F807" s="52" t="str" cm="1">
        <f t="array" ref="F807">IFERROR(INDEX(DB!O$2:O$2576,T807),"")</f>
        <v/>
      </c>
      <c r="G807" s="43"/>
      <c r="H807" s="40" t="str" cm="1">
        <f t="array" ref="H807">IFERROR(INDEX(DB!P$2:P$2576,T807),"")</f>
        <v/>
      </c>
      <c r="I807" s="43"/>
      <c r="J807" s="53" t="str" cm="1">
        <f t="array" ref="J807">IFERROR(INDEX(DB!Q$2:Q$2576,T807),"")</f>
        <v/>
      </c>
      <c r="K807" s="43"/>
      <c r="L807" s="41" t="str" cm="1">
        <f t="array" ref="L807">IFERROR(INDEX(DB!R$2:R$2576,T807),"")</f>
        <v/>
      </c>
      <c r="M807" s="43"/>
      <c r="P807" t="str" cm="1">
        <f t="array" ref="P807">IFERROR(_xlfn.AGGREGATE(15,6,ROW(DB!A$2:A$2576)/((($D$3&lt;&gt;"YES")+($D$3="YES")*(DB!E$2:E$2576="YES"))*(($D$4="")+($D$4&lt;&gt;"")*( DB!B$2:B$2576=$D$4))*(($D$5="")+($D$5&lt;&gt;"")*( DB!C$2:C$2576=$D$5))*(($D$6="")+($D$6&lt;&gt;"")*( DB!D$2:D$2576=$D$6))*(($D$7="")+($D$7&lt;&gt;"")*(ISNUMBER(SEARCH($D$7,DB!G$2:G$2576))))*(($F$7="전체")+($F$7&lt;&gt;"전체")*(DB!H$2:H$2576=$F$7))),ROW()-13)-1,"")</f>
        <v/>
      </c>
      <c r="Q807" t="str" cm="1">
        <f t="array" ref="Q807">IFERROR(INDEX(DB!G$2:G$2576,P807),"")</f>
        <v/>
      </c>
      <c r="R807" t="str" cm="1">
        <f t="array" ref="R807">IFERROR(INDEX(DB!O$2:O$2576,P807),"")</f>
        <v/>
      </c>
      <c r="S807" t="str">
        <f t="shared" si="39"/>
        <v/>
      </c>
      <c r="T807" t="str">
        <f t="shared" si="40"/>
        <v/>
      </c>
    </row>
    <row r="808" spans="1:20" ht="100" customHeight="1">
      <c r="A808" s="26"/>
      <c r="B808" s="39" t="str">
        <f t="shared" si="38"/>
        <v/>
      </c>
      <c r="C808" s="43"/>
      <c r="D808" s="51" t="str" cm="1">
        <f t="array" ref="D808">IFERROR(INDEX(DB!G$2:G$2576,T808),"")</f>
        <v/>
      </c>
      <c r="E808" s="43"/>
      <c r="F808" s="52" t="str" cm="1">
        <f t="array" ref="F808">IFERROR(INDEX(DB!O$2:O$2576,T808),"")</f>
        <v/>
      </c>
      <c r="G808" s="43"/>
      <c r="H808" s="40" t="str" cm="1">
        <f t="array" ref="H808">IFERROR(INDEX(DB!P$2:P$2576,T808),"")</f>
        <v/>
      </c>
      <c r="I808" s="43"/>
      <c r="J808" s="53" t="str" cm="1">
        <f t="array" ref="J808">IFERROR(INDEX(DB!Q$2:Q$2576,T808),"")</f>
        <v/>
      </c>
      <c r="K808" s="43"/>
      <c r="L808" s="41" t="str" cm="1">
        <f t="array" ref="L808">IFERROR(INDEX(DB!R$2:R$2576,T808),"")</f>
        <v/>
      </c>
      <c r="M808" s="43"/>
      <c r="P808" t="str" cm="1">
        <f t="array" ref="P808">IFERROR(_xlfn.AGGREGATE(15,6,ROW(DB!A$2:A$2576)/((($D$3&lt;&gt;"YES")+($D$3="YES")*(DB!E$2:E$2576="YES"))*(($D$4="")+($D$4&lt;&gt;"")*( DB!B$2:B$2576=$D$4))*(($D$5="")+($D$5&lt;&gt;"")*( DB!C$2:C$2576=$D$5))*(($D$6="")+($D$6&lt;&gt;"")*( DB!D$2:D$2576=$D$6))*(($D$7="")+($D$7&lt;&gt;"")*(ISNUMBER(SEARCH($D$7,DB!G$2:G$2576))))*(($F$7="전체")+($F$7&lt;&gt;"전체")*(DB!H$2:H$2576=$F$7))),ROW()-13)-1,"")</f>
        <v/>
      </c>
      <c r="Q808" t="str" cm="1">
        <f t="array" ref="Q808">IFERROR(INDEX(DB!G$2:G$2576,P808),"")</f>
        <v/>
      </c>
      <c r="R808" t="str" cm="1">
        <f t="array" ref="R808">IFERROR(INDEX(DB!O$2:O$2576,P808),"")</f>
        <v/>
      </c>
      <c r="S808" t="str">
        <f t="shared" si="39"/>
        <v/>
      </c>
      <c r="T808" t="str">
        <f t="shared" si="40"/>
        <v/>
      </c>
    </row>
    <row r="809" spans="1:20" ht="100" customHeight="1">
      <c r="A809" s="26"/>
      <c r="B809" s="42" t="str">
        <f t="shared" si="38"/>
        <v/>
      </c>
      <c r="C809" s="43"/>
      <c r="D809" s="51" t="str" cm="1">
        <f t="array" ref="D809">IFERROR(INDEX(DB!G$2:G$2576,T809),"")</f>
        <v/>
      </c>
      <c r="E809" s="43"/>
      <c r="F809" s="52" t="str" cm="1">
        <f t="array" ref="F809">IFERROR(INDEX(DB!O$2:O$2576,T809),"")</f>
        <v/>
      </c>
      <c r="G809" s="43"/>
      <c r="H809" s="40" t="str" cm="1">
        <f t="array" ref="H809">IFERROR(INDEX(DB!P$2:P$2576,T809),"")</f>
        <v/>
      </c>
      <c r="I809" s="43"/>
      <c r="J809" s="53" t="str" cm="1">
        <f t="array" ref="J809">IFERROR(INDEX(DB!Q$2:Q$2576,T809),"")</f>
        <v/>
      </c>
      <c r="K809" s="43"/>
      <c r="L809" s="41" t="str" cm="1">
        <f t="array" ref="L809">IFERROR(INDEX(DB!R$2:R$2576,T809),"")</f>
        <v/>
      </c>
      <c r="M809" s="43"/>
      <c r="P809" t="str" cm="1">
        <f t="array" ref="P809">IFERROR(_xlfn.AGGREGATE(15,6,ROW(DB!A$2:A$2576)/((($D$3&lt;&gt;"YES")+($D$3="YES")*(DB!E$2:E$2576="YES"))*(($D$4="")+($D$4&lt;&gt;"")*( DB!B$2:B$2576=$D$4))*(($D$5="")+($D$5&lt;&gt;"")*( DB!C$2:C$2576=$D$5))*(($D$6="")+($D$6&lt;&gt;"")*( DB!D$2:D$2576=$D$6))*(($D$7="")+($D$7&lt;&gt;"")*(ISNUMBER(SEARCH($D$7,DB!G$2:G$2576))))*(($F$7="전체")+($F$7&lt;&gt;"전체")*(DB!H$2:H$2576=$F$7))),ROW()-13)-1,"")</f>
        <v/>
      </c>
      <c r="Q809" t="str" cm="1">
        <f t="array" ref="Q809">IFERROR(INDEX(DB!G$2:G$2576,P809),"")</f>
        <v/>
      </c>
      <c r="R809" t="str" cm="1">
        <f t="array" ref="R809">IFERROR(INDEX(DB!O$2:O$2576,P809),"")</f>
        <v/>
      </c>
      <c r="S809" t="str">
        <f t="shared" si="39"/>
        <v/>
      </c>
      <c r="T809" t="str">
        <f t="shared" si="40"/>
        <v/>
      </c>
    </row>
    <row r="810" spans="1:20" ht="100" customHeight="1">
      <c r="A810" s="26"/>
      <c r="B810" s="39" t="str">
        <f t="shared" si="38"/>
        <v/>
      </c>
      <c r="C810" s="43"/>
      <c r="D810" s="51" t="str" cm="1">
        <f t="array" ref="D810">IFERROR(INDEX(DB!G$2:G$2576,T810),"")</f>
        <v/>
      </c>
      <c r="E810" s="43"/>
      <c r="F810" s="52" t="str" cm="1">
        <f t="array" ref="F810">IFERROR(INDEX(DB!O$2:O$2576,T810),"")</f>
        <v/>
      </c>
      <c r="G810" s="43"/>
      <c r="H810" s="40" t="str" cm="1">
        <f t="array" ref="H810">IFERROR(INDEX(DB!P$2:P$2576,T810),"")</f>
        <v/>
      </c>
      <c r="I810" s="43"/>
      <c r="J810" s="53" t="str" cm="1">
        <f t="array" ref="J810">IFERROR(INDEX(DB!Q$2:Q$2576,T810),"")</f>
        <v/>
      </c>
      <c r="K810" s="43"/>
      <c r="L810" s="41" t="str" cm="1">
        <f t="array" ref="L810">IFERROR(INDEX(DB!R$2:R$2576,T810),"")</f>
        <v/>
      </c>
      <c r="M810" s="43"/>
      <c r="P810" t="str" cm="1">
        <f t="array" ref="P810">IFERROR(_xlfn.AGGREGATE(15,6,ROW(DB!A$2:A$2576)/((($D$3&lt;&gt;"YES")+($D$3="YES")*(DB!E$2:E$2576="YES"))*(($D$4="")+($D$4&lt;&gt;"")*( DB!B$2:B$2576=$D$4))*(($D$5="")+($D$5&lt;&gt;"")*( DB!C$2:C$2576=$D$5))*(($D$6="")+($D$6&lt;&gt;"")*( DB!D$2:D$2576=$D$6))*(($D$7="")+($D$7&lt;&gt;"")*(ISNUMBER(SEARCH($D$7,DB!G$2:G$2576))))*(($F$7="전체")+($F$7&lt;&gt;"전체")*(DB!H$2:H$2576=$F$7))),ROW()-13)-1,"")</f>
        <v/>
      </c>
      <c r="Q810" t="str" cm="1">
        <f t="array" ref="Q810">IFERROR(INDEX(DB!G$2:G$2576,P810),"")</f>
        <v/>
      </c>
      <c r="R810" t="str" cm="1">
        <f t="array" ref="R810">IFERROR(INDEX(DB!O$2:O$2576,P810),"")</f>
        <v/>
      </c>
      <c r="S810" t="str">
        <f t="shared" si="39"/>
        <v/>
      </c>
      <c r="T810" t="str">
        <f t="shared" si="40"/>
        <v/>
      </c>
    </row>
    <row r="811" spans="1:20" ht="100" customHeight="1">
      <c r="A811" s="26"/>
      <c r="B811" s="42" t="str">
        <f t="shared" si="38"/>
        <v/>
      </c>
      <c r="C811" s="43"/>
      <c r="D811" s="51" t="str" cm="1">
        <f t="array" ref="D811">IFERROR(INDEX(DB!G$2:G$2576,T811),"")</f>
        <v/>
      </c>
      <c r="E811" s="43"/>
      <c r="F811" s="52" t="str" cm="1">
        <f t="array" ref="F811">IFERROR(INDEX(DB!O$2:O$2576,T811),"")</f>
        <v/>
      </c>
      <c r="G811" s="43"/>
      <c r="H811" s="40" t="str" cm="1">
        <f t="array" ref="H811">IFERROR(INDEX(DB!P$2:P$2576,T811),"")</f>
        <v/>
      </c>
      <c r="I811" s="43"/>
      <c r="J811" s="53" t="str" cm="1">
        <f t="array" ref="J811">IFERROR(INDEX(DB!Q$2:Q$2576,T811),"")</f>
        <v/>
      </c>
      <c r="K811" s="43"/>
      <c r="L811" s="41" t="str" cm="1">
        <f t="array" ref="L811">IFERROR(INDEX(DB!R$2:R$2576,T811),"")</f>
        <v/>
      </c>
      <c r="M811" s="43"/>
      <c r="P811" t="str" cm="1">
        <f t="array" ref="P811">IFERROR(_xlfn.AGGREGATE(15,6,ROW(DB!A$2:A$2576)/((($D$3&lt;&gt;"YES")+($D$3="YES")*(DB!E$2:E$2576="YES"))*(($D$4="")+($D$4&lt;&gt;"")*( DB!B$2:B$2576=$D$4))*(($D$5="")+($D$5&lt;&gt;"")*( DB!C$2:C$2576=$D$5))*(($D$6="")+($D$6&lt;&gt;"")*( DB!D$2:D$2576=$D$6))*(($D$7="")+($D$7&lt;&gt;"")*(ISNUMBER(SEARCH($D$7,DB!G$2:G$2576))))*(($F$7="전체")+($F$7&lt;&gt;"전체")*(DB!H$2:H$2576=$F$7))),ROW()-13)-1,"")</f>
        <v/>
      </c>
      <c r="Q811" t="str" cm="1">
        <f t="array" ref="Q811">IFERROR(INDEX(DB!G$2:G$2576,P811),"")</f>
        <v/>
      </c>
      <c r="R811" t="str" cm="1">
        <f t="array" ref="R811">IFERROR(INDEX(DB!O$2:O$2576,P811),"")</f>
        <v/>
      </c>
      <c r="S811" t="str">
        <f t="shared" si="39"/>
        <v/>
      </c>
      <c r="T811" t="str">
        <f t="shared" si="40"/>
        <v/>
      </c>
    </row>
    <row r="812" spans="1:20" ht="100" customHeight="1">
      <c r="A812" s="26"/>
      <c r="B812" s="39" t="str">
        <f t="shared" si="38"/>
        <v/>
      </c>
      <c r="C812" s="43"/>
      <c r="D812" s="51" t="str" cm="1">
        <f t="array" ref="D812">IFERROR(INDEX(DB!G$2:G$2576,T812),"")</f>
        <v/>
      </c>
      <c r="E812" s="43"/>
      <c r="F812" s="52" t="str" cm="1">
        <f t="array" ref="F812">IFERROR(INDEX(DB!O$2:O$2576,T812),"")</f>
        <v/>
      </c>
      <c r="G812" s="43"/>
      <c r="H812" s="40" t="str" cm="1">
        <f t="array" ref="H812">IFERROR(INDEX(DB!P$2:P$2576,T812),"")</f>
        <v/>
      </c>
      <c r="I812" s="43"/>
      <c r="J812" s="53" t="str" cm="1">
        <f t="array" ref="J812">IFERROR(INDEX(DB!Q$2:Q$2576,T812),"")</f>
        <v/>
      </c>
      <c r="K812" s="43"/>
      <c r="L812" s="41" t="str" cm="1">
        <f t="array" ref="L812">IFERROR(INDEX(DB!R$2:R$2576,T812),"")</f>
        <v/>
      </c>
      <c r="M812" s="43"/>
      <c r="P812" t="str" cm="1">
        <f t="array" ref="P812">IFERROR(_xlfn.AGGREGATE(15,6,ROW(DB!A$2:A$2576)/((($D$3&lt;&gt;"YES")+($D$3="YES")*(DB!E$2:E$2576="YES"))*(($D$4="")+($D$4&lt;&gt;"")*( DB!B$2:B$2576=$D$4))*(($D$5="")+($D$5&lt;&gt;"")*( DB!C$2:C$2576=$D$5))*(($D$6="")+($D$6&lt;&gt;"")*( DB!D$2:D$2576=$D$6))*(($D$7="")+($D$7&lt;&gt;"")*(ISNUMBER(SEARCH($D$7,DB!G$2:G$2576))))*(($F$7="전체")+($F$7&lt;&gt;"전체")*(DB!H$2:H$2576=$F$7))),ROW()-13)-1,"")</f>
        <v/>
      </c>
      <c r="Q812" t="str" cm="1">
        <f t="array" ref="Q812">IFERROR(INDEX(DB!G$2:G$2576,P812),"")</f>
        <v/>
      </c>
      <c r="R812" t="str" cm="1">
        <f t="array" ref="R812">IFERROR(INDEX(DB!O$2:O$2576,P812),"")</f>
        <v/>
      </c>
      <c r="S812" t="str">
        <f t="shared" si="39"/>
        <v/>
      </c>
      <c r="T812" t="str">
        <f t="shared" si="40"/>
        <v/>
      </c>
    </row>
    <row r="813" spans="1:20" ht="100" customHeight="1">
      <c r="A813" s="26"/>
      <c r="B813" s="42" t="str">
        <f t="shared" si="38"/>
        <v/>
      </c>
      <c r="C813" s="43"/>
      <c r="D813" s="51" t="str" cm="1">
        <f t="array" ref="D813">IFERROR(INDEX(DB!G$2:G$2576,T813),"")</f>
        <v/>
      </c>
      <c r="E813" s="43"/>
      <c r="F813" s="52" t="str" cm="1">
        <f t="array" ref="F813">IFERROR(INDEX(DB!O$2:O$2576,T813),"")</f>
        <v/>
      </c>
      <c r="G813" s="43"/>
      <c r="H813" s="40" t="str" cm="1">
        <f t="array" ref="H813">IFERROR(INDEX(DB!P$2:P$2576,T813),"")</f>
        <v/>
      </c>
      <c r="I813" s="43"/>
      <c r="J813" s="53" t="str" cm="1">
        <f t="array" ref="J813">IFERROR(INDEX(DB!Q$2:Q$2576,T813),"")</f>
        <v/>
      </c>
      <c r="K813" s="43"/>
      <c r="L813" s="41" t="str" cm="1">
        <f t="array" ref="L813">IFERROR(INDEX(DB!R$2:R$2576,T813),"")</f>
        <v/>
      </c>
      <c r="M813" s="43"/>
      <c r="P813" t="str" cm="1">
        <f t="array" ref="P813">IFERROR(_xlfn.AGGREGATE(15,6,ROW(DB!A$2:A$2576)/((($D$3&lt;&gt;"YES")+($D$3="YES")*(DB!E$2:E$2576="YES"))*(($D$4="")+($D$4&lt;&gt;"")*( DB!B$2:B$2576=$D$4))*(($D$5="")+($D$5&lt;&gt;"")*( DB!C$2:C$2576=$D$5))*(($D$6="")+($D$6&lt;&gt;"")*( DB!D$2:D$2576=$D$6))*(($D$7="")+($D$7&lt;&gt;"")*(ISNUMBER(SEARCH($D$7,DB!G$2:G$2576))))*(($F$7="전체")+($F$7&lt;&gt;"전체")*(DB!H$2:H$2576=$F$7))),ROW()-13)-1,"")</f>
        <v/>
      </c>
      <c r="Q813" t="str" cm="1">
        <f t="array" ref="Q813">IFERROR(INDEX(DB!G$2:G$2576,P813),"")</f>
        <v/>
      </c>
      <c r="R813" t="str" cm="1">
        <f t="array" ref="R813">IFERROR(INDEX(DB!O$2:O$2576,P813),"")</f>
        <v/>
      </c>
      <c r="S813" t="str">
        <f t="shared" si="39"/>
        <v/>
      </c>
      <c r="T813" t="str">
        <f t="shared" si="40"/>
        <v/>
      </c>
    </row>
    <row r="814" spans="1:20" ht="100" customHeight="1">
      <c r="A814" s="26"/>
      <c r="B814" s="39" t="str">
        <f t="shared" si="38"/>
        <v/>
      </c>
      <c r="C814" s="43"/>
      <c r="D814" s="51" t="str" cm="1">
        <f t="array" ref="D814">IFERROR(INDEX(DB!G$2:G$2576,T814),"")</f>
        <v/>
      </c>
      <c r="E814" s="43"/>
      <c r="F814" s="52" t="str" cm="1">
        <f t="array" ref="F814">IFERROR(INDEX(DB!O$2:O$2576,T814),"")</f>
        <v/>
      </c>
      <c r="G814" s="43"/>
      <c r="H814" s="40" t="str" cm="1">
        <f t="array" ref="H814">IFERROR(INDEX(DB!P$2:P$2576,T814),"")</f>
        <v/>
      </c>
      <c r="I814" s="43"/>
      <c r="J814" s="53" t="str" cm="1">
        <f t="array" ref="J814">IFERROR(INDEX(DB!Q$2:Q$2576,T814),"")</f>
        <v/>
      </c>
      <c r="K814" s="43"/>
      <c r="L814" s="41" t="str" cm="1">
        <f t="array" ref="L814">IFERROR(INDEX(DB!R$2:R$2576,T814),"")</f>
        <v/>
      </c>
      <c r="M814" s="43"/>
      <c r="P814" t="str" cm="1">
        <f t="array" ref="P814">IFERROR(_xlfn.AGGREGATE(15,6,ROW(DB!A$2:A$2576)/((($D$3&lt;&gt;"YES")+($D$3="YES")*(DB!E$2:E$2576="YES"))*(($D$4="")+($D$4&lt;&gt;"")*( DB!B$2:B$2576=$D$4))*(($D$5="")+($D$5&lt;&gt;"")*( DB!C$2:C$2576=$D$5))*(($D$6="")+($D$6&lt;&gt;"")*( DB!D$2:D$2576=$D$6))*(($D$7="")+($D$7&lt;&gt;"")*(ISNUMBER(SEARCH($D$7,DB!G$2:G$2576))))*(($F$7="전체")+($F$7&lt;&gt;"전체")*(DB!H$2:H$2576=$F$7))),ROW()-13)-1,"")</f>
        <v/>
      </c>
      <c r="Q814" t="str" cm="1">
        <f t="array" ref="Q814">IFERROR(INDEX(DB!G$2:G$2576,P814),"")</f>
        <v/>
      </c>
      <c r="R814" t="str" cm="1">
        <f t="array" ref="R814">IFERROR(INDEX(DB!O$2:O$2576,P814),"")</f>
        <v/>
      </c>
      <c r="S814" t="str">
        <f t="shared" si="39"/>
        <v/>
      </c>
      <c r="T814" t="str">
        <f t="shared" si="40"/>
        <v/>
      </c>
    </row>
    <row r="815" spans="1:20" ht="100" customHeight="1">
      <c r="A815" s="26"/>
      <c r="B815" s="42" t="str">
        <f t="shared" si="38"/>
        <v/>
      </c>
      <c r="C815" s="43"/>
      <c r="D815" s="51" t="str" cm="1">
        <f t="array" ref="D815">IFERROR(INDEX(DB!G$2:G$2576,T815),"")</f>
        <v/>
      </c>
      <c r="E815" s="43"/>
      <c r="F815" s="52" t="str" cm="1">
        <f t="array" ref="F815">IFERROR(INDEX(DB!O$2:O$2576,T815),"")</f>
        <v/>
      </c>
      <c r="G815" s="43"/>
      <c r="H815" s="40" t="str" cm="1">
        <f t="array" ref="H815">IFERROR(INDEX(DB!P$2:P$2576,T815),"")</f>
        <v/>
      </c>
      <c r="I815" s="43"/>
      <c r="J815" s="53" t="str" cm="1">
        <f t="array" ref="J815">IFERROR(INDEX(DB!Q$2:Q$2576,T815),"")</f>
        <v/>
      </c>
      <c r="K815" s="43"/>
      <c r="L815" s="41" t="str" cm="1">
        <f t="array" ref="L815">IFERROR(INDEX(DB!R$2:R$2576,T815),"")</f>
        <v/>
      </c>
      <c r="M815" s="43"/>
      <c r="P815" t="str" cm="1">
        <f t="array" ref="P815">IFERROR(_xlfn.AGGREGATE(15,6,ROW(DB!A$2:A$2576)/((($D$3&lt;&gt;"YES")+($D$3="YES")*(DB!E$2:E$2576="YES"))*(($D$4="")+($D$4&lt;&gt;"")*( DB!B$2:B$2576=$D$4))*(($D$5="")+($D$5&lt;&gt;"")*( DB!C$2:C$2576=$D$5))*(($D$6="")+($D$6&lt;&gt;"")*( DB!D$2:D$2576=$D$6))*(($D$7="")+($D$7&lt;&gt;"")*(ISNUMBER(SEARCH($D$7,DB!G$2:G$2576))))*(($F$7="전체")+($F$7&lt;&gt;"전체")*(DB!H$2:H$2576=$F$7))),ROW()-13)-1,"")</f>
        <v/>
      </c>
      <c r="Q815" t="str" cm="1">
        <f t="array" ref="Q815">IFERROR(INDEX(DB!G$2:G$2576,P815),"")</f>
        <v/>
      </c>
      <c r="R815" t="str" cm="1">
        <f t="array" ref="R815">IFERROR(INDEX(DB!O$2:O$2576,P815),"")</f>
        <v/>
      </c>
      <c r="S815" t="str">
        <f t="shared" si="39"/>
        <v/>
      </c>
      <c r="T815" t="str">
        <f t="shared" si="40"/>
        <v/>
      </c>
    </row>
    <row r="816" spans="1:20" ht="100" customHeight="1">
      <c r="A816" s="26"/>
      <c r="B816" s="39" t="str">
        <f t="shared" si="38"/>
        <v/>
      </c>
      <c r="C816" s="43"/>
      <c r="D816" s="51" t="str" cm="1">
        <f t="array" ref="D816">IFERROR(INDEX(DB!G$2:G$2576,T816),"")</f>
        <v/>
      </c>
      <c r="E816" s="43"/>
      <c r="F816" s="52" t="str" cm="1">
        <f t="array" ref="F816">IFERROR(INDEX(DB!O$2:O$2576,T816),"")</f>
        <v/>
      </c>
      <c r="G816" s="43"/>
      <c r="H816" s="40" t="str" cm="1">
        <f t="array" ref="H816">IFERROR(INDEX(DB!P$2:P$2576,T816),"")</f>
        <v/>
      </c>
      <c r="I816" s="43"/>
      <c r="J816" s="53" t="str" cm="1">
        <f t="array" ref="J816">IFERROR(INDEX(DB!Q$2:Q$2576,T816),"")</f>
        <v/>
      </c>
      <c r="K816" s="43"/>
      <c r="L816" s="41" t="str" cm="1">
        <f t="array" ref="L816">IFERROR(INDEX(DB!R$2:R$2576,T816),"")</f>
        <v/>
      </c>
      <c r="M816" s="43"/>
      <c r="P816" t="str" cm="1">
        <f t="array" ref="P816">IFERROR(_xlfn.AGGREGATE(15,6,ROW(DB!A$2:A$2576)/((($D$3&lt;&gt;"YES")+($D$3="YES")*(DB!E$2:E$2576="YES"))*(($D$4="")+($D$4&lt;&gt;"")*( DB!B$2:B$2576=$D$4))*(($D$5="")+($D$5&lt;&gt;"")*( DB!C$2:C$2576=$D$5))*(($D$6="")+($D$6&lt;&gt;"")*( DB!D$2:D$2576=$D$6))*(($D$7="")+($D$7&lt;&gt;"")*(ISNUMBER(SEARCH($D$7,DB!G$2:G$2576))))*(($F$7="전체")+($F$7&lt;&gt;"전체")*(DB!H$2:H$2576=$F$7))),ROW()-13)-1,"")</f>
        <v/>
      </c>
      <c r="Q816" t="str" cm="1">
        <f t="array" ref="Q816">IFERROR(INDEX(DB!G$2:G$2576,P816),"")</f>
        <v/>
      </c>
      <c r="R816" t="str" cm="1">
        <f t="array" ref="R816">IFERROR(INDEX(DB!O$2:O$2576,P816),"")</f>
        <v/>
      </c>
      <c r="S816" t="str">
        <f t="shared" si="39"/>
        <v/>
      </c>
      <c r="T816" t="str">
        <f t="shared" si="40"/>
        <v/>
      </c>
    </row>
    <row r="817" spans="1:20" ht="100" customHeight="1">
      <c r="A817" s="26"/>
      <c r="B817" s="42" t="str">
        <f t="shared" si="38"/>
        <v/>
      </c>
      <c r="C817" s="43"/>
      <c r="D817" s="51" t="str" cm="1">
        <f t="array" ref="D817">IFERROR(INDEX(DB!G$2:G$2576,T817),"")</f>
        <v/>
      </c>
      <c r="E817" s="43"/>
      <c r="F817" s="52" t="str" cm="1">
        <f t="array" ref="F817">IFERROR(INDEX(DB!O$2:O$2576,T817),"")</f>
        <v/>
      </c>
      <c r="G817" s="43"/>
      <c r="H817" s="40" t="str" cm="1">
        <f t="array" ref="H817">IFERROR(INDEX(DB!P$2:P$2576,T817),"")</f>
        <v/>
      </c>
      <c r="I817" s="43"/>
      <c r="J817" s="53" t="str" cm="1">
        <f t="array" ref="J817">IFERROR(INDEX(DB!Q$2:Q$2576,T817),"")</f>
        <v/>
      </c>
      <c r="K817" s="43"/>
      <c r="L817" s="41" t="str" cm="1">
        <f t="array" ref="L817">IFERROR(INDEX(DB!R$2:R$2576,T817),"")</f>
        <v/>
      </c>
      <c r="M817" s="43"/>
      <c r="P817" t="str" cm="1">
        <f t="array" ref="P817">IFERROR(_xlfn.AGGREGATE(15,6,ROW(DB!A$2:A$2576)/((($D$3&lt;&gt;"YES")+($D$3="YES")*(DB!E$2:E$2576="YES"))*(($D$4="")+($D$4&lt;&gt;"")*( DB!B$2:B$2576=$D$4))*(($D$5="")+($D$5&lt;&gt;"")*( DB!C$2:C$2576=$D$5))*(($D$6="")+($D$6&lt;&gt;"")*( DB!D$2:D$2576=$D$6))*(($D$7="")+($D$7&lt;&gt;"")*(ISNUMBER(SEARCH($D$7,DB!G$2:G$2576))))*(($F$7="전체")+($F$7&lt;&gt;"전체")*(DB!H$2:H$2576=$F$7))),ROW()-13)-1,"")</f>
        <v/>
      </c>
      <c r="Q817" t="str" cm="1">
        <f t="array" ref="Q817">IFERROR(INDEX(DB!G$2:G$2576,P817),"")</f>
        <v/>
      </c>
      <c r="R817" t="str" cm="1">
        <f t="array" ref="R817">IFERROR(INDEX(DB!O$2:O$2576,P817),"")</f>
        <v/>
      </c>
      <c r="S817" t="str">
        <f t="shared" si="39"/>
        <v/>
      </c>
      <c r="T817" t="str">
        <f t="shared" si="40"/>
        <v/>
      </c>
    </row>
    <row r="818" spans="1:20" ht="100" customHeight="1">
      <c r="A818" s="26"/>
      <c r="B818" s="39" t="str">
        <f t="shared" si="38"/>
        <v/>
      </c>
      <c r="C818" s="43"/>
      <c r="D818" s="51" t="str" cm="1">
        <f t="array" ref="D818">IFERROR(INDEX(DB!G$2:G$2576,T818),"")</f>
        <v/>
      </c>
      <c r="E818" s="43"/>
      <c r="F818" s="52" t="str" cm="1">
        <f t="array" ref="F818">IFERROR(INDEX(DB!O$2:O$2576,T818),"")</f>
        <v/>
      </c>
      <c r="G818" s="43"/>
      <c r="H818" s="40" t="str" cm="1">
        <f t="array" ref="H818">IFERROR(INDEX(DB!P$2:P$2576,T818),"")</f>
        <v/>
      </c>
      <c r="I818" s="43"/>
      <c r="J818" s="53" t="str" cm="1">
        <f t="array" ref="J818">IFERROR(INDEX(DB!Q$2:Q$2576,T818),"")</f>
        <v/>
      </c>
      <c r="K818" s="43"/>
      <c r="L818" s="41" t="str" cm="1">
        <f t="array" ref="L818">IFERROR(INDEX(DB!R$2:R$2576,T818),"")</f>
        <v/>
      </c>
      <c r="M818" s="43"/>
      <c r="P818" t="str" cm="1">
        <f t="array" ref="P818">IFERROR(_xlfn.AGGREGATE(15,6,ROW(DB!A$2:A$2576)/((($D$3&lt;&gt;"YES")+($D$3="YES")*(DB!E$2:E$2576="YES"))*(($D$4="")+($D$4&lt;&gt;"")*( DB!B$2:B$2576=$D$4))*(($D$5="")+($D$5&lt;&gt;"")*( DB!C$2:C$2576=$D$5))*(($D$6="")+($D$6&lt;&gt;"")*( DB!D$2:D$2576=$D$6))*(($D$7="")+($D$7&lt;&gt;"")*(ISNUMBER(SEARCH($D$7,DB!G$2:G$2576))))*(($F$7="전체")+($F$7&lt;&gt;"전체")*(DB!H$2:H$2576=$F$7))),ROW()-13)-1,"")</f>
        <v/>
      </c>
      <c r="Q818" t="str" cm="1">
        <f t="array" ref="Q818">IFERROR(INDEX(DB!G$2:G$2576,P818),"")</f>
        <v/>
      </c>
      <c r="R818" t="str" cm="1">
        <f t="array" ref="R818">IFERROR(INDEX(DB!O$2:O$2576,P818),"")</f>
        <v/>
      </c>
      <c r="S818" t="str">
        <f t="shared" si="39"/>
        <v/>
      </c>
      <c r="T818" t="str">
        <f t="shared" si="40"/>
        <v/>
      </c>
    </row>
    <row r="819" spans="1:20" ht="100" customHeight="1">
      <c r="A819" s="26"/>
      <c r="B819" s="42" t="str">
        <f t="shared" si="38"/>
        <v/>
      </c>
      <c r="C819" s="43"/>
      <c r="D819" s="51" t="str" cm="1">
        <f t="array" ref="D819">IFERROR(INDEX(DB!G$2:G$2576,T819),"")</f>
        <v/>
      </c>
      <c r="E819" s="43"/>
      <c r="F819" s="52" t="str" cm="1">
        <f t="array" ref="F819">IFERROR(INDEX(DB!O$2:O$2576,T819),"")</f>
        <v/>
      </c>
      <c r="G819" s="43"/>
      <c r="H819" s="40" t="str" cm="1">
        <f t="array" ref="H819">IFERROR(INDEX(DB!P$2:P$2576,T819),"")</f>
        <v/>
      </c>
      <c r="I819" s="43"/>
      <c r="J819" s="53" t="str" cm="1">
        <f t="array" ref="J819">IFERROR(INDEX(DB!Q$2:Q$2576,T819),"")</f>
        <v/>
      </c>
      <c r="K819" s="43"/>
      <c r="L819" s="41" t="str" cm="1">
        <f t="array" ref="L819">IFERROR(INDEX(DB!R$2:R$2576,T819),"")</f>
        <v/>
      </c>
      <c r="M819" s="43"/>
      <c r="P819" t="str" cm="1">
        <f t="array" ref="P819">IFERROR(_xlfn.AGGREGATE(15,6,ROW(DB!A$2:A$2576)/((($D$3&lt;&gt;"YES")+($D$3="YES")*(DB!E$2:E$2576="YES"))*(($D$4="")+($D$4&lt;&gt;"")*( DB!B$2:B$2576=$D$4))*(($D$5="")+($D$5&lt;&gt;"")*( DB!C$2:C$2576=$D$5))*(($D$6="")+($D$6&lt;&gt;"")*( DB!D$2:D$2576=$D$6))*(($D$7="")+($D$7&lt;&gt;"")*(ISNUMBER(SEARCH($D$7,DB!G$2:G$2576))))*(($F$7="전체")+($F$7&lt;&gt;"전체")*(DB!H$2:H$2576=$F$7))),ROW()-13)-1,"")</f>
        <v/>
      </c>
      <c r="Q819" t="str" cm="1">
        <f t="array" ref="Q819">IFERROR(INDEX(DB!G$2:G$2576,P819),"")</f>
        <v/>
      </c>
      <c r="R819" t="str" cm="1">
        <f t="array" ref="R819">IFERROR(INDEX(DB!O$2:O$2576,P819),"")</f>
        <v/>
      </c>
      <c r="S819" t="str">
        <f t="shared" si="39"/>
        <v/>
      </c>
      <c r="T819" t="str">
        <f t="shared" si="40"/>
        <v/>
      </c>
    </row>
    <row r="820" spans="1:20" ht="100" customHeight="1">
      <c r="A820" s="26"/>
      <c r="B820" s="39" t="str">
        <f t="shared" si="38"/>
        <v/>
      </c>
      <c r="C820" s="43"/>
      <c r="D820" s="51" t="str" cm="1">
        <f t="array" ref="D820">IFERROR(INDEX(DB!G$2:G$2576,T820),"")</f>
        <v/>
      </c>
      <c r="E820" s="43"/>
      <c r="F820" s="52" t="str" cm="1">
        <f t="array" ref="F820">IFERROR(INDEX(DB!O$2:O$2576,T820),"")</f>
        <v/>
      </c>
      <c r="G820" s="43"/>
      <c r="H820" s="40" t="str" cm="1">
        <f t="array" ref="H820">IFERROR(INDEX(DB!P$2:P$2576,T820),"")</f>
        <v/>
      </c>
      <c r="I820" s="43"/>
      <c r="J820" s="53" t="str" cm="1">
        <f t="array" ref="J820">IFERROR(INDEX(DB!Q$2:Q$2576,T820),"")</f>
        <v/>
      </c>
      <c r="K820" s="43"/>
      <c r="L820" s="41" t="str" cm="1">
        <f t="array" ref="L820">IFERROR(INDEX(DB!R$2:R$2576,T820),"")</f>
        <v/>
      </c>
      <c r="M820" s="43"/>
      <c r="P820" t="str" cm="1">
        <f t="array" ref="P820">IFERROR(_xlfn.AGGREGATE(15,6,ROW(DB!A$2:A$2576)/((($D$3&lt;&gt;"YES")+($D$3="YES")*(DB!E$2:E$2576="YES"))*(($D$4="")+($D$4&lt;&gt;"")*( DB!B$2:B$2576=$D$4))*(($D$5="")+($D$5&lt;&gt;"")*( DB!C$2:C$2576=$D$5))*(($D$6="")+($D$6&lt;&gt;"")*( DB!D$2:D$2576=$D$6))*(($D$7="")+($D$7&lt;&gt;"")*(ISNUMBER(SEARCH($D$7,DB!G$2:G$2576))))*(($F$7="전체")+($F$7&lt;&gt;"전체")*(DB!H$2:H$2576=$F$7))),ROW()-13)-1,"")</f>
        <v/>
      </c>
      <c r="Q820" t="str" cm="1">
        <f t="array" ref="Q820">IFERROR(INDEX(DB!G$2:G$2576,P820),"")</f>
        <v/>
      </c>
      <c r="R820" t="str" cm="1">
        <f t="array" ref="R820">IFERROR(INDEX(DB!O$2:O$2576,P820),"")</f>
        <v/>
      </c>
      <c r="S820" t="str">
        <f t="shared" si="39"/>
        <v/>
      </c>
      <c r="T820" t="str">
        <f t="shared" si="40"/>
        <v/>
      </c>
    </row>
    <row r="821" spans="1:20" ht="100" customHeight="1">
      <c r="A821" s="26"/>
      <c r="B821" s="42" t="str">
        <f t="shared" si="38"/>
        <v/>
      </c>
      <c r="C821" s="43"/>
      <c r="D821" s="51" t="str" cm="1">
        <f t="array" ref="D821">IFERROR(INDEX(DB!G$2:G$2576,T821),"")</f>
        <v/>
      </c>
      <c r="E821" s="43"/>
      <c r="F821" s="52" t="str" cm="1">
        <f t="array" ref="F821">IFERROR(INDEX(DB!O$2:O$2576,T821),"")</f>
        <v/>
      </c>
      <c r="G821" s="43"/>
      <c r="H821" s="40" t="str" cm="1">
        <f t="array" ref="H821">IFERROR(INDEX(DB!P$2:P$2576,T821),"")</f>
        <v/>
      </c>
      <c r="I821" s="43"/>
      <c r="J821" s="53" t="str" cm="1">
        <f t="array" ref="J821">IFERROR(INDEX(DB!Q$2:Q$2576,T821),"")</f>
        <v/>
      </c>
      <c r="K821" s="43"/>
      <c r="L821" s="41" t="str" cm="1">
        <f t="array" ref="L821">IFERROR(INDEX(DB!R$2:R$2576,T821),"")</f>
        <v/>
      </c>
      <c r="M821" s="43"/>
      <c r="P821" t="str" cm="1">
        <f t="array" ref="P821">IFERROR(_xlfn.AGGREGATE(15,6,ROW(DB!A$2:A$2576)/((($D$3&lt;&gt;"YES")+($D$3="YES")*(DB!E$2:E$2576="YES"))*(($D$4="")+($D$4&lt;&gt;"")*( DB!B$2:B$2576=$D$4))*(($D$5="")+($D$5&lt;&gt;"")*( DB!C$2:C$2576=$D$5))*(($D$6="")+($D$6&lt;&gt;"")*( DB!D$2:D$2576=$D$6))*(($D$7="")+($D$7&lt;&gt;"")*(ISNUMBER(SEARCH($D$7,DB!G$2:G$2576))))*(($F$7="전체")+($F$7&lt;&gt;"전체")*(DB!H$2:H$2576=$F$7))),ROW()-13)-1,"")</f>
        <v/>
      </c>
      <c r="Q821" t="str" cm="1">
        <f t="array" ref="Q821">IFERROR(INDEX(DB!G$2:G$2576,P821),"")</f>
        <v/>
      </c>
      <c r="R821" t="str" cm="1">
        <f t="array" ref="R821">IFERROR(INDEX(DB!O$2:O$2576,P821),"")</f>
        <v/>
      </c>
      <c r="S821" t="str">
        <f t="shared" si="39"/>
        <v/>
      </c>
      <c r="T821" t="str">
        <f t="shared" si="40"/>
        <v/>
      </c>
    </row>
    <row r="822" spans="1:20" ht="100" customHeight="1">
      <c r="A822" s="26"/>
      <c r="B822" s="39" t="str">
        <f t="shared" si="38"/>
        <v/>
      </c>
      <c r="C822" s="43"/>
      <c r="D822" s="51" t="str" cm="1">
        <f t="array" ref="D822">IFERROR(INDEX(DB!G$2:G$2576,T822),"")</f>
        <v/>
      </c>
      <c r="E822" s="43"/>
      <c r="F822" s="52" t="str" cm="1">
        <f t="array" ref="F822">IFERROR(INDEX(DB!O$2:O$2576,T822),"")</f>
        <v/>
      </c>
      <c r="G822" s="43"/>
      <c r="H822" s="40" t="str" cm="1">
        <f t="array" ref="H822">IFERROR(INDEX(DB!P$2:P$2576,T822),"")</f>
        <v/>
      </c>
      <c r="I822" s="43"/>
      <c r="J822" s="53" t="str" cm="1">
        <f t="array" ref="J822">IFERROR(INDEX(DB!Q$2:Q$2576,T822),"")</f>
        <v/>
      </c>
      <c r="K822" s="43"/>
      <c r="L822" s="41" t="str" cm="1">
        <f t="array" ref="L822">IFERROR(INDEX(DB!R$2:R$2576,T822),"")</f>
        <v/>
      </c>
      <c r="M822" s="43"/>
      <c r="P822" t="str" cm="1">
        <f t="array" ref="P822">IFERROR(_xlfn.AGGREGATE(15,6,ROW(DB!A$2:A$2576)/((($D$3&lt;&gt;"YES")+($D$3="YES")*(DB!E$2:E$2576="YES"))*(($D$4="")+($D$4&lt;&gt;"")*( DB!B$2:B$2576=$D$4))*(($D$5="")+($D$5&lt;&gt;"")*( DB!C$2:C$2576=$D$5))*(($D$6="")+($D$6&lt;&gt;"")*( DB!D$2:D$2576=$D$6))*(($D$7="")+($D$7&lt;&gt;"")*(ISNUMBER(SEARCH($D$7,DB!G$2:G$2576))))*(($F$7="전체")+($F$7&lt;&gt;"전체")*(DB!H$2:H$2576=$F$7))),ROW()-13)-1,"")</f>
        <v/>
      </c>
      <c r="Q822" t="str" cm="1">
        <f t="array" ref="Q822">IFERROR(INDEX(DB!G$2:G$2576,P822),"")</f>
        <v/>
      </c>
      <c r="R822" t="str" cm="1">
        <f t="array" ref="R822">IFERROR(INDEX(DB!O$2:O$2576,P822),"")</f>
        <v/>
      </c>
      <c r="S822" t="str">
        <f t="shared" si="39"/>
        <v/>
      </c>
      <c r="T822" t="str">
        <f t="shared" si="40"/>
        <v/>
      </c>
    </row>
    <row r="823" spans="1:20" ht="100" customHeight="1">
      <c r="A823" s="26"/>
      <c r="B823" s="42" t="str">
        <f t="shared" si="38"/>
        <v/>
      </c>
      <c r="C823" s="43"/>
      <c r="D823" s="51" t="str" cm="1">
        <f t="array" ref="D823">IFERROR(INDEX(DB!G$2:G$2576,T823),"")</f>
        <v/>
      </c>
      <c r="E823" s="43"/>
      <c r="F823" s="52" t="str" cm="1">
        <f t="array" ref="F823">IFERROR(INDEX(DB!O$2:O$2576,T823),"")</f>
        <v/>
      </c>
      <c r="G823" s="43"/>
      <c r="H823" s="40" t="str" cm="1">
        <f t="array" ref="H823">IFERROR(INDEX(DB!P$2:P$2576,T823),"")</f>
        <v/>
      </c>
      <c r="I823" s="43"/>
      <c r="J823" s="53" t="str" cm="1">
        <f t="array" ref="J823">IFERROR(INDEX(DB!Q$2:Q$2576,T823),"")</f>
        <v/>
      </c>
      <c r="K823" s="43"/>
      <c r="L823" s="41" t="str" cm="1">
        <f t="array" ref="L823">IFERROR(INDEX(DB!R$2:R$2576,T823),"")</f>
        <v/>
      </c>
      <c r="M823" s="43"/>
      <c r="P823" t="str" cm="1">
        <f t="array" ref="P823">IFERROR(_xlfn.AGGREGATE(15,6,ROW(DB!A$2:A$2576)/((($D$3&lt;&gt;"YES")+($D$3="YES")*(DB!E$2:E$2576="YES"))*(($D$4="")+($D$4&lt;&gt;"")*( DB!B$2:B$2576=$D$4))*(($D$5="")+($D$5&lt;&gt;"")*( DB!C$2:C$2576=$D$5))*(($D$6="")+($D$6&lt;&gt;"")*( DB!D$2:D$2576=$D$6))*(($D$7="")+($D$7&lt;&gt;"")*(ISNUMBER(SEARCH($D$7,DB!G$2:G$2576))))*(($F$7="전체")+($F$7&lt;&gt;"전체")*(DB!H$2:H$2576=$F$7))),ROW()-13)-1,"")</f>
        <v/>
      </c>
      <c r="Q823" t="str" cm="1">
        <f t="array" ref="Q823">IFERROR(INDEX(DB!G$2:G$2576,P823),"")</f>
        <v/>
      </c>
      <c r="R823" t="str" cm="1">
        <f t="array" ref="R823">IFERROR(INDEX(DB!O$2:O$2576,P823),"")</f>
        <v/>
      </c>
      <c r="S823" t="str">
        <f t="shared" si="39"/>
        <v/>
      </c>
      <c r="T823" t="str">
        <f t="shared" si="40"/>
        <v/>
      </c>
    </row>
    <row r="824" spans="1:20" ht="100" customHeight="1">
      <c r="A824" s="26"/>
      <c r="B824" s="39" t="str">
        <f t="shared" si="38"/>
        <v/>
      </c>
      <c r="C824" s="43"/>
      <c r="D824" s="51" t="str" cm="1">
        <f t="array" ref="D824">IFERROR(INDEX(DB!G$2:G$2576,T824),"")</f>
        <v/>
      </c>
      <c r="E824" s="43"/>
      <c r="F824" s="52" t="str" cm="1">
        <f t="array" ref="F824">IFERROR(INDEX(DB!O$2:O$2576,T824),"")</f>
        <v/>
      </c>
      <c r="G824" s="43"/>
      <c r="H824" s="40" t="str" cm="1">
        <f t="array" ref="H824">IFERROR(INDEX(DB!P$2:P$2576,T824),"")</f>
        <v/>
      </c>
      <c r="I824" s="43"/>
      <c r="J824" s="53" t="str" cm="1">
        <f t="array" ref="J824">IFERROR(INDEX(DB!Q$2:Q$2576,T824),"")</f>
        <v/>
      </c>
      <c r="K824" s="43"/>
      <c r="L824" s="41" t="str" cm="1">
        <f t="array" ref="L824">IFERROR(INDEX(DB!R$2:R$2576,T824),"")</f>
        <v/>
      </c>
      <c r="M824" s="43"/>
      <c r="P824" t="str" cm="1">
        <f t="array" ref="P824">IFERROR(_xlfn.AGGREGATE(15,6,ROW(DB!A$2:A$2576)/((($D$3&lt;&gt;"YES")+($D$3="YES")*(DB!E$2:E$2576="YES"))*(($D$4="")+($D$4&lt;&gt;"")*( DB!B$2:B$2576=$D$4))*(($D$5="")+($D$5&lt;&gt;"")*( DB!C$2:C$2576=$D$5))*(($D$6="")+($D$6&lt;&gt;"")*( DB!D$2:D$2576=$D$6))*(($D$7="")+($D$7&lt;&gt;"")*(ISNUMBER(SEARCH($D$7,DB!G$2:G$2576))))*(($F$7="전체")+($F$7&lt;&gt;"전체")*(DB!H$2:H$2576=$F$7))),ROW()-13)-1,"")</f>
        <v/>
      </c>
      <c r="Q824" t="str" cm="1">
        <f t="array" ref="Q824">IFERROR(INDEX(DB!G$2:G$2576,P824),"")</f>
        <v/>
      </c>
      <c r="R824" t="str" cm="1">
        <f t="array" ref="R824">IFERROR(INDEX(DB!O$2:O$2576,P824),"")</f>
        <v/>
      </c>
      <c r="S824" t="str">
        <f t="shared" si="39"/>
        <v/>
      </c>
      <c r="T824" t="str">
        <f t="shared" si="40"/>
        <v/>
      </c>
    </row>
    <row r="825" spans="1:20" ht="100" customHeight="1">
      <c r="A825" s="26"/>
      <c r="B825" s="42" t="str">
        <f t="shared" si="38"/>
        <v/>
      </c>
      <c r="C825" s="43"/>
      <c r="D825" s="51" t="str" cm="1">
        <f t="array" ref="D825">IFERROR(INDEX(DB!G$2:G$2576,T825),"")</f>
        <v/>
      </c>
      <c r="E825" s="43"/>
      <c r="F825" s="52" t="str" cm="1">
        <f t="array" ref="F825">IFERROR(INDEX(DB!O$2:O$2576,T825),"")</f>
        <v/>
      </c>
      <c r="G825" s="43"/>
      <c r="H825" s="40" t="str" cm="1">
        <f t="array" ref="H825">IFERROR(INDEX(DB!P$2:P$2576,T825),"")</f>
        <v/>
      </c>
      <c r="I825" s="43"/>
      <c r="J825" s="53" t="str" cm="1">
        <f t="array" ref="J825">IFERROR(INDEX(DB!Q$2:Q$2576,T825),"")</f>
        <v/>
      </c>
      <c r="K825" s="43"/>
      <c r="L825" s="41" t="str" cm="1">
        <f t="array" ref="L825">IFERROR(INDEX(DB!R$2:R$2576,T825),"")</f>
        <v/>
      </c>
      <c r="M825" s="43"/>
      <c r="P825" t="str" cm="1">
        <f t="array" ref="P825">IFERROR(_xlfn.AGGREGATE(15,6,ROW(DB!A$2:A$2576)/((($D$3&lt;&gt;"YES")+($D$3="YES")*(DB!E$2:E$2576="YES"))*(($D$4="")+($D$4&lt;&gt;"")*( DB!B$2:B$2576=$D$4))*(($D$5="")+($D$5&lt;&gt;"")*( DB!C$2:C$2576=$D$5))*(($D$6="")+($D$6&lt;&gt;"")*( DB!D$2:D$2576=$D$6))*(($D$7="")+($D$7&lt;&gt;"")*(ISNUMBER(SEARCH($D$7,DB!G$2:G$2576))))*(($F$7="전체")+($F$7&lt;&gt;"전체")*(DB!H$2:H$2576=$F$7))),ROW()-13)-1,"")</f>
        <v/>
      </c>
      <c r="Q825" t="str" cm="1">
        <f t="array" ref="Q825">IFERROR(INDEX(DB!G$2:G$2576,P825),"")</f>
        <v/>
      </c>
      <c r="R825" t="str" cm="1">
        <f t="array" ref="R825">IFERROR(INDEX(DB!O$2:O$2576,P825),"")</f>
        <v/>
      </c>
      <c r="S825" t="str">
        <f t="shared" si="39"/>
        <v/>
      </c>
      <c r="T825" t="str">
        <f t="shared" si="40"/>
        <v/>
      </c>
    </row>
    <row r="826" spans="1:20" ht="100" customHeight="1">
      <c r="A826" s="26"/>
      <c r="B826" s="39" t="str">
        <f t="shared" si="38"/>
        <v/>
      </c>
      <c r="C826" s="43"/>
      <c r="D826" s="51" t="str" cm="1">
        <f t="array" ref="D826">IFERROR(INDEX(DB!G$2:G$2576,T826),"")</f>
        <v/>
      </c>
      <c r="E826" s="43"/>
      <c r="F826" s="52" t="str" cm="1">
        <f t="array" ref="F826">IFERROR(INDEX(DB!O$2:O$2576,T826),"")</f>
        <v/>
      </c>
      <c r="G826" s="43"/>
      <c r="H826" s="40" t="str" cm="1">
        <f t="array" ref="H826">IFERROR(INDEX(DB!P$2:P$2576,T826),"")</f>
        <v/>
      </c>
      <c r="I826" s="43"/>
      <c r="J826" s="53" t="str" cm="1">
        <f t="array" ref="J826">IFERROR(INDEX(DB!Q$2:Q$2576,T826),"")</f>
        <v/>
      </c>
      <c r="K826" s="43"/>
      <c r="L826" s="41" t="str" cm="1">
        <f t="array" ref="L826">IFERROR(INDEX(DB!R$2:R$2576,T826),"")</f>
        <v/>
      </c>
      <c r="M826" s="43"/>
      <c r="P826" t="str" cm="1">
        <f t="array" ref="P826">IFERROR(_xlfn.AGGREGATE(15,6,ROW(DB!A$2:A$2576)/((($D$3&lt;&gt;"YES")+($D$3="YES")*(DB!E$2:E$2576="YES"))*(($D$4="")+($D$4&lt;&gt;"")*( DB!B$2:B$2576=$D$4))*(($D$5="")+($D$5&lt;&gt;"")*( DB!C$2:C$2576=$D$5))*(($D$6="")+($D$6&lt;&gt;"")*( DB!D$2:D$2576=$D$6))*(($D$7="")+($D$7&lt;&gt;"")*(ISNUMBER(SEARCH($D$7,DB!G$2:G$2576))))*(($F$7="전체")+($F$7&lt;&gt;"전체")*(DB!H$2:H$2576=$F$7))),ROW()-13)-1,"")</f>
        <v/>
      </c>
      <c r="Q826" t="str" cm="1">
        <f t="array" ref="Q826">IFERROR(INDEX(DB!G$2:G$2576,P826),"")</f>
        <v/>
      </c>
      <c r="R826" t="str" cm="1">
        <f t="array" ref="R826">IFERROR(INDEX(DB!O$2:O$2576,P826),"")</f>
        <v/>
      </c>
      <c r="S826" t="str">
        <f t="shared" si="39"/>
        <v/>
      </c>
      <c r="T826" t="str">
        <f t="shared" si="40"/>
        <v/>
      </c>
    </row>
    <row r="827" spans="1:20" ht="100" customHeight="1">
      <c r="A827" s="26"/>
      <c r="B827" s="42" t="str">
        <f t="shared" si="38"/>
        <v/>
      </c>
      <c r="C827" s="43"/>
      <c r="D827" s="51" t="str" cm="1">
        <f t="array" ref="D827">IFERROR(INDEX(DB!G$2:G$2576,T827),"")</f>
        <v/>
      </c>
      <c r="E827" s="43"/>
      <c r="F827" s="52" t="str" cm="1">
        <f t="array" ref="F827">IFERROR(INDEX(DB!O$2:O$2576,T827),"")</f>
        <v/>
      </c>
      <c r="G827" s="43"/>
      <c r="H827" s="40" t="str" cm="1">
        <f t="array" ref="H827">IFERROR(INDEX(DB!P$2:P$2576,T827),"")</f>
        <v/>
      </c>
      <c r="I827" s="43"/>
      <c r="J827" s="53" t="str" cm="1">
        <f t="array" ref="J827">IFERROR(INDEX(DB!Q$2:Q$2576,T827),"")</f>
        <v/>
      </c>
      <c r="K827" s="43"/>
      <c r="L827" s="41" t="str" cm="1">
        <f t="array" ref="L827">IFERROR(INDEX(DB!R$2:R$2576,T827),"")</f>
        <v/>
      </c>
      <c r="M827" s="43"/>
      <c r="P827" t="str" cm="1">
        <f t="array" ref="P827">IFERROR(_xlfn.AGGREGATE(15,6,ROW(DB!A$2:A$2576)/((($D$3&lt;&gt;"YES")+($D$3="YES")*(DB!E$2:E$2576="YES"))*(($D$4="")+($D$4&lt;&gt;"")*( DB!B$2:B$2576=$D$4))*(($D$5="")+($D$5&lt;&gt;"")*( DB!C$2:C$2576=$D$5))*(($D$6="")+($D$6&lt;&gt;"")*( DB!D$2:D$2576=$D$6))*(($D$7="")+($D$7&lt;&gt;"")*(ISNUMBER(SEARCH($D$7,DB!G$2:G$2576))))*(($F$7="전체")+($F$7&lt;&gt;"전체")*(DB!H$2:H$2576=$F$7))),ROW()-13)-1,"")</f>
        <v/>
      </c>
      <c r="Q827" t="str" cm="1">
        <f t="array" ref="Q827">IFERROR(INDEX(DB!G$2:G$2576,P827),"")</f>
        <v/>
      </c>
      <c r="R827" t="str" cm="1">
        <f t="array" ref="R827">IFERROR(INDEX(DB!O$2:O$2576,P827),"")</f>
        <v/>
      </c>
      <c r="S827" t="str">
        <f t="shared" si="39"/>
        <v/>
      </c>
      <c r="T827" t="str">
        <f t="shared" si="40"/>
        <v/>
      </c>
    </row>
    <row r="828" spans="1:20" ht="100" customHeight="1">
      <c r="A828" s="26"/>
      <c r="B828" s="39" t="str">
        <f t="shared" si="38"/>
        <v/>
      </c>
      <c r="C828" s="43"/>
      <c r="D828" s="51" t="str" cm="1">
        <f t="array" ref="D828">IFERROR(INDEX(DB!G$2:G$2576,T828),"")</f>
        <v/>
      </c>
      <c r="E828" s="43"/>
      <c r="F828" s="52" t="str" cm="1">
        <f t="array" ref="F828">IFERROR(INDEX(DB!O$2:O$2576,T828),"")</f>
        <v/>
      </c>
      <c r="G828" s="43"/>
      <c r="H828" s="40" t="str" cm="1">
        <f t="array" ref="H828">IFERROR(INDEX(DB!P$2:P$2576,T828),"")</f>
        <v/>
      </c>
      <c r="I828" s="43"/>
      <c r="J828" s="53" t="str" cm="1">
        <f t="array" ref="J828">IFERROR(INDEX(DB!Q$2:Q$2576,T828),"")</f>
        <v/>
      </c>
      <c r="K828" s="43"/>
      <c r="L828" s="41" t="str" cm="1">
        <f t="array" ref="L828">IFERROR(INDEX(DB!R$2:R$2576,T828),"")</f>
        <v/>
      </c>
      <c r="M828" s="43"/>
      <c r="P828" t="str" cm="1">
        <f t="array" ref="P828">IFERROR(_xlfn.AGGREGATE(15,6,ROW(DB!A$2:A$2576)/((($D$3&lt;&gt;"YES")+($D$3="YES")*(DB!E$2:E$2576="YES"))*(($D$4="")+($D$4&lt;&gt;"")*( DB!B$2:B$2576=$D$4))*(($D$5="")+($D$5&lt;&gt;"")*( DB!C$2:C$2576=$D$5))*(($D$6="")+($D$6&lt;&gt;"")*( DB!D$2:D$2576=$D$6))*(($D$7="")+($D$7&lt;&gt;"")*(ISNUMBER(SEARCH($D$7,DB!G$2:G$2576))))*(($F$7="전체")+($F$7&lt;&gt;"전체")*(DB!H$2:H$2576=$F$7))),ROW()-13)-1,"")</f>
        <v/>
      </c>
      <c r="Q828" t="str" cm="1">
        <f t="array" ref="Q828">IFERROR(INDEX(DB!G$2:G$2576,P828),"")</f>
        <v/>
      </c>
      <c r="R828" t="str" cm="1">
        <f t="array" ref="R828">IFERROR(INDEX(DB!O$2:O$2576,P828),"")</f>
        <v/>
      </c>
      <c r="S828" t="str">
        <f t="shared" si="39"/>
        <v/>
      </c>
      <c r="T828" t="str">
        <f t="shared" si="40"/>
        <v/>
      </c>
    </row>
    <row r="829" spans="1:20" ht="100" customHeight="1">
      <c r="A829" s="26"/>
      <c r="B829" s="42" t="str">
        <f t="shared" si="38"/>
        <v/>
      </c>
      <c r="C829" s="43"/>
      <c r="D829" s="51" t="str" cm="1">
        <f t="array" ref="D829">IFERROR(INDEX(DB!G$2:G$2576,T829),"")</f>
        <v/>
      </c>
      <c r="E829" s="43"/>
      <c r="F829" s="52" t="str" cm="1">
        <f t="array" ref="F829">IFERROR(INDEX(DB!O$2:O$2576,T829),"")</f>
        <v/>
      </c>
      <c r="G829" s="43"/>
      <c r="H829" s="40" t="str" cm="1">
        <f t="array" ref="H829">IFERROR(INDEX(DB!P$2:P$2576,T829),"")</f>
        <v/>
      </c>
      <c r="I829" s="43"/>
      <c r="J829" s="53" t="str" cm="1">
        <f t="array" ref="J829">IFERROR(INDEX(DB!Q$2:Q$2576,T829),"")</f>
        <v/>
      </c>
      <c r="K829" s="43"/>
      <c r="L829" s="41" t="str" cm="1">
        <f t="array" ref="L829">IFERROR(INDEX(DB!R$2:R$2576,T829),"")</f>
        <v/>
      </c>
      <c r="M829" s="43"/>
      <c r="P829" t="str" cm="1">
        <f t="array" ref="P829">IFERROR(_xlfn.AGGREGATE(15,6,ROW(DB!A$2:A$2576)/((($D$3&lt;&gt;"YES")+($D$3="YES")*(DB!E$2:E$2576="YES"))*(($D$4="")+($D$4&lt;&gt;"")*( DB!B$2:B$2576=$D$4))*(($D$5="")+($D$5&lt;&gt;"")*( DB!C$2:C$2576=$D$5))*(($D$6="")+($D$6&lt;&gt;"")*( DB!D$2:D$2576=$D$6))*(($D$7="")+($D$7&lt;&gt;"")*(ISNUMBER(SEARCH($D$7,DB!G$2:G$2576))))*(($F$7="전체")+($F$7&lt;&gt;"전체")*(DB!H$2:H$2576=$F$7))),ROW()-13)-1,"")</f>
        <v/>
      </c>
      <c r="Q829" t="str" cm="1">
        <f t="array" ref="Q829">IFERROR(INDEX(DB!G$2:G$2576,P829),"")</f>
        <v/>
      </c>
      <c r="R829" t="str" cm="1">
        <f t="array" ref="R829">IFERROR(INDEX(DB!O$2:O$2576,P829),"")</f>
        <v/>
      </c>
      <c r="S829" t="str">
        <f t="shared" si="39"/>
        <v/>
      </c>
      <c r="T829" t="str">
        <f t="shared" si="40"/>
        <v/>
      </c>
    </row>
    <row r="830" spans="1:20" ht="100" customHeight="1">
      <c r="A830" s="26"/>
      <c r="B830" s="39" t="str">
        <f t="shared" si="38"/>
        <v/>
      </c>
      <c r="C830" s="43"/>
      <c r="D830" s="51" t="str" cm="1">
        <f t="array" ref="D830">IFERROR(INDEX(DB!G$2:G$2576,T830),"")</f>
        <v/>
      </c>
      <c r="E830" s="43"/>
      <c r="F830" s="52" t="str" cm="1">
        <f t="array" ref="F830">IFERROR(INDEX(DB!O$2:O$2576,T830),"")</f>
        <v/>
      </c>
      <c r="G830" s="43"/>
      <c r="H830" s="40" t="str" cm="1">
        <f t="array" ref="H830">IFERROR(INDEX(DB!P$2:P$2576,T830),"")</f>
        <v/>
      </c>
      <c r="I830" s="43"/>
      <c r="J830" s="53" t="str" cm="1">
        <f t="array" ref="J830">IFERROR(INDEX(DB!Q$2:Q$2576,T830),"")</f>
        <v/>
      </c>
      <c r="K830" s="43"/>
      <c r="L830" s="41" t="str" cm="1">
        <f t="array" ref="L830">IFERROR(INDEX(DB!R$2:R$2576,T830),"")</f>
        <v/>
      </c>
      <c r="M830" s="43"/>
      <c r="P830" t="str" cm="1">
        <f t="array" ref="P830">IFERROR(_xlfn.AGGREGATE(15,6,ROW(DB!A$2:A$2576)/((($D$3&lt;&gt;"YES")+($D$3="YES")*(DB!E$2:E$2576="YES"))*(($D$4="")+($D$4&lt;&gt;"")*( DB!B$2:B$2576=$D$4))*(($D$5="")+($D$5&lt;&gt;"")*( DB!C$2:C$2576=$D$5))*(($D$6="")+($D$6&lt;&gt;"")*( DB!D$2:D$2576=$D$6))*(($D$7="")+($D$7&lt;&gt;"")*(ISNUMBER(SEARCH($D$7,DB!G$2:G$2576))))*(($F$7="전체")+($F$7&lt;&gt;"전체")*(DB!H$2:H$2576=$F$7))),ROW()-13)-1,"")</f>
        <v/>
      </c>
      <c r="Q830" t="str" cm="1">
        <f t="array" ref="Q830">IFERROR(INDEX(DB!G$2:G$2576,P830),"")</f>
        <v/>
      </c>
      <c r="R830" t="str" cm="1">
        <f t="array" ref="R830">IFERROR(INDEX(DB!O$2:O$2576,P830),"")</f>
        <v/>
      </c>
      <c r="S830" t="str">
        <f t="shared" si="39"/>
        <v/>
      </c>
      <c r="T830" t="str">
        <f t="shared" si="40"/>
        <v/>
      </c>
    </row>
    <row r="831" spans="1:20" ht="100" customHeight="1">
      <c r="A831" s="26"/>
      <c r="B831" s="42" t="str">
        <f t="shared" si="38"/>
        <v/>
      </c>
      <c r="C831" s="43"/>
      <c r="D831" s="51" t="str" cm="1">
        <f t="array" ref="D831">IFERROR(INDEX(DB!G$2:G$2576,T831),"")</f>
        <v/>
      </c>
      <c r="E831" s="43"/>
      <c r="F831" s="52" t="str" cm="1">
        <f t="array" ref="F831">IFERROR(INDEX(DB!O$2:O$2576,T831),"")</f>
        <v/>
      </c>
      <c r="G831" s="43"/>
      <c r="H831" s="40" t="str" cm="1">
        <f t="array" ref="H831">IFERROR(INDEX(DB!P$2:P$2576,T831),"")</f>
        <v/>
      </c>
      <c r="I831" s="43"/>
      <c r="J831" s="53" t="str" cm="1">
        <f t="array" ref="J831">IFERROR(INDEX(DB!Q$2:Q$2576,T831),"")</f>
        <v/>
      </c>
      <c r="K831" s="43"/>
      <c r="L831" s="41" t="str" cm="1">
        <f t="array" ref="L831">IFERROR(INDEX(DB!R$2:R$2576,T831),"")</f>
        <v/>
      </c>
      <c r="M831" s="43"/>
      <c r="P831" t="str" cm="1">
        <f t="array" ref="P831">IFERROR(_xlfn.AGGREGATE(15,6,ROW(DB!A$2:A$2576)/((($D$3&lt;&gt;"YES")+($D$3="YES")*(DB!E$2:E$2576="YES"))*(($D$4="")+($D$4&lt;&gt;"")*( DB!B$2:B$2576=$D$4))*(($D$5="")+($D$5&lt;&gt;"")*( DB!C$2:C$2576=$D$5))*(($D$6="")+($D$6&lt;&gt;"")*( DB!D$2:D$2576=$D$6))*(($D$7="")+($D$7&lt;&gt;"")*(ISNUMBER(SEARCH($D$7,DB!G$2:G$2576))))*(($F$7="전체")+($F$7&lt;&gt;"전체")*(DB!H$2:H$2576=$F$7))),ROW()-13)-1,"")</f>
        <v/>
      </c>
      <c r="Q831" t="str" cm="1">
        <f t="array" ref="Q831">IFERROR(INDEX(DB!G$2:G$2576,P831),"")</f>
        <v/>
      </c>
      <c r="R831" t="str" cm="1">
        <f t="array" ref="R831">IFERROR(INDEX(DB!O$2:O$2576,P831),"")</f>
        <v/>
      </c>
      <c r="S831" t="str">
        <f t="shared" si="39"/>
        <v/>
      </c>
      <c r="T831" t="str">
        <f t="shared" si="40"/>
        <v/>
      </c>
    </row>
    <row r="832" spans="1:20" ht="100" customHeight="1">
      <c r="A832" s="26"/>
      <c r="B832" s="39" t="str">
        <f t="shared" si="38"/>
        <v/>
      </c>
      <c r="C832" s="43"/>
      <c r="D832" s="51" t="str" cm="1">
        <f t="array" ref="D832">IFERROR(INDEX(DB!G$2:G$2576,T832),"")</f>
        <v/>
      </c>
      <c r="E832" s="43"/>
      <c r="F832" s="52" t="str" cm="1">
        <f t="array" ref="F832">IFERROR(INDEX(DB!O$2:O$2576,T832),"")</f>
        <v/>
      </c>
      <c r="G832" s="43"/>
      <c r="H832" s="40" t="str" cm="1">
        <f t="array" ref="H832">IFERROR(INDEX(DB!P$2:P$2576,T832),"")</f>
        <v/>
      </c>
      <c r="I832" s="43"/>
      <c r="J832" s="53" t="str" cm="1">
        <f t="array" ref="J832">IFERROR(INDEX(DB!Q$2:Q$2576,T832),"")</f>
        <v/>
      </c>
      <c r="K832" s="43"/>
      <c r="L832" s="41" t="str" cm="1">
        <f t="array" ref="L832">IFERROR(INDEX(DB!R$2:R$2576,T832),"")</f>
        <v/>
      </c>
      <c r="M832" s="43"/>
      <c r="P832" t="str" cm="1">
        <f t="array" ref="P832">IFERROR(_xlfn.AGGREGATE(15,6,ROW(DB!A$2:A$2576)/((($D$3&lt;&gt;"YES")+($D$3="YES")*(DB!E$2:E$2576="YES"))*(($D$4="")+($D$4&lt;&gt;"")*( DB!B$2:B$2576=$D$4))*(($D$5="")+($D$5&lt;&gt;"")*( DB!C$2:C$2576=$D$5))*(($D$6="")+($D$6&lt;&gt;"")*( DB!D$2:D$2576=$D$6))*(($D$7="")+($D$7&lt;&gt;"")*(ISNUMBER(SEARCH($D$7,DB!G$2:G$2576))))*(($F$7="전체")+($F$7&lt;&gt;"전체")*(DB!H$2:H$2576=$F$7))),ROW()-13)-1,"")</f>
        <v/>
      </c>
      <c r="Q832" t="str" cm="1">
        <f t="array" ref="Q832">IFERROR(INDEX(DB!G$2:G$2576,P832),"")</f>
        <v/>
      </c>
      <c r="R832" t="str" cm="1">
        <f t="array" ref="R832">IFERROR(INDEX(DB!O$2:O$2576,P832),"")</f>
        <v/>
      </c>
      <c r="S832" t="str">
        <f t="shared" si="39"/>
        <v/>
      </c>
      <c r="T832" t="str">
        <f t="shared" si="40"/>
        <v/>
      </c>
    </row>
    <row r="833" spans="1:20" ht="100" customHeight="1">
      <c r="A833" s="26"/>
      <c r="B833" s="42" t="str">
        <f t="shared" si="38"/>
        <v/>
      </c>
      <c r="C833" s="43"/>
      <c r="D833" s="51" t="str" cm="1">
        <f t="array" ref="D833">IFERROR(INDEX(DB!G$2:G$2576,T833),"")</f>
        <v/>
      </c>
      <c r="E833" s="43"/>
      <c r="F833" s="52" t="str" cm="1">
        <f t="array" ref="F833">IFERROR(INDEX(DB!O$2:O$2576,T833),"")</f>
        <v/>
      </c>
      <c r="G833" s="43"/>
      <c r="H833" s="40" t="str" cm="1">
        <f t="array" ref="H833">IFERROR(INDEX(DB!P$2:P$2576,T833),"")</f>
        <v/>
      </c>
      <c r="I833" s="43"/>
      <c r="J833" s="53" t="str" cm="1">
        <f t="array" ref="J833">IFERROR(INDEX(DB!Q$2:Q$2576,T833),"")</f>
        <v/>
      </c>
      <c r="K833" s="43"/>
      <c r="L833" s="41" t="str" cm="1">
        <f t="array" ref="L833">IFERROR(INDEX(DB!R$2:R$2576,T833),"")</f>
        <v/>
      </c>
      <c r="M833" s="43"/>
      <c r="P833" t="str" cm="1">
        <f t="array" ref="P833">IFERROR(_xlfn.AGGREGATE(15,6,ROW(DB!A$2:A$2576)/((($D$3&lt;&gt;"YES")+($D$3="YES")*(DB!E$2:E$2576="YES"))*(($D$4="")+($D$4&lt;&gt;"")*( DB!B$2:B$2576=$D$4))*(($D$5="")+($D$5&lt;&gt;"")*( DB!C$2:C$2576=$D$5))*(($D$6="")+($D$6&lt;&gt;"")*( DB!D$2:D$2576=$D$6))*(($D$7="")+($D$7&lt;&gt;"")*(ISNUMBER(SEARCH($D$7,DB!G$2:G$2576))))*(($F$7="전체")+($F$7&lt;&gt;"전체")*(DB!H$2:H$2576=$F$7))),ROW()-13)-1,"")</f>
        <v/>
      </c>
      <c r="Q833" t="str" cm="1">
        <f t="array" ref="Q833">IFERROR(INDEX(DB!G$2:G$2576,P833),"")</f>
        <v/>
      </c>
      <c r="R833" t="str" cm="1">
        <f t="array" ref="R833">IFERROR(INDEX(DB!O$2:O$2576,P833),"")</f>
        <v/>
      </c>
      <c r="S833" t="str">
        <f t="shared" si="39"/>
        <v/>
      </c>
      <c r="T833" t="str">
        <f t="shared" si="40"/>
        <v/>
      </c>
    </row>
    <row r="834" spans="1:20" ht="100" customHeight="1">
      <c r="A834" s="26"/>
      <c r="B834" s="39" t="str">
        <f t="shared" si="38"/>
        <v/>
      </c>
      <c r="C834" s="43"/>
      <c r="D834" s="51" t="str" cm="1">
        <f t="array" ref="D834">IFERROR(INDEX(DB!G$2:G$2576,T834),"")</f>
        <v/>
      </c>
      <c r="E834" s="43"/>
      <c r="F834" s="52" t="str" cm="1">
        <f t="array" ref="F834">IFERROR(INDEX(DB!O$2:O$2576,T834),"")</f>
        <v/>
      </c>
      <c r="G834" s="43"/>
      <c r="H834" s="40" t="str" cm="1">
        <f t="array" ref="H834">IFERROR(INDEX(DB!P$2:P$2576,T834),"")</f>
        <v/>
      </c>
      <c r="I834" s="43"/>
      <c r="J834" s="53" t="str" cm="1">
        <f t="array" ref="J834">IFERROR(INDEX(DB!Q$2:Q$2576,T834),"")</f>
        <v/>
      </c>
      <c r="K834" s="43"/>
      <c r="L834" s="41" t="str" cm="1">
        <f t="array" ref="L834">IFERROR(INDEX(DB!R$2:R$2576,T834),"")</f>
        <v/>
      </c>
      <c r="M834" s="43"/>
      <c r="P834" t="str" cm="1">
        <f t="array" ref="P834">IFERROR(_xlfn.AGGREGATE(15,6,ROW(DB!A$2:A$2576)/((($D$3&lt;&gt;"YES")+($D$3="YES")*(DB!E$2:E$2576="YES"))*(($D$4="")+($D$4&lt;&gt;"")*( DB!B$2:B$2576=$D$4))*(($D$5="")+($D$5&lt;&gt;"")*( DB!C$2:C$2576=$D$5))*(($D$6="")+($D$6&lt;&gt;"")*( DB!D$2:D$2576=$D$6))*(($D$7="")+($D$7&lt;&gt;"")*(ISNUMBER(SEARCH($D$7,DB!G$2:G$2576))))*(($F$7="전체")+($F$7&lt;&gt;"전체")*(DB!H$2:H$2576=$F$7))),ROW()-13)-1,"")</f>
        <v/>
      </c>
      <c r="Q834" t="str" cm="1">
        <f t="array" ref="Q834">IFERROR(INDEX(DB!G$2:G$2576,P834),"")</f>
        <v/>
      </c>
      <c r="R834" t="str" cm="1">
        <f t="array" ref="R834">IFERROR(INDEX(DB!O$2:O$2576,P834),"")</f>
        <v/>
      </c>
      <c r="S834" t="str">
        <f t="shared" si="39"/>
        <v/>
      </c>
      <c r="T834" t="str">
        <f t="shared" si="40"/>
        <v/>
      </c>
    </row>
    <row r="835" spans="1:20" ht="100" customHeight="1">
      <c r="A835" s="26"/>
      <c r="B835" s="42" t="str">
        <f t="shared" si="38"/>
        <v/>
      </c>
      <c r="C835" s="43"/>
      <c r="D835" s="51" t="str" cm="1">
        <f t="array" ref="D835">IFERROR(INDEX(DB!G$2:G$2576,T835),"")</f>
        <v/>
      </c>
      <c r="E835" s="43"/>
      <c r="F835" s="52" t="str" cm="1">
        <f t="array" ref="F835">IFERROR(INDEX(DB!O$2:O$2576,T835),"")</f>
        <v/>
      </c>
      <c r="G835" s="43"/>
      <c r="H835" s="40" t="str" cm="1">
        <f t="array" ref="H835">IFERROR(INDEX(DB!P$2:P$2576,T835),"")</f>
        <v/>
      </c>
      <c r="I835" s="43"/>
      <c r="J835" s="53" t="str" cm="1">
        <f t="array" ref="J835">IFERROR(INDEX(DB!Q$2:Q$2576,T835),"")</f>
        <v/>
      </c>
      <c r="K835" s="43"/>
      <c r="L835" s="41" t="str" cm="1">
        <f t="array" ref="L835">IFERROR(INDEX(DB!R$2:R$2576,T835),"")</f>
        <v/>
      </c>
      <c r="M835" s="43"/>
      <c r="P835" t="str" cm="1">
        <f t="array" ref="P835">IFERROR(_xlfn.AGGREGATE(15,6,ROW(DB!A$2:A$2576)/((($D$3&lt;&gt;"YES")+($D$3="YES")*(DB!E$2:E$2576="YES"))*(($D$4="")+($D$4&lt;&gt;"")*( DB!B$2:B$2576=$D$4))*(($D$5="")+($D$5&lt;&gt;"")*( DB!C$2:C$2576=$D$5))*(($D$6="")+($D$6&lt;&gt;"")*( DB!D$2:D$2576=$D$6))*(($D$7="")+($D$7&lt;&gt;"")*(ISNUMBER(SEARCH($D$7,DB!G$2:G$2576))))*(($F$7="전체")+($F$7&lt;&gt;"전체")*(DB!H$2:H$2576=$F$7))),ROW()-13)-1,"")</f>
        <v/>
      </c>
      <c r="Q835" t="str" cm="1">
        <f t="array" ref="Q835">IFERROR(INDEX(DB!G$2:G$2576,P835),"")</f>
        <v/>
      </c>
      <c r="R835" t="str" cm="1">
        <f t="array" ref="R835">IFERROR(INDEX(DB!O$2:O$2576,P835),"")</f>
        <v/>
      </c>
      <c r="S835" t="str">
        <f t="shared" si="39"/>
        <v/>
      </c>
      <c r="T835" t="str">
        <f t="shared" si="40"/>
        <v/>
      </c>
    </row>
    <row r="836" spans="1:20" ht="100" customHeight="1">
      <c r="A836" s="26"/>
      <c r="B836" s="39" t="str">
        <f t="shared" si="38"/>
        <v/>
      </c>
      <c r="C836" s="43"/>
      <c r="D836" s="51" t="str" cm="1">
        <f t="array" ref="D836">IFERROR(INDEX(DB!G$2:G$2576,T836),"")</f>
        <v/>
      </c>
      <c r="E836" s="43"/>
      <c r="F836" s="52" t="str" cm="1">
        <f t="array" ref="F836">IFERROR(INDEX(DB!O$2:O$2576,T836),"")</f>
        <v/>
      </c>
      <c r="G836" s="43"/>
      <c r="H836" s="40" t="str" cm="1">
        <f t="array" ref="H836">IFERROR(INDEX(DB!P$2:P$2576,T836),"")</f>
        <v/>
      </c>
      <c r="I836" s="43"/>
      <c r="J836" s="53" t="str" cm="1">
        <f t="array" ref="J836">IFERROR(INDEX(DB!Q$2:Q$2576,T836),"")</f>
        <v/>
      </c>
      <c r="K836" s="43"/>
      <c r="L836" s="41" t="str" cm="1">
        <f t="array" ref="L836">IFERROR(INDEX(DB!R$2:R$2576,T836),"")</f>
        <v/>
      </c>
      <c r="M836" s="43"/>
      <c r="P836" t="str" cm="1">
        <f t="array" ref="P836">IFERROR(_xlfn.AGGREGATE(15,6,ROW(DB!A$2:A$2576)/((($D$3&lt;&gt;"YES")+($D$3="YES")*(DB!E$2:E$2576="YES"))*(($D$4="")+($D$4&lt;&gt;"")*( DB!B$2:B$2576=$D$4))*(($D$5="")+($D$5&lt;&gt;"")*( DB!C$2:C$2576=$D$5))*(($D$6="")+($D$6&lt;&gt;"")*( DB!D$2:D$2576=$D$6))*(($D$7="")+($D$7&lt;&gt;"")*(ISNUMBER(SEARCH($D$7,DB!G$2:G$2576))))*(($F$7="전체")+($F$7&lt;&gt;"전체")*(DB!H$2:H$2576=$F$7))),ROW()-13)-1,"")</f>
        <v/>
      </c>
      <c r="Q836" t="str" cm="1">
        <f t="array" ref="Q836">IFERROR(INDEX(DB!G$2:G$2576,P836),"")</f>
        <v/>
      </c>
      <c r="R836" t="str" cm="1">
        <f t="array" ref="R836">IFERROR(INDEX(DB!O$2:O$2576,P836),"")</f>
        <v/>
      </c>
      <c r="S836" t="str">
        <f t="shared" si="39"/>
        <v/>
      </c>
      <c r="T836" t="str">
        <f t="shared" si="40"/>
        <v/>
      </c>
    </row>
    <row r="837" spans="1:20" ht="100" customHeight="1">
      <c r="A837" s="26"/>
      <c r="B837" s="42" t="str">
        <f t="shared" si="38"/>
        <v/>
      </c>
      <c r="C837" s="43"/>
      <c r="D837" s="51" t="str" cm="1">
        <f t="array" ref="D837">IFERROR(INDEX(DB!G$2:G$2576,T837),"")</f>
        <v/>
      </c>
      <c r="E837" s="43"/>
      <c r="F837" s="52" t="str" cm="1">
        <f t="array" ref="F837">IFERROR(INDEX(DB!O$2:O$2576,T837),"")</f>
        <v/>
      </c>
      <c r="G837" s="43"/>
      <c r="H837" s="40" t="str" cm="1">
        <f t="array" ref="H837">IFERROR(INDEX(DB!P$2:P$2576,T837),"")</f>
        <v/>
      </c>
      <c r="I837" s="43"/>
      <c r="J837" s="53" t="str" cm="1">
        <f t="array" ref="J837">IFERROR(INDEX(DB!Q$2:Q$2576,T837),"")</f>
        <v/>
      </c>
      <c r="K837" s="43"/>
      <c r="L837" s="41" t="str" cm="1">
        <f t="array" ref="L837">IFERROR(INDEX(DB!R$2:R$2576,T837),"")</f>
        <v/>
      </c>
      <c r="M837" s="43"/>
      <c r="P837" t="str" cm="1">
        <f t="array" ref="P837">IFERROR(_xlfn.AGGREGATE(15,6,ROW(DB!A$2:A$2576)/((($D$3&lt;&gt;"YES")+($D$3="YES")*(DB!E$2:E$2576="YES"))*(($D$4="")+($D$4&lt;&gt;"")*( DB!B$2:B$2576=$D$4))*(($D$5="")+($D$5&lt;&gt;"")*( DB!C$2:C$2576=$D$5))*(($D$6="")+($D$6&lt;&gt;"")*( DB!D$2:D$2576=$D$6))*(($D$7="")+($D$7&lt;&gt;"")*(ISNUMBER(SEARCH($D$7,DB!G$2:G$2576))))*(($F$7="전체")+($F$7&lt;&gt;"전체")*(DB!H$2:H$2576=$F$7))),ROW()-13)-1,"")</f>
        <v/>
      </c>
      <c r="Q837" t="str" cm="1">
        <f t="array" ref="Q837">IFERROR(INDEX(DB!G$2:G$2576,P837),"")</f>
        <v/>
      </c>
      <c r="R837" t="str" cm="1">
        <f t="array" ref="R837">IFERROR(INDEX(DB!O$2:O$2576,P837),"")</f>
        <v/>
      </c>
      <c r="S837" t="str">
        <f t="shared" si="39"/>
        <v/>
      </c>
      <c r="T837" t="str">
        <f t="shared" si="40"/>
        <v/>
      </c>
    </row>
    <row r="838" spans="1:20" ht="100" customHeight="1">
      <c r="A838" s="26"/>
      <c r="B838" s="39" t="str">
        <f t="shared" si="38"/>
        <v/>
      </c>
      <c r="C838" s="43"/>
      <c r="D838" s="51" t="str" cm="1">
        <f t="array" ref="D838">IFERROR(INDEX(DB!G$2:G$2576,T838),"")</f>
        <v/>
      </c>
      <c r="E838" s="43"/>
      <c r="F838" s="52" t="str" cm="1">
        <f t="array" ref="F838">IFERROR(INDEX(DB!O$2:O$2576,T838),"")</f>
        <v/>
      </c>
      <c r="G838" s="43"/>
      <c r="H838" s="40" t="str" cm="1">
        <f t="array" ref="H838">IFERROR(INDEX(DB!P$2:P$2576,T838),"")</f>
        <v/>
      </c>
      <c r="I838" s="43"/>
      <c r="J838" s="53" t="str" cm="1">
        <f t="array" ref="J838">IFERROR(INDEX(DB!Q$2:Q$2576,T838),"")</f>
        <v/>
      </c>
      <c r="K838" s="43"/>
      <c r="L838" s="41" t="str" cm="1">
        <f t="array" ref="L838">IFERROR(INDEX(DB!R$2:R$2576,T838),"")</f>
        <v/>
      </c>
      <c r="M838" s="43"/>
      <c r="P838" t="str" cm="1">
        <f t="array" ref="P838">IFERROR(_xlfn.AGGREGATE(15,6,ROW(DB!A$2:A$2576)/((($D$3&lt;&gt;"YES")+($D$3="YES")*(DB!E$2:E$2576="YES"))*(($D$4="")+($D$4&lt;&gt;"")*( DB!B$2:B$2576=$D$4))*(($D$5="")+($D$5&lt;&gt;"")*( DB!C$2:C$2576=$D$5))*(($D$6="")+($D$6&lt;&gt;"")*( DB!D$2:D$2576=$D$6))*(($D$7="")+($D$7&lt;&gt;"")*(ISNUMBER(SEARCH($D$7,DB!G$2:G$2576))))*(($F$7="전체")+($F$7&lt;&gt;"전체")*(DB!H$2:H$2576=$F$7))),ROW()-13)-1,"")</f>
        <v/>
      </c>
      <c r="Q838" t="str" cm="1">
        <f t="array" ref="Q838">IFERROR(INDEX(DB!G$2:G$2576,P838),"")</f>
        <v/>
      </c>
      <c r="R838" t="str" cm="1">
        <f t="array" ref="R838">IFERROR(INDEX(DB!O$2:O$2576,P838),"")</f>
        <v/>
      </c>
      <c r="S838" t="str">
        <f t="shared" si="39"/>
        <v/>
      </c>
      <c r="T838" t="str">
        <f t="shared" si="40"/>
        <v/>
      </c>
    </row>
    <row r="839" spans="1:20" ht="100" customHeight="1">
      <c r="A839" s="26"/>
      <c r="B839" s="42" t="str">
        <f t="shared" si="38"/>
        <v/>
      </c>
      <c r="C839" s="43"/>
      <c r="D839" s="51" t="str" cm="1">
        <f t="array" ref="D839">IFERROR(INDEX(DB!G$2:G$2576,T839),"")</f>
        <v/>
      </c>
      <c r="E839" s="43"/>
      <c r="F839" s="52" t="str" cm="1">
        <f t="array" ref="F839">IFERROR(INDEX(DB!O$2:O$2576,T839),"")</f>
        <v/>
      </c>
      <c r="G839" s="43"/>
      <c r="H839" s="40" t="str" cm="1">
        <f t="array" ref="H839">IFERROR(INDEX(DB!P$2:P$2576,T839),"")</f>
        <v/>
      </c>
      <c r="I839" s="43"/>
      <c r="J839" s="53" t="str" cm="1">
        <f t="array" ref="J839">IFERROR(INDEX(DB!Q$2:Q$2576,T839),"")</f>
        <v/>
      </c>
      <c r="K839" s="43"/>
      <c r="L839" s="41" t="str" cm="1">
        <f t="array" ref="L839">IFERROR(INDEX(DB!R$2:R$2576,T839),"")</f>
        <v/>
      </c>
      <c r="M839" s="43"/>
      <c r="P839" t="str" cm="1">
        <f t="array" ref="P839">IFERROR(_xlfn.AGGREGATE(15,6,ROW(DB!A$2:A$2576)/((($D$3&lt;&gt;"YES")+($D$3="YES")*(DB!E$2:E$2576="YES"))*(($D$4="")+($D$4&lt;&gt;"")*( DB!B$2:B$2576=$D$4))*(($D$5="")+($D$5&lt;&gt;"")*( DB!C$2:C$2576=$D$5))*(($D$6="")+($D$6&lt;&gt;"")*( DB!D$2:D$2576=$D$6))*(($D$7="")+($D$7&lt;&gt;"")*(ISNUMBER(SEARCH($D$7,DB!G$2:G$2576))))*(($F$7="전체")+($F$7&lt;&gt;"전체")*(DB!H$2:H$2576=$F$7))),ROW()-13)-1,"")</f>
        <v/>
      </c>
      <c r="Q839" t="str" cm="1">
        <f t="array" ref="Q839">IFERROR(INDEX(DB!G$2:G$2576,P839),"")</f>
        <v/>
      </c>
      <c r="R839" t="str" cm="1">
        <f t="array" ref="R839">IFERROR(INDEX(DB!O$2:O$2576,P839),"")</f>
        <v/>
      </c>
      <c r="S839" t="str">
        <f t="shared" si="39"/>
        <v/>
      </c>
      <c r="T839" t="str">
        <f t="shared" si="40"/>
        <v/>
      </c>
    </row>
    <row r="840" spans="1:20" ht="100" customHeight="1">
      <c r="A840" s="26"/>
      <c r="B840" s="39" t="str">
        <f t="shared" si="38"/>
        <v/>
      </c>
      <c r="C840" s="43"/>
      <c r="D840" s="51" t="str" cm="1">
        <f t="array" ref="D840">IFERROR(INDEX(DB!G$2:G$2576,T840),"")</f>
        <v/>
      </c>
      <c r="E840" s="43"/>
      <c r="F840" s="52" t="str" cm="1">
        <f t="array" ref="F840">IFERROR(INDEX(DB!O$2:O$2576,T840),"")</f>
        <v/>
      </c>
      <c r="G840" s="43"/>
      <c r="H840" s="40" t="str" cm="1">
        <f t="array" ref="H840">IFERROR(INDEX(DB!P$2:P$2576,T840),"")</f>
        <v/>
      </c>
      <c r="I840" s="43"/>
      <c r="J840" s="53" t="str" cm="1">
        <f t="array" ref="J840">IFERROR(INDEX(DB!Q$2:Q$2576,T840),"")</f>
        <v/>
      </c>
      <c r="K840" s="43"/>
      <c r="L840" s="41" t="str" cm="1">
        <f t="array" ref="L840">IFERROR(INDEX(DB!R$2:R$2576,T840),"")</f>
        <v/>
      </c>
      <c r="M840" s="43"/>
      <c r="P840" t="str" cm="1">
        <f t="array" ref="P840">IFERROR(_xlfn.AGGREGATE(15,6,ROW(DB!A$2:A$2576)/((($D$3&lt;&gt;"YES")+($D$3="YES")*(DB!E$2:E$2576="YES"))*(($D$4="")+($D$4&lt;&gt;"")*( DB!B$2:B$2576=$D$4))*(($D$5="")+($D$5&lt;&gt;"")*( DB!C$2:C$2576=$D$5))*(($D$6="")+($D$6&lt;&gt;"")*( DB!D$2:D$2576=$D$6))*(($D$7="")+($D$7&lt;&gt;"")*(ISNUMBER(SEARCH($D$7,DB!G$2:G$2576))))*(($F$7="전체")+($F$7&lt;&gt;"전체")*(DB!H$2:H$2576=$F$7))),ROW()-13)-1,"")</f>
        <v/>
      </c>
      <c r="Q840" t="str" cm="1">
        <f t="array" ref="Q840">IFERROR(INDEX(DB!G$2:G$2576,P840),"")</f>
        <v/>
      </c>
      <c r="R840" t="str" cm="1">
        <f t="array" ref="R840">IFERROR(INDEX(DB!O$2:O$2576,P840),"")</f>
        <v/>
      </c>
      <c r="S840" t="str">
        <f t="shared" si="39"/>
        <v/>
      </c>
      <c r="T840" t="str">
        <f t="shared" si="40"/>
        <v/>
      </c>
    </row>
    <row r="841" spans="1:20" ht="100" customHeight="1">
      <c r="A841" s="26"/>
      <c r="B841" s="42" t="str">
        <f t="shared" si="38"/>
        <v/>
      </c>
      <c r="C841" s="43"/>
      <c r="D841" s="51" t="str" cm="1">
        <f t="array" ref="D841">IFERROR(INDEX(DB!G$2:G$2576,T841),"")</f>
        <v/>
      </c>
      <c r="E841" s="43"/>
      <c r="F841" s="52" t="str" cm="1">
        <f t="array" ref="F841">IFERROR(INDEX(DB!O$2:O$2576,T841),"")</f>
        <v/>
      </c>
      <c r="G841" s="43"/>
      <c r="H841" s="40" t="str" cm="1">
        <f t="array" ref="H841">IFERROR(INDEX(DB!P$2:P$2576,T841),"")</f>
        <v/>
      </c>
      <c r="I841" s="43"/>
      <c r="J841" s="53" t="str" cm="1">
        <f t="array" ref="J841">IFERROR(INDEX(DB!Q$2:Q$2576,T841),"")</f>
        <v/>
      </c>
      <c r="K841" s="43"/>
      <c r="L841" s="41" t="str" cm="1">
        <f t="array" ref="L841">IFERROR(INDEX(DB!R$2:R$2576,T841),"")</f>
        <v/>
      </c>
      <c r="M841" s="43"/>
      <c r="P841" t="str" cm="1">
        <f t="array" ref="P841">IFERROR(_xlfn.AGGREGATE(15,6,ROW(DB!A$2:A$2576)/((($D$3&lt;&gt;"YES")+($D$3="YES")*(DB!E$2:E$2576="YES"))*(($D$4="")+($D$4&lt;&gt;"")*( DB!B$2:B$2576=$D$4))*(($D$5="")+($D$5&lt;&gt;"")*( DB!C$2:C$2576=$D$5))*(($D$6="")+($D$6&lt;&gt;"")*( DB!D$2:D$2576=$D$6))*(($D$7="")+($D$7&lt;&gt;"")*(ISNUMBER(SEARCH($D$7,DB!G$2:G$2576))))*(($F$7="전체")+($F$7&lt;&gt;"전체")*(DB!H$2:H$2576=$F$7))),ROW()-13)-1,"")</f>
        <v/>
      </c>
      <c r="Q841" t="str" cm="1">
        <f t="array" ref="Q841">IFERROR(INDEX(DB!G$2:G$2576,P841),"")</f>
        <v/>
      </c>
      <c r="R841" t="str" cm="1">
        <f t="array" ref="R841">IFERROR(INDEX(DB!O$2:O$2576,P841),"")</f>
        <v/>
      </c>
      <c r="S841" t="str">
        <f t="shared" si="39"/>
        <v/>
      </c>
      <c r="T841" t="str">
        <f t="shared" si="40"/>
        <v/>
      </c>
    </row>
    <row r="842" spans="1:20" ht="100" customHeight="1">
      <c r="A842" s="26"/>
      <c r="B842" s="39" t="str">
        <f t="shared" si="38"/>
        <v/>
      </c>
      <c r="C842" s="43"/>
      <c r="D842" s="51" t="str" cm="1">
        <f t="array" ref="D842">IFERROR(INDEX(DB!G$2:G$2576,T842),"")</f>
        <v/>
      </c>
      <c r="E842" s="43"/>
      <c r="F842" s="52" t="str" cm="1">
        <f t="array" ref="F842">IFERROR(INDEX(DB!O$2:O$2576,T842),"")</f>
        <v/>
      </c>
      <c r="G842" s="43"/>
      <c r="H842" s="40" t="str" cm="1">
        <f t="array" ref="H842">IFERROR(INDEX(DB!P$2:P$2576,T842),"")</f>
        <v/>
      </c>
      <c r="I842" s="43"/>
      <c r="J842" s="53" t="str" cm="1">
        <f t="array" ref="J842">IFERROR(INDEX(DB!Q$2:Q$2576,T842),"")</f>
        <v/>
      </c>
      <c r="K842" s="43"/>
      <c r="L842" s="41" t="str" cm="1">
        <f t="array" ref="L842">IFERROR(INDEX(DB!R$2:R$2576,T842),"")</f>
        <v/>
      </c>
      <c r="M842" s="43"/>
      <c r="P842" t="str" cm="1">
        <f t="array" ref="P842">IFERROR(_xlfn.AGGREGATE(15,6,ROW(DB!A$2:A$2576)/((($D$3&lt;&gt;"YES")+($D$3="YES")*(DB!E$2:E$2576="YES"))*(($D$4="")+($D$4&lt;&gt;"")*( DB!B$2:B$2576=$D$4))*(($D$5="")+($D$5&lt;&gt;"")*( DB!C$2:C$2576=$D$5))*(($D$6="")+($D$6&lt;&gt;"")*( DB!D$2:D$2576=$D$6))*(($D$7="")+($D$7&lt;&gt;"")*(ISNUMBER(SEARCH($D$7,DB!G$2:G$2576))))*(($F$7="전체")+($F$7&lt;&gt;"전체")*(DB!H$2:H$2576=$F$7))),ROW()-13)-1,"")</f>
        <v/>
      </c>
      <c r="Q842" t="str" cm="1">
        <f t="array" ref="Q842">IFERROR(INDEX(DB!G$2:G$2576,P842),"")</f>
        <v/>
      </c>
      <c r="R842" t="str" cm="1">
        <f t="array" ref="R842">IFERROR(INDEX(DB!O$2:O$2576,P842),"")</f>
        <v/>
      </c>
      <c r="S842" t="str">
        <f t="shared" si="39"/>
        <v/>
      </c>
      <c r="T842" t="str">
        <f t="shared" si="40"/>
        <v/>
      </c>
    </row>
    <row r="843" spans="1:20" ht="100" customHeight="1">
      <c r="A843" s="26"/>
      <c r="B843" s="42" t="str">
        <f t="shared" si="38"/>
        <v/>
      </c>
      <c r="C843" s="43"/>
      <c r="D843" s="51" t="str" cm="1">
        <f t="array" ref="D843">IFERROR(INDEX(DB!G$2:G$2576,T843),"")</f>
        <v/>
      </c>
      <c r="E843" s="43"/>
      <c r="F843" s="52" t="str" cm="1">
        <f t="array" ref="F843">IFERROR(INDEX(DB!O$2:O$2576,T843),"")</f>
        <v/>
      </c>
      <c r="G843" s="43"/>
      <c r="H843" s="40" t="str" cm="1">
        <f t="array" ref="H843">IFERROR(INDEX(DB!P$2:P$2576,T843),"")</f>
        <v/>
      </c>
      <c r="I843" s="43"/>
      <c r="J843" s="53" t="str" cm="1">
        <f t="array" ref="J843">IFERROR(INDEX(DB!Q$2:Q$2576,T843),"")</f>
        <v/>
      </c>
      <c r="K843" s="43"/>
      <c r="L843" s="41" t="str" cm="1">
        <f t="array" ref="L843">IFERROR(INDEX(DB!R$2:R$2576,T843),"")</f>
        <v/>
      </c>
      <c r="M843" s="43"/>
      <c r="P843" t="str" cm="1">
        <f t="array" ref="P843">IFERROR(_xlfn.AGGREGATE(15,6,ROW(DB!A$2:A$2576)/((($D$3&lt;&gt;"YES")+($D$3="YES")*(DB!E$2:E$2576="YES"))*(($D$4="")+($D$4&lt;&gt;"")*( DB!B$2:B$2576=$D$4))*(($D$5="")+($D$5&lt;&gt;"")*( DB!C$2:C$2576=$D$5))*(($D$6="")+($D$6&lt;&gt;"")*( DB!D$2:D$2576=$D$6))*(($D$7="")+($D$7&lt;&gt;"")*(ISNUMBER(SEARCH($D$7,DB!G$2:G$2576))))*(($F$7="전체")+($F$7&lt;&gt;"전체")*(DB!H$2:H$2576=$F$7))),ROW()-13)-1,"")</f>
        <v/>
      </c>
      <c r="Q843" t="str" cm="1">
        <f t="array" ref="Q843">IFERROR(INDEX(DB!G$2:G$2576,P843),"")</f>
        <v/>
      </c>
      <c r="R843" t="str" cm="1">
        <f t="array" ref="R843">IFERROR(INDEX(DB!O$2:O$2576,P843),"")</f>
        <v/>
      </c>
      <c r="S843" t="str">
        <f t="shared" si="39"/>
        <v/>
      </c>
      <c r="T843" t="str">
        <f t="shared" si="40"/>
        <v/>
      </c>
    </row>
    <row r="844" spans="1:20" ht="100" customHeight="1">
      <c r="A844" s="26"/>
      <c r="B844" s="39" t="str">
        <f t="shared" si="38"/>
        <v/>
      </c>
      <c r="C844" s="43"/>
      <c r="D844" s="51" t="str" cm="1">
        <f t="array" ref="D844">IFERROR(INDEX(DB!G$2:G$2576,T844),"")</f>
        <v/>
      </c>
      <c r="E844" s="43"/>
      <c r="F844" s="52" t="str" cm="1">
        <f t="array" ref="F844">IFERROR(INDEX(DB!O$2:O$2576,T844),"")</f>
        <v/>
      </c>
      <c r="G844" s="43"/>
      <c r="H844" s="40" t="str" cm="1">
        <f t="array" ref="H844">IFERROR(INDEX(DB!P$2:P$2576,T844),"")</f>
        <v/>
      </c>
      <c r="I844" s="43"/>
      <c r="J844" s="53" t="str" cm="1">
        <f t="array" ref="J844">IFERROR(INDEX(DB!Q$2:Q$2576,T844),"")</f>
        <v/>
      </c>
      <c r="K844" s="43"/>
      <c r="L844" s="41" t="str" cm="1">
        <f t="array" ref="L844">IFERROR(INDEX(DB!R$2:R$2576,T844),"")</f>
        <v/>
      </c>
      <c r="M844" s="43"/>
      <c r="P844" t="str" cm="1">
        <f t="array" ref="P844">IFERROR(_xlfn.AGGREGATE(15,6,ROW(DB!A$2:A$2576)/((($D$3&lt;&gt;"YES")+($D$3="YES")*(DB!E$2:E$2576="YES"))*(($D$4="")+($D$4&lt;&gt;"")*( DB!B$2:B$2576=$D$4))*(($D$5="")+($D$5&lt;&gt;"")*( DB!C$2:C$2576=$D$5))*(($D$6="")+($D$6&lt;&gt;"")*( DB!D$2:D$2576=$D$6))*(($D$7="")+($D$7&lt;&gt;"")*(ISNUMBER(SEARCH($D$7,DB!G$2:G$2576))))*(($F$7="전체")+($F$7&lt;&gt;"전체")*(DB!H$2:H$2576=$F$7))),ROW()-13)-1,"")</f>
        <v/>
      </c>
      <c r="Q844" t="str" cm="1">
        <f t="array" ref="Q844">IFERROR(INDEX(DB!G$2:G$2576,P844),"")</f>
        <v/>
      </c>
      <c r="R844" t="str" cm="1">
        <f t="array" ref="R844">IFERROR(INDEX(DB!O$2:O$2576,P844),"")</f>
        <v/>
      </c>
      <c r="S844" t="str">
        <f t="shared" si="39"/>
        <v/>
      </c>
      <c r="T844" t="str">
        <f t="shared" si="40"/>
        <v/>
      </c>
    </row>
    <row r="845" spans="1:20" ht="100" customHeight="1">
      <c r="A845" s="26"/>
      <c r="B845" s="42" t="str">
        <f t="shared" si="38"/>
        <v/>
      </c>
      <c r="C845" s="43"/>
      <c r="D845" s="51" t="str" cm="1">
        <f t="array" ref="D845">IFERROR(INDEX(DB!G$2:G$2576,T845),"")</f>
        <v/>
      </c>
      <c r="E845" s="43"/>
      <c r="F845" s="52" t="str" cm="1">
        <f t="array" ref="F845">IFERROR(INDEX(DB!O$2:O$2576,T845),"")</f>
        <v/>
      </c>
      <c r="G845" s="43"/>
      <c r="H845" s="40" t="str" cm="1">
        <f t="array" ref="H845">IFERROR(INDEX(DB!P$2:P$2576,T845),"")</f>
        <v/>
      </c>
      <c r="I845" s="43"/>
      <c r="J845" s="53" t="str" cm="1">
        <f t="array" ref="J845">IFERROR(INDEX(DB!Q$2:Q$2576,T845),"")</f>
        <v/>
      </c>
      <c r="K845" s="43"/>
      <c r="L845" s="41" t="str" cm="1">
        <f t="array" ref="L845">IFERROR(INDEX(DB!R$2:R$2576,T845),"")</f>
        <v/>
      </c>
      <c r="M845" s="43"/>
      <c r="P845" t="str" cm="1">
        <f t="array" ref="P845">IFERROR(_xlfn.AGGREGATE(15,6,ROW(DB!A$2:A$2576)/((($D$3&lt;&gt;"YES")+($D$3="YES")*(DB!E$2:E$2576="YES"))*(($D$4="")+($D$4&lt;&gt;"")*( DB!B$2:B$2576=$D$4))*(($D$5="")+($D$5&lt;&gt;"")*( DB!C$2:C$2576=$D$5))*(($D$6="")+($D$6&lt;&gt;"")*( DB!D$2:D$2576=$D$6))*(($D$7="")+($D$7&lt;&gt;"")*(ISNUMBER(SEARCH($D$7,DB!G$2:G$2576))))*(($F$7="전체")+($F$7&lt;&gt;"전체")*(DB!H$2:H$2576=$F$7))),ROW()-13)-1,"")</f>
        <v/>
      </c>
      <c r="Q845" t="str" cm="1">
        <f t="array" ref="Q845">IFERROR(INDEX(DB!G$2:G$2576,P845),"")</f>
        <v/>
      </c>
      <c r="R845" t="str" cm="1">
        <f t="array" ref="R845">IFERROR(INDEX(DB!O$2:O$2576,P845),"")</f>
        <v/>
      </c>
      <c r="S845" t="str">
        <f t="shared" si="39"/>
        <v/>
      </c>
      <c r="T845" t="str">
        <f t="shared" si="40"/>
        <v/>
      </c>
    </row>
    <row r="846" spans="1:20" ht="100" customHeight="1">
      <c r="A846" s="26"/>
      <c r="B846" s="39" t="str">
        <f t="shared" si="38"/>
        <v/>
      </c>
      <c r="C846" s="43"/>
      <c r="D846" s="51" t="str" cm="1">
        <f t="array" ref="D846">IFERROR(INDEX(DB!G$2:G$2576,T846),"")</f>
        <v/>
      </c>
      <c r="E846" s="43"/>
      <c r="F846" s="52" t="str" cm="1">
        <f t="array" ref="F846">IFERROR(INDEX(DB!O$2:O$2576,T846),"")</f>
        <v/>
      </c>
      <c r="G846" s="43"/>
      <c r="H846" s="40" t="str" cm="1">
        <f t="array" ref="H846">IFERROR(INDEX(DB!P$2:P$2576,T846),"")</f>
        <v/>
      </c>
      <c r="I846" s="43"/>
      <c r="J846" s="53" t="str" cm="1">
        <f t="array" ref="J846">IFERROR(INDEX(DB!Q$2:Q$2576,T846),"")</f>
        <v/>
      </c>
      <c r="K846" s="43"/>
      <c r="L846" s="41" t="str" cm="1">
        <f t="array" ref="L846">IFERROR(INDEX(DB!R$2:R$2576,T846),"")</f>
        <v/>
      </c>
      <c r="M846" s="43"/>
      <c r="P846" t="str" cm="1">
        <f t="array" ref="P846">IFERROR(_xlfn.AGGREGATE(15,6,ROW(DB!A$2:A$2576)/((($D$3&lt;&gt;"YES")+($D$3="YES")*(DB!E$2:E$2576="YES"))*(($D$4="")+($D$4&lt;&gt;"")*( DB!B$2:B$2576=$D$4))*(($D$5="")+($D$5&lt;&gt;"")*( DB!C$2:C$2576=$D$5))*(($D$6="")+($D$6&lt;&gt;"")*( DB!D$2:D$2576=$D$6))*(($D$7="")+($D$7&lt;&gt;"")*(ISNUMBER(SEARCH($D$7,DB!G$2:G$2576))))*(($F$7="전체")+($F$7&lt;&gt;"전체")*(DB!H$2:H$2576=$F$7))),ROW()-13)-1,"")</f>
        <v/>
      </c>
      <c r="Q846" t="str" cm="1">
        <f t="array" ref="Q846">IFERROR(INDEX(DB!G$2:G$2576,P846),"")</f>
        <v/>
      </c>
      <c r="R846" t="str" cm="1">
        <f t="array" ref="R846">IFERROR(INDEX(DB!O$2:O$2576,P846),"")</f>
        <v/>
      </c>
      <c r="S846" t="str">
        <f t="shared" si="39"/>
        <v/>
      </c>
      <c r="T846" t="str">
        <f t="shared" si="40"/>
        <v/>
      </c>
    </row>
    <row r="847" spans="1:20" ht="100" customHeight="1">
      <c r="A847" s="26"/>
      <c r="B847" s="42" t="str">
        <f t="shared" ref="B847:B910" si="41">IFERROR(IF(T847="","",ROW()-13),"")</f>
        <v/>
      </c>
      <c r="C847" s="43"/>
      <c r="D847" s="51" t="str" cm="1">
        <f t="array" ref="D847">IFERROR(INDEX(DB!G$2:G$2576,T847),"")</f>
        <v/>
      </c>
      <c r="E847" s="43"/>
      <c r="F847" s="52" t="str" cm="1">
        <f t="array" ref="F847">IFERROR(INDEX(DB!O$2:O$2576,T847),"")</f>
        <v/>
      </c>
      <c r="G847" s="43"/>
      <c r="H847" s="40" t="str" cm="1">
        <f t="array" ref="H847">IFERROR(INDEX(DB!P$2:P$2576,T847),"")</f>
        <v/>
      </c>
      <c r="I847" s="43"/>
      <c r="J847" s="53" t="str" cm="1">
        <f t="array" ref="J847">IFERROR(INDEX(DB!Q$2:Q$2576,T847),"")</f>
        <v/>
      </c>
      <c r="K847" s="43"/>
      <c r="L847" s="41" t="str" cm="1">
        <f t="array" ref="L847">IFERROR(INDEX(DB!R$2:R$2576,T847),"")</f>
        <v/>
      </c>
      <c r="M847" s="43"/>
      <c r="P847" t="str" cm="1">
        <f t="array" ref="P847">IFERROR(_xlfn.AGGREGATE(15,6,ROW(DB!A$2:A$2576)/((($D$3&lt;&gt;"YES")+($D$3="YES")*(DB!E$2:E$2576="YES"))*(($D$4="")+($D$4&lt;&gt;"")*( DB!B$2:B$2576=$D$4))*(($D$5="")+($D$5&lt;&gt;"")*( DB!C$2:C$2576=$D$5))*(($D$6="")+($D$6&lt;&gt;"")*( DB!D$2:D$2576=$D$6))*(($D$7="")+($D$7&lt;&gt;"")*(ISNUMBER(SEARCH($D$7,DB!G$2:G$2576))))*(($F$7="전체")+($F$7&lt;&gt;"전체")*(DB!H$2:H$2576=$F$7))),ROW()-13)-1,"")</f>
        <v/>
      </c>
      <c r="Q847" t="str" cm="1">
        <f t="array" ref="Q847">IFERROR(INDEX(DB!G$2:G$2576,P847),"")</f>
        <v/>
      </c>
      <c r="R847" t="str" cm="1">
        <f t="array" ref="R847">IFERROR(INDEX(DB!O$2:O$2576,P847),"")</f>
        <v/>
      </c>
      <c r="S847" t="str">
        <f t="shared" ref="S847:S910" si="42">IF(P847="","",COUNTIF($Q$14:$Q$2587,"&lt;"&amp;Q847)*100+COUNTIF($R$14:$R$2587,"&lt;"&amp;R847)+(ROW()-13)*0.001)</f>
        <v/>
      </c>
      <c r="T847" t="str">
        <f t="shared" ref="T847:T910" si="43">IFERROR(INDEX($P$14:$P$2587,MATCH(SMALL($S$14:$S$2587,ROW()-13),$S$14:$S$2587,0)),"")</f>
        <v/>
      </c>
    </row>
    <row r="848" spans="1:20" ht="100" customHeight="1">
      <c r="A848" s="26"/>
      <c r="B848" s="39" t="str">
        <f t="shared" si="41"/>
        <v/>
      </c>
      <c r="C848" s="43"/>
      <c r="D848" s="51" t="str" cm="1">
        <f t="array" ref="D848">IFERROR(INDEX(DB!G$2:G$2576,T848),"")</f>
        <v/>
      </c>
      <c r="E848" s="43"/>
      <c r="F848" s="52" t="str" cm="1">
        <f t="array" ref="F848">IFERROR(INDEX(DB!O$2:O$2576,T848),"")</f>
        <v/>
      </c>
      <c r="G848" s="43"/>
      <c r="H848" s="40" t="str" cm="1">
        <f t="array" ref="H848">IFERROR(INDEX(DB!P$2:P$2576,T848),"")</f>
        <v/>
      </c>
      <c r="I848" s="43"/>
      <c r="J848" s="53" t="str" cm="1">
        <f t="array" ref="J848">IFERROR(INDEX(DB!Q$2:Q$2576,T848),"")</f>
        <v/>
      </c>
      <c r="K848" s="43"/>
      <c r="L848" s="41" t="str" cm="1">
        <f t="array" ref="L848">IFERROR(INDEX(DB!R$2:R$2576,T848),"")</f>
        <v/>
      </c>
      <c r="M848" s="43"/>
      <c r="P848" t="str" cm="1">
        <f t="array" ref="P848">IFERROR(_xlfn.AGGREGATE(15,6,ROW(DB!A$2:A$2576)/((($D$3&lt;&gt;"YES")+($D$3="YES")*(DB!E$2:E$2576="YES"))*(($D$4="")+($D$4&lt;&gt;"")*( DB!B$2:B$2576=$D$4))*(($D$5="")+($D$5&lt;&gt;"")*( DB!C$2:C$2576=$D$5))*(($D$6="")+($D$6&lt;&gt;"")*( DB!D$2:D$2576=$D$6))*(($D$7="")+($D$7&lt;&gt;"")*(ISNUMBER(SEARCH($D$7,DB!G$2:G$2576))))*(($F$7="전체")+($F$7&lt;&gt;"전체")*(DB!H$2:H$2576=$F$7))),ROW()-13)-1,"")</f>
        <v/>
      </c>
      <c r="Q848" t="str" cm="1">
        <f t="array" ref="Q848">IFERROR(INDEX(DB!G$2:G$2576,P848),"")</f>
        <v/>
      </c>
      <c r="R848" t="str" cm="1">
        <f t="array" ref="R848">IFERROR(INDEX(DB!O$2:O$2576,P848),"")</f>
        <v/>
      </c>
      <c r="S848" t="str">
        <f t="shared" si="42"/>
        <v/>
      </c>
      <c r="T848" t="str">
        <f t="shared" si="43"/>
        <v/>
      </c>
    </row>
    <row r="849" spans="1:20" ht="100" customHeight="1">
      <c r="A849" s="26"/>
      <c r="B849" s="42" t="str">
        <f t="shared" si="41"/>
        <v/>
      </c>
      <c r="C849" s="43"/>
      <c r="D849" s="51" t="str" cm="1">
        <f t="array" ref="D849">IFERROR(INDEX(DB!G$2:G$2576,T849),"")</f>
        <v/>
      </c>
      <c r="E849" s="43"/>
      <c r="F849" s="52" t="str" cm="1">
        <f t="array" ref="F849">IFERROR(INDEX(DB!O$2:O$2576,T849),"")</f>
        <v/>
      </c>
      <c r="G849" s="43"/>
      <c r="H849" s="40" t="str" cm="1">
        <f t="array" ref="H849">IFERROR(INDEX(DB!P$2:P$2576,T849),"")</f>
        <v/>
      </c>
      <c r="I849" s="43"/>
      <c r="J849" s="53" t="str" cm="1">
        <f t="array" ref="J849">IFERROR(INDEX(DB!Q$2:Q$2576,T849),"")</f>
        <v/>
      </c>
      <c r="K849" s="43"/>
      <c r="L849" s="41" t="str" cm="1">
        <f t="array" ref="L849">IFERROR(INDEX(DB!R$2:R$2576,T849),"")</f>
        <v/>
      </c>
      <c r="M849" s="43"/>
      <c r="P849" t="str" cm="1">
        <f t="array" ref="P849">IFERROR(_xlfn.AGGREGATE(15,6,ROW(DB!A$2:A$2576)/((($D$3&lt;&gt;"YES")+($D$3="YES")*(DB!E$2:E$2576="YES"))*(($D$4="")+($D$4&lt;&gt;"")*( DB!B$2:B$2576=$D$4))*(($D$5="")+($D$5&lt;&gt;"")*( DB!C$2:C$2576=$D$5))*(($D$6="")+($D$6&lt;&gt;"")*( DB!D$2:D$2576=$D$6))*(($D$7="")+($D$7&lt;&gt;"")*(ISNUMBER(SEARCH($D$7,DB!G$2:G$2576))))*(($F$7="전체")+($F$7&lt;&gt;"전체")*(DB!H$2:H$2576=$F$7))),ROW()-13)-1,"")</f>
        <v/>
      </c>
      <c r="Q849" t="str" cm="1">
        <f t="array" ref="Q849">IFERROR(INDEX(DB!G$2:G$2576,P849),"")</f>
        <v/>
      </c>
      <c r="R849" t="str" cm="1">
        <f t="array" ref="R849">IFERROR(INDEX(DB!O$2:O$2576,P849),"")</f>
        <v/>
      </c>
      <c r="S849" t="str">
        <f t="shared" si="42"/>
        <v/>
      </c>
      <c r="T849" t="str">
        <f t="shared" si="43"/>
        <v/>
      </c>
    </row>
    <row r="850" spans="1:20" ht="100" customHeight="1">
      <c r="A850" s="26"/>
      <c r="B850" s="39" t="str">
        <f t="shared" si="41"/>
        <v/>
      </c>
      <c r="C850" s="43"/>
      <c r="D850" s="51" t="str" cm="1">
        <f t="array" ref="D850">IFERROR(INDEX(DB!G$2:G$2576,T850),"")</f>
        <v/>
      </c>
      <c r="E850" s="43"/>
      <c r="F850" s="52" t="str" cm="1">
        <f t="array" ref="F850">IFERROR(INDEX(DB!O$2:O$2576,T850),"")</f>
        <v/>
      </c>
      <c r="G850" s="43"/>
      <c r="H850" s="40" t="str" cm="1">
        <f t="array" ref="H850">IFERROR(INDEX(DB!P$2:P$2576,T850),"")</f>
        <v/>
      </c>
      <c r="I850" s="43"/>
      <c r="J850" s="53" t="str" cm="1">
        <f t="array" ref="J850">IFERROR(INDEX(DB!Q$2:Q$2576,T850),"")</f>
        <v/>
      </c>
      <c r="K850" s="43"/>
      <c r="L850" s="41" t="str" cm="1">
        <f t="array" ref="L850">IFERROR(INDEX(DB!R$2:R$2576,T850),"")</f>
        <v/>
      </c>
      <c r="M850" s="43"/>
      <c r="P850" t="str" cm="1">
        <f t="array" ref="P850">IFERROR(_xlfn.AGGREGATE(15,6,ROW(DB!A$2:A$2576)/((($D$3&lt;&gt;"YES")+($D$3="YES")*(DB!E$2:E$2576="YES"))*(($D$4="")+($D$4&lt;&gt;"")*( DB!B$2:B$2576=$D$4))*(($D$5="")+($D$5&lt;&gt;"")*( DB!C$2:C$2576=$D$5))*(($D$6="")+($D$6&lt;&gt;"")*( DB!D$2:D$2576=$D$6))*(($D$7="")+($D$7&lt;&gt;"")*(ISNUMBER(SEARCH($D$7,DB!G$2:G$2576))))*(($F$7="전체")+($F$7&lt;&gt;"전체")*(DB!H$2:H$2576=$F$7))),ROW()-13)-1,"")</f>
        <v/>
      </c>
      <c r="Q850" t="str" cm="1">
        <f t="array" ref="Q850">IFERROR(INDEX(DB!G$2:G$2576,P850),"")</f>
        <v/>
      </c>
      <c r="R850" t="str" cm="1">
        <f t="array" ref="R850">IFERROR(INDEX(DB!O$2:O$2576,P850),"")</f>
        <v/>
      </c>
      <c r="S850" t="str">
        <f t="shared" si="42"/>
        <v/>
      </c>
      <c r="T850" t="str">
        <f t="shared" si="43"/>
        <v/>
      </c>
    </row>
    <row r="851" spans="1:20" ht="100" customHeight="1">
      <c r="A851" s="26"/>
      <c r="B851" s="42" t="str">
        <f t="shared" si="41"/>
        <v/>
      </c>
      <c r="C851" s="43"/>
      <c r="D851" s="51" t="str" cm="1">
        <f t="array" ref="D851">IFERROR(INDEX(DB!G$2:G$2576,T851),"")</f>
        <v/>
      </c>
      <c r="E851" s="43"/>
      <c r="F851" s="52" t="str" cm="1">
        <f t="array" ref="F851">IFERROR(INDEX(DB!O$2:O$2576,T851),"")</f>
        <v/>
      </c>
      <c r="G851" s="43"/>
      <c r="H851" s="40" t="str" cm="1">
        <f t="array" ref="H851">IFERROR(INDEX(DB!P$2:P$2576,T851),"")</f>
        <v/>
      </c>
      <c r="I851" s="43"/>
      <c r="J851" s="53" t="str" cm="1">
        <f t="array" ref="J851">IFERROR(INDEX(DB!Q$2:Q$2576,T851),"")</f>
        <v/>
      </c>
      <c r="K851" s="43"/>
      <c r="L851" s="41" t="str" cm="1">
        <f t="array" ref="L851">IFERROR(INDEX(DB!R$2:R$2576,T851),"")</f>
        <v/>
      </c>
      <c r="M851" s="43"/>
      <c r="P851" t="str" cm="1">
        <f t="array" ref="P851">IFERROR(_xlfn.AGGREGATE(15,6,ROW(DB!A$2:A$2576)/((($D$3&lt;&gt;"YES")+($D$3="YES")*(DB!E$2:E$2576="YES"))*(($D$4="")+($D$4&lt;&gt;"")*( DB!B$2:B$2576=$D$4))*(($D$5="")+($D$5&lt;&gt;"")*( DB!C$2:C$2576=$D$5))*(($D$6="")+($D$6&lt;&gt;"")*( DB!D$2:D$2576=$D$6))*(($D$7="")+($D$7&lt;&gt;"")*(ISNUMBER(SEARCH($D$7,DB!G$2:G$2576))))*(($F$7="전체")+($F$7&lt;&gt;"전체")*(DB!H$2:H$2576=$F$7))),ROW()-13)-1,"")</f>
        <v/>
      </c>
      <c r="Q851" t="str" cm="1">
        <f t="array" ref="Q851">IFERROR(INDEX(DB!G$2:G$2576,P851),"")</f>
        <v/>
      </c>
      <c r="R851" t="str" cm="1">
        <f t="array" ref="R851">IFERROR(INDEX(DB!O$2:O$2576,P851),"")</f>
        <v/>
      </c>
      <c r="S851" t="str">
        <f t="shared" si="42"/>
        <v/>
      </c>
      <c r="T851" t="str">
        <f t="shared" si="43"/>
        <v/>
      </c>
    </row>
    <row r="852" spans="1:20" ht="100" customHeight="1">
      <c r="A852" s="26"/>
      <c r="B852" s="39" t="str">
        <f t="shared" si="41"/>
        <v/>
      </c>
      <c r="C852" s="43"/>
      <c r="D852" s="51" t="str" cm="1">
        <f t="array" ref="D852">IFERROR(INDEX(DB!G$2:G$2576,T852),"")</f>
        <v/>
      </c>
      <c r="E852" s="43"/>
      <c r="F852" s="52" t="str" cm="1">
        <f t="array" ref="F852">IFERROR(INDEX(DB!O$2:O$2576,T852),"")</f>
        <v/>
      </c>
      <c r="G852" s="43"/>
      <c r="H852" s="40" t="str" cm="1">
        <f t="array" ref="H852">IFERROR(INDEX(DB!P$2:P$2576,T852),"")</f>
        <v/>
      </c>
      <c r="I852" s="43"/>
      <c r="J852" s="53" t="str" cm="1">
        <f t="array" ref="J852">IFERROR(INDEX(DB!Q$2:Q$2576,T852),"")</f>
        <v/>
      </c>
      <c r="K852" s="43"/>
      <c r="L852" s="41" t="str" cm="1">
        <f t="array" ref="L852">IFERROR(INDEX(DB!R$2:R$2576,T852),"")</f>
        <v/>
      </c>
      <c r="M852" s="43"/>
      <c r="P852" t="str" cm="1">
        <f t="array" ref="P852">IFERROR(_xlfn.AGGREGATE(15,6,ROW(DB!A$2:A$2576)/((($D$3&lt;&gt;"YES")+($D$3="YES")*(DB!E$2:E$2576="YES"))*(($D$4="")+($D$4&lt;&gt;"")*( DB!B$2:B$2576=$D$4))*(($D$5="")+($D$5&lt;&gt;"")*( DB!C$2:C$2576=$D$5))*(($D$6="")+($D$6&lt;&gt;"")*( DB!D$2:D$2576=$D$6))*(($D$7="")+($D$7&lt;&gt;"")*(ISNUMBER(SEARCH($D$7,DB!G$2:G$2576))))*(($F$7="전체")+($F$7&lt;&gt;"전체")*(DB!H$2:H$2576=$F$7))),ROW()-13)-1,"")</f>
        <v/>
      </c>
      <c r="Q852" t="str" cm="1">
        <f t="array" ref="Q852">IFERROR(INDEX(DB!G$2:G$2576,P852),"")</f>
        <v/>
      </c>
      <c r="R852" t="str" cm="1">
        <f t="array" ref="R852">IFERROR(INDEX(DB!O$2:O$2576,P852),"")</f>
        <v/>
      </c>
      <c r="S852" t="str">
        <f t="shared" si="42"/>
        <v/>
      </c>
      <c r="T852" t="str">
        <f t="shared" si="43"/>
        <v/>
      </c>
    </row>
    <row r="853" spans="1:20" ht="100" customHeight="1">
      <c r="A853" s="26"/>
      <c r="B853" s="42" t="str">
        <f t="shared" si="41"/>
        <v/>
      </c>
      <c r="C853" s="43"/>
      <c r="D853" s="51" t="str" cm="1">
        <f t="array" ref="D853">IFERROR(INDEX(DB!G$2:G$2576,T853),"")</f>
        <v/>
      </c>
      <c r="E853" s="43"/>
      <c r="F853" s="52" t="str" cm="1">
        <f t="array" ref="F853">IFERROR(INDEX(DB!O$2:O$2576,T853),"")</f>
        <v/>
      </c>
      <c r="G853" s="43"/>
      <c r="H853" s="40" t="str" cm="1">
        <f t="array" ref="H853">IFERROR(INDEX(DB!P$2:P$2576,T853),"")</f>
        <v/>
      </c>
      <c r="I853" s="43"/>
      <c r="J853" s="53" t="str" cm="1">
        <f t="array" ref="J853">IFERROR(INDEX(DB!Q$2:Q$2576,T853),"")</f>
        <v/>
      </c>
      <c r="K853" s="43"/>
      <c r="L853" s="41" t="str" cm="1">
        <f t="array" ref="L853">IFERROR(INDEX(DB!R$2:R$2576,T853),"")</f>
        <v/>
      </c>
      <c r="M853" s="43"/>
      <c r="P853" t="str" cm="1">
        <f t="array" ref="P853">IFERROR(_xlfn.AGGREGATE(15,6,ROW(DB!A$2:A$2576)/((($D$3&lt;&gt;"YES")+($D$3="YES")*(DB!E$2:E$2576="YES"))*(($D$4="")+($D$4&lt;&gt;"")*( DB!B$2:B$2576=$D$4))*(($D$5="")+($D$5&lt;&gt;"")*( DB!C$2:C$2576=$D$5))*(($D$6="")+($D$6&lt;&gt;"")*( DB!D$2:D$2576=$D$6))*(($D$7="")+($D$7&lt;&gt;"")*(ISNUMBER(SEARCH($D$7,DB!G$2:G$2576))))*(($F$7="전체")+($F$7&lt;&gt;"전체")*(DB!H$2:H$2576=$F$7))),ROW()-13)-1,"")</f>
        <v/>
      </c>
      <c r="Q853" t="str" cm="1">
        <f t="array" ref="Q853">IFERROR(INDEX(DB!G$2:G$2576,P853),"")</f>
        <v/>
      </c>
      <c r="R853" t="str" cm="1">
        <f t="array" ref="R853">IFERROR(INDEX(DB!O$2:O$2576,P853),"")</f>
        <v/>
      </c>
      <c r="S853" t="str">
        <f t="shared" si="42"/>
        <v/>
      </c>
      <c r="T853" t="str">
        <f t="shared" si="43"/>
        <v/>
      </c>
    </row>
    <row r="854" spans="1:20" ht="100" customHeight="1">
      <c r="A854" s="26"/>
      <c r="B854" s="39" t="str">
        <f t="shared" si="41"/>
        <v/>
      </c>
      <c r="C854" s="43"/>
      <c r="D854" s="51" t="str" cm="1">
        <f t="array" ref="D854">IFERROR(INDEX(DB!G$2:G$2576,T854),"")</f>
        <v/>
      </c>
      <c r="E854" s="43"/>
      <c r="F854" s="52" t="str" cm="1">
        <f t="array" ref="F854">IFERROR(INDEX(DB!O$2:O$2576,T854),"")</f>
        <v/>
      </c>
      <c r="G854" s="43"/>
      <c r="H854" s="40" t="str" cm="1">
        <f t="array" ref="H854">IFERROR(INDEX(DB!P$2:P$2576,T854),"")</f>
        <v/>
      </c>
      <c r="I854" s="43"/>
      <c r="J854" s="53" t="str" cm="1">
        <f t="array" ref="J854">IFERROR(INDEX(DB!Q$2:Q$2576,T854),"")</f>
        <v/>
      </c>
      <c r="K854" s="43"/>
      <c r="L854" s="41" t="str" cm="1">
        <f t="array" ref="L854">IFERROR(INDEX(DB!R$2:R$2576,T854),"")</f>
        <v/>
      </c>
      <c r="M854" s="43"/>
      <c r="P854" t="str" cm="1">
        <f t="array" ref="P854">IFERROR(_xlfn.AGGREGATE(15,6,ROW(DB!A$2:A$2576)/((($D$3&lt;&gt;"YES")+($D$3="YES")*(DB!E$2:E$2576="YES"))*(($D$4="")+($D$4&lt;&gt;"")*( DB!B$2:B$2576=$D$4))*(($D$5="")+($D$5&lt;&gt;"")*( DB!C$2:C$2576=$D$5))*(($D$6="")+($D$6&lt;&gt;"")*( DB!D$2:D$2576=$D$6))*(($D$7="")+($D$7&lt;&gt;"")*(ISNUMBER(SEARCH($D$7,DB!G$2:G$2576))))*(($F$7="전체")+($F$7&lt;&gt;"전체")*(DB!H$2:H$2576=$F$7))),ROW()-13)-1,"")</f>
        <v/>
      </c>
      <c r="Q854" t="str" cm="1">
        <f t="array" ref="Q854">IFERROR(INDEX(DB!G$2:G$2576,P854),"")</f>
        <v/>
      </c>
      <c r="R854" t="str" cm="1">
        <f t="array" ref="R854">IFERROR(INDEX(DB!O$2:O$2576,P854),"")</f>
        <v/>
      </c>
      <c r="S854" t="str">
        <f t="shared" si="42"/>
        <v/>
      </c>
      <c r="T854" t="str">
        <f t="shared" si="43"/>
        <v/>
      </c>
    </row>
    <row r="855" spans="1:20" ht="100" customHeight="1">
      <c r="A855" s="26"/>
      <c r="B855" s="42" t="str">
        <f t="shared" si="41"/>
        <v/>
      </c>
      <c r="C855" s="43"/>
      <c r="D855" s="51" t="str" cm="1">
        <f t="array" ref="D855">IFERROR(INDEX(DB!G$2:G$2576,T855),"")</f>
        <v/>
      </c>
      <c r="E855" s="43"/>
      <c r="F855" s="52" t="str" cm="1">
        <f t="array" ref="F855">IFERROR(INDEX(DB!O$2:O$2576,T855),"")</f>
        <v/>
      </c>
      <c r="G855" s="43"/>
      <c r="H855" s="40" t="str" cm="1">
        <f t="array" ref="H855">IFERROR(INDEX(DB!P$2:P$2576,T855),"")</f>
        <v/>
      </c>
      <c r="I855" s="43"/>
      <c r="J855" s="53" t="str" cm="1">
        <f t="array" ref="J855">IFERROR(INDEX(DB!Q$2:Q$2576,T855),"")</f>
        <v/>
      </c>
      <c r="K855" s="43"/>
      <c r="L855" s="41" t="str" cm="1">
        <f t="array" ref="L855">IFERROR(INDEX(DB!R$2:R$2576,T855),"")</f>
        <v/>
      </c>
      <c r="M855" s="43"/>
      <c r="P855" t="str" cm="1">
        <f t="array" ref="P855">IFERROR(_xlfn.AGGREGATE(15,6,ROW(DB!A$2:A$2576)/((($D$3&lt;&gt;"YES")+($D$3="YES")*(DB!E$2:E$2576="YES"))*(($D$4="")+($D$4&lt;&gt;"")*( DB!B$2:B$2576=$D$4))*(($D$5="")+($D$5&lt;&gt;"")*( DB!C$2:C$2576=$D$5))*(($D$6="")+($D$6&lt;&gt;"")*( DB!D$2:D$2576=$D$6))*(($D$7="")+($D$7&lt;&gt;"")*(ISNUMBER(SEARCH($D$7,DB!G$2:G$2576))))*(($F$7="전체")+($F$7&lt;&gt;"전체")*(DB!H$2:H$2576=$F$7))),ROW()-13)-1,"")</f>
        <v/>
      </c>
      <c r="Q855" t="str" cm="1">
        <f t="array" ref="Q855">IFERROR(INDEX(DB!G$2:G$2576,P855),"")</f>
        <v/>
      </c>
      <c r="R855" t="str" cm="1">
        <f t="array" ref="R855">IFERROR(INDEX(DB!O$2:O$2576,P855),"")</f>
        <v/>
      </c>
      <c r="S855" t="str">
        <f t="shared" si="42"/>
        <v/>
      </c>
      <c r="T855" t="str">
        <f t="shared" si="43"/>
        <v/>
      </c>
    </row>
    <row r="856" spans="1:20" ht="100" customHeight="1">
      <c r="A856" s="26"/>
      <c r="B856" s="39" t="str">
        <f t="shared" si="41"/>
        <v/>
      </c>
      <c r="C856" s="43"/>
      <c r="D856" s="51" t="str" cm="1">
        <f t="array" ref="D856">IFERROR(INDEX(DB!G$2:G$2576,T856),"")</f>
        <v/>
      </c>
      <c r="E856" s="43"/>
      <c r="F856" s="52" t="str" cm="1">
        <f t="array" ref="F856">IFERROR(INDEX(DB!O$2:O$2576,T856),"")</f>
        <v/>
      </c>
      <c r="G856" s="43"/>
      <c r="H856" s="40" t="str" cm="1">
        <f t="array" ref="H856">IFERROR(INDEX(DB!P$2:P$2576,T856),"")</f>
        <v/>
      </c>
      <c r="I856" s="43"/>
      <c r="J856" s="53" t="str" cm="1">
        <f t="array" ref="J856">IFERROR(INDEX(DB!Q$2:Q$2576,T856),"")</f>
        <v/>
      </c>
      <c r="K856" s="43"/>
      <c r="L856" s="41" t="str" cm="1">
        <f t="array" ref="L856">IFERROR(INDEX(DB!R$2:R$2576,T856),"")</f>
        <v/>
      </c>
      <c r="M856" s="43"/>
      <c r="P856" t="str" cm="1">
        <f t="array" ref="P856">IFERROR(_xlfn.AGGREGATE(15,6,ROW(DB!A$2:A$2576)/((($D$3&lt;&gt;"YES")+($D$3="YES")*(DB!E$2:E$2576="YES"))*(($D$4="")+($D$4&lt;&gt;"")*( DB!B$2:B$2576=$D$4))*(($D$5="")+($D$5&lt;&gt;"")*( DB!C$2:C$2576=$D$5))*(($D$6="")+($D$6&lt;&gt;"")*( DB!D$2:D$2576=$D$6))*(($D$7="")+($D$7&lt;&gt;"")*(ISNUMBER(SEARCH($D$7,DB!G$2:G$2576))))*(($F$7="전체")+($F$7&lt;&gt;"전체")*(DB!H$2:H$2576=$F$7))),ROW()-13)-1,"")</f>
        <v/>
      </c>
      <c r="Q856" t="str" cm="1">
        <f t="array" ref="Q856">IFERROR(INDEX(DB!G$2:G$2576,P856),"")</f>
        <v/>
      </c>
      <c r="R856" t="str" cm="1">
        <f t="array" ref="R856">IFERROR(INDEX(DB!O$2:O$2576,P856),"")</f>
        <v/>
      </c>
      <c r="S856" t="str">
        <f t="shared" si="42"/>
        <v/>
      </c>
      <c r="T856" t="str">
        <f t="shared" si="43"/>
        <v/>
      </c>
    </row>
    <row r="857" spans="1:20" ht="100" customHeight="1">
      <c r="A857" s="26"/>
      <c r="B857" s="42" t="str">
        <f t="shared" si="41"/>
        <v/>
      </c>
      <c r="C857" s="43"/>
      <c r="D857" s="51" t="str" cm="1">
        <f t="array" ref="D857">IFERROR(INDEX(DB!G$2:G$2576,T857),"")</f>
        <v/>
      </c>
      <c r="E857" s="43"/>
      <c r="F857" s="52" t="str" cm="1">
        <f t="array" ref="F857">IFERROR(INDEX(DB!O$2:O$2576,T857),"")</f>
        <v/>
      </c>
      <c r="G857" s="43"/>
      <c r="H857" s="40" t="str" cm="1">
        <f t="array" ref="H857">IFERROR(INDEX(DB!P$2:P$2576,T857),"")</f>
        <v/>
      </c>
      <c r="I857" s="43"/>
      <c r="J857" s="53" t="str" cm="1">
        <f t="array" ref="J857">IFERROR(INDEX(DB!Q$2:Q$2576,T857),"")</f>
        <v/>
      </c>
      <c r="K857" s="43"/>
      <c r="L857" s="41" t="str" cm="1">
        <f t="array" ref="L857">IFERROR(INDEX(DB!R$2:R$2576,T857),"")</f>
        <v/>
      </c>
      <c r="M857" s="43"/>
      <c r="P857" t="str" cm="1">
        <f t="array" ref="P857">IFERROR(_xlfn.AGGREGATE(15,6,ROW(DB!A$2:A$2576)/((($D$3&lt;&gt;"YES")+($D$3="YES")*(DB!E$2:E$2576="YES"))*(($D$4="")+($D$4&lt;&gt;"")*( DB!B$2:B$2576=$D$4))*(($D$5="")+($D$5&lt;&gt;"")*( DB!C$2:C$2576=$D$5))*(($D$6="")+($D$6&lt;&gt;"")*( DB!D$2:D$2576=$D$6))*(($D$7="")+($D$7&lt;&gt;"")*(ISNUMBER(SEARCH($D$7,DB!G$2:G$2576))))*(($F$7="전체")+($F$7&lt;&gt;"전체")*(DB!H$2:H$2576=$F$7))),ROW()-13)-1,"")</f>
        <v/>
      </c>
      <c r="Q857" t="str" cm="1">
        <f t="array" ref="Q857">IFERROR(INDEX(DB!G$2:G$2576,P857),"")</f>
        <v/>
      </c>
      <c r="R857" t="str" cm="1">
        <f t="array" ref="R857">IFERROR(INDEX(DB!O$2:O$2576,P857),"")</f>
        <v/>
      </c>
      <c r="S857" t="str">
        <f t="shared" si="42"/>
        <v/>
      </c>
      <c r="T857" t="str">
        <f t="shared" si="43"/>
        <v/>
      </c>
    </row>
    <row r="858" spans="1:20" ht="100" customHeight="1">
      <c r="A858" s="26"/>
      <c r="B858" s="39" t="str">
        <f t="shared" si="41"/>
        <v/>
      </c>
      <c r="C858" s="43"/>
      <c r="D858" s="51" t="str" cm="1">
        <f t="array" ref="D858">IFERROR(INDEX(DB!G$2:G$2576,T858),"")</f>
        <v/>
      </c>
      <c r="E858" s="43"/>
      <c r="F858" s="52" t="str" cm="1">
        <f t="array" ref="F858">IFERROR(INDEX(DB!O$2:O$2576,T858),"")</f>
        <v/>
      </c>
      <c r="G858" s="43"/>
      <c r="H858" s="40" t="str" cm="1">
        <f t="array" ref="H858">IFERROR(INDEX(DB!P$2:P$2576,T858),"")</f>
        <v/>
      </c>
      <c r="I858" s="43"/>
      <c r="J858" s="53" t="str" cm="1">
        <f t="array" ref="J858">IFERROR(INDEX(DB!Q$2:Q$2576,T858),"")</f>
        <v/>
      </c>
      <c r="K858" s="43"/>
      <c r="L858" s="41" t="str" cm="1">
        <f t="array" ref="L858">IFERROR(INDEX(DB!R$2:R$2576,T858),"")</f>
        <v/>
      </c>
      <c r="M858" s="43"/>
      <c r="P858" t="str" cm="1">
        <f t="array" ref="P858">IFERROR(_xlfn.AGGREGATE(15,6,ROW(DB!A$2:A$2576)/((($D$3&lt;&gt;"YES")+($D$3="YES")*(DB!E$2:E$2576="YES"))*(($D$4="")+($D$4&lt;&gt;"")*( DB!B$2:B$2576=$D$4))*(($D$5="")+($D$5&lt;&gt;"")*( DB!C$2:C$2576=$D$5))*(($D$6="")+($D$6&lt;&gt;"")*( DB!D$2:D$2576=$D$6))*(($D$7="")+($D$7&lt;&gt;"")*(ISNUMBER(SEARCH($D$7,DB!G$2:G$2576))))*(($F$7="전체")+($F$7&lt;&gt;"전체")*(DB!H$2:H$2576=$F$7))),ROW()-13)-1,"")</f>
        <v/>
      </c>
      <c r="Q858" t="str" cm="1">
        <f t="array" ref="Q858">IFERROR(INDEX(DB!G$2:G$2576,P858),"")</f>
        <v/>
      </c>
      <c r="R858" t="str" cm="1">
        <f t="array" ref="R858">IFERROR(INDEX(DB!O$2:O$2576,P858),"")</f>
        <v/>
      </c>
      <c r="S858" t="str">
        <f t="shared" si="42"/>
        <v/>
      </c>
      <c r="T858" t="str">
        <f t="shared" si="43"/>
        <v/>
      </c>
    </row>
    <row r="859" spans="1:20" ht="100" customHeight="1">
      <c r="A859" s="26"/>
      <c r="B859" s="42" t="str">
        <f t="shared" si="41"/>
        <v/>
      </c>
      <c r="C859" s="43"/>
      <c r="D859" s="51" t="str" cm="1">
        <f t="array" ref="D859">IFERROR(INDEX(DB!G$2:G$2576,T859),"")</f>
        <v/>
      </c>
      <c r="E859" s="43"/>
      <c r="F859" s="52" t="str" cm="1">
        <f t="array" ref="F859">IFERROR(INDEX(DB!O$2:O$2576,T859),"")</f>
        <v/>
      </c>
      <c r="G859" s="43"/>
      <c r="H859" s="40" t="str" cm="1">
        <f t="array" ref="H859">IFERROR(INDEX(DB!P$2:P$2576,T859),"")</f>
        <v/>
      </c>
      <c r="I859" s="43"/>
      <c r="J859" s="53" t="str" cm="1">
        <f t="array" ref="J859">IFERROR(INDEX(DB!Q$2:Q$2576,T859),"")</f>
        <v/>
      </c>
      <c r="K859" s="43"/>
      <c r="L859" s="41" t="str" cm="1">
        <f t="array" ref="L859">IFERROR(INDEX(DB!R$2:R$2576,T859),"")</f>
        <v/>
      </c>
      <c r="M859" s="43"/>
      <c r="P859" t="str" cm="1">
        <f t="array" ref="P859">IFERROR(_xlfn.AGGREGATE(15,6,ROW(DB!A$2:A$2576)/((($D$3&lt;&gt;"YES")+($D$3="YES")*(DB!E$2:E$2576="YES"))*(($D$4="")+($D$4&lt;&gt;"")*( DB!B$2:B$2576=$D$4))*(($D$5="")+($D$5&lt;&gt;"")*( DB!C$2:C$2576=$D$5))*(($D$6="")+($D$6&lt;&gt;"")*( DB!D$2:D$2576=$D$6))*(($D$7="")+($D$7&lt;&gt;"")*(ISNUMBER(SEARCH($D$7,DB!G$2:G$2576))))*(($F$7="전체")+($F$7&lt;&gt;"전체")*(DB!H$2:H$2576=$F$7))),ROW()-13)-1,"")</f>
        <v/>
      </c>
      <c r="Q859" t="str" cm="1">
        <f t="array" ref="Q859">IFERROR(INDEX(DB!G$2:G$2576,P859),"")</f>
        <v/>
      </c>
      <c r="R859" t="str" cm="1">
        <f t="array" ref="R859">IFERROR(INDEX(DB!O$2:O$2576,P859),"")</f>
        <v/>
      </c>
      <c r="S859" t="str">
        <f t="shared" si="42"/>
        <v/>
      </c>
      <c r="T859" t="str">
        <f t="shared" si="43"/>
        <v/>
      </c>
    </row>
    <row r="860" spans="1:20" ht="100" customHeight="1">
      <c r="A860" s="26"/>
      <c r="B860" s="39" t="str">
        <f t="shared" si="41"/>
        <v/>
      </c>
      <c r="C860" s="43"/>
      <c r="D860" s="51" t="str" cm="1">
        <f t="array" ref="D860">IFERROR(INDEX(DB!G$2:G$2576,T860),"")</f>
        <v/>
      </c>
      <c r="E860" s="43"/>
      <c r="F860" s="52" t="str" cm="1">
        <f t="array" ref="F860">IFERROR(INDEX(DB!O$2:O$2576,T860),"")</f>
        <v/>
      </c>
      <c r="G860" s="43"/>
      <c r="H860" s="40" t="str" cm="1">
        <f t="array" ref="H860">IFERROR(INDEX(DB!P$2:P$2576,T860),"")</f>
        <v/>
      </c>
      <c r="I860" s="43"/>
      <c r="J860" s="53" t="str" cm="1">
        <f t="array" ref="J860">IFERROR(INDEX(DB!Q$2:Q$2576,T860),"")</f>
        <v/>
      </c>
      <c r="K860" s="43"/>
      <c r="L860" s="41" t="str" cm="1">
        <f t="array" ref="L860">IFERROR(INDEX(DB!R$2:R$2576,T860),"")</f>
        <v/>
      </c>
      <c r="M860" s="43"/>
      <c r="P860" t="str" cm="1">
        <f t="array" ref="P860">IFERROR(_xlfn.AGGREGATE(15,6,ROW(DB!A$2:A$2576)/((($D$3&lt;&gt;"YES")+($D$3="YES")*(DB!E$2:E$2576="YES"))*(($D$4="")+($D$4&lt;&gt;"")*( DB!B$2:B$2576=$D$4))*(($D$5="")+($D$5&lt;&gt;"")*( DB!C$2:C$2576=$D$5))*(($D$6="")+($D$6&lt;&gt;"")*( DB!D$2:D$2576=$D$6))*(($D$7="")+($D$7&lt;&gt;"")*(ISNUMBER(SEARCH($D$7,DB!G$2:G$2576))))*(($F$7="전체")+($F$7&lt;&gt;"전체")*(DB!H$2:H$2576=$F$7))),ROW()-13)-1,"")</f>
        <v/>
      </c>
      <c r="Q860" t="str" cm="1">
        <f t="array" ref="Q860">IFERROR(INDEX(DB!G$2:G$2576,P860),"")</f>
        <v/>
      </c>
      <c r="R860" t="str" cm="1">
        <f t="array" ref="R860">IFERROR(INDEX(DB!O$2:O$2576,P860),"")</f>
        <v/>
      </c>
      <c r="S860" t="str">
        <f t="shared" si="42"/>
        <v/>
      </c>
      <c r="T860" t="str">
        <f t="shared" si="43"/>
        <v/>
      </c>
    </row>
    <row r="861" spans="1:20" ht="100" customHeight="1">
      <c r="A861" s="26"/>
      <c r="B861" s="42" t="str">
        <f t="shared" si="41"/>
        <v/>
      </c>
      <c r="C861" s="43"/>
      <c r="D861" s="51" t="str" cm="1">
        <f t="array" ref="D861">IFERROR(INDEX(DB!G$2:G$2576,T861),"")</f>
        <v/>
      </c>
      <c r="E861" s="43"/>
      <c r="F861" s="52" t="str" cm="1">
        <f t="array" ref="F861">IFERROR(INDEX(DB!O$2:O$2576,T861),"")</f>
        <v/>
      </c>
      <c r="G861" s="43"/>
      <c r="H861" s="40" t="str" cm="1">
        <f t="array" ref="H861">IFERROR(INDEX(DB!P$2:P$2576,T861),"")</f>
        <v/>
      </c>
      <c r="I861" s="43"/>
      <c r="J861" s="53" t="str" cm="1">
        <f t="array" ref="J861">IFERROR(INDEX(DB!Q$2:Q$2576,T861),"")</f>
        <v/>
      </c>
      <c r="K861" s="43"/>
      <c r="L861" s="41" t="str" cm="1">
        <f t="array" ref="L861">IFERROR(INDEX(DB!R$2:R$2576,T861),"")</f>
        <v/>
      </c>
      <c r="M861" s="43"/>
      <c r="P861" t="str" cm="1">
        <f t="array" ref="P861">IFERROR(_xlfn.AGGREGATE(15,6,ROW(DB!A$2:A$2576)/((($D$3&lt;&gt;"YES")+($D$3="YES")*(DB!E$2:E$2576="YES"))*(($D$4="")+($D$4&lt;&gt;"")*( DB!B$2:B$2576=$D$4))*(($D$5="")+($D$5&lt;&gt;"")*( DB!C$2:C$2576=$D$5))*(($D$6="")+($D$6&lt;&gt;"")*( DB!D$2:D$2576=$D$6))*(($D$7="")+($D$7&lt;&gt;"")*(ISNUMBER(SEARCH($D$7,DB!G$2:G$2576))))*(($F$7="전체")+($F$7&lt;&gt;"전체")*(DB!H$2:H$2576=$F$7))),ROW()-13)-1,"")</f>
        <v/>
      </c>
      <c r="Q861" t="str" cm="1">
        <f t="array" ref="Q861">IFERROR(INDEX(DB!G$2:G$2576,P861),"")</f>
        <v/>
      </c>
      <c r="R861" t="str" cm="1">
        <f t="array" ref="R861">IFERROR(INDEX(DB!O$2:O$2576,P861),"")</f>
        <v/>
      </c>
      <c r="S861" t="str">
        <f t="shared" si="42"/>
        <v/>
      </c>
      <c r="T861" t="str">
        <f t="shared" si="43"/>
        <v/>
      </c>
    </row>
    <row r="862" spans="1:20" ht="100" customHeight="1">
      <c r="A862" s="26"/>
      <c r="B862" s="39" t="str">
        <f t="shared" si="41"/>
        <v/>
      </c>
      <c r="C862" s="43"/>
      <c r="D862" s="51" t="str" cm="1">
        <f t="array" ref="D862">IFERROR(INDEX(DB!G$2:G$2576,T862),"")</f>
        <v/>
      </c>
      <c r="E862" s="43"/>
      <c r="F862" s="52" t="str" cm="1">
        <f t="array" ref="F862">IFERROR(INDEX(DB!O$2:O$2576,T862),"")</f>
        <v/>
      </c>
      <c r="G862" s="43"/>
      <c r="H862" s="40" t="str" cm="1">
        <f t="array" ref="H862">IFERROR(INDEX(DB!P$2:P$2576,T862),"")</f>
        <v/>
      </c>
      <c r="I862" s="43"/>
      <c r="J862" s="53" t="str" cm="1">
        <f t="array" ref="J862">IFERROR(INDEX(DB!Q$2:Q$2576,T862),"")</f>
        <v/>
      </c>
      <c r="K862" s="43"/>
      <c r="L862" s="41" t="str" cm="1">
        <f t="array" ref="L862">IFERROR(INDEX(DB!R$2:R$2576,T862),"")</f>
        <v/>
      </c>
      <c r="M862" s="43"/>
      <c r="P862" t="str" cm="1">
        <f t="array" ref="P862">IFERROR(_xlfn.AGGREGATE(15,6,ROW(DB!A$2:A$2576)/((($D$3&lt;&gt;"YES")+($D$3="YES")*(DB!E$2:E$2576="YES"))*(($D$4="")+($D$4&lt;&gt;"")*( DB!B$2:B$2576=$D$4))*(($D$5="")+($D$5&lt;&gt;"")*( DB!C$2:C$2576=$D$5))*(($D$6="")+($D$6&lt;&gt;"")*( DB!D$2:D$2576=$D$6))*(($D$7="")+($D$7&lt;&gt;"")*(ISNUMBER(SEARCH($D$7,DB!G$2:G$2576))))*(($F$7="전체")+($F$7&lt;&gt;"전체")*(DB!H$2:H$2576=$F$7))),ROW()-13)-1,"")</f>
        <v/>
      </c>
      <c r="Q862" t="str" cm="1">
        <f t="array" ref="Q862">IFERROR(INDEX(DB!G$2:G$2576,P862),"")</f>
        <v/>
      </c>
      <c r="R862" t="str" cm="1">
        <f t="array" ref="R862">IFERROR(INDEX(DB!O$2:O$2576,P862),"")</f>
        <v/>
      </c>
      <c r="S862" t="str">
        <f t="shared" si="42"/>
        <v/>
      </c>
      <c r="T862" t="str">
        <f t="shared" si="43"/>
        <v/>
      </c>
    </row>
    <row r="863" spans="1:20" ht="100" customHeight="1">
      <c r="A863" s="26"/>
      <c r="B863" s="42" t="str">
        <f t="shared" si="41"/>
        <v/>
      </c>
      <c r="C863" s="43"/>
      <c r="D863" s="51" t="str" cm="1">
        <f t="array" ref="D863">IFERROR(INDEX(DB!G$2:G$2576,T863),"")</f>
        <v/>
      </c>
      <c r="E863" s="43"/>
      <c r="F863" s="52" t="str" cm="1">
        <f t="array" ref="F863">IFERROR(INDEX(DB!O$2:O$2576,T863),"")</f>
        <v/>
      </c>
      <c r="G863" s="43"/>
      <c r="H863" s="40" t="str" cm="1">
        <f t="array" ref="H863">IFERROR(INDEX(DB!P$2:P$2576,T863),"")</f>
        <v/>
      </c>
      <c r="I863" s="43"/>
      <c r="J863" s="53" t="str" cm="1">
        <f t="array" ref="J863">IFERROR(INDEX(DB!Q$2:Q$2576,T863),"")</f>
        <v/>
      </c>
      <c r="K863" s="43"/>
      <c r="L863" s="41" t="str" cm="1">
        <f t="array" ref="L863">IFERROR(INDEX(DB!R$2:R$2576,T863),"")</f>
        <v/>
      </c>
      <c r="M863" s="43"/>
      <c r="P863" t="str" cm="1">
        <f t="array" ref="P863">IFERROR(_xlfn.AGGREGATE(15,6,ROW(DB!A$2:A$2576)/((($D$3&lt;&gt;"YES")+($D$3="YES")*(DB!E$2:E$2576="YES"))*(($D$4="")+($D$4&lt;&gt;"")*( DB!B$2:B$2576=$D$4))*(($D$5="")+($D$5&lt;&gt;"")*( DB!C$2:C$2576=$D$5))*(($D$6="")+($D$6&lt;&gt;"")*( DB!D$2:D$2576=$D$6))*(($D$7="")+($D$7&lt;&gt;"")*(ISNUMBER(SEARCH($D$7,DB!G$2:G$2576))))*(($F$7="전체")+($F$7&lt;&gt;"전체")*(DB!H$2:H$2576=$F$7))),ROW()-13)-1,"")</f>
        <v/>
      </c>
      <c r="Q863" t="str" cm="1">
        <f t="array" ref="Q863">IFERROR(INDEX(DB!G$2:G$2576,P863),"")</f>
        <v/>
      </c>
      <c r="R863" t="str" cm="1">
        <f t="array" ref="R863">IFERROR(INDEX(DB!O$2:O$2576,P863),"")</f>
        <v/>
      </c>
      <c r="S863" t="str">
        <f t="shared" si="42"/>
        <v/>
      </c>
      <c r="T863" t="str">
        <f t="shared" si="43"/>
        <v/>
      </c>
    </row>
    <row r="864" spans="1:20" ht="100" customHeight="1">
      <c r="A864" s="26"/>
      <c r="B864" s="39" t="str">
        <f t="shared" si="41"/>
        <v/>
      </c>
      <c r="C864" s="43"/>
      <c r="D864" s="51" t="str" cm="1">
        <f t="array" ref="D864">IFERROR(INDEX(DB!G$2:G$2576,T864),"")</f>
        <v/>
      </c>
      <c r="E864" s="43"/>
      <c r="F864" s="52" t="str" cm="1">
        <f t="array" ref="F864">IFERROR(INDEX(DB!O$2:O$2576,T864),"")</f>
        <v/>
      </c>
      <c r="G864" s="43"/>
      <c r="H864" s="40" t="str" cm="1">
        <f t="array" ref="H864">IFERROR(INDEX(DB!P$2:P$2576,T864),"")</f>
        <v/>
      </c>
      <c r="I864" s="43"/>
      <c r="J864" s="53" t="str" cm="1">
        <f t="array" ref="J864">IFERROR(INDEX(DB!Q$2:Q$2576,T864),"")</f>
        <v/>
      </c>
      <c r="K864" s="43"/>
      <c r="L864" s="41" t="str" cm="1">
        <f t="array" ref="L864">IFERROR(INDEX(DB!R$2:R$2576,T864),"")</f>
        <v/>
      </c>
      <c r="M864" s="43"/>
      <c r="P864" t="str" cm="1">
        <f t="array" ref="P864">IFERROR(_xlfn.AGGREGATE(15,6,ROW(DB!A$2:A$2576)/((($D$3&lt;&gt;"YES")+($D$3="YES")*(DB!E$2:E$2576="YES"))*(($D$4="")+($D$4&lt;&gt;"")*( DB!B$2:B$2576=$D$4))*(($D$5="")+($D$5&lt;&gt;"")*( DB!C$2:C$2576=$D$5))*(($D$6="")+($D$6&lt;&gt;"")*( DB!D$2:D$2576=$D$6))*(($D$7="")+($D$7&lt;&gt;"")*(ISNUMBER(SEARCH($D$7,DB!G$2:G$2576))))*(($F$7="전체")+($F$7&lt;&gt;"전체")*(DB!H$2:H$2576=$F$7))),ROW()-13)-1,"")</f>
        <v/>
      </c>
      <c r="Q864" t="str" cm="1">
        <f t="array" ref="Q864">IFERROR(INDEX(DB!G$2:G$2576,P864),"")</f>
        <v/>
      </c>
      <c r="R864" t="str" cm="1">
        <f t="array" ref="R864">IFERROR(INDEX(DB!O$2:O$2576,P864),"")</f>
        <v/>
      </c>
      <c r="S864" t="str">
        <f t="shared" si="42"/>
        <v/>
      </c>
      <c r="T864" t="str">
        <f t="shared" si="43"/>
        <v/>
      </c>
    </row>
    <row r="865" spans="1:20" ht="100" customHeight="1">
      <c r="A865" s="26"/>
      <c r="B865" s="42" t="str">
        <f t="shared" si="41"/>
        <v/>
      </c>
      <c r="C865" s="43"/>
      <c r="D865" s="51" t="str" cm="1">
        <f t="array" ref="D865">IFERROR(INDEX(DB!G$2:G$2576,T865),"")</f>
        <v/>
      </c>
      <c r="E865" s="43"/>
      <c r="F865" s="52" t="str" cm="1">
        <f t="array" ref="F865">IFERROR(INDEX(DB!O$2:O$2576,T865),"")</f>
        <v/>
      </c>
      <c r="G865" s="43"/>
      <c r="H865" s="40" t="str" cm="1">
        <f t="array" ref="H865">IFERROR(INDEX(DB!P$2:P$2576,T865),"")</f>
        <v/>
      </c>
      <c r="I865" s="43"/>
      <c r="J865" s="53" t="str" cm="1">
        <f t="array" ref="J865">IFERROR(INDEX(DB!Q$2:Q$2576,T865),"")</f>
        <v/>
      </c>
      <c r="K865" s="43"/>
      <c r="L865" s="41" t="str" cm="1">
        <f t="array" ref="L865">IFERROR(INDEX(DB!R$2:R$2576,T865),"")</f>
        <v/>
      </c>
      <c r="M865" s="43"/>
      <c r="P865" t="str" cm="1">
        <f t="array" ref="P865">IFERROR(_xlfn.AGGREGATE(15,6,ROW(DB!A$2:A$2576)/((($D$3&lt;&gt;"YES")+($D$3="YES")*(DB!E$2:E$2576="YES"))*(($D$4="")+($D$4&lt;&gt;"")*( DB!B$2:B$2576=$D$4))*(($D$5="")+($D$5&lt;&gt;"")*( DB!C$2:C$2576=$D$5))*(($D$6="")+($D$6&lt;&gt;"")*( DB!D$2:D$2576=$D$6))*(($D$7="")+($D$7&lt;&gt;"")*(ISNUMBER(SEARCH($D$7,DB!G$2:G$2576))))*(($F$7="전체")+($F$7&lt;&gt;"전체")*(DB!H$2:H$2576=$F$7))),ROW()-13)-1,"")</f>
        <v/>
      </c>
      <c r="Q865" t="str" cm="1">
        <f t="array" ref="Q865">IFERROR(INDEX(DB!G$2:G$2576,P865),"")</f>
        <v/>
      </c>
      <c r="R865" t="str" cm="1">
        <f t="array" ref="R865">IFERROR(INDEX(DB!O$2:O$2576,P865),"")</f>
        <v/>
      </c>
      <c r="S865" t="str">
        <f t="shared" si="42"/>
        <v/>
      </c>
      <c r="T865" t="str">
        <f t="shared" si="43"/>
        <v/>
      </c>
    </row>
    <row r="866" spans="1:20" ht="100" customHeight="1">
      <c r="A866" s="26"/>
      <c r="B866" s="39" t="str">
        <f t="shared" si="41"/>
        <v/>
      </c>
      <c r="C866" s="43"/>
      <c r="D866" s="51" t="str" cm="1">
        <f t="array" ref="D866">IFERROR(INDEX(DB!G$2:G$2576,T866),"")</f>
        <v/>
      </c>
      <c r="E866" s="43"/>
      <c r="F866" s="52" t="str" cm="1">
        <f t="array" ref="F866">IFERROR(INDEX(DB!O$2:O$2576,T866),"")</f>
        <v/>
      </c>
      <c r="G866" s="43"/>
      <c r="H866" s="40" t="str" cm="1">
        <f t="array" ref="H866">IFERROR(INDEX(DB!P$2:P$2576,T866),"")</f>
        <v/>
      </c>
      <c r="I866" s="43"/>
      <c r="J866" s="53" t="str" cm="1">
        <f t="array" ref="J866">IFERROR(INDEX(DB!Q$2:Q$2576,T866),"")</f>
        <v/>
      </c>
      <c r="K866" s="43"/>
      <c r="L866" s="41" t="str" cm="1">
        <f t="array" ref="L866">IFERROR(INDEX(DB!R$2:R$2576,T866),"")</f>
        <v/>
      </c>
      <c r="M866" s="43"/>
      <c r="P866" t="str" cm="1">
        <f t="array" ref="P866">IFERROR(_xlfn.AGGREGATE(15,6,ROW(DB!A$2:A$2576)/((($D$3&lt;&gt;"YES")+($D$3="YES")*(DB!E$2:E$2576="YES"))*(($D$4="")+($D$4&lt;&gt;"")*( DB!B$2:B$2576=$D$4))*(($D$5="")+($D$5&lt;&gt;"")*( DB!C$2:C$2576=$D$5))*(($D$6="")+($D$6&lt;&gt;"")*( DB!D$2:D$2576=$D$6))*(($D$7="")+($D$7&lt;&gt;"")*(ISNUMBER(SEARCH($D$7,DB!G$2:G$2576))))*(($F$7="전체")+($F$7&lt;&gt;"전체")*(DB!H$2:H$2576=$F$7))),ROW()-13)-1,"")</f>
        <v/>
      </c>
      <c r="Q866" t="str" cm="1">
        <f t="array" ref="Q866">IFERROR(INDEX(DB!G$2:G$2576,P866),"")</f>
        <v/>
      </c>
      <c r="R866" t="str" cm="1">
        <f t="array" ref="R866">IFERROR(INDEX(DB!O$2:O$2576,P866),"")</f>
        <v/>
      </c>
      <c r="S866" t="str">
        <f t="shared" si="42"/>
        <v/>
      </c>
      <c r="T866" t="str">
        <f t="shared" si="43"/>
        <v/>
      </c>
    </row>
    <row r="867" spans="1:20" ht="100" customHeight="1">
      <c r="A867" s="26"/>
      <c r="B867" s="42" t="str">
        <f t="shared" si="41"/>
        <v/>
      </c>
      <c r="C867" s="43"/>
      <c r="D867" s="51" t="str" cm="1">
        <f t="array" ref="D867">IFERROR(INDEX(DB!G$2:G$2576,T867),"")</f>
        <v/>
      </c>
      <c r="E867" s="43"/>
      <c r="F867" s="52" t="str" cm="1">
        <f t="array" ref="F867">IFERROR(INDEX(DB!O$2:O$2576,T867),"")</f>
        <v/>
      </c>
      <c r="G867" s="43"/>
      <c r="H867" s="40" t="str" cm="1">
        <f t="array" ref="H867">IFERROR(INDEX(DB!P$2:P$2576,T867),"")</f>
        <v/>
      </c>
      <c r="I867" s="43"/>
      <c r="J867" s="53" t="str" cm="1">
        <f t="array" ref="J867">IFERROR(INDEX(DB!Q$2:Q$2576,T867),"")</f>
        <v/>
      </c>
      <c r="K867" s="43"/>
      <c r="L867" s="41" t="str" cm="1">
        <f t="array" ref="L867">IFERROR(INDEX(DB!R$2:R$2576,T867),"")</f>
        <v/>
      </c>
      <c r="M867" s="43"/>
      <c r="P867" t="str" cm="1">
        <f t="array" ref="P867">IFERROR(_xlfn.AGGREGATE(15,6,ROW(DB!A$2:A$2576)/((($D$3&lt;&gt;"YES")+($D$3="YES")*(DB!E$2:E$2576="YES"))*(($D$4="")+($D$4&lt;&gt;"")*( DB!B$2:B$2576=$D$4))*(($D$5="")+($D$5&lt;&gt;"")*( DB!C$2:C$2576=$D$5))*(($D$6="")+($D$6&lt;&gt;"")*( DB!D$2:D$2576=$D$6))*(($D$7="")+($D$7&lt;&gt;"")*(ISNUMBER(SEARCH($D$7,DB!G$2:G$2576))))*(($F$7="전체")+($F$7&lt;&gt;"전체")*(DB!H$2:H$2576=$F$7))),ROW()-13)-1,"")</f>
        <v/>
      </c>
      <c r="Q867" t="str" cm="1">
        <f t="array" ref="Q867">IFERROR(INDEX(DB!G$2:G$2576,P867),"")</f>
        <v/>
      </c>
      <c r="R867" t="str" cm="1">
        <f t="array" ref="R867">IFERROR(INDEX(DB!O$2:O$2576,P867),"")</f>
        <v/>
      </c>
      <c r="S867" t="str">
        <f t="shared" si="42"/>
        <v/>
      </c>
      <c r="T867" t="str">
        <f t="shared" si="43"/>
        <v/>
      </c>
    </row>
    <row r="868" spans="1:20" ht="100" customHeight="1">
      <c r="A868" s="26"/>
      <c r="B868" s="39" t="str">
        <f t="shared" si="41"/>
        <v/>
      </c>
      <c r="C868" s="43"/>
      <c r="D868" s="51" t="str" cm="1">
        <f t="array" ref="D868">IFERROR(INDEX(DB!G$2:G$2576,T868),"")</f>
        <v/>
      </c>
      <c r="E868" s="43"/>
      <c r="F868" s="52" t="str" cm="1">
        <f t="array" ref="F868">IFERROR(INDEX(DB!O$2:O$2576,T868),"")</f>
        <v/>
      </c>
      <c r="G868" s="43"/>
      <c r="H868" s="40" t="str" cm="1">
        <f t="array" ref="H868">IFERROR(INDEX(DB!P$2:P$2576,T868),"")</f>
        <v/>
      </c>
      <c r="I868" s="43"/>
      <c r="J868" s="53" t="str" cm="1">
        <f t="array" ref="J868">IFERROR(INDEX(DB!Q$2:Q$2576,T868),"")</f>
        <v/>
      </c>
      <c r="K868" s="43"/>
      <c r="L868" s="41" t="str" cm="1">
        <f t="array" ref="L868">IFERROR(INDEX(DB!R$2:R$2576,T868),"")</f>
        <v/>
      </c>
      <c r="M868" s="43"/>
      <c r="P868" t="str" cm="1">
        <f t="array" ref="P868">IFERROR(_xlfn.AGGREGATE(15,6,ROW(DB!A$2:A$2576)/((($D$3&lt;&gt;"YES")+($D$3="YES")*(DB!E$2:E$2576="YES"))*(($D$4="")+($D$4&lt;&gt;"")*( DB!B$2:B$2576=$D$4))*(($D$5="")+($D$5&lt;&gt;"")*( DB!C$2:C$2576=$D$5))*(($D$6="")+($D$6&lt;&gt;"")*( DB!D$2:D$2576=$D$6))*(($D$7="")+($D$7&lt;&gt;"")*(ISNUMBER(SEARCH($D$7,DB!G$2:G$2576))))*(($F$7="전체")+($F$7&lt;&gt;"전체")*(DB!H$2:H$2576=$F$7))),ROW()-13)-1,"")</f>
        <v/>
      </c>
      <c r="Q868" t="str" cm="1">
        <f t="array" ref="Q868">IFERROR(INDEX(DB!G$2:G$2576,P868),"")</f>
        <v/>
      </c>
      <c r="R868" t="str" cm="1">
        <f t="array" ref="R868">IFERROR(INDEX(DB!O$2:O$2576,P868),"")</f>
        <v/>
      </c>
      <c r="S868" t="str">
        <f t="shared" si="42"/>
        <v/>
      </c>
      <c r="T868" t="str">
        <f t="shared" si="43"/>
        <v/>
      </c>
    </row>
    <row r="869" spans="1:20" ht="100" customHeight="1">
      <c r="A869" s="26"/>
      <c r="B869" s="42" t="str">
        <f t="shared" si="41"/>
        <v/>
      </c>
      <c r="C869" s="43"/>
      <c r="D869" s="51" t="str" cm="1">
        <f t="array" ref="D869">IFERROR(INDEX(DB!G$2:G$2576,T869),"")</f>
        <v/>
      </c>
      <c r="E869" s="43"/>
      <c r="F869" s="52" t="str" cm="1">
        <f t="array" ref="F869">IFERROR(INDEX(DB!O$2:O$2576,T869),"")</f>
        <v/>
      </c>
      <c r="G869" s="43"/>
      <c r="H869" s="40" t="str" cm="1">
        <f t="array" ref="H869">IFERROR(INDEX(DB!P$2:P$2576,T869),"")</f>
        <v/>
      </c>
      <c r="I869" s="43"/>
      <c r="J869" s="53" t="str" cm="1">
        <f t="array" ref="J869">IFERROR(INDEX(DB!Q$2:Q$2576,T869),"")</f>
        <v/>
      </c>
      <c r="K869" s="43"/>
      <c r="L869" s="41" t="str" cm="1">
        <f t="array" ref="L869">IFERROR(INDEX(DB!R$2:R$2576,T869),"")</f>
        <v/>
      </c>
      <c r="M869" s="43"/>
      <c r="P869" t="str" cm="1">
        <f t="array" ref="P869">IFERROR(_xlfn.AGGREGATE(15,6,ROW(DB!A$2:A$2576)/((($D$3&lt;&gt;"YES")+($D$3="YES")*(DB!E$2:E$2576="YES"))*(($D$4="")+($D$4&lt;&gt;"")*( DB!B$2:B$2576=$D$4))*(($D$5="")+($D$5&lt;&gt;"")*( DB!C$2:C$2576=$D$5))*(($D$6="")+($D$6&lt;&gt;"")*( DB!D$2:D$2576=$D$6))*(($D$7="")+($D$7&lt;&gt;"")*(ISNUMBER(SEARCH($D$7,DB!G$2:G$2576))))*(($F$7="전체")+($F$7&lt;&gt;"전체")*(DB!H$2:H$2576=$F$7))),ROW()-13)-1,"")</f>
        <v/>
      </c>
      <c r="Q869" t="str" cm="1">
        <f t="array" ref="Q869">IFERROR(INDEX(DB!G$2:G$2576,P869),"")</f>
        <v/>
      </c>
      <c r="R869" t="str" cm="1">
        <f t="array" ref="R869">IFERROR(INDEX(DB!O$2:O$2576,P869),"")</f>
        <v/>
      </c>
      <c r="S869" t="str">
        <f t="shared" si="42"/>
        <v/>
      </c>
      <c r="T869" t="str">
        <f t="shared" si="43"/>
        <v/>
      </c>
    </row>
    <row r="870" spans="1:20" ht="100" customHeight="1">
      <c r="A870" s="26"/>
      <c r="B870" s="39" t="str">
        <f t="shared" si="41"/>
        <v/>
      </c>
      <c r="C870" s="43"/>
      <c r="D870" s="51" t="str" cm="1">
        <f t="array" ref="D870">IFERROR(INDEX(DB!G$2:G$2576,T870),"")</f>
        <v/>
      </c>
      <c r="E870" s="43"/>
      <c r="F870" s="52" t="str" cm="1">
        <f t="array" ref="F870">IFERROR(INDEX(DB!O$2:O$2576,T870),"")</f>
        <v/>
      </c>
      <c r="G870" s="43"/>
      <c r="H870" s="40" t="str" cm="1">
        <f t="array" ref="H870">IFERROR(INDEX(DB!P$2:P$2576,T870),"")</f>
        <v/>
      </c>
      <c r="I870" s="43"/>
      <c r="J870" s="53" t="str" cm="1">
        <f t="array" ref="J870">IFERROR(INDEX(DB!Q$2:Q$2576,T870),"")</f>
        <v/>
      </c>
      <c r="K870" s="43"/>
      <c r="L870" s="41" t="str" cm="1">
        <f t="array" ref="L870">IFERROR(INDEX(DB!R$2:R$2576,T870),"")</f>
        <v/>
      </c>
      <c r="M870" s="43"/>
      <c r="P870" t="str" cm="1">
        <f t="array" ref="P870">IFERROR(_xlfn.AGGREGATE(15,6,ROW(DB!A$2:A$2576)/((($D$3&lt;&gt;"YES")+($D$3="YES")*(DB!E$2:E$2576="YES"))*(($D$4="")+($D$4&lt;&gt;"")*( DB!B$2:B$2576=$D$4))*(($D$5="")+($D$5&lt;&gt;"")*( DB!C$2:C$2576=$D$5))*(($D$6="")+($D$6&lt;&gt;"")*( DB!D$2:D$2576=$D$6))*(($D$7="")+($D$7&lt;&gt;"")*(ISNUMBER(SEARCH($D$7,DB!G$2:G$2576))))*(($F$7="전체")+($F$7&lt;&gt;"전체")*(DB!H$2:H$2576=$F$7))),ROW()-13)-1,"")</f>
        <v/>
      </c>
      <c r="Q870" t="str" cm="1">
        <f t="array" ref="Q870">IFERROR(INDEX(DB!G$2:G$2576,P870),"")</f>
        <v/>
      </c>
      <c r="R870" t="str" cm="1">
        <f t="array" ref="R870">IFERROR(INDEX(DB!O$2:O$2576,P870),"")</f>
        <v/>
      </c>
      <c r="S870" t="str">
        <f t="shared" si="42"/>
        <v/>
      </c>
      <c r="T870" t="str">
        <f t="shared" si="43"/>
        <v/>
      </c>
    </row>
    <row r="871" spans="1:20" ht="100" customHeight="1">
      <c r="A871" s="26"/>
      <c r="B871" s="42" t="str">
        <f t="shared" si="41"/>
        <v/>
      </c>
      <c r="C871" s="43"/>
      <c r="D871" s="51" t="str" cm="1">
        <f t="array" ref="D871">IFERROR(INDEX(DB!G$2:G$2576,T871),"")</f>
        <v/>
      </c>
      <c r="E871" s="43"/>
      <c r="F871" s="52" t="str" cm="1">
        <f t="array" ref="F871">IFERROR(INDEX(DB!O$2:O$2576,T871),"")</f>
        <v/>
      </c>
      <c r="G871" s="43"/>
      <c r="H871" s="40" t="str" cm="1">
        <f t="array" ref="H871">IFERROR(INDEX(DB!P$2:P$2576,T871),"")</f>
        <v/>
      </c>
      <c r="I871" s="43"/>
      <c r="J871" s="53" t="str" cm="1">
        <f t="array" ref="J871">IFERROR(INDEX(DB!Q$2:Q$2576,T871),"")</f>
        <v/>
      </c>
      <c r="K871" s="43"/>
      <c r="L871" s="41" t="str" cm="1">
        <f t="array" ref="L871">IFERROR(INDEX(DB!R$2:R$2576,T871),"")</f>
        <v/>
      </c>
      <c r="M871" s="43"/>
      <c r="P871" t="str" cm="1">
        <f t="array" ref="P871">IFERROR(_xlfn.AGGREGATE(15,6,ROW(DB!A$2:A$2576)/((($D$3&lt;&gt;"YES")+($D$3="YES")*(DB!E$2:E$2576="YES"))*(($D$4="")+($D$4&lt;&gt;"")*( DB!B$2:B$2576=$D$4))*(($D$5="")+($D$5&lt;&gt;"")*( DB!C$2:C$2576=$D$5))*(($D$6="")+($D$6&lt;&gt;"")*( DB!D$2:D$2576=$D$6))*(($D$7="")+($D$7&lt;&gt;"")*(ISNUMBER(SEARCH($D$7,DB!G$2:G$2576))))*(($F$7="전체")+($F$7&lt;&gt;"전체")*(DB!H$2:H$2576=$F$7))),ROW()-13)-1,"")</f>
        <v/>
      </c>
      <c r="Q871" t="str" cm="1">
        <f t="array" ref="Q871">IFERROR(INDEX(DB!G$2:G$2576,P871),"")</f>
        <v/>
      </c>
      <c r="R871" t="str" cm="1">
        <f t="array" ref="R871">IFERROR(INDEX(DB!O$2:O$2576,P871),"")</f>
        <v/>
      </c>
      <c r="S871" t="str">
        <f t="shared" si="42"/>
        <v/>
      </c>
      <c r="T871" t="str">
        <f t="shared" si="43"/>
        <v/>
      </c>
    </row>
    <row r="872" spans="1:20" ht="100" customHeight="1">
      <c r="A872" s="26"/>
      <c r="B872" s="39" t="str">
        <f t="shared" si="41"/>
        <v/>
      </c>
      <c r="C872" s="43"/>
      <c r="D872" s="51" t="str" cm="1">
        <f t="array" ref="D872">IFERROR(INDEX(DB!G$2:G$2576,T872),"")</f>
        <v/>
      </c>
      <c r="E872" s="43"/>
      <c r="F872" s="52" t="str" cm="1">
        <f t="array" ref="F872">IFERROR(INDEX(DB!O$2:O$2576,T872),"")</f>
        <v/>
      </c>
      <c r="G872" s="43"/>
      <c r="H872" s="40" t="str" cm="1">
        <f t="array" ref="H872">IFERROR(INDEX(DB!P$2:P$2576,T872),"")</f>
        <v/>
      </c>
      <c r="I872" s="43"/>
      <c r="J872" s="53" t="str" cm="1">
        <f t="array" ref="J872">IFERROR(INDEX(DB!Q$2:Q$2576,T872),"")</f>
        <v/>
      </c>
      <c r="K872" s="43"/>
      <c r="L872" s="41" t="str" cm="1">
        <f t="array" ref="L872">IFERROR(INDEX(DB!R$2:R$2576,T872),"")</f>
        <v/>
      </c>
      <c r="M872" s="43"/>
      <c r="P872" t="str" cm="1">
        <f t="array" ref="P872">IFERROR(_xlfn.AGGREGATE(15,6,ROW(DB!A$2:A$2576)/((($D$3&lt;&gt;"YES")+($D$3="YES")*(DB!E$2:E$2576="YES"))*(($D$4="")+($D$4&lt;&gt;"")*( DB!B$2:B$2576=$D$4))*(($D$5="")+($D$5&lt;&gt;"")*( DB!C$2:C$2576=$D$5))*(($D$6="")+($D$6&lt;&gt;"")*( DB!D$2:D$2576=$D$6))*(($D$7="")+($D$7&lt;&gt;"")*(ISNUMBER(SEARCH($D$7,DB!G$2:G$2576))))*(($F$7="전체")+($F$7&lt;&gt;"전체")*(DB!H$2:H$2576=$F$7))),ROW()-13)-1,"")</f>
        <v/>
      </c>
      <c r="Q872" t="str" cm="1">
        <f t="array" ref="Q872">IFERROR(INDEX(DB!G$2:G$2576,P872),"")</f>
        <v/>
      </c>
      <c r="R872" t="str" cm="1">
        <f t="array" ref="R872">IFERROR(INDEX(DB!O$2:O$2576,P872),"")</f>
        <v/>
      </c>
      <c r="S872" t="str">
        <f t="shared" si="42"/>
        <v/>
      </c>
      <c r="T872" t="str">
        <f t="shared" si="43"/>
        <v/>
      </c>
    </row>
    <row r="873" spans="1:20" ht="100" customHeight="1">
      <c r="A873" s="26"/>
      <c r="B873" s="42" t="str">
        <f t="shared" si="41"/>
        <v/>
      </c>
      <c r="C873" s="43"/>
      <c r="D873" s="51" t="str" cm="1">
        <f t="array" ref="D873">IFERROR(INDEX(DB!G$2:G$2576,T873),"")</f>
        <v/>
      </c>
      <c r="E873" s="43"/>
      <c r="F873" s="52" t="str" cm="1">
        <f t="array" ref="F873">IFERROR(INDEX(DB!O$2:O$2576,T873),"")</f>
        <v/>
      </c>
      <c r="G873" s="43"/>
      <c r="H873" s="40" t="str" cm="1">
        <f t="array" ref="H873">IFERROR(INDEX(DB!P$2:P$2576,T873),"")</f>
        <v/>
      </c>
      <c r="I873" s="43"/>
      <c r="J873" s="53" t="str" cm="1">
        <f t="array" ref="J873">IFERROR(INDEX(DB!Q$2:Q$2576,T873),"")</f>
        <v/>
      </c>
      <c r="K873" s="43"/>
      <c r="L873" s="41" t="str" cm="1">
        <f t="array" ref="L873">IFERROR(INDEX(DB!R$2:R$2576,T873),"")</f>
        <v/>
      </c>
      <c r="M873" s="43"/>
      <c r="P873" t="str" cm="1">
        <f t="array" ref="P873">IFERROR(_xlfn.AGGREGATE(15,6,ROW(DB!A$2:A$2576)/((($D$3&lt;&gt;"YES")+($D$3="YES")*(DB!E$2:E$2576="YES"))*(($D$4="")+($D$4&lt;&gt;"")*( DB!B$2:B$2576=$D$4))*(($D$5="")+($D$5&lt;&gt;"")*( DB!C$2:C$2576=$D$5))*(($D$6="")+($D$6&lt;&gt;"")*( DB!D$2:D$2576=$D$6))*(($D$7="")+($D$7&lt;&gt;"")*(ISNUMBER(SEARCH($D$7,DB!G$2:G$2576))))*(($F$7="전체")+($F$7&lt;&gt;"전체")*(DB!H$2:H$2576=$F$7))),ROW()-13)-1,"")</f>
        <v/>
      </c>
      <c r="Q873" t="str" cm="1">
        <f t="array" ref="Q873">IFERROR(INDEX(DB!G$2:G$2576,P873),"")</f>
        <v/>
      </c>
      <c r="R873" t="str" cm="1">
        <f t="array" ref="R873">IFERROR(INDEX(DB!O$2:O$2576,P873),"")</f>
        <v/>
      </c>
      <c r="S873" t="str">
        <f t="shared" si="42"/>
        <v/>
      </c>
      <c r="T873" t="str">
        <f t="shared" si="43"/>
        <v/>
      </c>
    </row>
    <row r="874" spans="1:20" ht="100" customHeight="1">
      <c r="A874" s="26"/>
      <c r="B874" s="39" t="str">
        <f t="shared" si="41"/>
        <v/>
      </c>
      <c r="C874" s="43"/>
      <c r="D874" s="51" t="str" cm="1">
        <f t="array" ref="D874">IFERROR(INDEX(DB!G$2:G$2576,T874),"")</f>
        <v/>
      </c>
      <c r="E874" s="43"/>
      <c r="F874" s="52" t="str" cm="1">
        <f t="array" ref="F874">IFERROR(INDEX(DB!O$2:O$2576,T874),"")</f>
        <v/>
      </c>
      <c r="G874" s="43"/>
      <c r="H874" s="40" t="str" cm="1">
        <f t="array" ref="H874">IFERROR(INDEX(DB!P$2:P$2576,T874),"")</f>
        <v/>
      </c>
      <c r="I874" s="43"/>
      <c r="J874" s="53" t="str" cm="1">
        <f t="array" ref="J874">IFERROR(INDEX(DB!Q$2:Q$2576,T874),"")</f>
        <v/>
      </c>
      <c r="K874" s="43"/>
      <c r="L874" s="41" t="str" cm="1">
        <f t="array" ref="L874">IFERROR(INDEX(DB!R$2:R$2576,T874),"")</f>
        <v/>
      </c>
      <c r="M874" s="43"/>
      <c r="P874" t="str" cm="1">
        <f t="array" ref="P874">IFERROR(_xlfn.AGGREGATE(15,6,ROW(DB!A$2:A$2576)/((($D$3&lt;&gt;"YES")+($D$3="YES")*(DB!E$2:E$2576="YES"))*(($D$4="")+($D$4&lt;&gt;"")*( DB!B$2:B$2576=$D$4))*(($D$5="")+($D$5&lt;&gt;"")*( DB!C$2:C$2576=$D$5))*(($D$6="")+($D$6&lt;&gt;"")*( DB!D$2:D$2576=$D$6))*(($D$7="")+($D$7&lt;&gt;"")*(ISNUMBER(SEARCH($D$7,DB!G$2:G$2576))))*(($F$7="전체")+($F$7&lt;&gt;"전체")*(DB!H$2:H$2576=$F$7))),ROW()-13)-1,"")</f>
        <v/>
      </c>
      <c r="Q874" t="str" cm="1">
        <f t="array" ref="Q874">IFERROR(INDEX(DB!G$2:G$2576,P874),"")</f>
        <v/>
      </c>
      <c r="R874" t="str" cm="1">
        <f t="array" ref="R874">IFERROR(INDEX(DB!O$2:O$2576,P874),"")</f>
        <v/>
      </c>
      <c r="S874" t="str">
        <f t="shared" si="42"/>
        <v/>
      </c>
      <c r="T874" t="str">
        <f t="shared" si="43"/>
        <v/>
      </c>
    </row>
    <row r="875" spans="1:20" ht="100" customHeight="1">
      <c r="A875" s="26"/>
      <c r="B875" s="42" t="str">
        <f t="shared" si="41"/>
        <v/>
      </c>
      <c r="C875" s="43"/>
      <c r="D875" s="51" t="str" cm="1">
        <f t="array" ref="D875">IFERROR(INDEX(DB!G$2:G$2576,T875),"")</f>
        <v/>
      </c>
      <c r="E875" s="43"/>
      <c r="F875" s="52" t="str" cm="1">
        <f t="array" ref="F875">IFERROR(INDEX(DB!O$2:O$2576,T875),"")</f>
        <v/>
      </c>
      <c r="G875" s="43"/>
      <c r="H875" s="40" t="str" cm="1">
        <f t="array" ref="H875">IFERROR(INDEX(DB!P$2:P$2576,T875),"")</f>
        <v/>
      </c>
      <c r="I875" s="43"/>
      <c r="J875" s="53" t="str" cm="1">
        <f t="array" ref="J875">IFERROR(INDEX(DB!Q$2:Q$2576,T875),"")</f>
        <v/>
      </c>
      <c r="K875" s="43"/>
      <c r="L875" s="41" t="str" cm="1">
        <f t="array" ref="L875">IFERROR(INDEX(DB!R$2:R$2576,T875),"")</f>
        <v/>
      </c>
      <c r="M875" s="43"/>
      <c r="P875" t="str" cm="1">
        <f t="array" ref="P875">IFERROR(_xlfn.AGGREGATE(15,6,ROW(DB!A$2:A$2576)/((($D$3&lt;&gt;"YES")+($D$3="YES")*(DB!E$2:E$2576="YES"))*(($D$4="")+($D$4&lt;&gt;"")*( DB!B$2:B$2576=$D$4))*(($D$5="")+($D$5&lt;&gt;"")*( DB!C$2:C$2576=$D$5))*(($D$6="")+($D$6&lt;&gt;"")*( DB!D$2:D$2576=$D$6))*(($D$7="")+($D$7&lt;&gt;"")*(ISNUMBER(SEARCH($D$7,DB!G$2:G$2576))))*(($F$7="전체")+($F$7&lt;&gt;"전체")*(DB!H$2:H$2576=$F$7))),ROW()-13)-1,"")</f>
        <v/>
      </c>
      <c r="Q875" t="str" cm="1">
        <f t="array" ref="Q875">IFERROR(INDEX(DB!G$2:G$2576,P875),"")</f>
        <v/>
      </c>
      <c r="R875" t="str" cm="1">
        <f t="array" ref="R875">IFERROR(INDEX(DB!O$2:O$2576,P875),"")</f>
        <v/>
      </c>
      <c r="S875" t="str">
        <f t="shared" si="42"/>
        <v/>
      </c>
      <c r="T875" t="str">
        <f t="shared" si="43"/>
        <v/>
      </c>
    </row>
    <row r="876" spans="1:20" ht="100" customHeight="1">
      <c r="A876" s="26"/>
      <c r="B876" s="39" t="str">
        <f t="shared" si="41"/>
        <v/>
      </c>
      <c r="C876" s="43"/>
      <c r="D876" s="51" t="str" cm="1">
        <f t="array" ref="D876">IFERROR(INDEX(DB!G$2:G$2576,T876),"")</f>
        <v/>
      </c>
      <c r="E876" s="43"/>
      <c r="F876" s="52" t="str" cm="1">
        <f t="array" ref="F876">IFERROR(INDEX(DB!O$2:O$2576,T876),"")</f>
        <v/>
      </c>
      <c r="G876" s="43"/>
      <c r="H876" s="40" t="str" cm="1">
        <f t="array" ref="H876">IFERROR(INDEX(DB!P$2:P$2576,T876),"")</f>
        <v/>
      </c>
      <c r="I876" s="43"/>
      <c r="J876" s="53" t="str" cm="1">
        <f t="array" ref="J876">IFERROR(INDEX(DB!Q$2:Q$2576,T876),"")</f>
        <v/>
      </c>
      <c r="K876" s="43"/>
      <c r="L876" s="41" t="str" cm="1">
        <f t="array" ref="L876">IFERROR(INDEX(DB!R$2:R$2576,T876),"")</f>
        <v/>
      </c>
      <c r="M876" s="43"/>
      <c r="P876" t="str" cm="1">
        <f t="array" ref="P876">IFERROR(_xlfn.AGGREGATE(15,6,ROW(DB!A$2:A$2576)/((($D$3&lt;&gt;"YES")+($D$3="YES")*(DB!E$2:E$2576="YES"))*(($D$4="")+($D$4&lt;&gt;"")*( DB!B$2:B$2576=$D$4))*(($D$5="")+($D$5&lt;&gt;"")*( DB!C$2:C$2576=$D$5))*(($D$6="")+($D$6&lt;&gt;"")*( DB!D$2:D$2576=$D$6))*(($D$7="")+($D$7&lt;&gt;"")*(ISNUMBER(SEARCH($D$7,DB!G$2:G$2576))))*(($F$7="전체")+($F$7&lt;&gt;"전체")*(DB!H$2:H$2576=$F$7))),ROW()-13)-1,"")</f>
        <v/>
      </c>
      <c r="Q876" t="str" cm="1">
        <f t="array" ref="Q876">IFERROR(INDEX(DB!G$2:G$2576,P876),"")</f>
        <v/>
      </c>
      <c r="R876" t="str" cm="1">
        <f t="array" ref="R876">IFERROR(INDEX(DB!O$2:O$2576,P876),"")</f>
        <v/>
      </c>
      <c r="S876" t="str">
        <f t="shared" si="42"/>
        <v/>
      </c>
      <c r="T876" t="str">
        <f t="shared" si="43"/>
        <v/>
      </c>
    </row>
    <row r="877" spans="1:20" ht="100" customHeight="1">
      <c r="A877" s="26"/>
      <c r="B877" s="42" t="str">
        <f t="shared" si="41"/>
        <v/>
      </c>
      <c r="C877" s="43"/>
      <c r="D877" s="51" t="str" cm="1">
        <f t="array" ref="D877">IFERROR(INDEX(DB!G$2:G$2576,T877),"")</f>
        <v/>
      </c>
      <c r="E877" s="43"/>
      <c r="F877" s="52" t="str" cm="1">
        <f t="array" ref="F877">IFERROR(INDEX(DB!O$2:O$2576,T877),"")</f>
        <v/>
      </c>
      <c r="G877" s="43"/>
      <c r="H877" s="40" t="str" cm="1">
        <f t="array" ref="H877">IFERROR(INDEX(DB!P$2:P$2576,T877),"")</f>
        <v/>
      </c>
      <c r="I877" s="43"/>
      <c r="J877" s="53" t="str" cm="1">
        <f t="array" ref="J877">IFERROR(INDEX(DB!Q$2:Q$2576,T877),"")</f>
        <v/>
      </c>
      <c r="K877" s="43"/>
      <c r="L877" s="41" t="str" cm="1">
        <f t="array" ref="L877">IFERROR(INDEX(DB!R$2:R$2576,T877),"")</f>
        <v/>
      </c>
      <c r="M877" s="43"/>
      <c r="P877" t="str" cm="1">
        <f t="array" ref="P877">IFERROR(_xlfn.AGGREGATE(15,6,ROW(DB!A$2:A$2576)/((($D$3&lt;&gt;"YES")+($D$3="YES")*(DB!E$2:E$2576="YES"))*(($D$4="")+($D$4&lt;&gt;"")*( DB!B$2:B$2576=$D$4))*(($D$5="")+($D$5&lt;&gt;"")*( DB!C$2:C$2576=$D$5))*(($D$6="")+($D$6&lt;&gt;"")*( DB!D$2:D$2576=$D$6))*(($D$7="")+($D$7&lt;&gt;"")*(ISNUMBER(SEARCH($D$7,DB!G$2:G$2576))))*(($F$7="전체")+($F$7&lt;&gt;"전체")*(DB!H$2:H$2576=$F$7))),ROW()-13)-1,"")</f>
        <v/>
      </c>
      <c r="Q877" t="str" cm="1">
        <f t="array" ref="Q877">IFERROR(INDEX(DB!G$2:G$2576,P877),"")</f>
        <v/>
      </c>
      <c r="R877" t="str" cm="1">
        <f t="array" ref="R877">IFERROR(INDEX(DB!O$2:O$2576,P877),"")</f>
        <v/>
      </c>
      <c r="S877" t="str">
        <f t="shared" si="42"/>
        <v/>
      </c>
      <c r="T877" t="str">
        <f t="shared" si="43"/>
        <v/>
      </c>
    </row>
    <row r="878" spans="1:20" ht="100" customHeight="1">
      <c r="A878" s="26"/>
      <c r="B878" s="39" t="str">
        <f t="shared" si="41"/>
        <v/>
      </c>
      <c r="C878" s="43"/>
      <c r="D878" s="51" t="str" cm="1">
        <f t="array" ref="D878">IFERROR(INDEX(DB!G$2:G$2576,T878),"")</f>
        <v/>
      </c>
      <c r="E878" s="43"/>
      <c r="F878" s="52" t="str" cm="1">
        <f t="array" ref="F878">IFERROR(INDEX(DB!O$2:O$2576,T878),"")</f>
        <v/>
      </c>
      <c r="G878" s="43"/>
      <c r="H878" s="40" t="str" cm="1">
        <f t="array" ref="H878">IFERROR(INDEX(DB!P$2:P$2576,T878),"")</f>
        <v/>
      </c>
      <c r="I878" s="43"/>
      <c r="J878" s="53" t="str" cm="1">
        <f t="array" ref="J878">IFERROR(INDEX(DB!Q$2:Q$2576,T878),"")</f>
        <v/>
      </c>
      <c r="K878" s="43"/>
      <c r="L878" s="41" t="str" cm="1">
        <f t="array" ref="L878">IFERROR(INDEX(DB!R$2:R$2576,T878),"")</f>
        <v/>
      </c>
      <c r="M878" s="43"/>
      <c r="P878" t="str" cm="1">
        <f t="array" ref="P878">IFERROR(_xlfn.AGGREGATE(15,6,ROW(DB!A$2:A$2576)/((($D$3&lt;&gt;"YES")+($D$3="YES")*(DB!E$2:E$2576="YES"))*(($D$4="")+($D$4&lt;&gt;"")*( DB!B$2:B$2576=$D$4))*(($D$5="")+($D$5&lt;&gt;"")*( DB!C$2:C$2576=$D$5))*(($D$6="")+($D$6&lt;&gt;"")*( DB!D$2:D$2576=$D$6))*(($D$7="")+($D$7&lt;&gt;"")*(ISNUMBER(SEARCH($D$7,DB!G$2:G$2576))))*(($F$7="전체")+($F$7&lt;&gt;"전체")*(DB!H$2:H$2576=$F$7))),ROW()-13)-1,"")</f>
        <v/>
      </c>
      <c r="Q878" t="str" cm="1">
        <f t="array" ref="Q878">IFERROR(INDEX(DB!G$2:G$2576,P878),"")</f>
        <v/>
      </c>
      <c r="R878" t="str" cm="1">
        <f t="array" ref="R878">IFERROR(INDEX(DB!O$2:O$2576,P878),"")</f>
        <v/>
      </c>
      <c r="S878" t="str">
        <f t="shared" si="42"/>
        <v/>
      </c>
      <c r="T878" t="str">
        <f t="shared" si="43"/>
        <v/>
      </c>
    </row>
    <row r="879" spans="1:20" ht="100" customHeight="1">
      <c r="A879" s="26"/>
      <c r="B879" s="42" t="str">
        <f t="shared" si="41"/>
        <v/>
      </c>
      <c r="C879" s="43"/>
      <c r="D879" s="51" t="str" cm="1">
        <f t="array" ref="D879">IFERROR(INDEX(DB!G$2:G$2576,T879),"")</f>
        <v/>
      </c>
      <c r="E879" s="43"/>
      <c r="F879" s="52" t="str" cm="1">
        <f t="array" ref="F879">IFERROR(INDEX(DB!O$2:O$2576,T879),"")</f>
        <v/>
      </c>
      <c r="G879" s="43"/>
      <c r="H879" s="40" t="str" cm="1">
        <f t="array" ref="H879">IFERROR(INDEX(DB!P$2:P$2576,T879),"")</f>
        <v/>
      </c>
      <c r="I879" s="43"/>
      <c r="J879" s="53" t="str" cm="1">
        <f t="array" ref="J879">IFERROR(INDEX(DB!Q$2:Q$2576,T879),"")</f>
        <v/>
      </c>
      <c r="K879" s="43"/>
      <c r="L879" s="41" t="str" cm="1">
        <f t="array" ref="L879">IFERROR(INDEX(DB!R$2:R$2576,T879),"")</f>
        <v/>
      </c>
      <c r="M879" s="43"/>
      <c r="P879" t="str" cm="1">
        <f t="array" ref="P879">IFERROR(_xlfn.AGGREGATE(15,6,ROW(DB!A$2:A$2576)/((($D$3&lt;&gt;"YES")+($D$3="YES")*(DB!E$2:E$2576="YES"))*(($D$4="")+($D$4&lt;&gt;"")*( DB!B$2:B$2576=$D$4))*(($D$5="")+($D$5&lt;&gt;"")*( DB!C$2:C$2576=$D$5))*(($D$6="")+($D$6&lt;&gt;"")*( DB!D$2:D$2576=$D$6))*(($D$7="")+($D$7&lt;&gt;"")*(ISNUMBER(SEARCH($D$7,DB!G$2:G$2576))))*(($F$7="전체")+($F$7&lt;&gt;"전체")*(DB!H$2:H$2576=$F$7))),ROW()-13)-1,"")</f>
        <v/>
      </c>
      <c r="Q879" t="str" cm="1">
        <f t="array" ref="Q879">IFERROR(INDEX(DB!G$2:G$2576,P879),"")</f>
        <v/>
      </c>
      <c r="R879" t="str" cm="1">
        <f t="array" ref="R879">IFERROR(INDEX(DB!O$2:O$2576,P879),"")</f>
        <v/>
      </c>
      <c r="S879" t="str">
        <f t="shared" si="42"/>
        <v/>
      </c>
      <c r="T879" t="str">
        <f t="shared" si="43"/>
        <v/>
      </c>
    </row>
    <row r="880" spans="1:20" ht="100" customHeight="1">
      <c r="A880" s="26"/>
      <c r="B880" s="39" t="str">
        <f t="shared" si="41"/>
        <v/>
      </c>
      <c r="C880" s="43"/>
      <c r="D880" s="51" t="str" cm="1">
        <f t="array" ref="D880">IFERROR(INDEX(DB!G$2:G$2576,T880),"")</f>
        <v/>
      </c>
      <c r="E880" s="43"/>
      <c r="F880" s="52" t="str" cm="1">
        <f t="array" ref="F880">IFERROR(INDEX(DB!O$2:O$2576,T880),"")</f>
        <v/>
      </c>
      <c r="G880" s="43"/>
      <c r="H880" s="40" t="str" cm="1">
        <f t="array" ref="H880">IFERROR(INDEX(DB!P$2:P$2576,T880),"")</f>
        <v/>
      </c>
      <c r="I880" s="43"/>
      <c r="J880" s="53" t="str" cm="1">
        <f t="array" ref="J880">IFERROR(INDEX(DB!Q$2:Q$2576,T880),"")</f>
        <v/>
      </c>
      <c r="K880" s="43"/>
      <c r="L880" s="41" t="str" cm="1">
        <f t="array" ref="L880">IFERROR(INDEX(DB!R$2:R$2576,T880),"")</f>
        <v/>
      </c>
      <c r="M880" s="43"/>
      <c r="P880" t="str" cm="1">
        <f t="array" ref="P880">IFERROR(_xlfn.AGGREGATE(15,6,ROW(DB!A$2:A$2576)/((($D$3&lt;&gt;"YES")+($D$3="YES")*(DB!E$2:E$2576="YES"))*(($D$4="")+($D$4&lt;&gt;"")*( DB!B$2:B$2576=$D$4))*(($D$5="")+($D$5&lt;&gt;"")*( DB!C$2:C$2576=$D$5))*(($D$6="")+($D$6&lt;&gt;"")*( DB!D$2:D$2576=$D$6))*(($D$7="")+($D$7&lt;&gt;"")*(ISNUMBER(SEARCH($D$7,DB!G$2:G$2576))))*(($F$7="전체")+($F$7&lt;&gt;"전체")*(DB!H$2:H$2576=$F$7))),ROW()-13)-1,"")</f>
        <v/>
      </c>
      <c r="Q880" t="str" cm="1">
        <f t="array" ref="Q880">IFERROR(INDEX(DB!G$2:G$2576,P880),"")</f>
        <v/>
      </c>
      <c r="R880" t="str" cm="1">
        <f t="array" ref="R880">IFERROR(INDEX(DB!O$2:O$2576,P880),"")</f>
        <v/>
      </c>
      <c r="S880" t="str">
        <f t="shared" si="42"/>
        <v/>
      </c>
      <c r="T880" t="str">
        <f t="shared" si="43"/>
        <v/>
      </c>
    </row>
    <row r="881" spans="1:20" ht="100" customHeight="1">
      <c r="A881" s="26"/>
      <c r="B881" s="42" t="str">
        <f t="shared" si="41"/>
        <v/>
      </c>
      <c r="C881" s="43"/>
      <c r="D881" s="51" t="str" cm="1">
        <f t="array" ref="D881">IFERROR(INDEX(DB!G$2:G$2576,T881),"")</f>
        <v/>
      </c>
      <c r="E881" s="43"/>
      <c r="F881" s="52" t="str" cm="1">
        <f t="array" ref="F881">IFERROR(INDEX(DB!O$2:O$2576,T881),"")</f>
        <v/>
      </c>
      <c r="G881" s="43"/>
      <c r="H881" s="40" t="str" cm="1">
        <f t="array" ref="H881">IFERROR(INDEX(DB!P$2:P$2576,T881),"")</f>
        <v/>
      </c>
      <c r="I881" s="43"/>
      <c r="J881" s="53" t="str" cm="1">
        <f t="array" ref="J881">IFERROR(INDEX(DB!Q$2:Q$2576,T881),"")</f>
        <v/>
      </c>
      <c r="K881" s="43"/>
      <c r="L881" s="41" t="str" cm="1">
        <f t="array" ref="L881">IFERROR(INDEX(DB!R$2:R$2576,T881),"")</f>
        <v/>
      </c>
      <c r="M881" s="43"/>
      <c r="P881" t="str" cm="1">
        <f t="array" ref="P881">IFERROR(_xlfn.AGGREGATE(15,6,ROW(DB!A$2:A$2576)/((($D$3&lt;&gt;"YES")+($D$3="YES")*(DB!E$2:E$2576="YES"))*(($D$4="")+($D$4&lt;&gt;"")*( DB!B$2:B$2576=$D$4))*(($D$5="")+($D$5&lt;&gt;"")*( DB!C$2:C$2576=$D$5))*(($D$6="")+($D$6&lt;&gt;"")*( DB!D$2:D$2576=$D$6))*(($D$7="")+($D$7&lt;&gt;"")*(ISNUMBER(SEARCH($D$7,DB!G$2:G$2576))))*(($F$7="전체")+($F$7&lt;&gt;"전체")*(DB!H$2:H$2576=$F$7))),ROW()-13)-1,"")</f>
        <v/>
      </c>
      <c r="Q881" t="str" cm="1">
        <f t="array" ref="Q881">IFERROR(INDEX(DB!G$2:G$2576,P881),"")</f>
        <v/>
      </c>
      <c r="R881" t="str" cm="1">
        <f t="array" ref="R881">IFERROR(INDEX(DB!O$2:O$2576,P881),"")</f>
        <v/>
      </c>
      <c r="S881" t="str">
        <f t="shared" si="42"/>
        <v/>
      </c>
      <c r="T881" t="str">
        <f t="shared" si="43"/>
        <v/>
      </c>
    </row>
    <row r="882" spans="1:20" ht="100" customHeight="1">
      <c r="A882" s="26"/>
      <c r="B882" s="39" t="str">
        <f t="shared" si="41"/>
        <v/>
      </c>
      <c r="C882" s="43"/>
      <c r="D882" s="51" t="str" cm="1">
        <f t="array" ref="D882">IFERROR(INDEX(DB!G$2:G$2576,T882),"")</f>
        <v/>
      </c>
      <c r="E882" s="43"/>
      <c r="F882" s="52" t="str" cm="1">
        <f t="array" ref="F882">IFERROR(INDEX(DB!O$2:O$2576,T882),"")</f>
        <v/>
      </c>
      <c r="G882" s="43"/>
      <c r="H882" s="40" t="str" cm="1">
        <f t="array" ref="H882">IFERROR(INDEX(DB!P$2:P$2576,T882),"")</f>
        <v/>
      </c>
      <c r="I882" s="43"/>
      <c r="J882" s="53" t="str" cm="1">
        <f t="array" ref="J882">IFERROR(INDEX(DB!Q$2:Q$2576,T882),"")</f>
        <v/>
      </c>
      <c r="K882" s="43"/>
      <c r="L882" s="41" t="str" cm="1">
        <f t="array" ref="L882">IFERROR(INDEX(DB!R$2:R$2576,T882),"")</f>
        <v/>
      </c>
      <c r="M882" s="43"/>
      <c r="P882" t="str" cm="1">
        <f t="array" ref="P882">IFERROR(_xlfn.AGGREGATE(15,6,ROW(DB!A$2:A$2576)/((($D$3&lt;&gt;"YES")+($D$3="YES")*(DB!E$2:E$2576="YES"))*(($D$4="")+($D$4&lt;&gt;"")*( DB!B$2:B$2576=$D$4))*(($D$5="")+($D$5&lt;&gt;"")*( DB!C$2:C$2576=$D$5))*(($D$6="")+($D$6&lt;&gt;"")*( DB!D$2:D$2576=$D$6))*(($D$7="")+($D$7&lt;&gt;"")*(ISNUMBER(SEARCH($D$7,DB!G$2:G$2576))))*(($F$7="전체")+($F$7&lt;&gt;"전체")*(DB!H$2:H$2576=$F$7))),ROW()-13)-1,"")</f>
        <v/>
      </c>
      <c r="Q882" t="str" cm="1">
        <f t="array" ref="Q882">IFERROR(INDEX(DB!G$2:G$2576,P882),"")</f>
        <v/>
      </c>
      <c r="R882" t="str" cm="1">
        <f t="array" ref="R882">IFERROR(INDEX(DB!O$2:O$2576,P882),"")</f>
        <v/>
      </c>
      <c r="S882" t="str">
        <f t="shared" si="42"/>
        <v/>
      </c>
      <c r="T882" t="str">
        <f t="shared" si="43"/>
        <v/>
      </c>
    </row>
    <row r="883" spans="1:20" ht="100" customHeight="1">
      <c r="A883" s="26"/>
      <c r="B883" s="42" t="str">
        <f t="shared" si="41"/>
        <v/>
      </c>
      <c r="C883" s="43"/>
      <c r="D883" s="51" t="str" cm="1">
        <f t="array" ref="D883">IFERROR(INDEX(DB!G$2:G$2576,T883),"")</f>
        <v/>
      </c>
      <c r="E883" s="43"/>
      <c r="F883" s="52" t="str" cm="1">
        <f t="array" ref="F883">IFERROR(INDEX(DB!O$2:O$2576,T883),"")</f>
        <v/>
      </c>
      <c r="G883" s="43"/>
      <c r="H883" s="40" t="str" cm="1">
        <f t="array" ref="H883">IFERROR(INDEX(DB!P$2:P$2576,T883),"")</f>
        <v/>
      </c>
      <c r="I883" s="43"/>
      <c r="J883" s="53" t="str" cm="1">
        <f t="array" ref="J883">IFERROR(INDEX(DB!Q$2:Q$2576,T883),"")</f>
        <v/>
      </c>
      <c r="K883" s="43"/>
      <c r="L883" s="41" t="str" cm="1">
        <f t="array" ref="L883">IFERROR(INDEX(DB!R$2:R$2576,T883),"")</f>
        <v/>
      </c>
      <c r="M883" s="43"/>
      <c r="P883" t="str" cm="1">
        <f t="array" ref="P883">IFERROR(_xlfn.AGGREGATE(15,6,ROW(DB!A$2:A$2576)/((($D$3&lt;&gt;"YES")+($D$3="YES")*(DB!E$2:E$2576="YES"))*(($D$4="")+($D$4&lt;&gt;"")*( DB!B$2:B$2576=$D$4))*(($D$5="")+($D$5&lt;&gt;"")*( DB!C$2:C$2576=$D$5))*(($D$6="")+($D$6&lt;&gt;"")*( DB!D$2:D$2576=$D$6))*(($D$7="")+($D$7&lt;&gt;"")*(ISNUMBER(SEARCH($D$7,DB!G$2:G$2576))))*(($F$7="전체")+($F$7&lt;&gt;"전체")*(DB!H$2:H$2576=$F$7))),ROW()-13)-1,"")</f>
        <v/>
      </c>
      <c r="Q883" t="str" cm="1">
        <f t="array" ref="Q883">IFERROR(INDEX(DB!G$2:G$2576,P883),"")</f>
        <v/>
      </c>
      <c r="R883" t="str" cm="1">
        <f t="array" ref="R883">IFERROR(INDEX(DB!O$2:O$2576,P883),"")</f>
        <v/>
      </c>
      <c r="S883" t="str">
        <f t="shared" si="42"/>
        <v/>
      </c>
      <c r="T883" t="str">
        <f t="shared" si="43"/>
        <v/>
      </c>
    </row>
    <row r="884" spans="1:20" ht="100" customHeight="1">
      <c r="A884" s="26"/>
      <c r="B884" s="39" t="str">
        <f t="shared" si="41"/>
        <v/>
      </c>
      <c r="C884" s="43"/>
      <c r="D884" s="51" t="str" cm="1">
        <f t="array" ref="D884">IFERROR(INDEX(DB!G$2:G$2576,T884),"")</f>
        <v/>
      </c>
      <c r="E884" s="43"/>
      <c r="F884" s="52" t="str" cm="1">
        <f t="array" ref="F884">IFERROR(INDEX(DB!O$2:O$2576,T884),"")</f>
        <v/>
      </c>
      <c r="G884" s="43"/>
      <c r="H884" s="40" t="str" cm="1">
        <f t="array" ref="H884">IFERROR(INDEX(DB!P$2:P$2576,T884),"")</f>
        <v/>
      </c>
      <c r="I884" s="43"/>
      <c r="J884" s="53" t="str" cm="1">
        <f t="array" ref="J884">IFERROR(INDEX(DB!Q$2:Q$2576,T884),"")</f>
        <v/>
      </c>
      <c r="K884" s="43"/>
      <c r="L884" s="41" t="str" cm="1">
        <f t="array" ref="L884">IFERROR(INDEX(DB!R$2:R$2576,T884),"")</f>
        <v/>
      </c>
      <c r="M884" s="43"/>
      <c r="P884" t="str" cm="1">
        <f t="array" ref="P884">IFERROR(_xlfn.AGGREGATE(15,6,ROW(DB!A$2:A$2576)/((($D$3&lt;&gt;"YES")+($D$3="YES")*(DB!E$2:E$2576="YES"))*(($D$4="")+($D$4&lt;&gt;"")*( DB!B$2:B$2576=$D$4))*(($D$5="")+($D$5&lt;&gt;"")*( DB!C$2:C$2576=$D$5))*(($D$6="")+($D$6&lt;&gt;"")*( DB!D$2:D$2576=$D$6))*(($D$7="")+($D$7&lt;&gt;"")*(ISNUMBER(SEARCH($D$7,DB!G$2:G$2576))))*(($F$7="전체")+($F$7&lt;&gt;"전체")*(DB!H$2:H$2576=$F$7))),ROW()-13)-1,"")</f>
        <v/>
      </c>
      <c r="Q884" t="str" cm="1">
        <f t="array" ref="Q884">IFERROR(INDEX(DB!G$2:G$2576,P884),"")</f>
        <v/>
      </c>
      <c r="R884" t="str" cm="1">
        <f t="array" ref="R884">IFERROR(INDEX(DB!O$2:O$2576,P884),"")</f>
        <v/>
      </c>
      <c r="S884" t="str">
        <f t="shared" si="42"/>
        <v/>
      </c>
      <c r="T884" t="str">
        <f t="shared" si="43"/>
        <v/>
      </c>
    </row>
    <row r="885" spans="1:20" ht="100" customHeight="1">
      <c r="A885" s="26"/>
      <c r="B885" s="42" t="str">
        <f t="shared" si="41"/>
        <v/>
      </c>
      <c r="C885" s="43"/>
      <c r="D885" s="51" t="str" cm="1">
        <f t="array" ref="D885">IFERROR(INDEX(DB!G$2:G$2576,T885),"")</f>
        <v/>
      </c>
      <c r="E885" s="43"/>
      <c r="F885" s="52" t="str" cm="1">
        <f t="array" ref="F885">IFERROR(INDEX(DB!O$2:O$2576,T885),"")</f>
        <v/>
      </c>
      <c r="G885" s="43"/>
      <c r="H885" s="40" t="str" cm="1">
        <f t="array" ref="H885">IFERROR(INDEX(DB!P$2:P$2576,T885),"")</f>
        <v/>
      </c>
      <c r="I885" s="43"/>
      <c r="J885" s="53" t="str" cm="1">
        <f t="array" ref="J885">IFERROR(INDEX(DB!Q$2:Q$2576,T885),"")</f>
        <v/>
      </c>
      <c r="K885" s="43"/>
      <c r="L885" s="41" t="str" cm="1">
        <f t="array" ref="L885">IFERROR(INDEX(DB!R$2:R$2576,T885),"")</f>
        <v/>
      </c>
      <c r="M885" s="43"/>
      <c r="P885" t="str" cm="1">
        <f t="array" ref="P885">IFERROR(_xlfn.AGGREGATE(15,6,ROW(DB!A$2:A$2576)/((($D$3&lt;&gt;"YES")+($D$3="YES")*(DB!E$2:E$2576="YES"))*(($D$4="")+($D$4&lt;&gt;"")*( DB!B$2:B$2576=$D$4))*(($D$5="")+($D$5&lt;&gt;"")*( DB!C$2:C$2576=$D$5))*(($D$6="")+($D$6&lt;&gt;"")*( DB!D$2:D$2576=$D$6))*(($D$7="")+($D$7&lt;&gt;"")*(ISNUMBER(SEARCH($D$7,DB!G$2:G$2576))))*(($F$7="전체")+($F$7&lt;&gt;"전체")*(DB!H$2:H$2576=$F$7))),ROW()-13)-1,"")</f>
        <v/>
      </c>
      <c r="Q885" t="str" cm="1">
        <f t="array" ref="Q885">IFERROR(INDEX(DB!G$2:G$2576,P885),"")</f>
        <v/>
      </c>
      <c r="R885" t="str" cm="1">
        <f t="array" ref="R885">IFERROR(INDEX(DB!O$2:O$2576,P885),"")</f>
        <v/>
      </c>
      <c r="S885" t="str">
        <f t="shared" si="42"/>
        <v/>
      </c>
      <c r="T885" t="str">
        <f t="shared" si="43"/>
        <v/>
      </c>
    </row>
    <row r="886" spans="1:20" ht="100" customHeight="1">
      <c r="A886" s="26"/>
      <c r="B886" s="39" t="str">
        <f t="shared" si="41"/>
        <v/>
      </c>
      <c r="C886" s="43"/>
      <c r="D886" s="51" t="str" cm="1">
        <f t="array" ref="D886">IFERROR(INDEX(DB!G$2:G$2576,T886),"")</f>
        <v/>
      </c>
      <c r="E886" s="43"/>
      <c r="F886" s="52" t="str" cm="1">
        <f t="array" ref="F886">IFERROR(INDEX(DB!O$2:O$2576,T886),"")</f>
        <v/>
      </c>
      <c r="G886" s="43"/>
      <c r="H886" s="40" t="str" cm="1">
        <f t="array" ref="H886">IFERROR(INDEX(DB!P$2:P$2576,T886),"")</f>
        <v/>
      </c>
      <c r="I886" s="43"/>
      <c r="J886" s="53" t="str" cm="1">
        <f t="array" ref="J886">IFERROR(INDEX(DB!Q$2:Q$2576,T886),"")</f>
        <v/>
      </c>
      <c r="K886" s="43"/>
      <c r="L886" s="41" t="str" cm="1">
        <f t="array" ref="L886">IFERROR(INDEX(DB!R$2:R$2576,T886),"")</f>
        <v/>
      </c>
      <c r="M886" s="43"/>
      <c r="P886" t="str" cm="1">
        <f t="array" ref="P886">IFERROR(_xlfn.AGGREGATE(15,6,ROW(DB!A$2:A$2576)/((($D$3&lt;&gt;"YES")+($D$3="YES")*(DB!E$2:E$2576="YES"))*(($D$4="")+($D$4&lt;&gt;"")*( DB!B$2:B$2576=$D$4))*(($D$5="")+($D$5&lt;&gt;"")*( DB!C$2:C$2576=$D$5))*(($D$6="")+($D$6&lt;&gt;"")*( DB!D$2:D$2576=$D$6))*(($D$7="")+($D$7&lt;&gt;"")*(ISNUMBER(SEARCH($D$7,DB!G$2:G$2576))))*(($F$7="전체")+($F$7&lt;&gt;"전체")*(DB!H$2:H$2576=$F$7))),ROW()-13)-1,"")</f>
        <v/>
      </c>
      <c r="Q886" t="str" cm="1">
        <f t="array" ref="Q886">IFERROR(INDEX(DB!G$2:G$2576,P886),"")</f>
        <v/>
      </c>
      <c r="R886" t="str" cm="1">
        <f t="array" ref="R886">IFERROR(INDEX(DB!O$2:O$2576,P886),"")</f>
        <v/>
      </c>
      <c r="S886" t="str">
        <f t="shared" si="42"/>
        <v/>
      </c>
      <c r="T886" t="str">
        <f t="shared" si="43"/>
        <v/>
      </c>
    </row>
    <row r="887" spans="1:20" ht="100" customHeight="1">
      <c r="A887" s="26"/>
      <c r="B887" s="42" t="str">
        <f t="shared" si="41"/>
        <v/>
      </c>
      <c r="C887" s="43"/>
      <c r="D887" s="51" t="str" cm="1">
        <f t="array" ref="D887">IFERROR(INDEX(DB!G$2:G$2576,T887),"")</f>
        <v/>
      </c>
      <c r="E887" s="43"/>
      <c r="F887" s="52" t="str" cm="1">
        <f t="array" ref="F887">IFERROR(INDEX(DB!O$2:O$2576,T887),"")</f>
        <v/>
      </c>
      <c r="G887" s="43"/>
      <c r="H887" s="40" t="str" cm="1">
        <f t="array" ref="H887">IFERROR(INDEX(DB!P$2:P$2576,T887),"")</f>
        <v/>
      </c>
      <c r="I887" s="43"/>
      <c r="J887" s="53" t="str" cm="1">
        <f t="array" ref="J887">IFERROR(INDEX(DB!Q$2:Q$2576,T887),"")</f>
        <v/>
      </c>
      <c r="K887" s="43"/>
      <c r="L887" s="41" t="str" cm="1">
        <f t="array" ref="L887">IFERROR(INDEX(DB!R$2:R$2576,T887),"")</f>
        <v/>
      </c>
      <c r="M887" s="43"/>
      <c r="P887" t="str" cm="1">
        <f t="array" ref="P887">IFERROR(_xlfn.AGGREGATE(15,6,ROW(DB!A$2:A$2576)/((($D$3&lt;&gt;"YES")+($D$3="YES")*(DB!E$2:E$2576="YES"))*(($D$4="")+($D$4&lt;&gt;"")*( DB!B$2:B$2576=$D$4))*(($D$5="")+($D$5&lt;&gt;"")*( DB!C$2:C$2576=$D$5))*(($D$6="")+($D$6&lt;&gt;"")*( DB!D$2:D$2576=$D$6))*(($D$7="")+($D$7&lt;&gt;"")*(ISNUMBER(SEARCH($D$7,DB!G$2:G$2576))))*(($F$7="전체")+($F$7&lt;&gt;"전체")*(DB!H$2:H$2576=$F$7))),ROW()-13)-1,"")</f>
        <v/>
      </c>
      <c r="Q887" t="str" cm="1">
        <f t="array" ref="Q887">IFERROR(INDEX(DB!G$2:G$2576,P887),"")</f>
        <v/>
      </c>
      <c r="R887" t="str" cm="1">
        <f t="array" ref="R887">IFERROR(INDEX(DB!O$2:O$2576,P887),"")</f>
        <v/>
      </c>
      <c r="S887" t="str">
        <f t="shared" si="42"/>
        <v/>
      </c>
      <c r="T887" t="str">
        <f t="shared" si="43"/>
        <v/>
      </c>
    </row>
    <row r="888" spans="1:20" ht="100" customHeight="1">
      <c r="A888" s="26"/>
      <c r="B888" s="39" t="str">
        <f t="shared" si="41"/>
        <v/>
      </c>
      <c r="C888" s="43"/>
      <c r="D888" s="51" t="str" cm="1">
        <f t="array" ref="D888">IFERROR(INDEX(DB!G$2:G$2576,T888),"")</f>
        <v/>
      </c>
      <c r="E888" s="43"/>
      <c r="F888" s="52" t="str" cm="1">
        <f t="array" ref="F888">IFERROR(INDEX(DB!O$2:O$2576,T888),"")</f>
        <v/>
      </c>
      <c r="G888" s="43"/>
      <c r="H888" s="40" t="str" cm="1">
        <f t="array" ref="H888">IFERROR(INDEX(DB!P$2:P$2576,T888),"")</f>
        <v/>
      </c>
      <c r="I888" s="43"/>
      <c r="J888" s="53" t="str" cm="1">
        <f t="array" ref="J888">IFERROR(INDEX(DB!Q$2:Q$2576,T888),"")</f>
        <v/>
      </c>
      <c r="K888" s="43"/>
      <c r="L888" s="41" t="str" cm="1">
        <f t="array" ref="L888">IFERROR(INDEX(DB!R$2:R$2576,T888),"")</f>
        <v/>
      </c>
      <c r="M888" s="43"/>
      <c r="P888" t="str" cm="1">
        <f t="array" ref="P888">IFERROR(_xlfn.AGGREGATE(15,6,ROW(DB!A$2:A$2576)/((($D$3&lt;&gt;"YES")+($D$3="YES")*(DB!E$2:E$2576="YES"))*(($D$4="")+($D$4&lt;&gt;"")*( DB!B$2:B$2576=$D$4))*(($D$5="")+($D$5&lt;&gt;"")*( DB!C$2:C$2576=$D$5))*(($D$6="")+($D$6&lt;&gt;"")*( DB!D$2:D$2576=$D$6))*(($D$7="")+($D$7&lt;&gt;"")*(ISNUMBER(SEARCH($D$7,DB!G$2:G$2576))))*(($F$7="전체")+($F$7&lt;&gt;"전체")*(DB!H$2:H$2576=$F$7))),ROW()-13)-1,"")</f>
        <v/>
      </c>
      <c r="Q888" t="str" cm="1">
        <f t="array" ref="Q888">IFERROR(INDEX(DB!G$2:G$2576,P888),"")</f>
        <v/>
      </c>
      <c r="R888" t="str" cm="1">
        <f t="array" ref="R888">IFERROR(INDEX(DB!O$2:O$2576,P888),"")</f>
        <v/>
      </c>
      <c r="S888" t="str">
        <f t="shared" si="42"/>
        <v/>
      </c>
      <c r="T888" t="str">
        <f t="shared" si="43"/>
        <v/>
      </c>
    </row>
    <row r="889" spans="1:20" ht="100" customHeight="1">
      <c r="A889" s="26"/>
      <c r="B889" s="42" t="str">
        <f t="shared" si="41"/>
        <v/>
      </c>
      <c r="C889" s="43"/>
      <c r="D889" s="51" t="str" cm="1">
        <f t="array" ref="D889">IFERROR(INDEX(DB!G$2:G$2576,T889),"")</f>
        <v/>
      </c>
      <c r="E889" s="43"/>
      <c r="F889" s="52" t="str" cm="1">
        <f t="array" ref="F889">IFERROR(INDEX(DB!O$2:O$2576,T889),"")</f>
        <v/>
      </c>
      <c r="G889" s="43"/>
      <c r="H889" s="40" t="str" cm="1">
        <f t="array" ref="H889">IFERROR(INDEX(DB!P$2:P$2576,T889),"")</f>
        <v/>
      </c>
      <c r="I889" s="43"/>
      <c r="J889" s="53" t="str" cm="1">
        <f t="array" ref="J889">IFERROR(INDEX(DB!Q$2:Q$2576,T889),"")</f>
        <v/>
      </c>
      <c r="K889" s="43"/>
      <c r="L889" s="41" t="str" cm="1">
        <f t="array" ref="L889">IFERROR(INDEX(DB!R$2:R$2576,T889),"")</f>
        <v/>
      </c>
      <c r="M889" s="43"/>
      <c r="P889" t="str" cm="1">
        <f t="array" ref="P889">IFERROR(_xlfn.AGGREGATE(15,6,ROW(DB!A$2:A$2576)/((($D$3&lt;&gt;"YES")+($D$3="YES")*(DB!E$2:E$2576="YES"))*(($D$4="")+($D$4&lt;&gt;"")*( DB!B$2:B$2576=$D$4))*(($D$5="")+($D$5&lt;&gt;"")*( DB!C$2:C$2576=$D$5))*(($D$6="")+($D$6&lt;&gt;"")*( DB!D$2:D$2576=$D$6))*(($D$7="")+($D$7&lt;&gt;"")*(ISNUMBER(SEARCH($D$7,DB!G$2:G$2576))))*(($F$7="전체")+($F$7&lt;&gt;"전체")*(DB!H$2:H$2576=$F$7))),ROW()-13)-1,"")</f>
        <v/>
      </c>
      <c r="Q889" t="str" cm="1">
        <f t="array" ref="Q889">IFERROR(INDEX(DB!G$2:G$2576,P889),"")</f>
        <v/>
      </c>
      <c r="R889" t="str" cm="1">
        <f t="array" ref="R889">IFERROR(INDEX(DB!O$2:O$2576,P889),"")</f>
        <v/>
      </c>
      <c r="S889" t="str">
        <f t="shared" si="42"/>
        <v/>
      </c>
      <c r="T889" t="str">
        <f t="shared" si="43"/>
        <v/>
      </c>
    </row>
    <row r="890" spans="1:20" ht="100" customHeight="1">
      <c r="A890" s="26"/>
      <c r="B890" s="39" t="str">
        <f t="shared" si="41"/>
        <v/>
      </c>
      <c r="C890" s="43"/>
      <c r="D890" s="51" t="str" cm="1">
        <f t="array" ref="D890">IFERROR(INDEX(DB!G$2:G$2576,T890),"")</f>
        <v/>
      </c>
      <c r="E890" s="43"/>
      <c r="F890" s="52" t="str" cm="1">
        <f t="array" ref="F890">IFERROR(INDEX(DB!O$2:O$2576,T890),"")</f>
        <v/>
      </c>
      <c r="G890" s="43"/>
      <c r="H890" s="40" t="str" cm="1">
        <f t="array" ref="H890">IFERROR(INDEX(DB!P$2:P$2576,T890),"")</f>
        <v/>
      </c>
      <c r="I890" s="43"/>
      <c r="J890" s="53" t="str" cm="1">
        <f t="array" ref="J890">IFERROR(INDEX(DB!Q$2:Q$2576,T890),"")</f>
        <v/>
      </c>
      <c r="K890" s="43"/>
      <c r="L890" s="41" t="str" cm="1">
        <f t="array" ref="L890">IFERROR(INDEX(DB!R$2:R$2576,T890),"")</f>
        <v/>
      </c>
      <c r="M890" s="43"/>
      <c r="P890" t="str" cm="1">
        <f t="array" ref="P890">IFERROR(_xlfn.AGGREGATE(15,6,ROW(DB!A$2:A$2576)/((($D$3&lt;&gt;"YES")+($D$3="YES")*(DB!E$2:E$2576="YES"))*(($D$4="")+($D$4&lt;&gt;"")*( DB!B$2:B$2576=$D$4))*(($D$5="")+($D$5&lt;&gt;"")*( DB!C$2:C$2576=$D$5))*(($D$6="")+($D$6&lt;&gt;"")*( DB!D$2:D$2576=$D$6))*(($D$7="")+($D$7&lt;&gt;"")*(ISNUMBER(SEARCH($D$7,DB!G$2:G$2576))))*(($F$7="전체")+($F$7&lt;&gt;"전체")*(DB!H$2:H$2576=$F$7))),ROW()-13)-1,"")</f>
        <v/>
      </c>
      <c r="Q890" t="str" cm="1">
        <f t="array" ref="Q890">IFERROR(INDEX(DB!G$2:G$2576,P890),"")</f>
        <v/>
      </c>
      <c r="R890" t="str" cm="1">
        <f t="array" ref="R890">IFERROR(INDEX(DB!O$2:O$2576,P890),"")</f>
        <v/>
      </c>
      <c r="S890" t="str">
        <f t="shared" si="42"/>
        <v/>
      </c>
      <c r="T890" t="str">
        <f t="shared" si="43"/>
        <v/>
      </c>
    </row>
    <row r="891" spans="1:20" ht="100" customHeight="1">
      <c r="A891" s="26"/>
      <c r="B891" s="42" t="str">
        <f t="shared" si="41"/>
        <v/>
      </c>
      <c r="C891" s="43"/>
      <c r="D891" s="51" t="str" cm="1">
        <f t="array" ref="D891">IFERROR(INDEX(DB!G$2:G$2576,T891),"")</f>
        <v/>
      </c>
      <c r="E891" s="43"/>
      <c r="F891" s="52" t="str" cm="1">
        <f t="array" ref="F891">IFERROR(INDEX(DB!O$2:O$2576,T891),"")</f>
        <v/>
      </c>
      <c r="G891" s="43"/>
      <c r="H891" s="40" t="str" cm="1">
        <f t="array" ref="H891">IFERROR(INDEX(DB!P$2:P$2576,T891),"")</f>
        <v/>
      </c>
      <c r="I891" s="43"/>
      <c r="J891" s="53" t="str" cm="1">
        <f t="array" ref="J891">IFERROR(INDEX(DB!Q$2:Q$2576,T891),"")</f>
        <v/>
      </c>
      <c r="K891" s="43"/>
      <c r="L891" s="41" t="str" cm="1">
        <f t="array" ref="L891">IFERROR(INDEX(DB!R$2:R$2576,T891),"")</f>
        <v/>
      </c>
      <c r="M891" s="43"/>
      <c r="P891" t="str" cm="1">
        <f t="array" ref="P891">IFERROR(_xlfn.AGGREGATE(15,6,ROW(DB!A$2:A$2576)/((($D$3&lt;&gt;"YES")+($D$3="YES")*(DB!E$2:E$2576="YES"))*(($D$4="")+($D$4&lt;&gt;"")*( DB!B$2:B$2576=$D$4))*(($D$5="")+($D$5&lt;&gt;"")*( DB!C$2:C$2576=$D$5))*(($D$6="")+($D$6&lt;&gt;"")*( DB!D$2:D$2576=$D$6))*(($D$7="")+($D$7&lt;&gt;"")*(ISNUMBER(SEARCH($D$7,DB!G$2:G$2576))))*(($F$7="전체")+($F$7&lt;&gt;"전체")*(DB!H$2:H$2576=$F$7))),ROW()-13)-1,"")</f>
        <v/>
      </c>
      <c r="Q891" t="str" cm="1">
        <f t="array" ref="Q891">IFERROR(INDEX(DB!G$2:G$2576,P891),"")</f>
        <v/>
      </c>
      <c r="R891" t="str" cm="1">
        <f t="array" ref="R891">IFERROR(INDEX(DB!O$2:O$2576,P891),"")</f>
        <v/>
      </c>
      <c r="S891" t="str">
        <f t="shared" si="42"/>
        <v/>
      </c>
      <c r="T891" t="str">
        <f t="shared" si="43"/>
        <v/>
      </c>
    </row>
    <row r="892" spans="1:20" ht="100" customHeight="1">
      <c r="A892" s="26"/>
      <c r="B892" s="39" t="str">
        <f t="shared" si="41"/>
        <v/>
      </c>
      <c r="C892" s="43"/>
      <c r="D892" s="51" t="str" cm="1">
        <f t="array" ref="D892">IFERROR(INDEX(DB!G$2:G$2576,T892),"")</f>
        <v/>
      </c>
      <c r="E892" s="43"/>
      <c r="F892" s="52" t="str" cm="1">
        <f t="array" ref="F892">IFERROR(INDEX(DB!O$2:O$2576,T892),"")</f>
        <v/>
      </c>
      <c r="G892" s="43"/>
      <c r="H892" s="40" t="str" cm="1">
        <f t="array" ref="H892">IFERROR(INDEX(DB!P$2:P$2576,T892),"")</f>
        <v/>
      </c>
      <c r="I892" s="43"/>
      <c r="J892" s="53" t="str" cm="1">
        <f t="array" ref="J892">IFERROR(INDEX(DB!Q$2:Q$2576,T892),"")</f>
        <v/>
      </c>
      <c r="K892" s="43"/>
      <c r="L892" s="41" t="str" cm="1">
        <f t="array" ref="L892">IFERROR(INDEX(DB!R$2:R$2576,T892),"")</f>
        <v/>
      </c>
      <c r="M892" s="43"/>
      <c r="P892" t="str" cm="1">
        <f t="array" ref="P892">IFERROR(_xlfn.AGGREGATE(15,6,ROW(DB!A$2:A$2576)/((($D$3&lt;&gt;"YES")+($D$3="YES")*(DB!E$2:E$2576="YES"))*(($D$4="")+($D$4&lt;&gt;"")*( DB!B$2:B$2576=$D$4))*(($D$5="")+($D$5&lt;&gt;"")*( DB!C$2:C$2576=$D$5))*(($D$6="")+($D$6&lt;&gt;"")*( DB!D$2:D$2576=$D$6))*(($D$7="")+($D$7&lt;&gt;"")*(ISNUMBER(SEARCH($D$7,DB!G$2:G$2576))))*(($F$7="전체")+($F$7&lt;&gt;"전체")*(DB!H$2:H$2576=$F$7))),ROW()-13)-1,"")</f>
        <v/>
      </c>
      <c r="Q892" t="str" cm="1">
        <f t="array" ref="Q892">IFERROR(INDEX(DB!G$2:G$2576,P892),"")</f>
        <v/>
      </c>
      <c r="R892" t="str" cm="1">
        <f t="array" ref="R892">IFERROR(INDEX(DB!O$2:O$2576,P892),"")</f>
        <v/>
      </c>
      <c r="S892" t="str">
        <f t="shared" si="42"/>
        <v/>
      </c>
      <c r="T892" t="str">
        <f t="shared" si="43"/>
        <v/>
      </c>
    </row>
    <row r="893" spans="1:20" ht="100" customHeight="1">
      <c r="A893" s="26"/>
      <c r="B893" s="42" t="str">
        <f t="shared" si="41"/>
        <v/>
      </c>
      <c r="C893" s="43"/>
      <c r="D893" s="51" t="str" cm="1">
        <f t="array" ref="D893">IFERROR(INDEX(DB!G$2:G$2576,T893),"")</f>
        <v/>
      </c>
      <c r="E893" s="43"/>
      <c r="F893" s="52" t="str" cm="1">
        <f t="array" ref="F893">IFERROR(INDEX(DB!O$2:O$2576,T893),"")</f>
        <v/>
      </c>
      <c r="G893" s="43"/>
      <c r="H893" s="40" t="str" cm="1">
        <f t="array" ref="H893">IFERROR(INDEX(DB!P$2:P$2576,T893),"")</f>
        <v/>
      </c>
      <c r="I893" s="43"/>
      <c r="J893" s="53" t="str" cm="1">
        <f t="array" ref="J893">IFERROR(INDEX(DB!Q$2:Q$2576,T893),"")</f>
        <v/>
      </c>
      <c r="K893" s="43"/>
      <c r="L893" s="41" t="str" cm="1">
        <f t="array" ref="L893">IFERROR(INDEX(DB!R$2:R$2576,T893),"")</f>
        <v/>
      </c>
      <c r="M893" s="43"/>
      <c r="P893" t="str" cm="1">
        <f t="array" ref="P893">IFERROR(_xlfn.AGGREGATE(15,6,ROW(DB!A$2:A$2576)/((($D$3&lt;&gt;"YES")+($D$3="YES")*(DB!E$2:E$2576="YES"))*(($D$4="")+($D$4&lt;&gt;"")*( DB!B$2:B$2576=$D$4))*(($D$5="")+($D$5&lt;&gt;"")*( DB!C$2:C$2576=$D$5))*(($D$6="")+($D$6&lt;&gt;"")*( DB!D$2:D$2576=$D$6))*(($D$7="")+($D$7&lt;&gt;"")*(ISNUMBER(SEARCH($D$7,DB!G$2:G$2576))))*(($F$7="전체")+($F$7&lt;&gt;"전체")*(DB!H$2:H$2576=$F$7))),ROW()-13)-1,"")</f>
        <v/>
      </c>
      <c r="Q893" t="str" cm="1">
        <f t="array" ref="Q893">IFERROR(INDEX(DB!G$2:G$2576,P893),"")</f>
        <v/>
      </c>
      <c r="R893" t="str" cm="1">
        <f t="array" ref="R893">IFERROR(INDEX(DB!O$2:O$2576,P893),"")</f>
        <v/>
      </c>
      <c r="S893" t="str">
        <f t="shared" si="42"/>
        <v/>
      </c>
      <c r="T893" t="str">
        <f t="shared" si="43"/>
        <v/>
      </c>
    </row>
    <row r="894" spans="1:20" ht="100" customHeight="1">
      <c r="A894" s="26"/>
      <c r="B894" s="39" t="str">
        <f t="shared" si="41"/>
        <v/>
      </c>
      <c r="C894" s="43"/>
      <c r="D894" s="51" t="str" cm="1">
        <f t="array" ref="D894">IFERROR(INDEX(DB!G$2:G$2576,T894),"")</f>
        <v/>
      </c>
      <c r="E894" s="43"/>
      <c r="F894" s="52" t="str" cm="1">
        <f t="array" ref="F894">IFERROR(INDEX(DB!O$2:O$2576,T894),"")</f>
        <v/>
      </c>
      <c r="G894" s="43"/>
      <c r="H894" s="40" t="str" cm="1">
        <f t="array" ref="H894">IFERROR(INDEX(DB!P$2:P$2576,T894),"")</f>
        <v/>
      </c>
      <c r="I894" s="43"/>
      <c r="J894" s="53" t="str" cm="1">
        <f t="array" ref="J894">IFERROR(INDEX(DB!Q$2:Q$2576,T894),"")</f>
        <v/>
      </c>
      <c r="K894" s="43"/>
      <c r="L894" s="41" t="str" cm="1">
        <f t="array" ref="L894">IFERROR(INDEX(DB!R$2:R$2576,T894),"")</f>
        <v/>
      </c>
      <c r="M894" s="43"/>
      <c r="P894" t="str" cm="1">
        <f t="array" ref="P894">IFERROR(_xlfn.AGGREGATE(15,6,ROW(DB!A$2:A$2576)/((($D$3&lt;&gt;"YES")+($D$3="YES")*(DB!E$2:E$2576="YES"))*(($D$4="")+($D$4&lt;&gt;"")*( DB!B$2:B$2576=$D$4))*(($D$5="")+($D$5&lt;&gt;"")*( DB!C$2:C$2576=$D$5))*(($D$6="")+($D$6&lt;&gt;"")*( DB!D$2:D$2576=$D$6))*(($D$7="")+($D$7&lt;&gt;"")*(ISNUMBER(SEARCH($D$7,DB!G$2:G$2576))))*(($F$7="전체")+($F$7&lt;&gt;"전체")*(DB!H$2:H$2576=$F$7))),ROW()-13)-1,"")</f>
        <v/>
      </c>
      <c r="Q894" t="str" cm="1">
        <f t="array" ref="Q894">IFERROR(INDEX(DB!G$2:G$2576,P894),"")</f>
        <v/>
      </c>
      <c r="R894" t="str" cm="1">
        <f t="array" ref="R894">IFERROR(INDEX(DB!O$2:O$2576,P894),"")</f>
        <v/>
      </c>
      <c r="S894" t="str">
        <f t="shared" si="42"/>
        <v/>
      </c>
      <c r="T894" t="str">
        <f t="shared" si="43"/>
        <v/>
      </c>
    </row>
    <row r="895" spans="1:20" ht="100" customHeight="1">
      <c r="A895" s="26"/>
      <c r="B895" s="42" t="str">
        <f t="shared" si="41"/>
        <v/>
      </c>
      <c r="C895" s="43"/>
      <c r="D895" s="51" t="str" cm="1">
        <f t="array" ref="D895">IFERROR(INDEX(DB!G$2:G$2576,T895),"")</f>
        <v/>
      </c>
      <c r="E895" s="43"/>
      <c r="F895" s="52" t="str" cm="1">
        <f t="array" ref="F895">IFERROR(INDEX(DB!O$2:O$2576,T895),"")</f>
        <v/>
      </c>
      <c r="G895" s="43"/>
      <c r="H895" s="40" t="str" cm="1">
        <f t="array" ref="H895">IFERROR(INDEX(DB!P$2:P$2576,T895),"")</f>
        <v/>
      </c>
      <c r="I895" s="43"/>
      <c r="J895" s="53" t="str" cm="1">
        <f t="array" ref="J895">IFERROR(INDEX(DB!Q$2:Q$2576,T895),"")</f>
        <v/>
      </c>
      <c r="K895" s="43"/>
      <c r="L895" s="41" t="str" cm="1">
        <f t="array" ref="L895">IFERROR(INDEX(DB!R$2:R$2576,T895),"")</f>
        <v/>
      </c>
      <c r="M895" s="43"/>
      <c r="P895" t="str" cm="1">
        <f t="array" ref="P895">IFERROR(_xlfn.AGGREGATE(15,6,ROW(DB!A$2:A$2576)/((($D$3&lt;&gt;"YES")+($D$3="YES")*(DB!E$2:E$2576="YES"))*(($D$4="")+($D$4&lt;&gt;"")*( DB!B$2:B$2576=$D$4))*(($D$5="")+($D$5&lt;&gt;"")*( DB!C$2:C$2576=$D$5))*(($D$6="")+($D$6&lt;&gt;"")*( DB!D$2:D$2576=$D$6))*(($D$7="")+($D$7&lt;&gt;"")*(ISNUMBER(SEARCH($D$7,DB!G$2:G$2576))))*(($F$7="전체")+($F$7&lt;&gt;"전체")*(DB!H$2:H$2576=$F$7))),ROW()-13)-1,"")</f>
        <v/>
      </c>
      <c r="Q895" t="str" cm="1">
        <f t="array" ref="Q895">IFERROR(INDEX(DB!G$2:G$2576,P895),"")</f>
        <v/>
      </c>
      <c r="R895" t="str" cm="1">
        <f t="array" ref="R895">IFERROR(INDEX(DB!O$2:O$2576,P895),"")</f>
        <v/>
      </c>
      <c r="S895" t="str">
        <f t="shared" si="42"/>
        <v/>
      </c>
      <c r="T895" t="str">
        <f t="shared" si="43"/>
        <v/>
      </c>
    </row>
    <row r="896" spans="1:20" ht="100" customHeight="1">
      <c r="A896" s="26"/>
      <c r="B896" s="39" t="str">
        <f t="shared" si="41"/>
        <v/>
      </c>
      <c r="C896" s="43"/>
      <c r="D896" s="51" t="str" cm="1">
        <f t="array" ref="D896">IFERROR(INDEX(DB!G$2:G$2576,T896),"")</f>
        <v/>
      </c>
      <c r="E896" s="43"/>
      <c r="F896" s="52" t="str" cm="1">
        <f t="array" ref="F896">IFERROR(INDEX(DB!O$2:O$2576,T896),"")</f>
        <v/>
      </c>
      <c r="G896" s="43"/>
      <c r="H896" s="40" t="str" cm="1">
        <f t="array" ref="H896">IFERROR(INDEX(DB!P$2:P$2576,T896),"")</f>
        <v/>
      </c>
      <c r="I896" s="43"/>
      <c r="J896" s="53" t="str" cm="1">
        <f t="array" ref="J896">IFERROR(INDEX(DB!Q$2:Q$2576,T896),"")</f>
        <v/>
      </c>
      <c r="K896" s="43"/>
      <c r="L896" s="41" t="str" cm="1">
        <f t="array" ref="L896">IFERROR(INDEX(DB!R$2:R$2576,T896),"")</f>
        <v/>
      </c>
      <c r="M896" s="43"/>
      <c r="P896" t="str" cm="1">
        <f t="array" ref="P896">IFERROR(_xlfn.AGGREGATE(15,6,ROW(DB!A$2:A$2576)/((($D$3&lt;&gt;"YES")+($D$3="YES")*(DB!E$2:E$2576="YES"))*(($D$4="")+($D$4&lt;&gt;"")*( DB!B$2:B$2576=$D$4))*(($D$5="")+($D$5&lt;&gt;"")*( DB!C$2:C$2576=$D$5))*(($D$6="")+($D$6&lt;&gt;"")*( DB!D$2:D$2576=$D$6))*(($D$7="")+($D$7&lt;&gt;"")*(ISNUMBER(SEARCH($D$7,DB!G$2:G$2576))))*(($F$7="전체")+($F$7&lt;&gt;"전체")*(DB!H$2:H$2576=$F$7))),ROW()-13)-1,"")</f>
        <v/>
      </c>
      <c r="Q896" t="str" cm="1">
        <f t="array" ref="Q896">IFERROR(INDEX(DB!G$2:G$2576,P896),"")</f>
        <v/>
      </c>
      <c r="R896" t="str" cm="1">
        <f t="array" ref="R896">IFERROR(INDEX(DB!O$2:O$2576,P896),"")</f>
        <v/>
      </c>
      <c r="S896" t="str">
        <f t="shared" si="42"/>
        <v/>
      </c>
      <c r="T896" t="str">
        <f t="shared" si="43"/>
        <v/>
      </c>
    </row>
    <row r="897" spans="1:20" ht="100" customHeight="1">
      <c r="A897" s="26"/>
      <c r="B897" s="42" t="str">
        <f t="shared" si="41"/>
        <v/>
      </c>
      <c r="C897" s="43"/>
      <c r="D897" s="51" t="str" cm="1">
        <f t="array" ref="D897">IFERROR(INDEX(DB!G$2:G$2576,T897),"")</f>
        <v/>
      </c>
      <c r="E897" s="43"/>
      <c r="F897" s="52" t="str" cm="1">
        <f t="array" ref="F897">IFERROR(INDEX(DB!O$2:O$2576,T897),"")</f>
        <v/>
      </c>
      <c r="G897" s="43"/>
      <c r="H897" s="40" t="str" cm="1">
        <f t="array" ref="H897">IFERROR(INDEX(DB!P$2:P$2576,T897),"")</f>
        <v/>
      </c>
      <c r="I897" s="43"/>
      <c r="J897" s="53" t="str" cm="1">
        <f t="array" ref="J897">IFERROR(INDEX(DB!Q$2:Q$2576,T897),"")</f>
        <v/>
      </c>
      <c r="K897" s="43"/>
      <c r="L897" s="41" t="str" cm="1">
        <f t="array" ref="L897">IFERROR(INDEX(DB!R$2:R$2576,T897),"")</f>
        <v/>
      </c>
      <c r="M897" s="43"/>
      <c r="P897" t="str" cm="1">
        <f t="array" ref="P897">IFERROR(_xlfn.AGGREGATE(15,6,ROW(DB!A$2:A$2576)/((($D$3&lt;&gt;"YES")+($D$3="YES")*(DB!E$2:E$2576="YES"))*(($D$4="")+($D$4&lt;&gt;"")*( DB!B$2:B$2576=$D$4))*(($D$5="")+($D$5&lt;&gt;"")*( DB!C$2:C$2576=$D$5))*(($D$6="")+($D$6&lt;&gt;"")*( DB!D$2:D$2576=$D$6))*(($D$7="")+($D$7&lt;&gt;"")*(ISNUMBER(SEARCH($D$7,DB!G$2:G$2576))))*(($F$7="전체")+($F$7&lt;&gt;"전체")*(DB!H$2:H$2576=$F$7))),ROW()-13)-1,"")</f>
        <v/>
      </c>
      <c r="Q897" t="str" cm="1">
        <f t="array" ref="Q897">IFERROR(INDEX(DB!G$2:G$2576,P897),"")</f>
        <v/>
      </c>
      <c r="R897" t="str" cm="1">
        <f t="array" ref="R897">IFERROR(INDEX(DB!O$2:O$2576,P897),"")</f>
        <v/>
      </c>
      <c r="S897" t="str">
        <f t="shared" si="42"/>
        <v/>
      </c>
      <c r="T897" t="str">
        <f t="shared" si="43"/>
        <v/>
      </c>
    </row>
    <row r="898" spans="1:20" ht="100" customHeight="1">
      <c r="A898" s="26"/>
      <c r="B898" s="39" t="str">
        <f t="shared" si="41"/>
        <v/>
      </c>
      <c r="C898" s="43"/>
      <c r="D898" s="51" t="str" cm="1">
        <f t="array" ref="D898">IFERROR(INDEX(DB!G$2:G$2576,T898),"")</f>
        <v/>
      </c>
      <c r="E898" s="43"/>
      <c r="F898" s="52" t="str" cm="1">
        <f t="array" ref="F898">IFERROR(INDEX(DB!O$2:O$2576,T898),"")</f>
        <v/>
      </c>
      <c r="G898" s="43"/>
      <c r="H898" s="40" t="str" cm="1">
        <f t="array" ref="H898">IFERROR(INDEX(DB!P$2:P$2576,T898),"")</f>
        <v/>
      </c>
      <c r="I898" s="43"/>
      <c r="J898" s="53" t="str" cm="1">
        <f t="array" ref="J898">IFERROR(INDEX(DB!Q$2:Q$2576,T898),"")</f>
        <v/>
      </c>
      <c r="K898" s="43"/>
      <c r="L898" s="41" t="str" cm="1">
        <f t="array" ref="L898">IFERROR(INDEX(DB!R$2:R$2576,T898),"")</f>
        <v/>
      </c>
      <c r="M898" s="43"/>
      <c r="P898" t="str" cm="1">
        <f t="array" ref="P898">IFERROR(_xlfn.AGGREGATE(15,6,ROW(DB!A$2:A$2576)/((($D$3&lt;&gt;"YES")+($D$3="YES")*(DB!E$2:E$2576="YES"))*(($D$4="")+($D$4&lt;&gt;"")*( DB!B$2:B$2576=$D$4))*(($D$5="")+($D$5&lt;&gt;"")*( DB!C$2:C$2576=$D$5))*(($D$6="")+($D$6&lt;&gt;"")*( DB!D$2:D$2576=$D$6))*(($D$7="")+($D$7&lt;&gt;"")*(ISNUMBER(SEARCH($D$7,DB!G$2:G$2576))))*(($F$7="전체")+($F$7&lt;&gt;"전체")*(DB!H$2:H$2576=$F$7))),ROW()-13)-1,"")</f>
        <v/>
      </c>
      <c r="Q898" t="str" cm="1">
        <f t="array" ref="Q898">IFERROR(INDEX(DB!G$2:G$2576,P898),"")</f>
        <v/>
      </c>
      <c r="R898" t="str" cm="1">
        <f t="array" ref="R898">IFERROR(INDEX(DB!O$2:O$2576,P898),"")</f>
        <v/>
      </c>
      <c r="S898" t="str">
        <f t="shared" si="42"/>
        <v/>
      </c>
      <c r="T898" t="str">
        <f t="shared" si="43"/>
        <v/>
      </c>
    </row>
    <row r="899" spans="1:20" ht="100" customHeight="1">
      <c r="A899" s="26"/>
      <c r="B899" s="42" t="str">
        <f t="shared" si="41"/>
        <v/>
      </c>
      <c r="C899" s="43"/>
      <c r="D899" s="51" t="str" cm="1">
        <f t="array" ref="D899">IFERROR(INDEX(DB!G$2:G$2576,T899),"")</f>
        <v/>
      </c>
      <c r="E899" s="43"/>
      <c r="F899" s="52" t="str" cm="1">
        <f t="array" ref="F899">IFERROR(INDEX(DB!O$2:O$2576,T899),"")</f>
        <v/>
      </c>
      <c r="G899" s="43"/>
      <c r="H899" s="40" t="str" cm="1">
        <f t="array" ref="H899">IFERROR(INDEX(DB!P$2:P$2576,T899),"")</f>
        <v/>
      </c>
      <c r="I899" s="43"/>
      <c r="J899" s="53" t="str" cm="1">
        <f t="array" ref="J899">IFERROR(INDEX(DB!Q$2:Q$2576,T899),"")</f>
        <v/>
      </c>
      <c r="K899" s="43"/>
      <c r="L899" s="41" t="str" cm="1">
        <f t="array" ref="L899">IFERROR(INDEX(DB!R$2:R$2576,T899),"")</f>
        <v/>
      </c>
      <c r="M899" s="43"/>
      <c r="P899" t="str" cm="1">
        <f t="array" ref="P899">IFERROR(_xlfn.AGGREGATE(15,6,ROW(DB!A$2:A$2576)/((($D$3&lt;&gt;"YES")+($D$3="YES")*(DB!E$2:E$2576="YES"))*(($D$4="")+($D$4&lt;&gt;"")*( DB!B$2:B$2576=$D$4))*(($D$5="")+($D$5&lt;&gt;"")*( DB!C$2:C$2576=$D$5))*(($D$6="")+($D$6&lt;&gt;"")*( DB!D$2:D$2576=$D$6))*(($D$7="")+($D$7&lt;&gt;"")*(ISNUMBER(SEARCH($D$7,DB!G$2:G$2576))))*(($F$7="전체")+($F$7&lt;&gt;"전체")*(DB!H$2:H$2576=$F$7))),ROW()-13)-1,"")</f>
        <v/>
      </c>
      <c r="Q899" t="str" cm="1">
        <f t="array" ref="Q899">IFERROR(INDEX(DB!G$2:G$2576,P899),"")</f>
        <v/>
      </c>
      <c r="R899" t="str" cm="1">
        <f t="array" ref="R899">IFERROR(INDEX(DB!O$2:O$2576,P899),"")</f>
        <v/>
      </c>
      <c r="S899" t="str">
        <f t="shared" si="42"/>
        <v/>
      </c>
      <c r="T899" t="str">
        <f t="shared" si="43"/>
        <v/>
      </c>
    </row>
    <row r="900" spans="1:20" ht="100" customHeight="1">
      <c r="A900" s="26"/>
      <c r="B900" s="39" t="str">
        <f t="shared" si="41"/>
        <v/>
      </c>
      <c r="C900" s="43"/>
      <c r="D900" s="51" t="str" cm="1">
        <f t="array" ref="D900">IFERROR(INDEX(DB!G$2:G$2576,T900),"")</f>
        <v/>
      </c>
      <c r="E900" s="43"/>
      <c r="F900" s="52" t="str" cm="1">
        <f t="array" ref="F900">IFERROR(INDEX(DB!O$2:O$2576,T900),"")</f>
        <v/>
      </c>
      <c r="G900" s="43"/>
      <c r="H900" s="40" t="str" cm="1">
        <f t="array" ref="H900">IFERROR(INDEX(DB!P$2:P$2576,T900),"")</f>
        <v/>
      </c>
      <c r="I900" s="43"/>
      <c r="J900" s="53" t="str" cm="1">
        <f t="array" ref="J900">IFERROR(INDEX(DB!Q$2:Q$2576,T900),"")</f>
        <v/>
      </c>
      <c r="K900" s="43"/>
      <c r="L900" s="41" t="str" cm="1">
        <f t="array" ref="L900">IFERROR(INDEX(DB!R$2:R$2576,T900),"")</f>
        <v/>
      </c>
      <c r="M900" s="43"/>
      <c r="P900" t="str" cm="1">
        <f t="array" ref="P900">IFERROR(_xlfn.AGGREGATE(15,6,ROW(DB!A$2:A$2576)/((($D$3&lt;&gt;"YES")+($D$3="YES")*(DB!E$2:E$2576="YES"))*(($D$4="")+($D$4&lt;&gt;"")*( DB!B$2:B$2576=$D$4))*(($D$5="")+($D$5&lt;&gt;"")*( DB!C$2:C$2576=$D$5))*(($D$6="")+($D$6&lt;&gt;"")*( DB!D$2:D$2576=$D$6))*(($D$7="")+($D$7&lt;&gt;"")*(ISNUMBER(SEARCH($D$7,DB!G$2:G$2576))))*(($F$7="전체")+($F$7&lt;&gt;"전체")*(DB!H$2:H$2576=$F$7))),ROW()-13)-1,"")</f>
        <v/>
      </c>
      <c r="Q900" t="str" cm="1">
        <f t="array" ref="Q900">IFERROR(INDEX(DB!G$2:G$2576,P900),"")</f>
        <v/>
      </c>
      <c r="R900" t="str" cm="1">
        <f t="array" ref="R900">IFERROR(INDEX(DB!O$2:O$2576,P900),"")</f>
        <v/>
      </c>
      <c r="S900" t="str">
        <f t="shared" si="42"/>
        <v/>
      </c>
      <c r="T900" t="str">
        <f t="shared" si="43"/>
        <v/>
      </c>
    </row>
    <row r="901" spans="1:20" ht="100" customHeight="1">
      <c r="A901" s="26"/>
      <c r="B901" s="42" t="str">
        <f t="shared" si="41"/>
        <v/>
      </c>
      <c r="C901" s="43"/>
      <c r="D901" s="51" t="str" cm="1">
        <f t="array" ref="D901">IFERROR(INDEX(DB!G$2:G$2576,T901),"")</f>
        <v/>
      </c>
      <c r="E901" s="43"/>
      <c r="F901" s="52" t="str" cm="1">
        <f t="array" ref="F901">IFERROR(INDEX(DB!O$2:O$2576,T901),"")</f>
        <v/>
      </c>
      <c r="G901" s="43"/>
      <c r="H901" s="40" t="str" cm="1">
        <f t="array" ref="H901">IFERROR(INDEX(DB!P$2:P$2576,T901),"")</f>
        <v/>
      </c>
      <c r="I901" s="43"/>
      <c r="J901" s="53" t="str" cm="1">
        <f t="array" ref="J901">IFERROR(INDEX(DB!Q$2:Q$2576,T901),"")</f>
        <v/>
      </c>
      <c r="K901" s="43"/>
      <c r="L901" s="41" t="str" cm="1">
        <f t="array" ref="L901">IFERROR(INDEX(DB!R$2:R$2576,T901),"")</f>
        <v/>
      </c>
      <c r="M901" s="43"/>
      <c r="P901" t="str" cm="1">
        <f t="array" ref="P901">IFERROR(_xlfn.AGGREGATE(15,6,ROW(DB!A$2:A$2576)/((($D$3&lt;&gt;"YES")+($D$3="YES")*(DB!E$2:E$2576="YES"))*(($D$4="")+($D$4&lt;&gt;"")*( DB!B$2:B$2576=$D$4))*(($D$5="")+($D$5&lt;&gt;"")*( DB!C$2:C$2576=$D$5))*(($D$6="")+($D$6&lt;&gt;"")*( DB!D$2:D$2576=$D$6))*(($D$7="")+($D$7&lt;&gt;"")*(ISNUMBER(SEARCH($D$7,DB!G$2:G$2576))))*(($F$7="전체")+($F$7&lt;&gt;"전체")*(DB!H$2:H$2576=$F$7))),ROW()-13)-1,"")</f>
        <v/>
      </c>
      <c r="Q901" t="str" cm="1">
        <f t="array" ref="Q901">IFERROR(INDEX(DB!G$2:G$2576,P901),"")</f>
        <v/>
      </c>
      <c r="R901" t="str" cm="1">
        <f t="array" ref="R901">IFERROR(INDEX(DB!O$2:O$2576,P901),"")</f>
        <v/>
      </c>
      <c r="S901" t="str">
        <f t="shared" si="42"/>
        <v/>
      </c>
      <c r="T901" t="str">
        <f t="shared" si="43"/>
        <v/>
      </c>
    </row>
    <row r="902" spans="1:20" ht="100" customHeight="1">
      <c r="A902" s="26"/>
      <c r="B902" s="39" t="str">
        <f t="shared" si="41"/>
        <v/>
      </c>
      <c r="C902" s="43"/>
      <c r="D902" s="51" t="str" cm="1">
        <f t="array" ref="D902">IFERROR(INDEX(DB!G$2:G$2576,T902),"")</f>
        <v/>
      </c>
      <c r="E902" s="43"/>
      <c r="F902" s="52" t="str" cm="1">
        <f t="array" ref="F902">IFERROR(INDEX(DB!O$2:O$2576,T902),"")</f>
        <v/>
      </c>
      <c r="G902" s="43"/>
      <c r="H902" s="40" t="str" cm="1">
        <f t="array" ref="H902">IFERROR(INDEX(DB!P$2:P$2576,T902),"")</f>
        <v/>
      </c>
      <c r="I902" s="43"/>
      <c r="J902" s="53" t="str" cm="1">
        <f t="array" ref="J902">IFERROR(INDEX(DB!Q$2:Q$2576,T902),"")</f>
        <v/>
      </c>
      <c r="K902" s="43"/>
      <c r="L902" s="41" t="str" cm="1">
        <f t="array" ref="L902">IFERROR(INDEX(DB!R$2:R$2576,T902),"")</f>
        <v/>
      </c>
      <c r="M902" s="43"/>
      <c r="P902" t="str" cm="1">
        <f t="array" ref="P902">IFERROR(_xlfn.AGGREGATE(15,6,ROW(DB!A$2:A$2576)/((($D$3&lt;&gt;"YES")+($D$3="YES")*(DB!E$2:E$2576="YES"))*(($D$4="")+($D$4&lt;&gt;"")*( DB!B$2:B$2576=$D$4))*(($D$5="")+($D$5&lt;&gt;"")*( DB!C$2:C$2576=$D$5))*(($D$6="")+($D$6&lt;&gt;"")*( DB!D$2:D$2576=$D$6))*(($D$7="")+($D$7&lt;&gt;"")*(ISNUMBER(SEARCH($D$7,DB!G$2:G$2576))))*(($F$7="전체")+($F$7&lt;&gt;"전체")*(DB!H$2:H$2576=$F$7))),ROW()-13)-1,"")</f>
        <v/>
      </c>
      <c r="Q902" t="str" cm="1">
        <f t="array" ref="Q902">IFERROR(INDEX(DB!G$2:G$2576,P902),"")</f>
        <v/>
      </c>
      <c r="R902" t="str" cm="1">
        <f t="array" ref="R902">IFERROR(INDEX(DB!O$2:O$2576,P902),"")</f>
        <v/>
      </c>
      <c r="S902" t="str">
        <f t="shared" si="42"/>
        <v/>
      </c>
      <c r="T902" t="str">
        <f t="shared" si="43"/>
        <v/>
      </c>
    </row>
    <row r="903" spans="1:20" ht="100" customHeight="1">
      <c r="A903" s="26"/>
      <c r="B903" s="42" t="str">
        <f t="shared" si="41"/>
        <v/>
      </c>
      <c r="C903" s="43"/>
      <c r="D903" s="51" t="str" cm="1">
        <f t="array" ref="D903">IFERROR(INDEX(DB!G$2:G$2576,T903),"")</f>
        <v/>
      </c>
      <c r="E903" s="43"/>
      <c r="F903" s="52" t="str" cm="1">
        <f t="array" ref="F903">IFERROR(INDEX(DB!O$2:O$2576,T903),"")</f>
        <v/>
      </c>
      <c r="G903" s="43"/>
      <c r="H903" s="40" t="str" cm="1">
        <f t="array" ref="H903">IFERROR(INDEX(DB!P$2:P$2576,T903),"")</f>
        <v/>
      </c>
      <c r="I903" s="43"/>
      <c r="J903" s="53" t="str" cm="1">
        <f t="array" ref="J903">IFERROR(INDEX(DB!Q$2:Q$2576,T903),"")</f>
        <v/>
      </c>
      <c r="K903" s="43"/>
      <c r="L903" s="41" t="str" cm="1">
        <f t="array" ref="L903">IFERROR(INDEX(DB!R$2:R$2576,T903),"")</f>
        <v/>
      </c>
      <c r="M903" s="43"/>
      <c r="P903" t="str" cm="1">
        <f t="array" ref="P903">IFERROR(_xlfn.AGGREGATE(15,6,ROW(DB!A$2:A$2576)/((($D$3&lt;&gt;"YES")+($D$3="YES")*(DB!E$2:E$2576="YES"))*(($D$4="")+($D$4&lt;&gt;"")*( DB!B$2:B$2576=$D$4))*(($D$5="")+($D$5&lt;&gt;"")*( DB!C$2:C$2576=$D$5))*(($D$6="")+($D$6&lt;&gt;"")*( DB!D$2:D$2576=$D$6))*(($D$7="")+($D$7&lt;&gt;"")*(ISNUMBER(SEARCH($D$7,DB!G$2:G$2576))))*(($F$7="전체")+($F$7&lt;&gt;"전체")*(DB!H$2:H$2576=$F$7))),ROW()-13)-1,"")</f>
        <v/>
      </c>
      <c r="Q903" t="str" cm="1">
        <f t="array" ref="Q903">IFERROR(INDEX(DB!G$2:G$2576,P903),"")</f>
        <v/>
      </c>
      <c r="R903" t="str" cm="1">
        <f t="array" ref="R903">IFERROR(INDEX(DB!O$2:O$2576,P903),"")</f>
        <v/>
      </c>
      <c r="S903" t="str">
        <f t="shared" si="42"/>
        <v/>
      </c>
      <c r="T903" t="str">
        <f t="shared" si="43"/>
        <v/>
      </c>
    </row>
    <row r="904" spans="1:20" ht="100" customHeight="1">
      <c r="A904" s="26"/>
      <c r="B904" s="39" t="str">
        <f t="shared" si="41"/>
        <v/>
      </c>
      <c r="C904" s="43"/>
      <c r="D904" s="51" t="str" cm="1">
        <f t="array" ref="D904">IFERROR(INDEX(DB!G$2:G$2576,T904),"")</f>
        <v/>
      </c>
      <c r="E904" s="43"/>
      <c r="F904" s="52" t="str" cm="1">
        <f t="array" ref="F904">IFERROR(INDEX(DB!O$2:O$2576,T904),"")</f>
        <v/>
      </c>
      <c r="G904" s="43"/>
      <c r="H904" s="40" t="str" cm="1">
        <f t="array" ref="H904">IFERROR(INDEX(DB!P$2:P$2576,T904),"")</f>
        <v/>
      </c>
      <c r="I904" s="43"/>
      <c r="J904" s="53" t="str" cm="1">
        <f t="array" ref="J904">IFERROR(INDEX(DB!Q$2:Q$2576,T904),"")</f>
        <v/>
      </c>
      <c r="K904" s="43"/>
      <c r="L904" s="41" t="str" cm="1">
        <f t="array" ref="L904">IFERROR(INDEX(DB!R$2:R$2576,T904),"")</f>
        <v/>
      </c>
      <c r="M904" s="43"/>
      <c r="P904" t="str" cm="1">
        <f t="array" ref="P904">IFERROR(_xlfn.AGGREGATE(15,6,ROW(DB!A$2:A$2576)/((($D$3&lt;&gt;"YES")+($D$3="YES")*(DB!E$2:E$2576="YES"))*(($D$4="")+($D$4&lt;&gt;"")*( DB!B$2:B$2576=$D$4))*(($D$5="")+($D$5&lt;&gt;"")*( DB!C$2:C$2576=$D$5))*(($D$6="")+($D$6&lt;&gt;"")*( DB!D$2:D$2576=$D$6))*(($D$7="")+($D$7&lt;&gt;"")*(ISNUMBER(SEARCH($D$7,DB!G$2:G$2576))))*(($F$7="전체")+($F$7&lt;&gt;"전체")*(DB!H$2:H$2576=$F$7))),ROW()-13)-1,"")</f>
        <v/>
      </c>
      <c r="Q904" t="str" cm="1">
        <f t="array" ref="Q904">IFERROR(INDEX(DB!G$2:G$2576,P904),"")</f>
        <v/>
      </c>
      <c r="R904" t="str" cm="1">
        <f t="array" ref="R904">IFERROR(INDEX(DB!O$2:O$2576,P904),"")</f>
        <v/>
      </c>
      <c r="S904" t="str">
        <f t="shared" si="42"/>
        <v/>
      </c>
      <c r="T904" t="str">
        <f t="shared" si="43"/>
        <v/>
      </c>
    </row>
    <row r="905" spans="1:20" ht="100" customHeight="1">
      <c r="A905" s="26"/>
      <c r="B905" s="42" t="str">
        <f t="shared" si="41"/>
        <v/>
      </c>
      <c r="C905" s="43"/>
      <c r="D905" s="51" t="str" cm="1">
        <f t="array" ref="D905">IFERROR(INDEX(DB!G$2:G$2576,T905),"")</f>
        <v/>
      </c>
      <c r="E905" s="43"/>
      <c r="F905" s="52" t="str" cm="1">
        <f t="array" ref="F905">IFERROR(INDEX(DB!O$2:O$2576,T905),"")</f>
        <v/>
      </c>
      <c r="G905" s="43"/>
      <c r="H905" s="40" t="str" cm="1">
        <f t="array" ref="H905">IFERROR(INDEX(DB!P$2:P$2576,T905),"")</f>
        <v/>
      </c>
      <c r="I905" s="43"/>
      <c r="J905" s="53" t="str" cm="1">
        <f t="array" ref="J905">IFERROR(INDEX(DB!Q$2:Q$2576,T905),"")</f>
        <v/>
      </c>
      <c r="K905" s="43"/>
      <c r="L905" s="41" t="str" cm="1">
        <f t="array" ref="L905">IFERROR(INDEX(DB!R$2:R$2576,T905),"")</f>
        <v/>
      </c>
      <c r="M905" s="43"/>
      <c r="P905" t="str" cm="1">
        <f t="array" ref="P905">IFERROR(_xlfn.AGGREGATE(15,6,ROW(DB!A$2:A$2576)/((($D$3&lt;&gt;"YES")+($D$3="YES")*(DB!E$2:E$2576="YES"))*(($D$4="")+($D$4&lt;&gt;"")*( DB!B$2:B$2576=$D$4))*(($D$5="")+($D$5&lt;&gt;"")*( DB!C$2:C$2576=$D$5))*(($D$6="")+($D$6&lt;&gt;"")*( DB!D$2:D$2576=$D$6))*(($D$7="")+($D$7&lt;&gt;"")*(ISNUMBER(SEARCH($D$7,DB!G$2:G$2576))))*(($F$7="전체")+($F$7&lt;&gt;"전체")*(DB!H$2:H$2576=$F$7))),ROW()-13)-1,"")</f>
        <v/>
      </c>
      <c r="Q905" t="str" cm="1">
        <f t="array" ref="Q905">IFERROR(INDEX(DB!G$2:G$2576,P905),"")</f>
        <v/>
      </c>
      <c r="R905" t="str" cm="1">
        <f t="array" ref="R905">IFERROR(INDEX(DB!O$2:O$2576,P905),"")</f>
        <v/>
      </c>
      <c r="S905" t="str">
        <f t="shared" si="42"/>
        <v/>
      </c>
      <c r="T905" t="str">
        <f t="shared" si="43"/>
        <v/>
      </c>
    </row>
    <row r="906" spans="1:20" ht="100" customHeight="1">
      <c r="A906" s="26"/>
      <c r="B906" s="39" t="str">
        <f t="shared" si="41"/>
        <v/>
      </c>
      <c r="C906" s="43"/>
      <c r="D906" s="51" t="str" cm="1">
        <f t="array" ref="D906">IFERROR(INDEX(DB!G$2:G$2576,T906),"")</f>
        <v/>
      </c>
      <c r="E906" s="43"/>
      <c r="F906" s="52" t="str" cm="1">
        <f t="array" ref="F906">IFERROR(INDEX(DB!O$2:O$2576,T906),"")</f>
        <v/>
      </c>
      <c r="G906" s="43"/>
      <c r="H906" s="40" t="str" cm="1">
        <f t="array" ref="H906">IFERROR(INDEX(DB!P$2:P$2576,T906),"")</f>
        <v/>
      </c>
      <c r="I906" s="43"/>
      <c r="J906" s="53" t="str" cm="1">
        <f t="array" ref="J906">IFERROR(INDEX(DB!Q$2:Q$2576,T906),"")</f>
        <v/>
      </c>
      <c r="K906" s="43"/>
      <c r="L906" s="41" t="str" cm="1">
        <f t="array" ref="L906">IFERROR(INDEX(DB!R$2:R$2576,T906),"")</f>
        <v/>
      </c>
      <c r="M906" s="43"/>
      <c r="P906" t="str" cm="1">
        <f t="array" ref="P906">IFERROR(_xlfn.AGGREGATE(15,6,ROW(DB!A$2:A$2576)/((($D$3&lt;&gt;"YES")+($D$3="YES")*(DB!E$2:E$2576="YES"))*(($D$4="")+($D$4&lt;&gt;"")*( DB!B$2:B$2576=$D$4))*(($D$5="")+($D$5&lt;&gt;"")*( DB!C$2:C$2576=$D$5))*(($D$6="")+($D$6&lt;&gt;"")*( DB!D$2:D$2576=$D$6))*(($D$7="")+($D$7&lt;&gt;"")*(ISNUMBER(SEARCH($D$7,DB!G$2:G$2576))))*(($F$7="전체")+($F$7&lt;&gt;"전체")*(DB!H$2:H$2576=$F$7))),ROW()-13)-1,"")</f>
        <v/>
      </c>
      <c r="Q906" t="str" cm="1">
        <f t="array" ref="Q906">IFERROR(INDEX(DB!G$2:G$2576,P906),"")</f>
        <v/>
      </c>
      <c r="R906" t="str" cm="1">
        <f t="array" ref="R906">IFERROR(INDEX(DB!O$2:O$2576,P906),"")</f>
        <v/>
      </c>
      <c r="S906" t="str">
        <f t="shared" si="42"/>
        <v/>
      </c>
      <c r="T906" t="str">
        <f t="shared" si="43"/>
        <v/>
      </c>
    </row>
    <row r="907" spans="1:20" ht="100" customHeight="1">
      <c r="A907" s="26"/>
      <c r="B907" s="42" t="str">
        <f t="shared" si="41"/>
        <v/>
      </c>
      <c r="C907" s="43"/>
      <c r="D907" s="51" t="str" cm="1">
        <f t="array" ref="D907">IFERROR(INDEX(DB!G$2:G$2576,T907),"")</f>
        <v/>
      </c>
      <c r="E907" s="43"/>
      <c r="F907" s="52" t="str" cm="1">
        <f t="array" ref="F907">IFERROR(INDEX(DB!O$2:O$2576,T907),"")</f>
        <v/>
      </c>
      <c r="G907" s="43"/>
      <c r="H907" s="40" t="str" cm="1">
        <f t="array" ref="H907">IFERROR(INDEX(DB!P$2:P$2576,T907),"")</f>
        <v/>
      </c>
      <c r="I907" s="43"/>
      <c r="J907" s="53" t="str" cm="1">
        <f t="array" ref="J907">IFERROR(INDEX(DB!Q$2:Q$2576,T907),"")</f>
        <v/>
      </c>
      <c r="K907" s="43"/>
      <c r="L907" s="41" t="str" cm="1">
        <f t="array" ref="L907">IFERROR(INDEX(DB!R$2:R$2576,T907),"")</f>
        <v/>
      </c>
      <c r="M907" s="43"/>
      <c r="P907" t="str" cm="1">
        <f t="array" ref="P907">IFERROR(_xlfn.AGGREGATE(15,6,ROW(DB!A$2:A$2576)/((($D$3&lt;&gt;"YES")+($D$3="YES")*(DB!E$2:E$2576="YES"))*(($D$4="")+($D$4&lt;&gt;"")*( DB!B$2:B$2576=$D$4))*(($D$5="")+($D$5&lt;&gt;"")*( DB!C$2:C$2576=$D$5))*(($D$6="")+($D$6&lt;&gt;"")*( DB!D$2:D$2576=$D$6))*(($D$7="")+($D$7&lt;&gt;"")*(ISNUMBER(SEARCH($D$7,DB!G$2:G$2576))))*(($F$7="전체")+($F$7&lt;&gt;"전체")*(DB!H$2:H$2576=$F$7))),ROW()-13)-1,"")</f>
        <v/>
      </c>
      <c r="Q907" t="str" cm="1">
        <f t="array" ref="Q907">IFERROR(INDEX(DB!G$2:G$2576,P907),"")</f>
        <v/>
      </c>
      <c r="R907" t="str" cm="1">
        <f t="array" ref="R907">IFERROR(INDEX(DB!O$2:O$2576,P907),"")</f>
        <v/>
      </c>
      <c r="S907" t="str">
        <f t="shared" si="42"/>
        <v/>
      </c>
      <c r="T907" t="str">
        <f t="shared" si="43"/>
        <v/>
      </c>
    </row>
    <row r="908" spans="1:20" ht="100" customHeight="1">
      <c r="A908" s="26"/>
      <c r="B908" s="39" t="str">
        <f t="shared" si="41"/>
        <v/>
      </c>
      <c r="C908" s="43"/>
      <c r="D908" s="51" t="str" cm="1">
        <f t="array" ref="D908">IFERROR(INDEX(DB!G$2:G$2576,T908),"")</f>
        <v/>
      </c>
      <c r="E908" s="43"/>
      <c r="F908" s="52" t="str" cm="1">
        <f t="array" ref="F908">IFERROR(INDEX(DB!O$2:O$2576,T908),"")</f>
        <v/>
      </c>
      <c r="G908" s="43"/>
      <c r="H908" s="40" t="str" cm="1">
        <f t="array" ref="H908">IFERROR(INDEX(DB!P$2:P$2576,T908),"")</f>
        <v/>
      </c>
      <c r="I908" s="43"/>
      <c r="J908" s="53" t="str" cm="1">
        <f t="array" ref="J908">IFERROR(INDEX(DB!Q$2:Q$2576,T908),"")</f>
        <v/>
      </c>
      <c r="K908" s="43"/>
      <c r="L908" s="41" t="str" cm="1">
        <f t="array" ref="L908">IFERROR(INDEX(DB!R$2:R$2576,T908),"")</f>
        <v/>
      </c>
      <c r="M908" s="43"/>
      <c r="P908" t="str" cm="1">
        <f t="array" ref="P908">IFERROR(_xlfn.AGGREGATE(15,6,ROW(DB!A$2:A$2576)/((($D$3&lt;&gt;"YES")+($D$3="YES")*(DB!E$2:E$2576="YES"))*(($D$4="")+($D$4&lt;&gt;"")*( DB!B$2:B$2576=$D$4))*(($D$5="")+($D$5&lt;&gt;"")*( DB!C$2:C$2576=$D$5))*(($D$6="")+($D$6&lt;&gt;"")*( DB!D$2:D$2576=$D$6))*(($D$7="")+($D$7&lt;&gt;"")*(ISNUMBER(SEARCH($D$7,DB!G$2:G$2576))))*(($F$7="전체")+($F$7&lt;&gt;"전체")*(DB!H$2:H$2576=$F$7))),ROW()-13)-1,"")</f>
        <v/>
      </c>
      <c r="Q908" t="str" cm="1">
        <f t="array" ref="Q908">IFERROR(INDEX(DB!G$2:G$2576,P908),"")</f>
        <v/>
      </c>
      <c r="R908" t="str" cm="1">
        <f t="array" ref="R908">IFERROR(INDEX(DB!O$2:O$2576,P908),"")</f>
        <v/>
      </c>
      <c r="S908" t="str">
        <f t="shared" si="42"/>
        <v/>
      </c>
      <c r="T908" t="str">
        <f t="shared" si="43"/>
        <v/>
      </c>
    </row>
    <row r="909" spans="1:20" ht="100" customHeight="1">
      <c r="A909" s="26"/>
      <c r="B909" s="42" t="str">
        <f t="shared" si="41"/>
        <v/>
      </c>
      <c r="C909" s="43"/>
      <c r="D909" s="51" t="str" cm="1">
        <f t="array" ref="D909">IFERROR(INDEX(DB!G$2:G$2576,T909),"")</f>
        <v/>
      </c>
      <c r="E909" s="43"/>
      <c r="F909" s="52" t="str" cm="1">
        <f t="array" ref="F909">IFERROR(INDEX(DB!O$2:O$2576,T909),"")</f>
        <v/>
      </c>
      <c r="G909" s="43"/>
      <c r="H909" s="40" t="str" cm="1">
        <f t="array" ref="H909">IFERROR(INDEX(DB!P$2:P$2576,T909),"")</f>
        <v/>
      </c>
      <c r="I909" s="43"/>
      <c r="J909" s="53" t="str" cm="1">
        <f t="array" ref="J909">IFERROR(INDEX(DB!Q$2:Q$2576,T909),"")</f>
        <v/>
      </c>
      <c r="K909" s="43"/>
      <c r="L909" s="41" t="str" cm="1">
        <f t="array" ref="L909">IFERROR(INDEX(DB!R$2:R$2576,T909),"")</f>
        <v/>
      </c>
      <c r="M909" s="43"/>
      <c r="P909" t="str" cm="1">
        <f t="array" ref="P909">IFERROR(_xlfn.AGGREGATE(15,6,ROW(DB!A$2:A$2576)/((($D$3&lt;&gt;"YES")+($D$3="YES")*(DB!E$2:E$2576="YES"))*(($D$4="")+($D$4&lt;&gt;"")*( DB!B$2:B$2576=$D$4))*(($D$5="")+($D$5&lt;&gt;"")*( DB!C$2:C$2576=$D$5))*(($D$6="")+($D$6&lt;&gt;"")*( DB!D$2:D$2576=$D$6))*(($D$7="")+($D$7&lt;&gt;"")*(ISNUMBER(SEARCH($D$7,DB!G$2:G$2576))))*(($F$7="전체")+($F$7&lt;&gt;"전체")*(DB!H$2:H$2576=$F$7))),ROW()-13)-1,"")</f>
        <v/>
      </c>
      <c r="Q909" t="str" cm="1">
        <f t="array" ref="Q909">IFERROR(INDEX(DB!G$2:G$2576,P909),"")</f>
        <v/>
      </c>
      <c r="R909" t="str" cm="1">
        <f t="array" ref="R909">IFERROR(INDEX(DB!O$2:O$2576,P909),"")</f>
        <v/>
      </c>
      <c r="S909" t="str">
        <f t="shared" si="42"/>
        <v/>
      </c>
      <c r="T909" t="str">
        <f t="shared" si="43"/>
        <v/>
      </c>
    </row>
    <row r="910" spans="1:20" ht="100" customHeight="1">
      <c r="A910" s="26"/>
      <c r="B910" s="39" t="str">
        <f t="shared" si="41"/>
        <v/>
      </c>
      <c r="C910" s="43"/>
      <c r="D910" s="51" t="str" cm="1">
        <f t="array" ref="D910">IFERROR(INDEX(DB!G$2:G$2576,T910),"")</f>
        <v/>
      </c>
      <c r="E910" s="43"/>
      <c r="F910" s="52" t="str" cm="1">
        <f t="array" ref="F910">IFERROR(INDEX(DB!O$2:O$2576,T910),"")</f>
        <v/>
      </c>
      <c r="G910" s="43"/>
      <c r="H910" s="40" t="str" cm="1">
        <f t="array" ref="H910">IFERROR(INDEX(DB!P$2:P$2576,T910),"")</f>
        <v/>
      </c>
      <c r="I910" s="43"/>
      <c r="J910" s="53" t="str" cm="1">
        <f t="array" ref="J910">IFERROR(INDEX(DB!Q$2:Q$2576,T910),"")</f>
        <v/>
      </c>
      <c r="K910" s="43"/>
      <c r="L910" s="41" t="str" cm="1">
        <f t="array" ref="L910">IFERROR(INDEX(DB!R$2:R$2576,T910),"")</f>
        <v/>
      </c>
      <c r="M910" s="43"/>
      <c r="P910" t="str" cm="1">
        <f t="array" ref="P910">IFERROR(_xlfn.AGGREGATE(15,6,ROW(DB!A$2:A$2576)/((($D$3&lt;&gt;"YES")+($D$3="YES")*(DB!E$2:E$2576="YES"))*(($D$4="")+($D$4&lt;&gt;"")*( DB!B$2:B$2576=$D$4))*(($D$5="")+($D$5&lt;&gt;"")*( DB!C$2:C$2576=$D$5))*(($D$6="")+($D$6&lt;&gt;"")*( DB!D$2:D$2576=$D$6))*(($D$7="")+($D$7&lt;&gt;"")*(ISNUMBER(SEARCH($D$7,DB!G$2:G$2576))))*(($F$7="전체")+($F$7&lt;&gt;"전체")*(DB!H$2:H$2576=$F$7))),ROW()-13)-1,"")</f>
        <v/>
      </c>
      <c r="Q910" t="str" cm="1">
        <f t="array" ref="Q910">IFERROR(INDEX(DB!G$2:G$2576,P910),"")</f>
        <v/>
      </c>
      <c r="R910" t="str" cm="1">
        <f t="array" ref="R910">IFERROR(INDEX(DB!O$2:O$2576,P910),"")</f>
        <v/>
      </c>
      <c r="S910" t="str">
        <f t="shared" si="42"/>
        <v/>
      </c>
      <c r="T910" t="str">
        <f t="shared" si="43"/>
        <v/>
      </c>
    </row>
    <row r="911" spans="1:20" ht="100" customHeight="1">
      <c r="A911" s="26"/>
      <c r="B911" s="42" t="str">
        <f t="shared" ref="B911:B974" si="44">IFERROR(IF(T911="","",ROW()-13),"")</f>
        <v/>
      </c>
      <c r="C911" s="43"/>
      <c r="D911" s="51" t="str" cm="1">
        <f t="array" ref="D911">IFERROR(INDEX(DB!G$2:G$2576,T911),"")</f>
        <v/>
      </c>
      <c r="E911" s="43"/>
      <c r="F911" s="52" t="str" cm="1">
        <f t="array" ref="F911">IFERROR(INDEX(DB!O$2:O$2576,T911),"")</f>
        <v/>
      </c>
      <c r="G911" s="43"/>
      <c r="H911" s="40" t="str" cm="1">
        <f t="array" ref="H911">IFERROR(INDEX(DB!P$2:P$2576,T911),"")</f>
        <v/>
      </c>
      <c r="I911" s="43"/>
      <c r="J911" s="53" t="str" cm="1">
        <f t="array" ref="J911">IFERROR(INDEX(DB!Q$2:Q$2576,T911),"")</f>
        <v/>
      </c>
      <c r="K911" s="43"/>
      <c r="L911" s="41" t="str" cm="1">
        <f t="array" ref="L911">IFERROR(INDEX(DB!R$2:R$2576,T911),"")</f>
        <v/>
      </c>
      <c r="M911" s="43"/>
      <c r="P911" t="str" cm="1">
        <f t="array" ref="P911">IFERROR(_xlfn.AGGREGATE(15,6,ROW(DB!A$2:A$2576)/((($D$3&lt;&gt;"YES")+($D$3="YES")*(DB!E$2:E$2576="YES"))*(($D$4="")+($D$4&lt;&gt;"")*( DB!B$2:B$2576=$D$4))*(($D$5="")+($D$5&lt;&gt;"")*( DB!C$2:C$2576=$D$5))*(($D$6="")+($D$6&lt;&gt;"")*( DB!D$2:D$2576=$D$6))*(($D$7="")+($D$7&lt;&gt;"")*(ISNUMBER(SEARCH($D$7,DB!G$2:G$2576))))*(($F$7="전체")+($F$7&lt;&gt;"전체")*(DB!H$2:H$2576=$F$7))),ROW()-13)-1,"")</f>
        <v/>
      </c>
      <c r="Q911" t="str" cm="1">
        <f t="array" ref="Q911">IFERROR(INDEX(DB!G$2:G$2576,P911),"")</f>
        <v/>
      </c>
      <c r="R911" t="str" cm="1">
        <f t="array" ref="R911">IFERROR(INDEX(DB!O$2:O$2576,P911),"")</f>
        <v/>
      </c>
      <c r="S911" t="str">
        <f t="shared" ref="S911:S974" si="45">IF(P911="","",COUNTIF($Q$14:$Q$2587,"&lt;"&amp;Q911)*100+COUNTIF($R$14:$R$2587,"&lt;"&amp;R911)+(ROW()-13)*0.001)</f>
        <v/>
      </c>
      <c r="T911" t="str">
        <f t="shared" ref="T911:T974" si="46">IFERROR(INDEX($P$14:$P$2587,MATCH(SMALL($S$14:$S$2587,ROW()-13),$S$14:$S$2587,0)),"")</f>
        <v/>
      </c>
    </row>
    <row r="912" spans="1:20" ht="100" customHeight="1">
      <c r="A912" s="26"/>
      <c r="B912" s="39" t="str">
        <f t="shared" si="44"/>
        <v/>
      </c>
      <c r="C912" s="43"/>
      <c r="D912" s="51" t="str" cm="1">
        <f t="array" ref="D912">IFERROR(INDEX(DB!G$2:G$2576,T912),"")</f>
        <v/>
      </c>
      <c r="E912" s="43"/>
      <c r="F912" s="52" t="str" cm="1">
        <f t="array" ref="F912">IFERROR(INDEX(DB!O$2:O$2576,T912),"")</f>
        <v/>
      </c>
      <c r="G912" s="43"/>
      <c r="H912" s="40" t="str" cm="1">
        <f t="array" ref="H912">IFERROR(INDEX(DB!P$2:P$2576,T912),"")</f>
        <v/>
      </c>
      <c r="I912" s="43"/>
      <c r="J912" s="53" t="str" cm="1">
        <f t="array" ref="J912">IFERROR(INDEX(DB!Q$2:Q$2576,T912),"")</f>
        <v/>
      </c>
      <c r="K912" s="43"/>
      <c r="L912" s="41" t="str" cm="1">
        <f t="array" ref="L912">IFERROR(INDEX(DB!R$2:R$2576,T912),"")</f>
        <v/>
      </c>
      <c r="M912" s="43"/>
      <c r="P912" t="str" cm="1">
        <f t="array" ref="P912">IFERROR(_xlfn.AGGREGATE(15,6,ROW(DB!A$2:A$2576)/((($D$3&lt;&gt;"YES")+($D$3="YES")*(DB!E$2:E$2576="YES"))*(($D$4="")+($D$4&lt;&gt;"")*( DB!B$2:B$2576=$D$4))*(($D$5="")+($D$5&lt;&gt;"")*( DB!C$2:C$2576=$D$5))*(($D$6="")+($D$6&lt;&gt;"")*( DB!D$2:D$2576=$D$6))*(($D$7="")+($D$7&lt;&gt;"")*(ISNUMBER(SEARCH($D$7,DB!G$2:G$2576))))*(($F$7="전체")+($F$7&lt;&gt;"전체")*(DB!H$2:H$2576=$F$7))),ROW()-13)-1,"")</f>
        <v/>
      </c>
      <c r="Q912" t="str" cm="1">
        <f t="array" ref="Q912">IFERROR(INDEX(DB!G$2:G$2576,P912),"")</f>
        <v/>
      </c>
      <c r="R912" t="str" cm="1">
        <f t="array" ref="R912">IFERROR(INDEX(DB!O$2:O$2576,P912),"")</f>
        <v/>
      </c>
      <c r="S912" t="str">
        <f t="shared" si="45"/>
        <v/>
      </c>
      <c r="T912" t="str">
        <f t="shared" si="46"/>
        <v/>
      </c>
    </row>
    <row r="913" spans="1:20" ht="100" customHeight="1">
      <c r="A913" s="26"/>
      <c r="B913" s="42" t="str">
        <f t="shared" si="44"/>
        <v/>
      </c>
      <c r="C913" s="43"/>
      <c r="D913" s="51" t="str" cm="1">
        <f t="array" ref="D913">IFERROR(INDEX(DB!G$2:G$2576,T913),"")</f>
        <v/>
      </c>
      <c r="E913" s="43"/>
      <c r="F913" s="52" t="str" cm="1">
        <f t="array" ref="F913">IFERROR(INDEX(DB!O$2:O$2576,T913),"")</f>
        <v/>
      </c>
      <c r="G913" s="43"/>
      <c r="H913" s="40" t="str" cm="1">
        <f t="array" ref="H913">IFERROR(INDEX(DB!P$2:P$2576,T913),"")</f>
        <v/>
      </c>
      <c r="I913" s="43"/>
      <c r="J913" s="53" t="str" cm="1">
        <f t="array" ref="J913">IFERROR(INDEX(DB!Q$2:Q$2576,T913),"")</f>
        <v/>
      </c>
      <c r="K913" s="43"/>
      <c r="L913" s="41" t="str" cm="1">
        <f t="array" ref="L913">IFERROR(INDEX(DB!R$2:R$2576,T913),"")</f>
        <v/>
      </c>
      <c r="M913" s="43"/>
      <c r="P913" t="str" cm="1">
        <f t="array" ref="P913">IFERROR(_xlfn.AGGREGATE(15,6,ROW(DB!A$2:A$2576)/((($D$3&lt;&gt;"YES")+($D$3="YES")*(DB!E$2:E$2576="YES"))*(($D$4="")+($D$4&lt;&gt;"")*( DB!B$2:B$2576=$D$4))*(($D$5="")+($D$5&lt;&gt;"")*( DB!C$2:C$2576=$D$5))*(($D$6="")+($D$6&lt;&gt;"")*( DB!D$2:D$2576=$D$6))*(($D$7="")+($D$7&lt;&gt;"")*(ISNUMBER(SEARCH($D$7,DB!G$2:G$2576))))*(($F$7="전체")+($F$7&lt;&gt;"전체")*(DB!H$2:H$2576=$F$7))),ROW()-13)-1,"")</f>
        <v/>
      </c>
      <c r="Q913" t="str" cm="1">
        <f t="array" ref="Q913">IFERROR(INDEX(DB!G$2:G$2576,P913),"")</f>
        <v/>
      </c>
      <c r="R913" t="str" cm="1">
        <f t="array" ref="R913">IFERROR(INDEX(DB!O$2:O$2576,P913),"")</f>
        <v/>
      </c>
      <c r="S913" t="str">
        <f t="shared" si="45"/>
        <v/>
      </c>
      <c r="T913" t="str">
        <f t="shared" si="46"/>
        <v/>
      </c>
    </row>
    <row r="914" spans="1:20" ht="100" customHeight="1">
      <c r="A914" s="26"/>
      <c r="B914" s="39" t="str">
        <f t="shared" si="44"/>
        <v/>
      </c>
      <c r="C914" s="43"/>
      <c r="D914" s="51" t="str" cm="1">
        <f t="array" ref="D914">IFERROR(INDEX(DB!G$2:G$2576,T914),"")</f>
        <v/>
      </c>
      <c r="E914" s="43"/>
      <c r="F914" s="52" t="str" cm="1">
        <f t="array" ref="F914">IFERROR(INDEX(DB!O$2:O$2576,T914),"")</f>
        <v/>
      </c>
      <c r="G914" s="43"/>
      <c r="H914" s="40" t="str" cm="1">
        <f t="array" ref="H914">IFERROR(INDEX(DB!P$2:P$2576,T914),"")</f>
        <v/>
      </c>
      <c r="I914" s="43"/>
      <c r="J914" s="53" t="str" cm="1">
        <f t="array" ref="J914">IFERROR(INDEX(DB!Q$2:Q$2576,T914),"")</f>
        <v/>
      </c>
      <c r="K914" s="43"/>
      <c r="L914" s="41" t="str" cm="1">
        <f t="array" ref="L914">IFERROR(INDEX(DB!R$2:R$2576,T914),"")</f>
        <v/>
      </c>
      <c r="M914" s="43"/>
      <c r="P914" t="str" cm="1">
        <f t="array" ref="P914">IFERROR(_xlfn.AGGREGATE(15,6,ROW(DB!A$2:A$2576)/((($D$3&lt;&gt;"YES")+($D$3="YES")*(DB!E$2:E$2576="YES"))*(($D$4="")+($D$4&lt;&gt;"")*( DB!B$2:B$2576=$D$4))*(($D$5="")+($D$5&lt;&gt;"")*( DB!C$2:C$2576=$D$5))*(($D$6="")+($D$6&lt;&gt;"")*( DB!D$2:D$2576=$D$6))*(($D$7="")+($D$7&lt;&gt;"")*(ISNUMBER(SEARCH($D$7,DB!G$2:G$2576))))*(($F$7="전체")+($F$7&lt;&gt;"전체")*(DB!H$2:H$2576=$F$7))),ROW()-13)-1,"")</f>
        <v/>
      </c>
      <c r="Q914" t="str" cm="1">
        <f t="array" ref="Q914">IFERROR(INDEX(DB!G$2:G$2576,P914),"")</f>
        <v/>
      </c>
      <c r="R914" t="str" cm="1">
        <f t="array" ref="R914">IFERROR(INDEX(DB!O$2:O$2576,P914),"")</f>
        <v/>
      </c>
      <c r="S914" t="str">
        <f t="shared" si="45"/>
        <v/>
      </c>
      <c r="T914" t="str">
        <f t="shared" si="46"/>
        <v/>
      </c>
    </row>
    <row r="915" spans="1:20" ht="100" customHeight="1">
      <c r="A915" s="26"/>
      <c r="B915" s="42" t="str">
        <f t="shared" si="44"/>
        <v/>
      </c>
      <c r="C915" s="43"/>
      <c r="D915" s="51" t="str" cm="1">
        <f t="array" ref="D915">IFERROR(INDEX(DB!G$2:G$2576,T915),"")</f>
        <v/>
      </c>
      <c r="E915" s="43"/>
      <c r="F915" s="52" t="str" cm="1">
        <f t="array" ref="F915">IFERROR(INDEX(DB!O$2:O$2576,T915),"")</f>
        <v/>
      </c>
      <c r="G915" s="43"/>
      <c r="H915" s="40" t="str" cm="1">
        <f t="array" ref="H915">IFERROR(INDEX(DB!P$2:P$2576,T915),"")</f>
        <v/>
      </c>
      <c r="I915" s="43"/>
      <c r="J915" s="53" t="str" cm="1">
        <f t="array" ref="J915">IFERROR(INDEX(DB!Q$2:Q$2576,T915),"")</f>
        <v/>
      </c>
      <c r="K915" s="43"/>
      <c r="L915" s="41" t="str" cm="1">
        <f t="array" ref="L915">IFERROR(INDEX(DB!R$2:R$2576,T915),"")</f>
        <v/>
      </c>
      <c r="M915" s="43"/>
      <c r="P915" t="str" cm="1">
        <f t="array" ref="P915">IFERROR(_xlfn.AGGREGATE(15,6,ROW(DB!A$2:A$2576)/((($D$3&lt;&gt;"YES")+($D$3="YES")*(DB!E$2:E$2576="YES"))*(($D$4="")+($D$4&lt;&gt;"")*( DB!B$2:B$2576=$D$4))*(($D$5="")+($D$5&lt;&gt;"")*( DB!C$2:C$2576=$D$5))*(($D$6="")+($D$6&lt;&gt;"")*( DB!D$2:D$2576=$D$6))*(($D$7="")+($D$7&lt;&gt;"")*(ISNUMBER(SEARCH($D$7,DB!G$2:G$2576))))*(($F$7="전체")+($F$7&lt;&gt;"전체")*(DB!H$2:H$2576=$F$7))),ROW()-13)-1,"")</f>
        <v/>
      </c>
      <c r="Q915" t="str" cm="1">
        <f t="array" ref="Q915">IFERROR(INDEX(DB!G$2:G$2576,P915),"")</f>
        <v/>
      </c>
      <c r="R915" t="str" cm="1">
        <f t="array" ref="R915">IFERROR(INDEX(DB!O$2:O$2576,P915),"")</f>
        <v/>
      </c>
      <c r="S915" t="str">
        <f t="shared" si="45"/>
        <v/>
      </c>
      <c r="T915" t="str">
        <f t="shared" si="46"/>
        <v/>
      </c>
    </row>
    <row r="916" spans="1:20" ht="100" customHeight="1">
      <c r="A916" s="26"/>
      <c r="B916" s="39" t="str">
        <f t="shared" si="44"/>
        <v/>
      </c>
      <c r="C916" s="43"/>
      <c r="D916" s="51" t="str" cm="1">
        <f t="array" ref="D916">IFERROR(INDEX(DB!G$2:G$2576,T916),"")</f>
        <v/>
      </c>
      <c r="E916" s="43"/>
      <c r="F916" s="52" t="str" cm="1">
        <f t="array" ref="F916">IFERROR(INDEX(DB!O$2:O$2576,T916),"")</f>
        <v/>
      </c>
      <c r="G916" s="43"/>
      <c r="H916" s="40" t="str" cm="1">
        <f t="array" ref="H916">IFERROR(INDEX(DB!P$2:P$2576,T916),"")</f>
        <v/>
      </c>
      <c r="I916" s="43"/>
      <c r="J916" s="53" t="str" cm="1">
        <f t="array" ref="J916">IFERROR(INDEX(DB!Q$2:Q$2576,T916),"")</f>
        <v/>
      </c>
      <c r="K916" s="43"/>
      <c r="L916" s="41" t="str" cm="1">
        <f t="array" ref="L916">IFERROR(INDEX(DB!R$2:R$2576,T916),"")</f>
        <v/>
      </c>
      <c r="M916" s="43"/>
      <c r="P916" t="str" cm="1">
        <f t="array" ref="P916">IFERROR(_xlfn.AGGREGATE(15,6,ROW(DB!A$2:A$2576)/((($D$3&lt;&gt;"YES")+($D$3="YES")*(DB!E$2:E$2576="YES"))*(($D$4="")+($D$4&lt;&gt;"")*( DB!B$2:B$2576=$D$4))*(($D$5="")+($D$5&lt;&gt;"")*( DB!C$2:C$2576=$D$5))*(($D$6="")+($D$6&lt;&gt;"")*( DB!D$2:D$2576=$D$6))*(($D$7="")+($D$7&lt;&gt;"")*(ISNUMBER(SEARCH($D$7,DB!G$2:G$2576))))*(($F$7="전체")+($F$7&lt;&gt;"전체")*(DB!H$2:H$2576=$F$7))),ROW()-13)-1,"")</f>
        <v/>
      </c>
      <c r="Q916" t="str" cm="1">
        <f t="array" ref="Q916">IFERROR(INDEX(DB!G$2:G$2576,P916),"")</f>
        <v/>
      </c>
      <c r="R916" t="str" cm="1">
        <f t="array" ref="R916">IFERROR(INDEX(DB!O$2:O$2576,P916),"")</f>
        <v/>
      </c>
      <c r="S916" t="str">
        <f t="shared" si="45"/>
        <v/>
      </c>
      <c r="T916" t="str">
        <f t="shared" si="46"/>
        <v/>
      </c>
    </row>
    <row r="917" spans="1:20" ht="100" customHeight="1">
      <c r="A917" s="26"/>
      <c r="B917" s="42" t="str">
        <f t="shared" si="44"/>
        <v/>
      </c>
      <c r="C917" s="43"/>
      <c r="D917" s="51" t="str" cm="1">
        <f t="array" ref="D917">IFERROR(INDEX(DB!G$2:G$2576,T917),"")</f>
        <v/>
      </c>
      <c r="E917" s="43"/>
      <c r="F917" s="52" t="str" cm="1">
        <f t="array" ref="F917">IFERROR(INDEX(DB!O$2:O$2576,T917),"")</f>
        <v/>
      </c>
      <c r="G917" s="43"/>
      <c r="H917" s="40" t="str" cm="1">
        <f t="array" ref="H917">IFERROR(INDEX(DB!P$2:P$2576,T917),"")</f>
        <v/>
      </c>
      <c r="I917" s="43"/>
      <c r="J917" s="53" t="str" cm="1">
        <f t="array" ref="J917">IFERROR(INDEX(DB!Q$2:Q$2576,T917),"")</f>
        <v/>
      </c>
      <c r="K917" s="43"/>
      <c r="L917" s="41" t="str" cm="1">
        <f t="array" ref="L917">IFERROR(INDEX(DB!R$2:R$2576,T917),"")</f>
        <v/>
      </c>
      <c r="M917" s="43"/>
      <c r="P917" t="str" cm="1">
        <f t="array" ref="P917">IFERROR(_xlfn.AGGREGATE(15,6,ROW(DB!A$2:A$2576)/((($D$3&lt;&gt;"YES")+($D$3="YES")*(DB!E$2:E$2576="YES"))*(($D$4="")+($D$4&lt;&gt;"")*( DB!B$2:B$2576=$D$4))*(($D$5="")+($D$5&lt;&gt;"")*( DB!C$2:C$2576=$D$5))*(($D$6="")+($D$6&lt;&gt;"")*( DB!D$2:D$2576=$D$6))*(($D$7="")+($D$7&lt;&gt;"")*(ISNUMBER(SEARCH($D$7,DB!G$2:G$2576))))*(($F$7="전체")+($F$7&lt;&gt;"전체")*(DB!H$2:H$2576=$F$7))),ROW()-13)-1,"")</f>
        <v/>
      </c>
      <c r="Q917" t="str" cm="1">
        <f t="array" ref="Q917">IFERROR(INDEX(DB!G$2:G$2576,P917),"")</f>
        <v/>
      </c>
      <c r="R917" t="str" cm="1">
        <f t="array" ref="R917">IFERROR(INDEX(DB!O$2:O$2576,P917),"")</f>
        <v/>
      </c>
      <c r="S917" t="str">
        <f t="shared" si="45"/>
        <v/>
      </c>
      <c r="T917" t="str">
        <f t="shared" si="46"/>
        <v/>
      </c>
    </row>
    <row r="918" spans="1:20" ht="100" customHeight="1">
      <c r="A918" s="26"/>
      <c r="B918" s="39" t="str">
        <f t="shared" si="44"/>
        <v/>
      </c>
      <c r="C918" s="43"/>
      <c r="D918" s="51" t="str" cm="1">
        <f t="array" ref="D918">IFERROR(INDEX(DB!G$2:G$2576,T918),"")</f>
        <v/>
      </c>
      <c r="E918" s="43"/>
      <c r="F918" s="52" t="str" cm="1">
        <f t="array" ref="F918">IFERROR(INDEX(DB!O$2:O$2576,T918),"")</f>
        <v/>
      </c>
      <c r="G918" s="43"/>
      <c r="H918" s="40" t="str" cm="1">
        <f t="array" ref="H918">IFERROR(INDEX(DB!P$2:P$2576,T918),"")</f>
        <v/>
      </c>
      <c r="I918" s="43"/>
      <c r="J918" s="53" t="str" cm="1">
        <f t="array" ref="J918">IFERROR(INDEX(DB!Q$2:Q$2576,T918),"")</f>
        <v/>
      </c>
      <c r="K918" s="43"/>
      <c r="L918" s="41" t="str" cm="1">
        <f t="array" ref="L918">IFERROR(INDEX(DB!R$2:R$2576,T918),"")</f>
        <v/>
      </c>
      <c r="M918" s="43"/>
      <c r="P918" t="str" cm="1">
        <f t="array" ref="P918">IFERROR(_xlfn.AGGREGATE(15,6,ROW(DB!A$2:A$2576)/((($D$3&lt;&gt;"YES")+($D$3="YES")*(DB!E$2:E$2576="YES"))*(($D$4="")+($D$4&lt;&gt;"")*( DB!B$2:B$2576=$D$4))*(($D$5="")+($D$5&lt;&gt;"")*( DB!C$2:C$2576=$D$5))*(($D$6="")+($D$6&lt;&gt;"")*( DB!D$2:D$2576=$D$6))*(($D$7="")+($D$7&lt;&gt;"")*(ISNUMBER(SEARCH($D$7,DB!G$2:G$2576))))*(($F$7="전체")+($F$7&lt;&gt;"전체")*(DB!H$2:H$2576=$F$7))),ROW()-13)-1,"")</f>
        <v/>
      </c>
      <c r="Q918" t="str" cm="1">
        <f t="array" ref="Q918">IFERROR(INDEX(DB!G$2:G$2576,P918),"")</f>
        <v/>
      </c>
      <c r="R918" t="str" cm="1">
        <f t="array" ref="R918">IFERROR(INDEX(DB!O$2:O$2576,P918),"")</f>
        <v/>
      </c>
      <c r="S918" t="str">
        <f t="shared" si="45"/>
        <v/>
      </c>
      <c r="T918" t="str">
        <f t="shared" si="46"/>
        <v/>
      </c>
    </row>
    <row r="919" spans="1:20" ht="100" customHeight="1">
      <c r="A919" s="26"/>
      <c r="B919" s="42" t="str">
        <f t="shared" si="44"/>
        <v/>
      </c>
      <c r="C919" s="43"/>
      <c r="D919" s="51" t="str" cm="1">
        <f t="array" ref="D919">IFERROR(INDEX(DB!G$2:G$2576,T919),"")</f>
        <v/>
      </c>
      <c r="E919" s="43"/>
      <c r="F919" s="52" t="str" cm="1">
        <f t="array" ref="F919">IFERROR(INDEX(DB!O$2:O$2576,T919),"")</f>
        <v/>
      </c>
      <c r="G919" s="43"/>
      <c r="H919" s="40" t="str" cm="1">
        <f t="array" ref="H919">IFERROR(INDEX(DB!P$2:P$2576,T919),"")</f>
        <v/>
      </c>
      <c r="I919" s="43"/>
      <c r="J919" s="53" t="str" cm="1">
        <f t="array" ref="J919">IFERROR(INDEX(DB!Q$2:Q$2576,T919),"")</f>
        <v/>
      </c>
      <c r="K919" s="43"/>
      <c r="L919" s="41" t="str" cm="1">
        <f t="array" ref="L919">IFERROR(INDEX(DB!R$2:R$2576,T919),"")</f>
        <v/>
      </c>
      <c r="M919" s="43"/>
      <c r="P919" t="str" cm="1">
        <f t="array" ref="P919">IFERROR(_xlfn.AGGREGATE(15,6,ROW(DB!A$2:A$2576)/((($D$3&lt;&gt;"YES")+($D$3="YES")*(DB!E$2:E$2576="YES"))*(($D$4="")+($D$4&lt;&gt;"")*( DB!B$2:B$2576=$D$4))*(($D$5="")+($D$5&lt;&gt;"")*( DB!C$2:C$2576=$D$5))*(($D$6="")+($D$6&lt;&gt;"")*( DB!D$2:D$2576=$D$6))*(($D$7="")+($D$7&lt;&gt;"")*(ISNUMBER(SEARCH($D$7,DB!G$2:G$2576))))*(($F$7="전체")+($F$7&lt;&gt;"전체")*(DB!H$2:H$2576=$F$7))),ROW()-13)-1,"")</f>
        <v/>
      </c>
      <c r="Q919" t="str" cm="1">
        <f t="array" ref="Q919">IFERROR(INDEX(DB!G$2:G$2576,P919),"")</f>
        <v/>
      </c>
      <c r="R919" t="str" cm="1">
        <f t="array" ref="R919">IFERROR(INDEX(DB!O$2:O$2576,P919),"")</f>
        <v/>
      </c>
      <c r="S919" t="str">
        <f t="shared" si="45"/>
        <v/>
      </c>
      <c r="T919" t="str">
        <f t="shared" si="46"/>
        <v/>
      </c>
    </row>
    <row r="920" spans="1:20" ht="100" customHeight="1">
      <c r="A920" s="26"/>
      <c r="B920" s="39" t="str">
        <f t="shared" si="44"/>
        <v/>
      </c>
      <c r="C920" s="43"/>
      <c r="D920" s="51" t="str" cm="1">
        <f t="array" ref="D920">IFERROR(INDEX(DB!G$2:G$2576,T920),"")</f>
        <v/>
      </c>
      <c r="E920" s="43"/>
      <c r="F920" s="52" t="str" cm="1">
        <f t="array" ref="F920">IFERROR(INDEX(DB!O$2:O$2576,T920),"")</f>
        <v/>
      </c>
      <c r="G920" s="43"/>
      <c r="H920" s="40" t="str" cm="1">
        <f t="array" ref="H920">IFERROR(INDEX(DB!P$2:P$2576,T920),"")</f>
        <v/>
      </c>
      <c r="I920" s="43"/>
      <c r="J920" s="53" t="str" cm="1">
        <f t="array" ref="J920">IFERROR(INDEX(DB!Q$2:Q$2576,T920),"")</f>
        <v/>
      </c>
      <c r="K920" s="43"/>
      <c r="L920" s="41" t="str" cm="1">
        <f t="array" ref="L920">IFERROR(INDEX(DB!R$2:R$2576,T920),"")</f>
        <v/>
      </c>
      <c r="M920" s="43"/>
      <c r="P920" t="str" cm="1">
        <f t="array" ref="P920">IFERROR(_xlfn.AGGREGATE(15,6,ROW(DB!A$2:A$2576)/((($D$3&lt;&gt;"YES")+($D$3="YES")*(DB!E$2:E$2576="YES"))*(($D$4="")+($D$4&lt;&gt;"")*( DB!B$2:B$2576=$D$4))*(($D$5="")+($D$5&lt;&gt;"")*( DB!C$2:C$2576=$D$5))*(($D$6="")+($D$6&lt;&gt;"")*( DB!D$2:D$2576=$D$6))*(($D$7="")+($D$7&lt;&gt;"")*(ISNUMBER(SEARCH($D$7,DB!G$2:G$2576))))*(($F$7="전체")+($F$7&lt;&gt;"전체")*(DB!H$2:H$2576=$F$7))),ROW()-13)-1,"")</f>
        <v/>
      </c>
      <c r="Q920" t="str" cm="1">
        <f t="array" ref="Q920">IFERROR(INDEX(DB!G$2:G$2576,P920),"")</f>
        <v/>
      </c>
      <c r="R920" t="str" cm="1">
        <f t="array" ref="R920">IFERROR(INDEX(DB!O$2:O$2576,P920),"")</f>
        <v/>
      </c>
      <c r="S920" t="str">
        <f t="shared" si="45"/>
        <v/>
      </c>
      <c r="T920" t="str">
        <f t="shared" si="46"/>
        <v/>
      </c>
    </row>
    <row r="921" spans="1:20" ht="100" customHeight="1">
      <c r="A921" s="26"/>
      <c r="B921" s="42" t="str">
        <f t="shared" si="44"/>
        <v/>
      </c>
      <c r="C921" s="43"/>
      <c r="D921" s="51" t="str" cm="1">
        <f t="array" ref="D921">IFERROR(INDEX(DB!G$2:G$2576,T921),"")</f>
        <v/>
      </c>
      <c r="E921" s="43"/>
      <c r="F921" s="52" t="str" cm="1">
        <f t="array" ref="F921">IFERROR(INDEX(DB!O$2:O$2576,T921),"")</f>
        <v/>
      </c>
      <c r="G921" s="43"/>
      <c r="H921" s="40" t="str" cm="1">
        <f t="array" ref="H921">IFERROR(INDEX(DB!P$2:P$2576,T921),"")</f>
        <v/>
      </c>
      <c r="I921" s="43"/>
      <c r="J921" s="53" t="str" cm="1">
        <f t="array" ref="J921">IFERROR(INDEX(DB!Q$2:Q$2576,T921),"")</f>
        <v/>
      </c>
      <c r="K921" s="43"/>
      <c r="L921" s="41" t="str" cm="1">
        <f t="array" ref="L921">IFERROR(INDEX(DB!R$2:R$2576,T921),"")</f>
        <v/>
      </c>
      <c r="M921" s="43"/>
      <c r="P921" t="str" cm="1">
        <f t="array" ref="P921">IFERROR(_xlfn.AGGREGATE(15,6,ROW(DB!A$2:A$2576)/((($D$3&lt;&gt;"YES")+($D$3="YES")*(DB!E$2:E$2576="YES"))*(($D$4="")+($D$4&lt;&gt;"")*( DB!B$2:B$2576=$D$4))*(($D$5="")+($D$5&lt;&gt;"")*( DB!C$2:C$2576=$D$5))*(($D$6="")+($D$6&lt;&gt;"")*( DB!D$2:D$2576=$D$6))*(($D$7="")+($D$7&lt;&gt;"")*(ISNUMBER(SEARCH($D$7,DB!G$2:G$2576))))*(($F$7="전체")+($F$7&lt;&gt;"전체")*(DB!H$2:H$2576=$F$7))),ROW()-13)-1,"")</f>
        <v/>
      </c>
      <c r="Q921" t="str" cm="1">
        <f t="array" ref="Q921">IFERROR(INDEX(DB!G$2:G$2576,P921),"")</f>
        <v/>
      </c>
      <c r="R921" t="str" cm="1">
        <f t="array" ref="R921">IFERROR(INDEX(DB!O$2:O$2576,P921),"")</f>
        <v/>
      </c>
      <c r="S921" t="str">
        <f t="shared" si="45"/>
        <v/>
      </c>
      <c r="T921" t="str">
        <f t="shared" si="46"/>
        <v/>
      </c>
    </row>
    <row r="922" spans="1:20" ht="100" customHeight="1">
      <c r="A922" s="26"/>
      <c r="B922" s="39" t="str">
        <f t="shared" si="44"/>
        <v/>
      </c>
      <c r="C922" s="43"/>
      <c r="D922" s="51" t="str" cm="1">
        <f t="array" ref="D922">IFERROR(INDEX(DB!G$2:G$2576,T922),"")</f>
        <v/>
      </c>
      <c r="E922" s="43"/>
      <c r="F922" s="52" t="str" cm="1">
        <f t="array" ref="F922">IFERROR(INDEX(DB!O$2:O$2576,T922),"")</f>
        <v/>
      </c>
      <c r="G922" s="43"/>
      <c r="H922" s="40" t="str" cm="1">
        <f t="array" ref="H922">IFERROR(INDEX(DB!P$2:P$2576,T922),"")</f>
        <v/>
      </c>
      <c r="I922" s="43"/>
      <c r="J922" s="53" t="str" cm="1">
        <f t="array" ref="J922">IFERROR(INDEX(DB!Q$2:Q$2576,T922),"")</f>
        <v/>
      </c>
      <c r="K922" s="43"/>
      <c r="L922" s="41" t="str" cm="1">
        <f t="array" ref="L922">IFERROR(INDEX(DB!R$2:R$2576,T922),"")</f>
        <v/>
      </c>
      <c r="M922" s="43"/>
      <c r="P922" t="str" cm="1">
        <f t="array" ref="P922">IFERROR(_xlfn.AGGREGATE(15,6,ROW(DB!A$2:A$2576)/((($D$3&lt;&gt;"YES")+($D$3="YES")*(DB!E$2:E$2576="YES"))*(($D$4="")+($D$4&lt;&gt;"")*( DB!B$2:B$2576=$D$4))*(($D$5="")+($D$5&lt;&gt;"")*( DB!C$2:C$2576=$D$5))*(($D$6="")+($D$6&lt;&gt;"")*( DB!D$2:D$2576=$D$6))*(($D$7="")+($D$7&lt;&gt;"")*(ISNUMBER(SEARCH($D$7,DB!G$2:G$2576))))*(($F$7="전체")+($F$7&lt;&gt;"전체")*(DB!H$2:H$2576=$F$7))),ROW()-13)-1,"")</f>
        <v/>
      </c>
      <c r="Q922" t="str" cm="1">
        <f t="array" ref="Q922">IFERROR(INDEX(DB!G$2:G$2576,P922),"")</f>
        <v/>
      </c>
      <c r="R922" t="str" cm="1">
        <f t="array" ref="R922">IFERROR(INDEX(DB!O$2:O$2576,P922),"")</f>
        <v/>
      </c>
      <c r="S922" t="str">
        <f t="shared" si="45"/>
        <v/>
      </c>
      <c r="T922" t="str">
        <f t="shared" si="46"/>
        <v/>
      </c>
    </row>
    <row r="923" spans="1:20" ht="100" customHeight="1">
      <c r="A923" s="26"/>
      <c r="B923" s="42" t="str">
        <f t="shared" si="44"/>
        <v/>
      </c>
      <c r="C923" s="43"/>
      <c r="D923" s="51" t="str" cm="1">
        <f t="array" ref="D923">IFERROR(INDEX(DB!G$2:G$2576,T923),"")</f>
        <v/>
      </c>
      <c r="E923" s="43"/>
      <c r="F923" s="52" t="str" cm="1">
        <f t="array" ref="F923">IFERROR(INDEX(DB!O$2:O$2576,T923),"")</f>
        <v/>
      </c>
      <c r="G923" s="43"/>
      <c r="H923" s="40" t="str" cm="1">
        <f t="array" ref="H923">IFERROR(INDEX(DB!P$2:P$2576,T923),"")</f>
        <v/>
      </c>
      <c r="I923" s="43"/>
      <c r="J923" s="53" t="str" cm="1">
        <f t="array" ref="J923">IFERROR(INDEX(DB!Q$2:Q$2576,T923),"")</f>
        <v/>
      </c>
      <c r="K923" s="43"/>
      <c r="L923" s="41" t="str" cm="1">
        <f t="array" ref="L923">IFERROR(INDEX(DB!R$2:R$2576,T923),"")</f>
        <v/>
      </c>
      <c r="M923" s="43"/>
      <c r="P923" t="str" cm="1">
        <f t="array" ref="P923">IFERROR(_xlfn.AGGREGATE(15,6,ROW(DB!A$2:A$2576)/((($D$3&lt;&gt;"YES")+($D$3="YES")*(DB!E$2:E$2576="YES"))*(($D$4="")+($D$4&lt;&gt;"")*( DB!B$2:B$2576=$D$4))*(($D$5="")+($D$5&lt;&gt;"")*( DB!C$2:C$2576=$D$5))*(($D$6="")+($D$6&lt;&gt;"")*( DB!D$2:D$2576=$D$6))*(($D$7="")+($D$7&lt;&gt;"")*(ISNUMBER(SEARCH($D$7,DB!G$2:G$2576))))*(($F$7="전체")+($F$7&lt;&gt;"전체")*(DB!H$2:H$2576=$F$7))),ROW()-13)-1,"")</f>
        <v/>
      </c>
      <c r="Q923" t="str" cm="1">
        <f t="array" ref="Q923">IFERROR(INDEX(DB!G$2:G$2576,P923),"")</f>
        <v/>
      </c>
      <c r="R923" t="str" cm="1">
        <f t="array" ref="R923">IFERROR(INDEX(DB!O$2:O$2576,P923),"")</f>
        <v/>
      </c>
      <c r="S923" t="str">
        <f t="shared" si="45"/>
        <v/>
      </c>
      <c r="T923" t="str">
        <f t="shared" si="46"/>
        <v/>
      </c>
    </row>
    <row r="924" spans="1:20" ht="100" customHeight="1">
      <c r="A924" s="26"/>
      <c r="B924" s="39" t="str">
        <f t="shared" si="44"/>
        <v/>
      </c>
      <c r="C924" s="43"/>
      <c r="D924" s="51" t="str" cm="1">
        <f t="array" ref="D924">IFERROR(INDEX(DB!G$2:G$2576,T924),"")</f>
        <v/>
      </c>
      <c r="E924" s="43"/>
      <c r="F924" s="52" t="str" cm="1">
        <f t="array" ref="F924">IFERROR(INDEX(DB!O$2:O$2576,T924),"")</f>
        <v/>
      </c>
      <c r="G924" s="43"/>
      <c r="H924" s="40" t="str" cm="1">
        <f t="array" ref="H924">IFERROR(INDEX(DB!P$2:P$2576,T924),"")</f>
        <v/>
      </c>
      <c r="I924" s="43"/>
      <c r="J924" s="53" t="str" cm="1">
        <f t="array" ref="J924">IFERROR(INDEX(DB!Q$2:Q$2576,T924),"")</f>
        <v/>
      </c>
      <c r="K924" s="43"/>
      <c r="L924" s="41" t="str" cm="1">
        <f t="array" ref="L924">IFERROR(INDEX(DB!R$2:R$2576,T924),"")</f>
        <v/>
      </c>
      <c r="M924" s="43"/>
      <c r="P924" t="str" cm="1">
        <f t="array" ref="P924">IFERROR(_xlfn.AGGREGATE(15,6,ROW(DB!A$2:A$2576)/((($D$3&lt;&gt;"YES")+($D$3="YES")*(DB!E$2:E$2576="YES"))*(($D$4="")+($D$4&lt;&gt;"")*( DB!B$2:B$2576=$D$4))*(($D$5="")+($D$5&lt;&gt;"")*( DB!C$2:C$2576=$D$5))*(($D$6="")+($D$6&lt;&gt;"")*( DB!D$2:D$2576=$D$6))*(($D$7="")+($D$7&lt;&gt;"")*(ISNUMBER(SEARCH($D$7,DB!G$2:G$2576))))*(($F$7="전체")+($F$7&lt;&gt;"전체")*(DB!H$2:H$2576=$F$7))),ROW()-13)-1,"")</f>
        <v/>
      </c>
      <c r="Q924" t="str" cm="1">
        <f t="array" ref="Q924">IFERROR(INDEX(DB!G$2:G$2576,P924),"")</f>
        <v/>
      </c>
      <c r="R924" t="str" cm="1">
        <f t="array" ref="R924">IFERROR(INDEX(DB!O$2:O$2576,P924),"")</f>
        <v/>
      </c>
      <c r="S924" t="str">
        <f t="shared" si="45"/>
        <v/>
      </c>
      <c r="T924" t="str">
        <f t="shared" si="46"/>
        <v/>
      </c>
    </row>
    <row r="925" spans="1:20" ht="100" customHeight="1">
      <c r="A925" s="26"/>
      <c r="B925" s="42" t="str">
        <f t="shared" si="44"/>
        <v/>
      </c>
      <c r="C925" s="43"/>
      <c r="D925" s="51" t="str" cm="1">
        <f t="array" ref="D925">IFERROR(INDEX(DB!G$2:G$2576,T925),"")</f>
        <v/>
      </c>
      <c r="E925" s="43"/>
      <c r="F925" s="52" t="str" cm="1">
        <f t="array" ref="F925">IFERROR(INDEX(DB!O$2:O$2576,T925),"")</f>
        <v/>
      </c>
      <c r="G925" s="43"/>
      <c r="H925" s="40" t="str" cm="1">
        <f t="array" ref="H925">IFERROR(INDEX(DB!P$2:P$2576,T925),"")</f>
        <v/>
      </c>
      <c r="I925" s="43"/>
      <c r="J925" s="53" t="str" cm="1">
        <f t="array" ref="J925">IFERROR(INDEX(DB!Q$2:Q$2576,T925),"")</f>
        <v/>
      </c>
      <c r="K925" s="43"/>
      <c r="L925" s="41" t="str" cm="1">
        <f t="array" ref="L925">IFERROR(INDEX(DB!R$2:R$2576,T925),"")</f>
        <v/>
      </c>
      <c r="M925" s="43"/>
      <c r="P925" t="str" cm="1">
        <f t="array" ref="P925">IFERROR(_xlfn.AGGREGATE(15,6,ROW(DB!A$2:A$2576)/((($D$3&lt;&gt;"YES")+($D$3="YES")*(DB!E$2:E$2576="YES"))*(($D$4="")+($D$4&lt;&gt;"")*( DB!B$2:B$2576=$D$4))*(($D$5="")+($D$5&lt;&gt;"")*( DB!C$2:C$2576=$D$5))*(($D$6="")+($D$6&lt;&gt;"")*( DB!D$2:D$2576=$D$6))*(($D$7="")+($D$7&lt;&gt;"")*(ISNUMBER(SEARCH($D$7,DB!G$2:G$2576))))*(($F$7="전체")+($F$7&lt;&gt;"전체")*(DB!H$2:H$2576=$F$7))),ROW()-13)-1,"")</f>
        <v/>
      </c>
      <c r="Q925" t="str" cm="1">
        <f t="array" ref="Q925">IFERROR(INDEX(DB!G$2:G$2576,P925),"")</f>
        <v/>
      </c>
      <c r="R925" t="str" cm="1">
        <f t="array" ref="R925">IFERROR(INDEX(DB!O$2:O$2576,P925),"")</f>
        <v/>
      </c>
      <c r="S925" t="str">
        <f t="shared" si="45"/>
        <v/>
      </c>
      <c r="T925" t="str">
        <f t="shared" si="46"/>
        <v/>
      </c>
    </row>
    <row r="926" spans="1:20" ht="100" customHeight="1">
      <c r="A926" s="26"/>
      <c r="B926" s="39" t="str">
        <f t="shared" si="44"/>
        <v/>
      </c>
      <c r="C926" s="43"/>
      <c r="D926" s="51" t="str" cm="1">
        <f t="array" ref="D926">IFERROR(INDEX(DB!G$2:G$2576,T926),"")</f>
        <v/>
      </c>
      <c r="E926" s="43"/>
      <c r="F926" s="52" t="str" cm="1">
        <f t="array" ref="F926">IFERROR(INDEX(DB!O$2:O$2576,T926),"")</f>
        <v/>
      </c>
      <c r="G926" s="43"/>
      <c r="H926" s="40" t="str" cm="1">
        <f t="array" ref="H926">IFERROR(INDEX(DB!P$2:P$2576,T926),"")</f>
        <v/>
      </c>
      <c r="I926" s="43"/>
      <c r="J926" s="53" t="str" cm="1">
        <f t="array" ref="J926">IFERROR(INDEX(DB!Q$2:Q$2576,T926),"")</f>
        <v/>
      </c>
      <c r="K926" s="43"/>
      <c r="L926" s="41" t="str" cm="1">
        <f t="array" ref="L926">IFERROR(INDEX(DB!R$2:R$2576,T926),"")</f>
        <v/>
      </c>
      <c r="M926" s="43"/>
      <c r="P926" t="str" cm="1">
        <f t="array" ref="P926">IFERROR(_xlfn.AGGREGATE(15,6,ROW(DB!A$2:A$2576)/((($D$3&lt;&gt;"YES")+($D$3="YES")*(DB!E$2:E$2576="YES"))*(($D$4="")+($D$4&lt;&gt;"")*( DB!B$2:B$2576=$D$4))*(($D$5="")+($D$5&lt;&gt;"")*( DB!C$2:C$2576=$D$5))*(($D$6="")+($D$6&lt;&gt;"")*( DB!D$2:D$2576=$D$6))*(($D$7="")+($D$7&lt;&gt;"")*(ISNUMBER(SEARCH($D$7,DB!G$2:G$2576))))*(($F$7="전체")+($F$7&lt;&gt;"전체")*(DB!H$2:H$2576=$F$7))),ROW()-13)-1,"")</f>
        <v/>
      </c>
      <c r="Q926" t="str" cm="1">
        <f t="array" ref="Q926">IFERROR(INDEX(DB!G$2:G$2576,P926),"")</f>
        <v/>
      </c>
      <c r="R926" t="str" cm="1">
        <f t="array" ref="R926">IFERROR(INDEX(DB!O$2:O$2576,P926),"")</f>
        <v/>
      </c>
      <c r="S926" t="str">
        <f t="shared" si="45"/>
        <v/>
      </c>
      <c r="T926" t="str">
        <f t="shared" si="46"/>
        <v/>
      </c>
    </row>
    <row r="927" spans="1:20" ht="100" customHeight="1">
      <c r="A927" s="26"/>
      <c r="B927" s="42" t="str">
        <f t="shared" si="44"/>
        <v/>
      </c>
      <c r="C927" s="43"/>
      <c r="D927" s="51" t="str" cm="1">
        <f t="array" ref="D927">IFERROR(INDEX(DB!G$2:G$2576,T927),"")</f>
        <v/>
      </c>
      <c r="E927" s="43"/>
      <c r="F927" s="52" t="str" cm="1">
        <f t="array" ref="F927">IFERROR(INDEX(DB!O$2:O$2576,T927),"")</f>
        <v/>
      </c>
      <c r="G927" s="43"/>
      <c r="H927" s="40" t="str" cm="1">
        <f t="array" ref="H927">IFERROR(INDEX(DB!P$2:P$2576,T927),"")</f>
        <v/>
      </c>
      <c r="I927" s="43"/>
      <c r="J927" s="53" t="str" cm="1">
        <f t="array" ref="J927">IFERROR(INDEX(DB!Q$2:Q$2576,T927),"")</f>
        <v/>
      </c>
      <c r="K927" s="43"/>
      <c r="L927" s="41" t="str" cm="1">
        <f t="array" ref="L927">IFERROR(INDEX(DB!R$2:R$2576,T927),"")</f>
        <v/>
      </c>
      <c r="M927" s="43"/>
      <c r="P927" t="str" cm="1">
        <f t="array" ref="P927">IFERROR(_xlfn.AGGREGATE(15,6,ROW(DB!A$2:A$2576)/((($D$3&lt;&gt;"YES")+($D$3="YES")*(DB!E$2:E$2576="YES"))*(($D$4="")+($D$4&lt;&gt;"")*( DB!B$2:B$2576=$D$4))*(($D$5="")+($D$5&lt;&gt;"")*( DB!C$2:C$2576=$D$5))*(($D$6="")+($D$6&lt;&gt;"")*( DB!D$2:D$2576=$D$6))*(($D$7="")+($D$7&lt;&gt;"")*(ISNUMBER(SEARCH($D$7,DB!G$2:G$2576))))*(($F$7="전체")+($F$7&lt;&gt;"전체")*(DB!H$2:H$2576=$F$7))),ROW()-13)-1,"")</f>
        <v/>
      </c>
      <c r="Q927" t="str" cm="1">
        <f t="array" ref="Q927">IFERROR(INDEX(DB!G$2:G$2576,P927),"")</f>
        <v/>
      </c>
      <c r="R927" t="str" cm="1">
        <f t="array" ref="R927">IFERROR(INDEX(DB!O$2:O$2576,P927),"")</f>
        <v/>
      </c>
      <c r="S927" t="str">
        <f t="shared" si="45"/>
        <v/>
      </c>
      <c r="T927" t="str">
        <f t="shared" si="46"/>
        <v/>
      </c>
    </row>
    <row r="928" spans="1:20" ht="100" customHeight="1">
      <c r="A928" s="26"/>
      <c r="B928" s="39" t="str">
        <f t="shared" si="44"/>
        <v/>
      </c>
      <c r="C928" s="43"/>
      <c r="D928" s="51" t="str" cm="1">
        <f t="array" ref="D928">IFERROR(INDEX(DB!G$2:G$2576,T928),"")</f>
        <v/>
      </c>
      <c r="E928" s="43"/>
      <c r="F928" s="52" t="str" cm="1">
        <f t="array" ref="F928">IFERROR(INDEX(DB!O$2:O$2576,T928),"")</f>
        <v/>
      </c>
      <c r="G928" s="43"/>
      <c r="H928" s="40" t="str" cm="1">
        <f t="array" ref="H928">IFERROR(INDEX(DB!P$2:P$2576,T928),"")</f>
        <v/>
      </c>
      <c r="I928" s="43"/>
      <c r="J928" s="53" t="str" cm="1">
        <f t="array" ref="J928">IFERROR(INDEX(DB!Q$2:Q$2576,T928),"")</f>
        <v/>
      </c>
      <c r="K928" s="43"/>
      <c r="L928" s="41" t="str" cm="1">
        <f t="array" ref="L928">IFERROR(INDEX(DB!R$2:R$2576,T928),"")</f>
        <v/>
      </c>
      <c r="M928" s="43"/>
      <c r="P928" t="str" cm="1">
        <f t="array" ref="P928">IFERROR(_xlfn.AGGREGATE(15,6,ROW(DB!A$2:A$2576)/((($D$3&lt;&gt;"YES")+($D$3="YES")*(DB!E$2:E$2576="YES"))*(($D$4="")+($D$4&lt;&gt;"")*( DB!B$2:B$2576=$D$4))*(($D$5="")+($D$5&lt;&gt;"")*( DB!C$2:C$2576=$D$5))*(($D$6="")+($D$6&lt;&gt;"")*( DB!D$2:D$2576=$D$6))*(($D$7="")+($D$7&lt;&gt;"")*(ISNUMBER(SEARCH($D$7,DB!G$2:G$2576))))*(($F$7="전체")+($F$7&lt;&gt;"전체")*(DB!H$2:H$2576=$F$7))),ROW()-13)-1,"")</f>
        <v/>
      </c>
      <c r="Q928" t="str" cm="1">
        <f t="array" ref="Q928">IFERROR(INDEX(DB!G$2:G$2576,P928),"")</f>
        <v/>
      </c>
      <c r="R928" t="str" cm="1">
        <f t="array" ref="R928">IFERROR(INDEX(DB!O$2:O$2576,P928),"")</f>
        <v/>
      </c>
      <c r="S928" t="str">
        <f t="shared" si="45"/>
        <v/>
      </c>
      <c r="T928" t="str">
        <f t="shared" si="46"/>
        <v/>
      </c>
    </row>
    <row r="929" spans="1:20" ht="100" customHeight="1">
      <c r="A929" s="26"/>
      <c r="B929" s="42" t="str">
        <f t="shared" si="44"/>
        <v/>
      </c>
      <c r="C929" s="43"/>
      <c r="D929" s="51" t="str" cm="1">
        <f t="array" ref="D929">IFERROR(INDEX(DB!G$2:G$2576,T929),"")</f>
        <v/>
      </c>
      <c r="E929" s="43"/>
      <c r="F929" s="52" t="str" cm="1">
        <f t="array" ref="F929">IFERROR(INDEX(DB!O$2:O$2576,T929),"")</f>
        <v/>
      </c>
      <c r="G929" s="43"/>
      <c r="H929" s="40" t="str" cm="1">
        <f t="array" ref="H929">IFERROR(INDEX(DB!P$2:P$2576,T929),"")</f>
        <v/>
      </c>
      <c r="I929" s="43"/>
      <c r="J929" s="53" t="str" cm="1">
        <f t="array" ref="J929">IFERROR(INDEX(DB!Q$2:Q$2576,T929),"")</f>
        <v/>
      </c>
      <c r="K929" s="43"/>
      <c r="L929" s="41" t="str" cm="1">
        <f t="array" ref="L929">IFERROR(INDEX(DB!R$2:R$2576,T929),"")</f>
        <v/>
      </c>
      <c r="M929" s="43"/>
      <c r="P929" t="str" cm="1">
        <f t="array" ref="P929">IFERROR(_xlfn.AGGREGATE(15,6,ROW(DB!A$2:A$2576)/((($D$3&lt;&gt;"YES")+($D$3="YES")*(DB!E$2:E$2576="YES"))*(($D$4="")+($D$4&lt;&gt;"")*( DB!B$2:B$2576=$D$4))*(($D$5="")+($D$5&lt;&gt;"")*( DB!C$2:C$2576=$D$5))*(($D$6="")+($D$6&lt;&gt;"")*( DB!D$2:D$2576=$D$6))*(($D$7="")+($D$7&lt;&gt;"")*(ISNUMBER(SEARCH($D$7,DB!G$2:G$2576))))*(($F$7="전체")+($F$7&lt;&gt;"전체")*(DB!H$2:H$2576=$F$7))),ROW()-13)-1,"")</f>
        <v/>
      </c>
      <c r="Q929" t="str" cm="1">
        <f t="array" ref="Q929">IFERROR(INDEX(DB!G$2:G$2576,P929),"")</f>
        <v/>
      </c>
      <c r="R929" t="str" cm="1">
        <f t="array" ref="R929">IFERROR(INDEX(DB!O$2:O$2576,P929),"")</f>
        <v/>
      </c>
      <c r="S929" t="str">
        <f t="shared" si="45"/>
        <v/>
      </c>
      <c r="T929" t="str">
        <f t="shared" si="46"/>
        <v/>
      </c>
    </row>
    <row r="930" spans="1:20" ht="100" customHeight="1">
      <c r="A930" s="26"/>
      <c r="B930" s="39" t="str">
        <f t="shared" si="44"/>
        <v/>
      </c>
      <c r="C930" s="43"/>
      <c r="D930" s="51" t="str" cm="1">
        <f t="array" ref="D930">IFERROR(INDEX(DB!G$2:G$2576,T930),"")</f>
        <v/>
      </c>
      <c r="E930" s="43"/>
      <c r="F930" s="52" t="str" cm="1">
        <f t="array" ref="F930">IFERROR(INDEX(DB!O$2:O$2576,T930),"")</f>
        <v/>
      </c>
      <c r="G930" s="43"/>
      <c r="H930" s="40" t="str" cm="1">
        <f t="array" ref="H930">IFERROR(INDEX(DB!P$2:P$2576,T930),"")</f>
        <v/>
      </c>
      <c r="I930" s="43"/>
      <c r="J930" s="53" t="str" cm="1">
        <f t="array" ref="J930">IFERROR(INDEX(DB!Q$2:Q$2576,T930),"")</f>
        <v/>
      </c>
      <c r="K930" s="43"/>
      <c r="L930" s="41" t="str" cm="1">
        <f t="array" ref="L930">IFERROR(INDEX(DB!R$2:R$2576,T930),"")</f>
        <v/>
      </c>
      <c r="M930" s="43"/>
      <c r="P930" t="str" cm="1">
        <f t="array" ref="P930">IFERROR(_xlfn.AGGREGATE(15,6,ROW(DB!A$2:A$2576)/((($D$3&lt;&gt;"YES")+($D$3="YES")*(DB!E$2:E$2576="YES"))*(($D$4="")+($D$4&lt;&gt;"")*( DB!B$2:B$2576=$D$4))*(($D$5="")+($D$5&lt;&gt;"")*( DB!C$2:C$2576=$D$5))*(($D$6="")+($D$6&lt;&gt;"")*( DB!D$2:D$2576=$D$6))*(($D$7="")+($D$7&lt;&gt;"")*(ISNUMBER(SEARCH($D$7,DB!G$2:G$2576))))*(($F$7="전체")+($F$7&lt;&gt;"전체")*(DB!H$2:H$2576=$F$7))),ROW()-13)-1,"")</f>
        <v/>
      </c>
      <c r="Q930" t="str" cm="1">
        <f t="array" ref="Q930">IFERROR(INDEX(DB!G$2:G$2576,P930),"")</f>
        <v/>
      </c>
      <c r="R930" t="str" cm="1">
        <f t="array" ref="R930">IFERROR(INDEX(DB!O$2:O$2576,P930),"")</f>
        <v/>
      </c>
      <c r="S930" t="str">
        <f t="shared" si="45"/>
        <v/>
      </c>
      <c r="T930" t="str">
        <f t="shared" si="46"/>
        <v/>
      </c>
    </row>
    <row r="931" spans="1:20" ht="100" customHeight="1">
      <c r="A931" s="26"/>
      <c r="B931" s="42" t="str">
        <f t="shared" si="44"/>
        <v/>
      </c>
      <c r="C931" s="43"/>
      <c r="D931" s="51" t="str" cm="1">
        <f t="array" ref="D931">IFERROR(INDEX(DB!G$2:G$2576,T931),"")</f>
        <v/>
      </c>
      <c r="E931" s="43"/>
      <c r="F931" s="52" t="str" cm="1">
        <f t="array" ref="F931">IFERROR(INDEX(DB!O$2:O$2576,T931),"")</f>
        <v/>
      </c>
      <c r="G931" s="43"/>
      <c r="H931" s="40" t="str" cm="1">
        <f t="array" ref="H931">IFERROR(INDEX(DB!P$2:P$2576,T931),"")</f>
        <v/>
      </c>
      <c r="I931" s="43"/>
      <c r="J931" s="53" t="str" cm="1">
        <f t="array" ref="J931">IFERROR(INDEX(DB!Q$2:Q$2576,T931),"")</f>
        <v/>
      </c>
      <c r="K931" s="43"/>
      <c r="L931" s="41" t="str" cm="1">
        <f t="array" ref="L931">IFERROR(INDEX(DB!R$2:R$2576,T931),"")</f>
        <v/>
      </c>
      <c r="M931" s="43"/>
      <c r="P931" t="str" cm="1">
        <f t="array" ref="P931">IFERROR(_xlfn.AGGREGATE(15,6,ROW(DB!A$2:A$2576)/((($D$3&lt;&gt;"YES")+($D$3="YES")*(DB!E$2:E$2576="YES"))*(($D$4="")+($D$4&lt;&gt;"")*( DB!B$2:B$2576=$D$4))*(($D$5="")+($D$5&lt;&gt;"")*( DB!C$2:C$2576=$D$5))*(($D$6="")+($D$6&lt;&gt;"")*( DB!D$2:D$2576=$D$6))*(($D$7="")+($D$7&lt;&gt;"")*(ISNUMBER(SEARCH($D$7,DB!G$2:G$2576))))*(($F$7="전체")+($F$7&lt;&gt;"전체")*(DB!H$2:H$2576=$F$7))),ROW()-13)-1,"")</f>
        <v/>
      </c>
      <c r="Q931" t="str" cm="1">
        <f t="array" ref="Q931">IFERROR(INDEX(DB!G$2:G$2576,P931),"")</f>
        <v/>
      </c>
      <c r="R931" t="str" cm="1">
        <f t="array" ref="R931">IFERROR(INDEX(DB!O$2:O$2576,P931),"")</f>
        <v/>
      </c>
      <c r="S931" t="str">
        <f t="shared" si="45"/>
        <v/>
      </c>
      <c r="T931" t="str">
        <f t="shared" si="46"/>
        <v/>
      </c>
    </row>
    <row r="932" spans="1:20" ht="100" customHeight="1">
      <c r="A932" s="26"/>
      <c r="B932" s="39" t="str">
        <f t="shared" si="44"/>
        <v/>
      </c>
      <c r="C932" s="43"/>
      <c r="D932" s="51" t="str" cm="1">
        <f t="array" ref="D932">IFERROR(INDEX(DB!G$2:G$2576,T932),"")</f>
        <v/>
      </c>
      <c r="E932" s="43"/>
      <c r="F932" s="52" t="str" cm="1">
        <f t="array" ref="F932">IFERROR(INDEX(DB!O$2:O$2576,T932),"")</f>
        <v/>
      </c>
      <c r="G932" s="43"/>
      <c r="H932" s="40" t="str" cm="1">
        <f t="array" ref="H932">IFERROR(INDEX(DB!P$2:P$2576,T932),"")</f>
        <v/>
      </c>
      <c r="I932" s="43"/>
      <c r="J932" s="53" t="str" cm="1">
        <f t="array" ref="J932">IFERROR(INDEX(DB!Q$2:Q$2576,T932),"")</f>
        <v/>
      </c>
      <c r="K932" s="43"/>
      <c r="L932" s="41" t="str" cm="1">
        <f t="array" ref="L932">IFERROR(INDEX(DB!R$2:R$2576,T932),"")</f>
        <v/>
      </c>
      <c r="M932" s="43"/>
      <c r="P932" t="str" cm="1">
        <f t="array" ref="P932">IFERROR(_xlfn.AGGREGATE(15,6,ROW(DB!A$2:A$2576)/((($D$3&lt;&gt;"YES")+($D$3="YES")*(DB!E$2:E$2576="YES"))*(($D$4="")+($D$4&lt;&gt;"")*( DB!B$2:B$2576=$D$4))*(($D$5="")+($D$5&lt;&gt;"")*( DB!C$2:C$2576=$D$5))*(($D$6="")+($D$6&lt;&gt;"")*( DB!D$2:D$2576=$D$6))*(($D$7="")+($D$7&lt;&gt;"")*(ISNUMBER(SEARCH($D$7,DB!G$2:G$2576))))*(($F$7="전체")+($F$7&lt;&gt;"전체")*(DB!H$2:H$2576=$F$7))),ROW()-13)-1,"")</f>
        <v/>
      </c>
      <c r="Q932" t="str" cm="1">
        <f t="array" ref="Q932">IFERROR(INDEX(DB!G$2:G$2576,P932),"")</f>
        <v/>
      </c>
      <c r="R932" t="str" cm="1">
        <f t="array" ref="R932">IFERROR(INDEX(DB!O$2:O$2576,P932),"")</f>
        <v/>
      </c>
      <c r="S932" t="str">
        <f t="shared" si="45"/>
        <v/>
      </c>
      <c r="T932" t="str">
        <f t="shared" si="46"/>
        <v/>
      </c>
    </row>
    <row r="933" spans="1:20" ht="100" customHeight="1">
      <c r="A933" s="26"/>
      <c r="B933" s="42" t="str">
        <f t="shared" si="44"/>
        <v/>
      </c>
      <c r="C933" s="43"/>
      <c r="D933" s="51" t="str" cm="1">
        <f t="array" ref="D933">IFERROR(INDEX(DB!G$2:G$2576,T933),"")</f>
        <v/>
      </c>
      <c r="E933" s="43"/>
      <c r="F933" s="52" t="str" cm="1">
        <f t="array" ref="F933">IFERROR(INDEX(DB!O$2:O$2576,T933),"")</f>
        <v/>
      </c>
      <c r="G933" s="43"/>
      <c r="H933" s="40" t="str" cm="1">
        <f t="array" ref="H933">IFERROR(INDEX(DB!P$2:P$2576,T933),"")</f>
        <v/>
      </c>
      <c r="I933" s="43"/>
      <c r="J933" s="53" t="str" cm="1">
        <f t="array" ref="J933">IFERROR(INDEX(DB!Q$2:Q$2576,T933),"")</f>
        <v/>
      </c>
      <c r="K933" s="43"/>
      <c r="L933" s="41" t="str" cm="1">
        <f t="array" ref="L933">IFERROR(INDEX(DB!R$2:R$2576,T933),"")</f>
        <v/>
      </c>
      <c r="M933" s="43"/>
      <c r="P933" t="str" cm="1">
        <f t="array" ref="P933">IFERROR(_xlfn.AGGREGATE(15,6,ROW(DB!A$2:A$2576)/((($D$3&lt;&gt;"YES")+($D$3="YES")*(DB!E$2:E$2576="YES"))*(($D$4="")+($D$4&lt;&gt;"")*( DB!B$2:B$2576=$D$4))*(($D$5="")+($D$5&lt;&gt;"")*( DB!C$2:C$2576=$D$5))*(($D$6="")+($D$6&lt;&gt;"")*( DB!D$2:D$2576=$D$6))*(($D$7="")+($D$7&lt;&gt;"")*(ISNUMBER(SEARCH($D$7,DB!G$2:G$2576))))*(($F$7="전체")+($F$7&lt;&gt;"전체")*(DB!H$2:H$2576=$F$7))),ROW()-13)-1,"")</f>
        <v/>
      </c>
      <c r="Q933" t="str" cm="1">
        <f t="array" ref="Q933">IFERROR(INDEX(DB!G$2:G$2576,P933),"")</f>
        <v/>
      </c>
      <c r="R933" t="str" cm="1">
        <f t="array" ref="R933">IFERROR(INDEX(DB!O$2:O$2576,P933),"")</f>
        <v/>
      </c>
      <c r="S933" t="str">
        <f t="shared" si="45"/>
        <v/>
      </c>
      <c r="T933" t="str">
        <f t="shared" si="46"/>
        <v/>
      </c>
    </row>
    <row r="934" spans="1:20" ht="100" customHeight="1">
      <c r="A934" s="26"/>
      <c r="B934" s="39" t="str">
        <f t="shared" si="44"/>
        <v/>
      </c>
      <c r="C934" s="43"/>
      <c r="D934" s="51" t="str" cm="1">
        <f t="array" ref="D934">IFERROR(INDEX(DB!G$2:G$2576,T934),"")</f>
        <v/>
      </c>
      <c r="E934" s="43"/>
      <c r="F934" s="52" t="str" cm="1">
        <f t="array" ref="F934">IFERROR(INDEX(DB!O$2:O$2576,T934),"")</f>
        <v/>
      </c>
      <c r="G934" s="43"/>
      <c r="H934" s="40" t="str" cm="1">
        <f t="array" ref="H934">IFERROR(INDEX(DB!P$2:P$2576,T934),"")</f>
        <v/>
      </c>
      <c r="I934" s="43"/>
      <c r="J934" s="53" t="str" cm="1">
        <f t="array" ref="J934">IFERROR(INDEX(DB!Q$2:Q$2576,T934),"")</f>
        <v/>
      </c>
      <c r="K934" s="43"/>
      <c r="L934" s="41" t="str" cm="1">
        <f t="array" ref="L934">IFERROR(INDEX(DB!R$2:R$2576,T934),"")</f>
        <v/>
      </c>
      <c r="M934" s="43"/>
      <c r="P934" t="str" cm="1">
        <f t="array" ref="P934">IFERROR(_xlfn.AGGREGATE(15,6,ROW(DB!A$2:A$2576)/((($D$3&lt;&gt;"YES")+($D$3="YES")*(DB!E$2:E$2576="YES"))*(($D$4="")+($D$4&lt;&gt;"")*( DB!B$2:B$2576=$D$4))*(($D$5="")+($D$5&lt;&gt;"")*( DB!C$2:C$2576=$D$5))*(($D$6="")+($D$6&lt;&gt;"")*( DB!D$2:D$2576=$D$6))*(($D$7="")+($D$7&lt;&gt;"")*(ISNUMBER(SEARCH($D$7,DB!G$2:G$2576))))*(($F$7="전체")+($F$7&lt;&gt;"전체")*(DB!H$2:H$2576=$F$7))),ROW()-13)-1,"")</f>
        <v/>
      </c>
      <c r="Q934" t="str" cm="1">
        <f t="array" ref="Q934">IFERROR(INDEX(DB!G$2:G$2576,P934),"")</f>
        <v/>
      </c>
      <c r="R934" t="str" cm="1">
        <f t="array" ref="R934">IFERROR(INDEX(DB!O$2:O$2576,P934),"")</f>
        <v/>
      </c>
      <c r="S934" t="str">
        <f t="shared" si="45"/>
        <v/>
      </c>
      <c r="T934" t="str">
        <f t="shared" si="46"/>
        <v/>
      </c>
    </row>
    <row r="935" spans="1:20" ht="100" customHeight="1">
      <c r="A935" s="26"/>
      <c r="B935" s="42" t="str">
        <f t="shared" si="44"/>
        <v/>
      </c>
      <c r="C935" s="43"/>
      <c r="D935" s="51" t="str" cm="1">
        <f t="array" ref="D935">IFERROR(INDEX(DB!G$2:G$2576,T935),"")</f>
        <v/>
      </c>
      <c r="E935" s="43"/>
      <c r="F935" s="52" t="str" cm="1">
        <f t="array" ref="F935">IFERROR(INDEX(DB!O$2:O$2576,T935),"")</f>
        <v/>
      </c>
      <c r="G935" s="43"/>
      <c r="H935" s="40" t="str" cm="1">
        <f t="array" ref="H935">IFERROR(INDEX(DB!P$2:P$2576,T935),"")</f>
        <v/>
      </c>
      <c r="I935" s="43"/>
      <c r="J935" s="53" t="str" cm="1">
        <f t="array" ref="J935">IFERROR(INDEX(DB!Q$2:Q$2576,T935),"")</f>
        <v/>
      </c>
      <c r="K935" s="43"/>
      <c r="L935" s="41" t="str" cm="1">
        <f t="array" ref="L935">IFERROR(INDEX(DB!R$2:R$2576,T935),"")</f>
        <v/>
      </c>
      <c r="M935" s="43"/>
      <c r="P935" t="str" cm="1">
        <f t="array" ref="P935">IFERROR(_xlfn.AGGREGATE(15,6,ROW(DB!A$2:A$2576)/((($D$3&lt;&gt;"YES")+($D$3="YES")*(DB!E$2:E$2576="YES"))*(($D$4="")+($D$4&lt;&gt;"")*( DB!B$2:B$2576=$D$4))*(($D$5="")+($D$5&lt;&gt;"")*( DB!C$2:C$2576=$D$5))*(($D$6="")+($D$6&lt;&gt;"")*( DB!D$2:D$2576=$D$6))*(($D$7="")+($D$7&lt;&gt;"")*(ISNUMBER(SEARCH($D$7,DB!G$2:G$2576))))*(($F$7="전체")+($F$7&lt;&gt;"전체")*(DB!H$2:H$2576=$F$7))),ROW()-13)-1,"")</f>
        <v/>
      </c>
      <c r="Q935" t="str" cm="1">
        <f t="array" ref="Q935">IFERROR(INDEX(DB!G$2:G$2576,P935),"")</f>
        <v/>
      </c>
      <c r="R935" t="str" cm="1">
        <f t="array" ref="R935">IFERROR(INDEX(DB!O$2:O$2576,P935),"")</f>
        <v/>
      </c>
      <c r="S935" t="str">
        <f t="shared" si="45"/>
        <v/>
      </c>
      <c r="T935" t="str">
        <f t="shared" si="46"/>
        <v/>
      </c>
    </row>
    <row r="936" spans="1:20" ht="100" customHeight="1">
      <c r="A936" s="26"/>
      <c r="B936" s="39" t="str">
        <f t="shared" si="44"/>
        <v/>
      </c>
      <c r="C936" s="43"/>
      <c r="D936" s="51" t="str" cm="1">
        <f t="array" ref="D936">IFERROR(INDEX(DB!G$2:G$2576,T936),"")</f>
        <v/>
      </c>
      <c r="E936" s="43"/>
      <c r="F936" s="52" t="str" cm="1">
        <f t="array" ref="F936">IFERROR(INDEX(DB!O$2:O$2576,T936),"")</f>
        <v/>
      </c>
      <c r="G936" s="43"/>
      <c r="H936" s="40" t="str" cm="1">
        <f t="array" ref="H936">IFERROR(INDEX(DB!P$2:P$2576,T936),"")</f>
        <v/>
      </c>
      <c r="I936" s="43"/>
      <c r="J936" s="53" t="str" cm="1">
        <f t="array" ref="J936">IFERROR(INDEX(DB!Q$2:Q$2576,T936),"")</f>
        <v/>
      </c>
      <c r="K936" s="43"/>
      <c r="L936" s="41" t="str" cm="1">
        <f t="array" ref="L936">IFERROR(INDEX(DB!R$2:R$2576,T936),"")</f>
        <v/>
      </c>
      <c r="M936" s="43"/>
      <c r="P936" t="str" cm="1">
        <f t="array" ref="P936">IFERROR(_xlfn.AGGREGATE(15,6,ROW(DB!A$2:A$2576)/((($D$3&lt;&gt;"YES")+($D$3="YES")*(DB!E$2:E$2576="YES"))*(($D$4="")+($D$4&lt;&gt;"")*( DB!B$2:B$2576=$D$4))*(($D$5="")+($D$5&lt;&gt;"")*( DB!C$2:C$2576=$D$5))*(($D$6="")+($D$6&lt;&gt;"")*( DB!D$2:D$2576=$D$6))*(($D$7="")+($D$7&lt;&gt;"")*(ISNUMBER(SEARCH($D$7,DB!G$2:G$2576))))*(($F$7="전체")+($F$7&lt;&gt;"전체")*(DB!H$2:H$2576=$F$7))),ROW()-13)-1,"")</f>
        <v/>
      </c>
      <c r="Q936" t="str" cm="1">
        <f t="array" ref="Q936">IFERROR(INDEX(DB!G$2:G$2576,P936),"")</f>
        <v/>
      </c>
      <c r="R936" t="str" cm="1">
        <f t="array" ref="R936">IFERROR(INDEX(DB!O$2:O$2576,P936),"")</f>
        <v/>
      </c>
      <c r="S936" t="str">
        <f t="shared" si="45"/>
        <v/>
      </c>
      <c r="T936" t="str">
        <f t="shared" si="46"/>
        <v/>
      </c>
    </row>
    <row r="937" spans="1:20" ht="100" customHeight="1">
      <c r="A937" s="26"/>
      <c r="B937" s="42" t="str">
        <f t="shared" si="44"/>
        <v/>
      </c>
      <c r="C937" s="43"/>
      <c r="D937" s="51" t="str" cm="1">
        <f t="array" ref="D937">IFERROR(INDEX(DB!G$2:G$2576,T937),"")</f>
        <v/>
      </c>
      <c r="E937" s="43"/>
      <c r="F937" s="52" t="str" cm="1">
        <f t="array" ref="F937">IFERROR(INDEX(DB!O$2:O$2576,T937),"")</f>
        <v/>
      </c>
      <c r="G937" s="43"/>
      <c r="H937" s="40" t="str" cm="1">
        <f t="array" ref="H937">IFERROR(INDEX(DB!P$2:P$2576,T937),"")</f>
        <v/>
      </c>
      <c r="I937" s="43"/>
      <c r="J937" s="53" t="str" cm="1">
        <f t="array" ref="J937">IFERROR(INDEX(DB!Q$2:Q$2576,T937),"")</f>
        <v/>
      </c>
      <c r="K937" s="43"/>
      <c r="L937" s="41" t="str" cm="1">
        <f t="array" ref="L937">IFERROR(INDEX(DB!R$2:R$2576,T937),"")</f>
        <v/>
      </c>
      <c r="M937" s="43"/>
      <c r="P937" t="str" cm="1">
        <f t="array" ref="P937">IFERROR(_xlfn.AGGREGATE(15,6,ROW(DB!A$2:A$2576)/((($D$3&lt;&gt;"YES")+($D$3="YES")*(DB!E$2:E$2576="YES"))*(($D$4="")+($D$4&lt;&gt;"")*( DB!B$2:B$2576=$D$4))*(($D$5="")+($D$5&lt;&gt;"")*( DB!C$2:C$2576=$D$5))*(($D$6="")+($D$6&lt;&gt;"")*( DB!D$2:D$2576=$D$6))*(($D$7="")+($D$7&lt;&gt;"")*(ISNUMBER(SEARCH($D$7,DB!G$2:G$2576))))*(($F$7="전체")+($F$7&lt;&gt;"전체")*(DB!H$2:H$2576=$F$7))),ROW()-13)-1,"")</f>
        <v/>
      </c>
      <c r="Q937" t="str" cm="1">
        <f t="array" ref="Q937">IFERROR(INDEX(DB!G$2:G$2576,P937),"")</f>
        <v/>
      </c>
      <c r="R937" t="str" cm="1">
        <f t="array" ref="R937">IFERROR(INDEX(DB!O$2:O$2576,P937),"")</f>
        <v/>
      </c>
      <c r="S937" t="str">
        <f t="shared" si="45"/>
        <v/>
      </c>
      <c r="T937" t="str">
        <f t="shared" si="46"/>
        <v/>
      </c>
    </row>
    <row r="938" spans="1:20" ht="100" customHeight="1">
      <c r="A938" s="26"/>
      <c r="B938" s="39" t="str">
        <f t="shared" si="44"/>
        <v/>
      </c>
      <c r="C938" s="43"/>
      <c r="D938" s="51" t="str" cm="1">
        <f t="array" ref="D938">IFERROR(INDEX(DB!G$2:G$2576,T938),"")</f>
        <v/>
      </c>
      <c r="E938" s="43"/>
      <c r="F938" s="52" t="str" cm="1">
        <f t="array" ref="F938">IFERROR(INDEX(DB!O$2:O$2576,T938),"")</f>
        <v/>
      </c>
      <c r="G938" s="43"/>
      <c r="H938" s="40" t="str" cm="1">
        <f t="array" ref="H938">IFERROR(INDEX(DB!P$2:P$2576,T938),"")</f>
        <v/>
      </c>
      <c r="I938" s="43"/>
      <c r="J938" s="53" t="str" cm="1">
        <f t="array" ref="J938">IFERROR(INDEX(DB!Q$2:Q$2576,T938),"")</f>
        <v/>
      </c>
      <c r="K938" s="43"/>
      <c r="L938" s="41" t="str" cm="1">
        <f t="array" ref="L938">IFERROR(INDEX(DB!R$2:R$2576,T938),"")</f>
        <v/>
      </c>
      <c r="M938" s="43"/>
      <c r="P938" t="str" cm="1">
        <f t="array" ref="P938">IFERROR(_xlfn.AGGREGATE(15,6,ROW(DB!A$2:A$2576)/((($D$3&lt;&gt;"YES")+($D$3="YES")*(DB!E$2:E$2576="YES"))*(($D$4="")+($D$4&lt;&gt;"")*( DB!B$2:B$2576=$D$4))*(($D$5="")+($D$5&lt;&gt;"")*( DB!C$2:C$2576=$D$5))*(($D$6="")+($D$6&lt;&gt;"")*( DB!D$2:D$2576=$D$6))*(($D$7="")+($D$7&lt;&gt;"")*(ISNUMBER(SEARCH($D$7,DB!G$2:G$2576))))*(($F$7="전체")+($F$7&lt;&gt;"전체")*(DB!H$2:H$2576=$F$7))),ROW()-13)-1,"")</f>
        <v/>
      </c>
      <c r="Q938" t="str" cm="1">
        <f t="array" ref="Q938">IFERROR(INDEX(DB!G$2:G$2576,P938),"")</f>
        <v/>
      </c>
      <c r="R938" t="str" cm="1">
        <f t="array" ref="R938">IFERROR(INDEX(DB!O$2:O$2576,P938),"")</f>
        <v/>
      </c>
      <c r="S938" t="str">
        <f t="shared" si="45"/>
        <v/>
      </c>
      <c r="T938" t="str">
        <f t="shared" si="46"/>
        <v/>
      </c>
    </row>
    <row r="939" spans="1:20" ht="100" customHeight="1">
      <c r="A939" s="26"/>
      <c r="B939" s="42" t="str">
        <f t="shared" si="44"/>
        <v/>
      </c>
      <c r="C939" s="43"/>
      <c r="D939" s="51" t="str" cm="1">
        <f t="array" ref="D939">IFERROR(INDEX(DB!G$2:G$2576,T939),"")</f>
        <v/>
      </c>
      <c r="E939" s="43"/>
      <c r="F939" s="52" t="str" cm="1">
        <f t="array" ref="F939">IFERROR(INDEX(DB!O$2:O$2576,T939),"")</f>
        <v/>
      </c>
      <c r="G939" s="43"/>
      <c r="H939" s="40" t="str" cm="1">
        <f t="array" ref="H939">IFERROR(INDEX(DB!P$2:P$2576,T939),"")</f>
        <v/>
      </c>
      <c r="I939" s="43"/>
      <c r="J939" s="53" t="str" cm="1">
        <f t="array" ref="J939">IFERROR(INDEX(DB!Q$2:Q$2576,T939),"")</f>
        <v/>
      </c>
      <c r="K939" s="43"/>
      <c r="L939" s="41" t="str" cm="1">
        <f t="array" ref="L939">IFERROR(INDEX(DB!R$2:R$2576,T939),"")</f>
        <v/>
      </c>
      <c r="M939" s="43"/>
      <c r="P939" t="str" cm="1">
        <f t="array" ref="P939">IFERROR(_xlfn.AGGREGATE(15,6,ROW(DB!A$2:A$2576)/((($D$3&lt;&gt;"YES")+($D$3="YES")*(DB!E$2:E$2576="YES"))*(($D$4="")+($D$4&lt;&gt;"")*( DB!B$2:B$2576=$D$4))*(($D$5="")+($D$5&lt;&gt;"")*( DB!C$2:C$2576=$D$5))*(($D$6="")+($D$6&lt;&gt;"")*( DB!D$2:D$2576=$D$6))*(($D$7="")+($D$7&lt;&gt;"")*(ISNUMBER(SEARCH($D$7,DB!G$2:G$2576))))*(($F$7="전체")+($F$7&lt;&gt;"전체")*(DB!H$2:H$2576=$F$7))),ROW()-13)-1,"")</f>
        <v/>
      </c>
      <c r="Q939" t="str" cm="1">
        <f t="array" ref="Q939">IFERROR(INDEX(DB!G$2:G$2576,P939),"")</f>
        <v/>
      </c>
      <c r="R939" t="str" cm="1">
        <f t="array" ref="R939">IFERROR(INDEX(DB!O$2:O$2576,P939),"")</f>
        <v/>
      </c>
      <c r="S939" t="str">
        <f t="shared" si="45"/>
        <v/>
      </c>
      <c r="T939" t="str">
        <f t="shared" si="46"/>
        <v/>
      </c>
    </row>
    <row r="940" spans="1:20" ht="100" customHeight="1">
      <c r="A940" s="26"/>
      <c r="B940" s="39" t="str">
        <f t="shared" si="44"/>
        <v/>
      </c>
      <c r="C940" s="43"/>
      <c r="D940" s="51" t="str" cm="1">
        <f t="array" ref="D940">IFERROR(INDEX(DB!G$2:G$2576,T940),"")</f>
        <v/>
      </c>
      <c r="E940" s="43"/>
      <c r="F940" s="52" t="str" cm="1">
        <f t="array" ref="F940">IFERROR(INDEX(DB!O$2:O$2576,T940),"")</f>
        <v/>
      </c>
      <c r="G940" s="43"/>
      <c r="H940" s="40" t="str" cm="1">
        <f t="array" ref="H940">IFERROR(INDEX(DB!P$2:P$2576,T940),"")</f>
        <v/>
      </c>
      <c r="I940" s="43"/>
      <c r="J940" s="53" t="str" cm="1">
        <f t="array" ref="J940">IFERROR(INDEX(DB!Q$2:Q$2576,T940),"")</f>
        <v/>
      </c>
      <c r="K940" s="43"/>
      <c r="L940" s="41" t="str" cm="1">
        <f t="array" ref="L940">IFERROR(INDEX(DB!R$2:R$2576,T940),"")</f>
        <v/>
      </c>
      <c r="M940" s="43"/>
      <c r="P940" t="str" cm="1">
        <f t="array" ref="P940">IFERROR(_xlfn.AGGREGATE(15,6,ROW(DB!A$2:A$2576)/((($D$3&lt;&gt;"YES")+($D$3="YES")*(DB!E$2:E$2576="YES"))*(($D$4="")+($D$4&lt;&gt;"")*( DB!B$2:B$2576=$D$4))*(($D$5="")+($D$5&lt;&gt;"")*( DB!C$2:C$2576=$D$5))*(($D$6="")+($D$6&lt;&gt;"")*( DB!D$2:D$2576=$D$6))*(($D$7="")+($D$7&lt;&gt;"")*(ISNUMBER(SEARCH($D$7,DB!G$2:G$2576))))*(($F$7="전체")+($F$7&lt;&gt;"전체")*(DB!H$2:H$2576=$F$7))),ROW()-13)-1,"")</f>
        <v/>
      </c>
      <c r="Q940" t="str" cm="1">
        <f t="array" ref="Q940">IFERROR(INDEX(DB!G$2:G$2576,P940),"")</f>
        <v/>
      </c>
      <c r="R940" t="str" cm="1">
        <f t="array" ref="R940">IFERROR(INDEX(DB!O$2:O$2576,P940),"")</f>
        <v/>
      </c>
      <c r="S940" t="str">
        <f t="shared" si="45"/>
        <v/>
      </c>
      <c r="T940" t="str">
        <f t="shared" si="46"/>
        <v/>
      </c>
    </row>
    <row r="941" spans="1:20" ht="100" customHeight="1">
      <c r="A941" s="26"/>
      <c r="B941" s="42" t="str">
        <f t="shared" si="44"/>
        <v/>
      </c>
      <c r="C941" s="43"/>
      <c r="D941" s="51" t="str" cm="1">
        <f t="array" ref="D941">IFERROR(INDEX(DB!G$2:G$2576,T941),"")</f>
        <v/>
      </c>
      <c r="E941" s="43"/>
      <c r="F941" s="52" t="str" cm="1">
        <f t="array" ref="F941">IFERROR(INDEX(DB!O$2:O$2576,T941),"")</f>
        <v/>
      </c>
      <c r="G941" s="43"/>
      <c r="H941" s="40" t="str" cm="1">
        <f t="array" ref="H941">IFERROR(INDEX(DB!P$2:P$2576,T941),"")</f>
        <v/>
      </c>
      <c r="I941" s="43"/>
      <c r="J941" s="53" t="str" cm="1">
        <f t="array" ref="J941">IFERROR(INDEX(DB!Q$2:Q$2576,T941),"")</f>
        <v/>
      </c>
      <c r="K941" s="43"/>
      <c r="L941" s="41" t="str" cm="1">
        <f t="array" ref="L941">IFERROR(INDEX(DB!R$2:R$2576,T941),"")</f>
        <v/>
      </c>
      <c r="M941" s="43"/>
      <c r="P941" t="str" cm="1">
        <f t="array" ref="P941">IFERROR(_xlfn.AGGREGATE(15,6,ROW(DB!A$2:A$2576)/((($D$3&lt;&gt;"YES")+($D$3="YES")*(DB!E$2:E$2576="YES"))*(($D$4="")+($D$4&lt;&gt;"")*( DB!B$2:B$2576=$D$4))*(($D$5="")+($D$5&lt;&gt;"")*( DB!C$2:C$2576=$D$5))*(($D$6="")+($D$6&lt;&gt;"")*( DB!D$2:D$2576=$D$6))*(($D$7="")+($D$7&lt;&gt;"")*(ISNUMBER(SEARCH($D$7,DB!G$2:G$2576))))*(($F$7="전체")+($F$7&lt;&gt;"전체")*(DB!H$2:H$2576=$F$7))),ROW()-13)-1,"")</f>
        <v/>
      </c>
      <c r="Q941" t="str" cm="1">
        <f t="array" ref="Q941">IFERROR(INDEX(DB!G$2:G$2576,P941),"")</f>
        <v/>
      </c>
      <c r="R941" t="str" cm="1">
        <f t="array" ref="R941">IFERROR(INDEX(DB!O$2:O$2576,P941),"")</f>
        <v/>
      </c>
      <c r="S941" t="str">
        <f t="shared" si="45"/>
        <v/>
      </c>
      <c r="T941" t="str">
        <f t="shared" si="46"/>
        <v/>
      </c>
    </row>
    <row r="942" spans="1:20" ht="100" customHeight="1">
      <c r="A942" s="26"/>
      <c r="B942" s="39" t="str">
        <f t="shared" si="44"/>
        <v/>
      </c>
      <c r="C942" s="43"/>
      <c r="D942" s="51" t="str" cm="1">
        <f t="array" ref="D942">IFERROR(INDEX(DB!G$2:G$2576,T942),"")</f>
        <v/>
      </c>
      <c r="E942" s="43"/>
      <c r="F942" s="52" t="str" cm="1">
        <f t="array" ref="F942">IFERROR(INDEX(DB!O$2:O$2576,T942),"")</f>
        <v/>
      </c>
      <c r="G942" s="43"/>
      <c r="H942" s="40" t="str" cm="1">
        <f t="array" ref="H942">IFERROR(INDEX(DB!P$2:P$2576,T942),"")</f>
        <v/>
      </c>
      <c r="I942" s="43"/>
      <c r="J942" s="53" t="str" cm="1">
        <f t="array" ref="J942">IFERROR(INDEX(DB!Q$2:Q$2576,T942),"")</f>
        <v/>
      </c>
      <c r="K942" s="43"/>
      <c r="L942" s="41" t="str" cm="1">
        <f t="array" ref="L942">IFERROR(INDEX(DB!R$2:R$2576,T942),"")</f>
        <v/>
      </c>
      <c r="M942" s="43"/>
      <c r="P942" t="str" cm="1">
        <f t="array" ref="P942">IFERROR(_xlfn.AGGREGATE(15,6,ROW(DB!A$2:A$2576)/((($D$3&lt;&gt;"YES")+($D$3="YES")*(DB!E$2:E$2576="YES"))*(($D$4="")+($D$4&lt;&gt;"")*( DB!B$2:B$2576=$D$4))*(($D$5="")+($D$5&lt;&gt;"")*( DB!C$2:C$2576=$D$5))*(($D$6="")+($D$6&lt;&gt;"")*( DB!D$2:D$2576=$D$6))*(($D$7="")+($D$7&lt;&gt;"")*(ISNUMBER(SEARCH($D$7,DB!G$2:G$2576))))*(($F$7="전체")+($F$7&lt;&gt;"전체")*(DB!H$2:H$2576=$F$7))),ROW()-13)-1,"")</f>
        <v/>
      </c>
      <c r="Q942" t="str" cm="1">
        <f t="array" ref="Q942">IFERROR(INDEX(DB!G$2:G$2576,P942),"")</f>
        <v/>
      </c>
      <c r="R942" t="str" cm="1">
        <f t="array" ref="R942">IFERROR(INDEX(DB!O$2:O$2576,P942),"")</f>
        <v/>
      </c>
      <c r="S942" t="str">
        <f t="shared" si="45"/>
        <v/>
      </c>
      <c r="T942" t="str">
        <f t="shared" si="46"/>
        <v/>
      </c>
    </row>
    <row r="943" spans="1:20" ht="100" customHeight="1">
      <c r="A943" s="26"/>
      <c r="B943" s="42" t="str">
        <f t="shared" si="44"/>
        <v/>
      </c>
      <c r="C943" s="43"/>
      <c r="D943" s="51" t="str" cm="1">
        <f t="array" ref="D943">IFERROR(INDEX(DB!G$2:G$2576,T943),"")</f>
        <v/>
      </c>
      <c r="E943" s="43"/>
      <c r="F943" s="52" t="str" cm="1">
        <f t="array" ref="F943">IFERROR(INDEX(DB!O$2:O$2576,T943),"")</f>
        <v/>
      </c>
      <c r="G943" s="43"/>
      <c r="H943" s="40" t="str" cm="1">
        <f t="array" ref="H943">IFERROR(INDEX(DB!P$2:P$2576,T943),"")</f>
        <v/>
      </c>
      <c r="I943" s="43"/>
      <c r="J943" s="53" t="str" cm="1">
        <f t="array" ref="J943">IFERROR(INDEX(DB!Q$2:Q$2576,T943),"")</f>
        <v/>
      </c>
      <c r="K943" s="43"/>
      <c r="L943" s="41" t="str" cm="1">
        <f t="array" ref="L943">IFERROR(INDEX(DB!R$2:R$2576,T943),"")</f>
        <v/>
      </c>
      <c r="M943" s="43"/>
      <c r="P943" t="str" cm="1">
        <f t="array" ref="P943">IFERROR(_xlfn.AGGREGATE(15,6,ROW(DB!A$2:A$2576)/((($D$3&lt;&gt;"YES")+($D$3="YES")*(DB!E$2:E$2576="YES"))*(($D$4="")+($D$4&lt;&gt;"")*( DB!B$2:B$2576=$D$4))*(($D$5="")+($D$5&lt;&gt;"")*( DB!C$2:C$2576=$D$5))*(($D$6="")+($D$6&lt;&gt;"")*( DB!D$2:D$2576=$D$6))*(($D$7="")+($D$7&lt;&gt;"")*(ISNUMBER(SEARCH($D$7,DB!G$2:G$2576))))*(($F$7="전체")+($F$7&lt;&gt;"전체")*(DB!H$2:H$2576=$F$7))),ROW()-13)-1,"")</f>
        <v/>
      </c>
      <c r="Q943" t="str" cm="1">
        <f t="array" ref="Q943">IFERROR(INDEX(DB!G$2:G$2576,P943),"")</f>
        <v/>
      </c>
      <c r="R943" t="str" cm="1">
        <f t="array" ref="R943">IFERROR(INDEX(DB!O$2:O$2576,P943),"")</f>
        <v/>
      </c>
      <c r="S943" t="str">
        <f t="shared" si="45"/>
        <v/>
      </c>
      <c r="T943" t="str">
        <f t="shared" si="46"/>
        <v/>
      </c>
    </row>
    <row r="944" spans="1:20" ht="100" customHeight="1">
      <c r="A944" s="26"/>
      <c r="B944" s="39" t="str">
        <f t="shared" si="44"/>
        <v/>
      </c>
      <c r="C944" s="43"/>
      <c r="D944" s="51" t="str" cm="1">
        <f t="array" ref="D944">IFERROR(INDEX(DB!G$2:G$2576,T944),"")</f>
        <v/>
      </c>
      <c r="E944" s="43"/>
      <c r="F944" s="52" t="str" cm="1">
        <f t="array" ref="F944">IFERROR(INDEX(DB!O$2:O$2576,T944),"")</f>
        <v/>
      </c>
      <c r="G944" s="43"/>
      <c r="H944" s="40" t="str" cm="1">
        <f t="array" ref="H944">IFERROR(INDEX(DB!P$2:P$2576,T944),"")</f>
        <v/>
      </c>
      <c r="I944" s="43"/>
      <c r="J944" s="53" t="str" cm="1">
        <f t="array" ref="J944">IFERROR(INDEX(DB!Q$2:Q$2576,T944),"")</f>
        <v/>
      </c>
      <c r="K944" s="43"/>
      <c r="L944" s="41" t="str" cm="1">
        <f t="array" ref="L944">IFERROR(INDEX(DB!R$2:R$2576,T944),"")</f>
        <v/>
      </c>
      <c r="M944" s="43"/>
      <c r="P944" t="str" cm="1">
        <f t="array" ref="P944">IFERROR(_xlfn.AGGREGATE(15,6,ROW(DB!A$2:A$2576)/((($D$3&lt;&gt;"YES")+($D$3="YES")*(DB!E$2:E$2576="YES"))*(($D$4="")+($D$4&lt;&gt;"")*( DB!B$2:B$2576=$D$4))*(($D$5="")+($D$5&lt;&gt;"")*( DB!C$2:C$2576=$D$5))*(($D$6="")+($D$6&lt;&gt;"")*( DB!D$2:D$2576=$D$6))*(($D$7="")+($D$7&lt;&gt;"")*(ISNUMBER(SEARCH($D$7,DB!G$2:G$2576))))*(($F$7="전체")+($F$7&lt;&gt;"전체")*(DB!H$2:H$2576=$F$7))),ROW()-13)-1,"")</f>
        <v/>
      </c>
      <c r="Q944" t="str" cm="1">
        <f t="array" ref="Q944">IFERROR(INDEX(DB!G$2:G$2576,P944),"")</f>
        <v/>
      </c>
      <c r="R944" t="str" cm="1">
        <f t="array" ref="R944">IFERROR(INDEX(DB!O$2:O$2576,P944),"")</f>
        <v/>
      </c>
      <c r="S944" t="str">
        <f t="shared" si="45"/>
        <v/>
      </c>
      <c r="T944" t="str">
        <f t="shared" si="46"/>
        <v/>
      </c>
    </row>
    <row r="945" spans="1:20" ht="100" customHeight="1">
      <c r="A945" s="26"/>
      <c r="B945" s="42" t="str">
        <f t="shared" si="44"/>
        <v/>
      </c>
      <c r="C945" s="43"/>
      <c r="D945" s="51" t="str" cm="1">
        <f t="array" ref="D945">IFERROR(INDEX(DB!G$2:G$2576,T945),"")</f>
        <v/>
      </c>
      <c r="E945" s="43"/>
      <c r="F945" s="52" t="str" cm="1">
        <f t="array" ref="F945">IFERROR(INDEX(DB!O$2:O$2576,T945),"")</f>
        <v/>
      </c>
      <c r="G945" s="43"/>
      <c r="H945" s="40" t="str" cm="1">
        <f t="array" ref="H945">IFERROR(INDEX(DB!P$2:P$2576,T945),"")</f>
        <v/>
      </c>
      <c r="I945" s="43"/>
      <c r="J945" s="53" t="str" cm="1">
        <f t="array" ref="J945">IFERROR(INDEX(DB!Q$2:Q$2576,T945),"")</f>
        <v/>
      </c>
      <c r="K945" s="43"/>
      <c r="L945" s="41" t="str" cm="1">
        <f t="array" ref="L945">IFERROR(INDEX(DB!R$2:R$2576,T945),"")</f>
        <v/>
      </c>
      <c r="M945" s="43"/>
      <c r="P945" t="str" cm="1">
        <f t="array" ref="P945">IFERROR(_xlfn.AGGREGATE(15,6,ROW(DB!A$2:A$2576)/((($D$3&lt;&gt;"YES")+($D$3="YES")*(DB!E$2:E$2576="YES"))*(($D$4="")+($D$4&lt;&gt;"")*( DB!B$2:B$2576=$D$4))*(($D$5="")+($D$5&lt;&gt;"")*( DB!C$2:C$2576=$D$5))*(($D$6="")+($D$6&lt;&gt;"")*( DB!D$2:D$2576=$D$6))*(($D$7="")+($D$7&lt;&gt;"")*(ISNUMBER(SEARCH($D$7,DB!G$2:G$2576))))*(($F$7="전체")+($F$7&lt;&gt;"전체")*(DB!H$2:H$2576=$F$7))),ROW()-13)-1,"")</f>
        <v/>
      </c>
      <c r="Q945" t="str" cm="1">
        <f t="array" ref="Q945">IFERROR(INDEX(DB!G$2:G$2576,P945),"")</f>
        <v/>
      </c>
      <c r="R945" t="str" cm="1">
        <f t="array" ref="R945">IFERROR(INDEX(DB!O$2:O$2576,P945),"")</f>
        <v/>
      </c>
      <c r="S945" t="str">
        <f t="shared" si="45"/>
        <v/>
      </c>
      <c r="T945" t="str">
        <f t="shared" si="46"/>
        <v/>
      </c>
    </row>
    <row r="946" spans="1:20" ht="100" customHeight="1">
      <c r="A946" s="26"/>
      <c r="B946" s="39" t="str">
        <f t="shared" si="44"/>
        <v/>
      </c>
      <c r="C946" s="43"/>
      <c r="D946" s="51" t="str" cm="1">
        <f t="array" ref="D946">IFERROR(INDEX(DB!G$2:G$2576,T946),"")</f>
        <v/>
      </c>
      <c r="E946" s="43"/>
      <c r="F946" s="52" t="str" cm="1">
        <f t="array" ref="F946">IFERROR(INDEX(DB!O$2:O$2576,T946),"")</f>
        <v/>
      </c>
      <c r="G946" s="43"/>
      <c r="H946" s="40" t="str" cm="1">
        <f t="array" ref="H946">IFERROR(INDEX(DB!P$2:P$2576,T946),"")</f>
        <v/>
      </c>
      <c r="I946" s="43"/>
      <c r="J946" s="53" t="str" cm="1">
        <f t="array" ref="J946">IFERROR(INDEX(DB!Q$2:Q$2576,T946),"")</f>
        <v/>
      </c>
      <c r="K946" s="43"/>
      <c r="L946" s="41" t="str" cm="1">
        <f t="array" ref="L946">IFERROR(INDEX(DB!R$2:R$2576,T946),"")</f>
        <v/>
      </c>
      <c r="M946" s="43"/>
      <c r="P946" t="str" cm="1">
        <f t="array" ref="P946">IFERROR(_xlfn.AGGREGATE(15,6,ROW(DB!A$2:A$2576)/((($D$3&lt;&gt;"YES")+($D$3="YES")*(DB!E$2:E$2576="YES"))*(($D$4="")+($D$4&lt;&gt;"")*( DB!B$2:B$2576=$D$4))*(($D$5="")+($D$5&lt;&gt;"")*( DB!C$2:C$2576=$D$5))*(($D$6="")+($D$6&lt;&gt;"")*( DB!D$2:D$2576=$D$6))*(($D$7="")+($D$7&lt;&gt;"")*(ISNUMBER(SEARCH($D$7,DB!G$2:G$2576))))*(($F$7="전체")+($F$7&lt;&gt;"전체")*(DB!H$2:H$2576=$F$7))),ROW()-13)-1,"")</f>
        <v/>
      </c>
      <c r="Q946" t="str" cm="1">
        <f t="array" ref="Q946">IFERROR(INDEX(DB!G$2:G$2576,P946),"")</f>
        <v/>
      </c>
      <c r="R946" t="str" cm="1">
        <f t="array" ref="R946">IFERROR(INDEX(DB!O$2:O$2576,P946),"")</f>
        <v/>
      </c>
      <c r="S946" t="str">
        <f t="shared" si="45"/>
        <v/>
      </c>
      <c r="T946" t="str">
        <f t="shared" si="46"/>
        <v/>
      </c>
    </row>
    <row r="947" spans="1:20" ht="100" customHeight="1">
      <c r="A947" s="26"/>
      <c r="B947" s="42" t="str">
        <f t="shared" si="44"/>
        <v/>
      </c>
      <c r="C947" s="43"/>
      <c r="D947" s="51" t="str" cm="1">
        <f t="array" ref="D947">IFERROR(INDEX(DB!G$2:G$2576,T947),"")</f>
        <v/>
      </c>
      <c r="E947" s="43"/>
      <c r="F947" s="52" t="str" cm="1">
        <f t="array" ref="F947">IFERROR(INDEX(DB!O$2:O$2576,T947),"")</f>
        <v/>
      </c>
      <c r="G947" s="43"/>
      <c r="H947" s="40" t="str" cm="1">
        <f t="array" ref="H947">IFERROR(INDEX(DB!P$2:P$2576,T947),"")</f>
        <v/>
      </c>
      <c r="I947" s="43"/>
      <c r="J947" s="53" t="str" cm="1">
        <f t="array" ref="J947">IFERROR(INDEX(DB!Q$2:Q$2576,T947),"")</f>
        <v/>
      </c>
      <c r="K947" s="43"/>
      <c r="L947" s="41" t="str" cm="1">
        <f t="array" ref="L947">IFERROR(INDEX(DB!R$2:R$2576,T947),"")</f>
        <v/>
      </c>
      <c r="M947" s="43"/>
      <c r="P947" t="str" cm="1">
        <f t="array" ref="P947">IFERROR(_xlfn.AGGREGATE(15,6,ROW(DB!A$2:A$2576)/((($D$3&lt;&gt;"YES")+($D$3="YES")*(DB!E$2:E$2576="YES"))*(($D$4="")+($D$4&lt;&gt;"")*( DB!B$2:B$2576=$D$4))*(($D$5="")+($D$5&lt;&gt;"")*( DB!C$2:C$2576=$D$5))*(($D$6="")+($D$6&lt;&gt;"")*( DB!D$2:D$2576=$D$6))*(($D$7="")+($D$7&lt;&gt;"")*(ISNUMBER(SEARCH($D$7,DB!G$2:G$2576))))*(($F$7="전체")+($F$7&lt;&gt;"전체")*(DB!H$2:H$2576=$F$7))),ROW()-13)-1,"")</f>
        <v/>
      </c>
      <c r="Q947" t="str" cm="1">
        <f t="array" ref="Q947">IFERROR(INDEX(DB!G$2:G$2576,P947),"")</f>
        <v/>
      </c>
      <c r="R947" t="str" cm="1">
        <f t="array" ref="R947">IFERROR(INDEX(DB!O$2:O$2576,P947),"")</f>
        <v/>
      </c>
      <c r="S947" t="str">
        <f t="shared" si="45"/>
        <v/>
      </c>
      <c r="T947" t="str">
        <f t="shared" si="46"/>
        <v/>
      </c>
    </row>
    <row r="948" spans="1:20" ht="100" customHeight="1">
      <c r="A948" s="26"/>
      <c r="B948" s="39" t="str">
        <f t="shared" si="44"/>
        <v/>
      </c>
      <c r="C948" s="43"/>
      <c r="D948" s="51" t="str" cm="1">
        <f t="array" ref="D948">IFERROR(INDEX(DB!G$2:G$2576,T948),"")</f>
        <v/>
      </c>
      <c r="E948" s="43"/>
      <c r="F948" s="52" t="str" cm="1">
        <f t="array" ref="F948">IFERROR(INDEX(DB!O$2:O$2576,T948),"")</f>
        <v/>
      </c>
      <c r="G948" s="43"/>
      <c r="H948" s="40" t="str" cm="1">
        <f t="array" ref="H948">IFERROR(INDEX(DB!P$2:P$2576,T948),"")</f>
        <v/>
      </c>
      <c r="I948" s="43"/>
      <c r="J948" s="53" t="str" cm="1">
        <f t="array" ref="J948">IFERROR(INDEX(DB!Q$2:Q$2576,T948),"")</f>
        <v/>
      </c>
      <c r="K948" s="43"/>
      <c r="L948" s="41" t="str" cm="1">
        <f t="array" ref="L948">IFERROR(INDEX(DB!R$2:R$2576,T948),"")</f>
        <v/>
      </c>
      <c r="M948" s="43"/>
      <c r="P948" t="str" cm="1">
        <f t="array" ref="P948">IFERROR(_xlfn.AGGREGATE(15,6,ROW(DB!A$2:A$2576)/((($D$3&lt;&gt;"YES")+($D$3="YES")*(DB!E$2:E$2576="YES"))*(($D$4="")+($D$4&lt;&gt;"")*( DB!B$2:B$2576=$D$4))*(($D$5="")+($D$5&lt;&gt;"")*( DB!C$2:C$2576=$D$5))*(($D$6="")+($D$6&lt;&gt;"")*( DB!D$2:D$2576=$D$6))*(($D$7="")+($D$7&lt;&gt;"")*(ISNUMBER(SEARCH($D$7,DB!G$2:G$2576))))*(($F$7="전체")+($F$7&lt;&gt;"전체")*(DB!H$2:H$2576=$F$7))),ROW()-13)-1,"")</f>
        <v/>
      </c>
      <c r="Q948" t="str" cm="1">
        <f t="array" ref="Q948">IFERROR(INDEX(DB!G$2:G$2576,P948),"")</f>
        <v/>
      </c>
      <c r="R948" t="str" cm="1">
        <f t="array" ref="R948">IFERROR(INDEX(DB!O$2:O$2576,P948),"")</f>
        <v/>
      </c>
      <c r="S948" t="str">
        <f t="shared" si="45"/>
        <v/>
      </c>
      <c r="T948" t="str">
        <f t="shared" si="46"/>
        <v/>
      </c>
    </row>
    <row r="949" spans="1:20" ht="100" customHeight="1">
      <c r="A949" s="26"/>
      <c r="B949" s="42" t="str">
        <f t="shared" si="44"/>
        <v/>
      </c>
      <c r="C949" s="43"/>
      <c r="D949" s="51" t="str" cm="1">
        <f t="array" ref="D949">IFERROR(INDEX(DB!G$2:G$2576,T949),"")</f>
        <v/>
      </c>
      <c r="E949" s="43"/>
      <c r="F949" s="52" t="str" cm="1">
        <f t="array" ref="F949">IFERROR(INDEX(DB!O$2:O$2576,T949),"")</f>
        <v/>
      </c>
      <c r="G949" s="43"/>
      <c r="H949" s="40" t="str" cm="1">
        <f t="array" ref="H949">IFERROR(INDEX(DB!P$2:P$2576,T949),"")</f>
        <v/>
      </c>
      <c r="I949" s="43"/>
      <c r="J949" s="53" t="str" cm="1">
        <f t="array" ref="J949">IFERROR(INDEX(DB!Q$2:Q$2576,T949),"")</f>
        <v/>
      </c>
      <c r="K949" s="43"/>
      <c r="L949" s="41" t="str" cm="1">
        <f t="array" ref="L949">IFERROR(INDEX(DB!R$2:R$2576,T949),"")</f>
        <v/>
      </c>
      <c r="M949" s="43"/>
      <c r="P949" t="str" cm="1">
        <f t="array" ref="P949">IFERROR(_xlfn.AGGREGATE(15,6,ROW(DB!A$2:A$2576)/((($D$3&lt;&gt;"YES")+($D$3="YES")*(DB!E$2:E$2576="YES"))*(($D$4="")+($D$4&lt;&gt;"")*( DB!B$2:B$2576=$D$4))*(($D$5="")+($D$5&lt;&gt;"")*( DB!C$2:C$2576=$D$5))*(($D$6="")+($D$6&lt;&gt;"")*( DB!D$2:D$2576=$D$6))*(($D$7="")+($D$7&lt;&gt;"")*(ISNUMBER(SEARCH($D$7,DB!G$2:G$2576))))*(($F$7="전체")+($F$7&lt;&gt;"전체")*(DB!H$2:H$2576=$F$7))),ROW()-13)-1,"")</f>
        <v/>
      </c>
      <c r="Q949" t="str" cm="1">
        <f t="array" ref="Q949">IFERROR(INDEX(DB!G$2:G$2576,P949),"")</f>
        <v/>
      </c>
      <c r="R949" t="str" cm="1">
        <f t="array" ref="R949">IFERROR(INDEX(DB!O$2:O$2576,P949),"")</f>
        <v/>
      </c>
      <c r="S949" t="str">
        <f t="shared" si="45"/>
        <v/>
      </c>
      <c r="T949" t="str">
        <f t="shared" si="46"/>
        <v/>
      </c>
    </row>
    <row r="950" spans="1:20" ht="100" customHeight="1">
      <c r="A950" s="26"/>
      <c r="B950" s="39" t="str">
        <f t="shared" si="44"/>
        <v/>
      </c>
      <c r="C950" s="43"/>
      <c r="D950" s="51" t="str" cm="1">
        <f t="array" ref="D950">IFERROR(INDEX(DB!G$2:G$2576,T950),"")</f>
        <v/>
      </c>
      <c r="E950" s="43"/>
      <c r="F950" s="52" t="str" cm="1">
        <f t="array" ref="F950">IFERROR(INDEX(DB!O$2:O$2576,T950),"")</f>
        <v/>
      </c>
      <c r="G950" s="43"/>
      <c r="H950" s="40" t="str" cm="1">
        <f t="array" ref="H950">IFERROR(INDEX(DB!P$2:P$2576,T950),"")</f>
        <v/>
      </c>
      <c r="I950" s="43"/>
      <c r="J950" s="53" t="str" cm="1">
        <f t="array" ref="J950">IFERROR(INDEX(DB!Q$2:Q$2576,T950),"")</f>
        <v/>
      </c>
      <c r="K950" s="43"/>
      <c r="L950" s="41" t="str" cm="1">
        <f t="array" ref="L950">IFERROR(INDEX(DB!R$2:R$2576,T950),"")</f>
        <v/>
      </c>
      <c r="M950" s="43"/>
      <c r="P950" t="str" cm="1">
        <f t="array" ref="P950">IFERROR(_xlfn.AGGREGATE(15,6,ROW(DB!A$2:A$2576)/((($D$3&lt;&gt;"YES")+($D$3="YES")*(DB!E$2:E$2576="YES"))*(($D$4="")+($D$4&lt;&gt;"")*( DB!B$2:B$2576=$D$4))*(($D$5="")+($D$5&lt;&gt;"")*( DB!C$2:C$2576=$D$5))*(($D$6="")+($D$6&lt;&gt;"")*( DB!D$2:D$2576=$D$6))*(($D$7="")+($D$7&lt;&gt;"")*(ISNUMBER(SEARCH($D$7,DB!G$2:G$2576))))*(($F$7="전체")+($F$7&lt;&gt;"전체")*(DB!H$2:H$2576=$F$7))),ROW()-13)-1,"")</f>
        <v/>
      </c>
      <c r="Q950" t="str" cm="1">
        <f t="array" ref="Q950">IFERROR(INDEX(DB!G$2:G$2576,P950),"")</f>
        <v/>
      </c>
      <c r="R950" t="str" cm="1">
        <f t="array" ref="R950">IFERROR(INDEX(DB!O$2:O$2576,P950),"")</f>
        <v/>
      </c>
      <c r="S950" t="str">
        <f t="shared" si="45"/>
        <v/>
      </c>
      <c r="T950" t="str">
        <f t="shared" si="46"/>
        <v/>
      </c>
    </row>
    <row r="951" spans="1:20" ht="100" customHeight="1">
      <c r="A951" s="26"/>
      <c r="B951" s="42" t="str">
        <f t="shared" si="44"/>
        <v/>
      </c>
      <c r="C951" s="43"/>
      <c r="D951" s="51" t="str" cm="1">
        <f t="array" ref="D951">IFERROR(INDEX(DB!G$2:G$2576,T951),"")</f>
        <v/>
      </c>
      <c r="E951" s="43"/>
      <c r="F951" s="52" t="str" cm="1">
        <f t="array" ref="F951">IFERROR(INDEX(DB!O$2:O$2576,T951),"")</f>
        <v/>
      </c>
      <c r="G951" s="43"/>
      <c r="H951" s="40" t="str" cm="1">
        <f t="array" ref="H951">IFERROR(INDEX(DB!P$2:P$2576,T951),"")</f>
        <v/>
      </c>
      <c r="I951" s="43"/>
      <c r="J951" s="53" t="str" cm="1">
        <f t="array" ref="J951">IFERROR(INDEX(DB!Q$2:Q$2576,T951),"")</f>
        <v/>
      </c>
      <c r="K951" s="43"/>
      <c r="L951" s="41" t="str" cm="1">
        <f t="array" ref="L951">IFERROR(INDEX(DB!R$2:R$2576,T951),"")</f>
        <v/>
      </c>
      <c r="M951" s="43"/>
      <c r="P951" t="str" cm="1">
        <f t="array" ref="P951">IFERROR(_xlfn.AGGREGATE(15,6,ROW(DB!A$2:A$2576)/((($D$3&lt;&gt;"YES")+($D$3="YES")*(DB!E$2:E$2576="YES"))*(($D$4="")+($D$4&lt;&gt;"")*( DB!B$2:B$2576=$D$4))*(($D$5="")+($D$5&lt;&gt;"")*( DB!C$2:C$2576=$D$5))*(($D$6="")+($D$6&lt;&gt;"")*( DB!D$2:D$2576=$D$6))*(($D$7="")+($D$7&lt;&gt;"")*(ISNUMBER(SEARCH($D$7,DB!G$2:G$2576))))*(($F$7="전체")+($F$7&lt;&gt;"전체")*(DB!H$2:H$2576=$F$7))),ROW()-13)-1,"")</f>
        <v/>
      </c>
      <c r="Q951" t="str" cm="1">
        <f t="array" ref="Q951">IFERROR(INDEX(DB!G$2:G$2576,P951),"")</f>
        <v/>
      </c>
      <c r="R951" t="str" cm="1">
        <f t="array" ref="R951">IFERROR(INDEX(DB!O$2:O$2576,P951),"")</f>
        <v/>
      </c>
      <c r="S951" t="str">
        <f t="shared" si="45"/>
        <v/>
      </c>
      <c r="T951" t="str">
        <f t="shared" si="46"/>
        <v/>
      </c>
    </row>
    <row r="952" spans="1:20" ht="100" customHeight="1">
      <c r="A952" s="26"/>
      <c r="B952" s="39" t="str">
        <f t="shared" si="44"/>
        <v/>
      </c>
      <c r="C952" s="43"/>
      <c r="D952" s="51" t="str" cm="1">
        <f t="array" ref="D952">IFERROR(INDEX(DB!G$2:G$2576,T952),"")</f>
        <v/>
      </c>
      <c r="E952" s="43"/>
      <c r="F952" s="52" t="str" cm="1">
        <f t="array" ref="F952">IFERROR(INDEX(DB!O$2:O$2576,T952),"")</f>
        <v/>
      </c>
      <c r="G952" s="43"/>
      <c r="H952" s="40" t="str" cm="1">
        <f t="array" ref="H952">IFERROR(INDEX(DB!P$2:P$2576,T952),"")</f>
        <v/>
      </c>
      <c r="I952" s="43"/>
      <c r="J952" s="53" t="str" cm="1">
        <f t="array" ref="J952">IFERROR(INDEX(DB!Q$2:Q$2576,T952),"")</f>
        <v/>
      </c>
      <c r="K952" s="43"/>
      <c r="L952" s="41" t="str" cm="1">
        <f t="array" ref="L952">IFERROR(INDEX(DB!R$2:R$2576,T952),"")</f>
        <v/>
      </c>
      <c r="M952" s="43"/>
      <c r="P952" t="str" cm="1">
        <f t="array" ref="P952">IFERROR(_xlfn.AGGREGATE(15,6,ROW(DB!A$2:A$2576)/((($D$3&lt;&gt;"YES")+($D$3="YES")*(DB!E$2:E$2576="YES"))*(($D$4="")+($D$4&lt;&gt;"")*( DB!B$2:B$2576=$D$4))*(($D$5="")+($D$5&lt;&gt;"")*( DB!C$2:C$2576=$D$5))*(($D$6="")+($D$6&lt;&gt;"")*( DB!D$2:D$2576=$D$6))*(($D$7="")+($D$7&lt;&gt;"")*(ISNUMBER(SEARCH($D$7,DB!G$2:G$2576))))*(($F$7="전체")+($F$7&lt;&gt;"전체")*(DB!H$2:H$2576=$F$7))),ROW()-13)-1,"")</f>
        <v/>
      </c>
      <c r="Q952" t="str" cm="1">
        <f t="array" ref="Q952">IFERROR(INDEX(DB!G$2:G$2576,P952),"")</f>
        <v/>
      </c>
      <c r="R952" t="str" cm="1">
        <f t="array" ref="R952">IFERROR(INDEX(DB!O$2:O$2576,P952),"")</f>
        <v/>
      </c>
      <c r="S952" t="str">
        <f t="shared" si="45"/>
        <v/>
      </c>
      <c r="T952" t="str">
        <f t="shared" si="46"/>
        <v/>
      </c>
    </row>
    <row r="953" spans="1:20" ht="100" customHeight="1">
      <c r="A953" s="26"/>
      <c r="B953" s="42" t="str">
        <f t="shared" si="44"/>
        <v/>
      </c>
      <c r="C953" s="43"/>
      <c r="D953" s="51" t="str" cm="1">
        <f t="array" ref="D953">IFERROR(INDEX(DB!G$2:G$2576,T953),"")</f>
        <v/>
      </c>
      <c r="E953" s="43"/>
      <c r="F953" s="52" t="str" cm="1">
        <f t="array" ref="F953">IFERROR(INDEX(DB!O$2:O$2576,T953),"")</f>
        <v/>
      </c>
      <c r="G953" s="43"/>
      <c r="H953" s="40" t="str" cm="1">
        <f t="array" ref="H953">IFERROR(INDEX(DB!P$2:P$2576,T953),"")</f>
        <v/>
      </c>
      <c r="I953" s="43"/>
      <c r="J953" s="53" t="str" cm="1">
        <f t="array" ref="J953">IFERROR(INDEX(DB!Q$2:Q$2576,T953),"")</f>
        <v/>
      </c>
      <c r="K953" s="43"/>
      <c r="L953" s="41" t="str" cm="1">
        <f t="array" ref="L953">IFERROR(INDEX(DB!R$2:R$2576,T953),"")</f>
        <v/>
      </c>
      <c r="M953" s="43"/>
      <c r="P953" t="str" cm="1">
        <f t="array" ref="P953">IFERROR(_xlfn.AGGREGATE(15,6,ROW(DB!A$2:A$2576)/((($D$3&lt;&gt;"YES")+($D$3="YES")*(DB!E$2:E$2576="YES"))*(($D$4="")+($D$4&lt;&gt;"")*( DB!B$2:B$2576=$D$4))*(($D$5="")+($D$5&lt;&gt;"")*( DB!C$2:C$2576=$D$5))*(($D$6="")+($D$6&lt;&gt;"")*( DB!D$2:D$2576=$D$6))*(($D$7="")+($D$7&lt;&gt;"")*(ISNUMBER(SEARCH($D$7,DB!G$2:G$2576))))*(($F$7="전체")+($F$7&lt;&gt;"전체")*(DB!H$2:H$2576=$F$7))),ROW()-13)-1,"")</f>
        <v/>
      </c>
      <c r="Q953" t="str" cm="1">
        <f t="array" ref="Q953">IFERROR(INDEX(DB!G$2:G$2576,P953),"")</f>
        <v/>
      </c>
      <c r="R953" t="str" cm="1">
        <f t="array" ref="R953">IFERROR(INDEX(DB!O$2:O$2576,P953),"")</f>
        <v/>
      </c>
      <c r="S953" t="str">
        <f t="shared" si="45"/>
        <v/>
      </c>
      <c r="T953" t="str">
        <f t="shared" si="46"/>
        <v/>
      </c>
    </row>
    <row r="954" spans="1:20" ht="100" customHeight="1">
      <c r="A954" s="26"/>
      <c r="B954" s="39" t="str">
        <f t="shared" si="44"/>
        <v/>
      </c>
      <c r="C954" s="43"/>
      <c r="D954" s="51" t="str" cm="1">
        <f t="array" ref="D954">IFERROR(INDEX(DB!G$2:G$2576,T954),"")</f>
        <v/>
      </c>
      <c r="E954" s="43"/>
      <c r="F954" s="52" t="str" cm="1">
        <f t="array" ref="F954">IFERROR(INDEX(DB!O$2:O$2576,T954),"")</f>
        <v/>
      </c>
      <c r="G954" s="43"/>
      <c r="H954" s="40" t="str" cm="1">
        <f t="array" ref="H954">IFERROR(INDEX(DB!P$2:P$2576,T954),"")</f>
        <v/>
      </c>
      <c r="I954" s="43"/>
      <c r="J954" s="53" t="str" cm="1">
        <f t="array" ref="J954">IFERROR(INDEX(DB!Q$2:Q$2576,T954),"")</f>
        <v/>
      </c>
      <c r="K954" s="43"/>
      <c r="L954" s="41" t="str" cm="1">
        <f t="array" ref="L954">IFERROR(INDEX(DB!R$2:R$2576,T954),"")</f>
        <v/>
      </c>
      <c r="M954" s="43"/>
      <c r="P954" t="str" cm="1">
        <f t="array" ref="P954">IFERROR(_xlfn.AGGREGATE(15,6,ROW(DB!A$2:A$2576)/((($D$3&lt;&gt;"YES")+($D$3="YES")*(DB!E$2:E$2576="YES"))*(($D$4="")+($D$4&lt;&gt;"")*( DB!B$2:B$2576=$D$4))*(($D$5="")+($D$5&lt;&gt;"")*( DB!C$2:C$2576=$D$5))*(($D$6="")+($D$6&lt;&gt;"")*( DB!D$2:D$2576=$D$6))*(($D$7="")+($D$7&lt;&gt;"")*(ISNUMBER(SEARCH($D$7,DB!G$2:G$2576))))*(($F$7="전체")+($F$7&lt;&gt;"전체")*(DB!H$2:H$2576=$F$7))),ROW()-13)-1,"")</f>
        <v/>
      </c>
      <c r="Q954" t="str" cm="1">
        <f t="array" ref="Q954">IFERROR(INDEX(DB!G$2:G$2576,P954),"")</f>
        <v/>
      </c>
      <c r="R954" t="str" cm="1">
        <f t="array" ref="R954">IFERROR(INDEX(DB!O$2:O$2576,P954),"")</f>
        <v/>
      </c>
      <c r="S954" t="str">
        <f t="shared" si="45"/>
        <v/>
      </c>
      <c r="T954" t="str">
        <f t="shared" si="46"/>
        <v/>
      </c>
    </row>
    <row r="955" spans="1:20" ht="100" customHeight="1">
      <c r="A955" s="26"/>
      <c r="B955" s="42" t="str">
        <f t="shared" si="44"/>
        <v/>
      </c>
      <c r="C955" s="43"/>
      <c r="D955" s="51" t="str" cm="1">
        <f t="array" ref="D955">IFERROR(INDEX(DB!G$2:G$2576,T955),"")</f>
        <v/>
      </c>
      <c r="E955" s="43"/>
      <c r="F955" s="52" t="str" cm="1">
        <f t="array" ref="F955">IFERROR(INDEX(DB!O$2:O$2576,T955),"")</f>
        <v/>
      </c>
      <c r="G955" s="43"/>
      <c r="H955" s="40" t="str" cm="1">
        <f t="array" ref="H955">IFERROR(INDEX(DB!P$2:P$2576,T955),"")</f>
        <v/>
      </c>
      <c r="I955" s="43"/>
      <c r="J955" s="53" t="str" cm="1">
        <f t="array" ref="J955">IFERROR(INDEX(DB!Q$2:Q$2576,T955),"")</f>
        <v/>
      </c>
      <c r="K955" s="43"/>
      <c r="L955" s="41" t="str" cm="1">
        <f t="array" ref="L955">IFERROR(INDEX(DB!R$2:R$2576,T955),"")</f>
        <v/>
      </c>
      <c r="M955" s="43"/>
      <c r="P955" t="str" cm="1">
        <f t="array" ref="P955">IFERROR(_xlfn.AGGREGATE(15,6,ROW(DB!A$2:A$2576)/((($D$3&lt;&gt;"YES")+($D$3="YES")*(DB!E$2:E$2576="YES"))*(($D$4="")+($D$4&lt;&gt;"")*( DB!B$2:B$2576=$D$4))*(($D$5="")+($D$5&lt;&gt;"")*( DB!C$2:C$2576=$D$5))*(($D$6="")+($D$6&lt;&gt;"")*( DB!D$2:D$2576=$D$6))*(($D$7="")+($D$7&lt;&gt;"")*(ISNUMBER(SEARCH($D$7,DB!G$2:G$2576))))*(($F$7="전체")+($F$7&lt;&gt;"전체")*(DB!H$2:H$2576=$F$7))),ROW()-13)-1,"")</f>
        <v/>
      </c>
      <c r="Q955" t="str" cm="1">
        <f t="array" ref="Q955">IFERROR(INDEX(DB!G$2:G$2576,P955),"")</f>
        <v/>
      </c>
      <c r="R955" t="str" cm="1">
        <f t="array" ref="R955">IFERROR(INDEX(DB!O$2:O$2576,P955),"")</f>
        <v/>
      </c>
      <c r="S955" t="str">
        <f t="shared" si="45"/>
        <v/>
      </c>
      <c r="T955" t="str">
        <f t="shared" si="46"/>
        <v/>
      </c>
    </row>
    <row r="956" spans="1:20" ht="100" customHeight="1">
      <c r="A956" s="26"/>
      <c r="B956" s="39" t="str">
        <f t="shared" si="44"/>
        <v/>
      </c>
      <c r="C956" s="43"/>
      <c r="D956" s="51" t="str" cm="1">
        <f t="array" ref="D956">IFERROR(INDEX(DB!G$2:G$2576,T956),"")</f>
        <v/>
      </c>
      <c r="E956" s="43"/>
      <c r="F956" s="52" t="str" cm="1">
        <f t="array" ref="F956">IFERROR(INDEX(DB!O$2:O$2576,T956),"")</f>
        <v/>
      </c>
      <c r="G956" s="43"/>
      <c r="H956" s="40" t="str" cm="1">
        <f t="array" ref="H956">IFERROR(INDEX(DB!P$2:P$2576,T956),"")</f>
        <v/>
      </c>
      <c r="I956" s="43"/>
      <c r="J956" s="53" t="str" cm="1">
        <f t="array" ref="J956">IFERROR(INDEX(DB!Q$2:Q$2576,T956),"")</f>
        <v/>
      </c>
      <c r="K956" s="43"/>
      <c r="L956" s="41" t="str" cm="1">
        <f t="array" ref="L956">IFERROR(INDEX(DB!R$2:R$2576,T956),"")</f>
        <v/>
      </c>
      <c r="M956" s="43"/>
      <c r="P956" t="str" cm="1">
        <f t="array" ref="P956">IFERROR(_xlfn.AGGREGATE(15,6,ROW(DB!A$2:A$2576)/((($D$3&lt;&gt;"YES")+($D$3="YES")*(DB!E$2:E$2576="YES"))*(($D$4="")+($D$4&lt;&gt;"")*( DB!B$2:B$2576=$D$4))*(($D$5="")+($D$5&lt;&gt;"")*( DB!C$2:C$2576=$D$5))*(($D$6="")+($D$6&lt;&gt;"")*( DB!D$2:D$2576=$D$6))*(($D$7="")+($D$7&lt;&gt;"")*(ISNUMBER(SEARCH($D$7,DB!G$2:G$2576))))*(($F$7="전체")+($F$7&lt;&gt;"전체")*(DB!H$2:H$2576=$F$7))),ROW()-13)-1,"")</f>
        <v/>
      </c>
      <c r="Q956" t="str" cm="1">
        <f t="array" ref="Q956">IFERROR(INDEX(DB!G$2:G$2576,P956),"")</f>
        <v/>
      </c>
      <c r="R956" t="str" cm="1">
        <f t="array" ref="R956">IFERROR(INDEX(DB!O$2:O$2576,P956),"")</f>
        <v/>
      </c>
      <c r="S956" t="str">
        <f t="shared" si="45"/>
        <v/>
      </c>
      <c r="T956" t="str">
        <f t="shared" si="46"/>
        <v/>
      </c>
    </row>
    <row r="957" spans="1:20" ht="100" customHeight="1">
      <c r="A957" s="26"/>
      <c r="B957" s="42" t="str">
        <f t="shared" si="44"/>
        <v/>
      </c>
      <c r="C957" s="43"/>
      <c r="D957" s="51" t="str" cm="1">
        <f t="array" ref="D957">IFERROR(INDEX(DB!G$2:G$2576,T957),"")</f>
        <v/>
      </c>
      <c r="E957" s="43"/>
      <c r="F957" s="52" t="str" cm="1">
        <f t="array" ref="F957">IFERROR(INDEX(DB!O$2:O$2576,T957),"")</f>
        <v/>
      </c>
      <c r="G957" s="43"/>
      <c r="H957" s="40" t="str" cm="1">
        <f t="array" ref="H957">IFERROR(INDEX(DB!P$2:P$2576,T957),"")</f>
        <v/>
      </c>
      <c r="I957" s="43"/>
      <c r="J957" s="53" t="str" cm="1">
        <f t="array" ref="J957">IFERROR(INDEX(DB!Q$2:Q$2576,T957),"")</f>
        <v/>
      </c>
      <c r="K957" s="43"/>
      <c r="L957" s="41" t="str" cm="1">
        <f t="array" ref="L957">IFERROR(INDEX(DB!R$2:R$2576,T957),"")</f>
        <v/>
      </c>
      <c r="M957" s="43"/>
      <c r="P957" t="str" cm="1">
        <f t="array" ref="P957">IFERROR(_xlfn.AGGREGATE(15,6,ROW(DB!A$2:A$2576)/((($D$3&lt;&gt;"YES")+($D$3="YES")*(DB!E$2:E$2576="YES"))*(($D$4="")+($D$4&lt;&gt;"")*( DB!B$2:B$2576=$D$4))*(($D$5="")+($D$5&lt;&gt;"")*( DB!C$2:C$2576=$D$5))*(($D$6="")+($D$6&lt;&gt;"")*( DB!D$2:D$2576=$D$6))*(($D$7="")+($D$7&lt;&gt;"")*(ISNUMBER(SEARCH($D$7,DB!G$2:G$2576))))*(($F$7="전체")+($F$7&lt;&gt;"전체")*(DB!H$2:H$2576=$F$7))),ROW()-13)-1,"")</f>
        <v/>
      </c>
      <c r="Q957" t="str" cm="1">
        <f t="array" ref="Q957">IFERROR(INDEX(DB!G$2:G$2576,P957),"")</f>
        <v/>
      </c>
      <c r="R957" t="str" cm="1">
        <f t="array" ref="R957">IFERROR(INDEX(DB!O$2:O$2576,P957),"")</f>
        <v/>
      </c>
      <c r="S957" t="str">
        <f t="shared" si="45"/>
        <v/>
      </c>
      <c r="T957" t="str">
        <f t="shared" si="46"/>
        <v/>
      </c>
    </row>
    <row r="958" spans="1:20" ht="100" customHeight="1">
      <c r="A958" s="26"/>
      <c r="B958" s="39" t="str">
        <f t="shared" si="44"/>
        <v/>
      </c>
      <c r="C958" s="43"/>
      <c r="D958" s="51" t="str" cm="1">
        <f t="array" ref="D958">IFERROR(INDEX(DB!G$2:G$2576,T958),"")</f>
        <v/>
      </c>
      <c r="E958" s="43"/>
      <c r="F958" s="52" t="str" cm="1">
        <f t="array" ref="F958">IFERROR(INDEX(DB!O$2:O$2576,T958),"")</f>
        <v/>
      </c>
      <c r="G958" s="43"/>
      <c r="H958" s="40" t="str" cm="1">
        <f t="array" ref="H958">IFERROR(INDEX(DB!P$2:P$2576,T958),"")</f>
        <v/>
      </c>
      <c r="I958" s="43"/>
      <c r="J958" s="53" t="str" cm="1">
        <f t="array" ref="J958">IFERROR(INDEX(DB!Q$2:Q$2576,T958),"")</f>
        <v/>
      </c>
      <c r="K958" s="43"/>
      <c r="L958" s="41" t="str" cm="1">
        <f t="array" ref="L958">IFERROR(INDEX(DB!R$2:R$2576,T958),"")</f>
        <v/>
      </c>
      <c r="M958" s="43"/>
      <c r="P958" t="str" cm="1">
        <f t="array" ref="P958">IFERROR(_xlfn.AGGREGATE(15,6,ROW(DB!A$2:A$2576)/((($D$3&lt;&gt;"YES")+($D$3="YES")*(DB!E$2:E$2576="YES"))*(($D$4="")+($D$4&lt;&gt;"")*( DB!B$2:B$2576=$D$4))*(($D$5="")+($D$5&lt;&gt;"")*( DB!C$2:C$2576=$D$5))*(($D$6="")+($D$6&lt;&gt;"")*( DB!D$2:D$2576=$D$6))*(($D$7="")+($D$7&lt;&gt;"")*(ISNUMBER(SEARCH($D$7,DB!G$2:G$2576))))*(($F$7="전체")+($F$7&lt;&gt;"전체")*(DB!H$2:H$2576=$F$7))),ROW()-13)-1,"")</f>
        <v/>
      </c>
      <c r="Q958" t="str" cm="1">
        <f t="array" ref="Q958">IFERROR(INDEX(DB!G$2:G$2576,P958),"")</f>
        <v/>
      </c>
      <c r="R958" t="str" cm="1">
        <f t="array" ref="R958">IFERROR(INDEX(DB!O$2:O$2576,P958),"")</f>
        <v/>
      </c>
      <c r="S958" t="str">
        <f t="shared" si="45"/>
        <v/>
      </c>
      <c r="T958" t="str">
        <f t="shared" si="46"/>
        <v/>
      </c>
    </row>
    <row r="959" spans="1:20" ht="100" customHeight="1">
      <c r="A959" s="26"/>
      <c r="B959" s="42" t="str">
        <f t="shared" si="44"/>
        <v/>
      </c>
      <c r="C959" s="43"/>
      <c r="D959" s="51" t="str" cm="1">
        <f t="array" ref="D959">IFERROR(INDEX(DB!G$2:G$2576,T959),"")</f>
        <v/>
      </c>
      <c r="E959" s="43"/>
      <c r="F959" s="52" t="str" cm="1">
        <f t="array" ref="F959">IFERROR(INDEX(DB!O$2:O$2576,T959),"")</f>
        <v/>
      </c>
      <c r="G959" s="43"/>
      <c r="H959" s="40" t="str" cm="1">
        <f t="array" ref="H959">IFERROR(INDEX(DB!P$2:P$2576,T959),"")</f>
        <v/>
      </c>
      <c r="I959" s="43"/>
      <c r="J959" s="53" t="str" cm="1">
        <f t="array" ref="J959">IFERROR(INDEX(DB!Q$2:Q$2576,T959),"")</f>
        <v/>
      </c>
      <c r="K959" s="43"/>
      <c r="L959" s="41" t="str" cm="1">
        <f t="array" ref="L959">IFERROR(INDEX(DB!R$2:R$2576,T959),"")</f>
        <v/>
      </c>
      <c r="M959" s="43"/>
      <c r="P959" t="str" cm="1">
        <f t="array" ref="P959">IFERROR(_xlfn.AGGREGATE(15,6,ROW(DB!A$2:A$2576)/((($D$3&lt;&gt;"YES")+($D$3="YES")*(DB!E$2:E$2576="YES"))*(($D$4="")+($D$4&lt;&gt;"")*( DB!B$2:B$2576=$D$4))*(($D$5="")+($D$5&lt;&gt;"")*( DB!C$2:C$2576=$D$5))*(($D$6="")+($D$6&lt;&gt;"")*( DB!D$2:D$2576=$D$6))*(($D$7="")+($D$7&lt;&gt;"")*(ISNUMBER(SEARCH($D$7,DB!G$2:G$2576))))*(($F$7="전체")+($F$7&lt;&gt;"전체")*(DB!H$2:H$2576=$F$7))),ROW()-13)-1,"")</f>
        <v/>
      </c>
      <c r="Q959" t="str" cm="1">
        <f t="array" ref="Q959">IFERROR(INDEX(DB!G$2:G$2576,P959),"")</f>
        <v/>
      </c>
      <c r="R959" t="str" cm="1">
        <f t="array" ref="R959">IFERROR(INDEX(DB!O$2:O$2576,P959),"")</f>
        <v/>
      </c>
      <c r="S959" t="str">
        <f t="shared" si="45"/>
        <v/>
      </c>
      <c r="T959" t="str">
        <f t="shared" si="46"/>
        <v/>
      </c>
    </row>
    <row r="960" spans="1:20" ht="100" customHeight="1">
      <c r="A960" s="26"/>
      <c r="B960" s="39" t="str">
        <f t="shared" si="44"/>
        <v/>
      </c>
      <c r="C960" s="43"/>
      <c r="D960" s="51" t="str" cm="1">
        <f t="array" ref="D960">IFERROR(INDEX(DB!G$2:G$2576,T960),"")</f>
        <v/>
      </c>
      <c r="E960" s="43"/>
      <c r="F960" s="52" t="str" cm="1">
        <f t="array" ref="F960">IFERROR(INDEX(DB!O$2:O$2576,T960),"")</f>
        <v/>
      </c>
      <c r="G960" s="43"/>
      <c r="H960" s="40" t="str" cm="1">
        <f t="array" ref="H960">IFERROR(INDEX(DB!P$2:P$2576,T960),"")</f>
        <v/>
      </c>
      <c r="I960" s="43"/>
      <c r="J960" s="53" t="str" cm="1">
        <f t="array" ref="J960">IFERROR(INDEX(DB!Q$2:Q$2576,T960),"")</f>
        <v/>
      </c>
      <c r="K960" s="43"/>
      <c r="L960" s="41" t="str" cm="1">
        <f t="array" ref="L960">IFERROR(INDEX(DB!R$2:R$2576,T960),"")</f>
        <v/>
      </c>
      <c r="M960" s="43"/>
      <c r="P960" t="str" cm="1">
        <f t="array" ref="P960">IFERROR(_xlfn.AGGREGATE(15,6,ROW(DB!A$2:A$2576)/((($D$3&lt;&gt;"YES")+($D$3="YES")*(DB!E$2:E$2576="YES"))*(($D$4="")+($D$4&lt;&gt;"")*( DB!B$2:B$2576=$D$4))*(($D$5="")+($D$5&lt;&gt;"")*( DB!C$2:C$2576=$D$5))*(($D$6="")+($D$6&lt;&gt;"")*( DB!D$2:D$2576=$D$6))*(($D$7="")+($D$7&lt;&gt;"")*(ISNUMBER(SEARCH($D$7,DB!G$2:G$2576))))*(($F$7="전체")+($F$7&lt;&gt;"전체")*(DB!H$2:H$2576=$F$7))),ROW()-13)-1,"")</f>
        <v/>
      </c>
      <c r="Q960" t="str" cm="1">
        <f t="array" ref="Q960">IFERROR(INDEX(DB!G$2:G$2576,P960),"")</f>
        <v/>
      </c>
      <c r="R960" t="str" cm="1">
        <f t="array" ref="R960">IFERROR(INDEX(DB!O$2:O$2576,P960),"")</f>
        <v/>
      </c>
      <c r="S960" t="str">
        <f t="shared" si="45"/>
        <v/>
      </c>
      <c r="T960" t="str">
        <f t="shared" si="46"/>
        <v/>
      </c>
    </row>
    <row r="961" spans="1:20" ht="100" customHeight="1">
      <c r="A961" s="26"/>
      <c r="B961" s="42" t="str">
        <f t="shared" si="44"/>
        <v/>
      </c>
      <c r="C961" s="43"/>
      <c r="D961" s="51" t="str" cm="1">
        <f t="array" ref="D961">IFERROR(INDEX(DB!G$2:G$2576,T961),"")</f>
        <v/>
      </c>
      <c r="E961" s="43"/>
      <c r="F961" s="52" t="str" cm="1">
        <f t="array" ref="F961">IFERROR(INDEX(DB!O$2:O$2576,T961),"")</f>
        <v/>
      </c>
      <c r="G961" s="43"/>
      <c r="H961" s="40" t="str" cm="1">
        <f t="array" ref="H961">IFERROR(INDEX(DB!P$2:P$2576,T961),"")</f>
        <v/>
      </c>
      <c r="I961" s="43"/>
      <c r="J961" s="53" t="str" cm="1">
        <f t="array" ref="J961">IFERROR(INDEX(DB!Q$2:Q$2576,T961),"")</f>
        <v/>
      </c>
      <c r="K961" s="43"/>
      <c r="L961" s="41" t="str" cm="1">
        <f t="array" ref="L961">IFERROR(INDEX(DB!R$2:R$2576,T961),"")</f>
        <v/>
      </c>
      <c r="M961" s="43"/>
      <c r="P961" t="str" cm="1">
        <f t="array" ref="P961">IFERROR(_xlfn.AGGREGATE(15,6,ROW(DB!A$2:A$2576)/((($D$3&lt;&gt;"YES")+($D$3="YES")*(DB!E$2:E$2576="YES"))*(($D$4="")+($D$4&lt;&gt;"")*( DB!B$2:B$2576=$D$4))*(($D$5="")+($D$5&lt;&gt;"")*( DB!C$2:C$2576=$D$5))*(($D$6="")+($D$6&lt;&gt;"")*( DB!D$2:D$2576=$D$6))*(($D$7="")+($D$7&lt;&gt;"")*(ISNUMBER(SEARCH($D$7,DB!G$2:G$2576))))*(($F$7="전체")+($F$7&lt;&gt;"전체")*(DB!H$2:H$2576=$F$7))),ROW()-13)-1,"")</f>
        <v/>
      </c>
      <c r="Q961" t="str" cm="1">
        <f t="array" ref="Q961">IFERROR(INDEX(DB!G$2:G$2576,P961),"")</f>
        <v/>
      </c>
      <c r="R961" t="str" cm="1">
        <f t="array" ref="R961">IFERROR(INDEX(DB!O$2:O$2576,P961),"")</f>
        <v/>
      </c>
      <c r="S961" t="str">
        <f t="shared" si="45"/>
        <v/>
      </c>
      <c r="T961" t="str">
        <f t="shared" si="46"/>
        <v/>
      </c>
    </row>
    <row r="962" spans="1:20" ht="100" customHeight="1">
      <c r="A962" s="26"/>
      <c r="B962" s="39" t="str">
        <f t="shared" si="44"/>
        <v/>
      </c>
      <c r="C962" s="43"/>
      <c r="D962" s="51" t="str" cm="1">
        <f t="array" ref="D962">IFERROR(INDEX(DB!G$2:G$2576,T962),"")</f>
        <v/>
      </c>
      <c r="E962" s="43"/>
      <c r="F962" s="52" t="str" cm="1">
        <f t="array" ref="F962">IFERROR(INDEX(DB!O$2:O$2576,T962),"")</f>
        <v/>
      </c>
      <c r="G962" s="43"/>
      <c r="H962" s="40" t="str" cm="1">
        <f t="array" ref="H962">IFERROR(INDEX(DB!P$2:P$2576,T962),"")</f>
        <v/>
      </c>
      <c r="I962" s="43"/>
      <c r="J962" s="53" t="str" cm="1">
        <f t="array" ref="J962">IFERROR(INDEX(DB!Q$2:Q$2576,T962),"")</f>
        <v/>
      </c>
      <c r="K962" s="43"/>
      <c r="L962" s="41" t="str" cm="1">
        <f t="array" ref="L962">IFERROR(INDEX(DB!R$2:R$2576,T962),"")</f>
        <v/>
      </c>
      <c r="M962" s="43"/>
      <c r="P962" t="str" cm="1">
        <f t="array" ref="P962">IFERROR(_xlfn.AGGREGATE(15,6,ROW(DB!A$2:A$2576)/((($D$3&lt;&gt;"YES")+($D$3="YES")*(DB!E$2:E$2576="YES"))*(($D$4="")+($D$4&lt;&gt;"")*( DB!B$2:B$2576=$D$4))*(($D$5="")+($D$5&lt;&gt;"")*( DB!C$2:C$2576=$D$5))*(($D$6="")+($D$6&lt;&gt;"")*( DB!D$2:D$2576=$D$6))*(($D$7="")+($D$7&lt;&gt;"")*(ISNUMBER(SEARCH($D$7,DB!G$2:G$2576))))*(($F$7="전체")+($F$7&lt;&gt;"전체")*(DB!H$2:H$2576=$F$7))),ROW()-13)-1,"")</f>
        <v/>
      </c>
      <c r="Q962" t="str" cm="1">
        <f t="array" ref="Q962">IFERROR(INDEX(DB!G$2:G$2576,P962),"")</f>
        <v/>
      </c>
      <c r="R962" t="str" cm="1">
        <f t="array" ref="R962">IFERROR(INDEX(DB!O$2:O$2576,P962),"")</f>
        <v/>
      </c>
      <c r="S962" t="str">
        <f t="shared" si="45"/>
        <v/>
      </c>
      <c r="T962" t="str">
        <f t="shared" si="46"/>
        <v/>
      </c>
    </row>
    <row r="963" spans="1:20" ht="100" customHeight="1">
      <c r="A963" s="26"/>
      <c r="B963" s="42" t="str">
        <f t="shared" si="44"/>
        <v/>
      </c>
      <c r="C963" s="43"/>
      <c r="D963" s="51" t="str" cm="1">
        <f t="array" ref="D963">IFERROR(INDEX(DB!G$2:G$2576,T963),"")</f>
        <v/>
      </c>
      <c r="E963" s="43"/>
      <c r="F963" s="52" t="str" cm="1">
        <f t="array" ref="F963">IFERROR(INDEX(DB!O$2:O$2576,T963),"")</f>
        <v/>
      </c>
      <c r="G963" s="43"/>
      <c r="H963" s="40" t="str" cm="1">
        <f t="array" ref="H963">IFERROR(INDEX(DB!P$2:P$2576,T963),"")</f>
        <v/>
      </c>
      <c r="I963" s="43"/>
      <c r="J963" s="53" t="str" cm="1">
        <f t="array" ref="J963">IFERROR(INDEX(DB!Q$2:Q$2576,T963),"")</f>
        <v/>
      </c>
      <c r="K963" s="43"/>
      <c r="L963" s="41" t="str" cm="1">
        <f t="array" ref="L963">IFERROR(INDEX(DB!R$2:R$2576,T963),"")</f>
        <v/>
      </c>
      <c r="M963" s="43"/>
      <c r="P963" t="str" cm="1">
        <f t="array" ref="P963">IFERROR(_xlfn.AGGREGATE(15,6,ROW(DB!A$2:A$2576)/((($D$3&lt;&gt;"YES")+($D$3="YES")*(DB!E$2:E$2576="YES"))*(($D$4="")+($D$4&lt;&gt;"")*( DB!B$2:B$2576=$D$4))*(($D$5="")+($D$5&lt;&gt;"")*( DB!C$2:C$2576=$D$5))*(($D$6="")+($D$6&lt;&gt;"")*( DB!D$2:D$2576=$D$6))*(($D$7="")+($D$7&lt;&gt;"")*(ISNUMBER(SEARCH($D$7,DB!G$2:G$2576))))*(($F$7="전체")+($F$7&lt;&gt;"전체")*(DB!H$2:H$2576=$F$7))),ROW()-13)-1,"")</f>
        <v/>
      </c>
      <c r="Q963" t="str" cm="1">
        <f t="array" ref="Q963">IFERROR(INDEX(DB!G$2:G$2576,P963),"")</f>
        <v/>
      </c>
      <c r="R963" t="str" cm="1">
        <f t="array" ref="R963">IFERROR(INDEX(DB!O$2:O$2576,P963),"")</f>
        <v/>
      </c>
      <c r="S963" t="str">
        <f t="shared" si="45"/>
        <v/>
      </c>
      <c r="T963" t="str">
        <f t="shared" si="46"/>
        <v/>
      </c>
    </row>
    <row r="964" spans="1:20" ht="100" customHeight="1">
      <c r="A964" s="26"/>
      <c r="B964" s="39" t="str">
        <f t="shared" si="44"/>
        <v/>
      </c>
      <c r="C964" s="43"/>
      <c r="D964" s="51" t="str" cm="1">
        <f t="array" ref="D964">IFERROR(INDEX(DB!G$2:G$2576,T964),"")</f>
        <v/>
      </c>
      <c r="E964" s="43"/>
      <c r="F964" s="52" t="str" cm="1">
        <f t="array" ref="F964">IFERROR(INDEX(DB!O$2:O$2576,T964),"")</f>
        <v/>
      </c>
      <c r="G964" s="43"/>
      <c r="H964" s="40" t="str" cm="1">
        <f t="array" ref="H964">IFERROR(INDEX(DB!P$2:P$2576,T964),"")</f>
        <v/>
      </c>
      <c r="I964" s="43"/>
      <c r="J964" s="53" t="str" cm="1">
        <f t="array" ref="J964">IFERROR(INDEX(DB!Q$2:Q$2576,T964),"")</f>
        <v/>
      </c>
      <c r="K964" s="43"/>
      <c r="L964" s="41" t="str" cm="1">
        <f t="array" ref="L964">IFERROR(INDEX(DB!R$2:R$2576,T964),"")</f>
        <v/>
      </c>
      <c r="M964" s="43"/>
      <c r="P964" t="str" cm="1">
        <f t="array" ref="P964">IFERROR(_xlfn.AGGREGATE(15,6,ROW(DB!A$2:A$2576)/((($D$3&lt;&gt;"YES")+($D$3="YES")*(DB!E$2:E$2576="YES"))*(($D$4="")+($D$4&lt;&gt;"")*( DB!B$2:B$2576=$D$4))*(($D$5="")+($D$5&lt;&gt;"")*( DB!C$2:C$2576=$D$5))*(($D$6="")+($D$6&lt;&gt;"")*( DB!D$2:D$2576=$D$6))*(($D$7="")+($D$7&lt;&gt;"")*(ISNUMBER(SEARCH($D$7,DB!G$2:G$2576))))*(($F$7="전체")+($F$7&lt;&gt;"전체")*(DB!H$2:H$2576=$F$7))),ROW()-13)-1,"")</f>
        <v/>
      </c>
      <c r="Q964" t="str" cm="1">
        <f t="array" ref="Q964">IFERROR(INDEX(DB!G$2:G$2576,P964),"")</f>
        <v/>
      </c>
      <c r="R964" t="str" cm="1">
        <f t="array" ref="R964">IFERROR(INDEX(DB!O$2:O$2576,P964),"")</f>
        <v/>
      </c>
      <c r="S964" t="str">
        <f t="shared" si="45"/>
        <v/>
      </c>
      <c r="T964" t="str">
        <f t="shared" si="46"/>
        <v/>
      </c>
    </row>
    <row r="965" spans="1:20" ht="100" customHeight="1">
      <c r="A965" s="26"/>
      <c r="B965" s="42" t="str">
        <f t="shared" si="44"/>
        <v/>
      </c>
      <c r="C965" s="43"/>
      <c r="D965" s="51" t="str" cm="1">
        <f t="array" ref="D965">IFERROR(INDEX(DB!G$2:G$2576,T965),"")</f>
        <v/>
      </c>
      <c r="E965" s="43"/>
      <c r="F965" s="52" t="str" cm="1">
        <f t="array" ref="F965">IFERROR(INDEX(DB!O$2:O$2576,T965),"")</f>
        <v/>
      </c>
      <c r="G965" s="43"/>
      <c r="H965" s="40" t="str" cm="1">
        <f t="array" ref="H965">IFERROR(INDEX(DB!P$2:P$2576,T965),"")</f>
        <v/>
      </c>
      <c r="I965" s="43"/>
      <c r="J965" s="53" t="str" cm="1">
        <f t="array" ref="J965">IFERROR(INDEX(DB!Q$2:Q$2576,T965),"")</f>
        <v/>
      </c>
      <c r="K965" s="43"/>
      <c r="L965" s="41" t="str" cm="1">
        <f t="array" ref="L965">IFERROR(INDEX(DB!R$2:R$2576,T965),"")</f>
        <v/>
      </c>
      <c r="M965" s="43"/>
      <c r="P965" t="str" cm="1">
        <f t="array" ref="P965">IFERROR(_xlfn.AGGREGATE(15,6,ROW(DB!A$2:A$2576)/((($D$3&lt;&gt;"YES")+($D$3="YES")*(DB!E$2:E$2576="YES"))*(($D$4="")+($D$4&lt;&gt;"")*( DB!B$2:B$2576=$D$4))*(($D$5="")+($D$5&lt;&gt;"")*( DB!C$2:C$2576=$D$5))*(($D$6="")+($D$6&lt;&gt;"")*( DB!D$2:D$2576=$D$6))*(($D$7="")+($D$7&lt;&gt;"")*(ISNUMBER(SEARCH($D$7,DB!G$2:G$2576))))*(($F$7="전체")+($F$7&lt;&gt;"전체")*(DB!H$2:H$2576=$F$7))),ROW()-13)-1,"")</f>
        <v/>
      </c>
      <c r="Q965" t="str" cm="1">
        <f t="array" ref="Q965">IFERROR(INDEX(DB!G$2:G$2576,P965),"")</f>
        <v/>
      </c>
      <c r="R965" t="str" cm="1">
        <f t="array" ref="R965">IFERROR(INDEX(DB!O$2:O$2576,P965),"")</f>
        <v/>
      </c>
      <c r="S965" t="str">
        <f t="shared" si="45"/>
        <v/>
      </c>
      <c r="T965" t="str">
        <f t="shared" si="46"/>
        <v/>
      </c>
    </row>
    <row r="966" spans="1:20" ht="100" customHeight="1">
      <c r="A966" s="26"/>
      <c r="B966" s="39" t="str">
        <f t="shared" si="44"/>
        <v/>
      </c>
      <c r="C966" s="43"/>
      <c r="D966" s="51" t="str" cm="1">
        <f t="array" ref="D966">IFERROR(INDEX(DB!G$2:G$2576,T966),"")</f>
        <v/>
      </c>
      <c r="E966" s="43"/>
      <c r="F966" s="52" t="str" cm="1">
        <f t="array" ref="F966">IFERROR(INDEX(DB!O$2:O$2576,T966),"")</f>
        <v/>
      </c>
      <c r="G966" s="43"/>
      <c r="H966" s="40" t="str" cm="1">
        <f t="array" ref="H966">IFERROR(INDEX(DB!P$2:P$2576,T966),"")</f>
        <v/>
      </c>
      <c r="I966" s="43"/>
      <c r="J966" s="53" t="str" cm="1">
        <f t="array" ref="J966">IFERROR(INDEX(DB!Q$2:Q$2576,T966),"")</f>
        <v/>
      </c>
      <c r="K966" s="43"/>
      <c r="L966" s="41" t="str" cm="1">
        <f t="array" ref="L966">IFERROR(INDEX(DB!R$2:R$2576,T966),"")</f>
        <v/>
      </c>
      <c r="M966" s="43"/>
      <c r="P966" t="str" cm="1">
        <f t="array" ref="P966">IFERROR(_xlfn.AGGREGATE(15,6,ROW(DB!A$2:A$2576)/((($D$3&lt;&gt;"YES")+($D$3="YES")*(DB!E$2:E$2576="YES"))*(($D$4="")+($D$4&lt;&gt;"")*( DB!B$2:B$2576=$D$4))*(($D$5="")+($D$5&lt;&gt;"")*( DB!C$2:C$2576=$D$5))*(($D$6="")+($D$6&lt;&gt;"")*( DB!D$2:D$2576=$D$6))*(($D$7="")+($D$7&lt;&gt;"")*(ISNUMBER(SEARCH($D$7,DB!G$2:G$2576))))*(($F$7="전체")+($F$7&lt;&gt;"전체")*(DB!H$2:H$2576=$F$7))),ROW()-13)-1,"")</f>
        <v/>
      </c>
      <c r="Q966" t="str" cm="1">
        <f t="array" ref="Q966">IFERROR(INDEX(DB!G$2:G$2576,P966),"")</f>
        <v/>
      </c>
      <c r="R966" t="str" cm="1">
        <f t="array" ref="R966">IFERROR(INDEX(DB!O$2:O$2576,P966),"")</f>
        <v/>
      </c>
      <c r="S966" t="str">
        <f t="shared" si="45"/>
        <v/>
      </c>
      <c r="T966" t="str">
        <f t="shared" si="46"/>
        <v/>
      </c>
    </row>
    <row r="967" spans="1:20" ht="100" customHeight="1">
      <c r="A967" s="26"/>
      <c r="B967" s="42" t="str">
        <f t="shared" si="44"/>
        <v/>
      </c>
      <c r="C967" s="43"/>
      <c r="D967" s="51" t="str" cm="1">
        <f t="array" ref="D967">IFERROR(INDEX(DB!G$2:G$2576,T967),"")</f>
        <v/>
      </c>
      <c r="E967" s="43"/>
      <c r="F967" s="52" t="str" cm="1">
        <f t="array" ref="F967">IFERROR(INDEX(DB!O$2:O$2576,T967),"")</f>
        <v/>
      </c>
      <c r="G967" s="43"/>
      <c r="H967" s="40" t="str" cm="1">
        <f t="array" ref="H967">IFERROR(INDEX(DB!P$2:P$2576,T967),"")</f>
        <v/>
      </c>
      <c r="I967" s="43"/>
      <c r="J967" s="53" t="str" cm="1">
        <f t="array" ref="J967">IFERROR(INDEX(DB!Q$2:Q$2576,T967),"")</f>
        <v/>
      </c>
      <c r="K967" s="43"/>
      <c r="L967" s="41" t="str" cm="1">
        <f t="array" ref="L967">IFERROR(INDEX(DB!R$2:R$2576,T967),"")</f>
        <v/>
      </c>
      <c r="M967" s="43"/>
      <c r="P967" t="str" cm="1">
        <f t="array" ref="P967">IFERROR(_xlfn.AGGREGATE(15,6,ROW(DB!A$2:A$2576)/((($D$3&lt;&gt;"YES")+($D$3="YES")*(DB!E$2:E$2576="YES"))*(($D$4="")+($D$4&lt;&gt;"")*( DB!B$2:B$2576=$D$4))*(($D$5="")+($D$5&lt;&gt;"")*( DB!C$2:C$2576=$D$5))*(($D$6="")+($D$6&lt;&gt;"")*( DB!D$2:D$2576=$D$6))*(($D$7="")+($D$7&lt;&gt;"")*(ISNUMBER(SEARCH($D$7,DB!G$2:G$2576))))*(($F$7="전체")+($F$7&lt;&gt;"전체")*(DB!H$2:H$2576=$F$7))),ROW()-13)-1,"")</f>
        <v/>
      </c>
      <c r="Q967" t="str" cm="1">
        <f t="array" ref="Q967">IFERROR(INDEX(DB!G$2:G$2576,P967),"")</f>
        <v/>
      </c>
      <c r="R967" t="str" cm="1">
        <f t="array" ref="R967">IFERROR(INDEX(DB!O$2:O$2576,P967),"")</f>
        <v/>
      </c>
      <c r="S967" t="str">
        <f t="shared" si="45"/>
        <v/>
      </c>
      <c r="T967" t="str">
        <f t="shared" si="46"/>
        <v/>
      </c>
    </row>
    <row r="968" spans="1:20" ht="100" customHeight="1">
      <c r="A968" s="26"/>
      <c r="B968" s="39" t="str">
        <f t="shared" si="44"/>
        <v/>
      </c>
      <c r="C968" s="43"/>
      <c r="D968" s="51" t="str" cm="1">
        <f t="array" ref="D968">IFERROR(INDEX(DB!G$2:G$2576,T968),"")</f>
        <v/>
      </c>
      <c r="E968" s="43"/>
      <c r="F968" s="52" t="str" cm="1">
        <f t="array" ref="F968">IFERROR(INDEX(DB!O$2:O$2576,T968),"")</f>
        <v/>
      </c>
      <c r="G968" s="43"/>
      <c r="H968" s="40" t="str" cm="1">
        <f t="array" ref="H968">IFERROR(INDEX(DB!P$2:P$2576,T968),"")</f>
        <v/>
      </c>
      <c r="I968" s="43"/>
      <c r="J968" s="53" t="str" cm="1">
        <f t="array" ref="J968">IFERROR(INDEX(DB!Q$2:Q$2576,T968),"")</f>
        <v/>
      </c>
      <c r="K968" s="43"/>
      <c r="L968" s="41" t="str" cm="1">
        <f t="array" ref="L968">IFERROR(INDEX(DB!R$2:R$2576,T968),"")</f>
        <v/>
      </c>
      <c r="M968" s="43"/>
      <c r="P968" t="str" cm="1">
        <f t="array" ref="P968">IFERROR(_xlfn.AGGREGATE(15,6,ROW(DB!A$2:A$2576)/((($D$3&lt;&gt;"YES")+($D$3="YES")*(DB!E$2:E$2576="YES"))*(($D$4="")+($D$4&lt;&gt;"")*( DB!B$2:B$2576=$D$4))*(($D$5="")+($D$5&lt;&gt;"")*( DB!C$2:C$2576=$D$5))*(($D$6="")+($D$6&lt;&gt;"")*( DB!D$2:D$2576=$D$6))*(($D$7="")+($D$7&lt;&gt;"")*(ISNUMBER(SEARCH($D$7,DB!G$2:G$2576))))*(($F$7="전체")+($F$7&lt;&gt;"전체")*(DB!H$2:H$2576=$F$7))),ROW()-13)-1,"")</f>
        <v/>
      </c>
      <c r="Q968" t="str" cm="1">
        <f t="array" ref="Q968">IFERROR(INDEX(DB!G$2:G$2576,P968),"")</f>
        <v/>
      </c>
      <c r="R968" t="str" cm="1">
        <f t="array" ref="R968">IFERROR(INDEX(DB!O$2:O$2576,P968),"")</f>
        <v/>
      </c>
      <c r="S968" t="str">
        <f t="shared" si="45"/>
        <v/>
      </c>
      <c r="T968" t="str">
        <f t="shared" si="46"/>
        <v/>
      </c>
    </row>
    <row r="969" spans="1:20" ht="100" customHeight="1">
      <c r="A969" s="26"/>
      <c r="B969" s="42" t="str">
        <f t="shared" si="44"/>
        <v/>
      </c>
      <c r="C969" s="43"/>
      <c r="D969" s="51" t="str" cm="1">
        <f t="array" ref="D969">IFERROR(INDEX(DB!G$2:G$2576,T969),"")</f>
        <v/>
      </c>
      <c r="E969" s="43"/>
      <c r="F969" s="52" t="str" cm="1">
        <f t="array" ref="F969">IFERROR(INDEX(DB!O$2:O$2576,T969),"")</f>
        <v/>
      </c>
      <c r="G969" s="43"/>
      <c r="H969" s="40" t="str" cm="1">
        <f t="array" ref="H969">IFERROR(INDEX(DB!P$2:P$2576,T969),"")</f>
        <v/>
      </c>
      <c r="I969" s="43"/>
      <c r="J969" s="53" t="str" cm="1">
        <f t="array" ref="J969">IFERROR(INDEX(DB!Q$2:Q$2576,T969),"")</f>
        <v/>
      </c>
      <c r="K969" s="43"/>
      <c r="L969" s="41" t="str" cm="1">
        <f t="array" ref="L969">IFERROR(INDEX(DB!R$2:R$2576,T969),"")</f>
        <v/>
      </c>
      <c r="M969" s="43"/>
      <c r="P969" t="str" cm="1">
        <f t="array" ref="P969">IFERROR(_xlfn.AGGREGATE(15,6,ROW(DB!A$2:A$2576)/((($D$3&lt;&gt;"YES")+($D$3="YES")*(DB!E$2:E$2576="YES"))*(($D$4="")+($D$4&lt;&gt;"")*( DB!B$2:B$2576=$D$4))*(($D$5="")+($D$5&lt;&gt;"")*( DB!C$2:C$2576=$D$5))*(($D$6="")+($D$6&lt;&gt;"")*( DB!D$2:D$2576=$D$6))*(($D$7="")+($D$7&lt;&gt;"")*(ISNUMBER(SEARCH($D$7,DB!G$2:G$2576))))*(($F$7="전체")+($F$7&lt;&gt;"전체")*(DB!H$2:H$2576=$F$7))),ROW()-13)-1,"")</f>
        <v/>
      </c>
      <c r="Q969" t="str" cm="1">
        <f t="array" ref="Q969">IFERROR(INDEX(DB!G$2:G$2576,P969),"")</f>
        <v/>
      </c>
      <c r="R969" t="str" cm="1">
        <f t="array" ref="R969">IFERROR(INDEX(DB!O$2:O$2576,P969),"")</f>
        <v/>
      </c>
      <c r="S969" t="str">
        <f t="shared" si="45"/>
        <v/>
      </c>
      <c r="T969" t="str">
        <f t="shared" si="46"/>
        <v/>
      </c>
    </row>
    <row r="970" spans="1:20" ht="100" customHeight="1">
      <c r="A970" s="26"/>
      <c r="B970" s="39" t="str">
        <f t="shared" si="44"/>
        <v/>
      </c>
      <c r="C970" s="43"/>
      <c r="D970" s="51" t="str" cm="1">
        <f t="array" ref="D970">IFERROR(INDEX(DB!G$2:G$2576,T970),"")</f>
        <v/>
      </c>
      <c r="E970" s="43"/>
      <c r="F970" s="52" t="str" cm="1">
        <f t="array" ref="F970">IFERROR(INDEX(DB!O$2:O$2576,T970),"")</f>
        <v/>
      </c>
      <c r="G970" s="43"/>
      <c r="H970" s="40" t="str" cm="1">
        <f t="array" ref="H970">IFERROR(INDEX(DB!P$2:P$2576,T970),"")</f>
        <v/>
      </c>
      <c r="I970" s="43"/>
      <c r="J970" s="53" t="str" cm="1">
        <f t="array" ref="J970">IFERROR(INDEX(DB!Q$2:Q$2576,T970),"")</f>
        <v/>
      </c>
      <c r="K970" s="43"/>
      <c r="L970" s="41" t="str" cm="1">
        <f t="array" ref="L970">IFERROR(INDEX(DB!R$2:R$2576,T970),"")</f>
        <v/>
      </c>
      <c r="M970" s="43"/>
      <c r="P970" t="str" cm="1">
        <f t="array" ref="P970">IFERROR(_xlfn.AGGREGATE(15,6,ROW(DB!A$2:A$2576)/((($D$3&lt;&gt;"YES")+($D$3="YES")*(DB!E$2:E$2576="YES"))*(($D$4="")+($D$4&lt;&gt;"")*( DB!B$2:B$2576=$D$4))*(($D$5="")+($D$5&lt;&gt;"")*( DB!C$2:C$2576=$D$5))*(($D$6="")+($D$6&lt;&gt;"")*( DB!D$2:D$2576=$D$6))*(($D$7="")+($D$7&lt;&gt;"")*(ISNUMBER(SEARCH($D$7,DB!G$2:G$2576))))*(($F$7="전체")+($F$7&lt;&gt;"전체")*(DB!H$2:H$2576=$F$7))),ROW()-13)-1,"")</f>
        <v/>
      </c>
      <c r="Q970" t="str" cm="1">
        <f t="array" ref="Q970">IFERROR(INDEX(DB!G$2:G$2576,P970),"")</f>
        <v/>
      </c>
      <c r="R970" t="str" cm="1">
        <f t="array" ref="R970">IFERROR(INDEX(DB!O$2:O$2576,P970),"")</f>
        <v/>
      </c>
      <c r="S970" t="str">
        <f t="shared" si="45"/>
        <v/>
      </c>
      <c r="T970" t="str">
        <f t="shared" si="46"/>
        <v/>
      </c>
    </row>
    <row r="971" spans="1:20" ht="100" customHeight="1">
      <c r="A971" s="26"/>
      <c r="B971" s="42" t="str">
        <f t="shared" si="44"/>
        <v/>
      </c>
      <c r="C971" s="43"/>
      <c r="D971" s="51" t="str" cm="1">
        <f t="array" ref="D971">IFERROR(INDEX(DB!G$2:G$2576,T971),"")</f>
        <v/>
      </c>
      <c r="E971" s="43"/>
      <c r="F971" s="52" t="str" cm="1">
        <f t="array" ref="F971">IFERROR(INDEX(DB!O$2:O$2576,T971),"")</f>
        <v/>
      </c>
      <c r="G971" s="43"/>
      <c r="H971" s="40" t="str" cm="1">
        <f t="array" ref="H971">IFERROR(INDEX(DB!P$2:P$2576,T971),"")</f>
        <v/>
      </c>
      <c r="I971" s="43"/>
      <c r="J971" s="53" t="str" cm="1">
        <f t="array" ref="J971">IFERROR(INDEX(DB!Q$2:Q$2576,T971),"")</f>
        <v/>
      </c>
      <c r="K971" s="43"/>
      <c r="L971" s="41" t="str" cm="1">
        <f t="array" ref="L971">IFERROR(INDEX(DB!R$2:R$2576,T971),"")</f>
        <v/>
      </c>
      <c r="M971" s="43"/>
      <c r="P971" t="str" cm="1">
        <f t="array" ref="P971">IFERROR(_xlfn.AGGREGATE(15,6,ROW(DB!A$2:A$2576)/((($D$3&lt;&gt;"YES")+($D$3="YES")*(DB!E$2:E$2576="YES"))*(($D$4="")+($D$4&lt;&gt;"")*( DB!B$2:B$2576=$D$4))*(($D$5="")+($D$5&lt;&gt;"")*( DB!C$2:C$2576=$D$5))*(($D$6="")+($D$6&lt;&gt;"")*( DB!D$2:D$2576=$D$6))*(($D$7="")+($D$7&lt;&gt;"")*(ISNUMBER(SEARCH($D$7,DB!G$2:G$2576))))*(($F$7="전체")+($F$7&lt;&gt;"전체")*(DB!H$2:H$2576=$F$7))),ROW()-13)-1,"")</f>
        <v/>
      </c>
      <c r="Q971" t="str" cm="1">
        <f t="array" ref="Q971">IFERROR(INDEX(DB!G$2:G$2576,P971),"")</f>
        <v/>
      </c>
      <c r="R971" t="str" cm="1">
        <f t="array" ref="R971">IFERROR(INDEX(DB!O$2:O$2576,P971),"")</f>
        <v/>
      </c>
      <c r="S971" t="str">
        <f t="shared" si="45"/>
        <v/>
      </c>
      <c r="T971" t="str">
        <f t="shared" si="46"/>
        <v/>
      </c>
    </row>
    <row r="972" spans="1:20" ht="100" customHeight="1">
      <c r="A972" s="26"/>
      <c r="B972" s="39" t="str">
        <f t="shared" si="44"/>
        <v/>
      </c>
      <c r="C972" s="43"/>
      <c r="D972" s="51" t="str" cm="1">
        <f t="array" ref="D972">IFERROR(INDEX(DB!G$2:G$2576,T972),"")</f>
        <v/>
      </c>
      <c r="E972" s="43"/>
      <c r="F972" s="52" t="str" cm="1">
        <f t="array" ref="F972">IFERROR(INDEX(DB!O$2:O$2576,T972),"")</f>
        <v/>
      </c>
      <c r="G972" s="43"/>
      <c r="H972" s="40" t="str" cm="1">
        <f t="array" ref="H972">IFERROR(INDEX(DB!P$2:P$2576,T972),"")</f>
        <v/>
      </c>
      <c r="I972" s="43"/>
      <c r="J972" s="53" t="str" cm="1">
        <f t="array" ref="J972">IFERROR(INDEX(DB!Q$2:Q$2576,T972),"")</f>
        <v/>
      </c>
      <c r="K972" s="43"/>
      <c r="L972" s="41" t="str" cm="1">
        <f t="array" ref="L972">IFERROR(INDEX(DB!R$2:R$2576,T972),"")</f>
        <v/>
      </c>
      <c r="M972" s="43"/>
      <c r="P972" t="str" cm="1">
        <f t="array" ref="P972">IFERROR(_xlfn.AGGREGATE(15,6,ROW(DB!A$2:A$2576)/((($D$3&lt;&gt;"YES")+($D$3="YES")*(DB!E$2:E$2576="YES"))*(($D$4="")+($D$4&lt;&gt;"")*( DB!B$2:B$2576=$D$4))*(($D$5="")+($D$5&lt;&gt;"")*( DB!C$2:C$2576=$D$5))*(($D$6="")+($D$6&lt;&gt;"")*( DB!D$2:D$2576=$D$6))*(($D$7="")+($D$7&lt;&gt;"")*(ISNUMBER(SEARCH($D$7,DB!G$2:G$2576))))*(($F$7="전체")+($F$7&lt;&gt;"전체")*(DB!H$2:H$2576=$F$7))),ROW()-13)-1,"")</f>
        <v/>
      </c>
      <c r="Q972" t="str" cm="1">
        <f t="array" ref="Q972">IFERROR(INDEX(DB!G$2:G$2576,P972),"")</f>
        <v/>
      </c>
      <c r="R972" t="str" cm="1">
        <f t="array" ref="R972">IFERROR(INDEX(DB!O$2:O$2576,P972),"")</f>
        <v/>
      </c>
      <c r="S972" t="str">
        <f t="shared" si="45"/>
        <v/>
      </c>
      <c r="T972" t="str">
        <f t="shared" si="46"/>
        <v/>
      </c>
    </row>
    <row r="973" spans="1:20" ht="100" customHeight="1">
      <c r="A973" s="26"/>
      <c r="B973" s="42" t="str">
        <f t="shared" si="44"/>
        <v/>
      </c>
      <c r="C973" s="43"/>
      <c r="D973" s="51" t="str" cm="1">
        <f t="array" ref="D973">IFERROR(INDEX(DB!G$2:G$2576,T973),"")</f>
        <v/>
      </c>
      <c r="E973" s="43"/>
      <c r="F973" s="52" t="str" cm="1">
        <f t="array" ref="F973">IFERROR(INDEX(DB!O$2:O$2576,T973),"")</f>
        <v/>
      </c>
      <c r="G973" s="43"/>
      <c r="H973" s="40" t="str" cm="1">
        <f t="array" ref="H973">IFERROR(INDEX(DB!P$2:P$2576,T973),"")</f>
        <v/>
      </c>
      <c r="I973" s="43"/>
      <c r="J973" s="53" t="str" cm="1">
        <f t="array" ref="J973">IFERROR(INDEX(DB!Q$2:Q$2576,T973),"")</f>
        <v/>
      </c>
      <c r="K973" s="43"/>
      <c r="L973" s="41" t="str" cm="1">
        <f t="array" ref="L973">IFERROR(INDEX(DB!R$2:R$2576,T973),"")</f>
        <v/>
      </c>
      <c r="M973" s="43"/>
      <c r="P973" t="str" cm="1">
        <f t="array" ref="P973">IFERROR(_xlfn.AGGREGATE(15,6,ROW(DB!A$2:A$2576)/((($D$3&lt;&gt;"YES")+($D$3="YES")*(DB!E$2:E$2576="YES"))*(($D$4="")+($D$4&lt;&gt;"")*( DB!B$2:B$2576=$D$4))*(($D$5="")+($D$5&lt;&gt;"")*( DB!C$2:C$2576=$D$5))*(($D$6="")+($D$6&lt;&gt;"")*( DB!D$2:D$2576=$D$6))*(($D$7="")+($D$7&lt;&gt;"")*(ISNUMBER(SEARCH($D$7,DB!G$2:G$2576))))*(($F$7="전체")+($F$7&lt;&gt;"전체")*(DB!H$2:H$2576=$F$7))),ROW()-13)-1,"")</f>
        <v/>
      </c>
      <c r="Q973" t="str" cm="1">
        <f t="array" ref="Q973">IFERROR(INDEX(DB!G$2:G$2576,P973),"")</f>
        <v/>
      </c>
      <c r="R973" t="str" cm="1">
        <f t="array" ref="R973">IFERROR(INDEX(DB!O$2:O$2576,P973),"")</f>
        <v/>
      </c>
      <c r="S973" t="str">
        <f t="shared" si="45"/>
        <v/>
      </c>
      <c r="T973" t="str">
        <f t="shared" si="46"/>
        <v/>
      </c>
    </row>
    <row r="974" spans="1:20" ht="100" customHeight="1">
      <c r="A974" s="26"/>
      <c r="B974" s="39" t="str">
        <f t="shared" si="44"/>
        <v/>
      </c>
      <c r="C974" s="43"/>
      <c r="D974" s="51" t="str" cm="1">
        <f t="array" ref="D974">IFERROR(INDEX(DB!G$2:G$2576,T974),"")</f>
        <v/>
      </c>
      <c r="E974" s="43"/>
      <c r="F974" s="52" t="str" cm="1">
        <f t="array" ref="F974">IFERROR(INDEX(DB!O$2:O$2576,T974),"")</f>
        <v/>
      </c>
      <c r="G974" s="43"/>
      <c r="H974" s="40" t="str" cm="1">
        <f t="array" ref="H974">IFERROR(INDEX(DB!P$2:P$2576,T974),"")</f>
        <v/>
      </c>
      <c r="I974" s="43"/>
      <c r="J974" s="53" t="str" cm="1">
        <f t="array" ref="J974">IFERROR(INDEX(DB!Q$2:Q$2576,T974),"")</f>
        <v/>
      </c>
      <c r="K974" s="43"/>
      <c r="L974" s="41" t="str" cm="1">
        <f t="array" ref="L974">IFERROR(INDEX(DB!R$2:R$2576,T974),"")</f>
        <v/>
      </c>
      <c r="M974" s="43"/>
      <c r="P974" t="str" cm="1">
        <f t="array" ref="P974">IFERROR(_xlfn.AGGREGATE(15,6,ROW(DB!A$2:A$2576)/((($D$3&lt;&gt;"YES")+($D$3="YES")*(DB!E$2:E$2576="YES"))*(($D$4="")+($D$4&lt;&gt;"")*( DB!B$2:B$2576=$D$4))*(($D$5="")+($D$5&lt;&gt;"")*( DB!C$2:C$2576=$D$5))*(($D$6="")+($D$6&lt;&gt;"")*( DB!D$2:D$2576=$D$6))*(($D$7="")+($D$7&lt;&gt;"")*(ISNUMBER(SEARCH($D$7,DB!G$2:G$2576))))*(($F$7="전체")+($F$7&lt;&gt;"전체")*(DB!H$2:H$2576=$F$7))),ROW()-13)-1,"")</f>
        <v/>
      </c>
      <c r="Q974" t="str" cm="1">
        <f t="array" ref="Q974">IFERROR(INDEX(DB!G$2:G$2576,P974),"")</f>
        <v/>
      </c>
      <c r="R974" t="str" cm="1">
        <f t="array" ref="R974">IFERROR(INDEX(DB!O$2:O$2576,P974),"")</f>
        <v/>
      </c>
      <c r="S974" t="str">
        <f t="shared" si="45"/>
        <v/>
      </c>
      <c r="T974" t="str">
        <f t="shared" si="46"/>
        <v/>
      </c>
    </row>
    <row r="975" spans="1:20" ht="100" customHeight="1">
      <c r="A975" s="26"/>
      <c r="B975" s="42" t="str">
        <f t="shared" ref="B975:B1038" si="47">IFERROR(IF(T975="","",ROW()-13),"")</f>
        <v/>
      </c>
      <c r="C975" s="43"/>
      <c r="D975" s="51" t="str" cm="1">
        <f t="array" ref="D975">IFERROR(INDEX(DB!G$2:G$2576,T975),"")</f>
        <v/>
      </c>
      <c r="E975" s="43"/>
      <c r="F975" s="52" t="str" cm="1">
        <f t="array" ref="F975">IFERROR(INDEX(DB!O$2:O$2576,T975),"")</f>
        <v/>
      </c>
      <c r="G975" s="43"/>
      <c r="H975" s="40" t="str" cm="1">
        <f t="array" ref="H975">IFERROR(INDEX(DB!P$2:P$2576,T975),"")</f>
        <v/>
      </c>
      <c r="I975" s="43"/>
      <c r="J975" s="53" t="str" cm="1">
        <f t="array" ref="J975">IFERROR(INDEX(DB!Q$2:Q$2576,T975),"")</f>
        <v/>
      </c>
      <c r="K975" s="43"/>
      <c r="L975" s="41" t="str" cm="1">
        <f t="array" ref="L975">IFERROR(INDEX(DB!R$2:R$2576,T975),"")</f>
        <v/>
      </c>
      <c r="M975" s="43"/>
      <c r="P975" t="str" cm="1">
        <f t="array" ref="P975">IFERROR(_xlfn.AGGREGATE(15,6,ROW(DB!A$2:A$2576)/((($D$3&lt;&gt;"YES")+($D$3="YES")*(DB!E$2:E$2576="YES"))*(($D$4="")+($D$4&lt;&gt;"")*( DB!B$2:B$2576=$D$4))*(($D$5="")+($D$5&lt;&gt;"")*( DB!C$2:C$2576=$D$5))*(($D$6="")+($D$6&lt;&gt;"")*( DB!D$2:D$2576=$D$6))*(($D$7="")+($D$7&lt;&gt;"")*(ISNUMBER(SEARCH($D$7,DB!G$2:G$2576))))*(($F$7="전체")+($F$7&lt;&gt;"전체")*(DB!H$2:H$2576=$F$7))),ROW()-13)-1,"")</f>
        <v/>
      </c>
      <c r="Q975" t="str" cm="1">
        <f t="array" ref="Q975">IFERROR(INDEX(DB!G$2:G$2576,P975),"")</f>
        <v/>
      </c>
      <c r="R975" t="str" cm="1">
        <f t="array" ref="R975">IFERROR(INDEX(DB!O$2:O$2576,P975),"")</f>
        <v/>
      </c>
      <c r="S975" t="str">
        <f t="shared" ref="S975:S1038" si="48">IF(P975="","",COUNTIF($Q$14:$Q$2587,"&lt;"&amp;Q975)*100+COUNTIF($R$14:$R$2587,"&lt;"&amp;R975)+(ROW()-13)*0.001)</f>
        <v/>
      </c>
      <c r="T975" t="str">
        <f t="shared" ref="T975:T1038" si="49">IFERROR(INDEX($P$14:$P$2587,MATCH(SMALL($S$14:$S$2587,ROW()-13),$S$14:$S$2587,0)),"")</f>
        <v/>
      </c>
    </row>
    <row r="976" spans="1:20" ht="100" customHeight="1">
      <c r="A976" s="26"/>
      <c r="B976" s="39" t="str">
        <f t="shared" si="47"/>
        <v/>
      </c>
      <c r="C976" s="43"/>
      <c r="D976" s="51" t="str" cm="1">
        <f t="array" ref="D976">IFERROR(INDEX(DB!G$2:G$2576,T976),"")</f>
        <v/>
      </c>
      <c r="E976" s="43"/>
      <c r="F976" s="52" t="str" cm="1">
        <f t="array" ref="F976">IFERROR(INDEX(DB!O$2:O$2576,T976),"")</f>
        <v/>
      </c>
      <c r="G976" s="43"/>
      <c r="H976" s="40" t="str" cm="1">
        <f t="array" ref="H976">IFERROR(INDEX(DB!P$2:P$2576,T976),"")</f>
        <v/>
      </c>
      <c r="I976" s="43"/>
      <c r="J976" s="53" t="str" cm="1">
        <f t="array" ref="J976">IFERROR(INDEX(DB!Q$2:Q$2576,T976),"")</f>
        <v/>
      </c>
      <c r="K976" s="43"/>
      <c r="L976" s="41" t="str" cm="1">
        <f t="array" ref="L976">IFERROR(INDEX(DB!R$2:R$2576,T976),"")</f>
        <v/>
      </c>
      <c r="M976" s="43"/>
      <c r="P976" t="str" cm="1">
        <f t="array" ref="P976">IFERROR(_xlfn.AGGREGATE(15,6,ROW(DB!A$2:A$2576)/((($D$3&lt;&gt;"YES")+($D$3="YES")*(DB!E$2:E$2576="YES"))*(($D$4="")+($D$4&lt;&gt;"")*( DB!B$2:B$2576=$D$4))*(($D$5="")+($D$5&lt;&gt;"")*( DB!C$2:C$2576=$D$5))*(($D$6="")+($D$6&lt;&gt;"")*( DB!D$2:D$2576=$D$6))*(($D$7="")+($D$7&lt;&gt;"")*(ISNUMBER(SEARCH($D$7,DB!G$2:G$2576))))*(($F$7="전체")+($F$7&lt;&gt;"전체")*(DB!H$2:H$2576=$F$7))),ROW()-13)-1,"")</f>
        <v/>
      </c>
      <c r="Q976" t="str" cm="1">
        <f t="array" ref="Q976">IFERROR(INDEX(DB!G$2:G$2576,P976),"")</f>
        <v/>
      </c>
      <c r="R976" t="str" cm="1">
        <f t="array" ref="R976">IFERROR(INDEX(DB!O$2:O$2576,P976),"")</f>
        <v/>
      </c>
      <c r="S976" t="str">
        <f t="shared" si="48"/>
        <v/>
      </c>
      <c r="T976" t="str">
        <f t="shared" si="49"/>
        <v/>
      </c>
    </row>
    <row r="977" spans="1:20" ht="100" customHeight="1">
      <c r="A977" s="26"/>
      <c r="B977" s="42" t="str">
        <f t="shared" si="47"/>
        <v/>
      </c>
      <c r="C977" s="43"/>
      <c r="D977" s="51" t="str" cm="1">
        <f t="array" ref="D977">IFERROR(INDEX(DB!G$2:G$2576,T977),"")</f>
        <v/>
      </c>
      <c r="E977" s="43"/>
      <c r="F977" s="52" t="str" cm="1">
        <f t="array" ref="F977">IFERROR(INDEX(DB!O$2:O$2576,T977),"")</f>
        <v/>
      </c>
      <c r="G977" s="43"/>
      <c r="H977" s="40" t="str" cm="1">
        <f t="array" ref="H977">IFERROR(INDEX(DB!P$2:P$2576,T977),"")</f>
        <v/>
      </c>
      <c r="I977" s="43"/>
      <c r="J977" s="53" t="str" cm="1">
        <f t="array" ref="J977">IFERROR(INDEX(DB!Q$2:Q$2576,T977),"")</f>
        <v/>
      </c>
      <c r="K977" s="43"/>
      <c r="L977" s="41" t="str" cm="1">
        <f t="array" ref="L977">IFERROR(INDEX(DB!R$2:R$2576,T977),"")</f>
        <v/>
      </c>
      <c r="M977" s="43"/>
      <c r="P977" t="str" cm="1">
        <f t="array" ref="P977">IFERROR(_xlfn.AGGREGATE(15,6,ROW(DB!A$2:A$2576)/((($D$3&lt;&gt;"YES")+($D$3="YES")*(DB!E$2:E$2576="YES"))*(($D$4="")+($D$4&lt;&gt;"")*( DB!B$2:B$2576=$D$4))*(($D$5="")+($D$5&lt;&gt;"")*( DB!C$2:C$2576=$D$5))*(($D$6="")+($D$6&lt;&gt;"")*( DB!D$2:D$2576=$D$6))*(($D$7="")+($D$7&lt;&gt;"")*(ISNUMBER(SEARCH($D$7,DB!G$2:G$2576))))*(($F$7="전체")+($F$7&lt;&gt;"전체")*(DB!H$2:H$2576=$F$7))),ROW()-13)-1,"")</f>
        <v/>
      </c>
      <c r="Q977" t="str" cm="1">
        <f t="array" ref="Q977">IFERROR(INDEX(DB!G$2:G$2576,P977),"")</f>
        <v/>
      </c>
      <c r="R977" t="str" cm="1">
        <f t="array" ref="R977">IFERROR(INDEX(DB!O$2:O$2576,P977),"")</f>
        <v/>
      </c>
      <c r="S977" t="str">
        <f t="shared" si="48"/>
        <v/>
      </c>
      <c r="T977" t="str">
        <f t="shared" si="49"/>
        <v/>
      </c>
    </row>
    <row r="978" spans="1:20" ht="100" customHeight="1">
      <c r="A978" s="26"/>
      <c r="B978" s="39" t="str">
        <f t="shared" si="47"/>
        <v/>
      </c>
      <c r="C978" s="43"/>
      <c r="D978" s="51" t="str" cm="1">
        <f t="array" ref="D978">IFERROR(INDEX(DB!G$2:G$2576,T978),"")</f>
        <v/>
      </c>
      <c r="E978" s="43"/>
      <c r="F978" s="52" t="str" cm="1">
        <f t="array" ref="F978">IFERROR(INDEX(DB!O$2:O$2576,T978),"")</f>
        <v/>
      </c>
      <c r="G978" s="43"/>
      <c r="H978" s="40" t="str" cm="1">
        <f t="array" ref="H978">IFERROR(INDEX(DB!P$2:P$2576,T978),"")</f>
        <v/>
      </c>
      <c r="I978" s="43"/>
      <c r="J978" s="53" t="str" cm="1">
        <f t="array" ref="J978">IFERROR(INDEX(DB!Q$2:Q$2576,T978),"")</f>
        <v/>
      </c>
      <c r="K978" s="43"/>
      <c r="L978" s="41" t="str" cm="1">
        <f t="array" ref="L978">IFERROR(INDEX(DB!R$2:R$2576,T978),"")</f>
        <v/>
      </c>
      <c r="M978" s="43"/>
      <c r="P978" t="str" cm="1">
        <f t="array" ref="P978">IFERROR(_xlfn.AGGREGATE(15,6,ROW(DB!A$2:A$2576)/((($D$3&lt;&gt;"YES")+($D$3="YES")*(DB!E$2:E$2576="YES"))*(($D$4="")+($D$4&lt;&gt;"")*( DB!B$2:B$2576=$D$4))*(($D$5="")+($D$5&lt;&gt;"")*( DB!C$2:C$2576=$D$5))*(($D$6="")+($D$6&lt;&gt;"")*( DB!D$2:D$2576=$D$6))*(($D$7="")+($D$7&lt;&gt;"")*(ISNUMBER(SEARCH($D$7,DB!G$2:G$2576))))*(($F$7="전체")+($F$7&lt;&gt;"전체")*(DB!H$2:H$2576=$F$7))),ROW()-13)-1,"")</f>
        <v/>
      </c>
      <c r="Q978" t="str" cm="1">
        <f t="array" ref="Q978">IFERROR(INDEX(DB!G$2:G$2576,P978),"")</f>
        <v/>
      </c>
      <c r="R978" t="str" cm="1">
        <f t="array" ref="R978">IFERROR(INDEX(DB!O$2:O$2576,P978),"")</f>
        <v/>
      </c>
      <c r="S978" t="str">
        <f t="shared" si="48"/>
        <v/>
      </c>
      <c r="T978" t="str">
        <f t="shared" si="49"/>
        <v/>
      </c>
    </row>
    <row r="979" spans="1:20" ht="100" customHeight="1">
      <c r="A979" s="26"/>
      <c r="B979" s="42" t="str">
        <f t="shared" si="47"/>
        <v/>
      </c>
      <c r="C979" s="43"/>
      <c r="D979" s="51" t="str" cm="1">
        <f t="array" ref="D979">IFERROR(INDEX(DB!G$2:G$2576,T979),"")</f>
        <v/>
      </c>
      <c r="E979" s="43"/>
      <c r="F979" s="52" t="str" cm="1">
        <f t="array" ref="F979">IFERROR(INDEX(DB!O$2:O$2576,T979),"")</f>
        <v/>
      </c>
      <c r="G979" s="43"/>
      <c r="H979" s="40" t="str" cm="1">
        <f t="array" ref="H979">IFERROR(INDEX(DB!P$2:P$2576,T979),"")</f>
        <v/>
      </c>
      <c r="I979" s="43"/>
      <c r="J979" s="53" t="str" cm="1">
        <f t="array" ref="J979">IFERROR(INDEX(DB!Q$2:Q$2576,T979),"")</f>
        <v/>
      </c>
      <c r="K979" s="43"/>
      <c r="L979" s="41" t="str" cm="1">
        <f t="array" ref="L979">IFERROR(INDEX(DB!R$2:R$2576,T979),"")</f>
        <v/>
      </c>
      <c r="M979" s="43"/>
      <c r="P979" t="str" cm="1">
        <f t="array" ref="P979">IFERROR(_xlfn.AGGREGATE(15,6,ROW(DB!A$2:A$2576)/((($D$3&lt;&gt;"YES")+($D$3="YES")*(DB!E$2:E$2576="YES"))*(($D$4="")+($D$4&lt;&gt;"")*( DB!B$2:B$2576=$D$4))*(($D$5="")+($D$5&lt;&gt;"")*( DB!C$2:C$2576=$D$5))*(($D$6="")+($D$6&lt;&gt;"")*( DB!D$2:D$2576=$D$6))*(($D$7="")+($D$7&lt;&gt;"")*(ISNUMBER(SEARCH($D$7,DB!G$2:G$2576))))*(($F$7="전체")+($F$7&lt;&gt;"전체")*(DB!H$2:H$2576=$F$7))),ROW()-13)-1,"")</f>
        <v/>
      </c>
      <c r="Q979" t="str" cm="1">
        <f t="array" ref="Q979">IFERROR(INDEX(DB!G$2:G$2576,P979),"")</f>
        <v/>
      </c>
      <c r="R979" t="str" cm="1">
        <f t="array" ref="R979">IFERROR(INDEX(DB!O$2:O$2576,P979),"")</f>
        <v/>
      </c>
      <c r="S979" t="str">
        <f t="shared" si="48"/>
        <v/>
      </c>
      <c r="T979" t="str">
        <f t="shared" si="49"/>
        <v/>
      </c>
    </row>
    <row r="980" spans="1:20" ht="100" customHeight="1">
      <c r="A980" s="26"/>
      <c r="B980" s="39" t="str">
        <f t="shared" si="47"/>
        <v/>
      </c>
      <c r="C980" s="43"/>
      <c r="D980" s="51" t="str" cm="1">
        <f t="array" ref="D980">IFERROR(INDEX(DB!G$2:G$2576,T980),"")</f>
        <v/>
      </c>
      <c r="E980" s="43"/>
      <c r="F980" s="52" t="str" cm="1">
        <f t="array" ref="F980">IFERROR(INDEX(DB!O$2:O$2576,T980),"")</f>
        <v/>
      </c>
      <c r="G980" s="43"/>
      <c r="H980" s="40" t="str" cm="1">
        <f t="array" ref="H980">IFERROR(INDEX(DB!P$2:P$2576,T980),"")</f>
        <v/>
      </c>
      <c r="I980" s="43"/>
      <c r="J980" s="53" t="str" cm="1">
        <f t="array" ref="J980">IFERROR(INDEX(DB!Q$2:Q$2576,T980),"")</f>
        <v/>
      </c>
      <c r="K980" s="43"/>
      <c r="L980" s="41" t="str" cm="1">
        <f t="array" ref="L980">IFERROR(INDEX(DB!R$2:R$2576,T980),"")</f>
        <v/>
      </c>
      <c r="M980" s="43"/>
      <c r="P980" t="str" cm="1">
        <f t="array" ref="P980">IFERROR(_xlfn.AGGREGATE(15,6,ROW(DB!A$2:A$2576)/((($D$3&lt;&gt;"YES")+($D$3="YES")*(DB!E$2:E$2576="YES"))*(($D$4="")+($D$4&lt;&gt;"")*( DB!B$2:B$2576=$D$4))*(($D$5="")+($D$5&lt;&gt;"")*( DB!C$2:C$2576=$D$5))*(($D$6="")+($D$6&lt;&gt;"")*( DB!D$2:D$2576=$D$6))*(($D$7="")+($D$7&lt;&gt;"")*(ISNUMBER(SEARCH($D$7,DB!G$2:G$2576))))*(($F$7="전체")+($F$7&lt;&gt;"전체")*(DB!H$2:H$2576=$F$7))),ROW()-13)-1,"")</f>
        <v/>
      </c>
      <c r="Q980" t="str" cm="1">
        <f t="array" ref="Q980">IFERROR(INDEX(DB!G$2:G$2576,P980),"")</f>
        <v/>
      </c>
      <c r="R980" t="str" cm="1">
        <f t="array" ref="R980">IFERROR(INDEX(DB!O$2:O$2576,P980),"")</f>
        <v/>
      </c>
      <c r="S980" t="str">
        <f t="shared" si="48"/>
        <v/>
      </c>
      <c r="T980" t="str">
        <f t="shared" si="49"/>
        <v/>
      </c>
    </row>
    <row r="981" spans="1:20" ht="100" customHeight="1">
      <c r="A981" s="26"/>
      <c r="B981" s="42" t="str">
        <f t="shared" si="47"/>
        <v/>
      </c>
      <c r="C981" s="43"/>
      <c r="D981" s="51" t="str" cm="1">
        <f t="array" ref="D981">IFERROR(INDEX(DB!G$2:G$2576,T981),"")</f>
        <v/>
      </c>
      <c r="E981" s="43"/>
      <c r="F981" s="52" t="str" cm="1">
        <f t="array" ref="F981">IFERROR(INDEX(DB!O$2:O$2576,T981),"")</f>
        <v/>
      </c>
      <c r="G981" s="43"/>
      <c r="H981" s="40" t="str" cm="1">
        <f t="array" ref="H981">IFERROR(INDEX(DB!P$2:P$2576,T981),"")</f>
        <v/>
      </c>
      <c r="I981" s="43"/>
      <c r="J981" s="53" t="str" cm="1">
        <f t="array" ref="J981">IFERROR(INDEX(DB!Q$2:Q$2576,T981),"")</f>
        <v/>
      </c>
      <c r="K981" s="43"/>
      <c r="L981" s="41" t="str" cm="1">
        <f t="array" ref="L981">IFERROR(INDEX(DB!R$2:R$2576,T981),"")</f>
        <v/>
      </c>
      <c r="M981" s="43"/>
      <c r="P981" t="str" cm="1">
        <f t="array" ref="P981">IFERROR(_xlfn.AGGREGATE(15,6,ROW(DB!A$2:A$2576)/((($D$3&lt;&gt;"YES")+($D$3="YES")*(DB!E$2:E$2576="YES"))*(($D$4="")+($D$4&lt;&gt;"")*( DB!B$2:B$2576=$D$4))*(($D$5="")+($D$5&lt;&gt;"")*( DB!C$2:C$2576=$D$5))*(($D$6="")+($D$6&lt;&gt;"")*( DB!D$2:D$2576=$D$6))*(($D$7="")+($D$7&lt;&gt;"")*(ISNUMBER(SEARCH($D$7,DB!G$2:G$2576))))*(($F$7="전체")+($F$7&lt;&gt;"전체")*(DB!H$2:H$2576=$F$7))),ROW()-13)-1,"")</f>
        <v/>
      </c>
      <c r="Q981" t="str" cm="1">
        <f t="array" ref="Q981">IFERROR(INDEX(DB!G$2:G$2576,P981),"")</f>
        <v/>
      </c>
      <c r="R981" t="str" cm="1">
        <f t="array" ref="R981">IFERROR(INDEX(DB!O$2:O$2576,P981),"")</f>
        <v/>
      </c>
      <c r="S981" t="str">
        <f t="shared" si="48"/>
        <v/>
      </c>
      <c r="T981" t="str">
        <f t="shared" si="49"/>
        <v/>
      </c>
    </row>
    <row r="982" spans="1:20" ht="100" customHeight="1">
      <c r="A982" s="26"/>
      <c r="B982" s="39" t="str">
        <f t="shared" si="47"/>
        <v/>
      </c>
      <c r="C982" s="43"/>
      <c r="D982" s="51" t="str" cm="1">
        <f t="array" ref="D982">IFERROR(INDEX(DB!G$2:G$2576,T982),"")</f>
        <v/>
      </c>
      <c r="E982" s="43"/>
      <c r="F982" s="52" t="str" cm="1">
        <f t="array" ref="F982">IFERROR(INDEX(DB!O$2:O$2576,T982),"")</f>
        <v/>
      </c>
      <c r="G982" s="43"/>
      <c r="H982" s="40" t="str" cm="1">
        <f t="array" ref="H982">IFERROR(INDEX(DB!P$2:P$2576,T982),"")</f>
        <v/>
      </c>
      <c r="I982" s="43"/>
      <c r="J982" s="53" t="str" cm="1">
        <f t="array" ref="J982">IFERROR(INDEX(DB!Q$2:Q$2576,T982),"")</f>
        <v/>
      </c>
      <c r="K982" s="43"/>
      <c r="L982" s="41" t="str" cm="1">
        <f t="array" ref="L982">IFERROR(INDEX(DB!R$2:R$2576,T982),"")</f>
        <v/>
      </c>
      <c r="M982" s="43"/>
      <c r="P982" t="str" cm="1">
        <f t="array" ref="P982">IFERROR(_xlfn.AGGREGATE(15,6,ROW(DB!A$2:A$2576)/((($D$3&lt;&gt;"YES")+($D$3="YES")*(DB!E$2:E$2576="YES"))*(($D$4="")+($D$4&lt;&gt;"")*( DB!B$2:B$2576=$D$4))*(($D$5="")+($D$5&lt;&gt;"")*( DB!C$2:C$2576=$D$5))*(($D$6="")+($D$6&lt;&gt;"")*( DB!D$2:D$2576=$D$6))*(($D$7="")+($D$7&lt;&gt;"")*(ISNUMBER(SEARCH($D$7,DB!G$2:G$2576))))*(($F$7="전체")+($F$7&lt;&gt;"전체")*(DB!H$2:H$2576=$F$7))),ROW()-13)-1,"")</f>
        <v/>
      </c>
      <c r="Q982" t="str" cm="1">
        <f t="array" ref="Q982">IFERROR(INDEX(DB!G$2:G$2576,P982),"")</f>
        <v/>
      </c>
      <c r="R982" t="str" cm="1">
        <f t="array" ref="R982">IFERROR(INDEX(DB!O$2:O$2576,P982),"")</f>
        <v/>
      </c>
      <c r="S982" t="str">
        <f t="shared" si="48"/>
        <v/>
      </c>
      <c r="T982" t="str">
        <f t="shared" si="49"/>
        <v/>
      </c>
    </row>
    <row r="983" spans="1:20" ht="100" customHeight="1">
      <c r="A983" s="26"/>
      <c r="B983" s="42" t="str">
        <f t="shared" si="47"/>
        <v/>
      </c>
      <c r="C983" s="43"/>
      <c r="D983" s="51" t="str" cm="1">
        <f t="array" ref="D983">IFERROR(INDEX(DB!G$2:G$2576,T983),"")</f>
        <v/>
      </c>
      <c r="E983" s="43"/>
      <c r="F983" s="52" t="str" cm="1">
        <f t="array" ref="F983">IFERROR(INDEX(DB!O$2:O$2576,T983),"")</f>
        <v/>
      </c>
      <c r="G983" s="43"/>
      <c r="H983" s="40" t="str" cm="1">
        <f t="array" ref="H983">IFERROR(INDEX(DB!P$2:P$2576,T983),"")</f>
        <v/>
      </c>
      <c r="I983" s="43"/>
      <c r="J983" s="53" t="str" cm="1">
        <f t="array" ref="J983">IFERROR(INDEX(DB!Q$2:Q$2576,T983),"")</f>
        <v/>
      </c>
      <c r="K983" s="43"/>
      <c r="L983" s="41" t="str" cm="1">
        <f t="array" ref="L983">IFERROR(INDEX(DB!R$2:R$2576,T983),"")</f>
        <v/>
      </c>
      <c r="M983" s="43"/>
      <c r="P983" t="str" cm="1">
        <f t="array" ref="P983">IFERROR(_xlfn.AGGREGATE(15,6,ROW(DB!A$2:A$2576)/((($D$3&lt;&gt;"YES")+($D$3="YES")*(DB!E$2:E$2576="YES"))*(($D$4="")+($D$4&lt;&gt;"")*( DB!B$2:B$2576=$D$4))*(($D$5="")+($D$5&lt;&gt;"")*( DB!C$2:C$2576=$D$5))*(($D$6="")+($D$6&lt;&gt;"")*( DB!D$2:D$2576=$D$6))*(($D$7="")+($D$7&lt;&gt;"")*(ISNUMBER(SEARCH($D$7,DB!G$2:G$2576))))*(($F$7="전체")+($F$7&lt;&gt;"전체")*(DB!H$2:H$2576=$F$7))),ROW()-13)-1,"")</f>
        <v/>
      </c>
      <c r="Q983" t="str" cm="1">
        <f t="array" ref="Q983">IFERROR(INDEX(DB!G$2:G$2576,P983),"")</f>
        <v/>
      </c>
      <c r="R983" t="str" cm="1">
        <f t="array" ref="R983">IFERROR(INDEX(DB!O$2:O$2576,P983),"")</f>
        <v/>
      </c>
      <c r="S983" t="str">
        <f t="shared" si="48"/>
        <v/>
      </c>
      <c r="T983" t="str">
        <f t="shared" si="49"/>
        <v/>
      </c>
    </row>
    <row r="984" spans="1:20" ht="100" customHeight="1">
      <c r="A984" s="26"/>
      <c r="B984" s="39" t="str">
        <f t="shared" si="47"/>
        <v/>
      </c>
      <c r="C984" s="43"/>
      <c r="D984" s="51" t="str" cm="1">
        <f t="array" ref="D984">IFERROR(INDEX(DB!G$2:G$2576,T984),"")</f>
        <v/>
      </c>
      <c r="E984" s="43"/>
      <c r="F984" s="52" t="str" cm="1">
        <f t="array" ref="F984">IFERROR(INDEX(DB!O$2:O$2576,T984),"")</f>
        <v/>
      </c>
      <c r="G984" s="43"/>
      <c r="H984" s="40" t="str" cm="1">
        <f t="array" ref="H984">IFERROR(INDEX(DB!P$2:P$2576,T984),"")</f>
        <v/>
      </c>
      <c r="I984" s="43"/>
      <c r="J984" s="53" t="str" cm="1">
        <f t="array" ref="J984">IFERROR(INDEX(DB!Q$2:Q$2576,T984),"")</f>
        <v/>
      </c>
      <c r="K984" s="43"/>
      <c r="L984" s="41" t="str" cm="1">
        <f t="array" ref="L984">IFERROR(INDEX(DB!R$2:R$2576,T984),"")</f>
        <v/>
      </c>
      <c r="M984" s="43"/>
      <c r="P984" t="str" cm="1">
        <f t="array" ref="P984">IFERROR(_xlfn.AGGREGATE(15,6,ROW(DB!A$2:A$2576)/((($D$3&lt;&gt;"YES")+($D$3="YES")*(DB!E$2:E$2576="YES"))*(($D$4="")+($D$4&lt;&gt;"")*( DB!B$2:B$2576=$D$4))*(($D$5="")+($D$5&lt;&gt;"")*( DB!C$2:C$2576=$D$5))*(($D$6="")+($D$6&lt;&gt;"")*( DB!D$2:D$2576=$D$6))*(($D$7="")+($D$7&lt;&gt;"")*(ISNUMBER(SEARCH($D$7,DB!G$2:G$2576))))*(($F$7="전체")+($F$7&lt;&gt;"전체")*(DB!H$2:H$2576=$F$7))),ROW()-13)-1,"")</f>
        <v/>
      </c>
      <c r="Q984" t="str" cm="1">
        <f t="array" ref="Q984">IFERROR(INDEX(DB!G$2:G$2576,P984),"")</f>
        <v/>
      </c>
      <c r="R984" t="str" cm="1">
        <f t="array" ref="R984">IFERROR(INDEX(DB!O$2:O$2576,P984),"")</f>
        <v/>
      </c>
      <c r="S984" t="str">
        <f t="shared" si="48"/>
        <v/>
      </c>
      <c r="T984" t="str">
        <f t="shared" si="49"/>
        <v/>
      </c>
    </row>
    <row r="985" spans="1:20" ht="100" customHeight="1">
      <c r="A985" s="26"/>
      <c r="B985" s="42" t="str">
        <f t="shared" si="47"/>
        <v/>
      </c>
      <c r="C985" s="43"/>
      <c r="D985" s="51" t="str" cm="1">
        <f t="array" ref="D985">IFERROR(INDEX(DB!G$2:G$2576,T985),"")</f>
        <v/>
      </c>
      <c r="E985" s="43"/>
      <c r="F985" s="52" t="str" cm="1">
        <f t="array" ref="F985">IFERROR(INDEX(DB!O$2:O$2576,T985),"")</f>
        <v/>
      </c>
      <c r="G985" s="43"/>
      <c r="H985" s="40" t="str" cm="1">
        <f t="array" ref="H985">IFERROR(INDEX(DB!P$2:P$2576,T985),"")</f>
        <v/>
      </c>
      <c r="I985" s="43"/>
      <c r="J985" s="53" t="str" cm="1">
        <f t="array" ref="J985">IFERROR(INDEX(DB!Q$2:Q$2576,T985),"")</f>
        <v/>
      </c>
      <c r="K985" s="43"/>
      <c r="L985" s="41" t="str" cm="1">
        <f t="array" ref="L985">IFERROR(INDEX(DB!R$2:R$2576,T985),"")</f>
        <v/>
      </c>
      <c r="M985" s="43"/>
      <c r="P985" t="str" cm="1">
        <f t="array" ref="P985">IFERROR(_xlfn.AGGREGATE(15,6,ROW(DB!A$2:A$2576)/((($D$3&lt;&gt;"YES")+($D$3="YES")*(DB!E$2:E$2576="YES"))*(($D$4="")+($D$4&lt;&gt;"")*( DB!B$2:B$2576=$D$4))*(($D$5="")+($D$5&lt;&gt;"")*( DB!C$2:C$2576=$D$5))*(($D$6="")+($D$6&lt;&gt;"")*( DB!D$2:D$2576=$D$6))*(($D$7="")+($D$7&lt;&gt;"")*(ISNUMBER(SEARCH($D$7,DB!G$2:G$2576))))*(($F$7="전체")+($F$7&lt;&gt;"전체")*(DB!H$2:H$2576=$F$7))),ROW()-13)-1,"")</f>
        <v/>
      </c>
      <c r="Q985" t="str" cm="1">
        <f t="array" ref="Q985">IFERROR(INDEX(DB!G$2:G$2576,P985),"")</f>
        <v/>
      </c>
      <c r="R985" t="str" cm="1">
        <f t="array" ref="R985">IFERROR(INDEX(DB!O$2:O$2576,P985),"")</f>
        <v/>
      </c>
      <c r="S985" t="str">
        <f t="shared" si="48"/>
        <v/>
      </c>
      <c r="T985" t="str">
        <f t="shared" si="49"/>
        <v/>
      </c>
    </row>
    <row r="986" spans="1:20" ht="100" customHeight="1">
      <c r="A986" s="26"/>
      <c r="B986" s="39" t="str">
        <f t="shared" si="47"/>
        <v/>
      </c>
      <c r="C986" s="43"/>
      <c r="D986" s="51" t="str" cm="1">
        <f t="array" ref="D986">IFERROR(INDEX(DB!G$2:G$2576,T986),"")</f>
        <v/>
      </c>
      <c r="E986" s="43"/>
      <c r="F986" s="52" t="str" cm="1">
        <f t="array" ref="F986">IFERROR(INDEX(DB!O$2:O$2576,T986),"")</f>
        <v/>
      </c>
      <c r="G986" s="43"/>
      <c r="H986" s="40" t="str" cm="1">
        <f t="array" ref="H986">IFERROR(INDEX(DB!P$2:P$2576,T986),"")</f>
        <v/>
      </c>
      <c r="I986" s="43"/>
      <c r="J986" s="53" t="str" cm="1">
        <f t="array" ref="J986">IFERROR(INDEX(DB!Q$2:Q$2576,T986),"")</f>
        <v/>
      </c>
      <c r="K986" s="43"/>
      <c r="L986" s="41" t="str" cm="1">
        <f t="array" ref="L986">IFERROR(INDEX(DB!R$2:R$2576,T986),"")</f>
        <v/>
      </c>
      <c r="M986" s="43"/>
      <c r="P986" t="str" cm="1">
        <f t="array" ref="P986">IFERROR(_xlfn.AGGREGATE(15,6,ROW(DB!A$2:A$2576)/((($D$3&lt;&gt;"YES")+($D$3="YES")*(DB!E$2:E$2576="YES"))*(($D$4="")+($D$4&lt;&gt;"")*( DB!B$2:B$2576=$D$4))*(($D$5="")+($D$5&lt;&gt;"")*( DB!C$2:C$2576=$D$5))*(($D$6="")+($D$6&lt;&gt;"")*( DB!D$2:D$2576=$D$6))*(($D$7="")+($D$7&lt;&gt;"")*(ISNUMBER(SEARCH($D$7,DB!G$2:G$2576))))*(($F$7="전체")+($F$7&lt;&gt;"전체")*(DB!H$2:H$2576=$F$7))),ROW()-13)-1,"")</f>
        <v/>
      </c>
      <c r="Q986" t="str" cm="1">
        <f t="array" ref="Q986">IFERROR(INDEX(DB!G$2:G$2576,P986),"")</f>
        <v/>
      </c>
      <c r="R986" t="str" cm="1">
        <f t="array" ref="R986">IFERROR(INDEX(DB!O$2:O$2576,P986),"")</f>
        <v/>
      </c>
      <c r="S986" t="str">
        <f t="shared" si="48"/>
        <v/>
      </c>
      <c r="T986" t="str">
        <f t="shared" si="49"/>
        <v/>
      </c>
    </row>
    <row r="987" spans="1:20" ht="100" customHeight="1">
      <c r="A987" s="26"/>
      <c r="B987" s="42" t="str">
        <f t="shared" si="47"/>
        <v/>
      </c>
      <c r="C987" s="43"/>
      <c r="D987" s="51" t="str" cm="1">
        <f t="array" ref="D987">IFERROR(INDEX(DB!G$2:G$2576,T987),"")</f>
        <v/>
      </c>
      <c r="E987" s="43"/>
      <c r="F987" s="52" t="str" cm="1">
        <f t="array" ref="F987">IFERROR(INDEX(DB!O$2:O$2576,T987),"")</f>
        <v/>
      </c>
      <c r="G987" s="43"/>
      <c r="H987" s="40" t="str" cm="1">
        <f t="array" ref="H987">IFERROR(INDEX(DB!P$2:P$2576,T987),"")</f>
        <v/>
      </c>
      <c r="I987" s="43"/>
      <c r="J987" s="53" t="str" cm="1">
        <f t="array" ref="J987">IFERROR(INDEX(DB!Q$2:Q$2576,T987),"")</f>
        <v/>
      </c>
      <c r="K987" s="43"/>
      <c r="L987" s="41" t="str" cm="1">
        <f t="array" ref="L987">IFERROR(INDEX(DB!R$2:R$2576,T987),"")</f>
        <v/>
      </c>
      <c r="M987" s="43"/>
      <c r="P987" t="str" cm="1">
        <f t="array" ref="P987">IFERROR(_xlfn.AGGREGATE(15,6,ROW(DB!A$2:A$2576)/((($D$3&lt;&gt;"YES")+($D$3="YES")*(DB!E$2:E$2576="YES"))*(($D$4="")+($D$4&lt;&gt;"")*( DB!B$2:B$2576=$D$4))*(($D$5="")+($D$5&lt;&gt;"")*( DB!C$2:C$2576=$D$5))*(($D$6="")+($D$6&lt;&gt;"")*( DB!D$2:D$2576=$D$6))*(($D$7="")+($D$7&lt;&gt;"")*(ISNUMBER(SEARCH($D$7,DB!G$2:G$2576))))*(($F$7="전체")+($F$7&lt;&gt;"전체")*(DB!H$2:H$2576=$F$7))),ROW()-13)-1,"")</f>
        <v/>
      </c>
      <c r="Q987" t="str" cm="1">
        <f t="array" ref="Q987">IFERROR(INDEX(DB!G$2:G$2576,P987),"")</f>
        <v/>
      </c>
      <c r="R987" t="str" cm="1">
        <f t="array" ref="R987">IFERROR(INDEX(DB!O$2:O$2576,P987),"")</f>
        <v/>
      </c>
      <c r="S987" t="str">
        <f t="shared" si="48"/>
        <v/>
      </c>
      <c r="T987" t="str">
        <f t="shared" si="49"/>
        <v/>
      </c>
    </row>
    <row r="988" spans="1:20" ht="100" customHeight="1">
      <c r="A988" s="26"/>
      <c r="B988" s="39" t="str">
        <f t="shared" si="47"/>
        <v/>
      </c>
      <c r="C988" s="43"/>
      <c r="D988" s="51" t="str" cm="1">
        <f t="array" ref="D988">IFERROR(INDEX(DB!G$2:G$2576,T988),"")</f>
        <v/>
      </c>
      <c r="E988" s="43"/>
      <c r="F988" s="52" t="str" cm="1">
        <f t="array" ref="F988">IFERROR(INDEX(DB!O$2:O$2576,T988),"")</f>
        <v/>
      </c>
      <c r="G988" s="43"/>
      <c r="H988" s="40" t="str" cm="1">
        <f t="array" ref="H988">IFERROR(INDEX(DB!P$2:P$2576,T988),"")</f>
        <v/>
      </c>
      <c r="I988" s="43"/>
      <c r="J988" s="53" t="str" cm="1">
        <f t="array" ref="J988">IFERROR(INDEX(DB!Q$2:Q$2576,T988),"")</f>
        <v/>
      </c>
      <c r="K988" s="43"/>
      <c r="L988" s="41" t="str" cm="1">
        <f t="array" ref="L988">IFERROR(INDEX(DB!R$2:R$2576,T988),"")</f>
        <v/>
      </c>
      <c r="M988" s="43"/>
      <c r="P988" t="str" cm="1">
        <f t="array" ref="P988">IFERROR(_xlfn.AGGREGATE(15,6,ROW(DB!A$2:A$2576)/((($D$3&lt;&gt;"YES")+($D$3="YES")*(DB!E$2:E$2576="YES"))*(($D$4="")+($D$4&lt;&gt;"")*( DB!B$2:B$2576=$D$4))*(($D$5="")+($D$5&lt;&gt;"")*( DB!C$2:C$2576=$D$5))*(($D$6="")+($D$6&lt;&gt;"")*( DB!D$2:D$2576=$D$6))*(($D$7="")+($D$7&lt;&gt;"")*(ISNUMBER(SEARCH($D$7,DB!G$2:G$2576))))*(($F$7="전체")+($F$7&lt;&gt;"전체")*(DB!H$2:H$2576=$F$7))),ROW()-13)-1,"")</f>
        <v/>
      </c>
      <c r="Q988" t="str" cm="1">
        <f t="array" ref="Q988">IFERROR(INDEX(DB!G$2:G$2576,P988),"")</f>
        <v/>
      </c>
      <c r="R988" t="str" cm="1">
        <f t="array" ref="R988">IFERROR(INDEX(DB!O$2:O$2576,P988),"")</f>
        <v/>
      </c>
      <c r="S988" t="str">
        <f t="shared" si="48"/>
        <v/>
      </c>
      <c r="T988" t="str">
        <f t="shared" si="49"/>
        <v/>
      </c>
    </row>
    <row r="989" spans="1:20" ht="100" customHeight="1">
      <c r="A989" s="26"/>
      <c r="B989" s="42" t="str">
        <f t="shared" si="47"/>
        <v/>
      </c>
      <c r="C989" s="43"/>
      <c r="D989" s="51" t="str" cm="1">
        <f t="array" ref="D989">IFERROR(INDEX(DB!G$2:G$2576,T989),"")</f>
        <v/>
      </c>
      <c r="E989" s="43"/>
      <c r="F989" s="52" t="str" cm="1">
        <f t="array" ref="F989">IFERROR(INDEX(DB!O$2:O$2576,T989),"")</f>
        <v/>
      </c>
      <c r="G989" s="43"/>
      <c r="H989" s="40" t="str" cm="1">
        <f t="array" ref="H989">IFERROR(INDEX(DB!P$2:P$2576,T989),"")</f>
        <v/>
      </c>
      <c r="I989" s="43"/>
      <c r="J989" s="53" t="str" cm="1">
        <f t="array" ref="J989">IFERROR(INDEX(DB!Q$2:Q$2576,T989),"")</f>
        <v/>
      </c>
      <c r="K989" s="43"/>
      <c r="L989" s="41" t="str" cm="1">
        <f t="array" ref="L989">IFERROR(INDEX(DB!R$2:R$2576,T989),"")</f>
        <v/>
      </c>
      <c r="M989" s="43"/>
      <c r="P989" t="str" cm="1">
        <f t="array" ref="P989">IFERROR(_xlfn.AGGREGATE(15,6,ROW(DB!A$2:A$2576)/((($D$3&lt;&gt;"YES")+($D$3="YES")*(DB!E$2:E$2576="YES"))*(($D$4="")+($D$4&lt;&gt;"")*( DB!B$2:B$2576=$D$4))*(($D$5="")+($D$5&lt;&gt;"")*( DB!C$2:C$2576=$D$5))*(($D$6="")+($D$6&lt;&gt;"")*( DB!D$2:D$2576=$D$6))*(($D$7="")+($D$7&lt;&gt;"")*(ISNUMBER(SEARCH($D$7,DB!G$2:G$2576))))*(($F$7="전체")+($F$7&lt;&gt;"전체")*(DB!H$2:H$2576=$F$7))),ROW()-13)-1,"")</f>
        <v/>
      </c>
      <c r="Q989" t="str" cm="1">
        <f t="array" ref="Q989">IFERROR(INDEX(DB!G$2:G$2576,P989),"")</f>
        <v/>
      </c>
      <c r="R989" t="str" cm="1">
        <f t="array" ref="R989">IFERROR(INDEX(DB!O$2:O$2576,P989),"")</f>
        <v/>
      </c>
      <c r="S989" t="str">
        <f t="shared" si="48"/>
        <v/>
      </c>
      <c r="T989" t="str">
        <f t="shared" si="49"/>
        <v/>
      </c>
    </row>
    <row r="990" spans="1:20" ht="100" customHeight="1">
      <c r="A990" s="26"/>
      <c r="B990" s="39" t="str">
        <f t="shared" si="47"/>
        <v/>
      </c>
      <c r="C990" s="43"/>
      <c r="D990" s="51" t="str" cm="1">
        <f t="array" ref="D990">IFERROR(INDEX(DB!G$2:G$2576,T990),"")</f>
        <v/>
      </c>
      <c r="E990" s="43"/>
      <c r="F990" s="52" t="str" cm="1">
        <f t="array" ref="F990">IFERROR(INDEX(DB!O$2:O$2576,T990),"")</f>
        <v/>
      </c>
      <c r="G990" s="43"/>
      <c r="H990" s="40" t="str" cm="1">
        <f t="array" ref="H990">IFERROR(INDEX(DB!P$2:P$2576,T990),"")</f>
        <v/>
      </c>
      <c r="I990" s="43"/>
      <c r="J990" s="53" t="str" cm="1">
        <f t="array" ref="J990">IFERROR(INDEX(DB!Q$2:Q$2576,T990),"")</f>
        <v/>
      </c>
      <c r="K990" s="43"/>
      <c r="L990" s="41" t="str" cm="1">
        <f t="array" ref="L990">IFERROR(INDEX(DB!R$2:R$2576,T990),"")</f>
        <v/>
      </c>
      <c r="M990" s="43"/>
      <c r="P990" t="str" cm="1">
        <f t="array" ref="P990">IFERROR(_xlfn.AGGREGATE(15,6,ROW(DB!A$2:A$2576)/((($D$3&lt;&gt;"YES")+($D$3="YES")*(DB!E$2:E$2576="YES"))*(($D$4="")+($D$4&lt;&gt;"")*( DB!B$2:B$2576=$D$4))*(($D$5="")+($D$5&lt;&gt;"")*( DB!C$2:C$2576=$D$5))*(($D$6="")+($D$6&lt;&gt;"")*( DB!D$2:D$2576=$D$6))*(($D$7="")+($D$7&lt;&gt;"")*(ISNUMBER(SEARCH($D$7,DB!G$2:G$2576))))*(($F$7="전체")+($F$7&lt;&gt;"전체")*(DB!H$2:H$2576=$F$7))),ROW()-13)-1,"")</f>
        <v/>
      </c>
      <c r="Q990" t="str" cm="1">
        <f t="array" ref="Q990">IFERROR(INDEX(DB!G$2:G$2576,P990),"")</f>
        <v/>
      </c>
      <c r="R990" t="str" cm="1">
        <f t="array" ref="R990">IFERROR(INDEX(DB!O$2:O$2576,P990),"")</f>
        <v/>
      </c>
      <c r="S990" t="str">
        <f t="shared" si="48"/>
        <v/>
      </c>
      <c r="T990" t="str">
        <f t="shared" si="49"/>
        <v/>
      </c>
    </row>
    <row r="991" spans="1:20" ht="100" customHeight="1">
      <c r="A991" s="26"/>
      <c r="B991" s="42" t="str">
        <f t="shared" si="47"/>
        <v/>
      </c>
      <c r="C991" s="43"/>
      <c r="D991" s="51" t="str" cm="1">
        <f t="array" ref="D991">IFERROR(INDEX(DB!G$2:G$2576,T991),"")</f>
        <v/>
      </c>
      <c r="E991" s="43"/>
      <c r="F991" s="52" t="str" cm="1">
        <f t="array" ref="F991">IFERROR(INDEX(DB!O$2:O$2576,T991),"")</f>
        <v/>
      </c>
      <c r="G991" s="43"/>
      <c r="H991" s="40" t="str" cm="1">
        <f t="array" ref="H991">IFERROR(INDEX(DB!P$2:P$2576,T991),"")</f>
        <v/>
      </c>
      <c r="I991" s="43"/>
      <c r="J991" s="53" t="str" cm="1">
        <f t="array" ref="J991">IFERROR(INDEX(DB!Q$2:Q$2576,T991),"")</f>
        <v/>
      </c>
      <c r="K991" s="43"/>
      <c r="L991" s="41" t="str" cm="1">
        <f t="array" ref="L991">IFERROR(INDEX(DB!R$2:R$2576,T991),"")</f>
        <v/>
      </c>
      <c r="M991" s="43"/>
      <c r="P991" t="str" cm="1">
        <f t="array" ref="P991">IFERROR(_xlfn.AGGREGATE(15,6,ROW(DB!A$2:A$2576)/((($D$3&lt;&gt;"YES")+($D$3="YES")*(DB!E$2:E$2576="YES"))*(($D$4="")+($D$4&lt;&gt;"")*( DB!B$2:B$2576=$D$4))*(($D$5="")+($D$5&lt;&gt;"")*( DB!C$2:C$2576=$D$5))*(($D$6="")+($D$6&lt;&gt;"")*( DB!D$2:D$2576=$D$6))*(($D$7="")+($D$7&lt;&gt;"")*(ISNUMBER(SEARCH($D$7,DB!G$2:G$2576))))*(($F$7="전체")+($F$7&lt;&gt;"전체")*(DB!H$2:H$2576=$F$7))),ROW()-13)-1,"")</f>
        <v/>
      </c>
      <c r="Q991" t="str" cm="1">
        <f t="array" ref="Q991">IFERROR(INDEX(DB!G$2:G$2576,P991),"")</f>
        <v/>
      </c>
      <c r="R991" t="str" cm="1">
        <f t="array" ref="R991">IFERROR(INDEX(DB!O$2:O$2576,P991),"")</f>
        <v/>
      </c>
      <c r="S991" t="str">
        <f t="shared" si="48"/>
        <v/>
      </c>
      <c r="T991" t="str">
        <f t="shared" si="49"/>
        <v/>
      </c>
    </row>
    <row r="992" spans="1:20" ht="100" customHeight="1">
      <c r="A992" s="26"/>
      <c r="B992" s="39" t="str">
        <f t="shared" si="47"/>
        <v/>
      </c>
      <c r="C992" s="43"/>
      <c r="D992" s="51" t="str" cm="1">
        <f t="array" ref="D992">IFERROR(INDEX(DB!G$2:G$2576,T992),"")</f>
        <v/>
      </c>
      <c r="E992" s="43"/>
      <c r="F992" s="52" t="str" cm="1">
        <f t="array" ref="F992">IFERROR(INDEX(DB!O$2:O$2576,T992),"")</f>
        <v/>
      </c>
      <c r="G992" s="43"/>
      <c r="H992" s="40" t="str" cm="1">
        <f t="array" ref="H992">IFERROR(INDEX(DB!P$2:P$2576,T992),"")</f>
        <v/>
      </c>
      <c r="I992" s="43"/>
      <c r="J992" s="53" t="str" cm="1">
        <f t="array" ref="J992">IFERROR(INDEX(DB!Q$2:Q$2576,T992),"")</f>
        <v/>
      </c>
      <c r="K992" s="43"/>
      <c r="L992" s="41" t="str" cm="1">
        <f t="array" ref="L992">IFERROR(INDEX(DB!R$2:R$2576,T992),"")</f>
        <v/>
      </c>
      <c r="M992" s="43"/>
      <c r="P992" t="str" cm="1">
        <f t="array" ref="P992">IFERROR(_xlfn.AGGREGATE(15,6,ROW(DB!A$2:A$2576)/((($D$3&lt;&gt;"YES")+($D$3="YES")*(DB!E$2:E$2576="YES"))*(($D$4="")+($D$4&lt;&gt;"")*( DB!B$2:B$2576=$D$4))*(($D$5="")+($D$5&lt;&gt;"")*( DB!C$2:C$2576=$D$5))*(($D$6="")+($D$6&lt;&gt;"")*( DB!D$2:D$2576=$D$6))*(($D$7="")+($D$7&lt;&gt;"")*(ISNUMBER(SEARCH($D$7,DB!G$2:G$2576))))*(($F$7="전체")+($F$7&lt;&gt;"전체")*(DB!H$2:H$2576=$F$7))),ROW()-13)-1,"")</f>
        <v/>
      </c>
      <c r="Q992" t="str" cm="1">
        <f t="array" ref="Q992">IFERROR(INDEX(DB!G$2:G$2576,P992),"")</f>
        <v/>
      </c>
      <c r="R992" t="str" cm="1">
        <f t="array" ref="R992">IFERROR(INDEX(DB!O$2:O$2576,P992),"")</f>
        <v/>
      </c>
      <c r="S992" t="str">
        <f t="shared" si="48"/>
        <v/>
      </c>
      <c r="T992" t="str">
        <f t="shared" si="49"/>
        <v/>
      </c>
    </row>
    <row r="993" spans="1:20" ht="100" customHeight="1">
      <c r="A993" s="26"/>
      <c r="B993" s="42" t="str">
        <f t="shared" si="47"/>
        <v/>
      </c>
      <c r="C993" s="43"/>
      <c r="D993" s="51" t="str" cm="1">
        <f t="array" ref="D993">IFERROR(INDEX(DB!G$2:G$2576,T993),"")</f>
        <v/>
      </c>
      <c r="E993" s="43"/>
      <c r="F993" s="52" t="str" cm="1">
        <f t="array" ref="F993">IFERROR(INDEX(DB!O$2:O$2576,T993),"")</f>
        <v/>
      </c>
      <c r="G993" s="43"/>
      <c r="H993" s="40" t="str" cm="1">
        <f t="array" ref="H993">IFERROR(INDEX(DB!P$2:P$2576,T993),"")</f>
        <v/>
      </c>
      <c r="I993" s="43"/>
      <c r="J993" s="53" t="str" cm="1">
        <f t="array" ref="J993">IFERROR(INDEX(DB!Q$2:Q$2576,T993),"")</f>
        <v/>
      </c>
      <c r="K993" s="43"/>
      <c r="L993" s="41" t="str" cm="1">
        <f t="array" ref="L993">IFERROR(INDEX(DB!R$2:R$2576,T993),"")</f>
        <v/>
      </c>
      <c r="M993" s="43"/>
      <c r="P993" t="str" cm="1">
        <f t="array" ref="P993">IFERROR(_xlfn.AGGREGATE(15,6,ROW(DB!A$2:A$2576)/((($D$3&lt;&gt;"YES")+($D$3="YES")*(DB!E$2:E$2576="YES"))*(($D$4="")+($D$4&lt;&gt;"")*( DB!B$2:B$2576=$D$4))*(($D$5="")+($D$5&lt;&gt;"")*( DB!C$2:C$2576=$D$5))*(($D$6="")+($D$6&lt;&gt;"")*( DB!D$2:D$2576=$D$6))*(($D$7="")+($D$7&lt;&gt;"")*(ISNUMBER(SEARCH($D$7,DB!G$2:G$2576))))*(($F$7="전체")+($F$7&lt;&gt;"전체")*(DB!H$2:H$2576=$F$7))),ROW()-13)-1,"")</f>
        <v/>
      </c>
      <c r="Q993" t="str" cm="1">
        <f t="array" ref="Q993">IFERROR(INDEX(DB!G$2:G$2576,P993),"")</f>
        <v/>
      </c>
      <c r="R993" t="str" cm="1">
        <f t="array" ref="R993">IFERROR(INDEX(DB!O$2:O$2576,P993),"")</f>
        <v/>
      </c>
      <c r="S993" t="str">
        <f t="shared" si="48"/>
        <v/>
      </c>
      <c r="T993" t="str">
        <f t="shared" si="49"/>
        <v/>
      </c>
    </row>
    <row r="994" spans="1:20" ht="100" customHeight="1">
      <c r="A994" s="26"/>
      <c r="B994" s="39" t="str">
        <f t="shared" si="47"/>
        <v/>
      </c>
      <c r="C994" s="43"/>
      <c r="D994" s="51" t="str" cm="1">
        <f t="array" ref="D994">IFERROR(INDEX(DB!G$2:G$2576,T994),"")</f>
        <v/>
      </c>
      <c r="E994" s="43"/>
      <c r="F994" s="52" t="str" cm="1">
        <f t="array" ref="F994">IFERROR(INDEX(DB!O$2:O$2576,T994),"")</f>
        <v/>
      </c>
      <c r="G994" s="43"/>
      <c r="H994" s="40" t="str" cm="1">
        <f t="array" ref="H994">IFERROR(INDEX(DB!P$2:P$2576,T994),"")</f>
        <v/>
      </c>
      <c r="I994" s="43"/>
      <c r="J994" s="53" t="str" cm="1">
        <f t="array" ref="J994">IFERROR(INDEX(DB!Q$2:Q$2576,T994),"")</f>
        <v/>
      </c>
      <c r="K994" s="43"/>
      <c r="L994" s="41" t="str" cm="1">
        <f t="array" ref="L994">IFERROR(INDEX(DB!R$2:R$2576,T994),"")</f>
        <v/>
      </c>
      <c r="M994" s="43"/>
      <c r="P994" t="str" cm="1">
        <f t="array" ref="P994">IFERROR(_xlfn.AGGREGATE(15,6,ROW(DB!A$2:A$2576)/((($D$3&lt;&gt;"YES")+($D$3="YES")*(DB!E$2:E$2576="YES"))*(($D$4="")+($D$4&lt;&gt;"")*( DB!B$2:B$2576=$D$4))*(($D$5="")+($D$5&lt;&gt;"")*( DB!C$2:C$2576=$D$5))*(($D$6="")+($D$6&lt;&gt;"")*( DB!D$2:D$2576=$D$6))*(($D$7="")+($D$7&lt;&gt;"")*(ISNUMBER(SEARCH($D$7,DB!G$2:G$2576))))*(($F$7="전체")+($F$7&lt;&gt;"전체")*(DB!H$2:H$2576=$F$7))),ROW()-13)-1,"")</f>
        <v/>
      </c>
      <c r="Q994" t="str" cm="1">
        <f t="array" ref="Q994">IFERROR(INDEX(DB!G$2:G$2576,P994),"")</f>
        <v/>
      </c>
      <c r="R994" t="str" cm="1">
        <f t="array" ref="R994">IFERROR(INDEX(DB!O$2:O$2576,P994),"")</f>
        <v/>
      </c>
      <c r="S994" t="str">
        <f t="shared" si="48"/>
        <v/>
      </c>
      <c r="T994" t="str">
        <f t="shared" si="49"/>
        <v/>
      </c>
    </row>
    <row r="995" spans="1:20" ht="100" customHeight="1">
      <c r="A995" s="26"/>
      <c r="B995" s="42" t="str">
        <f t="shared" si="47"/>
        <v/>
      </c>
      <c r="C995" s="43"/>
      <c r="D995" s="51" t="str" cm="1">
        <f t="array" ref="D995">IFERROR(INDEX(DB!G$2:G$2576,T995),"")</f>
        <v/>
      </c>
      <c r="E995" s="43"/>
      <c r="F995" s="52" t="str" cm="1">
        <f t="array" ref="F995">IFERROR(INDEX(DB!O$2:O$2576,T995),"")</f>
        <v/>
      </c>
      <c r="G995" s="43"/>
      <c r="H995" s="40" t="str" cm="1">
        <f t="array" ref="H995">IFERROR(INDEX(DB!P$2:P$2576,T995),"")</f>
        <v/>
      </c>
      <c r="I995" s="43"/>
      <c r="J995" s="53" t="str" cm="1">
        <f t="array" ref="J995">IFERROR(INDEX(DB!Q$2:Q$2576,T995),"")</f>
        <v/>
      </c>
      <c r="K995" s="43"/>
      <c r="L995" s="41" t="str" cm="1">
        <f t="array" ref="L995">IFERROR(INDEX(DB!R$2:R$2576,T995),"")</f>
        <v/>
      </c>
      <c r="M995" s="43"/>
      <c r="P995" t="str" cm="1">
        <f t="array" ref="P995">IFERROR(_xlfn.AGGREGATE(15,6,ROW(DB!A$2:A$2576)/((($D$3&lt;&gt;"YES")+($D$3="YES")*(DB!E$2:E$2576="YES"))*(($D$4="")+($D$4&lt;&gt;"")*( DB!B$2:B$2576=$D$4))*(($D$5="")+($D$5&lt;&gt;"")*( DB!C$2:C$2576=$D$5))*(($D$6="")+($D$6&lt;&gt;"")*( DB!D$2:D$2576=$D$6))*(($D$7="")+($D$7&lt;&gt;"")*(ISNUMBER(SEARCH($D$7,DB!G$2:G$2576))))*(($F$7="전체")+($F$7&lt;&gt;"전체")*(DB!H$2:H$2576=$F$7))),ROW()-13)-1,"")</f>
        <v/>
      </c>
      <c r="Q995" t="str" cm="1">
        <f t="array" ref="Q995">IFERROR(INDEX(DB!G$2:G$2576,P995),"")</f>
        <v/>
      </c>
      <c r="R995" t="str" cm="1">
        <f t="array" ref="R995">IFERROR(INDEX(DB!O$2:O$2576,P995),"")</f>
        <v/>
      </c>
      <c r="S995" t="str">
        <f t="shared" si="48"/>
        <v/>
      </c>
      <c r="T995" t="str">
        <f t="shared" si="49"/>
        <v/>
      </c>
    </row>
    <row r="996" spans="1:20" ht="100" customHeight="1">
      <c r="A996" s="26"/>
      <c r="B996" s="39" t="str">
        <f t="shared" si="47"/>
        <v/>
      </c>
      <c r="C996" s="43"/>
      <c r="D996" s="51" t="str" cm="1">
        <f t="array" ref="D996">IFERROR(INDEX(DB!G$2:G$2576,T996),"")</f>
        <v/>
      </c>
      <c r="E996" s="43"/>
      <c r="F996" s="52" t="str" cm="1">
        <f t="array" ref="F996">IFERROR(INDEX(DB!O$2:O$2576,T996),"")</f>
        <v/>
      </c>
      <c r="G996" s="43"/>
      <c r="H996" s="40" t="str" cm="1">
        <f t="array" ref="H996">IFERROR(INDEX(DB!P$2:P$2576,T996),"")</f>
        <v/>
      </c>
      <c r="I996" s="43"/>
      <c r="J996" s="53" t="str" cm="1">
        <f t="array" ref="J996">IFERROR(INDEX(DB!Q$2:Q$2576,T996),"")</f>
        <v/>
      </c>
      <c r="K996" s="43"/>
      <c r="L996" s="41" t="str" cm="1">
        <f t="array" ref="L996">IFERROR(INDEX(DB!R$2:R$2576,T996),"")</f>
        <v/>
      </c>
      <c r="M996" s="43"/>
      <c r="P996" t="str" cm="1">
        <f t="array" ref="P996">IFERROR(_xlfn.AGGREGATE(15,6,ROW(DB!A$2:A$2576)/((($D$3&lt;&gt;"YES")+($D$3="YES")*(DB!E$2:E$2576="YES"))*(($D$4="")+($D$4&lt;&gt;"")*( DB!B$2:B$2576=$D$4))*(($D$5="")+($D$5&lt;&gt;"")*( DB!C$2:C$2576=$D$5))*(($D$6="")+($D$6&lt;&gt;"")*( DB!D$2:D$2576=$D$6))*(($D$7="")+($D$7&lt;&gt;"")*(ISNUMBER(SEARCH($D$7,DB!G$2:G$2576))))*(($F$7="전체")+($F$7&lt;&gt;"전체")*(DB!H$2:H$2576=$F$7))),ROW()-13)-1,"")</f>
        <v/>
      </c>
      <c r="Q996" t="str" cm="1">
        <f t="array" ref="Q996">IFERROR(INDEX(DB!G$2:G$2576,P996),"")</f>
        <v/>
      </c>
      <c r="R996" t="str" cm="1">
        <f t="array" ref="R996">IFERROR(INDEX(DB!O$2:O$2576,P996),"")</f>
        <v/>
      </c>
      <c r="S996" t="str">
        <f t="shared" si="48"/>
        <v/>
      </c>
      <c r="T996" t="str">
        <f t="shared" si="49"/>
        <v/>
      </c>
    </row>
    <row r="997" spans="1:20" ht="100" customHeight="1">
      <c r="A997" s="26"/>
      <c r="B997" s="42" t="str">
        <f t="shared" si="47"/>
        <v/>
      </c>
      <c r="C997" s="43"/>
      <c r="D997" s="51" t="str" cm="1">
        <f t="array" ref="D997">IFERROR(INDEX(DB!G$2:G$2576,T997),"")</f>
        <v/>
      </c>
      <c r="E997" s="43"/>
      <c r="F997" s="52" t="str" cm="1">
        <f t="array" ref="F997">IFERROR(INDEX(DB!O$2:O$2576,T997),"")</f>
        <v/>
      </c>
      <c r="G997" s="43"/>
      <c r="H997" s="40" t="str" cm="1">
        <f t="array" ref="H997">IFERROR(INDEX(DB!P$2:P$2576,T997),"")</f>
        <v/>
      </c>
      <c r="I997" s="43"/>
      <c r="J997" s="53" t="str" cm="1">
        <f t="array" ref="J997">IFERROR(INDEX(DB!Q$2:Q$2576,T997),"")</f>
        <v/>
      </c>
      <c r="K997" s="43"/>
      <c r="L997" s="41" t="str" cm="1">
        <f t="array" ref="L997">IFERROR(INDEX(DB!R$2:R$2576,T997),"")</f>
        <v/>
      </c>
      <c r="M997" s="43"/>
      <c r="P997" t="str" cm="1">
        <f t="array" ref="P997">IFERROR(_xlfn.AGGREGATE(15,6,ROW(DB!A$2:A$2576)/((($D$3&lt;&gt;"YES")+($D$3="YES")*(DB!E$2:E$2576="YES"))*(($D$4="")+($D$4&lt;&gt;"")*( DB!B$2:B$2576=$D$4))*(($D$5="")+($D$5&lt;&gt;"")*( DB!C$2:C$2576=$D$5))*(($D$6="")+($D$6&lt;&gt;"")*( DB!D$2:D$2576=$D$6))*(($D$7="")+($D$7&lt;&gt;"")*(ISNUMBER(SEARCH($D$7,DB!G$2:G$2576))))*(($F$7="전체")+($F$7&lt;&gt;"전체")*(DB!H$2:H$2576=$F$7))),ROW()-13)-1,"")</f>
        <v/>
      </c>
      <c r="Q997" t="str" cm="1">
        <f t="array" ref="Q997">IFERROR(INDEX(DB!G$2:G$2576,P997),"")</f>
        <v/>
      </c>
      <c r="R997" t="str" cm="1">
        <f t="array" ref="R997">IFERROR(INDEX(DB!O$2:O$2576,P997),"")</f>
        <v/>
      </c>
      <c r="S997" t="str">
        <f t="shared" si="48"/>
        <v/>
      </c>
      <c r="T997" t="str">
        <f t="shared" si="49"/>
        <v/>
      </c>
    </row>
    <row r="998" spans="1:20" ht="100" customHeight="1">
      <c r="A998" s="26"/>
      <c r="B998" s="39" t="str">
        <f t="shared" si="47"/>
        <v/>
      </c>
      <c r="C998" s="43"/>
      <c r="D998" s="51" t="str" cm="1">
        <f t="array" ref="D998">IFERROR(INDEX(DB!G$2:G$2576,T998),"")</f>
        <v/>
      </c>
      <c r="E998" s="43"/>
      <c r="F998" s="52" t="str" cm="1">
        <f t="array" ref="F998">IFERROR(INDEX(DB!O$2:O$2576,T998),"")</f>
        <v/>
      </c>
      <c r="G998" s="43"/>
      <c r="H998" s="40" t="str" cm="1">
        <f t="array" ref="H998">IFERROR(INDEX(DB!P$2:P$2576,T998),"")</f>
        <v/>
      </c>
      <c r="I998" s="43"/>
      <c r="J998" s="53" t="str" cm="1">
        <f t="array" ref="J998">IFERROR(INDEX(DB!Q$2:Q$2576,T998),"")</f>
        <v/>
      </c>
      <c r="K998" s="43"/>
      <c r="L998" s="41" t="str" cm="1">
        <f t="array" ref="L998">IFERROR(INDEX(DB!R$2:R$2576,T998),"")</f>
        <v/>
      </c>
      <c r="M998" s="43"/>
      <c r="P998" t="str" cm="1">
        <f t="array" ref="P998">IFERROR(_xlfn.AGGREGATE(15,6,ROW(DB!A$2:A$2576)/((($D$3&lt;&gt;"YES")+($D$3="YES")*(DB!E$2:E$2576="YES"))*(($D$4="")+($D$4&lt;&gt;"")*( DB!B$2:B$2576=$D$4))*(($D$5="")+($D$5&lt;&gt;"")*( DB!C$2:C$2576=$D$5))*(($D$6="")+($D$6&lt;&gt;"")*( DB!D$2:D$2576=$D$6))*(($D$7="")+($D$7&lt;&gt;"")*(ISNUMBER(SEARCH($D$7,DB!G$2:G$2576))))*(($F$7="전체")+($F$7&lt;&gt;"전체")*(DB!H$2:H$2576=$F$7))),ROW()-13)-1,"")</f>
        <v/>
      </c>
      <c r="Q998" t="str" cm="1">
        <f t="array" ref="Q998">IFERROR(INDEX(DB!G$2:G$2576,P998),"")</f>
        <v/>
      </c>
      <c r="R998" t="str" cm="1">
        <f t="array" ref="R998">IFERROR(INDEX(DB!O$2:O$2576,P998),"")</f>
        <v/>
      </c>
      <c r="S998" t="str">
        <f t="shared" si="48"/>
        <v/>
      </c>
      <c r="T998" t="str">
        <f t="shared" si="49"/>
        <v/>
      </c>
    </row>
    <row r="999" spans="1:20" ht="100" customHeight="1">
      <c r="A999" s="26"/>
      <c r="B999" s="42" t="str">
        <f t="shared" si="47"/>
        <v/>
      </c>
      <c r="C999" s="43"/>
      <c r="D999" s="51" t="str" cm="1">
        <f t="array" ref="D999">IFERROR(INDEX(DB!G$2:G$2576,T999),"")</f>
        <v/>
      </c>
      <c r="E999" s="43"/>
      <c r="F999" s="52" t="str" cm="1">
        <f t="array" ref="F999">IFERROR(INDEX(DB!O$2:O$2576,T999),"")</f>
        <v/>
      </c>
      <c r="G999" s="43"/>
      <c r="H999" s="40" t="str" cm="1">
        <f t="array" ref="H999">IFERROR(INDEX(DB!P$2:P$2576,T999),"")</f>
        <v/>
      </c>
      <c r="I999" s="43"/>
      <c r="J999" s="53" t="str" cm="1">
        <f t="array" ref="J999">IFERROR(INDEX(DB!Q$2:Q$2576,T999),"")</f>
        <v/>
      </c>
      <c r="K999" s="43"/>
      <c r="L999" s="41" t="str" cm="1">
        <f t="array" ref="L999">IFERROR(INDEX(DB!R$2:R$2576,T999),"")</f>
        <v/>
      </c>
      <c r="M999" s="43"/>
      <c r="P999" t="str" cm="1">
        <f t="array" ref="P999">IFERROR(_xlfn.AGGREGATE(15,6,ROW(DB!A$2:A$2576)/((($D$3&lt;&gt;"YES")+($D$3="YES")*(DB!E$2:E$2576="YES"))*(($D$4="")+($D$4&lt;&gt;"")*( DB!B$2:B$2576=$D$4))*(($D$5="")+($D$5&lt;&gt;"")*( DB!C$2:C$2576=$D$5))*(($D$6="")+($D$6&lt;&gt;"")*( DB!D$2:D$2576=$D$6))*(($D$7="")+($D$7&lt;&gt;"")*(ISNUMBER(SEARCH($D$7,DB!G$2:G$2576))))*(($F$7="전체")+($F$7&lt;&gt;"전체")*(DB!H$2:H$2576=$F$7))),ROW()-13)-1,"")</f>
        <v/>
      </c>
      <c r="Q999" t="str" cm="1">
        <f t="array" ref="Q999">IFERROR(INDEX(DB!G$2:G$2576,P999),"")</f>
        <v/>
      </c>
      <c r="R999" t="str" cm="1">
        <f t="array" ref="R999">IFERROR(INDEX(DB!O$2:O$2576,P999),"")</f>
        <v/>
      </c>
      <c r="S999" t="str">
        <f t="shared" si="48"/>
        <v/>
      </c>
      <c r="T999" t="str">
        <f t="shared" si="49"/>
        <v/>
      </c>
    </row>
    <row r="1000" spans="1:20" ht="100" customHeight="1">
      <c r="A1000" s="26"/>
      <c r="B1000" s="39" t="str">
        <f t="shared" si="47"/>
        <v/>
      </c>
      <c r="C1000" s="43"/>
      <c r="D1000" s="51" t="str" cm="1">
        <f t="array" ref="D1000">IFERROR(INDEX(DB!G$2:G$2576,T1000),"")</f>
        <v/>
      </c>
      <c r="E1000" s="43"/>
      <c r="F1000" s="52" t="str" cm="1">
        <f t="array" ref="F1000">IFERROR(INDEX(DB!O$2:O$2576,T1000),"")</f>
        <v/>
      </c>
      <c r="G1000" s="43"/>
      <c r="H1000" s="40" t="str" cm="1">
        <f t="array" ref="H1000">IFERROR(INDEX(DB!P$2:P$2576,T1000),"")</f>
        <v/>
      </c>
      <c r="I1000" s="43"/>
      <c r="J1000" s="53" t="str" cm="1">
        <f t="array" ref="J1000">IFERROR(INDEX(DB!Q$2:Q$2576,T1000),"")</f>
        <v/>
      </c>
      <c r="K1000" s="43"/>
      <c r="L1000" s="41" t="str" cm="1">
        <f t="array" ref="L1000">IFERROR(INDEX(DB!R$2:R$2576,T1000),"")</f>
        <v/>
      </c>
      <c r="M1000" s="43"/>
      <c r="P1000" t="str" cm="1">
        <f t="array" ref="P1000">IFERROR(_xlfn.AGGREGATE(15,6,ROW(DB!A$2:A$2576)/((($D$3&lt;&gt;"YES")+($D$3="YES")*(DB!E$2:E$2576="YES"))*(($D$4="")+($D$4&lt;&gt;"")*( DB!B$2:B$2576=$D$4))*(($D$5="")+($D$5&lt;&gt;"")*( DB!C$2:C$2576=$D$5))*(($D$6="")+($D$6&lt;&gt;"")*( DB!D$2:D$2576=$D$6))*(($D$7="")+($D$7&lt;&gt;"")*(ISNUMBER(SEARCH($D$7,DB!G$2:G$2576))))*(($F$7="전체")+($F$7&lt;&gt;"전체")*(DB!H$2:H$2576=$F$7))),ROW()-13)-1,"")</f>
        <v/>
      </c>
      <c r="Q1000" t="str" cm="1">
        <f t="array" ref="Q1000">IFERROR(INDEX(DB!G$2:G$2576,P1000),"")</f>
        <v/>
      </c>
      <c r="R1000" t="str" cm="1">
        <f t="array" ref="R1000">IFERROR(INDEX(DB!O$2:O$2576,P1000),"")</f>
        <v/>
      </c>
      <c r="S1000" t="str">
        <f t="shared" si="48"/>
        <v/>
      </c>
      <c r="T1000" t="str">
        <f t="shared" si="49"/>
        <v/>
      </c>
    </row>
    <row r="1001" spans="1:20" ht="100" customHeight="1">
      <c r="A1001" s="26"/>
      <c r="B1001" s="42" t="str">
        <f t="shared" si="47"/>
        <v/>
      </c>
      <c r="C1001" s="43"/>
      <c r="D1001" s="51" t="str" cm="1">
        <f t="array" ref="D1001">IFERROR(INDEX(DB!G$2:G$2576,T1001),"")</f>
        <v/>
      </c>
      <c r="E1001" s="43"/>
      <c r="F1001" s="52" t="str" cm="1">
        <f t="array" ref="F1001">IFERROR(INDEX(DB!O$2:O$2576,T1001),"")</f>
        <v/>
      </c>
      <c r="G1001" s="43"/>
      <c r="H1001" s="40" t="str" cm="1">
        <f t="array" ref="H1001">IFERROR(INDEX(DB!P$2:P$2576,T1001),"")</f>
        <v/>
      </c>
      <c r="I1001" s="43"/>
      <c r="J1001" s="53" t="str" cm="1">
        <f t="array" ref="J1001">IFERROR(INDEX(DB!Q$2:Q$2576,T1001),"")</f>
        <v/>
      </c>
      <c r="K1001" s="43"/>
      <c r="L1001" s="41" t="str" cm="1">
        <f t="array" ref="L1001">IFERROR(INDEX(DB!R$2:R$2576,T1001),"")</f>
        <v/>
      </c>
      <c r="M1001" s="43"/>
      <c r="P1001" t="str" cm="1">
        <f t="array" ref="P1001">IFERROR(_xlfn.AGGREGATE(15,6,ROW(DB!A$2:A$2576)/((($D$3&lt;&gt;"YES")+($D$3="YES")*(DB!E$2:E$2576="YES"))*(($D$4="")+($D$4&lt;&gt;"")*( DB!B$2:B$2576=$D$4))*(($D$5="")+($D$5&lt;&gt;"")*( DB!C$2:C$2576=$D$5))*(($D$6="")+($D$6&lt;&gt;"")*( DB!D$2:D$2576=$D$6))*(($D$7="")+($D$7&lt;&gt;"")*(ISNUMBER(SEARCH($D$7,DB!G$2:G$2576))))*(($F$7="전체")+($F$7&lt;&gt;"전체")*(DB!H$2:H$2576=$F$7))),ROW()-13)-1,"")</f>
        <v/>
      </c>
      <c r="Q1001" t="str" cm="1">
        <f t="array" ref="Q1001">IFERROR(INDEX(DB!G$2:G$2576,P1001),"")</f>
        <v/>
      </c>
      <c r="R1001" t="str" cm="1">
        <f t="array" ref="R1001">IFERROR(INDEX(DB!O$2:O$2576,P1001),"")</f>
        <v/>
      </c>
      <c r="S1001" t="str">
        <f t="shared" si="48"/>
        <v/>
      </c>
      <c r="T1001" t="str">
        <f t="shared" si="49"/>
        <v/>
      </c>
    </row>
    <row r="1002" spans="1:20" ht="100" customHeight="1">
      <c r="A1002" s="26"/>
      <c r="B1002" s="39" t="str">
        <f t="shared" si="47"/>
        <v/>
      </c>
      <c r="C1002" s="43"/>
      <c r="D1002" s="51" t="str" cm="1">
        <f t="array" ref="D1002">IFERROR(INDEX(DB!G$2:G$2576,T1002),"")</f>
        <v/>
      </c>
      <c r="E1002" s="43"/>
      <c r="F1002" s="52" t="str" cm="1">
        <f t="array" ref="F1002">IFERROR(INDEX(DB!O$2:O$2576,T1002),"")</f>
        <v/>
      </c>
      <c r="G1002" s="43"/>
      <c r="H1002" s="40" t="str" cm="1">
        <f t="array" ref="H1002">IFERROR(INDEX(DB!P$2:P$2576,T1002),"")</f>
        <v/>
      </c>
      <c r="I1002" s="43"/>
      <c r="J1002" s="53" t="str" cm="1">
        <f t="array" ref="J1002">IFERROR(INDEX(DB!Q$2:Q$2576,T1002),"")</f>
        <v/>
      </c>
      <c r="K1002" s="43"/>
      <c r="L1002" s="41" t="str" cm="1">
        <f t="array" ref="L1002">IFERROR(INDEX(DB!R$2:R$2576,T1002),"")</f>
        <v/>
      </c>
      <c r="M1002" s="43"/>
      <c r="P1002" t="str" cm="1">
        <f t="array" ref="P1002">IFERROR(_xlfn.AGGREGATE(15,6,ROW(DB!A$2:A$2576)/((($D$3&lt;&gt;"YES")+($D$3="YES")*(DB!E$2:E$2576="YES"))*(($D$4="")+($D$4&lt;&gt;"")*( DB!B$2:B$2576=$D$4))*(($D$5="")+($D$5&lt;&gt;"")*( DB!C$2:C$2576=$D$5))*(($D$6="")+($D$6&lt;&gt;"")*( DB!D$2:D$2576=$D$6))*(($D$7="")+($D$7&lt;&gt;"")*(ISNUMBER(SEARCH($D$7,DB!G$2:G$2576))))*(($F$7="전체")+($F$7&lt;&gt;"전체")*(DB!H$2:H$2576=$F$7))),ROW()-13)-1,"")</f>
        <v/>
      </c>
      <c r="Q1002" t="str" cm="1">
        <f t="array" ref="Q1002">IFERROR(INDEX(DB!G$2:G$2576,P1002),"")</f>
        <v/>
      </c>
      <c r="R1002" t="str" cm="1">
        <f t="array" ref="R1002">IFERROR(INDEX(DB!O$2:O$2576,P1002),"")</f>
        <v/>
      </c>
      <c r="S1002" t="str">
        <f t="shared" si="48"/>
        <v/>
      </c>
      <c r="T1002" t="str">
        <f t="shared" si="49"/>
        <v/>
      </c>
    </row>
    <row r="1003" spans="1:20" ht="100" customHeight="1">
      <c r="A1003" s="26"/>
      <c r="B1003" s="42" t="str">
        <f t="shared" si="47"/>
        <v/>
      </c>
      <c r="C1003" s="43"/>
      <c r="D1003" s="51" t="str" cm="1">
        <f t="array" ref="D1003">IFERROR(INDEX(DB!G$2:G$2576,T1003),"")</f>
        <v/>
      </c>
      <c r="E1003" s="43"/>
      <c r="F1003" s="52" t="str" cm="1">
        <f t="array" ref="F1003">IFERROR(INDEX(DB!O$2:O$2576,T1003),"")</f>
        <v/>
      </c>
      <c r="G1003" s="43"/>
      <c r="H1003" s="40" t="str" cm="1">
        <f t="array" ref="H1003">IFERROR(INDEX(DB!P$2:P$2576,T1003),"")</f>
        <v/>
      </c>
      <c r="I1003" s="43"/>
      <c r="J1003" s="53" t="str" cm="1">
        <f t="array" ref="J1003">IFERROR(INDEX(DB!Q$2:Q$2576,T1003),"")</f>
        <v/>
      </c>
      <c r="K1003" s="43"/>
      <c r="L1003" s="41" t="str" cm="1">
        <f t="array" ref="L1003">IFERROR(INDEX(DB!R$2:R$2576,T1003),"")</f>
        <v/>
      </c>
      <c r="M1003" s="43"/>
      <c r="P1003" t="str" cm="1">
        <f t="array" ref="P1003">IFERROR(_xlfn.AGGREGATE(15,6,ROW(DB!A$2:A$2576)/((($D$3&lt;&gt;"YES")+($D$3="YES")*(DB!E$2:E$2576="YES"))*(($D$4="")+($D$4&lt;&gt;"")*( DB!B$2:B$2576=$D$4))*(($D$5="")+($D$5&lt;&gt;"")*( DB!C$2:C$2576=$D$5))*(($D$6="")+($D$6&lt;&gt;"")*( DB!D$2:D$2576=$D$6))*(($D$7="")+($D$7&lt;&gt;"")*(ISNUMBER(SEARCH($D$7,DB!G$2:G$2576))))*(($F$7="전체")+($F$7&lt;&gt;"전체")*(DB!H$2:H$2576=$F$7))),ROW()-13)-1,"")</f>
        <v/>
      </c>
      <c r="Q1003" t="str" cm="1">
        <f t="array" ref="Q1003">IFERROR(INDEX(DB!G$2:G$2576,P1003),"")</f>
        <v/>
      </c>
      <c r="R1003" t="str" cm="1">
        <f t="array" ref="R1003">IFERROR(INDEX(DB!O$2:O$2576,P1003),"")</f>
        <v/>
      </c>
      <c r="S1003" t="str">
        <f t="shared" si="48"/>
        <v/>
      </c>
      <c r="T1003" t="str">
        <f t="shared" si="49"/>
        <v/>
      </c>
    </row>
    <row r="1004" spans="1:20" ht="100" customHeight="1">
      <c r="A1004" s="26"/>
      <c r="B1004" s="39" t="str">
        <f t="shared" si="47"/>
        <v/>
      </c>
      <c r="C1004" s="43"/>
      <c r="D1004" s="51" t="str" cm="1">
        <f t="array" ref="D1004">IFERROR(INDEX(DB!G$2:G$2576,T1004),"")</f>
        <v/>
      </c>
      <c r="E1004" s="43"/>
      <c r="F1004" s="52" t="str" cm="1">
        <f t="array" ref="F1004">IFERROR(INDEX(DB!O$2:O$2576,T1004),"")</f>
        <v/>
      </c>
      <c r="G1004" s="43"/>
      <c r="H1004" s="40" t="str" cm="1">
        <f t="array" ref="H1004">IFERROR(INDEX(DB!P$2:P$2576,T1004),"")</f>
        <v/>
      </c>
      <c r="I1004" s="43"/>
      <c r="J1004" s="53" t="str" cm="1">
        <f t="array" ref="J1004">IFERROR(INDEX(DB!Q$2:Q$2576,T1004),"")</f>
        <v/>
      </c>
      <c r="K1004" s="43"/>
      <c r="L1004" s="41" t="str" cm="1">
        <f t="array" ref="L1004">IFERROR(INDEX(DB!R$2:R$2576,T1004),"")</f>
        <v/>
      </c>
      <c r="M1004" s="43"/>
      <c r="P1004" t="str" cm="1">
        <f t="array" ref="P1004">IFERROR(_xlfn.AGGREGATE(15,6,ROW(DB!A$2:A$2576)/((($D$3&lt;&gt;"YES")+($D$3="YES")*(DB!E$2:E$2576="YES"))*(($D$4="")+($D$4&lt;&gt;"")*( DB!B$2:B$2576=$D$4))*(($D$5="")+($D$5&lt;&gt;"")*( DB!C$2:C$2576=$D$5))*(($D$6="")+($D$6&lt;&gt;"")*( DB!D$2:D$2576=$D$6))*(($D$7="")+($D$7&lt;&gt;"")*(ISNUMBER(SEARCH($D$7,DB!G$2:G$2576))))*(($F$7="전체")+($F$7&lt;&gt;"전체")*(DB!H$2:H$2576=$F$7))),ROW()-13)-1,"")</f>
        <v/>
      </c>
      <c r="Q1004" t="str" cm="1">
        <f t="array" ref="Q1004">IFERROR(INDEX(DB!G$2:G$2576,P1004),"")</f>
        <v/>
      </c>
      <c r="R1004" t="str" cm="1">
        <f t="array" ref="R1004">IFERROR(INDEX(DB!O$2:O$2576,P1004),"")</f>
        <v/>
      </c>
      <c r="S1004" t="str">
        <f t="shared" si="48"/>
        <v/>
      </c>
      <c r="T1004" t="str">
        <f t="shared" si="49"/>
        <v/>
      </c>
    </row>
    <row r="1005" spans="1:20" ht="100" customHeight="1">
      <c r="A1005" s="26"/>
      <c r="B1005" s="42" t="str">
        <f t="shared" si="47"/>
        <v/>
      </c>
      <c r="C1005" s="43"/>
      <c r="D1005" s="51" t="str" cm="1">
        <f t="array" ref="D1005">IFERROR(INDEX(DB!G$2:G$2576,T1005),"")</f>
        <v/>
      </c>
      <c r="E1005" s="43"/>
      <c r="F1005" s="52" t="str" cm="1">
        <f t="array" ref="F1005">IFERROR(INDEX(DB!O$2:O$2576,T1005),"")</f>
        <v/>
      </c>
      <c r="G1005" s="43"/>
      <c r="H1005" s="40" t="str" cm="1">
        <f t="array" ref="H1005">IFERROR(INDEX(DB!P$2:P$2576,T1005),"")</f>
        <v/>
      </c>
      <c r="I1005" s="43"/>
      <c r="J1005" s="53" t="str" cm="1">
        <f t="array" ref="J1005">IFERROR(INDEX(DB!Q$2:Q$2576,T1005),"")</f>
        <v/>
      </c>
      <c r="K1005" s="43"/>
      <c r="L1005" s="41" t="str" cm="1">
        <f t="array" ref="L1005">IFERROR(INDEX(DB!R$2:R$2576,T1005),"")</f>
        <v/>
      </c>
      <c r="M1005" s="43"/>
      <c r="P1005" t="str" cm="1">
        <f t="array" ref="P1005">IFERROR(_xlfn.AGGREGATE(15,6,ROW(DB!A$2:A$2576)/((($D$3&lt;&gt;"YES")+($D$3="YES")*(DB!E$2:E$2576="YES"))*(($D$4="")+($D$4&lt;&gt;"")*( DB!B$2:B$2576=$D$4))*(($D$5="")+($D$5&lt;&gt;"")*( DB!C$2:C$2576=$D$5))*(($D$6="")+($D$6&lt;&gt;"")*( DB!D$2:D$2576=$D$6))*(($D$7="")+($D$7&lt;&gt;"")*(ISNUMBER(SEARCH($D$7,DB!G$2:G$2576))))*(($F$7="전체")+($F$7&lt;&gt;"전체")*(DB!H$2:H$2576=$F$7))),ROW()-13)-1,"")</f>
        <v/>
      </c>
      <c r="Q1005" t="str" cm="1">
        <f t="array" ref="Q1005">IFERROR(INDEX(DB!G$2:G$2576,P1005),"")</f>
        <v/>
      </c>
      <c r="R1005" t="str" cm="1">
        <f t="array" ref="R1005">IFERROR(INDEX(DB!O$2:O$2576,P1005),"")</f>
        <v/>
      </c>
      <c r="S1005" t="str">
        <f t="shared" si="48"/>
        <v/>
      </c>
      <c r="T1005" t="str">
        <f t="shared" si="49"/>
        <v/>
      </c>
    </row>
    <row r="1006" spans="1:20" ht="100" customHeight="1">
      <c r="A1006" s="26"/>
      <c r="B1006" s="39" t="str">
        <f t="shared" si="47"/>
        <v/>
      </c>
      <c r="C1006" s="43"/>
      <c r="D1006" s="51" t="str" cm="1">
        <f t="array" ref="D1006">IFERROR(INDEX(DB!G$2:G$2576,T1006),"")</f>
        <v/>
      </c>
      <c r="E1006" s="43"/>
      <c r="F1006" s="52" t="str" cm="1">
        <f t="array" ref="F1006">IFERROR(INDEX(DB!O$2:O$2576,T1006),"")</f>
        <v/>
      </c>
      <c r="G1006" s="43"/>
      <c r="H1006" s="40" t="str" cm="1">
        <f t="array" ref="H1006">IFERROR(INDEX(DB!P$2:P$2576,T1006),"")</f>
        <v/>
      </c>
      <c r="I1006" s="43"/>
      <c r="J1006" s="53" t="str" cm="1">
        <f t="array" ref="J1006">IFERROR(INDEX(DB!Q$2:Q$2576,T1006),"")</f>
        <v/>
      </c>
      <c r="K1006" s="43"/>
      <c r="L1006" s="41" t="str" cm="1">
        <f t="array" ref="L1006">IFERROR(INDEX(DB!R$2:R$2576,T1006),"")</f>
        <v/>
      </c>
      <c r="M1006" s="43"/>
      <c r="P1006" t="str" cm="1">
        <f t="array" ref="P1006">IFERROR(_xlfn.AGGREGATE(15,6,ROW(DB!A$2:A$2576)/((($D$3&lt;&gt;"YES")+($D$3="YES")*(DB!E$2:E$2576="YES"))*(($D$4="")+($D$4&lt;&gt;"")*( DB!B$2:B$2576=$D$4))*(($D$5="")+($D$5&lt;&gt;"")*( DB!C$2:C$2576=$D$5))*(($D$6="")+($D$6&lt;&gt;"")*( DB!D$2:D$2576=$D$6))*(($D$7="")+($D$7&lt;&gt;"")*(ISNUMBER(SEARCH($D$7,DB!G$2:G$2576))))*(($F$7="전체")+($F$7&lt;&gt;"전체")*(DB!H$2:H$2576=$F$7))),ROW()-13)-1,"")</f>
        <v/>
      </c>
      <c r="Q1006" t="str" cm="1">
        <f t="array" ref="Q1006">IFERROR(INDEX(DB!G$2:G$2576,P1006),"")</f>
        <v/>
      </c>
      <c r="R1006" t="str" cm="1">
        <f t="array" ref="R1006">IFERROR(INDEX(DB!O$2:O$2576,P1006),"")</f>
        <v/>
      </c>
      <c r="S1006" t="str">
        <f t="shared" si="48"/>
        <v/>
      </c>
      <c r="T1006" t="str">
        <f t="shared" si="49"/>
        <v/>
      </c>
    </row>
    <row r="1007" spans="1:20" ht="100" customHeight="1">
      <c r="A1007" s="26"/>
      <c r="B1007" s="42" t="str">
        <f t="shared" si="47"/>
        <v/>
      </c>
      <c r="C1007" s="43"/>
      <c r="D1007" s="51" t="str" cm="1">
        <f t="array" ref="D1007">IFERROR(INDEX(DB!G$2:G$2576,T1007),"")</f>
        <v/>
      </c>
      <c r="E1007" s="43"/>
      <c r="F1007" s="52" t="str" cm="1">
        <f t="array" ref="F1007">IFERROR(INDEX(DB!O$2:O$2576,T1007),"")</f>
        <v/>
      </c>
      <c r="G1007" s="43"/>
      <c r="H1007" s="40" t="str" cm="1">
        <f t="array" ref="H1007">IFERROR(INDEX(DB!P$2:P$2576,T1007),"")</f>
        <v/>
      </c>
      <c r="I1007" s="43"/>
      <c r="J1007" s="53" t="str" cm="1">
        <f t="array" ref="J1007">IFERROR(INDEX(DB!Q$2:Q$2576,T1007),"")</f>
        <v/>
      </c>
      <c r="K1007" s="43"/>
      <c r="L1007" s="41" t="str" cm="1">
        <f t="array" ref="L1007">IFERROR(INDEX(DB!R$2:R$2576,T1007),"")</f>
        <v/>
      </c>
      <c r="M1007" s="43"/>
      <c r="P1007" t="str" cm="1">
        <f t="array" ref="P1007">IFERROR(_xlfn.AGGREGATE(15,6,ROW(DB!A$2:A$2576)/((($D$3&lt;&gt;"YES")+($D$3="YES")*(DB!E$2:E$2576="YES"))*(($D$4="")+($D$4&lt;&gt;"")*( DB!B$2:B$2576=$D$4))*(($D$5="")+($D$5&lt;&gt;"")*( DB!C$2:C$2576=$D$5))*(($D$6="")+($D$6&lt;&gt;"")*( DB!D$2:D$2576=$D$6))*(($D$7="")+($D$7&lt;&gt;"")*(ISNUMBER(SEARCH($D$7,DB!G$2:G$2576))))*(($F$7="전체")+($F$7&lt;&gt;"전체")*(DB!H$2:H$2576=$F$7))),ROW()-13)-1,"")</f>
        <v/>
      </c>
      <c r="Q1007" t="str" cm="1">
        <f t="array" ref="Q1007">IFERROR(INDEX(DB!G$2:G$2576,P1007),"")</f>
        <v/>
      </c>
      <c r="R1007" t="str" cm="1">
        <f t="array" ref="R1007">IFERROR(INDEX(DB!O$2:O$2576,P1007),"")</f>
        <v/>
      </c>
      <c r="S1007" t="str">
        <f t="shared" si="48"/>
        <v/>
      </c>
      <c r="T1007" t="str">
        <f t="shared" si="49"/>
        <v/>
      </c>
    </row>
    <row r="1008" spans="1:20" ht="100" customHeight="1">
      <c r="A1008" s="26"/>
      <c r="B1008" s="39" t="str">
        <f t="shared" si="47"/>
        <v/>
      </c>
      <c r="C1008" s="43"/>
      <c r="D1008" s="51" t="str" cm="1">
        <f t="array" ref="D1008">IFERROR(INDEX(DB!G$2:G$2576,T1008),"")</f>
        <v/>
      </c>
      <c r="E1008" s="43"/>
      <c r="F1008" s="52" t="str" cm="1">
        <f t="array" ref="F1008">IFERROR(INDEX(DB!O$2:O$2576,T1008),"")</f>
        <v/>
      </c>
      <c r="G1008" s="43"/>
      <c r="H1008" s="40" t="str" cm="1">
        <f t="array" ref="H1008">IFERROR(INDEX(DB!P$2:P$2576,T1008),"")</f>
        <v/>
      </c>
      <c r="I1008" s="43"/>
      <c r="J1008" s="53" t="str" cm="1">
        <f t="array" ref="J1008">IFERROR(INDEX(DB!Q$2:Q$2576,T1008),"")</f>
        <v/>
      </c>
      <c r="K1008" s="43"/>
      <c r="L1008" s="41" t="str" cm="1">
        <f t="array" ref="L1008">IFERROR(INDEX(DB!R$2:R$2576,T1008),"")</f>
        <v/>
      </c>
      <c r="M1008" s="43"/>
      <c r="P1008" t="str" cm="1">
        <f t="array" ref="P1008">IFERROR(_xlfn.AGGREGATE(15,6,ROW(DB!A$2:A$2576)/((($D$3&lt;&gt;"YES")+($D$3="YES")*(DB!E$2:E$2576="YES"))*(($D$4="")+($D$4&lt;&gt;"")*( DB!B$2:B$2576=$D$4))*(($D$5="")+($D$5&lt;&gt;"")*( DB!C$2:C$2576=$D$5))*(($D$6="")+($D$6&lt;&gt;"")*( DB!D$2:D$2576=$D$6))*(($D$7="")+($D$7&lt;&gt;"")*(ISNUMBER(SEARCH($D$7,DB!G$2:G$2576))))*(($F$7="전체")+($F$7&lt;&gt;"전체")*(DB!H$2:H$2576=$F$7))),ROW()-13)-1,"")</f>
        <v/>
      </c>
      <c r="Q1008" t="str" cm="1">
        <f t="array" ref="Q1008">IFERROR(INDEX(DB!G$2:G$2576,P1008),"")</f>
        <v/>
      </c>
      <c r="R1008" t="str" cm="1">
        <f t="array" ref="R1008">IFERROR(INDEX(DB!O$2:O$2576,P1008),"")</f>
        <v/>
      </c>
      <c r="S1008" t="str">
        <f t="shared" si="48"/>
        <v/>
      </c>
      <c r="T1008" t="str">
        <f t="shared" si="49"/>
        <v/>
      </c>
    </row>
    <row r="1009" spans="1:20" ht="100" customHeight="1">
      <c r="A1009" s="26"/>
      <c r="B1009" s="42" t="str">
        <f t="shared" si="47"/>
        <v/>
      </c>
      <c r="C1009" s="43"/>
      <c r="D1009" s="51" t="str" cm="1">
        <f t="array" ref="D1009">IFERROR(INDEX(DB!G$2:G$2576,T1009),"")</f>
        <v/>
      </c>
      <c r="E1009" s="43"/>
      <c r="F1009" s="52" t="str" cm="1">
        <f t="array" ref="F1009">IFERROR(INDEX(DB!O$2:O$2576,T1009),"")</f>
        <v/>
      </c>
      <c r="G1009" s="43"/>
      <c r="H1009" s="40" t="str" cm="1">
        <f t="array" ref="H1009">IFERROR(INDEX(DB!P$2:P$2576,T1009),"")</f>
        <v/>
      </c>
      <c r="I1009" s="43"/>
      <c r="J1009" s="53" t="str" cm="1">
        <f t="array" ref="J1009">IFERROR(INDEX(DB!Q$2:Q$2576,T1009),"")</f>
        <v/>
      </c>
      <c r="K1009" s="43"/>
      <c r="L1009" s="41" t="str" cm="1">
        <f t="array" ref="L1009">IFERROR(INDEX(DB!R$2:R$2576,T1009),"")</f>
        <v/>
      </c>
      <c r="M1009" s="43"/>
      <c r="P1009" t="str" cm="1">
        <f t="array" ref="P1009">IFERROR(_xlfn.AGGREGATE(15,6,ROW(DB!A$2:A$2576)/((($D$3&lt;&gt;"YES")+($D$3="YES")*(DB!E$2:E$2576="YES"))*(($D$4="")+($D$4&lt;&gt;"")*( DB!B$2:B$2576=$D$4))*(($D$5="")+($D$5&lt;&gt;"")*( DB!C$2:C$2576=$D$5))*(($D$6="")+($D$6&lt;&gt;"")*( DB!D$2:D$2576=$D$6))*(($D$7="")+($D$7&lt;&gt;"")*(ISNUMBER(SEARCH($D$7,DB!G$2:G$2576))))*(($F$7="전체")+($F$7&lt;&gt;"전체")*(DB!H$2:H$2576=$F$7))),ROW()-13)-1,"")</f>
        <v/>
      </c>
      <c r="Q1009" t="str" cm="1">
        <f t="array" ref="Q1009">IFERROR(INDEX(DB!G$2:G$2576,P1009),"")</f>
        <v/>
      </c>
      <c r="R1009" t="str" cm="1">
        <f t="array" ref="R1009">IFERROR(INDEX(DB!O$2:O$2576,P1009),"")</f>
        <v/>
      </c>
      <c r="S1009" t="str">
        <f t="shared" si="48"/>
        <v/>
      </c>
      <c r="T1009" t="str">
        <f t="shared" si="49"/>
        <v/>
      </c>
    </row>
    <row r="1010" spans="1:20" ht="100" customHeight="1">
      <c r="A1010" s="26"/>
      <c r="B1010" s="39" t="str">
        <f t="shared" si="47"/>
        <v/>
      </c>
      <c r="C1010" s="43"/>
      <c r="D1010" s="51" t="str" cm="1">
        <f t="array" ref="D1010">IFERROR(INDEX(DB!G$2:G$2576,T1010),"")</f>
        <v/>
      </c>
      <c r="E1010" s="43"/>
      <c r="F1010" s="52" t="str" cm="1">
        <f t="array" ref="F1010">IFERROR(INDEX(DB!O$2:O$2576,T1010),"")</f>
        <v/>
      </c>
      <c r="G1010" s="43"/>
      <c r="H1010" s="40" t="str" cm="1">
        <f t="array" ref="H1010">IFERROR(INDEX(DB!P$2:P$2576,T1010),"")</f>
        <v/>
      </c>
      <c r="I1010" s="43"/>
      <c r="J1010" s="53" t="str" cm="1">
        <f t="array" ref="J1010">IFERROR(INDEX(DB!Q$2:Q$2576,T1010),"")</f>
        <v/>
      </c>
      <c r="K1010" s="43"/>
      <c r="L1010" s="41" t="str" cm="1">
        <f t="array" ref="L1010">IFERROR(INDEX(DB!R$2:R$2576,T1010),"")</f>
        <v/>
      </c>
      <c r="M1010" s="43"/>
      <c r="P1010" t="str" cm="1">
        <f t="array" ref="P1010">IFERROR(_xlfn.AGGREGATE(15,6,ROW(DB!A$2:A$2576)/((($D$3&lt;&gt;"YES")+($D$3="YES")*(DB!E$2:E$2576="YES"))*(($D$4="")+($D$4&lt;&gt;"")*( DB!B$2:B$2576=$D$4))*(($D$5="")+($D$5&lt;&gt;"")*( DB!C$2:C$2576=$D$5))*(($D$6="")+($D$6&lt;&gt;"")*( DB!D$2:D$2576=$D$6))*(($D$7="")+($D$7&lt;&gt;"")*(ISNUMBER(SEARCH($D$7,DB!G$2:G$2576))))*(($F$7="전체")+($F$7&lt;&gt;"전체")*(DB!H$2:H$2576=$F$7))),ROW()-13)-1,"")</f>
        <v/>
      </c>
      <c r="Q1010" t="str" cm="1">
        <f t="array" ref="Q1010">IFERROR(INDEX(DB!G$2:G$2576,P1010),"")</f>
        <v/>
      </c>
      <c r="R1010" t="str" cm="1">
        <f t="array" ref="R1010">IFERROR(INDEX(DB!O$2:O$2576,P1010),"")</f>
        <v/>
      </c>
      <c r="S1010" t="str">
        <f t="shared" si="48"/>
        <v/>
      </c>
      <c r="T1010" t="str">
        <f t="shared" si="49"/>
        <v/>
      </c>
    </row>
    <row r="1011" spans="1:20" ht="100" customHeight="1">
      <c r="A1011" s="26"/>
      <c r="B1011" s="42" t="str">
        <f t="shared" si="47"/>
        <v/>
      </c>
      <c r="C1011" s="43"/>
      <c r="D1011" s="51" t="str" cm="1">
        <f t="array" ref="D1011">IFERROR(INDEX(DB!G$2:G$2576,T1011),"")</f>
        <v/>
      </c>
      <c r="E1011" s="43"/>
      <c r="F1011" s="52" t="str" cm="1">
        <f t="array" ref="F1011">IFERROR(INDEX(DB!O$2:O$2576,T1011),"")</f>
        <v/>
      </c>
      <c r="G1011" s="43"/>
      <c r="H1011" s="40" t="str" cm="1">
        <f t="array" ref="H1011">IFERROR(INDEX(DB!P$2:P$2576,T1011),"")</f>
        <v/>
      </c>
      <c r="I1011" s="43"/>
      <c r="J1011" s="53" t="str" cm="1">
        <f t="array" ref="J1011">IFERROR(INDEX(DB!Q$2:Q$2576,T1011),"")</f>
        <v/>
      </c>
      <c r="K1011" s="43"/>
      <c r="L1011" s="41" t="str" cm="1">
        <f t="array" ref="L1011">IFERROR(INDEX(DB!R$2:R$2576,T1011),"")</f>
        <v/>
      </c>
      <c r="M1011" s="43"/>
      <c r="P1011" t="str" cm="1">
        <f t="array" ref="P1011">IFERROR(_xlfn.AGGREGATE(15,6,ROW(DB!A$2:A$2576)/((($D$3&lt;&gt;"YES")+($D$3="YES")*(DB!E$2:E$2576="YES"))*(($D$4="")+($D$4&lt;&gt;"")*( DB!B$2:B$2576=$D$4))*(($D$5="")+($D$5&lt;&gt;"")*( DB!C$2:C$2576=$D$5))*(($D$6="")+($D$6&lt;&gt;"")*( DB!D$2:D$2576=$D$6))*(($D$7="")+($D$7&lt;&gt;"")*(ISNUMBER(SEARCH($D$7,DB!G$2:G$2576))))*(($F$7="전체")+($F$7&lt;&gt;"전체")*(DB!H$2:H$2576=$F$7))),ROW()-13)-1,"")</f>
        <v/>
      </c>
      <c r="Q1011" t="str" cm="1">
        <f t="array" ref="Q1011">IFERROR(INDEX(DB!G$2:G$2576,P1011),"")</f>
        <v/>
      </c>
      <c r="R1011" t="str" cm="1">
        <f t="array" ref="R1011">IFERROR(INDEX(DB!O$2:O$2576,P1011),"")</f>
        <v/>
      </c>
      <c r="S1011" t="str">
        <f t="shared" si="48"/>
        <v/>
      </c>
      <c r="T1011" t="str">
        <f t="shared" si="49"/>
        <v/>
      </c>
    </row>
    <row r="1012" spans="1:20" ht="100" customHeight="1">
      <c r="A1012" s="26"/>
      <c r="B1012" s="39" t="str">
        <f t="shared" si="47"/>
        <v/>
      </c>
      <c r="C1012" s="43"/>
      <c r="D1012" s="51" t="str" cm="1">
        <f t="array" ref="D1012">IFERROR(INDEX(DB!G$2:G$2576,T1012),"")</f>
        <v/>
      </c>
      <c r="E1012" s="43"/>
      <c r="F1012" s="52" t="str" cm="1">
        <f t="array" ref="F1012">IFERROR(INDEX(DB!O$2:O$2576,T1012),"")</f>
        <v/>
      </c>
      <c r="G1012" s="43"/>
      <c r="H1012" s="40" t="str" cm="1">
        <f t="array" ref="H1012">IFERROR(INDEX(DB!P$2:P$2576,T1012),"")</f>
        <v/>
      </c>
      <c r="I1012" s="43"/>
      <c r="J1012" s="53" t="str" cm="1">
        <f t="array" ref="J1012">IFERROR(INDEX(DB!Q$2:Q$2576,T1012),"")</f>
        <v/>
      </c>
      <c r="K1012" s="43"/>
      <c r="L1012" s="41" t="str" cm="1">
        <f t="array" ref="L1012">IFERROR(INDEX(DB!R$2:R$2576,T1012),"")</f>
        <v/>
      </c>
      <c r="M1012" s="43"/>
      <c r="P1012" t="str" cm="1">
        <f t="array" ref="P1012">IFERROR(_xlfn.AGGREGATE(15,6,ROW(DB!A$2:A$2576)/((($D$3&lt;&gt;"YES")+($D$3="YES")*(DB!E$2:E$2576="YES"))*(($D$4="")+($D$4&lt;&gt;"")*( DB!B$2:B$2576=$D$4))*(($D$5="")+($D$5&lt;&gt;"")*( DB!C$2:C$2576=$D$5))*(($D$6="")+($D$6&lt;&gt;"")*( DB!D$2:D$2576=$D$6))*(($D$7="")+($D$7&lt;&gt;"")*(ISNUMBER(SEARCH($D$7,DB!G$2:G$2576))))*(($F$7="전체")+($F$7&lt;&gt;"전체")*(DB!H$2:H$2576=$F$7))),ROW()-13)-1,"")</f>
        <v/>
      </c>
      <c r="Q1012" t="str" cm="1">
        <f t="array" ref="Q1012">IFERROR(INDEX(DB!G$2:G$2576,P1012),"")</f>
        <v/>
      </c>
      <c r="R1012" t="str" cm="1">
        <f t="array" ref="R1012">IFERROR(INDEX(DB!O$2:O$2576,P1012),"")</f>
        <v/>
      </c>
      <c r="S1012" t="str">
        <f t="shared" si="48"/>
        <v/>
      </c>
      <c r="T1012" t="str">
        <f t="shared" si="49"/>
        <v/>
      </c>
    </row>
    <row r="1013" spans="1:20" ht="100" customHeight="1">
      <c r="A1013" s="26"/>
      <c r="B1013" s="42" t="str">
        <f t="shared" si="47"/>
        <v/>
      </c>
      <c r="C1013" s="43"/>
      <c r="D1013" s="51" t="str" cm="1">
        <f t="array" ref="D1013">IFERROR(INDEX(DB!G$2:G$2576,T1013),"")</f>
        <v/>
      </c>
      <c r="E1013" s="43"/>
      <c r="F1013" s="52" t="str" cm="1">
        <f t="array" ref="F1013">IFERROR(INDEX(DB!O$2:O$2576,T1013),"")</f>
        <v/>
      </c>
      <c r="G1013" s="43"/>
      <c r="H1013" s="40" t="str" cm="1">
        <f t="array" ref="H1013">IFERROR(INDEX(DB!P$2:P$2576,T1013),"")</f>
        <v/>
      </c>
      <c r="I1013" s="43"/>
      <c r="J1013" s="53" t="str" cm="1">
        <f t="array" ref="J1013">IFERROR(INDEX(DB!Q$2:Q$2576,T1013),"")</f>
        <v/>
      </c>
      <c r="K1013" s="43"/>
      <c r="L1013" s="41" t="str" cm="1">
        <f t="array" ref="L1013">IFERROR(INDEX(DB!R$2:R$2576,T1013),"")</f>
        <v/>
      </c>
      <c r="M1013" s="43"/>
      <c r="P1013" t="str" cm="1">
        <f t="array" ref="P1013">IFERROR(_xlfn.AGGREGATE(15,6,ROW(DB!A$2:A$2576)/((($D$3&lt;&gt;"YES")+($D$3="YES")*(DB!E$2:E$2576="YES"))*(($D$4="")+($D$4&lt;&gt;"")*( DB!B$2:B$2576=$D$4))*(($D$5="")+($D$5&lt;&gt;"")*( DB!C$2:C$2576=$D$5))*(($D$6="")+($D$6&lt;&gt;"")*( DB!D$2:D$2576=$D$6))*(($D$7="")+($D$7&lt;&gt;"")*(ISNUMBER(SEARCH($D$7,DB!G$2:G$2576))))*(($F$7="전체")+($F$7&lt;&gt;"전체")*(DB!H$2:H$2576=$F$7))),ROW()-13)-1,"")</f>
        <v/>
      </c>
      <c r="Q1013" t="str" cm="1">
        <f t="array" ref="Q1013">IFERROR(INDEX(DB!G$2:G$2576,P1013),"")</f>
        <v/>
      </c>
      <c r="R1013" t="str" cm="1">
        <f t="array" ref="R1013">IFERROR(INDEX(DB!O$2:O$2576,P1013),"")</f>
        <v/>
      </c>
      <c r="S1013" t="str">
        <f t="shared" si="48"/>
        <v/>
      </c>
      <c r="T1013" t="str">
        <f t="shared" si="49"/>
        <v/>
      </c>
    </row>
    <row r="1014" spans="1:20" ht="100" customHeight="1">
      <c r="A1014" s="26"/>
      <c r="B1014" s="39" t="str">
        <f t="shared" si="47"/>
        <v/>
      </c>
      <c r="C1014" s="43"/>
      <c r="D1014" s="51" t="str" cm="1">
        <f t="array" ref="D1014">IFERROR(INDEX(DB!G$2:G$2576,T1014),"")</f>
        <v/>
      </c>
      <c r="E1014" s="43"/>
      <c r="F1014" s="52" t="str" cm="1">
        <f t="array" ref="F1014">IFERROR(INDEX(DB!O$2:O$2576,T1014),"")</f>
        <v/>
      </c>
      <c r="G1014" s="43"/>
      <c r="H1014" s="40" t="str" cm="1">
        <f t="array" ref="H1014">IFERROR(INDEX(DB!P$2:P$2576,T1014),"")</f>
        <v/>
      </c>
      <c r="I1014" s="43"/>
      <c r="J1014" s="53" t="str" cm="1">
        <f t="array" ref="J1014">IFERROR(INDEX(DB!Q$2:Q$2576,T1014),"")</f>
        <v/>
      </c>
      <c r="K1014" s="43"/>
      <c r="L1014" s="41" t="str" cm="1">
        <f t="array" ref="L1014">IFERROR(INDEX(DB!R$2:R$2576,T1014),"")</f>
        <v/>
      </c>
      <c r="M1014" s="43"/>
      <c r="P1014" t="str" cm="1">
        <f t="array" ref="P1014">IFERROR(_xlfn.AGGREGATE(15,6,ROW(DB!A$2:A$2576)/((($D$3&lt;&gt;"YES")+($D$3="YES")*(DB!E$2:E$2576="YES"))*(($D$4="")+($D$4&lt;&gt;"")*( DB!B$2:B$2576=$D$4))*(($D$5="")+($D$5&lt;&gt;"")*( DB!C$2:C$2576=$D$5))*(($D$6="")+($D$6&lt;&gt;"")*( DB!D$2:D$2576=$D$6))*(($D$7="")+($D$7&lt;&gt;"")*(ISNUMBER(SEARCH($D$7,DB!G$2:G$2576))))*(($F$7="전체")+($F$7&lt;&gt;"전체")*(DB!H$2:H$2576=$F$7))),ROW()-13)-1,"")</f>
        <v/>
      </c>
      <c r="Q1014" t="str" cm="1">
        <f t="array" ref="Q1014">IFERROR(INDEX(DB!G$2:G$2576,P1014),"")</f>
        <v/>
      </c>
      <c r="R1014" t="str" cm="1">
        <f t="array" ref="R1014">IFERROR(INDEX(DB!O$2:O$2576,P1014),"")</f>
        <v/>
      </c>
      <c r="S1014" t="str">
        <f t="shared" si="48"/>
        <v/>
      </c>
      <c r="T1014" t="str">
        <f t="shared" si="49"/>
        <v/>
      </c>
    </row>
    <row r="1015" spans="1:20" ht="100" customHeight="1">
      <c r="A1015" s="26"/>
      <c r="B1015" s="42" t="str">
        <f t="shared" si="47"/>
        <v/>
      </c>
      <c r="C1015" s="43"/>
      <c r="D1015" s="51" t="str" cm="1">
        <f t="array" ref="D1015">IFERROR(INDEX(DB!G$2:G$2576,T1015),"")</f>
        <v/>
      </c>
      <c r="E1015" s="43"/>
      <c r="F1015" s="52" t="str" cm="1">
        <f t="array" ref="F1015">IFERROR(INDEX(DB!O$2:O$2576,T1015),"")</f>
        <v/>
      </c>
      <c r="G1015" s="43"/>
      <c r="H1015" s="40" t="str" cm="1">
        <f t="array" ref="H1015">IFERROR(INDEX(DB!P$2:P$2576,T1015),"")</f>
        <v/>
      </c>
      <c r="I1015" s="43"/>
      <c r="J1015" s="53" t="str" cm="1">
        <f t="array" ref="J1015">IFERROR(INDEX(DB!Q$2:Q$2576,T1015),"")</f>
        <v/>
      </c>
      <c r="K1015" s="43"/>
      <c r="L1015" s="41" t="str" cm="1">
        <f t="array" ref="L1015">IFERROR(INDEX(DB!R$2:R$2576,T1015),"")</f>
        <v/>
      </c>
      <c r="M1015" s="43"/>
      <c r="P1015" t="str" cm="1">
        <f t="array" ref="P1015">IFERROR(_xlfn.AGGREGATE(15,6,ROW(DB!A$2:A$2576)/((($D$3&lt;&gt;"YES")+($D$3="YES")*(DB!E$2:E$2576="YES"))*(($D$4="")+($D$4&lt;&gt;"")*( DB!B$2:B$2576=$D$4))*(($D$5="")+($D$5&lt;&gt;"")*( DB!C$2:C$2576=$D$5))*(($D$6="")+($D$6&lt;&gt;"")*( DB!D$2:D$2576=$D$6))*(($D$7="")+($D$7&lt;&gt;"")*(ISNUMBER(SEARCH($D$7,DB!G$2:G$2576))))*(($F$7="전체")+($F$7&lt;&gt;"전체")*(DB!H$2:H$2576=$F$7))),ROW()-13)-1,"")</f>
        <v/>
      </c>
      <c r="Q1015" t="str" cm="1">
        <f t="array" ref="Q1015">IFERROR(INDEX(DB!G$2:G$2576,P1015),"")</f>
        <v/>
      </c>
      <c r="R1015" t="str" cm="1">
        <f t="array" ref="R1015">IFERROR(INDEX(DB!O$2:O$2576,P1015),"")</f>
        <v/>
      </c>
      <c r="S1015" t="str">
        <f t="shared" si="48"/>
        <v/>
      </c>
      <c r="T1015" t="str">
        <f t="shared" si="49"/>
        <v/>
      </c>
    </row>
    <row r="1016" spans="1:20" ht="100" customHeight="1">
      <c r="A1016" s="26"/>
      <c r="B1016" s="39" t="str">
        <f t="shared" si="47"/>
        <v/>
      </c>
      <c r="C1016" s="43"/>
      <c r="D1016" s="51" t="str" cm="1">
        <f t="array" ref="D1016">IFERROR(INDEX(DB!G$2:G$2576,T1016),"")</f>
        <v/>
      </c>
      <c r="E1016" s="43"/>
      <c r="F1016" s="52" t="str" cm="1">
        <f t="array" ref="F1016">IFERROR(INDEX(DB!O$2:O$2576,T1016),"")</f>
        <v/>
      </c>
      <c r="G1016" s="43"/>
      <c r="H1016" s="40" t="str" cm="1">
        <f t="array" ref="H1016">IFERROR(INDEX(DB!P$2:P$2576,T1016),"")</f>
        <v/>
      </c>
      <c r="I1016" s="43"/>
      <c r="J1016" s="53" t="str" cm="1">
        <f t="array" ref="J1016">IFERROR(INDEX(DB!Q$2:Q$2576,T1016),"")</f>
        <v/>
      </c>
      <c r="K1016" s="43"/>
      <c r="L1016" s="41" t="str" cm="1">
        <f t="array" ref="L1016">IFERROR(INDEX(DB!R$2:R$2576,T1016),"")</f>
        <v/>
      </c>
      <c r="M1016" s="43"/>
      <c r="P1016" t="str" cm="1">
        <f t="array" ref="P1016">IFERROR(_xlfn.AGGREGATE(15,6,ROW(DB!A$2:A$2576)/((($D$3&lt;&gt;"YES")+($D$3="YES")*(DB!E$2:E$2576="YES"))*(($D$4="")+($D$4&lt;&gt;"")*( DB!B$2:B$2576=$D$4))*(($D$5="")+($D$5&lt;&gt;"")*( DB!C$2:C$2576=$D$5))*(($D$6="")+($D$6&lt;&gt;"")*( DB!D$2:D$2576=$D$6))*(($D$7="")+($D$7&lt;&gt;"")*(ISNUMBER(SEARCH($D$7,DB!G$2:G$2576))))*(($F$7="전체")+($F$7&lt;&gt;"전체")*(DB!H$2:H$2576=$F$7))),ROW()-13)-1,"")</f>
        <v/>
      </c>
      <c r="Q1016" t="str" cm="1">
        <f t="array" ref="Q1016">IFERROR(INDEX(DB!G$2:G$2576,P1016),"")</f>
        <v/>
      </c>
      <c r="R1016" t="str" cm="1">
        <f t="array" ref="R1016">IFERROR(INDEX(DB!O$2:O$2576,P1016),"")</f>
        <v/>
      </c>
      <c r="S1016" t="str">
        <f t="shared" si="48"/>
        <v/>
      </c>
      <c r="T1016" t="str">
        <f t="shared" si="49"/>
        <v/>
      </c>
    </row>
    <row r="1017" spans="1:20" ht="100" customHeight="1">
      <c r="A1017" s="26"/>
      <c r="B1017" s="42" t="str">
        <f t="shared" si="47"/>
        <v/>
      </c>
      <c r="C1017" s="43"/>
      <c r="D1017" s="51" t="str" cm="1">
        <f t="array" ref="D1017">IFERROR(INDEX(DB!G$2:G$2576,T1017),"")</f>
        <v/>
      </c>
      <c r="E1017" s="43"/>
      <c r="F1017" s="52" t="str" cm="1">
        <f t="array" ref="F1017">IFERROR(INDEX(DB!O$2:O$2576,T1017),"")</f>
        <v/>
      </c>
      <c r="G1017" s="43"/>
      <c r="H1017" s="40" t="str" cm="1">
        <f t="array" ref="H1017">IFERROR(INDEX(DB!P$2:P$2576,T1017),"")</f>
        <v/>
      </c>
      <c r="I1017" s="43"/>
      <c r="J1017" s="53" t="str" cm="1">
        <f t="array" ref="J1017">IFERROR(INDEX(DB!Q$2:Q$2576,T1017),"")</f>
        <v/>
      </c>
      <c r="K1017" s="43"/>
      <c r="L1017" s="41" t="str" cm="1">
        <f t="array" ref="L1017">IFERROR(INDEX(DB!R$2:R$2576,T1017),"")</f>
        <v/>
      </c>
      <c r="M1017" s="43"/>
      <c r="P1017" t="str" cm="1">
        <f t="array" ref="P1017">IFERROR(_xlfn.AGGREGATE(15,6,ROW(DB!A$2:A$2576)/((($D$3&lt;&gt;"YES")+($D$3="YES")*(DB!E$2:E$2576="YES"))*(($D$4="")+($D$4&lt;&gt;"")*( DB!B$2:B$2576=$D$4))*(($D$5="")+($D$5&lt;&gt;"")*( DB!C$2:C$2576=$D$5))*(($D$6="")+($D$6&lt;&gt;"")*( DB!D$2:D$2576=$D$6))*(($D$7="")+($D$7&lt;&gt;"")*(ISNUMBER(SEARCH($D$7,DB!G$2:G$2576))))*(($F$7="전체")+($F$7&lt;&gt;"전체")*(DB!H$2:H$2576=$F$7))),ROW()-13)-1,"")</f>
        <v/>
      </c>
      <c r="Q1017" t="str" cm="1">
        <f t="array" ref="Q1017">IFERROR(INDEX(DB!G$2:G$2576,P1017),"")</f>
        <v/>
      </c>
      <c r="R1017" t="str" cm="1">
        <f t="array" ref="R1017">IFERROR(INDEX(DB!O$2:O$2576,P1017),"")</f>
        <v/>
      </c>
      <c r="S1017" t="str">
        <f t="shared" si="48"/>
        <v/>
      </c>
      <c r="T1017" t="str">
        <f t="shared" si="49"/>
        <v/>
      </c>
    </row>
    <row r="1018" spans="1:20" ht="100" customHeight="1">
      <c r="A1018" s="26"/>
      <c r="B1018" s="39" t="str">
        <f t="shared" si="47"/>
        <v/>
      </c>
      <c r="C1018" s="43"/>
      <c r="D1018" s="51" t="str" cm="1">
        <f t="array" ref="D1018">IFERROR(INDEX(DB!G$2:G$2576,T1018),"")</f>
        <v/>
      </c>
      <c r="E1018" s="43"/>
      <c r="F1018" s="52" t="str" cm="1">
        <f t="array" ref="F1018">IFERROR(INDEX(DB!O$2:O$2576,T1018),"")</f>
        <v/>
      </c>
      <c r="G1018" s="43"/>
      <c r="H1018" s="40" t="str" cm="1">
        <f t="array" ref="H1018">IFERROR(INDEX(DB!P$2:P$2576,T1018),"")</f>
        <v/>
      </c>
      <c r="I1018" s="43"/>
      <c r="J1018" s="53" t="str" cm="1">
        <f t="array" ref="J1018">IFERROR(INDEX(DB!Q$2:Q$2576,T1018),"")</f>
        <v/>
      </c>
      <c r="K1018" s="43"/>
      <c r="L1018" s="41" t="str" cm="1">
        <f t="array" ref="L1018">IFERROR(INDEX(DB!R$2:R$2576,T1018),"")</f>
        <v/>
      </c>
      <c r="M1018" s="43"/>
      <c r="P1018" t="str" cm="1">
        <f t="array" ref="P1018">IFERROR(_xlfn.AGGREGATE(15,6,ROW(DB!A$2:A$2576)/((($D$3&lt;&gt;"YES")+($D$3="YES")*(DB!E$2:E$2576="YES"))*(($D$4="")+($D$4&lt;&gt;"")*( DB!B$2:B$2576=$D$4))*(($D$5="")+($D$5&lt;&gt;"")*( DB!C$2:C$2576=$D$5))*(($D$6="")+($D$6&lt;&gt;"")*( DB!D$2:D$2576=$D$6))*(($D$7="")+($D$7&lt;&gt;"")*(ISNUMBER(SEARCH($D$7,DB!G$2:G$2576))))*(($F$7="전체")+($F$7&lt;&gt;"전체")*(DB!H$2:H$2576=$F$7))),ROW()-13)-1,"")</f>
        <v/>
      </c>
      <c r="Q1018" t="str" cm="1">
        <f t="array" ref="Q1018">IFERROR(INDEX(DB!G$2:G$2576,P1018),"")</f>
        <v/>
      </c>
      <c r="R1018" t="str" cm="1">
        <f t="array" ref="R1018">IFERROR(INDEX(DB!O$2:O$2576,P1018),"")</f>
        <v/>
      </c>
      <c r="S1018" t="str">
        <f t="shared" si="48"/>
        <v/>
      </c>
      <c r="T1018" t="str">
        <f t="shared" si="49"/>
        <v/>
      </c>
    </row>
    <row r="1019" spans="1:20" ht="100" customHeight="1">
      <c r="A1019" s="26"/>
      <c r="B1019" s="42" t="str">
        <f t="shared" si="47"/>
        <v/>
      </c>
      <c r="C1019" s="43"/>
      <c r="D1019" s="51" t="str" cm="1">
        <f t="array" ref="D1019">IFERROR(INDEX(DB!G$2:G$2576,T1019),"")</f>
        <v/>
      </c>
      <c r="E1019" s="43"/>
      <c r="F1019" s="52" t="str" cm="1">
        <f t="array" ref="F1019">IFERROR(INDEX(DB!O$2:O$2576,T1019),"")</f>
        <v/>
      </c>
      <c r="G1019" s="43"/>
      <c r="H1019" s="40" t="str" cm="1">
        <f t="array" ref="H1019">IFERROR(INDEX(DB!P$2:P$2576,T1019),"")</f>
        <v/>
      </c>
      <c r="I1019" s="43"/>
      <c r="J1019" s="53" t="str" cm="1">
        <f t="array" ref="J1019">IFERROR(INDEX(DB!Q$2:Q$2576,T1019),"")</f>
        <v/>
      </c>
      <c r="K1019" s="43"/>
      <c r="L1019" s="41" t="str" cm="1">
        <f t="array" ref="L1019">IFERROR(INDEX(DB!R$2:R$2576,T1019),"")</f>
        <v/>
      </c>
      <c r="M1019" s="43"/>
      <c r="P1019" t="str" cm="1">
        <f t="array" ref="P1019">IFERROR(_xlfn.AGGREGATE(15,6,ROW(DB!A$2:A$2576)/((($D$3&lt;&gt;"YES")+($D$3="YES")*(DB!E$2:E$2576="YES"))*(($D$4="")+($D$4&lt;&gt;"")*( DB!B$2:B$2576=$D$4))*(($D$5="")+($D$5&lt;&gt;"")*( DB!C$2:C$2576=$D$5))*(($D$6="")+($D$6&lt;&gt;"")*( DB!D$2:D$2576=$D$6))*(($D$7="")+($D$7&lt;&gt;"")*(ISNUMBER(SEARCH($D$7,DB!G$2:G$2576))))*(($F$7="전체")+($F$7&lt;&gt;"전체")*(DB!H$2:H$2576=$F$7))),ROW()-13)-1,"")</f>
        <v/>
      </c>
      <c r="Q1019" t="str" cm="1">
        <f t="array" ref="Q1019">IFERROR(INDEX(DB!G$2:G$2576,P1019),"")</f>
        <v/>
      </c>
      <c r="R1019" t="str" cm="1">
        <f t="array" ref="R1019">IFERROR(INDEX(DB!O$2:O$2576,P1019),"")</f>
        <v/>
      </c>
      <c r="S1019" t="str">
        <f t="shared" si="48"/>
        <v/>
      </c>
      <c r="T1019" t="str">
        <f t="shared" si="49"/>
        <v/>
      </c>
    </row>
    <row r="1020" spans="1:20" ht="100" customHeight="1">
      <c r="A1020" s="26"/>
      <c r="B1020" s="39" t="str">
        <f t="shared" si="47"/>
        <v/>
      </c>
      <c r="C1020" s="43"/>
      <c r="D1020" s="51" t="str" cm="1">
        <f t="array" ref="D1020">IFERROR(INDEX(DB!G$2:G$2576,T1020),"")</f>
        <v/>
      </c>
      <c r="E1020" s="43"/>
      <c r="F1020" s="52" t="str" cm="1">
        <f t="array" ref="F1020">IFERROR(INDEX(DB!O$2:O$2576,T1020),"")</f>
        <v/>
      </c>
      <c r="G1020" s="43"/>
      <c r="H1020" s="40" t="str" cm="1">
        <f t="array" ref="H1020">IFERROR(INDEX(DB!P$2:P$2576,T1020),"")</f>
        <v/>
      </c>
      <c r="I1020" s="43"/>
      <c r="J1020" s="53" t="str" cm="1">
        <f t="array" ref="J1020">IFERROR(INDEX(DB!Q$2:Q$2576,T1020),"")</f>
        <v/>
      </c>
      <c r="K1020" s="43"/>
      <c r="L1020" s="41" t="str" cm="1">
        <f t="array" ref="L1020">IFERROR(INDEX(DB!R$2:R$2576,T1020),"")</f>
        <v/>
      </c>
      <c r="M1020" s="43"/>
      <c r="P1020" t="str" cm="1">
        <f t="array" ref="P1020">IFERROR(_xlfn.AGGREGATE(15,6,ROW(DB!A$2:A$2576)/((($D$3&lt;&gt;"YES")+($D$3="YES")*(DB!E$2:E$2576="YES"))*(($D$4="")+($D$4&lt;&gt;"")*( DB!B$2:B$2576=$D$4))*(($D$5="")+($D$5&lt;&gt;"")*( DB!C$2:C$2576=$D$5))*(($D$6="")+($D$6&lt;&gt;"")*( DB!D$2:D$2576=$D$6))*(($D$7="")+($D$7&lt;&gt;"")*(ISNUMBER(SEARCH($D$7,DB!G$2:G$2576))))*(($F$7="전체")+($F$7&lt;&gt;"전체")*(DB!H$2:H$2576=$F$7))),ROW()-13)-1,"")</f>
        <v/>
      </c>
      <c r="Q1020" t="str" cm="1">
        <f t="array" ref="Q1020">IFERROR(INDEX(DB!G$2:G$2576,P1020),"")</f>
        <v/>
      </c>
      <c r="R1020" t="str" cm="1">
        <f t="array" ref="R1020">IFERROR(INDEX(DB!O$2:O$2576,P1020),"")</f>
        <v/>
      </c>
      <c r="S1020" t="str">
        <f t="shared" si="48"/>
        <v/>
      </c>
      <c r="T1020" t="str">
        <f t="shared" si="49"/>
        <v/>
      </c>
    </row>
    <row r="1021" spans="1:20" ht="100" customHeight="1">
      <c r="A1021" s="26"/>
      <c r="B1021" s="42" t="str">
        <f t="shared" si="47"/>
        <v/>
      </c>
      <c r="C1021" s="43"/>
      <c r="D1021" s="51" t="str" cm="1">
        <f t="array" ref="D1021">IFERROR(INDEX(DB!G$2:G$2576,T1021),"")</f>
        <v/>
      </c>
      <c r="E1021" s="43"/>
      <c r="F1021" s="52" t="str" cm="1">
        <f t="array" ref="F1021">IFERROR(INDEX(DB!O$2:O$2576,T1021),"")</f>
        <v/>
      </c>
      <c r="G1021" s="43"/>
      <c r="H1021" s="40" t="str" cm="1">
        <f t="array" ref="H1021">IFERROR(INDEX(DB!P$2:P$2576,T1021),"")</f>
        <v/>
      </c>
      <c r="I1021" s="43"/>
      <c r="J1021" s="53" t="str" cm="1">
        <f t="array" ref="J1021">IFERROR(INDEX(DB!Q$2:Q$2576,T1021),"")</f>
        <v/>
      </c>
      <c r="K1021" s="43"/>
      <c r="L1021" s="41" t="str" cm="1">
        <f t="array" ref="L1021">IFERROR(INDEX(DB!R$2:R$2576,T1021),"")</f>
        <v/>
      </c>
      <c r="M1021" s="43"/>
      <c r="P1021" t="str" cm="1">
        <f t="array" ref="P1021">IFERROR(_xlfn.AGGREGATE(15,6,ROW(DB!A$2:A$2576)/((($D$3&lt;&gt;"YES")+($D$3="YES")*(DB!E$2:E$2576="YES"))*(($D$4="")+($D$4&lt;&gt;"")*( DB!B$2:B$2576=$D$4))*(($D$5="")+($D$5&lt;&gt;"")*( DB!C$2:C$2576=$D$5))*(($D$6="")+($D$6&lt;&gt;"")*( DB!D$2:D$2576=$D$6))*(($D$7="")+($D$7&lt;&gt;"")*(ISNUMBER(SEARCH($D$7,DB!G$2:G$2576))))*(($F$7="전체")+($F$7&lt;&gt;"전체")*(DB!H$2:H$2576=$F$7))),ROW()-13)-1,"")</f>
        <v/>
      </c>
      <c r="Q1021" t="str" cm="1">
        <f t="array" ref="Q1021">IFERROR(INDEX(DB!G$2:G$2576,P1021),"")</f>
        <v/>
      </c>
      <c r="R1021" t="str" cm="1">
        <f t="array" ref="R1021">IFERROR(INDEX(DB!O$2:O$2576,P1021),"")</f>
        <v/>
      </c>
      <c r="S1021" t="str">
        <f t="shared" si="48"/>
        <v/>
      </c>
      <c r="T1021" t="str">
        <f t="shared" si="49"/>
        <v/>
      </c>
    </row>
    <row r="1022" spans="1:20" ht="100" customHeight="1">
      <c r="A1022" s="26"/>
      <c r="B1022" s="39" t="str">
        <f t="shared" si="47"/>
        <v/>
      </c>
      <c r="C1022" s="43"/>
      <c r="D1022" s="51" t="str" cm="1">
        <f t="array" ref="D1022">IFERROR(INDEX(DB!G$2:G$2576,T1022),"")</f>
        <v/>
      </c>
      <c r="E1022" s="43"/>
      <c r="F1022" s="52" t="str" cm="1">
        <f t="array" ref="F1022">IFERROR(INDEX(DB!O$2:O$2576,T1022),"")</f>
        <v/>
      </c>
      <c r="G1022" s="43"/>
      <c r="H1022" s="40" t="str" cm="1">
        <f t="array" ref="H1022">IFERROR(INDEX(DB!P$2:P$2576,T1022),"")</f>
        <v/>
      </c>
      <c r="I1022" s="43"/>
      <c r="J1022" s="53" t="str" cm="1">
        <f t="array" ref="J1022">IFERROR(INDEX(DB!Q$2:Q$2576,T1022),"")</f>
        <v/>
      </c>
      <c r="K1022" s="43"/>
      <c r="L1022" s="41" t="str" cm="1">
        <f t="array" ref="L1022">IFERROR(INDEX(DB!R$2:R$2576,T1022),"")</f>
        <v/>
      </c>
      <c r="M1022" s="43"/>
      <c r="P1022" t="str" cm="1">
        <f t="array" ref="P1022">IFERROR(_xlfn.AGGREGATE(15,6,ROW(DB!A$2:A$2576)/((($D$3&lt;&gt;"YES")+($D$3="YES")*(DB!E$2:E$2576="YES"))*(($D$4="")+($D$4&lt;&gt;"")*( DB!B$2:B$2576=$D$4))*(($D$5="")+($D$5&lt;&gt;"")*( DB!C$2:C$2576=$D$5))*(($D$6="")+($D$6&lt;&gt;"")*( DB!D$2:D$2576=$D$6))*(($D$7="")+($D$7&lt;&gt;"")*(ISNUMBER(SEARCH($D$7,DB!G$2:G$2576))))*(($F$7="전체")+($F$7&lt;&gt;"전체")*(DB!H$2:H$2576=$F$7))),ROW()-13)-1,"")</f>
        <v/>
      </c>
      <c r="Q1022" t="str" cm="1">
        <f t="array" ref="Q1022">IFERROR(INDEX(DB!G$2:G$2576,P1022),"")</f>
        <v/>
      </c>
      <c r="R1022" t="str" cm="1">
        <f t="array" ref="R1022">IFERROR(INDEX(DB!O$2:O$2576,P1022),"")</f>
        <v/>
      </c>
      <c r="S1022" t="str">
        <f t="shared" si="48"/>
        <v/>
      </c>
      <c r="T1022" t="str">
        <f t="shared" si="49"/>
        <v/>
      </c>
    </row>
    <row r="1023" spans="1:20" ht="100" customHeight="1">
      <c r="A1023" s="26"/>
      <c r="B1023" s="42" t="str">
        <f t="shared" si="47"/>
        <v/>
      </c>
      <c r="C1023" s="43"/>
      <c r="D1023" s="51" t="str" cm="1">
        <f t="array" ref="D1023">IFERROR(INDEX(DB!G$2:G$2576,T1023),"")</f>
        <v/>
      </c>
      <c r="E1023" s="43"/>
      <c r="F1023" s="52" t="str" cm="1">
        <f t="array" ref="F1023">IFERROR(INDEX(DB!O$2:O$2576,T1023),"")</f>
        <v/>
      </c>
      <c r="G1023" s="43"/>
      <c r="H1023" s="40" t="str" cm="1">
        <f t="array" ref="H1023">IFERROR(INDEX(DB!P$2:P$2576,T1023),"")</f>
        <v/>
      </c>
      <c r="I1023" s="43"/>
      <c r="J1023" s="53" t="str" cm="1">
        <f t="array" ref="J1023">IFERROR(INDEX(DB!Q$2:Q$2576,T1023),"")</f>
        <v/>
      </c>
      <c r="K1023" s="43"/>
      <c r="L1023" s="41" t="str" cm="1">
        <f t="array" ref="L1023">IFERROR(INDEX(DB!R$2:R$2576,T1023),"")</f>
        <v/>
      </c>
      <c r="M1023" s="43"/>
      <c r="P1023" t="str" cm="1">
        <f t="array" ref="P1023">IFERROR(_xlfn.AGGREGATE(15,6,ROW(DB!A$2:A$2576)/((($D$3&lt;&gt;"YES")+($D$3="YES")*(DB!E$2:E$2576="YES"))*(($D$4="")+($D$4&lt;&gt;"")*( DB!B$2:B$2576=$D$4))*(($D$5="")+($D$5&lt;&gt;"")*( DB!C$2:C$2576=$D$5))*(($D$6="")+($D$6&lt;&gt;"")*( DB!D$2:D$2576=$D$6))*(($D$7="")+($D$7&lt;&gt;"")*(ISNUMBER(SEARCH($D$7,DB!G$2:G$2576))))*(($F$7="전체")+($F$7&lt;&gt;"전체")*(DB!H$2:H$2576=$F$7))),ROW()-13)-1,"")</f>
        <v/>
      </c>
      <c r="Q1023" t="str" cm="1">
        <f t="array" ref="Q1023">IFERROR(INDEX(DB!G$2:G$2576,P1023),"")</f>
        <v/>
      </c>
      <c r="R1023" t="str" cm="1">
        <f t="array" ref="R1023">IFERROR(INDEX(DB!O$2:O$2576,P1023),"")</f>
        <v/>
      </c>
      <c r="S1023" t="str">
        <f t="shared" si="48"/>
        <v/>
      </c>
      <c r="T1023" t="str">
        <f t="shared" si="49"/>
        <v/>
      </c>
    </row>
    <row r="1024" spans="1:20" ht="100" customHeight="1">
      <c r="A1024" s="26"/>
      <c r="B1024" s="39" t="str">
        <f t="shared" si="47"/>
        <v/>
      </c>
      <c r="C1024" s="43"/>
      <c r="D1024" s="51" t="str" cm="1">
        <f t="array" ref="D1024">IFERROR(INDEX(DB!G$2:G$2576,T1024),"")</f>
        <v/>
      </c>
      <c r="E1024" s="43"/>
      <c r="F1024" s="52" t="str" cm="1">
        <f t="array" ref="F1024">IFERROR(INDEX(DB!O$2:O$2576,T1024),"")</f>
        <v/>
      </c>
      <c r="G1024" s="43"/>
      <c r="H1024" s="40" t="str" cm="1">
        <f t="array" ref="H1024">IFERROR(INDEX(DB!P$2:P$2576,T1024),"")</f>
        <v/>
      </c>
      <c r="I1024" s="43"/>
      <c r="J1024" s="53" t="str" cm="1">
        <f t="array" ref="J1024">IFERROR(INDEX(DB!Q$2:Q$2576,T1024),"")</f>
        <v/>
      </c>
      <c r="K1024" s="43"/>
      <c r="L1024" s="41" t="str" cm="1">
        <f t="array" ref="L1024">IFERROR(INDEX(DB!R$2:R$2576,T1024),"")</f>
        <v/>
      </c>
      <c r="M1024" s="43"/>
      <c r="P1024" t="str" cm="1">
        <f t="array" ref="P1024">IFERROR(_xlfn.AGGREGATE(15,6,ROW(DB!A$2:A$2576)/((($D$3&lt;&gt;"YES")+($D$3="YES")*(DB!E$2:E$2576="YES"))*(($D$4="")+($D$4&lt;&gt;"")*( DB!B$2:B$2576=$D$4))*(($D$5="")+($D$5&lt;&gt;"")*( DB!C$2:C$2576=$D$5))*(($D$6="")+($D$6&lt;&gt;"")*( DB!D$2:D$2576=$D$6))*(($D$7="")+($D$7&lt;&gt;"")*(ISNUMBER(SEARCH($D$7,DB!G$2:G$2576))))*(($F$7="전체")+($F$7&lt;&gt;"전체")*(DB!H$2:H$2576=$F$7))),ROW()-13)-1,"")</f>
        <v/>
      </c>
      <c r="Q1024" t="str" cm="1">
        <f t="array" ref="Q1024">IFERROR(INDEX(DB!G$2:G$2576,P1024),"")</f>
        <v/>
      </c>
      <c r="R1024" t="str" cm="1">
        <f t="array" ref="R1024">IFERROR(INDEX(DB!O$2:O$2576,P1024),"")</f>
        <v/>
      </c>
      <c r="S1024" t="str">
        <f t="shared" si="48"/>
        <v/>
      </c>
      <c r="T1024" t="str">
        <f t="shared" si="49"/>
        <v/>
      </c>
    </row>
    <row r="1025" spans="1:20" ht="100" customHeight="1">
      <c r="A1025" s="26"/>
      <c r="B1025" s="42" t="str">
        <f t="shared" si="47"/>
        <v/>
      </c>
      <c r="C1025" s="43"/>
      <c r="D1025" s="51" t="str" cm="1">
        <f t="array" ref="D1025">IFERROR(INDEX(DB!G$2:G$2576,T1025),"")</f>
        <v/>
      </c>
      <c r="E1025" s="43"/>
      <c r="F1025" s="52" t="str" cm="1">
        <f t="array" ref="F1025">IFERROR(INDEX(DB!O$2:O$2576,T1025),"")</f>
        <v/>
      </c>
      <c r="G1025" s="43"/>
      <c r="H1025" s="40" t="str" cm="1">
        <f t="array" ref="H1025">IFERROR(INDEX(DB!P$2:P$2576,T1025),"")</f>
        <v/>
      </c>
      <c r="I1025" s="43"/>
      <c r="J1025" s="53" t="str" cm="1">
        <f t="array" ref="J1025">IFERROR(INDEX(DB!Q$2:Q$2576,T1025),"")</f>
        <v/>
      </c>
      <c r="K1025" s="43"/>
      <c r="L1025" s="41" t="str" cm="1">
        <f t="array" ref="L1025">IFERROR(INDEX(DB!R$2:R$2576,T1025),"")</f>
        <v/>
      </c>
      <c r="M1025" s="43"/>
      <c r="P1025" t="str" cm="1">
        <f t="array" ref="P1025">IFERROR(_xlfn.AGGREGATE(15,6,ROW(DB!A$2:A$2576)/((($D$3&lt;&gt;"YES")+($D$3="YES")*(DB!E$2:E$2576="YES"))*(($D$4="")+($D$4&lt;&gt;"")*( DB!B$2:B$2576=$D$4))*(($D$5="")+($D$5&lt;&gt;"")*( DB!C$2:C$2576=$D$5))*(($D$6="")+($D$6&lt;&gt;"")*( DB!D$2:D$2576=$D$6))*(($D$7="")+($D$7&lt;&gt;"")*(ISNUMBER(SEARCH($D$7,DB!G$2:G$2576))))*(($F$7="전체")+($F$7&lt;&gt;"전체")*(DB!H$2:H$2576=$F$7))),ROW()-13)-1,"")</f>
        <v/>
      </c>
      <c r="Q1025" t="str" cm="1">
        <f t="array" ref="Q1025">IFERROR(INDEX(DB!G$2:G$2576,P1025),"")</f>
        <v/>
      </c>
      <c r="R1025" t="str" cm="1">
        <f t="array" ref="R1025">IFERROR(INDEX(DB!O$2:O$2576,P1025),"")</f>
        <v/>
      </c>
      <c r="S1025" t="str">
        <f t="shared" si="48"/>
        <v/>
      </c>
      <c r="T1025" t="str">
        <f t="shared" si="49"/>
        <v/>
      </c>
    </row>
    <row r="1026" spans="1:20" ht="100" customHeight="1">
      <c r="A1026" s="26"/>
      <c r="B1026" s="39" t="str">
        <f t="shared" si="47"/>
        <v/>
      </c>
      <c r="C1026" s="43"/>
      <c r="D1026" s="51" t="str" cm="1">
        <f t="array" ref="D1026">IFERROR(INDEX(DB!G$2:G$2576,T1026),"")</f>
        <v/>
      </c>
      <c r="E1026" s="43"/>
      <c r="F1026" s="52" t="str" cm="1">
        <f t="array" ref="F1026">IFERROR(INDEX(DB!O$2:O$2576,T1026),"")</f>
        <v/>
      </c>
      <c r="G1026" s="43"/>
      <c r="H1026" s="40" t="str" cm="1">
        <f t="array" ref="H1026">IFERROR(INDEX(DB!P$2:P$2576,T1026),"")</f>
        <v/>
      </c>
      <c r="I1026" s="43"/>
      <c r="J1026" s="53" t="str" cm="1">
        <f t="array" ref="J1026">IFERROR(INDEX(DB!Q$2:Q$2576,T1026),"")</f>
        <v/>
      </c>
      <c r="K1026" s="43"/>
      <c r="L1026" s="41" t="str" cm="1">
        <f t="array" ref="L1026">IFERROR(INDEX(DB!R$2:R$2576,T1026),"")</f>
        <v/>
      </c>
      <c r="M1026" s="43"/>
      <c r="P1026" t="str" cm="1">
        <f t="array" ref="P1026">IFERROR(_xlfn.AGGREGATE(15,6,ROW(DB!A$2:A$2576)/((($D$3&lt;&gt;"YES")+($D$3="YES")*(DB!E$2:E$2576="YES"))*(($D$4="")+($D$4&lt;&gt;"")*( DB!B$2:B$2576=$D$4))*(($D$5="")+($D$5&lt;&gt;"")*( DB!C$2:C$2576=$D$5))*(($D$6="")+($D$6&lt;&gt;"")*( DB!D$2:D$2576=$D$6))*(($D$7="")+($D$7&lt;&gt;"")*(ISNUMBER(SEARCH($D$7,DB!G$2:G$2576))))*(($F$7="전체")+($F$7&lt;&gt;"전체")*(DB!H$2:H$2576=$F$7))),ROW()-13)-1,"")</f>
        <v/>
      </c>
      <c r="Q1026" t="str" cm="1">
        <f t="array" ref="Q1026">IFERROR(INDEX(DB!G$2:G$2576,P1026),"")</f>
        <v/>
      </c>
      <c r="R1026" t="str" cm="1">
        <f t="array" ref="R1026">IFERROR(INDEX(DB!O$2:O$2576,P1026),"")</f>
        <v/>
      </c>
      <c r="S1026" t="str">
        <f t="shared" si="48"/>
        <v/>
      </c>
      <c r="T1026" t="str">
        <f t="shared" si="49"/>
        <v/>
      </c>
    </row>
    <row r="1027" spans="1:20" ht="100" customHeight="1">
      <c r="A1027" s="26"/>
      <c r="B1027" s="42" t="str">
        <f t="shared" si="47"/>
        <v/>
      </c>
      <c r="C1027" s="43"/>
      <c r="D1027" s="51" t="str" cm="1">
        <f t="array" ref="D1027">IFERROR(INDEX(DB!G$2:G$2576,T1027),"")</f>
        <v/>
      </c>
      <c r="E1027" s="43"/>
      <c r="F1027" s="52" t="str" cm="1">
        <f t="array" ref="F1027">IFERROR(INDEX(DB!O$2:O$2576,T1027),"")</f>
        <v/>
      </c>
      <c r="G1027" s="43"/>
      <c r="H1027" s="40" t="str" cm="1">
        <f t="array" ref="H1027">IFERROR(INDEX(DB!P$2:P$2576,T1027),"")</f>
        <v/>
      </c>
      <c r="I1027" s="43"/>
      <c r="J1027" s="53" t="str" cm="1">
        <f t="array" ref="J1027">IFERROR(INDEX(DB!Q$2:Q$2576,T1027),"")</f>
        <v/>
      </c>
      <c r="K1027" s="43"/>
      <c r="L1027" s="41" t="str" cm="1">
        <f t="array" ref="L1027">IFERROR(INDEX(DB!R$2:R$2576,T1027),"")</f>
        <v/>
      </c>
      <c r="M1027" s="43"/>
      <c r="P1027" t="str" cm="1">
        <f t="array" ref="P1027">IFERROR(_xlfn.AGGREGATE(15,6,ROW(DB!A$2:A$2576)/((($D$3&lt;&gt;"YES")+($D$3="YES")*(DB!E$2:E$2576="YES"))*(($D$4="")+($D$4&lt;&gt;"")*( DB!B$2:B$2576=$D$4))*(($D$5="")+($D$5&lt;&gt;"")*( DB!C$2:C$2576=$D$5))*(($D$6="")+($D$6&lt;&gt;"")*( DB!D$2:D$2576=$D$6))*(($D$7="")+($D$7&lt;&gt;"")*(ISNUMBER(SEARCH($D$7,DB!G$2:G$2576))))*(($F$7="전체")+($F$7&lt;&gt;"전체")*(DB!H$2:H$2576=$F$7))),ROW()-13)-1,"")</f>
        <v/>
      </c>
      <c r="Q1027" t="str" cm="1">
        <f t="array" ref="Q1027">IFERROR(INDEX(DB!G$2:G$2576,P1027),"")</f>
        <v/>
      </c>
      <c r="R1027" t="str" cm="1">
        <f t="array" ref="R1027">IFERROR(INDEX(DB!O$2:O$2576,P1027),"")</f>
        <v/>
      </c>
      <c r="S1027" t="str">
        <f t="shared" si="48"/>
        <v/>
      </c>
      <c r="T1027" t="str">
        <f t="shared" si="49"/>
        <v/>
      </c>
    </row>
    <row r="1028" spans="1:20" ht="100" customHeight="1">
      <c r="A1028" s="26"/>
      <c r="B1028" s="39" t="str">
        <f t="shared" si="47"/>
        <v/>
      </c>
      <c r="C1028" s="43"/>
      <c r="D1028" s="51" t="str" cm="1">
        <f t="array" ref="D1028">IFERROR(INDEX(DB!G$2:G$2576,T1028),"")</f>
        <v/>
      </c>
      <c r="E1028" s="43"/>
      <c r="F1028" s="52" t="str" cm="1">
        <f t="array" ref="F1028">IFERROR(INDEX(DB!O$2:O$2576,T1028),"")</f>
        <v/>
      </c>
      <c r="G1028" s="43"/>
      <c r="H1028" s="40" t="str" cm="1">
        <f t="array" ref="H1028">IFERROR(INDEX(DB!P$2:P$2576,T1028),"")</f>
        <v/>
      </c>
      <c r="I1028" s="43"/>
      <c r="J1028" s="53" t="str" cm="1">
        <f t="array" ref="J1028">IFERROR(INDEX(DB!Q$2:Q$2576,T1028),"")</f>
        <v/>
      </c>
      <c r="K1028" s="43"/>
      <c r="L1028" s="41" t="str" cm="1">
        <f t="array" ref="L1028">IFERROR(INDEX(DB!R$2:R$2576,T1028),"")</f>
        <v/>
      </c>
      <c r="M1028" s="43"/>
      <c r="P1028" t="str" cm="1">
        <f t="array" ref="P1028">IFERROR(_xlfn.AGGREGATE(15,6,ROW(DB!A$2:A$2576)/((($D$3&lt;&gt;"YES")+($D$3="YES")*(DB!E$2:E$2576="YES"))*(($D$4="")+($D$4&lt;&gt;"")*( DB!B$2:B$2576=$D$4))*(($D$5="")+($D$5&lt;&gt;"")*( DB!C$2:C$2576=$D$5))*(($D$6="")+($D$6&lt;&gt;"")*( DB!D$2:D$2576=$D$6))*(($D$7="")+($D$7&lt;&gt;"")*(ISNUMBER(SEARCH($D$7,DB!G$2:G$2576))))*(($F$7="전체")+($F$7&lt;&gt;"전체")*(DB!H$2:H$2576=$F$7))),ROW()-13)-1,"")</f>
        <v/>
      </c>
      <c r="Q1028" t="str" cm="1">
        <f t="array" ref="Q1028">IFERROR(INDEX(DB!G$2:G$2576,P1028),"")</f>
        <v/>
      </c>
      <c r="R1028" t="str" cm="1">
        <f t="array" ref="R1028">IFERROR(INDEX(DB!O$2:O$2576,P1028),"")</f>
        <v/>
      </c>
      <c r="S1028" t="str">
        <f t="shared" si="48"/>
        <v/>
      </c>
      <c r="T1028" t="str">
        <f t="shared" si="49"/>
        <v/>
      </c>
    </row>
    <row r="1029" spans="1:20" ht="100" customHeight="1">
      <c r="A1029" s="26"/>
      <c r="B1029" s="42" t="str">
        <f t="shared" si="47"/>
        <v/>
      </c>
      <c r="C1029" s="43"/>
      <c r="D1029" s="51" t="str" cm="1">
        <f t="array" ref="D1029">IFERROR(INDEX(DB!G$2:G$2576,T1029),"")</f>
        <v/>
      </c>
      <c r="E1029" s="43"/>
      <c r="F1029" s="52" t="str" cm="1">
        <f t="array" ref="F1029">IFERROR(INDEX(DB!O$2:O$2576,T1029),"")</f>
        <v/>
      </c>
      <c r="G1029" s="43"/>
      <c r="H1029" s="40" t="str" cm="1">
        <f t="array" ref="H1029">IFERROR(INDEX(DB!P$2:P$2576,T1029),"")</f>
        <v/>
      </c>
      <c r="I1029" s="43"/>
      <c r="J1029" s="53" t="str" cm="1">
        <f t="array" ref="J1029">IFERROR(INDEX(DB!Q$2:Q$2576,T1029),"")</f>
        <v/>
      </c>
      <c r="K1029" s="43"/>
      <c r="L1029" s="41" t="str" cm="1">
        <f t="array" ref="L1029">IFERROR(INDEX(DB!R$2:R$2576,T1029),"")</f>
        <v/>
      </c>
      <c r="M1029" s="43"/>
      <c r="P1029" t="str" cm="1">
        <f t="array" ref="P1029">IFERROR(_xlfn.AGGREGATE(15,6,ROW(DB!A$2:A$2576)/((($D$3&lt;&gt;"YES")+($D$3="YES")*(DB!E$2:E$2576="YES"))*(($D$4="")+($D$4&lt;&gt;"")*( DB!B$2:B$2576=$D$4))*(($D$5="")+($D$5&lt;&gt;"")*( DB!C$2:C$2576=$D$5))*(($D$6="")+($D$6&lt;&gt;"")*( DB!D$2:D$2576=$D$6))*(($D$7="")+($D$7&lt;&gt;"")*(ISNUMBER(SEARCH($D$7,DB!G$2:G$2576))))*(($F$7="전체")+($F$7&lt;&gt;"전체")*(DB!H$2:H$2576=$F$7))),ROW()-13)-1,"")</f>
        <v/>
      </c>
      <c r="Q1029" t="str" cm="1">
        <f t="array" ref="Q1029">IFERROR(INDEX(DB!G$2:G$2576,P1029),"")</f>
        <v/>
      </c>
      <c r="R1029" t="str" cm="1">
        <f t="array" ref="R1029">IFERROR(INDEX(DB!O$2:O$2576,P1029),"")</f>
        <v/>
      </c>
      <c r="S1029" t="str">
        <f t="shared" si="48"/>
        <v/>
      </c>
      <c r="T1029" t="str">
        <f t="shared" si="49"/>
        <v/>
      </c>
    </row>
    <row r="1030" spans="1:20" ht="100" customHeight="1">
      <c r="A1030" s="26"/>
      <c r="B1030" s="39" t="str">
        <f t="shared" si="47"/>
        <v/>
      </c>
      <c r="C1030" s="43"/>
      <c r="D1030" s="51" t="str" cm="1">
        <f t="array" ref="D1030">IFERROR(INDEX(DB!G$2:G$2576,T1030),"")</f>
        <v/>
      </c>
      <c r="E1030" s="43"/>
      <c r="F1030" s="52" t="str" cm="1">
        <f t="array" ref="F1030">IFERROR(INDEX(DB!O$2:O$2576,T1030),"")</f>
        <v/>
      </c>
      <c r="G1030" s="43"/>
      <c r="H1030" s="40" t="str" cm="1">
        <f t="array" ref="H1030">IFERROR(INDEX(DB!P$2:P$2576,T1030),"")</f>
        <v/>
      </c>
      <c r="I1030" s="43"/>
      <c r="J1030" s="53" t="str" cm="1">
        <f t="array" ref="J1030">IFERROR(INDEX(DB!Q$2:Q$2576,T1030),"")</f>
        <v/>
      </c>
      <c r="K1030" s="43"/>
      <c r="L1030" s="41" t="str" cm="1">
        <f t="array" ref="L1030">IFERROR(INDEX(DB!R$2:R$2576,T1030),"")</f>
        <v/>
      </c>
      <c r="M1030" s="43"/>
      <c r="P1030" t="str" cm="1">
        <f t="array" ref="P1030">IFERROR(_xlfn.AGGREGATE(15,6,ROW(DB!A$2:A$2576)/((($D$3&lt;&gt;"YES")+($D$3="YES")*(DB!E$2:E$2576="YES"))*(($D$4="")+($D$4&lt;&gt;"")*( DB!B$2:B$2576=$D$4))*(($D$5="")+($D$5&lt;&gt;"")*( DB!C$2:C$2576=$D$5))*(($D$6="")+($D$6&lt;&gt;"")*( DB!D$2:D$2576=$D$6))*(($D$7="")+($D$7&lt;&gt;"")*(ISNUMBER(SEARCH($D$7,DB!G$2:G$2576))))*(($F$7="전체")+($F$7&lt;&gt;"전체")*(DB!H$2:H$2576=$F$7))),ROW()-13)-1,"")</f>
        <v/>
      </c>
      <c r="Q1030" t="str" cm="1">
        <f t="array" ref="Q1030">IFERROR(INDEX(DB!G$2:G$2576,P1030),"")</f>
        <v/>
      </c>
      <c r="R1030" t="str" cm="1">
        <f t="array" ref="R1030">IFERROR(INDEX(DB!O$2:O$2576,P1030),"")</f>
        <v/>
      </c>
      <c r="S1030" t="str">
        <f t="shared" si="48"/>
        <v/>
      </c>
      <c r="T1030" t="str">
        <f t="shared" si="49"/>
        <v/>
      </c>
    </row>
    <row r="1031" spans="1:20" ht="100" customHeight="1">
      <c r="A1031" s="26"/>
      <c r="B1031" s="42" t="str">
        <f t="shared" si="47"/>
        <v/>
      </c>
      <c r="C1031" s="43"/>
      <c r="D1031" s="51" t="str" cm="1">
        <f t="array" ref="D1031">IFERROR(INDEX(DB!G$2:G$2576,T1031),"")</f>
        <v/>
      </c>
      <c r="E1031" s="43"/>
      <c r="F1031" s="52" t="str" cm="1">
        <f t="array" ref="F1031">IFERROR(INDEX(DB!O$2:O$2576,T1031),"")</f>
        <v/>
      </c>
      <c r="G1031" s="43"/>
      <c r="H1031" s="40" t="str" cm="1">
        <f t="array" ref="H1031">IFERROR(INDEX(DB!P$2:P$2576,T1031),"")</f>
        <v/>
      </c>
      <c r="I1031" s="43"/>
      <c r="J1031" s="53" t="str" cm="1">
        <f t="array" ref="J1031">IFERROR(INDEX(DB!Q$2:Q$2576,T1031),"")</f>
        <v/>
      </c>
      <c r="K1031" s="43"/>
      <c r="L1031" s="41" t="str" cm="1">
        <f t="array" ref="L1031">IFERROR(INDEX(DB!R$2:R$2576,T1031),"")</f>
        <v/>
      </c>
      <c r="M1031" s="43"/>
      <c r="P1031" t="str" cm="1">
        <f t="array" ref="P1031">IFERROR(_xlfn.AGGREGATE(15,6,ROW(DB!A$2:A$2576)/((($D$3&lt;&gt;"YES")+($D$3="YES")*(DB!E$2:E$2576="YES"))*(($D$4="")+($D$4&lt;&gt;"")*( DB!B$2:B$2576=$D$4))*(($D$5="")+($D$5&lt;&gt;"")*( DB!C$2:C$2576=$D$5))*(($D$6="")+($D$6&lt;&gt;"")*( DB!D$2:D$2576=$D$6))*(($D$7="")+($D$7&lt;&gt;"")*(ISNUMBER(SEARCH($D$7,DB!G$2:G$2576))))*(($F$7="전체")+($F$7&lt;&gt;"전체")*(DB!H$2:H$2576=$F$7))),ROW()-13)-1,"")</f>
        <v/>
      </c>
      <c r="Q1031" t="str" cm="1">
        <f t="array" ref="Q1031">IFERROR(INDEX(DB!G$2:G$2576,P1031),"")</f>
        <v/>
      </c>
      <c r="R1031" t="str" cm="1">
        <f t="array" ref="R1031">IFERROR(INDEX(DB!O$2:O$2576,P1031),"")</f>
        <v/>
      </c>
      <c r="S1031" t="str">
        <f t="shared" si="48"/>
        <v/>
      </c>
      <c r="T1031" t="str">
        <f t="shared" si="49"/>
        <v/>
      </c>
    </row>
    <row r="1032" spans="1:20" ht="100" customHeight="1">
      <c r="A1032" s="26"/>
      <c r="B1032" s="39" t="str">
        <f t="shared" si="47"/>
        <v/>
      </c>
      <c r="C1032" s="43"/>
      <c r="D1032" s="51" t="str" cm="1">
        <f t="array" ref="D1032">IFERROR(INDEX(DB!G$2:G$2576,T1032),"")</f>
        <v/>
      </c>
      <c r="E1032" s="43"/>
      <c r="F1032" s="52" t="str" cm="1">
        <f t="array" ref="F1032">IFERROR(INDEX(DB!O$2:O$2576,T1032),"")</f>
        <v/>
      </c>
      <c r="G1032" s="43"/>
      <c r="H1032" s="40" t="str" cm="1">
        <f t="array" ref="H1032">IFERROR(INDEX(DB!P$2:P$2576,T1032),"")</f>
        <v/>
      </c>
      <c r="I1032" s="43"/>
      <c r="J1032" s="53" t="str" cm="1">
        <f t="array" ref="J1032">IFERROR(INDEX(DB!Q$2:Q$2576,T1032),"")</f>
        <v/>
      </c>
      <c r="K1032" s="43"/>
      <c r="L1032" s="41" t="str" cm="1">
        <f t="array" ref="L1032">IFERROR(INDEX(DB!R$2:R$2576,T1032),"")</f>
        <v/>
      </c>
      <c r="M1032" s="43"/>
      <c r="P1032" t="str" cm="1">
        <f t="array" ref="P1032">IFERROR(_xlfn.AGGREGATE(15,6,ROW(DB!A$2:A$2576)/((($D$3&lt;&gt;"YES")+($D$3="YES")*(DB!E$2:E$2576="YES"))*(($D$4="")+($D$4&lt;&gt;"")*( DB!B$2:B$2576=$D$4))*(($D$5="")+($D$5&lt;&gt;"")*( DB!C$2:C$2576=$D$5))*(($D$6="")+($D$6&lt;&gt;"")*( DB!D$2:D$2576=$D$6))*(($D$7="")+($D$7&lt;&gt;"")*(ISNUMBER(SEARCH($D$7,DB!G$2:G$2576))))*(($F$7="전체")+($F$7&lt;&gt;"전체")*(DB!H$2:H$2576=$F$7))),ROW()-13)-1,"")</f>
        <v/>
      </c>
      <c r="Q1032" t="str" cm="1">
        <f t="array" ref="Q1032">IFERROR(INDEX(DB!G$2:G$2576,P1032),"")</f>
        <v/>
      </c>
      <c r="R1032" t="str" cm="1">
        <f t="array" ref="R1032">IFERROR(INDEX(DB!O$2:O$2576,P1032),"")</f>
        <v/>
      </c>
      <c r="S1032" t="str">
        <f t="shared" si="48"/>
        <v/>
      </c>
      <c r="T1032" t="str">
        <f t="shared" si="49"/>
        <v/>
      </c>
    </row>
    <row r="1033" spans="1:20" ht="100" customHeight="1">
      <c r="A1033" s="26"/>
      <c r="B1033" s="42" t="str">
        <f t="shared" si="47"/>
        <v/>
      </c>
      <c r="C1033" s="43"/>
      <c r="D1033" s="51" t="str" cm="1">
        <f t="array" ref="D1033">IFERROR(INDEX(DB!G$2:G$2576,T1033),"")</f>
        <v/>
      </c>
      <c r="E1033" s="43"/>
      <c r="F1033" s="52" t="str" cm="1">
        <f t="array" ref="F1033">IFERROR(INDEX(DB!O$2:O$2576,T1033),"")</f>
        <v/>
      </c>
      <c r="G1033" s="43"/>
      <c r="H1033" s="40" t="str" cm="1">
        <f t="array" ref="H1033">IFERROR(INDEX(DB!P$2:P$2576,T1033),"")</f>
        <v/>
      </c>
      <c r="I1033" s="43"/>
      <c r="J1033" s="53" t="str" cm="1">
        <f t="array" ref="J1033">IFERROR(INDEX(DB!Q$2:Q$2576,T1033),"")</f>
        <v/>
      </c>
      <c r="K1033" s="43"/>
      <c r="L1033" s="41" t="str" cm="1">
        <f t="array" ref="L1033">IFERROR(INDEX(DB!R$2:R$2576,T1033),"")</f>
        <v/>
      </c>
      <c r="M1033" s="43"/>
      <c r="P1033" t="str" cm="1">
        <f t="array" ref="P1033">IFERROR(_xlfn.AGGREGATE(15,6,ROW(DB!A$2:A$2576)/((($D$3&lt;&gt;"YES")+($D$3="YES")*(DB!E$2:E$2576="YES"))*(($D$4="")+($D$4&lt;&gt;"")*( DB!B$2:B$2576=$D$4))*(($D$5="")+($D$5&lt;&gt;"")*( DB!C$2:C$2576=$D$5))*(($D$6="")+($D$6&lt;&gt;"")*( DB!D$2:D$2576=$D$6))*(($D$7="")+($D$7&lt;&gt;"")*(ISNUMBER(SEARCH($D$7,DB!G$2:G$2576))))*(($F$7="전체")+($F$7&lt;&gt;"전체")*(DB!H$2:H$2576=$F$7))),ROW()-13)-1,"")</f>
        <v/>
      </c>
      <c r="Q1033" t="str" cm="1">
        <f t="array" ref="Q1033">IFERROR(INDEX(DB!G$2:G$2576,P1033),"")</f>
        <v/>
      </c>
      <c r="R1033" t="str" cm="1">
        <f t="array" ref="R1033">IFERROR(INDEX(DB!O$2:O$2576,P1033),"")</f>
        <v/>
      </c>
      <c r="S1033" t="str">
        <f t="shared" si="48"/>
        <v/>
      </c>
      <c r="T1033" t="str">
        <f t="shared" si="49"/>
        <v/>
      </c>
    </row>
    <row r="1034" spans="1:20" ht="100" customHeight="1">
      <c r="A1034" s="26"/>
      <c r="B1034" s="39" t="str">
        <f t="shared" si="47"/>
        <v/>
      </c>
      <c r="C1034" s="43"/>
      <c r="D1034" s="51" t="str" cm="1">
        <f t="array" ref="D1034">IFERROR(INDEX(DB!G$2:G$2576,T1034),"")</f>
        <v/>
      </c>
      <c r="E1034" s="43"/>
      <c r="F1034" s="52" t="str" cm="1">
        <f t="array" ref="F1034">IFERROR(INDEX(DB!O$2:O$2576,T1034),"")</f>
        <v/>
      </c>
      <c r="G1034" s="43"/>
      <c r="H1034" s="40" t="str" cm="1">
        <f t="array" ref="H1034">IFERROR(INDEX(DB!P$2:P$2576,T1034),"")</f>
        <v/>
      </c>
      <c r="I1034" s="43"/>
      <c r="J1034" s="53" t="str" cm="1">
        <f t="array" ref="J1034">IFERROR(INDEX(DB!Q$2:Q$2576,T1034),"")</f>
        <v/>
      </c>
      <c r="K1034" s="43"/>
      <c r="L1034" s="41" t="str" cm="1">
        <f t="array" ref="L1034">IFERROR(INDEX(DB!R$2:R$2576,T1034),"")</f>
        <v/>
      </c>
      <c r="M1034" s="43"/>
      <c r="P1034" t="str" cm="1">
        <f t="array" ref="P1034">IFERROR(_xlfn.AGGREGATE(15,6,ROW(DB!A$2:A$2576)/((($D$3&lt;&gt;"YES")+($D$3="YES")*(DB!E$2:E$2576="YES"))*(($D$4="")+($D$4&lt;&gt;"")*( DB!B$2:B$2576=$D$4))*(($D$5="")+($D$5&lt;&gt;"")*( DB!C$2:C$2576=$D$5))*(($D$6="")+($D$6&lt;&gt;"")*( DB!D$2:D$2576=$D$6))*(($D$7="")+($D$7&lt;&gt;"")*(ISNUMBER(SEARCH($D$7,DB!G$2:G$2576))))*(($F$7="전체")+($F$7&lt;&gt;"전체")*(DB!H$2:H$2576=$F$7))),ROW()-13)-1,"")</f>
        <v/>
      </c>
      <c r="Q1034" t="str" cm="1">
        <f t="array" ref="Q1034">IFERROR(INDEX(DB!G$2:G$2576,P1034),"")</f>
        <v/>
      </c>
      <c r="R1034" t="str" cm="1">
        <f t="array" ref="R1034">IFERROR(INDEX(DB!O$2:O$2576,P1034),"")</f>
        <v/>
      </c>
      <c r="S1034" t="str">
        <f t="shared" si="48"/>
        <v/>
      </c>
      <c r="T1034" t="str">
        <f t="shared" si="49"/>
        <v/>
      </c>
    </row>
    <row r="1035" spans="1:20" ht="100" customHeight="1">
      <c r="A1035" s="26"/>
      <c r="B1035" s="42" t="str">
        <f t="shared" si="47"/>
        <v/>
      </c>
      <c r="C1035" s="43"/>
      <c r="D1035" s="51" t="str" cm="1">
        <f t="array" ref="D1035">IFERROR(INDEX(DB!G$2:G$2576,T1035),"")</f>
        <v/>
      </c>
      <c r="E1035" s="43"/>
      <c r="F1035" s="52" t="str" cm="1">
        <f t="array" ref="F1035">IFERROR(INDEX(DB!O$2:O$2576,T1035),"")</f>
        <v/>
      </c>
      <c r="G1035" s="43"/>
      <c r="H1035" s="40" t="str" cm="1">
        <f t="array" ref="H1035">IFERROR(INDEX(DB!P$2:P$2576,T1035),"")</f>
        <v/>
      </c>
      <c r="I1035" s="43"/>
      <c r="J1035" s="53" t="str" cm="1">
        <f t="array" ref="J1035">IFERROR(INDEX(DB!Q$2:Q$2576,T1035),"")</f>
        <v/>
      </c>
      <c r="K1035" s="43"/>
      <c r="L1035" s="41" t="str" cm="1">
        <f t="array" ref="L1035">IFERROR(INDEX(DB!R$2:R$2576,T1035),"")</f>
        <v/>
      </c>
      <c r="M1035" s="43"/>
      <c r="P1035" t="str" cm="1">
        <f t="array" ref="P1035">IFERROR(_xlfn.AGGREGATE(15,6,ROW(DB!A$2:A$2576)/((($D$3&lt;&gt;"YES")+($D$3="YES")*(DB!E$2:E$2576="YES"))*(($D$4="")+($D$4&lt;&gt;"")*( DB!B$2:B$2576=$D$4))*(($D$5="")+($D$5&lt;&gt;"")*( DB!C$2:C$2576=$D$5))*(($D$6="")+($D$6&lt;&gt;"")*( DB!D$2:D$2576=$D$6))*(($D$7="")+($D$7&lt;&gt;"")*(ISNUMBER(SEARCH($D$7,DB!G$2:G$2576))))*(($F$7="전체")+($F$7&lt;&gt;"전체")*(DB!H$2:H$2576=$F$7))),ROW()-13)-1,"")</f>
        <v/>
      </c>
      <c r="Q1035" t="str" cm="1">
        <f t="array" ref="Q1035">IFERROR(INDEX(DB!G$2:G$2576,P1035),"")</f>
        <v/>
      </c>
      <c r="R1035" t="str" cm="1">
        <f t="array" ref="R1035">IFERROR(INDEX(DB!O$2:O$2576,P1035),"")</f>
        <v/>
      </c>
      <c r="S1035" t="str">
        <f t="shared" si="48"/>
        <v/>
      </c>
      <c r="T1035" t="str">
        <f t="shared" si="49"/>
        <v/>
      </c>
    </row>
    <row r="1036" spans="1:20" ht="100" customHeight="1">
      <c r="A1036" s="26"/>
      <c r="B1036" s="39" t="str">
        <f t="shared" si="47"/>
        <v/>
      </c>
      <c r="C1036" s="43"/>
      <c r="D1036" s="51" t="str" cm="1">
        <f t="array" ref="D1036">IFERROR(INDEX(DB!G$2:G$2576,T1036),"")</f>
        <v/>
      </c>
      <c r="E1036" s="43"/>
      <c r="F1036" s="52" t="str" cm="1">
        <f t="array" ref="F1036">IFERROR(INDEX(DB!O$2:O$2576,T1036),"")</f>
        <v/>
      </c>
      <c r="G1036" s="43"/>
      <c r="H1036" s="40" t="str" cm="1">
        <f t="array" ref="H1036">IFERROR(INDEX(DB!P$2:P$2576,T1036),"")</f>
        <v/>
      </c>
      <c r="I1036" s="43"/>
      <c r="J1036" s="53" t="str" cm="1">
        <f t="array" ref="J1036">IFERROR(INDEX(DB!Q$2:Q$2576,T1036),"")</f>
        <v/>
      </c>
      <c r="K1036" s="43"/>
      <c r="L1036" s="41" t="str" cm="1">
        <f t="array" ref="L1036">IFERROR(INDEX(DB!R$2:R$2576,T1036),"")</f>
        <v/>
      </c>
      <c r="M1036" s="43"/>
      <c r="P1036" t="str" cm="1">
        <f t="array" ref="P1036">IFERROR(_xlfn.AGGREGATE(15,6,ROW(DB!A$2:A$2576)/((($D$3&lt;&gt;"YES")+($D$3="YES")*(DB!E$2:E$2576="YES"))*(($D$4="")+($D$4&lt;&gt;"")*( DB!B$2:B$2576=$D$4))*(($D$5="")+($D$5&lt;&gt;"")*( DB!C$2:C$2576=$D$5))*(($D$6="")+($D$6&lt;&gt;"")*( DB!D$2:D$2576=$D$6))*(($D$7="")+($D$7&lt;&gt;"")*(ISNUMBER(SEARCH($D$7,DB!G$2:G$2576))))*(($F$7="전체")+($F$7&lt;&gt;"전체")*(DB!H$2:H$2576=$F$7))),ROW()-13)-1,"")</f>
        <v/>
      </c>
      <c r="Q1036" t="str" cm="1">
        <f t="array" ref="Q1036">IFERROR(INDEX(DB!G$2:G$2576,P1036),"")</f>
        <v/>
      </c>
      <c r="R1036" t="str" cm="1">
        <f t="array" ref="R1036">IFERROR(INDEX(DB!O$2:O$2576,P1036),"")</f>
        <v/>
      </c>
      <c r="S1036" t="str">
        <f t="shared" si="48"/>
        <v/>
      </c>
      <c r="T1036" t="str">
        <f t="shared" si="49"/>
        <v/>
      </c>
    </row>
    <row r="1037" spans="1:20" ht="100" customHeight="1">
      <c r="A1037" s="26"/>
      <c r="B1037" s="42" t="str">
        <f t="shared" si="47"/>
        <v/>
      </c>
      <c r="C1037" s="43"/>
      <c r="D1037" s="51" t="str" cm="1">
        <f t="array" ref="D1037">IFERROR(INDEX(DB!G$2:G$2576,T1037),"")</f>
        <v/>
      </c>
      <c r="E1037" s="43"/>
      <c r="F1037" s="52" t="str" cm="1">
        <f t="array" ref="F1037">IFERROR(INDEX(DB!O$2:O$2576,T1037),"")</f>
        <v/>
      </c>
      <c r="G1037" s="43"/>
      <c r="H1037" s="40" t="str" cm="1">
        <f t="array" ref="H1037">IFERROR(INDEX(DB!P$2:P$2576,T1037),"")</f>
        <v/>
      </c>
      <c r="I1037" s="43"/>
      <c r="J1037" s="53" t="str" cm="1">
        <f t="array" ref="J1037">IFERROR(INDEX(DB!Q$2:Q$2576,T1037),"")</f>
        <v/>
      </c>
      <c r="K1037" s="43"/>
      <c r="L1037" s="41" t="str" cm="1">
        <f t="array" ref="L1037">IFERROR(INDEX(DB!R$2:R$2576,T1037),"")</f>
        <v/>
      </c>
      <c r="M1037" s="43"/>
      <c r="P1037" t="str" cm="1">
        <f t="array" ref="P1037">IFERROR(_xlfn.AGGREGATE(15,6,ROW(DB!A$2:A$2576)/((($D$3&lt;&gt;"YES")+($D$3="YES")*(DB!E$2:E$2576="YES"))*(($D$4="")+($D$4&lt;&gt;"")*( DB!B$2:B$2576=$D$4))*(($D$5="")+($D$5&lt;&gt;"")*( DB!C$2:C$2576=$D$5))*(($D$6="")+($D$6&lt;&gt;"")*( DB!D$2:D$2576=$D$6))*(($D$7="")+($D$7&lt;&gt;"")*(ISNUMBER(SEARCH($D$7,DB!G$2:G$2576))))*(($F$7="전체")+($F$7&lt;&gt;"전체")*(DB!H$2:H$2576=$F$7))),ROW()-13)-1,"")</f>
        <v/>
      </c>
      <c r="Q1037" t="str" cm="1">
        <f t="array" ref="Q1037">IFERROR(INDEX(DB!G$2:G$2576,P1037),"")</f>
        <v/>
      </c>
      <c r="R1037" t="str" cm="1">
        <f t="array" ref="R1037">IFERROR(INDEX(DB!O$2:O$2576,P1037),"")</f>
        <v/>
      </c>
      <c r="S1037" t="str">
        <f t="shared" si="48"/>
        <v/>
      </c>
      <c r="T1037" t="str">
        <f t="shared" si="49"/>
        <v/>
      </c>
    </row>
    <row r="1038" spans="1:20" ht="100" customHeight="1">
      <c r="A1038" s="26"/>
      <c r="B1038" s="39" t="str">
        <f t="shared" si="47"/>
        <v/>
      </c>
      <c r="C1038" s="43"/>
      <c r="D1038" s="51" t="str" cm="1">
        <f t="array" ref="D1038">IFERROR(INDEX(DB!G$2:G$2576,T1038),"")</f>
        <v/>
      </c>
      <c r="E1038" s="43"/>
      <c r="F1038" s="52" t="str" cm="1">
        <f t="array" ref="F1038">IFERROR(INDEX(DB!O$2:O$2576,T1038),"")</f>
        <v/>
      </c>
      <c r="G1038" s="43"/>
      <c r="H1038" s="40" t="str" cm="1">
        <f t="array" ref="H1038">IFERROR(INDEX(DB!P$2:P$2576,T1038),"")</f>
        <v/>
      </c>
      <c r="I1038" s="43"/>
      <c r="J1038" s="53" t="str" cm="1">
        <f t="array" ref="J1038">IFERROR(INDEX(DB!Q$2:Q$2576,T1038),"")</f>
        <v/>
      </c>
      <c r="K1038" s="43"/>
      <c r="L1038" s="41" t="str" cm="1">
        <f t="array" ref="L1038">IFERROR(INDEX(DB!R$2:R$2576,T1038),"")</f>
        <v/>
      </c>
      <c r="M1038" s="43"/>
      <c r="P1038" t="str" cm="1">
        <f t="array" ref="P1038">IFERROR(_xlfn.AGGREGATE(15,6,ROW(DB!A$2:A$2576)/((($D$3&lt;&gt;"YES")+($D$3="YES")*(DB!E$2:E$2576="YES"))*(($D$4="")+($D$4&lt;&gt;"")*( DB!B$2:B$2576=$D$4))*(($D$5="")+($D$5&lt;&gt;"")*( DB!C$2:C$2576=$D$5))*(($D$6="")+($D$6&lt;&gt;"")*( DB!D$2:D$2576=$D$6))*(($D$7="")+($D$7&lt;&gt;"")*(ISNUMBER(SEARCH($D$7,DB!G$2:G$2576))))*(($F$7="전체")+($F$7&lt;&gt;"전체")*(DB!H$2:H$2576=$F$7))),ROW()-13)-1,"")</f>
        <v/>
      </c>
      <c r="Q1038" t="str" cm="1">
        <f t="array" ref="Q1038">IFERROR(INDEX(DB!G$2:G$2576,P1038),"")</f>
        <v/>
      </c>
      <c r="R1038" t="str" cm="1">
        <f t="array" ref="R1038">IFERROR(INDEX(DB!O$2:O$2576,P1038),"")</f>
        <v/>
      </c>
      <c r="S1038" t="str">
        <f t="shared" si="48"/>
        <v/>
      </c>
      <c r="T1038" t="str">
        <f t="shared" si="49"/>
        <v/>
      </c>
    </row>
    <row r="1039" spans="1:20" ht="100" customHeight="1">
      <c r="A1039" s="26"/>
      <c r="B1039" s="42" t="str">
        <f t="shared" ref="B1039:B1102" si="50">IFERROR(IF(T1039="","",ROW()-13),"")</f>
        <v/>
      </c>
      <c r="C1039" s="43"/>
      <c r="D1039" s="51" t="str" cm="1">
        <f t="array" ref="D1039">IFERROR(INDEX(DB!G$2:G$2576,T1039),"")</f>
        <v/>
      </c>
      <c r="E1039" s="43"/>
      <c r="F1039" s="52" t="str" cm="1">
        <f t="array" ref="F1039">IFERROR(INDEX(DB!O$2:O$2576,T1039),"")</f>
        <v/>
      </c>
      <c r="G1039" s="43"/>
      <c r="H1039" s="40" t="str" cm="1">
        <f t="array" ref="H1039">IFERROR(INDEX(DB!P$2:P$2576,T1039),"")</f>
        <v/>
      </c>
      <c r="I1039" s="43"/>
      <c r="J1039" s="53" t="str" cm="1">
        <f t="array" ref="J1039">IFERROR(INDEX(DB!Q$2:Q$2576,T1039),"")</f>
        <v/>
      </c>
      <c r="K1039" s="43"/>
      <c r="L1039" s="41" t="str" cm="1">
        <f t="array" ref="L1039">IFERROR(INDEX(DB!R$2:R$2576,T1039),"")</f>
        <v/>
      </c>
      <c r="M1039" s="43"/>
      <c r="P1039" t="str" cm="1">
        <f t="array" ref="P1039">IFERROR(_xlfn.AGGREGATE(15,6,ROW(DB!A$2:A$2576)/((($D$3&lt;&gt;"YES")+($D$3="YES")*(DB!E$2:E$2576="YES"))*(($D$4="")+($D$4&lt;&gt;"")*( DB!B$2:B$2576=$D$4))*(($D$5="")+($D$5&lt;&gt;"")*( DB!C$2:C$2576=$D$5))*(($D$6="")+($D$6&lt;&gt;"")*( DB!D$2:D$2576=$D$6))*(($D$7="")+($D$7&lt;&gt;"")*(ISNUMBER(SEARCH($D$7,DB!G$2:G$2576))))*(($F$7="전체")+($F$7&lt;&gt;"전체")*(DB!H$2:H$2576=$F$7))),ROW()-13)-1,"")</f>
        <v/>
      </c>
      <c r="Q1039" t="str" cm="1">
        <f t="array" ref="Q1039">IFERROR(INDEX(DB!G$2:G$2576,P1039),"")</f>
        <v/>
      </c>
      <c r="R1039" t="str" cm="1">
        <f t="array" ref="R1039">IFERROR(INDEX(DB!O$2:O$2576,P1039),"")</f>
        <v/>
      </c>
      <c r="S1039" t="str">
        <f t="shared" ref="S1039:S1102" si="51">IF(P1039="","",COUNTIF($Q$14:$Q$2587,"&lt;"&amp;Q1039)*100+COUNTIF($R$14:$R$2587,"&lt;"&amp;R1039)+(ROW()-13)*0.001)</f>
        <v/>
      </c>
      <c r="T1039" t="str">
        <f t="shared" ref="T1039:T1102" si="52">IFERROR(INDEX($P$14:$P$2587,MATCH(SMALL($S$14:$S$2587,ROW()-13),$S$14:$S$2587,0)),"")</f>
        <v/>
      </c>
    </row>
    <row r="1040" spans="1:20" ht="100" customHeight="1">
      <c r="A1040" s="26"/>
      <c r="B1040" s="39" t="str">
        <f t="shared" si="50"/>
        <v/>
      </c>
      <c r="C1040" s="43"/>
      <c r="D1040" s="51" t="str" cm="1">
        <f t="array" ref="D1040">IFERROR(INDEX(DB!G$2:G$2576,T1040),"")</f>
        <v/>
      </c>
      <c r="E1040" s="43"/>
      <c r="F1040" s="52" t="str" cm="1">
        <f t="array" ref="F1040">IFERROR(INDEX(DB!O$2:O$2576,T1040),"")</f>
        <v/>
      </c>
      <c r="G1040" s="43"/>
      <c r="H1040" s="40" t="str" cm="1">
        <f t="array" ref="H1040">IFERROR(INDEX(DB!P$2:P$2576,T1040),"")</f>
        <v/>
      </c>
      <c r="I1040" s="43"/>
      <c r="J1040" s="53" t="str" cm="1">
        <f t="array" ref="J1040">IFERROR(INDEX(DB!Q$2:Q$2576,T1040),"")</f>
        <v/>
      </c>
      <c r="K1040" s="43"/>
      <c r="L1040" s="41" t="str" cm="1">
        <f t="array" ref="L1040">IFERROR(INDEX(DB!R$2:R$2576,T1040),"")</f>
        <v/>
      </c>
      <c r="M1040" s="43"/>
      <c r="P1040" t="str" cm="1">
        <f t="array" ref="P1040">IFERROR(_xlfn.AGGREGATE(15,6,ROW(DB!A$2:A$2576)/((($D$3&lt;&gt;"YES")+($D$3="YES")*(DB!E$2:E$2576="YES"))*(($D$4="")+($D$4&lt;&gt;"")*( DB!B$2:B$2576=$D$4))*(($D$5="")+($D$5&lt;&gt;"")*( DB!C$2:C$2576=$D$5))*(($D$6="")+($D$6&lt;&gt;"")*( DB!D$2:D$2576=$D$6))*(($D$7="")+($D$7&lt;&gt;"")*(ISNUMBER(SEARCH($D$7,DB!G$2:G$2576))))*(($F$7="전체")+($F$7&lt;&gt;"전체")*(DB!H$2:H$2576=$F$7))),ROW()-13)-1,"")</f>
        <v/>
      </c>
      <c r="Q1040" t="str" cm="1">
        <f t="array" ref="Q1040">IFERROR(INDEX(DB!G$2:G$2576,P1040),"")</f>
        <v/>
      </c>
      <c r="R1040" t="str" cm="1">
        <f t="array" ref="R1040">IFERROR(INDEX(DB!O$2:O$2576,P1040),"")</f>
        <v/>
      </c>
      <c r="S1040" t="str">
        <f t="shared" si="51"/>
        <v/>
      </c>
      <c r="T1040" t="str">
        <f t="shared" si="52"/>
        <v/>
      </c>
    </row>
    <row r="1041" spans="1:20" ht="100" customHeight="1">
      <c r="A1041" s="26"/>
      <c r="B1041" s="42" t="str">
        <f t="shared" si="50"/>
        <v/>
      </c>
      <c r="C1041" s="43"/>
      <c r="D1041" s="51" t="str" cm="1">
        <f t="array" ref="D1041">IFERROR(INDEX(DB!G$2:G$2576,T1041),"")</f>
        <v/>
      </c>
      <c r="E1041" s="43"/>
      <c r="F1041" s="52" t="str" cm="1">
        <f t="array" ref="F1041">IFERROR(INDEX(DB!O$2:O$2576,T1041),"")</f>
        <v/>
      </c>
      <c r="G1041" s="43"/>
      <c r="H1041" s="40" t="str" cm="1">
        <f t="array" ref="H1041">IFERROR(INDEX(DB!P$2:P$2576,T1041),"")</f>
        <v/>
      </c>
      <c r="I1041" s="43"/>
      <c r="J1041" s="53" t="str" cm="1">
        <f t="array" ref="J1041">IFERROR(INDEX(DB!Q$2:Q$2576,T1041),"")</f>
        <v/>
      </c>
      <c r="K1041" s="43"/>
      <c r="L1041" s="41" t="str" cm="1">
        <f t="array" ref="L1041">IFERROR(INDEX(DB!R$2:R$2576,T1041),"")</f>
        <v/>
      </c>
      <c r="M1041" s="43"/>
      <c r="P1041" t="str" cm="1">
        <f t="array" ref="P1041">IFERROR(_xlfn.AGGREGATE(15,6,ROW(DB!A$2:A$2576)/((($D$3&lt;&gt;"YES")+($D$3="YES")*(DB!E$2:E$2576="YES"))*(($D$4="")+($D$4&lt;&gt;"")*( DB!B$2:B$2576=$D$4))*(($D$5="")+($D$5&lt;&gt;"")*( DB!C$2:C$2576=$D$5))*(($D$6="")+($D$6&lt;&gt;"")*( DB!D$2:D$2576=$D$6))*(($D$7="")+($D$7&lt;&gt;"")*(ISNUMBER(SEARCH($D$7,DB!G$2:G$2576))))*(($F$7="전체")+($F$7&lt;&gt;"전체")*(DB!H$2:H$2576=$F$7))),ROW()-13)-1,"")</f>
        <v/>
      </c>
      <c r="Q1041" t="str" cm="1">
        <f t="array" ref="Q1041">IFERROR(INDEX(DB!G$2:G$2576,P1041),"")</f>
        <v/>
      </c>
      <c r="R1041" t="str" cm="1">
        <f t="array" ref="R1041">IFERROR(INDEX(DB!O$2:O$2576,P1041),"")</f>
        <v/>
      </c>
      <c r="S1041" t="str">
        <f t="shared" si="51"/>
        <v/>
      </c>
      <c r="T1041" t="str">
        <f t="shared" si="52"/>
        <v/>
      </c>
    </row>
    <row r="1042" spans="1:20" ht="100" customHeight="1">
      <c r="A1042" s="26"/>
      <c r="B1042" s="39" t="str">
        <f t="shared" si="50"/>
        <v/>
      </c>
      <c r="C1042" s="43"/>
      <c r="D1042" s="51" t="str" cm="1">
        <f t="array" ref="D1042">IFERROR(INDEX(DB!G$2:G$2576,T1042),"")</f>
        <v/>
      </c>
      <c r="E1042" s="43"/>
      <c r="F1042" s="52" t="str" cm="1">
        <f t="array" ref="F1042">IFERROR(INDEX(DB!O$2:O$2576,T1042),"")</f>
        <v/>
      </c>
      <c r="G1042" s="43"/>
      <c r="H1042" s="40" t="str" cm="1">
        <f t="array" ref="H1042">IFERROR(INDEX(DB!P$2:P$2576,T1042),"")</f>
        <v/>
      </c>
      <c r="I1042" s="43"/>
      <c r="J1042" s="53" t="str" cm="1">
        <f t="array" ref="J1042">IFERROR(INDEX(DB!Q$2:Q$2576,T1042),"")</f>
        <v/>
      </c>
      <c r="K1042" s="43"/>
      <c r="L1042" s="41" t="str" cm="1">
        <f t="array" ref="L1042">IFERROR(INDEX(DB!R$2:R$2576,T1042),"")</f>
        <v/>
      </c>
      <c r="M1042" s="43"/>
      <c r="P1042" t="str" cm="1">
        <f t="array" ref="P1042">IFERROR(_xlfn.AGGREGATE(15,6,ROW(DB!A$2:A$2576)/((($D$3&lt;&gt;"YES")+($D$3="YES")*(DB!E$2:E$2576="YES"))*(($D$4="")+($D$4&lt;&gt;"")*( DB!B$2:B$2576=$D$4))*(($D$5="")+($D$5&lt;&gt;"")*( DB!C$2:C$2576=$D$5))*(($D$6="")+($D$6&lt;&gt;"")*( DB!D$2:D$2576=$D$6))*(($D$7="")+($D$7&lt;&gt;"")*(ISNUMBER(SEARCH($D$7,DB!G$2:G$2576))))*(($F$7="전체")+($F$7&lt;&gt;"전체")*(DB!H$2:H$2576=$F$7))),ROW()-13)-1,"")</f>
        <v/>
      </c>
      <c r="Q1042" t="str" cm="1">
        <f t="array" ref="Q1042">IFERROR(INDEX(DB!G$2:G$2576,P1042),"")</f>
        <v/>
      </c>
      <c r="R1042" t="str" cm="1">
        <f t="array" ref="R1042">IFERROR(INDEX(DB!O$2:O$2576,P1042),"")</f>
        <v/>
      </c>
      <c r="S1042" t="str">
        <f t="shared" si="51"/>
        <v/>
      </c>
      <c r="T1042" t="str">
        <f t="shared" si="52"/>
        <v/>
      </c>
    </row>
    <row r="1043" spans="1:20" ht="100" customHeight="1">
      <c r="A1043" s="26"/>
      <c r="B1043" s="42" t="str">
        <f t="shared" si="50"/>
        <v/>
      </c>
      <c r="C1043" s="43"/>
      <c r="D1043" s="51" t="str" cm="1">
        <f t="array" ref="D1043">IFERROR(INDEX(DB!G$2:G$2576,T1043),"")</f>
        <v/>
      </c>
      <c r="E1043" s="43"/>
      <c r="F1043" s="52" t="str" cm="1">
        <f t="array" ref="F1043">IFERROR(INDEX(DB!O$2:O$2576,T1043),"")</f>
        <v/>
      </c>
      <c r="G1043" s="43"/>
      <c r="H1043" s="40" t="str" cm="1">
        <f t="array" ref="H1043">IFERROR(INDEX(DB!P$2:P$2576,T1043),"")</f>
        <v/>
      </c>
      <c r="I1043" s="43"/>
      <c r="J1043" s="53" t="str" cm="1">
        <f t="array" ref="J1043">IFERROR(INDEX(DB!Q$2:Q$2576,T1043),"")</f>
        <v/>
      </c>
      <c r="K1043" s="43"/>
      <c r="L1043" s="41" t="str" cm="1">
        <f t="array" ref="L1043">IFERROR(INDEX(DB!R$2:R$2576,T1043),"")</f>
        <v/>
      </c>
      <c r="M1043" s="43"/>
      <c r="P1043" t="str" cm="1">
        <f t="array" ref="P1043">IFERROR(_xlfn.AGGREGATE(15,6,ROW(DB!A$2:A$2576)/((($D$3&lt;&gt;"YES")+($D$3="YES")*(DB!E$2:E$2576="YES"))*(($D$4="")+($D$4&lt;&gt;"")*( DB!B$2:B$2576=$D$4))*(($D$5="")+($D$5&lt;&gt;"")*( DB!C$2:C$2576=$D$5))*(($D$6="")+($D$6&lt;&gt;"")*( DB!D$2:D$2576=$D$6))*(($D$7="")+($D$7&lt;&gt;"")*(ISNUMBER(SEARCH($D$7,DB!G$2:G$2576))))*(($F$7="전체")+($F$7&lt;&gt;"전체")*(DB!H$2:H$2576=$F$7))),ROW()-13)-1,"")</f>
        <v/>
      </c>
      <c r="Q1043" t="str" cm="1">
        <f t="array" ref="Q1043">IFERROR(INDEX(DB!G$2:G$2576,P1043),"")</f>
        <v/>
      </c>
      <c r="R1043" t="str" cm="1">
        <f t="array" ref="R1043">IFERROR(INDEX(DB!O$2:O$2576,P1043),"")</f>
        <v/>
      </c>
      <c r="S1043" t="str">
        <f t="shared" si="51"/>
        <v/>
      </c>
      <c r="T1043" t="str">
        <f t="shared" si="52"/>
        <v/>
      </c>
    </row>
    <row r="1044" spans="1:20" ht="100" customHeight="1">
      <c r="A1044" s="26"/>
      <c r="B1044" s="39" t="str">
        <f t="shared" si="50"/>
        <v/>
      </c>
      <c r="C1044" s="43"/>
      <c r="D1044" s="51" t="str" cm="1">
        <f t="array" ref="D1044">IFERROR(INDEX(DB!G$2:G$2576,T1044),"")</f>
        <v/>
      </c>
      <c r="E1044" s="43"/>
      <c r="F1044" s="52" t="str" cm="1">
        <f t="array" ref="F1044">IFERROR(INDEX(DB!O$2:O$2576,T1044),"")</f>
        <v/>
      </c>
      <c r="G1044" s="43"/>
      <c r="H1044" s="40" t="str" cm="1">
        <f t="array" ref="H1044">IFERROR(INDEX(DB!P$2:P$2576,T1044),"")</f>
        <v/>
      </c>
      <c r="I1044" s="43"/>
      <c r="J1044" s="53" t="str" cm="1">
        <f t="array" ref="J1044">IFERROR(INDEX(DB!Q$2:Q$2576,T1044),"")</f>
        <v/>
      </c>
      <c r="K1044" s="43"/>
      <c r="L1044" s="41" t="str" cm="1">
        <f t="array" ref="L1044">IFERROR(INDEX(DB!R$2:R$2576,T1044),"")</f>
        <v/>
      </c>
      <c r="M1044" s="43"/>
      <c r="P1044" t="str" cm="1">
        <f t="array" ref="P1044">IFERROR(_xlfn.AGGREGATE(15,6,ROW(DB!A$2:A$2576)/((($D$3&lt;&gt;"YES")+($D$3="YES")*(DB!E$2:E$2576="YES"))*(($D$4="")+($D$4&lt;&gt;"")*( DB!B$2:B$2576=$D$4))*(($D$5="")+($D$5&lt;&gt;"")*( DB!C$2:C$2576=$D$5))*(($D$6="")+($D$6&lt;&gt;"")*( DB!D$2:D$2576=$D$6))*(($D$7="")+($D$7&lt;&gt;"")*(ISNUMBER(SEARCH($D$7,DB!G$2:G$2576))))*(($F$7="전체")+($F$7&lt;&gt;"전체")*(DB!H$2:H$2576=$F$7))),ROW()-13)-1,"")</f>
        <v/>
      </c>
      <c r="Q1044" t="str" cm="1">
        <f t="array" ref="Q1044">IFERROR(INDEX(DB!G$2:G$2576,P1044),"")</f>
        <v/>
      </c>
      <c r="R1044" t="str" cm="1">
        <f t="array" ref="R1044">IFERROR(INDEX(DB!O$2:O$2576,P1044),"")</f>
        <v/>
      </c>
      <c r="S1044" t="str">
        <f t="shared" si="51"/>
        <v/>
      </c>
      <c r="T1044" t="str">
        <f t="shared" si="52"/>
        <v/>
      </c>
    </row>
    <row r="1045" spans="1:20" ht="100" customHeight="1">
      <c r="A1045" s="26"/>
      <c r="B1045" s="42" t="str">
        <f t="shared" si="50"/>
        <v/>
      </c>
      <c r="C1045" s="43"/>
      <c r="D1045" s="51" t="str" cm="1">
        <f t="array" ref="D1045">IFERROR(INDEX(DB!G$2:G$2576,T1045),"")</f>
        <v/>
      </c>
      <c r="E1045" s="43"/>
      <c r="F1045" s="52" t="str" cm="1">
        <f t="array" ref="F1045">IFERROR(INDEX(DB!O$2:O$2576,T1045),"")</f>
        <v/>
      </c>
      <c r="G1045" s="43"/>
      <c r="H1045" s="40" t="str" cm="1">
        <f t="array" ref="H1045">IFERROR(INDEX(DB!P$2:P$2576,T1045),"")</f>
        <v/>
      </c>
      <c r="I1045" s="43"/>
      <c r="J1045" s="53" t="str" cm="1">
        <f t="array" ref="J1045">IFERROR(INDEX(DB!Q$2:Q$2576,T1045),"")</f>
        <v/>
      </c>
      <c r="K1045" s="43"/>
      <c r="L1045" s="41" t="str" cm="1">
        <f t="array" ref="L1045">IFERROR(INDEX(DB!R$2:R$2576,T1045),"")</f>
        <v/>
      </c>
      <c r="M1045" s="43"/>
      <c r="P1045" t="str" cm="1">
        <f t="array" ref="P1045">IFERROR(_xlfn.AGGREGATE(15,6,ROW(DB!A$2:A$2576)/((($D$3&lt;&gt;"YES")+($D$3="YES")*(DB!E$2:E$2576="YES"))*(($D$4="")+($D$4&lt;&gt;"")*( DB!B$2:B$2576=$D$4))*(($D$5="")+($D$5&lt;&gt;"")*( DB!C$2:C$2576=$D$5))*(($D$6="")+($D$6&lt;&gt;"")*( DB!D$2:D$2576=$D$6))*(($D$7="")+($D$7&lt;&gt;"")*(ISNUMBER(SEARCH($D$7,DB!G$2:G$2576))))*(($F$7="전체")+($F$7&lt;&gt;"전체")*(DB!H$2:H$2576=$F$7))),ROW()-13)-1,"")</f>
        <v/>
      </c>
      <c r="Q1045" t="str" cm="1">
        <f t="array" ref="Q1045">IFERROR(INDEX(DB!G$2:G$2576,P1045),"")</f>
        <v/>
      </c>
      <c r="R1045" t="str" cm="1">
        <f t="array" ref="R1045">IFERROR(INDEX(DB!O$2:O$2576,P1045),"")</f>
        <v/>
      </c>
      <c r="S1045" t="str">
        <f t="shared" si="51"/>
        <v/>
      </c>
      <c r="T1045" t="str">
        <f t="shared" si="52"/>
        <v/>
      </c>
    </row>
    <row r="1046" spans="1:20" ht="100" customHeight="1">
      <c r="A1046" s="26"/>
      <c r="B1046" s="39" t="str">
        <f t="shared" si="50"/>
        <v/>
      </c>
      <c r="C1046" s="43"/>
      <c r="D1046" s="51" t="str" cm="1">
        <f t="array" ref="D1046">IFERROR(INDEX(DB!G$2:G$2576,T1046),"")</f>
        <v/>
      </c>
      <c r="E1046" s="43"/>
      <c r="F1046" s="52" t="str" cm="1">
        <f t="array" ref="F1046">IFERROR(INDEX(DB!O$2:O$2576,T1046),"")</f>
        <v/>
      </c>
      <c r="G1046" s="43"/>
      <c r="H1046" s="40" t="str" cm="1">
        <f t="array" ref="H1046">IFERROR(INDEX(DB!P$2:P$2576,T1046),"")</f>
        <v/>
      </c>
      <c r="I1046" s="43"/>
      <c r="J1046" s="53" t="str" cm="1">
        <f t="array" ref="J1046">IFERROR(INDEX(DB!Q$2:Q$2576,T1046),"")</f>
        <v/>
      </c>
      <c r="K1046" s="43"/>
      <c r="L1046" s="41" t="str" cm="1">
        <f t="array" ref="L1046">IFERROR(INDEX(DB!R$2:R$2576,T1046),"")</f>
        <v/>
      </c>
      <c r="M1046" s="43"/>
      <c r="P1046" t="str" cm="1">
        <f t="array" ref="P1046">IFERROR(_xlfn.AGGREGATE(15,6,ROW(DB!A$2:A$2576)/((($D$3&lt;&gt;"YES")+($D$3="YES")*(DB!E$2:E$2576="YES"))*(($D$4="")+($D$4&lt;&gt;"")*( DB!B$2:B$2576=$D$4))*(($D$5="")+($D$5&lt;&gt;"")*( DB!C$2:C$2576=$D$5))*(($D$6="")+($D$6&lt;&gt;"")*( DB!D$2:D$2576=$D$6))*(($D$7="")+($D$7&lt;&gt;"")*(ISNUMBER(SEARCH($D$7,DB!G$2:G$2576))))*(($F$7="전체")+($F$7&lt;&gt;"전체")*(DB!H$2:H$2576=$F$7))),ROW()-13)-1,"")</f>
        <v/>
      </c>
      <c r="Q1046" t="str" cm="1">
        <f t="array" ref="Q1046">IFERROR(INDEX(DB!G$2:G$2576,P1046),"")</f>
        <v/>
      </c>
      <c r="R1046" t="str" cm="1">
        <f t="array" ref="R1046">IFERROR(INDEX(DB!O$2:O$2576,P1046),"")</f>
        <v/>
      </c>
      <c r="S1046" t="str">
        <f t="shared" si="51"/>
        <v/>
      </c>
      <c r="T1046" t="str">
        <f t="shared" si="52"/>
        <v/>
      </c>
    </row>
    <row r="1047" spans="1:20" ht="100" customHeight="1">
      <c r="A1047" s="26"/>
      <c r="B1047" s="42" t="str">
        <f t="shared" si="50"/>
        <v/>
      </c>
      <c r="C1047" s="43"/>
      <c r="D1047" s="51" t="str" cm="1">
        <f t="array" ref="D1047">IFERROR(INDEX(DB!G$2:G$2576,T1047),"")</f>
        <v/>
      </c>
      <c r="E1047" s="43"/>
      <c r="F1047" s="52" t="str" cm="1">
        <f t="array" ref="F1047">IFERROR(INDEX(DB!O$2:O$2576,T1047),"")</f>
        <v/>
      </c>
      <c r="G1047" s="43"/>
      <c r="H1047" s="40" t="str" cm="1">
        <f t="array" ref="H1047">IFERROR(INDEX(DB!P$2:P$2576,T1047),"")</f>
        <v/>
      </c>
      <c r="I1047" s="43"/>
      <c r="J1047" s="53" t="str" cm="1">
        <f t="array" ref="J1047">IFERROR(INDEX(DB!Q$2:Q$2576,T1047),"")</f>
        <v/>
      </c>
      <c r="K1047" s="43"/>
      <c r="L1047" s="41" t="str" cm="1">
        <f t="array" ref="L1047">IFERROR(INDEX(DB!R$2:R$2576,T1047),"")</f>
        <v/>
      </c>
      <c r="M1047" s="43"/>
      <c r="P1047" t="str" cm="1">
        <f t="array" ref="P1047">IFERROR(_xlfn.AGGREGATE(15,6,ROW(DB!A$2:A$2576)/((($D$3&lt;&gt;"YES")+($D$3="YES")*(DB!E$2:E$2576="YES"))*(($D$4="")+($D$4&lt;&gt;"")*( DB!B$2:B$2576=$D$4))*(($D$5="")+($D$5&lt;&gt;"")*( DB!C$2:C$2576=$D$5))*(($D$6="")+($D$6&lt;&gt;"")*( DB!D$2:D$2576=$D$6))*(($D$7="")+($D$7&lt;&gt;"")*(ISNUMBER(SEARCH($D$7,DB!G$2:G$2576))))*(($F$7="전체")+($F$7&lt;&gt;"전체")*(DB!H$2:H$2576=$F$7))),ROW()-13)-1,"")</f>
        <v/>
      </c>
      <c r="Q1047" t="str" cm="1">
        <f t="array" ref="Q1047">IFERROR(INDEX(DB!G$2:G$2576,P1047),"")</f>
        <v/>
      </c>
      <c r="R1047" t="str" cm="1">
        <f t="array" ref="R1047">IFERROR(INDEX(DB!O$2:O$2576,P1047),"")</f>
        <v/>
      </c>
      <c r="S1047" t="str">
        <f t="shared" si="51"/>
        <v/>
      </c>
      <c r="T1047" t="str">
        <f t="shared" si="52"/>
        <v/>
      </c>
    </row>
    <row r="1048" spans="1:20" ht="100" customHeight="1">
      <c r="A1048" s="26"/>
      <c r="B1048" s="39" t="str">
        <f t="shared" si="50"/>
        <v/>
      </c>
      <c r="C1048" s="43"/>
      <c r="D1048" s="51" t="str" cm="1">
        <f t="array" ref="D1048">IFERROR(INDEX(DB!G$2:G$2576,T1048),"")</f>
        <v/>
      </c>
      <c r="E1048" s="43"/>
      <c r="F1048" s="52" t="str" cm="1">
        <f t="array" ref="F1048">IFERROR(INDEX(DB!O$2:O$2576,T1048),"")</f>
        <v/>
      </c>
      <c r="G1048" s="43"/>
      <c r="H1048" s="40" t="str" cm="1">
        <f t="array" ref="H1048">IFERROR(INDEX(DB!P$2:P$2576,T1048),"")</f>
        <v/>
      </c>
      <c r="I1048" s="43"/>
      <c r="J1048" s="53" t="str" cm="1">
        <f t="array" ref="J1048">IFERROR(INDEX(DB!Q$2:Q$2576,T1048),"")</f>
        <v/>
      </c>
      <c r="K1048" s="43"/>
      <c r="L1048" s="41" t="str" cm="1">
        <f t="array" ref="L1048">IFERROR(INDEX(DB!R$2:R$2576,T1048),"")</f>
        <v/>
      </c>
      <c r="M1048" s="43"/>
      <c r="P1048" t="str" cm="1">
        <f t="array" ref="P1048">IFERROR(_xlfn.AGGREGATE(15,6,ROW(DB!A$2:A$2576)/((($D$3&lt;&gt;"YES")+($D$3="YES")*(DB!E$2:E$2576="YES"))*(($D$4="")+($D$4&lt;&gt;"")*( DB!B$2:B$2576=$D$4))*(($D$5="")+($D$5&lt;&gt;"")*( DB!C$2:C$2576=$D$5))*(($D$6="")+($D$6&lt;&gt;"")*( DB!D$2:D$2576=$D$6))*(($D$7="")+($D$7&lt;&gt;"")*(ISNUMBER(SEARCH($D$7,DB!G$2:G$2576))))*(($F$7="전체")+($F$7&lt;&gt;"전체")*(DB!H$2:H$2576=$F$7))),ROW()-13)-1,"")</f>
        <v/>
      </c>
      <c r="Q1048" t="str" cm="1">
        <f t="array" ref="Q1048">IFERROR(INDEX(DB!G$2:G$2576,P1048),"")</f>
        <v/>
      </c>
      <c r="R1048" t="str" cm="1">
        <f t="array" ref="R1048">IFERROR(INDEX(DB!O$2:O$2576,P1048),"")</f>
        <v/>
      </c>
      <c r="S1048" t="str">
        <f t="shared" si="51"/>
        <v/>
      </c>
      <c r="T1048" t="str">
        <f t="shared" si="52"/>
        <v/>
      </c>
    </row>
    <row r="1049" spans="1:20" ht="100" customHeight="1">
      <c r="A1049" s="26"/>
      <c r="B1049" s="42" t="str">
        <f t="shared" si="50"/>
        <v/>
      </c>
      <c r="C1049" s="43"/>
      <c r="D1049" s="51" t="str" cm="1">
        <f t="array" ref="D1049">IFERROR(INDEX(DB!G$2:G$2576,T1049),"")</f>
        <v/>
      </c>
      <c r="E1049" s="43"/>
      <c r="F1049" s="52" t="str" cm="1">
        <f t="array" ref="F1049">IFERROR(INDEX(DB!O$2:O$2576,T1049),"")</f>
        <v/>
      </c>
      <c r="G1049" s="43"/>
      <c r="H1049" s="40" t="str" cm="1">
        <f t="array" ref="H1049">IFERROR(INDEX(DB!P$2:P$2576,T1049),"")</f>
        <v/>
      </c>
      <c r="I1049" s="43"/>
      <c r="J1049" s="53" t="str" cm="1">
        <f t="array" ref="J1049">IFERROR(INDEX(DB!Q$2:Q$2576,T1049),"")</f>
        <v/>
      </c>
      <c r="K1049" s="43"/>
      <c r="L1049" s="41" t="str" cm="1">
        <f t="array" ref="L1049">IFERROR(INDEX(DB!R$2:R$2576,T1049),"")</f>
        <v/>
      </c>
      <c r="M1049" s="43"/>
      <c r="P1049" t="str" cm="1">
        <f t="array" ref="P1049">IFERROR(_xlfn.AGGREGATE(15,6,ROW(DB!A$2:A$2576)/((($D$3&lt;&gt;"YES")+($D$3="YES")*(DB!E$2:E$2576="YES"))*(($D$4="")+($D$4&lt;&gt;"")*( DB!B$2:B$2576=$D$4))*(($D$5="")+($D$5&lt;&gt;"")*( DB!C$2:C$2576=$D$5))*(($D$6="")+($D$6&lt;&gt;"")*( DB!D$2:D$2576=$D$6))*(($D$7="")+($D$7&lt;&gt;"")*(ISNUMBER(SEARCH($D$7,DB!G$2:G$2576))))*(($F$7="전체")+($F$7&lt;&gt;"전체")*(DB!H$2:H$2576=$F$7))),ROW()-13)-1,"")</f>
        <v/>
      </c>
      <c r="Q1049" t="str" cm="1">
        <f t="array" ref="Q1049">IFERROR(INDEX(DB!G$2:G$2576,P1049),"")</f>
        <v/>
      </c>
      <c r="R1049" t="str" cm="1">
        <f t="array" ref="R1049">IFERROR(INDEX(DB!O$2:O$2576,P1049),"")</f>
        <v/>
      </c>
      <c r="S1049" t="str">
        <f t="shared" si="51"/>
        <v/>
      </c>
      <c r="T1049" t="str">
        <f t="shared" si="52"/>
        <v/>
      </c>
    </row>
    <row r="1050" spans="1:20" ht="100" customHeight="1">
      <c r="A1050" s="26"/>
      <c r="B1050" s="39" t="str">
        <f t="shared" si="50"/>
        <v/>
      </c>
      <c r="C1050" s="43"/>
      <c r="D1050" s="51" t="str" cm="1">
        <f t="array" ref="D1050">IFERROR(INDEX(DB!G$2:G$2576,T1050),"")</f>
        <v/>
      </c>
      <c r="E1050" s="43"/>
      <c r="F1050" s="52" t="str" cm="1">
        <f t="array" ref="F1050">IFERROR(INDEX(DB!O$2:O$2576,T1050),"")</f>
        <v/>
      </c>
      <c r="G1050" s="43"/>
      <c r="H1050" s="40" t="str" cm="1">
        <f t="array" ref="H1050">IFERROR(INDEX(DB!P$2:P$2576,T1050),"")</f>
        <v/>
      </c>
      <c r="I1050" s="43"/>
      <c r="J1050" s="53" t="str" cm="1">
        <f t="array" ref="J1050">IFERROR(INDEX(DB!Q$2:Q$2576,T1050),"")</f>
        <v/>
      </c>
      <c r="K1050" s="43"/>
      <c r="L1050" s="41" t="str" cm="1">
        <f t="array" ref="L1050">IFERROR(INDEX(DB!R$2:R$2576,T1050),"")</f>
        <v/>
      </c>
      <c r="M1050" s="43"/>
      <c r="P1050" t="str" cm="1">
        <f t="array" ref="P1050">IFERROR(_xlfn.AGGREGATE(15,6,ROW(DB!A$2:A$2576)/((($D$3&lt;&gt;"YES")+($D$3="YES")*(DB!E$2:E$2576="YES"))*(($D$4="")+($D$4&lt;&gt;"")*( DB!B$2:B$2576=$D$4))*(($D$5="")+($D$5&lt;&gt;"")*( DB!C$2:C$2576=$D$5))*(($D$6="")+($D$6&lt;&gt;"")*( DB!D$2:D$2576=$D$6))*(($D$7="")+($D$7&lt;&gt;"")*(ISNUMBER(SEARCH($D$7,DB!G$2:G$2576))))*(($F$7="전체")+($F$7&lt;&gt;"전체")*(DB!H$2:H$2576=$F$7))),ROW()-13)-1,"")</f>
        <v/>
      </c>
      <c r="Q1050" t="str" cm="1">
        <f t="array" ref="Q1050">IFERROR(INDEX(DB!G$2:G$2576,P1050),"")</f>
        <v/>
      </c>
      <c r="R1050" t="str" cm="1">
        <f t="array" ref="R1050">IFERROR(INDEX(DB!O$2:O$2576,P1050),"")</f>
        <v/>
      </c>
      <c r="S1050" t="str">
        <f t="shared" si="51"/>
        <v/>
      </c>
      <c r="T1050" t="str">
        <f t="shared" si="52"/>
        <v/>
      </c>
    </row>
    <row r="1051" spans="1:20" ht="100" customHeight="1">
      <c r="A1051" s="26"/>
      <c r="B1051" s="42" t="str">
        <f t="shared" si="50"/>
        <v/>
      </c>
      <c r="C1051" s="43"/>
      <c r="D1051" s="51" t="str" cm="1">
        <f t="array" ref="D1051">IFERROR(INDEX(DB!G$2:G$2576,T1051),"")</f>
        <v/>
      </c>
      <c r="E1051" s="43"/>
      <c r="F1051" s="52" t="str" cm="1">
        <f t="array" ref="F1051">IFERROR(INDEX(DB!O$2:O$2576,T1051),"")</f>
        <v/>
      </c>
      <c r="G1051" s="43"/>
      <c r="H1051" s="40" t="str" cm="1">
        <f t="array" ref="H1051">IFERROR(INDEX(DB!P$2:P$2576,T1051),"")</f>
        <v/>
      </c>
      <c r="I1051" s="43"/>
      <c r="J1051" s="53" t="str" cm="1">
        <f t="array" ref="J1051">IFERROR(INDEX(DB!Q$2:Q$2576,T1051),"")</f>
        <v/>
      </c>
      <c r="K1051" s="43"/>
      <c r="L1051" s="41" t="str" cm="1">
        <f t="array" ref="L1051">IFERROR(INDEX(DB!R$2:R$2576,T1051),"")</f>
        <v/>
      </c>
      <c r="M1051" s="43"/>
      <c r="P1051" t="str" cm="1">
        <f t="array" ref="P1051">IFERROR(_xlfn.AGGREGATE(15,6,ROW(DB!A$2:A$2576)/((($D$3&lt;&gt;"YES")+($D$3="YES")*(DB!E$2:E$2576="YES"))*(($D$4="")+($D$4&lt;&gt;"")*( DB!B$2:B$2576=$D$4))*(($D$5="")+($D$5&lt;&gt;"")*( DB!C$2:C$2576=$D$5))*(($D$6="")+($D$6&lt;&gt;"")*( DB!D$2:D$2576=$D$6))*(($D$7="")+($D$7&lt;&gt;"")*(ISNUMBER(SEARCH($D$7,DB!G$2:G$2576))))*(($F$7="전체")+($F$7&lt;&gt;"전체")*(DB!H$2:H$2576=$F$7))),ROW()-13)-1,"")</f>
        <v/>
      </c>
      <c r="Q1051" t="str" cm="1">
        <f t="array" ref="Q1051">IFERROR(INDEX(DB!G$2:G$2576,P1051),"")</f>
        <v/>
      </c>
      <c r="R1051" t="str" cm="1">
        <f t="array" ref="R1051">IFERROR(INDEX(DB!O$2:O$2576,P1051),"")</f>
        <v/>
      </c>
      <c r="S1051" t="str">
        <f t="shared" si="51"/>
        <v/>
      </c>
      <c r="T1051" t="str">
        <f t="shared" si="52"/>
        <v/>
      </c>
    </row>
    <row r="1052" spans="1:20" ht="100" customHeight="1">
      <c r="A1052" s="26"/>
      <c r="B1052" s="39" t="str">
        <f t="shared" si="50"/>
        <v/>
      </c>
      <c r="C1052" s="43"/>
      <c r="D1052" s="51" t="str" cm="1">
        <f t="array" ref="D1052">IFERROR(INDEX(DB!G$2:G$2576,T1052),"")</f>
        <v/>
      </c>
      <c r="E1052" s="43"/>
      <c r="F1052" s="52" t="str" cm="1">
        <f t="array" ref="F1052">IFERROR(INDEX(DB!O$2:O$2576,T1052),"")</f>
        <v/>
      </c>
      <c r="G1052" s="43"/>
      <c r="H1052" s="40" t="str" cm="1">
        <f t="array" ref="H1052">IFERROR(INDEX(DB!P$2:P$2576,T1052),"")</f>
        <v/>
      </c>
      <c r="I1052" s="43"/>
      <c r="J1052" s="53" t="str" cm="1">
        <f t="array" ref="J1052">IFERROR(INDEX(DB!Q$2:Q$2576,T1052),"")</f>
        <v/>
      </c>
      <c r="K1052" s="43"/>
      <c r="L1052" s="41" t="str" cm="1">
        <f t="array" ref="L1052">IFERROR(INDEX(DB!R$2:R$2576,T1052),"")</f>
        <v/>
      </c>
      <c r="M1052" s="43"/>
      <c r="P1052" t="str" cm="1">
        <f t="array" ref="P1052">IFERROR(_xlfn.AGGREGATE(15,6,ROW(DB!A$2:A$2576)/((($D$3&lt;&gt;"YES")+($D$3="YES")*(DB!E$2:E$2576="YES"))*(($D$4="")+($D$4&lt;&gt;"")*( DB!B$2:B$2576=$D$4))*(($D$5="")+($D$5&lt;&gt;"")*( DB!C$2:C$2576=$D$5))*(($D$6="")+($D$6&lt;&gt;"")*( DB!D$2:D$2576=$D$6))*(($D$7="")+($D$7&lt;&gt;"")*(ISNUMBER(SEARCH($D$7,DB!G$2:G$2576))))*(($F$7="전체")+($F$7&lt;&gt;"전체")*(DB!H$2:H$2576=$F$7))),ROW()-13)-1,"")</f>
        <v/>
      </c>
      <c r="Q1052" t="str" cm="1">
        <f t="array" ref="Q1052">IFERROR(INDEX(DB!G$2:G$2576,P1052),"")</f>
        <v/>
      </c>
      <c r="R1052" t="str" cm="1">
        <f t="array" ref="R1052">IFERROR(INDEX(DB!O$2:O$2576,P1052),"")</f>
        <v/>
      </c>
      <c r="S1052" t="str">
        <f t="shared" si="51"/>
        <v/>
      </c>
      <c r="T1052" t="str">
        <f t="shared" si="52"/>
        <v/>
      </c>
    </row>
    <row r="1053" spans="1:20" ht="100" customHeight="1">
      <c r="A1053" s="26"/>
      <c r="B1053" s="42" t="str">
        <f t="shared" si="50"/>
        <v/>
      </c>
      <c r="C1053" s="43"/>
      <c r="D1053" s="51" t="str" cm="1">
        <f t="array" ref="D1053">IFERROR(INDEX(DB!G$2:G$2576,T1053),"")</f>
        <v/>
      </c>
      <c r="E1053" s="43"/>
      <c r="F1053" s="52" t="str" cm="1">
        <f t="array" ref="F1053">IFERROR(INDEX(DB!O$2:O$2576,T1053),"")</f>
        <v/>
      </c>
      <c r="G1053" s="43"/>
      <c r="H1053" s="40" t="str" cm="1">
        <f t="array" ref="H1053">IFERROR(INDEX(DB!P$2:P$2576,T1053),"")</f>
        <v/>
      </c>
      <c r="I1053" s="43"/>
      <c r="J1053" s="53" t="str" cm="1">
        <f t="array" ref="J1053">IFERROR(INDEX(DB!Q$2:Q$2576,T1053),"")</f>
        <v/>
      </c>
      <c r="K1053" s="43"/>
      <c r="L1053" s="41" t="str" cm="1">
        <f t="array" ref="L1053">IFERROR(INDEX(DB!R$2:R$2576,T1053),"")</f>
        <v/>
      </c>
      <c r="M1053" s="43"/>
      <c r="P1053" t="str" cm="1">
        <f t="array" ref="P1053">IFERROR(_xlfn.AGGREGATE(15,6,ROW(DB!A$2:A$2576)/((($D$3&lt;&gt;"YES")+($D$3="YES")*(DB!E$2:E$2576="YES"))*(($D$4="")+($D$4&lt;&gt;"")*( DB!B$2:B$2576=$D$4))*(($D$5="")+($D$5&lt;&gt;"")*( DB!C$2:C$2576=$D$5))*(($D$6="")+($D$6&lt;&gt;"")*( DB!D$2:D$2576=$D$6))*(($D$7="")+($D$7&lt;&gt;"")*(ISNUMBER(SEARCH($D$7,DB!G$2:G$2576))))*(($F$7="전체")+($F$7&lt;&gt;"전체")*(DB!H$2:H$2576=$F$7))),ROW()-13)-1,"")</f>
        <v/>
      </c>
      <c r="Q1053" t="str" cm="1">
        <f t="array" ref="Q1053">IFERROR(INDEX(DB!G$2:G$2576,P1053),"")</f>
        <v/>
      </c>
      <c r="R1053" t="str" cm="1">
        <f t="array" ref="R1053">IFERROR(INDEX(DB!O$2:O$2576,P1053),"")</f>
        <v/>
      </c>
      <c r="S1053" t="str">
        <f t="shared" si="51"/>
        <v/>
      </c>
      <c r="T1053" t="str">
        <f t="shared" si="52"/>
        <v/>
      </c>
    </row>
    <row r="1054" spans="1:20" ht="100" customHeight="1">
      <c r="A1054" s="26"/>
      <c r="B1054" s="39" t="str">
        <f t="shared" si="50"/>
        <v/>
      </c>
      <c r="C1054" s="43"/>
      <c r="D1054" s="51" t="str" cm="1">
        <f t="array" ref="D1054">IFERROR(INDEX(DB!G$2:G$2576,T1054),"")</f>
        <v/>
      </c>
      <c r="E1054" s="43"/>
      <c r="F1054" s="52" t="str" cm="1">
        <f t="array" ref="F1054">IFERROR(INDEX(DB!O$2:O$2576,T1054),"")</f>
        <v/>
      </c>
      <c r="G1054" s="43"/>
      <c r="H1054" s="40" t="str" cm="1">
        <f t="array" ref="H1054">IFERROR(INDEX(DB!P$2:P$2576,T1054),"")</f>
        <v/>
      </c>
      <c r="I1054" s="43"/>
      <c r="J1054" s="53" t="str" cm="1">
        <f t="array" ref="J1054">IFERROR(INDEX(DB!Q$2:Q$2576,T1054),"")</f>
        <v/>
      </c>
      <c r="K1054" s="43"/>
      <c r="L1054" s="41" t="str" cm="1">
        <f t="array" ref="L1054">IFERROR(INDEX(DB!R$2:R$2576,T1054),"")</f>
        <v/>
      </c>
      <c r="M1054" s="43"/>
      <c r="P1054" t="str" cm="1">
        <f t="array" ref="P1054">IFERROR(_xlfn.AGGREGATE(15,6,ROW(DB!A$2:A$2576)/((($D$3&lt;&gt;"YES")+($D$3="YES")*(DB!E$2:E$2576="YES"))*(($D$4="")+($D$4&lt;&gt;"")*( DB!B$2:B$2576=$D$4))*(($D$5="")+($D$5&lt;&gt;"")*( DB!C$2:C$2576=$D$5))*(($D$6="")+($D$6&lt;&gt;"")*( DB!D$2:D$2576=$D$6))*(($D$7="")+($D$7&lt;&gt;"")*(ISNUMBER(SEARCH($D$7,DB!G$2:G$2576))))*(($F$7="전체")+($F$7&lt;&gt;"전체")*(DB!H$2:H$2576=$F$7))),ROW()-13)-1,"")</f>
        <v/>
      </c>
      <c r="Q1054" t="str" cm="1">
        <f t="array" ref="Q1054">IFERROR(INDEX(DB!G$2:G$2576,P1054),"")</f>
        <v/>
      </c>
      <c r="R1054" t="str" cm="1">
        <f t="array" ref="R1054">IFERROR(INDEX(DB!O$2:O$2576,P1054),"")</f>
        <v/>
      </c>
      <c r="S1054" t="str">
        <f t="shared" si="51"/>
        <v/>
      </c>
      <c r="T1054" t="str">
        <f t="shared" si="52"/>
        <v/>
      </c>
    </row>
    <row r="1055" spans="1:20" ht="100" customHeight="1">
      <c r="A1055" s="26"/>
      <c r="B1055" s="42" t="str">
        <f t="shared" si="50"/>
        <v/>
      </c>
      <c r="C1055" s="43"/>
      <c r="D1055" s="51" t="str" cm="1">
        <f t="array" ref="D1055">IFERROR(INDEX(DB!G$2:G$2576,T1055),"")</f>
        <v/>
      </c>
      <c r="E1055" s="43"/>
      <c r="F1055" s="52" t="str" cm="1">
        <f t="array" ref="F1055">IFERROR(INDEX(DB!O$2:O$2576,T1055),"")</f>
        <v/>
      </c>
      <c r="G1055" s="43"/>
      <c r="H1055" s="40" t="str" cm="1">
        <f t="array" ref="H1055">IFERROR(INDEX(DB!P$2:P$2576,T1055),"")</f>
        <v/>
      </c>
      <c r="I1055" s="43"/>
      <c r="J1055" s="53" t="str" cm="1">
        <f t="array" ref="J1055">IFERROR(INDEX(DB!Q$2:Q$2576,T1055),"")</f>
        <v/>
      </c>
      <c r="K1055" s="43"/>
      <c r="L1055" s="41" t="str" cm="1">
        <f t="array" ref="L1055">IFERROR(INDEX(DB!R$2:R$2576,T1055),"")</f>
        <v/>
      </c>
      <c r="M1055" s="43"/>
      <c r="P1055" t="str" cm="1">
        <f t="array" ref="P1055">IFERROR(_xlfn.AGGREGATE(15,6,ROW(DB!A$2:A$2576)/((($D$3&lt;&gt;"YES")+($D$3="YES")*(DB!E$2:E$2576="YES"))*(($D$4="")+($D$4&lt;&gt;"")*( DB!B$2:B$2576=$D$4))*(($D$5="")+($D$5&lt;&gt;"")*( DB!C$2:C$2576=$D$5))*(($D$6="")+($D$6&lt;&gt;"")*( DB!D$2:D$2576=$D$6))*(($D$7="")+($D$7&lt;&gt;"")*(ISNUMBER(SEARCH($D$7,DB!G$2:G$2576))))*(($F$7="전체")+($F$7&lt;&gt;"전체")*(DB!H$2:H$2576=$F$7))),ROW()-13)-1,"")</f>
        <v/>
      </c>
      <c r="Q1055" t="str" cm="1">
        <f t="array" ref="Q1055">IFERROR(INDEX(DB!G$2:G$2576,P1055),"")</f>
        <v/>
      </c>
      <c r="R1055" t="str" cm="1">
        <f t="array" ref="R1055">IFERROR(INDEX(DB!O$2:O$2576,P1055),"")</f>
        <v/>
      </c>
      <c r="S1055" t="str">
        <f t="shared" si="51"/>
        <v/>
      </c>
      <c r="T1055" t="str">
        <f t="shared" si="52"/>
        <v/>
      </c>
    </row>
    <row r="1056" spans="1:20" ht="100" customHeight="1">
      <c r="A1056" s="26"/>
      <c r="B1056" s="39" t="str">
        <f t="shared" si="50"/>
        <v/>
      </c>
      <c r="C1056" s="43"/>
      <c r="D1056" s="51" t="str" cm="1">
        <f t="array" ref="D1056">IFERROR(INDEX(DB!G$2:G$2576,T1056),"")</f>
        <v/>
      </c>
      <c r="E1056" s="43"/>
      <c r="F1056" s="52" t="str" cm="1">
        <f t="array" ref="F1056">IFERROR(INDEX(DB!O$2:O$2576,T1056),"")</f>
        <v/>
      </c>
      <c r="G1056" s="43"/>
      <c r="H1056" s="40" t="str" cm="1">
        <f t="array" ref="H1056">IFERROR(INDEX(DB!P$2:P$2576,T1056),"")</f>
        <v/>
      </c>
      <c r="I1056" s="43"/>
      <c r="J1056" s="53" t="str" cm="1">
        <f t="array" ref="J1056">IFERROR(INDEX(DB!Q$2:Q$2576,T1056),"")</f>
        <v/>
      </c>
      <c r="K1056" s="43"/>
      <c r="L1056" s="41" t="str" cm="1">
        <f t="array" ref="L1056">IFERROR(INDEX(DB!R$2:R$2576,T1056),"")</f>
        <v/>
      </c>
      <c r="M1056" s="43"/>
      <c r="P1056" t="str" cm="1">
        <f t="array" ref="P1056">IFERROR(_xlfn.AGGREGATE(15,6,ROW(DB!A$2:A$2576)/((($D$3&lt;&gt;"YES")+($D$3="YES")*(DB!E$2:E$2576="YES"))*(($D$4="")+($D$4&lt;&gt;"")*( DB!B$2:B$2576=$D$4))*(($D$5="")+($D$5&lt;&gt;"")*( DB!C$2:C$2576=$D$5))*(($D$6="")+($D$6&lt;&gt;"")*( DB!D$2:D$2576=$D$6))*(($D$7="")+($D$7&lt;&gt;"")*(ISNUMBER(SEARCH($D$7,DB!G$2:G$2576))))*(($F$7="전체")+($F$7&lt;&gt;"전체")*(DB!H$2:H$2576=$F$7))),ROW()-13)-1,"")</f>
        <v/>
      </c>
      <c r="Q1056" t="str" cm="1">
        <f t="array" ref="Q1056">IFERROR(INDEX(DB!G$2:G$2576,P1056),"")</f>
        <v/>
      </c>
      <c r="R1056" t="str" cm="1">
        <f t="array" ref="R1056">IFERROR(INDEX(DB!O$2:O$2576,P1056),"")</f>
        <v/>
      </c>
      <c r="S1056" t="str">
        <f t="shared" si="51"/>
        <v/>
      </c>
      <c r="T1056" t="str">
        <f t="shared" si="52"/>
        <v/>
      </c>
    </row>
    <row r="1057" spans="1:20" ht="100" customHeight="1">
      <c r="A1057" s="26"/>
      <c r="B1057" s="42" t="str">
        <f t="shared" si="50"/>
        <v/>
      </c>
      <c r="C1057" s="43"/>
      <c r="D1057" s="51" t="str" cm="1">
        <f t="array" ref="D1057">IFERROR(INDEX(DB!G$2:G$2576,T1057),"")</f>
        <v/>
      </c>
      <c r="E1057" s="43"/>
      <c r="F1057" s="52" t="str" cm="1">
        <f t="array" ref="F1057">IFERROR(INDEX(DB!O$2:O$2576,T1057),"")</f>
        <v/>
      </c>
      <c r="G1057" s="43"/>
      <c r="H1057" s="40" t="str" cm="1">
        <f t="array" ref="H1057">IFERROR(INDEX(DB!P$2:P$2576,T1057),"")</f>
        <v/>
      </c>
      <c r="I1057" s="43"/>
      <c r="J1057" s="53" t="str" cm="1">
        <f t="array" ref="J1057">IFERROR(INDEX(DB!Q$2:Q$2576,T1057),"")</f>
        <v/>
      </c>
      <c r="K1057" s="43"/>
      <c r="L1057" s="41" t="str" cm="1">
        <f t="array" ref="L1057">IFERROR(INDEX(DB!R$2:R$2576,T1057),"")</f>
        <v/>
      </c>
      <c r="M1057" s="43"/>
      <c r="P1057" t="str" cm="1">
        <f t="array" ref="P1057">IFERROR(_xlfn.AGGREGATE(15,6,ROW(DB!A$2:A$2576)/((($D$3&lt;&gt;"YES")+($D$3="YES")*(DB!E$2:E$2576="YES"))*(($D$4="")+($D$4&lt;&gt;"")*( DB!B$2:B$2576=$D$4))*(($D$5="")+($D$5&lt;&gt;"")*( DB!C$2:C$2576=$D$5))*(($D$6="")+($D$6&lt;&gt;"")*( DB!D$2:D$2576=$D$6))*(($D$7="")+($D$7&lt;&gt;"")*(ISNUMBER(SEARCH($D$7,DB!G$2:G$2576))))*(($F$7="전체")+($F$7&lt;&gt;"전체")*(DB!H$2:H$2576=$F$7))),ROW()-13)-1,"")</f>
        <v/>
      </c>
      <c r="Q1057" t="str" cm="1">
        <f t="array" ref="Q1057">IFERROR(INDEX(DB!G$2:G$2576,P1057),"")</f>
        <v/>
      </c>
      <c r="R1057" t="str" cm="1">
        <f t="array" ref="R1057">IFERROR(INDEX(DB!O$2:O$2576,P1057),"")</f>
        <v/>
      </c>
      <c r="S1057" t="str">
        <f t="shared" si="51"/>
        <v/>
      </c>
      <c r="T1057" t="str">
        <f t="shared" si="52"/>
        <v/>
      </c>
    </row>
    <row r="1058" spans="1:20" ht="100" customHeight="1">
      <c r="A1058" s="26"/>
      <c r="B1058" s="39" t="str">
        <f t="shared" si="50"/>
        <v/>
      </c>
      <c r="C1058" s="43"/>
      <c r="D1058" s="51" t="str" cm="1">
        <f t="array" ref="D1058">IFERROR(INDEX(DB!G$2:G$2576,T1058),"")</f>
        <v/>
      </c>
      <c r="E1058" s="43"/>
      <c r="F1058" s="52" t="str" cm="1">
        <f t="array" ref="F1058">IFERROR(INDEX(DB!O$2:O$2576,T1058),"")</f>
        <v/>
      </c>
      <c r="G1058" s="43"/>
      <c r="H1058" s="40" t="str" cm="1">
        <f t="array" ref="H1058">IFERROR(INDEX(DB!P$2:P$2576,T1058),"")</f>
        <v/>
      </c>
      <c r="I1058" s="43"/>
      <c r="J1058" s="53" t="str" cm="1">
        <f t="array" ref="J1058">IFERROR(INDEX(DB!Q$2:Q$2576,T1058),"")</f>
        <v/>
      </c>
      <c r="K1058" s="43"/>
      <c r="L1058" s="41" t="str" cm="1">
        <f t="array" ref="L1058">IFERROR(INDEX(DB!R$2:R$2576,T1058),"")</f>
        <v/>
      </c>
      <c r="M1058" s="43"/>
      <c r="P1058" t="str" cm="1">
        <f t="array" ref="P1058">IFERROR(_xlfn.AGGREGATE(15,6,ROW(DB!A$2:A$2576)/((($D$3&lt;&gt;"YES")+($D$3="YES")*(DB!E$2:E$2576="YES"))*(($D$4="")+($D$4&lt;&gt;"")*( DB!B$2:B$2576=$D$4))*(($D$5="")+($D$5&lt;&gt;"")*( DB!C$2:C$2576=$D$5))*(($D$6="")+($D$6&lt;&gt;"")*( DB!D$2:D$2576=$D$6))*(($D$7="")+($D$7&lt;&gt;"")*(ISNUMBER(SEARCH($D$7,DB!G$2:G$2576))))*(($F$7="전체")+($F$7&lt;&gt;"전체")*(DB!H$2:H$2576=$F$7))),ROW()-13)-1,"")</f>
        <v/>
      </c>
      <c r="Q1058" t="str" cm="1">
        <f t="array" ref="Q1058">IFERROR(INDEX(DB!G$2:G$2576,P1058),"")</f>
        <v/>
      </c>
      <c r="R1058" t="str" cm="1">
        <f t="array" ref="R1058">IFERROR(INDEX(DB!O$2:O$2576,P1058),"")</f>
        <v/>
      </c>
      <c r="S1058" t="str">
        <f t="shared" si="51"/>
        <v/>
      </c>
      <c r="T1058" t="str">
        <f t="shared" si="52"/>
        <v/>
      </c>
    </row>
    <row r="1059" spans="1:20" ht="100" customHeight="1">
      <c r="A1059" s="26"/>
      <c r="B1059" s="42" t="str">
        <f t="shared" si="50"/>
        <v/>
      </c>
      <c r="C1059" s="43"/>
      <c r="D1059" s="51" t="str" cm="1">
        <f t="array" ref="D1059">IFERROR(INDEX(DB!G$2:G$2576,T1059),"")</f>
        <v/>
      </c>
      <c r="E1059" s="43"/>
      <c r="F1059" s="52" t="str" cm="1">
        <f t="array" ref="F1059">IFERROR(INDEX(DB!O$2:O$2576,T1059),"")</f>
        <v/>
      </c>
      <c r="G1059" s="43"/>
      <c r="H1059" s="40" t="str" cm="1">
        <f t="array" ref="H1059">IFERROR(INDEX(DB!P$2:P$2576,T1059),"")</f>
        <v/>
      </c>
      <c r="I1059" s="43"/>
      <c r="J1059" s="53" t="str" cm="1">
        <f t="array" ref="J1059">IFERROR(INDEX(DB!Q$2:Q$2576,T1059),"")</f>
        <v/>
      </c>
      <c r="K1059" s="43"/>
      <c r="L1059" s="41" t="str" cm="1">
        <f t="array" ref="L1059">IFERROR(INDEX(DB!R$2:R$2576,T1059),"")</f>
        <v/>
      </c>
      <c r="M1059" s="43"/>
      <c r="P1059" t="str" cm="1">
        <f t="array" ref="P1059">IFERROR(_xlfn.AGGREGATE(15,6,ROW(DB!A$2:A$2576)/((($D$3&lt;&gt;"YES")+($D$3="YES")*(DB!E$2:E$2576="YES"))*(($D$4="")+($D$4&lt;&gt;"")*( DB!B$2:B$2576=$D$4))*(($D$5="")+($D$5&lt;&gt;"")*( DB!C$2:C$2576=$D$5))*(($D$6="")+($D$6&lt;&gt;"")*( DB!D$2:D$2576=$D$6))*(($D$7="")+($D$7&lt;&gt;"")*(ISNUMBER(SEARCH($D$7,DB!G$2:G$2576))))*(($F$7="전체")+($F$7&lt;&gt;"전체")*(DB!H$2:H$2576=$F$7))),ROW()-13)-1,"")</f>
        <v/>
      </c>
      <c r="Q1059" t="str" cm="1">
        <f t="array" ref="Q1059">IFERROR(INDEX(DB!G$2:G$2576,P1059),"")</f>
        <v/>
      </c>
      <c r="R1059" t="str" cm="1">
        <f t="array" ref="R1059">IFERROR(INDEX(DB!O$2:O$2576,P1059),"")</f>
        <v/>
      </c>
      <c r="S1059" t="str">
        <f t="shared" si="51"/>
        <v/>
      </c>
      <c r="T1059" t="str">
        <f t="shared" si="52"/>
        <v/>
      </c>
    </row>
    <row r="1060" spans="1:20" ht="100" customHeight="1">
      <c r="A1060" s="26"/>
      <c r="B1060" s="39" t="str">
        <f t="shared" si="50"/>
        <v/>
      </c>
      <c r="C1060" s="43"/>
      <c r="D1060" s="51" t="str" cm="1">
        <f t="array" ref="D1060">IFERROR(INDEX(DB!G$2:G$2576,T1060),"")</f>
        <v/>
      </c>
      <c r="E1060" s="43"/>
      <c r="F1060" s="52" t="str" cm="1">
        <f t="array" ref="F1060">IFERROR(INDEX(DB!O$2:O$2576,T1060),"")</f>
        <v/>
      </c>
      <c r="G1060" s="43"/>
      <c r="H1060" s="40" t="str" cm="1">
        <f t="array" ref="H1060">IFERROR(INDEX(DB!P$2:P$2576,T1060),"")</f>
        <v/>
      </c>
      <c r="I1060" s="43"/>
      <c r="J1060" s="53" t="str" cm="1">
        <f t="array" ref="J1060">IFERROR(INDEX(DB!Q$2:Q$2576,T1060),"")</f>
        <v/>
      </c>
      <c r="K1060" s="43"/>
      <c r="L1060" s="41" t="str" cm="1">
        <f t="array" ref="L1060">IFERROR(INDEX(DB!R$2:R$2576,T1060),"")</f>
        <v/>
      </c>
      <c r="M1060" s="43"/>
      <c r="P1060" t="str" cm="1">
        <f t="array" ref="P1060">IFERROR(_xlfn.AGGREGATE(15,6,ROW(DB!A$2:A$2576)/((($D$3&lt;&gt;"YES")+($D$3="YES")*(DB!E$2:E$2576="YES"))*(($D$4="")+($D$4&lt;&gt;"")*( DB!B$2:B$2576=$D$4))*(($D$5="")+($D$5&lt;&gt;"")*( DB!C$2:C$2576=$D$5))*(($D$6="")+($D$6&lt;&gt;"")*( DB!D$2:D$2576=$D$6))*(($D$7="")+($D$7&lt;&gt;"")*(ISNUMBER(SEARCH($D$7,DB!G$2:G$2576))))*(($F$7="전체")+($F$7&lt;&gt;"전체")*(DB!H$2:H$2576=$F$7))),ROW()-13)-1,"")</f>
        <v/>
      </c>
      <c r="Q1060" t="str" cm="1">
        <f t="array" ref="Q1060">IFERROR(INDEX(DB!G$2:G$2576,P1060),"")</f>
        <v/>
      </c>
      <c r="R1060" t="str" cm="1">
        <f t="array" ref="R1060">IFERROR(INDEX(DB!O$2:O$2576,P1060),"")</f>
        <v/>
      </c>
      <c r="S1060" t="str">
        <f t="shared" si="51"/>
        <v/>
      </c>
      <c r="T1060" t="str">
        <f t="shared" si="52"/>
        <v/>
      </c>
    </row>
    <row r="1061" spans="1:20" ht="100" customHeight="1">
      <c r="A1061" s="26"/>
      <c r="B1061" s="42" t="str">
        <f t="shared" si="50"/>
        <v/>
      </c>
      <c r="C1061" s="43"/>
      <c r="D1061" s="51" t="str" cm="1">
        <f t="array" ref="D1061">IFERROR(INDEX(DB!G$2:G$2576,T1061),"")</f>
        <v/>
      </c>
      <c r="E1061" s="43"/>
      <c r="F1061" s="52" t="str" cm="1">
        <f t="array" ref="F1061">IFERROR(INDEX(DB!O$2:O$2576,T1061),"")</f>
        <v/>
      </c>
      <c r="G1061" s="43"/>
      <c r="H1061" s="40" t="str" cm="1">
        <f t="array" ref="H1061">IFERROR(INDEX(DB!P$2:P$2576,T1061),"")</f>
        <v/>
      </c>
      <c r="I1061" s="43"/>
      <c r="J1061" s="53" t="str" cm="1">
        <f t="array" ref="J1061">IFERROR(INDEX(DB!Q$2:Q$2576,T1061),"")</f>
        <v/>
      </c>
      <c r="K1061" s="43"/>
      <c r="L1061" s="41" t="str" cm="1">
        <f t="array" ref="L1061">IFERROR(INDEX(DB!R$2:R$2576,T1061),"")</f>
        <v/>
      </c>
      <c r="M1061" s="43"/>
      <c r="P1061" t="str" cm="1">
        <f t="array" ref="P1061">IFERROR(_xlfn.AGGREGATE(15,6,ROW(DB!A$2:A$2576)/((($D$3&lt;&gt;"YES")+($D$3="YES")*(DB!E$2:E$2576="YES"))*(($D$4="")+($D$4&lt;&gt;"")*( DB!B$2:B$2576=$D$4))*(($D$5="")+($D$5&lt;&gt;"")*( DB!C$2:C$2576=$D$5))*(($D$6="")+($D$6&lt;&gt;"")*( DB!D$2:D$2576=$D$6))*(($D$7="")+($D$7&lt;&gt;"")*(ISNUMBER(SEARCH($D$7,DB!G$2:G$2576))))*(($F$7="전체")+($F$7&lt;&gt;"전체")*(DB!H$2:H$2576=$F$7))),ROW()-13)-1,"")</f>
        <v/>
      </c>
      <c r="Q1061" t="str" cm="1">
        <f t="array" ref="Q1061">IFERROR(INDEX(DB!G$2:G$2576,P1061),"")</f>
        <v/>
      </c>
      <c r="R1061" t="str" cm="1">
        <f t="array" ref="R1061">IFERROR(INDEX(DB!O$2:O$2576,P1061),"")</f>
        <v/>
      </c>
      <c r="S1061" t="str">
        <f t="shared" si="51"/>
        <v/>
      </c>
      <c r="T1061" t="str">
        <f t="shared" si="52"/>
        <v/>
      </c>
    </row>
    <row r="1062" spans="1:20" ht="100" customHeight="1">
      <c r="A1062" s="26"/>
      <c r="B1062" s="39" t="str">
        <f t="shared" si="50"/>
        <v/>
      </c>
      <c r="C1062" s="43"/>
      <c r="D1062" s="51" t="str" cm="1">
        <f t="array" ref="D1062">IFERROR(INDEX(DB!G$2:G$2576,T1062),"")</f>
        <v/>
      </c>
      <c r="E1062" s="43"/>
      <c r="F1062" s="52" t="str" cm="1">
        <f t="array" ref="F1062">IFERROR(INDEX(DB!O$2:O$2576,T1062),"")</f>
        <v/>
      </c>
      <c r="G1062" s="43"/>
      <c r="H1062" s="40" t="str" cm="1">
        <f t="array" ref="H1062">IFERROR(INDEX(DB!P$2:P$2576,T1062),"")</f>
        <v/>
      </c>
      <c r="I1062" s="43"/>
      <c r="J1062" s="53" t="str" cm="1">
        <f t="array" ref="J1062">IFERROR(INDEX(DB!Q$2:Q$2576,T1062),"")</f>
        <v/>
      </c>
      <c r="K1062" s="43"/>
      <c r="L1062" s="41" t="str" cm="1">
        <f t="array" ref="L1062">IFERROR(INDEX(DB!R$2:R$2576,T1062),"")</f>
        <v/>
      </c>
      <c r="M1062" s="43"/>
      <c r="P1062" t="str" cm="1">
        <f t="array" ref="P1062">IFERROR(_xlfn.AGGREGATE(15,6,ROW(DB!A$2:A$2576)/((($D$3&lt;&gt;"YES")+($D$3="YES")*(DB!E$2:E$2576="YES"))*(($D$4="")+($D$4&lt;&gt;"")*( DB!B$2:B$2576=$D$4))*(($D$5="")+($D$5&lt;&gt;"")*( DB!C$2:C$2576=$D$5))*(($D$6="")+($D$6&lt;&gt;"")*( DB!D$2:D$2576=$D$6))*(($D$7="")+($D$7&lt;&gt;"")*(ISNUMBER(SEARCH($D$7,DB!G$2:G$2576))))*(($F$7="전체")+($F$7&lt;&gt;"전체")*(DB!H$2:H$2576=$F$7))),ROW()-13)-1,"")</f>
        <v/>
      </c>
      <c r="Q1062" t="str" cm="1">
        <f t="array" ref="Q1062">IFERROR(INDEX(DB!G$2:G$2576,P1062),"")</f>
        <v/>
      </c>
      <c r="R1062" t="str" cm="1">
        <f t="array" ref="R1062">IFERROR(INDEX(DB!O$2:O$2576,P1062),"")</f>
        <v/>
      </c>
      <c r="S1062" t="str">
        <f t="shared" si="51"/>
        <v/>
      </c>
      <c r="T1062" t="str">
        <f t="shared" si="52"/>
        <v/>
      </c>
    </row>
    <row r="1063" spans="1:20" ht="100" customHeight="1">
      <c r="A1063" s="26"/>
      <c r="B1063" s="42" t="str">
        <f t="shared" si="50"/>
        <v/>
      </c>
      <c r="C1063" s="43"/>
      <c r="D1063" s="51" t="str" cm="1">
        <f t="array" ref="D1063">IFERROR(INDEX(DB!G$2:G$2576,T1063),"")</f>
        <v/>
      </c>
      <c r="E1063" s="43"/>
      <c r="F1063" s="52" t="str" cm="1">
        <f t="array" ref="F1063">IFERROR(INDEX(DB!O$2:O$2576,T1063),"")</f>
        <v/>
      </c>
      <c r="G1063" s="43"/>
      <c r="H1063" s="40" t="str" cm="1">
        <f t="array" ref="H1063">IFERROR(INDEX(DB!P$2:P$2576,T1063),"")</f>
        <v/>
      </c>
      <c r="I1063" s="43"/>
      <c r="J1063" s="53" t="str" cm="1">
        <f t="array" ref="J1063">IFERROR(INDEX(DB!Q$2:Q$2576,T1063),"")</f>
        <v/>
      </c>
      <c r="K1063" s="43"/>
      <c r="L1063" s="41" t="str" cm="1">
        <f t="array" ref="L1063">IFERROR(INDEX(DB!R$2:R$2576,T1063),"")</f>
        <v/>
      </c>
      <c r="M1063" s="43"/>
      <c r="P1063" t="str" cm="1">
        <f t="array" ref="P1063">IFERROR(_xlfn.AGGREGATE(15,6,ROW(DB!A$2:A$2576)/((($D$3&lt;&gt;"YES")+($D$3="YES")*(DB!E$2:E$2576="YES"))*(($D$4="")+($D$4&lt;&gt;"")*( DB!B$2:B$2576=$D$4))*(($D$5="")+($D$5&lt;&gt;"")*( DB!C$2:C$2576=$D$5))*(($D$6="")+($D$6&lt;&gt;"")*( DB!D$2:D$2576=$D$6))*(($D$7="")+($D$7&lt;&gt;"")*(ISNUMBER(SEARCH($D$7,DB!G$2:G$2576))))*(($F$7="전체")+($F$7&lt;&gt;"전체")*(DB!H$2:H$2576=$F$7))),ROW()-13)-1,"")</f>
        <v/>
      </c>
      <c r="Q1063" t="str" cm="1">
        <f t="array" ref="Q1063">IFERROR(INDEX(DB!G$2:G$2576,P1063),"")</f>
        <v/>
      </c>
      <c r="R1063" t="str" cm="1">
        <f t="array" ref="R1063">IFERROR(INDEX(DB!O$2:O$2576,P1063),"")</f>
        <v/>
      </c>
      <c r="S1063" t="str">
        <f t="shared" si="51"/>
        <v/>
      </c>
      <c r="T1063" t="str">
        <f t="shared" si="52"/>
        <v/>
      </c>
    </row>
    <row r="1064" spans="1:20" ht="100" customHeight="1">
      <c r="A1064" s="26"/>
      <c r="B1064" s="39" t="str">
        <f t="shared" si="50"/>
        <v/>
      </c>
      <c r="C1064" s="43"/>
      <c r="D1064" s="51" t="str" cm="1">
        <f t="array" ref="D1064">IFERROR(INDEX(DB!G$2:G$2576,T1064),"")</f>
        <v/>
      </c>
      <c r="E1064" s="43"/>
      <c r="F1064" s="52" t="str" cm="1">
        <f t="array" ref="F1064">IFERROR(INDEX(DB!O$2:O$2576,T1064),"")</f>
        <v/>
      </c>
      <c r="G1064" s="43"/>
      <c r="H1064" s="40" t="str" cm="1">
        <f t="array" ref="H1064">IFERROR(INDEX(DB!P$2:P$2576,T1064),"")</f>
        <v/>
      </c>
      <c r="I1064" s="43"/>
      <c r="J1064" s="53" t="str" cm="1">
        <f t="array" ref="J1064">IFERROR(INDEX(DB!Q$2:Q$2576,T1064),"")</f>
        <v/>
      </c>
      <c r="K1064" s="43"/>
      <c r="L1064" s="41" t="str" cm="1">
        <f t="array" ref="L1064">IFERROR(INDEX(DB!R$2:R$2576,T1064),"")</f>
        <v/>
      </c>
      <c r="M1064" s="43"/>
      <c r="P1064" t="str" cm="1">
        <f t="array" ref="P1064">IFERROR(_xlfn.AGGREGATE(15,6,ROW(DB!A$2:A$2576)/((($D$3&lt;&gt;"YES")+($D$3="YES")*(DB!E$2:E$2576="YES"))*(($D$4="")+($D$4&lt;&gt;"")*( DB!B$2:B$2576=$D$4))*(($D$5="")+($D$5&lt;&gt;"")*( DB!C$2:C$2576=$D$5))*(($D$6="")+($D$6&lt;&gt;"")*( DB!D$2:D$2576=$D$6))*(($D$7="")+($D$7&lt;&gt;"")*(ISNUMBER(SEARCH($D$7,DB!G$2:G$2576))))*(($F$7="전체")+($F$7&lt;&gt;"전체")*(DB!H$2:H$2576=$F$7))),ROW()-13)-1,"")</f>
        <v/>
      </c>
      <c r="Q1064" t="str" cm="1">
        <f t="array" ref="Q1064">IFERROR(INDEX(DB!G$2:G$2576,P1064),"")</f>
        <v/>
      </c>
      <c r="R1064" t="str" cm="1">
        <f t="array" ref="R1064">IFERROR(INDEX(DB!O$2:O$2576,P1064),"")</f>
        <v/>
      </c>
      <c r="S1064" t="str">
        <f t="shared" si="51"/>
        <v/>
      </c>
      <c r="T1064" t="str">
        <f t="shared" si="52"/>
        <v/>
      </c>
    </row>
    <row r="1065" spans="1:20" ht="100" customHeight="1">
      <c r="A1065" s="26"/>
      <c r="B1065" s="42" t="str">
        <f t="shared" si="50"/>
        <v/>
      </c>
      <c r="C1065" s="43"/>
      <c r="D1065" s="51" t="str" cm="1">
        <f t="array" ref="D1065">IFERROR(INDEX(DB!G$2:G$2576,T1065),"")</f>
        <v/>
      </c>
      <c r="E1065" s="43"/>
      <c r="F1065" s="52" t="str" cm="1">
        <f t="array" ref="F1065">IFERROR(INDEX(DB!O$2:O$2576,T1065),"")</f>
        <v/>
      </c>
      <c r="G1065" s="43"/>
      <c r="H1065" s="40" t="str" cm="1">
        <f t="array" ref="H1065">IFERROR(INDEX(DB!P$2:P$2576,T1065),"")</f>
        <v/>
      </c>
      <c r="I1065" s="43"/>
      <c r="J1065" s="53" t="str" cm="1">
        <f t="array" ref="J1065">IFERROR(INDEX(DB!Q$2:Q$2576,T1065),"")</f>
        <v/>
      </c>
      <c r="K1065" s="43"/>
      <c r="L1065" s="41" t="str" cm="1">
        <f t="array" ref="L1065">IFERROR(INDEX(DB!R$2:R$2576,T1065),"")</f>
        <v/>
      </c>
      <c r="M1065" s="43"/>
      <c r="P1065" t="str" cm="1">
        <f t="array" ref="P1065">IFERROR(_xlfn.AGGREGATE(15,6,ROW(DB!A$2:A$2576)/((($D$3&lt;&gt;"YES")+($D$3="YES")*(DB!E$2:E$2576="YES"))*(($D$4="")+($D$4&lt;&gt;"")*( DB!B$2:B$2576=$D$4))*(($D$5="")+($D$5&lt;&gt;"")*( DB!C$2:C$2576=$D$5))*(($D$6="")+($D$6&lt;&gt;"")*( DB!D$2:D$2576=$D$6))*(($D$7="")+($D$7&lt;&gt;"")*(ISNUMBER(SEARCH($D$7,DB!G$2:G$2576))))*(($F$7="전체")+($F$7&lt;&gt;"전체")*(DB!H$2:H$2576=$F$7))),ROW()-13)-1,"")</f>
        <v/>
      </c>
      <c r="Q1065" t="str" cm="1">
        <f t="array" ref="Q1065">IFERROR(INDEX(DB!G$2:G$2576,P1065),"")</f>
        <v/>
      </c>
      <c r="R1065" t="str" cm="1">
        <f t="array" ref="R1065">IFERROR(INDEX(DB!O$2:O$2576,P1065),"")</f>
        <v/>
      </c>
      <c r="S1065" t="str">
        <f t="shared" si="51"/>
        <v/>
      </c>
      <c r="T1065" t="str">
        <f t="shared" si="52"/>
        <v/>
      </c>
    </row>
    <row r="1066" spans="1:20" ht="100" customHeight="1">
      <c r="A1066" s="26"/>
      <c r="B1066" s="39" t="str">
        <f t="shared" si="50"/>
        <v/>
      </c>
      <c r="C1066" s="43"/>
      <c r="D1066" s="51" t="str" cm="1">
        <f t="array" ref="D1066">IFERROR(INDEX(DB!G$2:G$2576,T1066),"")</f>
        <v/>
      </c>
      <c r="E1066" s="43"/>
      <c r="F1066" s="52" t="str" cm="1">
        <f t="array" ref="F1066">IFERROR(INDEX(DB!O$2:O$2576,T1066),"")</f>
        <v/>
      </c>
      <c r="G1066" s="43"/>
      <c r="H1066" s="40" t="str" cm="1">
        <f t="array" ref="H1066">IFERROR(INDEX(DB!P$2:P$2576,T1066),"")</f>
        <v/>
      </c>
      <c r="I1066" s="43"/>
      <c r="J1066" s="53" t="str" cm="1">
        <f t="array" ref="J1066">IFERROR(INDEX(DB!Q$2:Q$2576,T1066),"")</f>
        <v/>
      </c>
      <c r="K1066" s="43"/>
      <c r="L1066" s="41" t="str" cm="1">
        <f t="array" ref="L1066">IFERROR(INDEX(DB!R$2:R$2576,T1066),"")</f>
        <v/>
      </c>
      <c r="M1066" s="43"/>
      <c r="P1066" t="str" cm="1">
        <f t="array" ref="P1066">IFERROR(_xlfn.AGGREGATE(15,6,ROW(DB!A$2:A$2576)/((($D$3&lt;&gt;"YES")+($D$3="YES")*(DB!E$2:E$2576="YES"))*(($D$4="")+($D$4&lt;&gt;"")*( DB!B$2:B$2576=$D$4))*(($D$5="")+($D$5&lt;&gt;"")*( DB!C$2:C$2576=$D$5))*(($D$6="")+($D$6&lt;&gt;"")*( DB!D$2:D$2576=$D$6))*(($D$7="")+($D$7&lt;&gt;"")*(ISNUMBER(SEARCH($D$7,DB!G$2:G$2576))))*(($F$7="전체")+($F$7&lt;&gt;"전체")*(DB!H$2:H$2576=$F$7))),ROW()-13)-1,"")</f>
        <v/>
      </c>
      <c r="Q1066" t="str" cm="1">
        <f t="array" ref="Q1066">IFERROR(INDEX(DB!G$2:G$2576,P1066),"")</f>
        <v/>
      </c>
      <c r="R1066" t="str" cm="1">
        <f t="array" ref="R1066">IFERROR(INDEX(DB!O$2:O$2576,P1066),"")</f>
        <v/>
      </c>
      <c r="S1066" t="str">
        <f t="shared" si="51"/>
        <v/>
      </c>
      <c r="T1066" t="str">
        <f t="shared" si="52"/>
        <v/>
      </c>
    </row>
    <row r="1067" spans="1:20" ht="100" customHeight="1">
      <c r="A1067" s="26"/>
      <c r="B1067" s="42" t="str">
        <f t="shared" si="50"/>
        <v/>
      </c>
      <c r="C1067" s="43"/>
      <c r="D1067" s="51" t="str" cm="1">
        <f t="array" ref="D1067">IFERROR(INDEX(DB!G$2:G$2576,T1067),"")</f>
        <v/>
      </c>
      <c r="E1067" s="43"/>
      <c r="F1067" s="52" t="str" cm="1">
        <f t="array" ref="F1067">IFERROR(INDEX(DB!O$2:O$2576,T1067),"")</f>
        <v/>
      </c>
      <c r="G1067" s="43"/>
      <c r="H1067" s="40" t="str" cm="1">
        <f t="array" ref="H1067">IFERROR(INDEX(DB!P$2:P$2576,T1067),"")</f>
        <v/>
      </c>
      <c r="I1067" s="43"/>
      <c r="J1067" s="53" t="str" cm="1">
        <f t="array" ref="J1067">IFERROR(INDEX(DB!Q$2:Q$2576,T1067),"")</f>
        <v/>
      </c>
      <c r="K1067" s="43"/>
      <c r="L1067" s="41" t="str" cm="1">
        <f t="array" ref="L1067">IFERROR(INDEX(DB!R$2:R$2576,T1067),"")</f>
        <v/>
      </c>
      <c r="M1067" s="43"/>
      <c r="P1067" t="str" cm="1">
        <f t="array" ref="P1067">IFERROR(_xlfn.AGGREGATE(15,6,ROW(DB!A$2:A$2576)/((($D$3&lt;&gt;"YES")+($D$3="YES")*(DB!E$2:E$2576="YES"))*(($D$4="")+($D$4&lt;&gt;"")*( DB!B$2:B$2576=$D$4))*(($D$5="")+($D$5&lt;&gt;"")*( DB!C$2:C$2576=$D$5))*(($D$6="")+($D$6&lt;&gt;"")*( DB!D$2:D$2576=$D$6))*(($D$7="")+($D$7&lt;&gt;"")*(ISNUMBER(SEARCH($D$7,DB!G$2:G$2576))))*(($F$7="전체")+($F$7&lt;&gt;"전체")*(DB!H$2:H$2576=$F$7))),ROW()-13)-1,"")</f>
        <v/>
      </c>
      <c r="Q1067" t="str" cm="1">
        <f t="array" ref="Q1067">IFERROR(INDEX(DB!G$2:G$2576,P1067),"")</f>
        <v/>
      </c>
      <c r="R1067" t="str" cm="1">
        <f t="array" ref="R1067">IFERROR(INDEX(DB!O$2:O$2576,P1067),"")</f>
        <v/>
      </c>
      <c r="S1067" t="str">
        <f t="shared" si="51"/>
        <v/>
      </c>
      <c r="T1067" t="str">
        <f t="shared" si="52"/>
        <v/>
      </c>
    </row>
    <row r="1068" spans="1:20" ht="100" customHeight="1">
      <c r="A1068" s="26"/>
      <c r="B1068" s="39" t="str">
        <f t="shared" si="50"/>
        <v/>
      </c>
      <c r="C1068" s="43"/>
      <c r="D1068" s="51" t="str" cm="1">
        <f t="array" ref="D1068">IFERROR(INDEX(DB!G$2:G$2576,T1068),"")</f>
        <v/>
      </c>
      <c r="E1068" s="43"/>
      <c r="F1068" s="52" t="str" cm="1">
        <f t="array" ref="F1068">IFERROR(INDEX(DB!O$2:O$2576,T1068),"")</f>
        <v/>
      </c>
      <c r="G1068" s="43"/>
      <c r="H1068" s="40" t="str" cm="1">
        <f t="array" ref="H1068">IFERROR(INDEX(DB!P$2:P$2576,T1068),"")</f>
        <v/>
      </c>
      <c r="I1068" s="43"/>
      <c r="J1068" s="53" t="str" cm="1">
        <f t="array" ref="J1068">IFERROR(INDEX(DB!Q$2:Q$2576,T1068),"")</f>
        <v/>
      </c>
      <c r="K1068" s="43"/>
      <c r="L1068" s="41" t="str" cm="1">
        <f t="array" ref="L1068">IFERROR(INDEX(DB!R$2:R$2576,T1068),"")</f>
        <v/>
      </c>
      <c r="M1068" s="43"/>
      <c r="P1068" t="str" cm="1">
        <f t="array" ref="P1068">IFERROR(_xlfn.AGGREGATE(15,6,ROW(DB!A$2:A$2576)/((($D$3&lt;&gt;"YES")+($D$3="YES")*(DB!E$2:E$2576="YES"))*(($D$4="")+($D$4&lt;&gt;"")*( DB!B$2:B$2576=$D$4))*(($D$5="")+($D$5&lt;&gt;"")*( DB!C$2:C$2576=$D$5))*(($D$6="")+($D$6&lt;&gt;"")*( DB!D$2:D$2576=$D$6))*(($D$7="")+($D$7&lt;&gt;"")*(ISNUMBER(SEARCH($D$7,DB!G$2:G$2576))))*(($F$7="전체")+($F$7&lt;&gt;"전체")*(DB!H$2:H$2576=$F$7))),ROW()-13)-1,"")</f>
        <v/>
      </c>
      <c r="Q1068" t="str" cm="1">
        <f t="array" ref="Q1068">IFERROR(INDEX(DB!G$2:G$2576,P1068),"")</f>
        <v/>
      </c>
      <c r="R1068" t="str" cm="1">
        <f t="array" ref="R1068">IFERROR(INDEX(DB!O$2:O$2576,P1068),"")</f>
        <v/>
      </c>
      <c r="S1068" t="str">
        <f t="shared" si="51"/>
        <v/>
      </c>
      <c r="T1068" t="str">
        <f t="shared" si="52"/>
        <v/>
      </c>
    </row>
    <row r="1069" spans="1:20" ht="100" customHeight="1">
      <c r="A1069" s="26"/>
      <c r="B1069" s="42" t="str">
        <f t="shared" si="50"/>
        <v/>
      </c>
      <c r="C1069" s="43"/>
      <c r="D1069" s="51" t="str" cm="1">
        <f t="array" ref="D1069">IFERROR(INDEX(DB!G$2:G$2576,T1069),"")</f>
        <v/>
      </c>
      <c r="E1069" s="43"/>
      <c r="F1069" s="52" t="str" cm="1">
        <f t="array" ref="F1069">IFERROR(INDEX(DB!O$2:O$2576,T1069),"")</f>
        <v/>
      </c>
      <c r="G1069" s="43"/>
      <c r="H1069" s="40" t="str" cm="1">
        <f t="array" ref="H1069">IFERROR(INDEX(DB!P$2:P$2576,T1069),"")</f>
        <v/>
      </c>
      <c r="I1069" s="43"/>
      <c r="J1069" s="53" t="str" cm="1">
        <f t="array" ref="J1069">IFERROR(INDEX(DB!Q$2:Q$2576,T1069),"")</f>
        <v/>
      </c>
      <c r="K1069" s="43"/>
      <c r="L1069" s="41" t="str" cm="1">
        <f t="array" ref="L1069">IFERROR(INDEX(DB!R$2:R$2576,T1069),"")</f>
        <v/>
      </c>
      <c r="M1069" s="43"/>
      <c r="P1069" t="str" cm="1">
        <f t="array" ref="P1069">IFERROR(_xlfn.AGGREGATE(15,6,ROW(DB!A$2:A$2576)/((($D$3&lt;&gt;"YES")+($D$3="YES")*(DB!E$2:E$2576="YES"))*(($D$4="")+($D$4&lt;&gt;"")*( DB!B$2:B$2576=$D$4))*(($D$5="")+($D$5&lt;&gt;"")*( DB!C$2:C$2576=$D$5))*(($D$6="")+($D$6&lt;&gt;"")*( DB!D$2:D$2576=$D$6))*(($D$7="")+($D$7&lt;&gt;"")*(ISNUMBER(SEARCH($D$7,DB!G$2:G$2576))))*(($F$7="전체")+($F$7&lt;&gt;"전체")*(DB!H$2:H$2576=$F$7))),ROW()-13)-1,"")</f>
        <v/>
      </c>
      <c r="Q1069" t="str" cm="1">
        <f t="array" ref="Q1069">IFERROR(INDEX(DB!G$2:G$2576,P1069),"")</f>
        <v/>
      </c>
      <c r="R1069" t="str" cm="1">
        <f t="array" ref="R1069">IFERROR(INDEX(DB!O$2:O$2576,P1069),"")</f>
        <v/>
      </c>
      <c r="S1069" t="str">
        <f t="shared" si="51"/>
        <v/>
      </c>
      <c r="T1069" t="str">
        <f t="shared" si="52"/>
        <v/>
      </c>
    </row>
    <row r="1070" spans="1:20" ht="100" customHeight="1">
      <c r="A1070" s="26"/>
      <c r="B1070" s="39" t="str">
        <f t="shared" si="50"/>
        <v/>
      </c>
      <c r="C1070" s="43"/>
      <c r="D1070" s="51" t="str" cm="1">
        <f t="array" ref="D1070">IFERROR(INDEX(DB!G$2:G$2576,T1070),"")</f>
        <v/>
      </c>
      <c r="E1070" s="43"/>
      <c r="F1070" s="52" t="str" cm="1">
        <f t="array" ref="F1070">IFERROR(INDEX(DB!O$2:O$2576,T1070),"")</f>
        <v/>
      </c>
      <c r="G1070" s="43"/>
      <c r="H1070" s="40" t="str" cm="1">
        <f t="array" ref="H1070">IFERROR(INDEX(DB!P$2:P$2576,T1070),"")</f>
        <v/>
      </c>
      <c r="I1070" s="43"/>
      <c r="J1070" s="53" t="str" cm="1">
        <f t="array" ref="J1070">IFERROR(INDEX(DB!Q$2:Q$2576,T1070),"")</f>
        <v/>
      </c>
      <c r="K1070" s="43"/>
      <c r="L1070" s="41" t="str" cm="1">
        <f t="array" ref="L1070">IFERROR(INDEX(DB!R$2:R$2576,T1070),"")</f>
        <v/>
      </c>
      <c r="M1070" s="43"/>
      <c r="P1070" t="str" cm="1">
        <f t="array" ref="P1070">IFERROR(_xlfn.AGGREGATE(15,6,ROW(DB!A$2:A$2576)/((($D$3&lt;&gt;"YES")+($D$3="YES")*(DB!E$2:E$2576="YES"))*(($D$4="")+($D$4&lt;&gt;"")*( DB!B$2:B$2576=$D$4))*(($D$5="")+($D$5&lt;&gt;"")*( DB!C$2:C$2576=$D$5))*(($D$6="")+($D$6&lt;&gt;"")*( DB!D$2:D$2576=$D$6))*(($D$7="")+($D$7&lt;&gt;"")*(ISNUMBER(SEARCH($D$7,DB!G$2:G$2576))))*(($F$7="전체")+($F$7&lt;&gt;"전체")*(DB!H$2:H$2576=$F$7))),ROW()-13)-1,"")</f>
        <v/>
      </c>
      <c r="Q1070" t="str" cm="1">
        <f t="array" ref="Q1070">IFERROR(INDEX(DB!G$2:G$2576,P1070),"")</f>
        <v/>
      </c>
      <c r="R1070" t="str" cm="1">
        <f t="array" ref="R1070">IFERROR(INDEX(DB!O$2:O$2576,P1070),"")</f>
        <v/>
      </c>
      <c r="S1070" t="str">
        <f t="shared" si="51"/>
        <v/>
      </c>
      <c r="T1070" t="str">
        <f t="shared" si="52"/>
        <v/>
      </c>
    </row>
    <row r="1071" spans="1:20" ht="100" customHeight="1">
      <c r="A1071" s="26"/>
      <c r="B1071" s="42" t="str">
        <f t="shared" si="50"/>
        <v/>
      </c>
      <c r="C1071" s="43"/>
      <c r="D1071" s="51" t="str" cm="1">
        <f t="array" ref="D1071">IFERROR(INDEX(DB!G$2:G$2576,T1071),"")</f>
        <v/>
      </c>
      <c r="E1071" s="43"/>
      <c r="F1071" s="52" t="str" cm="1">
        <f t="array" ref="F1071">IFERROR(INDEX(DB!O$2:O$2576,T1071),"")</f>
        <v/>
      </c>
      <c r="G1071" s="43"/>
      <c r="H1071" s="40" t="str" cm="1">
        <f t="array" ref="H1071">IFERROR(INDEX(DB!P$2:P$2576,T1071),"")</f>
        <v/>
      </c>
      <c r="I1071" s="43"/>
      <c r="J1071" s="53" t="str" cm="1">
        <f t="array" ref="J1071">IFERROR(INDEX(DB!Q$2:Q$2576,T1071),"")</f>
        <v/>
      </c>
      <c r="K1071" s="43"/>
      <c r="L1071" s="41" t="str" cm="1">
        <f t="array" ref="L1071">IFERROR(INDEX(DB!R$2:R$2576,T1071),"")</f>
        <v/>
      </c>
      <c r="M1071" s="43"/>
      <c r="P1071" t="str" cm="1">
        <f t="array" ref="P1071">IFERROR(_xlfn.AGGREGATE(15,6,ROW(DB!A$2:A$2576)/((($D$3&lt;&gt;"YES")+($D$3="YES")*(DB!E$2:E$2576="YES"))*(($D$4="")+($D$4&lt;&gt;"")*( DB!B$2:B$2576=$D$4))*(($D$5="")+($D$5&lt;&gt;"")*( DB!C$2:C$2576=$D$5))*(($D$6="")+($D$6&lt;&gt;"")*( DB!D$2:D$2576=$D$6))*(($D$7="")+($D$7&lt;&gt;"")*(ISNUMBER(SEARCH($D$7,DB!G$2:G$2576))))*(($F$7="전체")+($F$7&lt;&gt;"전체")*(DB!H$2:H$2576=$F$7))),ROW()-13)-1,"")</f>
        <v/>
      </c>
      <c r="Q1071" t="str" cm="1">
        <f t="array" ref="Q1071">IFERROR(INDEX(DB!G$2:G$2576,P1071),"")</f>
        <v/>
      </c>
      <c r="R1071" t="str" cm="1">
        <f t="array" ref="R1071">IFERROR(INDEX(DB!O$2:O$2576,P1071),"")</f>
        <v/>
      </c>
      <c r="S1071" t="str">
        <f t="shared" si="51"/>
        <v/>
      </c>
      <c r="T1071" t="str">
        <f t="shared" si="52"/>
        <v/>
      </c>
    </row>
    <row r="1072" spans="1:20" ht="100" customHeight="1">
      <c r="A1072" s="26"/>
      <c r="B1072" s="39" t="str">
        <f t="shared" si="50"/>
        <v/>
      </c>
      <c r="C1072" s="43"/>
      <c r="D1072" s="51" t="str" cm="1">
        <f t="array" ref="D1072">IFERROR(INDEX(DB!G$2:G$2576,T1072),"")</f>
        <v/>
      </c>
      <c r="E1072" s="43"/>
      <c r="F1072" s="52" t="str" cm="1">
        <f t="array" ref="F1072">IFERROR(INDEX(DB!O$2:O$2576,T1072),"")</f>
        <v/>
      </c>
      <c r="G1072" s="43"/>
      <c r="H1072" s="40" t="str" cm="1">
        <f t="array" ref="H1072">IFERROR(INDEX(DB!P$2:P$2576,T1072),"")</f>
        <v/>
      </c>
      <c r="I1072" s="43"/>
      <c r="J1072" s="53" t="str" cm="1">
        <f t="array" ref="J1072">IFERROR(INDEX(DB!Q$2:Q$2576,T1072),"")</f>
        <v/>
      </c>
      <c r="K1072" s="43"/>
      <c r="L1072" s="41" t="str" cm="1">
        <f t="array" ref="L1072">IFERROR(INDEX(DB!R$2:R$2576,T1072),"")</f>
        <v/>
      </c>
      <c r="M1072" s="43"/>
      <c r="P1072" t="str" cm="1">
        <f t="array" ref="P1072">IFERROR(_xlfn.AGGREGATE(15,6,ROW(DB!A$2:A$2576)/((($D$3&lt;&gt;"YES")+($D$3="YES")*(DB!E$2:E$2576="YES"))*(($D$4="")+($D$4&lt;&gt;"")*( DB!B$2:B$2576=$D$4))*(($D$5="")+($D$5&lt;&gt;"")*( DB!C$2:C$2576=$D$5))*(($D$6="")+($D$6&lt;&gt;"")*( DB!D$2:D$2576=$D$6))*(($D$7="")+($D$7&lt;&gt;"")*(ISNUMBER(SEARCH($D$7,DB!G$2:G$2576))))*(($F$7="전체")+($F$7&lt;&gt;"전체")*(DB!H$2:H$2576=$F$7))),ROW()-13)-1,"")</f>
        <v/>
      </c>
      <c r="Q1072" t="str" cm="1">
        <f t="array" ref="Q1072">IFERROR(INDEX(DB!G$2:G$2576,P1072),"")</f>
        <v/>
      </c>
      <c r="R1072" t="str" cm="1">
        <f t="array" ref="R1072">IFERROR(INDEX(DB!O$2:O$2576,P1072),"")</f>
        <v/>
      </c>
      <c r="S1072" t="str">
        <f t="shared" si="51"/>
        <v/>
      </c>
      <c r="T1072" t="str">
        <f t="shared" si="52"/>
        <v/>
      </c>
    </row>
    <row r="1073" spans="1:20" ht="100" customHeight="1">
      <c r="A1073" s="26"/>
      <c r="B1073" s="42" t="str">
        <f t="shared" si="50"/>
        <v/>
      </c>
      <c r="C1073" s="43"/>
      <c r="D1073" s="51" t="str" cm="1">
        <f t="array" ref="D1073">IFERROR(INDEX(DB!G$2:G$2576,T1073),"")</f>
        <v/>
      </c>
      <c r="E1073" s="43"/>
      <c r="F1073" s="52" t="str" cm="1">
        <f t="array" ref="F1073">IFERROR(INDEX(DB!O$2:O$2576,T1073),"")</f>
        <v/>
      </c>
      <c r="G1073" s="43"/>
      <c r="H1073" s="40" t="str" cm="1">
        <f t="array" ref="H1073">IFERROR(INDEX(DB!P$2:P$2576,T1073),"")</f>
        <v/>
      </c>
      <c r="I1073" s="43"/>
      <c r="J1073" s="53" t="str" cm="1">
        <f t="array" ref="J1073">IFERROR(INDEX(DB!Q$2:Q$2576,T1073),"")</f>
        <v/>
      </c>
      <c r="K1073" s="43"/>
      <c r="L1073" s="41" t="str" cm="1">
        <f t="array" ref="L1073">IFERROR(INDEX(DB!R$2:R$2576,T1073),"")</f>
        <v/>
      </c>
      <c r="M1073" s="43"/>
      <c r="P1073" t="str" cm="1">
        <f t="array" ref="P1073">IFERROR(_xlfn.AGGREGATE(15,6,ROW(DB!A$2:A$2576)/((($D$3&lt;&gt;"YES")+($D$3="YES")*(DB!E$2:E$2576="YES"))*(($D$4="")+($D$4&lt;&gt;"")*( DB!B$2:B$2576=$D$4))*(($D$5="")+($D$5&lt;&gt;"")*( DB!C$2:C$2576=$D$5))*(($D$6="")+($D$6&lt;&gt;"")*( DB!D$2:D$2576=$D$6))*(($D$7="")+($D$7&lt;&gt;"")*(ISNUMBER(SEARCH($D$7,DB!G$2:G$2576))))*(($F$7="전체")+($F$7&lt;&gt;"전체")*(DB!H$2:H$2576=$F$7))),ROW()-13)-1,"")</f>
        <v/>
      </c>
      <c r="Q1073" t="str" cm="1">
        <f t="array" ref="Q1073">IFERROR(INDEX(DB!G$2:G$2576,P1073),"")</f>
        <v/>
      </c>
      <c r="R1073" t="str" cm="1">
        <f t="array" ref="R1073">IFERROR(INDEX(DB!O$2:O$2576,P1073),"")</f>
        <v/>
      </c>
      <c r="S1073" t="str">
        <f t="shared" si="51"/>
        <v/>
      </c>
      <c r="T1073" t="str">
        <f t="shared" si="52"/>
        <v/>
      </c>
    </row>
    <row r="1074" spans="1:20" ht="100" customHeight="1">
      <c r="A1074" s="26"/>
      <c r="B1074" s="39" t="str">
        <f t="shared" si="50"/>
        <v/>
      </c>
      <c r="C1074" s="43"/>
      <c r="D1074" s="51" t="str" cm="1">
        <f t="array" ref="D1074">IFERROR(INDEX(DB!G$2:G$2576,T1074),"")</f>
        <v/>
      </c>
      <c r="E1074" s="43"/>
      <c r="F1074" s="52" t="str" cm="1">
        <f t="array" ref="F1074">IFERROR(INDEX(DB!O$2:O$2576,T1074),"")</f>
        <v/>
      </c>
      <c r="G1074" s="43"/>
      <c r="H1074" s="40" t="str" cm="1">
        <f t="array" ref="H1074">IFERROR(INDEX(DB!P$2:P$2576,T1074),"")</f>
        <v/>
      </c>
      <c r="I1074" s="43"/>
      <c r="J1074" s="53" t="str" cm="1">
        <f t="array" ref="J1074">IFERROR(INDEX(DB!Q$2:Q$2576,T1074),"")</f>
        <v/>
      </c>
      <c r="K1074" s="43"/>
      <c r="L1074" s="41" t="str" cm="1">
        <f t="array" ref="L1074">IFERROR(INDEX(DB!R$2:R$2576,T1074),"")</f>
        <v/>
      </c>
      <c r="M1074" s="43"/>
      <c r="P1074" t="str" cm="1">
        <f t="array" ref="P1074">IFERROR(_xlfn.AGGREGATE(15,6,ROW(DB!A$2:A$2576)/((($D$3&lt;&gt;"YES")+($D$3="YES")*(DB!E$2:E$2576="YES"))*(($D$4="")+($D$4&lt;&gt;"")*( DB!B$2:B$2576=$D$4))*(($D$5="")+($D$5&lt;&gt;"")*( DB!C$2:C$2576=$D$5))*(($D$6="")+($D$6&lt;&gt;"")*( DB!D$2:D$2576=$D$6))*(($D$7="")+($D$7&lt;&gt;"")*(ISNUMBER(SEARCH($D$7,DB!G$2:G$2576))))*(($F$7="전체")+($F$7&lt;&gt;"전체")*(DB!H$2:H$2576=$F$7))),ROW()-13)-1,"")</f>
        <v/>
      </c>
      <c r="Q1074" t="str" cm="1">
        <f t="array" ref="Q1074">IFERROR(INDEX(DB!G$2:G$2576,P1074),"")</f>
        <v/>
      </c>
      <c r="R1074" t="str" cm="1">
        <f t="array" ref="R1074">IFERROR(INDEX(DB!O$2:O$2576,P1074),"")</f>
        <v/>
      </c>
      <c r="S1074" t="str">
        <f t="shared" si="51"/>
        <v/>
      </c>
      <c r="T1074" t="str">
        <f t="shared" si="52"/>
        <v/>
      </c>
    </row>
    <row r="1075" spans="1:20" ht="100" customHeight="1">
      <c r="A1075" s="26"/>
      <c r="B1075" s="42" t="str">
        <f t="shared" si="50"/>
        <v/>
      </c>
      <c r="C1075" s="43"/>
      <c r="D1075" s="51" t="str" cm="1">
        <f t="array" ref="D1075">IFERROR(INDEX(DB!G$2:G$2576,T1075),"")</f>
        <v/>
      </c>
      <c r="E1075" s="43"/>
      <c r="F1075" s="52" t="str" cm="1">
        <f t="array" ref="F1075">IFERROR(INDEX(DB!O$2:O$2576,T1075),"")</f>
        <v/>
      </c>
      <c r="G1075" s="43"/>
      <c r="H1075" s="40" t="str" cm="1">
        <f t="array" ref="H1075">IFERROR(INDEX(DB!P$2:P$2576,T1075),"")</f>
        <v/>
      </c>
      <c r="I1075" s="43"/>
      <c r="J1075" s="53" t="str" cm="1">
        <f t="array" ref="J1075">IFERROR(INDEX(DB!Q$2:Q$2576,T1075),"")</f>
        <v/>
      </c>
      <c r="K1075" s="43"/>
      <c r="L1075" s="41" t="str" cm="1">
        <f t="array" ref="L1075">IFERROR(INDEX(DB!R$2:R$2576,T1075),"")</f>
        <v/>
      </c>
      <c r="M1075" s="43"/>
      <c r="P1075" t="str" cm="1">
        <f t="array" ref="P1075">IFERROR(_xlfn.AGGREGATE(15,6,ROW(DB!A$2:A$2576)/((($D$3&lt;&gt;"YES")+($D$3="YES")*(DB!E$2:E$2576="YES"))*(($D$4="")+($D$4&lt;&gt;"")*( DB!B$2:B$2576=$D$4))*(($D$5="")+($D$5&lt;&gt;"")*( DB!C$2:C$2576=$D$5))*(($D$6="")+($D$6&lt;&gt;"")*( DB!D$2:D$2576=$D$6))*(($D$7="")+($D$7&lt;&gt;"")*(ISNUMBER(SEARCH($D$7,DB!G$2:G$2576))))*(($F$7="전체")+($F$7&lt;&gt;"전체")*(DB!H$2:H$2576=$F$7))),ROW()-13)-1,"")</f>
        <v/>
      </c>
      <c r="Q1075" t="str" cm="1">
        <f t="array" ref="Q1075">IFERROR(INDEX(DB!G$2:G$2576,P1075),"")</f>
        <v/>
      </c>
      <c r="R1075" t="str" cm="1">
        <f t="array" ref="R1075">IFERROR(INDEX(DB!O$2:O$2576,P1075),"")</f>
        <v/>
      </c>
      <c r="S1075" t="str">
        <f t="shared" si="51"/>
        <v/>
      </c>
      <c r="T1075" t="str">
        <f t="shared" si="52"/>
        <v/>
      </c>
    </row>
    <row r="1076" spans="1:20" ht="100" customHeight="1">
      <c r="A1076" s="26"/>
      <c r="B1076" s="39" t="str">
        <f t="shared" si="50"/>
        <v/>
      </c>
      <c r="C1076" s="43"/>
      <c r="D1076" s="51" t="str" cm="1">
        <f t="array" ref="D1076">IFERROR(INDEX(DB!G$2:G$2576,T1076),"")</f>
        <v/>
      </c>
      <c r="E1076" s="43"/>
      <c r="F1076" s="52" t="str" cm="1">
        <f t="array" ref="F1076">IFERROR(INDEX(DB!O$2:O$2576,T1076),"")</f>
        <v/>
      </c>
      <c r="G1076" s="43"/>
      <c r="H1076" s="40" t="str" cm="1">
        <f t="array" ref="H1076">IFERROR(INDEX(DB!P$2:P$2576,T1076),"")</f>
        <v/>
      </c>
      <c r="I1076" s="43"/>
      <c r="J1076" s="53" t="str" cm="1">
        <f t="array" ref="J1076">IFERROR(INDEX(DB!Q$2:Q$2576,T1076),"")</f>
        <v/>
      </c>
      <c r="K1076" s="43"/>
      <c r="L1076" s="41" t="str" cm="1">
        <f t="array" ref="L1076">IFERROR(INDEX(DB!R$2:R$2576,T1076),"")</f>
        <v/>
      </c>
      <c r="M1076" s="43"/>
      <c r="P1076" t="str" cm="1">
        <f t="array" ref="P1076">IFERROR(_xlfn.AGGREGATE(15,6,ROW(DB!A$2:A$2576)/((($D$3&lt;&gt;"YES")+($D$3="YES")*(DB!E$2:E$2576="YES"))*(($D$4="")+($D$4&lt;&gt;"")*( DB!B$2:B$2576=$D$4))*(($D$5="")+($D$5&lt;&gt;"")*( DB!C$2:C$2576=$D$5))*(($D$6="")+($D$6&lt;&gt;"")*( DB!D$2:D$2576=$D$6))*(($D$7="")+($D$7&lt;&gt;"")*(ISNUMBER(SEARCH($D$7,DB!G$2:G$2576))))*(($F$7="전체")+($F$7&lt;&gt;"전체")*(DB!H$2:H$2576=$F$7))),ROW()-13)-1,"")</f>
        <v/>
      </c>
      <c r="Q1076" t="str" cm="1">
        <f t="array" ref="Q1076">IFERROR(INDEX(DB!G$2:G$2576,P1076),"")</f>
        <v/>
      </c>
      <c r="R1076" t="str" cm="1">
        <f t="array" ref="R1076">IFERROR(INDEX(DB!O$2:O$2576,P1076),"")</f>
        <v/>
      </c>
      <c r="S1076" t="str">
        <f t="shared" si="51"/>
        <v/>
      </c>
      <c r="T1076" t="str">
        <f t="shared" si="52"/>
        <v/>
      </c>
    </row>
    <row r="1077" spans="1:20" ht="100" customHeight="1">
      <c r="A1077" s="26"/>
      <c r="B1077" s="42" t="str">
        <f t="shared" si="50"/>
        <v/>
      </c>
      <c r="C1077" s="43"/>
      <c r="D1077" s="51" t="str" cm="1">
        <f t="array" ref="D1077">IFERROR(INDEX(DB!G$2:G$2576,T1077),"")</f>
        <v/>
      </c>
      <c r="E1077" s="43"/>
      <c r="F1077" s="52" t="str" cm="1">
        <f t="array" ref="F1077">IFERROR(INDEX(DB!O$2:O$2576,T1077),"")</f>
        <v/>
      </c>
      <c r="G1077" s="43"/>
      <c r="H1077" s="40" t="str" cm="1">
        <f t="array" ref="H1077">IFERROR(INDEX(DB!P$2:P$2576,T1077),"")</f>
        <v/>
      </c>
      <c r="I1077" s="43"/>
      <c r="J1077" s="53" t="str" cm="1">
        <f t="array" ref="J1077">IFERROR(INDEX(DB!Q$2:Q$2576,T1077),"")</f>
        <v/>
      </c>
      <c r="K1077" s="43"/>
      <c r="L1077" s="41" t="str" cm="1">
        <f t="array" ref="L1077">IFERROR(INDEX(DB!R$2:R$2576,T1077),"")</f>
        <v/>
      </c>
      <c r="M1077" s="43"/>
      <c r="P1077" t="str" cm="1">
        <f t="array" ref="P1077">IFERROR(_xlfn.AGGREGATE(15,6,ROW(DB!A$2:A$2576)/((($D$3&lt;&gt;"YES")+($D$3="YES")*(DB!E$2:E$2576="YES"))*(($D$4="")+($D$4&lt;&gt;"")*( DB!B$2:B$2576=$D$4))*(($D$5="")+($D$5&lt;&gt;"")*( DB!C$2:C$2576=$D$5))*(($D$6="")+($D$6&lt;&gt;"")*( DB!D$2:D$2576=$D$6))*(($D$7="")+($D$7&lt;&gt;"")*(ISNUMBER(SEARCH($D$7,DB!G$2:G$2576))))*(($F$7="전체")+($F$7&lt;&gt;"전체")*(DB!H$2:H$2576=$F$7))),ROW()-13)-1,"")</f>
        <v/>
      </c>
      <c r="Q1077" t="str" cm="1">
        <f t="array" ref="Q1077">IFERROR(INDEX(DB!G$2:G$2576,P1077),"")</f>
        <v/>
      </c>
      <c r="R1077" t="str" cm="1">
        <f t="array" ref="R1077">IFERROR(INDEX(DB!O$2:O$2576,P1077),"")</f>
        <v/>
      </c>
      <c r="S1077" t="str">
        <f t="shared" si="51"/>
        <v/>
      </c>
      <c r="T1077" t="str">
        <f t="shared" si="52"/>
        <v/>
      </c>
    </row>
    <row r="1078" spans="1:20" ht="100" customHeight="1">
      <c r="A1078" s="26"/>
      <c r="B1078" s="39" t="str">
        <f t="shared" si="50"/>
        <v/>
      </c>
      <c r="C1078" s="43"/>
      <c r="D1078" s="51" t="str" cm="1">
        <f t="array" ref="D1078">IFERROR(INDEX(DB!G$2:G$2576,T1078),"")</f>
        <v/>
      </c>
      <c r="E1078" s="43"/>
      <c r="F1078" s="52" t="str" cm="1">
        <f t="array" ref="F1078">IFERROR(INDEX(DB!O$2:O$2576,T1078),"")</f>
        <v/>
      </c>
      <c r="G1078" s="43"/>
      <c r="H1078" s="40" t="str" cm="1">
        <f t="array" ref="H1078">IFERROR(INDEX(DB!P$2:P$2576,T1078),"")</f>
        <v/>
      </c>
      <c r="I1078" s="43"/>
      <c r="J1078" s="53" t="str" cm="1">
        <f t="array" ref="J1078">IFERROR(INDEX(DB!Q$2:Q$2576,T1078),"")</f>
        <v/>
      </c>
      <c r="K1078" s="43"/>
      <c r="L1078" s="41" t="str" cm="1">
        <f t="array" ref="L1078">IFERROR(INDEX(DB!R$2:R$2576,T1078),"")</f>
        <v/>
      </c>
      <c r="M1078" s="43"/>
      <c r="P1078" t="str" cm="1">
        <f t="array" ref="P1078">IFERROR(_xlfn.AGGREGATE(15,6,ROW(DB!A$2:A$2576)/((($D$3&lt;&gt;"YES")+($D$3="YES")*(DB!E$2:E$2576="YES"))*(($D$4="")+($D$4&lt;&gt;"")*( DB!B$2:B$2576=$D$4))*(($D$5="")+($D$5&lt;&gt;"")*( DB!C$2:C$2576=$D$5))*(($D$6="")+($D$6&lt;&gt;"")*( DB!D$2:D$2576=$D$6))*(($D$7="")+($D$7&lt;&gt;"")*(ISNUMBER(SEARCH($D$7,DB!G$2:G$2576))))*(($F$7="전체")+($F$7&lt;&gt;"전체")*(DB!H$2:H$2576=$F$7))),ROW()-13)-1,"")</f>
        <v/>
      </c>
      <c r="Q1078" t="str" cm="1">
        <f t="array" ref="Q1078">IFERROR(INDEX(DB!G$2:G$2576,P1078),"")</f>
        <v/>
      </c>
      <c r="R1078" t="str" cm="1">
        <f t="array" ref="R1078">IFERROR(INDEX(DB!O$2:O$2576,P1078),"")</f>
        <v/>
      </c>
      <c r="S1078" t="str">
        <f t="shared" si="51"/>
        <v/>
      </c>
      <c r="T1078" t="str">
        <f t="shared" si="52"/>
        <v/>
      </c>
    </row>
    <row r="1079" spans="1:20" ht="100" customHeight="1">
      <c r="A1079" s="26"/>
      <c r="B1079" s="42" t="str">
        <f t="shared" si="50"/>
        <v/>
      </c>
      <c r="C1079" s="43"/>
      <c r="D1079" s="51" t="str" cm="1">
        <f t="array" ref="D1079">IFERROR(INDEX(DB!G$2:G$2576,T1079),"")</f>
        <v/>
      </c>
      <c r="E1079" s="43"/>
      <c r="F1079" s="52" t="str" cm="1">
        <f t="array" ref="F1079">IFERROR(INDEX(DB!O$2:O$2576,T1079),"")</f>
        <v/>
      </c>
      <c r="G1079" s="43"/>
      <c r="H1079" s="40" t="str" cm="1">
        <f t="array" ref="H1079">IFERROR(INDEX(DB!P$2:P$2576,T1079),"")</f>
        <v/>
      </c>
      <c r="I1079" s="43"/>
      <c r="J1079" s="53" t="str" cm="1">
        <f t="array" ref="J1079">IFERROR(INDEX(DB!Q$2:Q$2576,T1079),"")</f>
        <v/>
      </c>
      <c r="K1079" s="43"/>
      <c r="L1079" s="41" t="str" cm="1">
        <f t="array" ref="L1079">IFERROR(INDEX(DB!R$2:R$2576,T1079),"")</f>
        <v/>
      </c>
      <c r="M1079" s="43"/>
      <c r="P1079" t="str" cm="1">
        <f t="array" ref="P1079">IFERROR(_xlfn.AGGREGATE(15,6,ROW(DB!A$2:A$2576)/((($D$3&lt;&gt;"YES")+($D$3="YES")*(DB!E$2:E$2576="YES"))*(($D$4="")+($D$4&lt;&gt;"")*( DB!B$2:B$2576=$D$4))*(($D$5="")+($D$5&lt;&gt;"")*( DB!C$2:C$2576=$D$5))*(($D$6="")+($D$6&lt;&gt;"")*( DB!D$2:D$2576=$D$6))*(($D$7="")+($D$7&lt;&gt;"")*(ISNUMBER(SEARCH($D$7,DB!G$2:G$2576))))*(($F$7="전체")+($F$7&lt;&gt;"전체")*(DB!H$2:H$2576=$F$7))),ROW()-13)-1,"")</f>
        <v/>
      </c>
      <c r="Q1079" t="str" cm="1">
        <f t="array" ref="Q1079">IFERROR(INDEX(DB!G$2:G$2576,P1079),"")</f>
        <v/>
      </c>
      <c r="R1079" t="str" cm="1">
        <f t="array" ref="R1079">IFERROR(INDEX(DB!O$2:O$2576,P1079),"")</f>
        <v/>
      </c>
      <c r="S1079" t="str">
        <f t="shared" si="51"/>
        <v/>
      </c>
      <c r="T1079" t="str">
        <f t="shared" si="52"/>
        <v/>
      </c>
    </row>
    <row r="1080" spans="1:20" ht="100" customHeight="1">
      <c r="A1080" s="26"/>
      <c r="B1080" s="39" t="str">
        <f t="shared" si="50"/>
        <v/>
      </c>
      <c r="C1080" s="43"/>
      <c r="D1080" s="51" t="str" cm="1">
        <f t="array" ref="D1080">IFERROR(INDEX(DB!G$2:G$2576,T1080),"")</f>
        <v/>
      </c>
      <c r="E1080" s="43"/>
      <c r="F1080" s="52" t="str" cm="1">
        <f t="array" ref="F1080">IFERROR(INDEX(DB!O$2:O$2576,T1080),"")</f>
        <v/>
      </c>
      <c r="G1080" s="43"/>
      <c r="H1080" s="40" t="str" cm="1">
        <f t="array" ref="H1080">IFERROR(INDEX(DB!P$2:P$2576,T1080),"")</f>
        <v/>
      </c>
      <c r="I1080" s="43"/>
      <c r="J1080" s="53" t="str" cm="1">
        <f t="array" ref="J1080">IFERROR(INDEX(DB!Q$2:Q$2576,T1080),"")</f>
        <v/>
      </c>
      <c r="K1080" s="43"/>
      <c r="L1080" s="41" t="str" cm="1">
        <f t="array" ref="L1080">IFERROR(INDEX(DB!R$2:R$2576,T1080),"")</f>
        <v/>
      </c>
      <c r="M1080" s="43"/>
      <c r="P1080" t="str" cm="1">
        <f t="array" ref="P1080">IFERROR(_xlfn.AGGREGATE(15,6,ROW(DB!A$2:A$2576)/((($D$3&lt;&gt;"YES")+($D$3="YES")*(DB!E$2:E$2576="YES"))*(($D$4="")+($D$4&lt;&gt;"")*( DB!B$2:B$2576=$D$4))*(($D$5="")+($D$5&lt;&gt;"")*( DB!C$2:C$2576=$D$5))*(($D$6="")+($D$6&lt;&gt;"")*( DB!D$2:D$2576=$D$6))*(($D$7="")+($D$7&lt;&gt;"")*(ISNUMBER(SEARCH($D$7,DB!G$2:G$2576))))*(($F$7="전체")+($F$7&lt;&gt;"전체")*(DB!H$2:H$2576=$F$7))),ROW()-13)-1,"")</f>
        <v/>
      </c>
      <c r="Q1080" t="str" cm="1">
        <f t="array" ref="Q1080">IFERROR(INDEX(DB!G$2:G$2576,P1080),"")</f>
        <v/>
      </c>
      <c r="R1080" t="str" cm="1">
        <f t="array" ref="R1080">IFERROR(INDEX(DB!O$2:O$2576,P1080),"")</f>
        <v/>
      </c>
      <c r="S1080" t="str">
        <f t="shared" si="51"/>
        <v/>
      </c>
      <c r="T1080" t="str">
        <f t="shared" si="52"/>
        <v/>
      </c>
    </row>
    <row r="1081" spans="1:20" ht="100" customHeight="1">
      <c r="A1081" s="26"/>
      <c r="B1081" s="42" t="str">
        <f t="shared" si="50"/>
        <v/>
      </c>
      <c r="C1081" s="43"/>
      <c r="D1081" s="51" t="str" cm="1">
        <f t="array" ref="D1081">IFERROR(INDEX(DB!G$2:G$2576,T1081),"")</f>
        <v/>
      </c>
      <c r="E1081" s="43"/>
      <c r="F1081" s="52" t="str" cm="1">
        <f t="array" ref="F1081">IFERROR(INDEX(DB!O$2:O$2576,T1081),"")</f>
        <v/>
      </c>
      <c r="G1081" s="43"/>
      <c r="H1081" s="40" t="str" cm="1">
        <f t="array" ref="H1081">IFERROR(INDEX(DB!P$2:P$2576,T1081),"")</f>
        <v/>
      </c>
      <c r="I1081" s="43"/>
      <c r="J1081" s="53" t="str" cm="1">
        <f t="array" ref="J1081">IFERROR(INDEX(DB!Q$2:Q$2576,T1081),"")</f>
        <v/>
      </c>
      <c r="K1081" s="43"/>
      <c r="L1081" s="41" t="str" cm="1">
        <f t="array" ref="L1081">IFERROR(INDEX(DB!R$2:R$2576,T1081),"")</f>
        <v/>
      </c>
      <c r="M1081" s="43"/>
      <c r="P1081" t="str" cm="1">
        <f t="array" ref="P1081">IFERROR(_xlfn.AGGREGATE(15,6,ROW(DB!A$2:A$2576)/((($D$3&lt;&gt;"YES")+($D$3="YES")*(DB!E$2:E$2576="YES"))*(($D$4="")+($D$4&lt;&gt;"")*( DB!B$2:B$2576=$D$4))*(($D$5="")+($D$5&lt;&gt;"")*( DB!C$2:C$2576=$D$5))*(($D$6="")+($D$6&lt;&gt;"")*( DB!D$2:D$2576=$D$6))*(($D$7="")+($D$7&lt;&gt;"")*(ISNUMBER(SEARCH($D$7,DB!G$2:G$2576))))*(($F$7="전체")+($F$7&lt;&gt;"전체")*(DB!H$2:H$2576=$F$7))),ROW()-13)-1,"")</f>
        <v/>
      </c>
      <c r="Q1081" t="str" cm="1">
        <f t="array" ref="Q1081">IFERROR(INDEX(DB!G$2:G$2576,P1081),"")</f>
        <v/>
      </c>
      <c r="R1081" t="str" cm="1">
        <f t="array" ref="R1081">IFERROR(INDEX(DB!O$2:O$2576,P1081),"")</f>
        <v/>
      </c>
      <c r="S1081" t="str">
        <f t="shared" si="51"/>
        <v/>
      </c>
      <c r="T1081" t="str">
        <f t="shared" si="52"/>
        <v/>
      </c>
    </row>
    <row r="1082" spans="1:20" ht="100" customHeight="1">
      <c r="A1082" s="26"/>
      <c r="B1082" s="39" t="str">
        <f t="shared" si="50"/>
        <v/>
      </c>
      <c r="C1082" s="43"/>
      <c r="D1082" s="51" t="str" cm="1">
        <f t="array" ref="D1082">IFERROR(INDEX(DB!G$2:G$2576,T1082),"")</f>
        <v/>
      </c>
      <c r="E1082" s="43"/>
      <c r="F1082" s="52" t="str" cm="1">
        <f t="array" ref="F1082">IFERROR(INDEX(DB!O$2:O$2576,T1082),"")</f>
        <v/>
      </c>
      <c r="G1082" s="43"/>
      <c r="H1082" s="40" t="str" cm="1">
        <f t="array" ref="H1082">IFERROR(INDEX(DB!P$2:P$2576,T1082),"")</f>
        <v/>
      </c>
      <c r="I1082" s="43"/>
      <c r="J1082" s="53" t="str" cm="1">
        <f t="array" ref="J1082">IFERROR(INDEX(DB!Q$2:Q$2576,T1082),"")</f>
        <v/>
      </c>
      <c r="K1082" s="43"/>
      <c r="L1082" s="41" t="str" cm="1">
        <f t="array" ref="L1082">IFERROR(INDEX(DB!R$2:R$2576,T1082),"")</f>
        <v/>
      </c>
      <c r="M1082" s="43"/>
      <c r="P1082" t="str" cm="1">
        <f t="array" ref="P1082">IFERROR(_xlfn.AGGREGATE(15,6,ROW(DB!A$2:A$2576)/((($D$3&lt;&gt;"YES")+($D$3="YES")*(DB!E$2:E$2576="YES"))*(($D$4="")+($D$4&lt;&gt;"")*( DB!B$2:B$2576=$D$4))*(($D$5="")+($D$5&lt;&gt;"")*( DB!C$2:C$2576=$D$5))*(($D$6="")+($D$6&lt;&gt;"")*( DB!D$2:D$2576=$D$6))*(($D$7="")+($D$7&lt;&gt;"")*(ISNUMBER(SEARCH($D$7,DB!G$2:G$2576))))*(($F$7="전체")+($F$7&lt;&gt;"전체")*(DB!H$2:H$2576=$F$7))),ROW()-13)-1,"")</f>
        <v/>
      </c>
      <c r="Q1082" t="str" cm="1">
        <f t="array" ref="Q1082">IFERROR(INDEX(DB!G$2:G$2576,P1082),"")</f>
        <v/>
      </c>
      <c r="R1082" t="str" cm="1">
        <f t="array" ref="R1082">IFERROR(INDEX(DB!O$2:O$2576,P1082),"")</f>
        <v/>
      </c>
      <c r="S1082" t="str">
        <f t="shared" si="51"/>
        <v/>
      </c>
      <c r="T1082" t="str">
        <f t="shared" si="52"/>
        <v/>
      </c>
    </row>
    <row r="1083" spans="1:20" ht="100" customHeight="1">
      <c r="A1083" s="26"/>
      <c r="B1083" s="42" t="str">
        <f t="shared" si="50"/>
        <v/>
      </c>
      <c r="C1083" s="43"/>
      <c r="D1083" s="51" t="str" cm="1">
        <f t="array" ref="D1083">IFERROR(INDEX(DB!G$2:G$2576,T1083),"")</f>
        <v/>
      </c>
      <c r="E1083" s="43"/>
      <c r="F1083" s="52" t="str" cm="1">
        <f t="array" ref="F1083">IFERROR(INDEX(DB!O$2:O$2576,T1083),"")</f>
        <v/>
      </c>
      <c r="G1083" s="43"/>
      <c r="H1083" s="40" t="str" cm="1">
        <f t="array" ref="H1083">IFERROR(INDEX(DB!P$2:P$2576,T1083),"")</f>
        <v/>
      </c>
      <c r="I1083" s="43"/>
      <c r="J1083" s="53" t="str" cm="1">
        <f t="array" ref="J1083">IFERROR(INDEX(DB!Q$2:Q$2576,T1083),"")</f>
        <v/>
      </c>
      <c r="K1083" s="43"/>
      <c r="L1083" s="41" t="str" cm="1">
        <f t="array" ref="L1083">IFERROR(INDEX(DB!R$2:R$2576,T1083),"")</f>
        <v/>
      </c>
      <c r="M1083" s="43"/>
      <c r="P1083" t="str" cm="1">
        <f t="array" ref="P1083">IFERROR(_xlfn.AGGREGATE(15,6,ROW(DB!A$2:A$2576)/((($D$3&lt;&gt;"YES")+($D$3="YES")*(DB!E$2:E$2576="YES"))*(($D$4="")+($D$4&lt;&gt;"")*( DB!B$2:B$2576=$D$4))*(($D$5="")+($D$5&lt;&gt;"")*( DB!C$2:C$2576=$D$5))*(($D$6="")+($D$6&lt;&gt;"")*( DB!D$2:D$2576=$D$6))*(($D$7="")+($D$7&lt;&gt;"")*(ISNUMBER(SEARCH($D$7,DB!G$2:G$2576))))*(($F$7="전체")+($F$7&lt;&gt;"전체")*(DB!H$2:H$2576=$F$7))),ROW()-13)-1,"")</f>
        <v/>
      </c>
      <c r="Q1083" t="str" cm="1">
        <f t="array" ref="Q1083">IFERROR(INDEX(DB!G$2:G$2576,P1083),"")</f>
        <v/>
      </c>
      <c r="R1083" t="str" cm="1">
        <f t="array" ref="R1083">IFERROR(INDEX(DB!O$2:O$2576,P1083),"")</f>
        <v/>
      </c>
      <c r="S1083" t="str">
        <f t="shared" si="51"/>
        <v/>
      </c>
      <c r="T1083" t="str">
        <f t="shared" si="52"/>
        <v/>
      </c>
    </row>
    <row r="1084" spans="1:20" ht="100" customHeight="1">
      <c r="A1084" s="26"/>
      <c r="B1084" s="39" t="str">
        <f t="shared" si="50"/>
        <v/>
      </c>
      <c r="C1084" s="43"/>
      <c r="D1084" s="51" t="str" cm="1">
        <f t="array" ref="D1084">IFERROR(INDEX(DB!G$2:G$2576,T1084),"")</f>
        <v/>
      </c>
      <c r="E1084" s="43"/>
      <c r="F1084" s="52" t="str" cm="1">
        <f t="array" ref="F1084">IFERROR(INDEX(DB!O$2:O$2576,T1084),"")</f>
        <v/>
      </c>
      <c r="G1084" s="43"/>
      <c r="H1084" s="40" t="str" cm="1">
        <f t="array" ref="H1084">IFERROR(INDEX(DB!P$2:P$2576,T1084),"")</f>
        <v/>
      </c>
      <c r="I1084" s="43"/>
      <c r="J1084" s="53" t="str" cm="1">
        <f t="array" ref="J1084">IFERROR(INDEX(DB!Q$2:Q$2576,T1084),"")</f>
        <v/>
      </c>
      <c r="K1084" s="43"/>
      <c r="L1084" s="41" t="str" cm="1">
        <f t="array" ref="L1084">IFERROR(INDEX(DB!R$2:R$2576,T1084),"")</f>
        <v/>
      </c>
      <c r="M1084" s="43"/>
      <c r="P1084" t="str" cm="1">
        <f t="array" ref="P1084">IFERROR(_xlfn.AGGREGATE(15,6,ROW(DB!A$2:A$2576)/((($D$3&lt;&gt;"YES")+($D$3="YES")*(DB!E$2:E$2576="YES"))*(($D$4="")+($D$4&lt;&gt;"")*( DB!B$2:B$2576=$D$4))*(($D$5="")+($D$5&lt;&gt;"")*( DB!C$2:C$2576=$D$5))*(($D$6="")+($D$6&lt;&gt;"")*( DB!D$2:D$2576=$D$6))*(($D$7="")+($D$7&lt;&gt;"")*(ISNUMBER(SEARCH($D$7,DB!G$2:G$2576))))*(($F$7="전체")+($F$7&lt;&gt;"전체")*(DB!H$2:H$2576=$F$7))),ROW()-13)-1,"")</f>
        <v/>
      </c>
      <c r="Q1084" t="str" cm="1">
        <f t="array" ref="Q1084">IFERROR(INDEX(DB!G$2:G$2576,P1084),"")</f>
        <v/>
      </c>
      <c r="R1084" t="str" cm="1">
        <f t="array" ref="R1084">IFERROR(INDEX(DB!O$2:O$2576,P1084),"")</f>
        <v/>
      </c>
      <c r="S1084" t="str">
        <f t="shared" si="51"/>
        <v/>
      </c>
      <c r="T1084" t="str">
        <f t="shared" si="52"/>
        <v/>
      </c>
    </row>
    <row r="1085" spans="1:20" ht="100" customHeight="1">
      <c r="A1085" s="26"/>
      <c r="B1085" s="42" t="str">
        <f t="shared" si="50"/>
        <v/>
      </c>
      <c r="C1085" s="43"/>
      <c r="D1085" s="51" t="str" cm="1">
        <f t="array" ref="D1085">IFERROR(INDEX(DB!G$2:G$2576,T1085),"")</f>
        <v/>
      </c>
      <c r="E1085" s="43"/>
      <c r="F1085" s="52" t="str" cm="1">
        <f t="array" ref="F1085">IFERROR(INDEX(DB!O$2:O$2576,T1085),"")</f>
        <v/>
      </c>
      <c r="G1085" s="43"/>
      <c r="H1085" s="40" t="str" cm="1">
        <f t="array" ref="H1085">IFERROR(INDEX(DB!P$2:P$2576,T1085),"")</f>
        <v/>
      </c>
      <c r="I1085" s="43"/>
      <c r="J1085" s="53" t="str" cm="1">
        <f t="array" ref="J1085">IFERROR(INDEX(DB!Q$2:Q$2576,T1085),"")</f>
        <v/>
      </c>
      <c r="K1085" s="43"/>
      <c r="L1085" s="41" t="str" cm="1">
        <f t="array" ref="L1085">IFERROR(INDEX(DB!R$2:R$2576,T1085),"")</f>
        <v/>
      </c>
      <c r="M1085" s="43"/>
      <c r="P1085" t="str" cm="1">
        <f t="array" ref="P1085">IFERROR(_xlfn.AGGREGATE(15,6,ROW(DB!A$2:A$2576)/((($D$3&lt;&gt;"YES")+($D$3="YES")*(DB!E$2:E$2576="YES"))*(($D$4="")+($D$4&lt;&gt;"")*( DB!B$2:B$2576=$D$4))*(($D$5="")+($D$5&lt;&gt;"")*( DB!C$2:C$2576=$D$5))*(($D$6="")+($D$6&lt;&gt;"")*( DB!D$2:D$2576=$D$6))*(($D$7="")+($D$7&lt;&gt;"")*(ISNUMBER(SEARCH($D$7,DB!G$2:G$2576))))*(($F$7="전체")+($F$7&lt;&gt;"전체")*(DB!H$2:H$2576=$F$7))),ROW()-13)-1,"")</f>
        <v/>
      </c>
      <c r="Q1085" t="str" cm="1">
        <f t="array" ref="Q1085">IFERROR(INDEX(DB!G$2:G$2576,P1085),"")</f>
        <v/>
      </c>
      <c r="R1085" t="str" cm="1">
        <f t="array" ref="R1085">IFERROR(INDEX(DB!O$2:O$2576,P1085),"")</f>
        <v/>
      </c>
      <c r="S1085" t="str">
        <f t="shared" si="51"/>
        <v/>
      </c>
      <c r="T1085" t="str">
        <f t="shared" si="52"/>
        <v/>
      </c>
    </row>
    <row r="1086" spans="1:20" ht="100" customHeight="1">
      <c r="A1086" s="26"/>
      <c r="B1086" s="39" t="str">
        <f t="shared" si="50"/>
        <v/>
      </c>
      <c r="C1086" s="43"/>
      <c r="D1086" s="51" t="str" cm="1">
        <f t="array" ref="D1086">IFERROR(INDEX(DB!G$2:G$2576,T1086),"")</f>
        <v/>
      </c>
      <c r="E1086" s="43"/>
      <c r="F1086" s="52" t="str" cm="1">
        <f t="array" ref="F1086">IFERROR(INDEX(DB!O$2:O$2576,T1086),"")</f>
        <v/>
      </c>
      <c r="G1086" s="43"/>
      <c r="H1086" s="40" t="str" cm="1">
        <f t="array" ref="H1086">IFERROR(INDEX(DB!P$2:P$2576,T1086),"")</f>
        <v/>
      </c>
      <c r="I1086" s="43"/>
      <c r="J1086" s="53" t="str" cm="1">
        <f t="array" ref="J1086">IFERROR(INDEX(DB!Q$2:Q$2576,T1086),"")</f>
        <v/>
      </c>
      <c r="K1086" s="43"/>
      <c r="L1086" s="41" t="str" cm="1">
        <f t="array" ref="L1086">IFERROR(INDEX(DB!R$2:R$2576,T1086),"")</f>
        <v/>
      </c>
      <c r="M1086" s="43"/>
      <c r="P1086" t="str" cm="1">
        <f t="array" ref="P1086">IFERROR(_xlfn.AGGREGATE(15,6,ROW(DB!A$2:A$2576)/((($D$3&lt;&gt;"YES")+($D$3="YES")*(DB!E$2:E$2576="YES"))*(($D$4="")+($D$4&lt;&gt;"")*( DB!B$2:B$2576=$D$4))*(($D$5="")+($D$5&lt;&gt;"")*( DB!C$2:C$2576=$D$5))*(($D$6="")+($D$6&lt;&gt;"")*( DB!D$2:D$2576=$D$6))*(($D$7="")+($D$7&lt;&gt;"")*(ISNUMBER(SEARCH($D$7,DB!G$2:G$2576))))*(($F$7="전체")+($F$7&lt;&gt;"전체")*(DB!H$2:H$2576=$F$7))),ROW()-13)-1,"")</f>
        <v/>
      </c>
      <c r="Q1086" t="str" cm="1">
        <f t="array" ref="Q1086">IFERROR(INDEX(DB!G$2:G$2576,P1086),"")</f>
        <v/>
      </c>
      <c r="R1086" t="str" cm="1">
        <f t="array" ref="R1086">IFERROR(INDEX(DB!O$2:O$2576,P1086),"")</f>
        <v/>
      </c>
      <c r="S1086" t="str">
        <f t="shared" si="51"/>
        <v/>
      </c>
      <c r="T1086" t="str">
        <f t="shared" si="52"/>
        <v/>
      </c>
    </row>
    <row r="1087" spans="1:20" ht="100" customHeight="1">
      <c r="A1087" s="26"/>
      <c r="B1087" s="42" t="str">
        <f t="shared" si="50"/>
        <v/>
      </c>
      <c r="C1087" s="43"/>
      <c r="D1087" s="51" t="str" cm="1">
        <f t="array" ref="D1087">IFERROR(INDEX(DB!G$2:G$2576,T1087),"")</f>
        <v/>
      </c>
      <c r="E1087" s="43"/>
      <c r="F1087" s="52" t="str" cm="1">
        <f t="array" ref="F1087">IFERROR(INDEX(DB!O$2:O$2576,T1087),"")</f>
        <v/>
      </c>
      <c r="G1087" s="43"/>
      <c r="H1087" s="40" t="str" cm="1">
        <f t="array" ref="H1087">IFERROR(INDEX(DB!P$2:P$2576,T1087),"")</f>
        <v/>
      </c>
      <c r="I1087" s="43"/>
      <c r="J1087" s="53" t="str" cm="1">
        <f t="array" ref="J1087">IFERROR(INDEX(DB!Q$2:Q$2576,T1087),"")</f>
        <v/>
      </c>
      <c r="K1087" s="43"/>
      <c r="L1087" s="41" t="str" cm="1">
        <f t="array" ref="L1087">IFERROR(INDEX(DB!R$2:R$2576,T1087),"")</f>
        <v/>
      </c>
      <c r="M1087" s="43"/>
      <c r="P1087" t="str" cm="1">
        <f t="array" ref="P1087">IFERROR(_xlfn.AGGREGATE(15,6,ROW(DB!A$2:A$2576)/((($D$3&lt;&gt;"YES")+($D$3="YES")*(DB!E$2:E$2576="YES"))*(($D$4="")+($D$4&lt;&gt;"")*( DB!B$2:B$2576=$D$4))*(($D$5="")+($D$5&lt;&gt;"")*( DB!C$2:C$2576=$D$5))*(($D$6="")+($D$6&lt;&gt;"")*( DB!D$2:D$2576=$D$6))*(($D$7="")+($D$7&lt;&gt;"")*(ISNUMBER(SEARCH($D$7,DB!G$2:G$2576))))*(($F$7="전체")+($F$7&lt;&gt;"전체")*(DB!H$2:H$2576=$F$7))),ROW()-13)-1,"")</f>
        <v/>
      </c>
      <c r="Q1087" t="str" cm="1">
        <f t="array" ref="Q1087">IFERROR(INDEX(DB!G$2:G$2576,P1087),"")</f>
        <v/>
      </c>
      <c r="R1087" t="str" cm="1">
        <f t="array" ref="R1087">IFERROR(INDEX(DB!O$2:O$2576,P1087),"")</f>
        <v/>
      </c>
      <c r="S1087" t="str">
        <f t="shared" si="51"/>
        <v/>
      </c>
      <c r="T1087" t="str">
        <f t="shared" si="52"/>
        <v/>
      </c>
    </row>
    <row r="1088" spans="1:20" ht="100" customHeight="1">
      <c r="A1088" s="26"/>
      <c r="B1088" s="39" t="str">
        <f t="shared" si="50"/>
        <v/>
      </c>
      <c r="C1088" s="43"/>
      <c r="D1088" s="51" t="str" cm="1">
        <f t="array" ref="D1088">IFERROR(INDEX(DB!G$2:G$2576,T1088),"")</f>
        <v/>
      </c>
      <c r="E1088" s="43"/>
      <c r="F1088" s="52" t="str" cm="1">
        <f t="array" ref="F1088">IFERROR(INDEX(DB!O$2:O$2576,T1088),"")</f>
        <v/>
      </c>
      <c r="G1088" s="43"/>
      <c r="H1088" s="40" t="str" cm="1">
        <f t="array" ref="H1088">IFERROR(INDEX(DB!P$2:P$2576,T1088),"")</f>
        <v/>
      </c>
      <c r="I1088" s="43"/>
      <c r="J1088" s="53" t="str" cm="1">
        <f t="array" ref="J1088">IFERROR(INDEX(DB!Q$2:Q$2576,T1088),"")</f>
        <v/>
      </c>
      <c r="K1088" s="43"/>
      <c r="L1088" s="41" t="str" cm="1">
        <f t="array" ref="L1088">IFERROR(INDEX(DB!R$2:R$2576,T1088),"")</f>
        <v/>
      </c>
      <c r="M1088" s="43"/>
      <c r="P1088" t="str" cm="1">
        <f t="array" ref="P1088">IFERROR(_xlfn.AGGREGATE(15,6,ROW(DB!A$2:A$2576)/((($D$3&lt;&gt;"YES")+($D$3="YES")*(DB!E$2:E$2576="YES"))*(($D$4="")+($D$4&lt;&gt;"")*( DB!B$2:B$2576=$D$4))*(($D$5="")+($D$5&lt;&gt;"")*( DB!C$2:C$2576=$D$5))*(($D$6="")+($D$6&lt;&gt;"")*( DB!D$2:D$2576=$D$6))*(($D$7="")+($D$7&lt;&gt;"")*(ISNUMBER(SEARCH($D$7,DB!G$2:G$2576))))*(($F$7="전체")+($F$7&lt;&gt;"전체")*(DB!H$2:H$2576=$F$7))),ROW()-13)-1,"")</f>
        <v/>
      </c>
      <c r="Q1088" t="str" cm="1">
        <f t="array" ref="Q1088">IFERROR(INDEX(DB!G$2:G$2576,P1088),"")</f>
        <v/>
      </c>
      <c r="R1088" t="str" cm="1">
        <f t="array" ref="R1088">IFERROR(INDEX(DB!O$2:O$2576,P1088),"")</f>
        <v/>
      </c>
      <c r="S1088" t="str">
        <f t="shared" si="51"/>
        <v/>
      </c>
      <c r="T1088" t="str">
        <f t="shared" si="52"/>
        <v/>
      </c>
    </row>
    <row r="1089" spans="1:20" ht="100" customHeight="1">
      <c r="A1089" s="26"/>
      <c r="B1089" s="42" t="str">
        <f t="shared" si="50"/>
        <v/>
      </c>
      <c r="C1089" s="43"/>
      <c r="D1089" s="51" t="str" cm="1">
        <f t="array" ref="D1089">IFERROR(INDEX(DB!G$2:G$2576,T1089),"")</f>
        <v/>
      </c>
      <c r="E1089" s="43"/>
      <c r="F1089" s="52" t="str" cm="1">
        <f t="array" ref="F1089">IFERROR(INDEX(DB!O$2:O$2576,T1089),"")</f>
        <v/>
      </c>
      <c r="G1089" s="43"/>
      <c r="H1089" s="40" t="str" cm="1">
        <f t="array" ref="H1089">IFERROR(INDEX(DB!P$2:P$2576,T1089),"")</f>
        <v/>
      </c>
      <c r="I1089" s="43"/>
      <c r="J1089" s="53" t="str" cm="1">
        <f t="array" ref="J1089">IFERROR(INDEX(DB!Q$2:Q$2576,T1089),"")</f>
        <v/>
      </c>
      <c r="K1089" s="43"/>
      <c r="L1089" s="41" t="str" cm="1">
        <f t="array" ref="L1089">IFERROR(INDEX(DB!R$2:R$2576,T1089),"")</f>
        <v/>
      </c>
      <c r="M1089" s="43"/>
      <c r="P1089" t="str" cm="1">
        <f t="array" ref="P1089">IFERROR(_xlfn.AGGREGATE(15,6,ROW(DB!A$2:A$2576)/((($D$3&lt;&gt;"YES")+($D$3="YES")*(DB!E$2:E$2576="YES"))*(($D$4="")+($D$4&lt;&gt;"")*( DB!B$2:B$2576=$D$4))*(($D$5="")+($D$5&lt;&gt;"")*( DB!C$2:C$2576=$D$5))*(($D$6="")+($D$6&lt;&gt;"")*( DB!D$2:D$2576=$D$6))*(($D$7="")+($D$7&lt;&gt;"")*(ISNUMBER(SEARCH($D$7,DB!G$2:G$2576))))*(($F$7="전체")+($F$7&lt;&gt;"전체")*(DB!H$2:H$2576=$F$7))),ROW()-13)-1,"")</f>
        <v/>
      </c>
      <c r="Q1089" t="str" cm="1">
        <f t="array" ref="Q1089">IFERROR(INDEX(DB!G$2:G$2576,P1089),"")</f>
        <v/>
      </c>
      <c r="R1089" t="str" cm="1">
        <f t="array" ref="R1089">IFERROR(INDEX(DB!O$2:O$2576,P1089),"")</f>
        <v/>
      </c>
      <c r="S1089" t="str">
        <f t="shared" si="51"/>
        <v/>
      </c>
      <c r="T1089" t="str">
        <f t="shared" si="52"/>
        <v/>
      </c>
    </row>
    <row r="1090" spans="1:20" ht="100" customHeight="1">
      <c r="A1090" s="26"/>
      <c r="B1090" s="39" t="str">
        <f t="shared" si="50"/>
        <v/>
      </c>
      <c r="C1090" s="43"/>
      <c r="D1090" s="51" t="str" cm="1">
        <f t="array" ref="D1090">IFERROR(INDEX(DB!G$2:G$2576,T1090),"")</f>
        <v/>
      </c>
      <c r="E1090" s="43"/>
      <c r="F1090" s="52" t="str" cm="1">
        <f t="array" ref="F1090">IFERROR(INDEX(DB!O$2:O$2576,T1090),"")</f>
        <v/>
      </c>
      <c r="G1090" s="43"/>
      <c r="H1090" s="40" t="str" cm="1">
        <f t="array" ref="H1090">IFERROR(INDEX(DB!P$2:P$2576,T1090),"")</f>
        <v/>
      </c>
      <c r="I1090" s="43"/>
      <c r="J1090" s="53" t="str" cm="1">
        <f t="array" ref="J1090">IFERROR(INDEX(DB!Q$2:Q$2576,T1090),"")</f>
        <v/>
      </c>
      <c r="K1090" s="43"/>
      <c r="L1090" s="41" t="str" cm="1">
        <f t="array" ref="L1090">IFERROR(INDEX(DB!R$2:R$2576,T1090),"")</f>
        <v/>
      </c>
      <c r="M1090" s="43"/>
      <c r="P1090" t="str" cm="1">
        <f t="array" ref="P1090">IFERROR(_xlfn.AGGREGATE(15,6,ROW(DB!A$2:A$2576)/((($D$3&lt;&gt;"YES")+($D$3="YES")*(DB!E$2:E$2576="YES"))*(($D$4="")+($D$4&lt;&gt;"")*( DB!B$2:B$2576=$D$4))*(($D$5="")+($D$5&lt;&gt;"")*( DB!C$2:C$2576=$D$5))*(($D$6="")+($D$6&lt;&gt;"")*( DB!D$2:D$2576=$D$6))*(($D$7="")+($D$7&lt;&gt;"")*(ISNUMBER(SEARCH($D$7,DB!G$2:G$2576))))*(($F$7="전체")+($F$7&lt;&gt;"전체")*(DB!H$2:H$2576=$F$7))),ROW()-13)-1,"")</f>
        <v/>
      </c>
      <c r="Q1090" t="str" cm="1">
        <f t="array" ref="Q1090">IFERROR(INDEX(DB!G$2:G$2576,P1090),"")</f>
        <v/>
      </c>
      <c r="R1090" t="str" cm="1">
        <f t="array" ref="R1090">IFERROR(INDEX(DB!O$2:O$2576,P1090),"")</f>
        <v/>
      </c>
      <c r="S1090" t="str">
        <f t="shared" si="51"/>
        <v/>
      </c>
      <c r="T1090" t="str">
        <f t="shared" si="52"/>
        <v/>
      </c>
    </row>
    <row r="1091" spans="1:20" ht="100" customHeight="1">
      <c r="A1091" s="26"/>
      <c r="B1091" s="42" t="str">
        <f t="shared" si="50"/>
        <v/>
      </c>
      <c r="C1091" s="43"/>
      <c r="D1091" s="51" t="str" cm="1">
        <f t="array" ref="D1091">IFERROR(INDEX(DB!G$2:G$2576,T1091),"")</f>
        <v/>
      </c>
      <c r="E1091" s="43"/>
      <c r="F1091" s="52" t="str" cm="1">
        <f t="array" ref="F1091">IFERROR(INDEX(DB!O$2:O$2576,T1091),"")</f>
        <v/>
      </c>
      <c r="G1091" s="43"/>
      <c r="H1091" s="40" t="str" cm="1">
        <f t="array" ref="H1091">IFERROR(INDEX(DB!P$2:P$2576,T1091),"")</f>
        <v/>
      </c>
      <c r="I1091" s="43"/>
      <c r="J1091" s="53" t="str" cm="1">
        <f t="array" ref="J1091">IFERROR(INDEX(DB!Q$2:Q$2576,T1091),"")</f>
        <v/>
      </c>
      <c r="K1091" s="43"/>
      <c r="L1091" s="41" t="str" cm="1">
        <f t="array" ref="L1091">IFERROR(INDEX(DB!R$2:R$2576,T1091),"")</f>
        <v/>
      </c>
      <c r="M1091" s="43"/>
      <c r="P1091" t="str" cm="1">
        <f t="array" ref="P1091">IFERROR(_xlfn.AGGREGATE(15,6,ROW(DB!A$2:A$2576)/((($D$3&lt;&gt;"YES")+($D$3="YES")*(DB!E$2:E$2576="YES"))*(($D$4="")+($D$4&lt;&gt;"")*( DB!B$2:B$2576=$D$4))*(($D$5="")+($D$5&lt;&gt;"")*( DB!C$2:C$2576=$D$5))*(($D$6="")+($D$6&lt;&gt;"")*( DB!D$2:D$2576=$D$6))*(($D$7="")+($D$7&lt;&gt;"")*(ISNUMBER(SEARCH($D$7,DB!G$2:G$2576))))*(($F$7="전체")+($F$7&lt;&gt;"전체")*(DB!H$2:H$2576=$F$7))),ROW()-13)-1,"")</f>
        <v/>
      </c>
      <c r="Q1091" t="str" cm="1">
        <f t="array" ref="Q1091">IFERROR(INDEX(DB!G$2:G$2576,P1091),"")</f>
        <v/>
      </c>
      <c r="R1091" t="str" cm="1">
        <f t="array" ref="R1091">IFERROR(INDEX(DB!O$2:O$2576,P1091),"")</f>
        <v/>
      </c>
      <c r="S1091" t="str">
        <f t="shared" si="51"/>
        <v/>
      </c>
      <c r="T1091" t="str">
        <f t="shared" si="52"/>
        <v/>
      </c>
    </row>
    <row r="1092" spans="1:20" ht="100" customHeight="1">
      <c r="A1092" s="26"/>
      <c r="B1092" s="39" t="str">
        <f t="shared" si="50"/>
        <v/>
      </c>
      <c r="C1092" s="43"/>
      <c r="D1092" s="51" t="str" cm="1">
        <f t="array" ref="D1092">IFERROR(INDEX(DB!G$2:G$2576,T1092),"")</f>
        <v/>
      </c>
      <c r="E1092" s="43"/>
      <c r="F1092" s="52" t="str" cm="1">
        <f t="array" ref="F1092">IFERROR(INDEX(DB!O$2:O$2576,T1092),"")</f>
        <v/>
      </c>
      <c r="G1092" s="43"/>
      <c r="H1092" s="40" t="str" cm="1">
        <f t="array" ref="H1092">IFERROR(INDEX(DB!P$2:P$2576,T1092),"")</f>
        <v/>
      </c>
      <c r="I1092" s="43"/>
      <c r="J1092" s="53" t="str" cm="1">
        <f t="array" ref="J1092">IFERROR(INDEX(DB!Q$2:Q$2576,T1092),"")</f>
        <v/>
      </c>
      <c r="K1092" s="43"/>
      <c r="L1092" s="41" t="str" cm="1">
        <f t="array" ref="L1092">IFERROR(INDEX(DB!R$2:R$2576,T1092),"")</f>
        <v/>
      </c>
      <c r="M1092" s="43"/>
      <c r="P1092" t="str" cm="1">
        <f t="array" ref="P1092">IFERROR(_xlfn.AGGREGATE(15,6,ROW(DB!A$2:A$2576)/((($D$3&lt;&gt;"YES")+($D$3="YES")*(DB!E$2:E$2576="YES"))*(($D$4="")+($D$4&lt;&gt;"")*( DB!B$2:B$2576=$D$4))*(($D$5="")+($D$5&lt;&gt;"")*( DB!C$2:C$2576=$D$5))*(($D$6="")+($D$6&lt;&gt;"")*( DB!D$2:D$2576=$D$6))*(($D$7="")+($D$7&lt;&gt;"")*(ISNUMBER(SEARCH($D$7,DB!G$2:G$2576))))*(($F$7="전체")+($F$7&lt;&gt;"전체")*(DB!H$2:H$2576=$F$7))),ROW()-13)-1,"")</f>
        <v/>
      </c>
      <c r="Q1092" t="str" cm="1">
        <f t="array" ref="Q1092">IFERROR(INDEX(DB!G$2:G$2576,P1092),"")</f>
        <v/>
      </c>
      <c r="R1092" t="str" cm="1">
        <f t="array" ref="R1092">IFERROR(INDEX(DB!O$2:O$2576,P1092),"")</f>
        <v/>
      </c>
      <c r="S1092" t="str">
        <f t="shared" si="51"/>
        <v/>
      </c>
      <c r="T1092" t="str">
        <f t="shared" si="52"/>
        <v/>
      </c>
    </row>
    <row r="1093" spans="1:20" ht="100" customHeight="1">
      <c r="A1093" s="26"/>
      <c r="B1093" s="42" t="str">
        <f t="shared" si="50"/>
        <v/>
      </c>
      <c r="C1093" s="43"/>
      <c r="D1093" s="51" t="str" cm="1">
        <f t="array" ref="D1093">IFERROR(INDEX(DB!G$2:G$2576,T1093),"")</f>
        <v/>
      </c>
      <c r="E1093" s="43"/>
      <c r="F1093" s="52" t="str" cm="1">
        <f t="array" ref="F1093">IFERROR(INDEX(DB!O$2:O$2576,T1093),"")</f>
        <v/>
      </c>
      <c r="G1093" s="43"/>
      <c r="H1093" s="40" t="str" cm="1">
        <f t="array" ref="H1093">IFERROR(INDEX(DB!P$2:P$2576,T1093),"")</f>
        <v/>
      </c>
      <c r="I1093" s="43"/>
      <c r="J1093" s="53" t="str" cm="1">
        <f t="array" ref="J1093">IFERROR(INDEX(DB!Q$2:Q$2576,T1093),"")</f>
        <v/>
      </c>
      <c r="K1093" s="43"/>
      <c r="L1093" s="41" t="str" cm="1">
        <f t="array" ref="L1093">IFERROR(INDEX(DB!R$2:R$2576,T1093),"")</f>
        <v/>
      </c>
      <c r="M1093" s="43"/>
      <c r="P1093" t="str" cm="1">
        <f t="array" ref="P1093">IFERROR(_xlfn.AGGREGATE(15,6,ROW(DB!A$2:A$2576)/((($D$3&lt;&gt;"YES")+($D$3="YES")*(DB!E$2:E$2576="YES"))*(($D$4="")+($D$4&lt;&gt;"")*( DB!B$2:B$2576=$D$4))*(($D$5="")+($D$5&lt;&gt;"")*( DB!C$2:C$2576=$D$5))*(($D$6="")+($D$6&lt;&gt;"")*( DB!D$2:D$2576=$D$6))*(($D$7="")+($D$7&lt;&gt;"")*(ISNUMBER(SEARCH($D$7,DB!G$2:G$2576))))*(($F$7="전체")+($F$7&lt;&gt;"전체")*(DB!H$2:H$2576=$F$7))),ROW()-13)-1,"")</f>
        <v/>
      </c>
      <c r="Q1093" t="str" cm="1">
        <f t="array" ref="Q1093">IFERROR(INDEX(DB!G$2:G$2576,P1093),"")</f>
        <v/>
      </c>
      <c r="R1093" t="str" cm="1">
        <f t="array" ref="R1093">IFERROR(INDEX(DB!O$2:O$2576,P1093),"")</f>
        <v/>
      </c>
      <c r="S1093" t="str">
        <f t="shared" si="51"/>
        <v/>
      </c>
      <c r="T1093" t="str">
        <f t="shared" si="52"/>
        <v/>
      </c>
    </row>
    <row r="1094" spans="1:20" ht="100" customHeight="1">
      <c r="A1094" s="26"/>
      <c r="B1094" s="39" t="str">
        <f t="shared" si="50"/>
        <v/>
      </c>
      <c r="C1094" s="43"/>
      <c r="D1094" s="51" t="str" cm="1">
        <f t="array" ref="D1094">IFERROR(INDEX(DB!G$2:G$2576,T1094),"")</f>
        <v/>
      </c>
      <c r="E1094" s="43"/>
      <c r="F1094" s="52" t="str" cm="1">
        <f t="array" ref="F1094">IFERROR(INDEX(DB!O$2:O$2576,T1094),"")</f>
        <v/>
      </c>
      <c r="G1094" s="43"/>
      <c r="H1094" s="40" t="str" cm="1">
        <f t="array" ref="H1094">IFERROR(INDEX(DB!P$2:P$2576,T1094),"")</f>
        <v/>
      </c>
      <c r="I1094" s="43"/>
      <c r="J1094" s="53" t="str" cm="1">
        <f t="array" ref="J1094">IFERROR(INDEX(DB!Q$2:Q$2576,T1094),"")</f>
        <v/>
      </c>
      <c r="K1094" s="43"/>
      <c r="L1094" s="41" t="str" cm="1">
        <f t="array" ref="L1094">IFERROR(INDEX(DB!R$2:R$2576,T1094),"")</f>
        <v/>
      </c>
      <c r="M1094" s="43"/>
      <c r="P1094" t="str" cm="1">
        <f t="array" ref="P1094">IFERROR(_xlfn.AGGREGATE(15,6,ROW(DB!A$2:A$2576)/((($D$3&lt;&gt;"YES")+($D$3="YES")*(DB!E$2:E$2576="YES"))*(($D$4="")+($D$4&lt;&gt;"")*( DB!B$2:B$2576=$D$4))*(($D$5="")+($D$5&lt;&gt;"")*( DB!C$2:C$2576=$D$5))*(($D$6="")+($D$6&lt;&gt;"")*( DB!D$2:D$2576=$D$6))*(($D$7="")+($D$7&lt;&gt;"")*(ISNUMBER(SEARCH($D$7,DB!G$2:G$2576))))*(($F$7="전체")+($F$7&lt;&gt;"전체")*(DB!H$2:H$2576=$F$7))),ROW()-13)-1,"")</f>
        <v/>
      </c>
      <c r="Q1094" t="str" cm="1">
        <f t="array" ref="Q1094">IFERROR(INDEX(DB!G$2:G$2576,P1094),"")</f>
        <v/>
      </c>
      <c r="R1094" t="str" cm="1">
        <f t="array" ref="R1094">IFERROR(INDEX(DB!O$2:O$2576,P1094),"")</f>
        <v/>
      </c>
      <c r="S1094" t="str">
        <f t="shared" si="51"/>
        <v/>
      </c>
      <c r="T1094" t="str">
        <f t="shared" si="52"/>
        <v/>
      </c>
    </row>
    <row r="1095" spans="1:20" ht="100" customHeight="1">
      <c r="A1095" s="26"/>
      <c r="B1095" s="42" t="str">
        <f t="shared" si="50"/>
        <v/>
      </c>
      <c r="C1095" s="43"/>
      <c r="D1095" s="51" t="str" cm="1">
        <f t="array" ref="D1095">IFERROR(INDEX(DB!G$2:G$2576,T1095),"")</f>
        <v/>
      </c>
      <c r="E1095" s="43"/>
      <c r="F1095" s="52" t="str" cm="1">
        <f t="array" ref="F1095">IFERROR(INDEX(DB!O$2:O$2576,T1095),"")</f>
        <v/>
      </c>
      <c r="G1095" s="43"/>
      <c r="H1095" s="40" t="str" cm="1">
        <f t="array" ref="H1095">IFERROR(INDEX(DB!P$2:P$2576,T1095),"")</f>
        <v/>
      </c>
      <c r="I1095" s="43"/>
      <c r="J1095" s="53" t="str" cm="1">
        <f t="array" ref="J1095">IFERROR(INDEX(DB!Q$2:Q$2576,T1095),"")</f>
        <v/>
      </c>
      <c r="K1095" s="43"/>
      <c r="L1095" s="41" t="str" cm="1">
        <f t="array" ref="L1095">IFERROR(INDEX(DB!R$2:R$2576,T1095),"")</f>
        <v/>
      </c>
      <c r="M1095" s="43"/>
      <c r="P1095" t="str" cm="1">
        <f t="array" ref="P1095">IFERROR(_xlfn.AGGREGATE(15,6,ROW(DB!A$2:A$2576)/((($D$3&lt;&gt;"YES")+($D$3="YES")*(DB!E$2:E$2576="YES"))*(($D$4="")+($D$4&lt;&gt;"")*( DB!B$2:B$2576=$D$4))*(($D$5="")+($D$5&lt;&gt;"")*( DB!C$2:C$2576=$D$5))*(($D$6="")+($D$6&lt;&gt;"")*( DB!D$2:D$2576=$D$6))*(($D$7="")+($D$7&lt;&gt;"")*(ISNUMBER(SEARCH($D$7,DB!G$2:G$2576))))*(($F$7="전체")+($F$7&lt;&gt;"전체")*(DB!H$2:H$2576=$F$7))),ROW()-13)-1,"")</f>
        <v/>
      </c>
      <c r="Q1095" t="str" cm="1">
        <f t="array" ref="Q1095">IFERROR(INDEX(DB!G$2:G$2576,P1095),"")</f>
        <v/>
      </c>
      <c r="R1095" t="str" cm="1">
        <f t="array" ref="R1095">IFERROR(INDEX(DB!O$2:O$2576,P1095),"")</f>
        <v/>
      </c>
      <c r="S1095" t="str">
        <f t="shared" si="51"/>
        <v/>
      </c>
      <c r="T1095" t="str">
        <f t="shared" si="52"/>
        <v/>
      </c>
    </row>
    <row r="1096" spans="1:20" ht="100" customHeight="1">
      <c r="A1096" s="26"/>
      <c r="B1096" s="39" t="str">
        <f t="shared" si="50"/>
        <v/>
      </c>
      <c r="C1096" s="43"/>
      <c r="D1096" s="51" t="str" cm="1">
        <f t="array" ref="D1096">IFERROR(INDEX(DB!G$2:G$2576,T1096),"")</f>
        <v/>
      </c>
      <c r="E1096" s="43"/>
      <c r="F1096" s="52" t="str" cm="1">
        <f t="array" ref="F1096">IFERROR(INDEX(DB!O$2:O$2576,T1096),"")</f>
        <v/>
      </c>
      <c r="G1096" s="43"/>
      <c r="H1096" s="40" t="str" cm="1">
        <f t="array" ref="H1096">IFERROR(INDEX(DB!P$2:P$2576,T1096),"")</f>
        <v/>
      </c>
      <c r="I1096" s="43"/>
      <c r="J1096" s="53" t="str" cm="1">
        <f t="array" ref="J1096">IFERROR(INDEX(DB!Q$2:Q$2576,T1096),"")</f>
        <v/>
      </c>
      <c r="K1096" s="43"/>
      <c r="L1096" s="41" t="str" cm="1">
        <f t="array" ref="L1096">IFERROR(INDEX(DB!R$2:R$2576,T1096),"")</f>
        <v/>
      </c>
      <c r="M1096" s="43"/>
      <c r="P1096" t="str" cm="1">
        <f t="array" ref="P1096">IFERROR(_xlfn.AGGREGATE(15,6,ROW(DB!A$2:A$2576)/((($D$3&lt;&gt;"YES")+($D$3="YES")*(DB!E$2:E$2576="YES"))*(($D$4="")+($D$4&lt;&gt;"")*( DB!B$2:B$2576=$D$4))*(($D$5="")+($D$5&lt;&gt;"")*( DB!C$2:C$2576=$D$5))*(($D$6="")+($D$6&lt;&gt;"")*( DB!D$2:D$2576=$D$6))*(($D$7="")+($D$7&lt;&gt;"")*(ISNUMBER(SEARCH($D$7,DB!G$2:G$2576))))*(($F$7="전체")+($F$7&lt;&gt;"전체")*(DB!H$2:H$2576=$F$7))),ROW()-13)-1,"")</f>
        <v/>
      </c>
      <c r="Q1096" t="str" cm="1">
        <f t="array" ref="Q1096">IFERROR(INDEX(DB!G$2:G$2576,P1096),"")</f>
        <v/>
      </c>
      <c r="R1096" t="str" cm="1">
        <f t="array" ref="R1096">IFERROR(INDEX(DB!O$2:O$2576,P1096),"")</f>
        <v/>
      </c>
      <c r="S1096" t="str">
        <f t="shared" si="51"/>
        <v/>
      </c>
      <c r="T1096" t="str">
        <f t="shared" si="52"/>
        <v/>
      </c>
    </row>
    <row r="1097" spans="1:20" ht="100" customHeight="1">
      <c r="A1097" s="26"/>
      <c r="B1097" s="42" t="str">
        <f t="shared" si="50"/>
        <v/>
      </c>
      <c r="C1097" s="43"/>
      <c r="D1097" s="51" t="str" cm="1">
        <f t="array" ref="D1097">IFERROR(INDEX(DB!G$2:G$2576,T1097),"")</f>
        <v/>
      </c>
      <c r="E1097" s="43"/>
      <c r="F1097" s="52" t="str" cm="1">
        <f t="array" ref="F1097">IFERROR(INDEX(DB!O$2:O$2576,T1097),"")</f>
        <v/>
      </c>
      <c r="G1097" s="43"/>
      <c r="H1097" s="40" t="str" cm="1">
        <f t="array" ref="H1097">IFERROR(INDEX(DB!P$2:P$2576,T1097),"")</f>
        <v/>
      </c>
      <c r="I1097" s="43"/>
      <c r="J1097" s="53" t="str" cm="1">
        <f t="array" ref="J1097">IFERROR(INDEX(DB!Q$2:Q$2576,T1097),"")</f>
        <v/>
      </c>
      <c r="K1097" s="43"/>
      <c r="L1097" s="41" t="str" cm="1">
        <f t="array" ref="L1097">IFERROR(INDEX(DB!R$2:R$2576,T1097),"")</f>
        <v/>
      </c>
      <c r="M1097" s="43"/>
      <c r="P1097" t="str" cm="1">
        <f t="array" ref="P1097">IFERROR(_xlfn.AGGREGATE(15,6,ROW(DB!A$2:A$2576)/((($D$3&lt;&gt;"YES")+($D$3="YES")*(DB!E$2:E$2576="YES"))*(($D$4="")+($D$4&lt;&gt;"")*( DB!B$2:B$2576=$D$4))*(($D$5="")+($D$5&lt;&gt;"")*( DB!C$2:C$2576=$D$5))*(($D$6="")+($D$6&lt;&gt;"")*( DB!D$2:D$2576=$D$6))*(($D$7="")+($D$7&lt;&gt;"")*(ISNUMBER(SEARCH($D$7,DB!G$2:G$2576))))*(($F$7="전체")+($F$7&lt;&gt;"전체")*(DB!H$2:H$2576=$F$7))),ROW()-13)-1,"")</f>
        <v/>
      </c>
      <c r="Q1097" t="str" cm="1">
        <f t="array" ref="Q1097">IFERROR(INDEX(DB!G$2:G$2576,P1097),"")</f>
        <v/>
      </c>
      <c r="R1097" t="str" cm="1">
        <f t="array" ref="R1097">IFERROR(INDEX(DB!O$2:O$2576,P1097),"")</f>
        <v/>
      </c>
      <c r="S1097" t="str">
        <f t="shared" si="51"/>
        <v/>
      </c>
      <c r="T1097" t="str">
        <f t="shared" si="52"/>
        <v/>
      </c>
    </row>
    <row r="1098" spans="1:20" ht="100" customHeight="1">
      <c r="A1098" s="26"/>
      <c r="B1098" s="39" t="str">
        <f t="shared" si="50"/>
        <v/>
      </c>
      <c r="C1098" s="43"/>
      <c r="D1098" s="51" t="str" cm="1">
        <f t="array" ref="D1098">IFERROR(INDEX(DB!G$2:G$2576,T1098),"")</f>
        <v/>
      </c>
      <c r="E1098" s="43"/>
      <c r="F1098" s="52" t="str" cm="1">
        <f t="array" ref="F1098">IFERROR(INDEX(DB!O$2:O$2576,T1098),"")</f>
        <v/>
      </c>
      <c r="G1098" s="43"/>
      <c r="H1098" s="40" t="str" cm="1">
        <f t="array" ref="H1098">IFERROR(INDEX(DB!P$2:P$2576,T1098),"")</f>
        <v/>
      </c>
      <c r="I1098" s="43"/>
      <c r="J1098" s="53" t="str" cm="1">
        <f t="array" ref="J1098">IFERROR(INDEX(DB!Q$2:Q$2576,T1098),"")</f>
        <v/>
      </c>
      <c r="K1098" s="43"/>
      <c r="L1098" s="41" t="str" cm="1">
        <f t="array" ref="L1098">IFERROR(INDEX(DB!R$2:R$2576,T1098),"")</f>
        <v/>
      </c>
      <c r="M1098" s="43"/>
      <c r="P1098" t="str" cm="1">
        <f t="array" ref="P1098">IFERROR(_xlfn.AGGREGATE(15,6,ROW(DB!A$2:A$2576)/((($D$3&lt;&gt;"YES")+($D$3="YES")*(DB!E$2:E$2576="YES"))*(($D$4="")+($D$4&lt;&gt;"")*( DB!B$2:B$2576=$D$4))*(($D$5="")+($D$5&lt;&gt;"")*( DB!C$2:C$2576=$D$5))*(($D$6="")+($D$6&lt;&gt;"")*( DB!D$2:D$2576=$D$6))*(($D$7="")+($D$7&lt;&gt;"")*(ISNUMBER(SEARCH($D$7,DB!G$2:G$2576))))*(($F$7="전체")+($F$7&lt;&gt;"전체")*(DB!H$2:H$2576=$F$7))),ROW()-13)-1,"")</f>
        <v/>
      </c>
      <c r="Q1098" t="str" cm="1">
        <f t="array" ref="Q1098">IFERROR(INDEX(DB!G$2:G$2576,P1098),"")</f>
        <v/>
      </c>
      <c r="R1098" t="str" cm="1">
        <f t="array" ref="R1098">IFERROR(INDEX(DB!O$2:O$2576,P1098),"")</f>
        <v/>
      </c>
      <c r="S1098" t="str">
        <f t="shared" si="51"/>
        <v/>
      </c>
      <c r="T1098" t="str">
        <f t="shared" si="52"/>
        <v/>
      </c>
    </row>
    <row r="1099" spans="1:20" ht="100" customHeight="1">
      <c r="A1099" s="26"/>
      <c r="B1099" s="42" t="str">
        <f t="shared" si="50"/>
        <v/>
      </c>
      <c r="C1099" s="43"/>
      <c r="D1099" s="51" t="str" cm="1">
        <f t="array" ref="D1099">IFERROR(INDEX(DB!G$2:G$2576,T1099),"")</f>
        <v/>
      </c>
      <c r="E1099" s="43"/>
      <c r="F1099" s="52" t="str" cm="1">
        <f t="array" ref="F1099">IFERROR(INDEX(DB!O$2:O$2576,T1099),"")</f>
        <v/>
      </c>
      <c r="G1099" s="43"/>
      <c r="H1099" s="40" t="str" cm="1">
        <f t="array" ref="H1099">IFERROR(INDEX(DB!P$2:P$2576,T1099),"")</f>
        <v/>
      </c>
      <c r="I1099" s="43"/>
      <c r="J1099" s="53" t="str" cm="1">
        <f t="array" ref="J1099">IFERROR(INDEX(DB!Q$2:Q$2576,T1099),"")</f>
        <v/>
      </c>
      <c r="K1099" s="43"/>
      <c r="L1099" s="41" t="str" cm="1">
        <f t="array" ref="L1099">IFERROR(INDEX(DB!R$2:R$2576,T1099),"")</f>
        <v/>
      </c>
      <c r="M1099" s="43"/>
      <c r="P1099" t="str" cm="1">
        <f t="array" ref="P1099">IFERROR(_xlfn.AGGREGATE(15,6,ROW(DB!A$2:A$2576)/((($D$3&lt;&gt;"YES")+($D$3="YES")*(DB!E$2:E$2576="YES"))*(($D$4="")+($D$4&lt;&gt;"")*( DB!B$2:B$2576=$D$4))*(($D$5="")+($D$5&lt;&gt;"")*( DB!C$2:C$2576=$D$5))*(($D$6="")+($D$6&lt;&gt;"")*( DB!D$2:D$2576=$D$6))*(($D$7="")+($D$7&lt;&gt;"")*(ISNUMBER(SEARCH($D$7,DB!G$2:G$2576))))*(($F$7="전체")+($F$7&lt;&gt;"전체")*(DB!H$2:H$2576=$F$7))),ROW()-13)-1,"")</f>
        <v/>
      </c>
      <c r="Q1099" t="str" cm="1">
        <f t="array" ref="Q1099">IFERROR(INDEX(DB!G$2:G$2576,P1099),"")</f>
        <v/>
      </c>
      <c r="R1099" t="str" cm="1">
        <f t="array" ref="R1099">IFERROR(INDEX(DB!O$2:O$2576,P1099),"")</f>
        <v/>
      </c>
      <c r="S1099" t="str">
        <f t="shared" si="51"/>
        <v/>
      </c>
      <c r="T1099" t="str">
        <f t="shared" si="52"/>
        <v/>
      </c>
    </row>
    <row r="1100" spans="1:20" ht="100" customHeight="1">
      <c r="A1100" s="26"/>
      <c r="B1100" s="39" t="str">
        <f t="shared" si="50"/>
        <v/>
      </c>
      <c r="C1100" s="43"/>
      <c r="D1100" s="51" t="str" cm="1">
        <f t="array" ref="D1100">IFERROR(INDEX(DB!G$2:G$2576,T1100),"")</f>
        <v/>
      </c>
      <c r="E1100" s="43"/>
      <c r="F1100" s="52" t="str" cm="1">
        <f t="array" ref="F1100">IFERROR(INDEX(DB!O$2:O$2576,T1100),"")</f>
        <v/>
      </c>
      <c r="G1100" s="43"/>
      <c r="H1100" s="40" t="str" cm="1">
        <f t="array" ref="H1100">IFERROR(INDEX(DB!P$2:P$2576,T1100),"")</f>
        <v/>
      </c>
      <c r="I1100" s="43"/>
      <c r="J1100" s="53" t="str" cm="1">
        <f t="array" ref="J1100">IFERROR(INDEX(DB!Q$2:Q$2576,T1100),"")</f>
        <v/>
      </c>
      <c r="K1100" s="43"/>
      <c r="L1100" s="41" t="str" cm="1">
        <f t="array" ref="L1100">IFERROR(INDEX(DB!R$2:R$2576,T1100),"")</f>
        <v/>
      </c>
      <c r="M1100" s="43"/>
      <c r="P1100" t="str" cm="1">
        <f t="array" ref="P1100">IFERROR(_xlfn.AGGREGATE(15,6,ROW(DB!A$2:A$2576)/((($D$3&lt;&gt;"YES")+($D$3="YES")*(DB!E$2:E$2576="YES"))*(($D$4="")+($D$4&lt;&gt;"")*( DB!B$2:B$2576=$D$4))*(($D$5="")+($D$5&lt;&gt;"")*( DB!C$2:C$2576=$D$5))*(($D$6="")+($D$6&lt;&gt;"")*( DB!D$2:D$2576=$D$6))*(($D$7="")+($D$7&lt;&gt;"")*(ISNUMBER(SEARCH($D$7,DB!G$2:G$2576))))*(($F$7="전체")+($F$7&lt;&gt;"전체")*(DB!H$2:H$2576=$F$7))),ROW()-13)-1,"")</f>
        <v/>
      </c>
      <c r="Q1100" t="str" cm="1">
        <f t="array" ref="Q1100">IFERROR(INDEX(DB!G$2:G$2576,P1100),"")</f>
        <v/>
      </c>
      <c r="R1100" t="str" cm="1">
        <f t="array" ref="R1100">IFERROR(INDEX(DB!O$2:O$2576,P1100),"")</f>
        <v/>
      </c>
      <c r="S1100" t="str">
        <f t="shared" si="51"/>
        <v/>
      </c>
      <c r="T1100" t="str">
        <f t="shared" si="52"/>
        <v/>
      </c>
    </row>
    <row r="1101" spans="1:20" ht="100" customHeight="1">
      <c r="A1101" s="26"/>
      <c r="B1101" s="42" t="str">
        <f t="shared" si="50"/>
        <v/>
      </c>
      <c r="C1101" s="43"/>
      <c r="D1101" s="51" t="str" cm="1">
        <f t="array" ref="D1101">IFERROR(INDEX(DB!G$2:G$2576,T1101),"")</f>
        <v/>
      </c>
      <c r="E1101" s="43"/>
      <c r="F1101" s="52" t="str" cm="1">
        <f t="array" ref="F1101">IFERROR(INDEX(DB!O$2:O$2576,T1101),"")</f>
        <v/>
      </c>
      <c r="G1101" s="43"/>
      <c r="H1101" s="40" t="str" cm="1">
        <f t="array" ref="H1101">IFERROR(INDEX(DB!P$2:P$2576,T1101),"")</f>
        <v/>
      </c>
      <c r="I1101" s="43"/>
      <c r="J1101" s="53" t="str" cm="1">
        <f t="array" ref="J1101">IFERROR(INDEX(DB!Q$2:Q$2576,T1101),"")</f>
        <v/>
      </c>
      <c r="K1101" s="43"/>
      <c r="L1101" s="41" t="str" cm="1">
        <f t="array" ref="L1101">IFERROR(INDEX(DB!R$2:R$2576,T1101),"")</f>
        <v/>
      </c>
      <c r="M1101" s="43"/>
      <c r="P1101" t="str" cm="1">
        <f t="array" ref="P1101">IFERROR(_xlfn.AGGREGATE(15,6,ROW(DB!A$2:A$2576)/((($D$3&lt;&gt;"YES")+($D$3="YES")*(DB!E$2:E$2576="YES"))*(($D$4="")+($D$4&lt;&gt;"")*( DB!B$2:B$2576=$D$4))*(($D$5="")+($D$5&lt;&gt;"")*( DB!C$2:C$2576=$D$5))*(($D$6="")+($D$6&lt;&gt;"")*( DB!D$2:D$2576=$D$6))*(($D$7="")+($D$7&lt;&gt;"")*(ISNUMBER(SEARCH($D$7,DB!G$2:G$2576))))*(($F$7="전체")+($F$7&lt;&gt;"전체")*(DB!H$2:H$2576=$F$7))),ROW()-13)-1,"")</f>
        <v/>
      </c>
      <c r="Q1101" t="str" cm="1">
        <f t="array" ref="Q1101">IFERROR(INDEX(DB!G$2:G$2576,P1101),"")</f>
        <v/>
      </c>
      <c r="R1101" t="str" cm="1">
        <f t="array" ref="R1101">IFERROR(INDEX(DB!O$2:O$2576,P1101),"")</f>
        <v/>
      </c>
      <c r="S1101" t="str">
        <f t="shared" si="51"/>
        <v/>
      </c>
      <c r="T1101" t="str">
        <f t="shared" si="52"/>
        <v/>
      </c>
    </row>
    <row r="1102" spans="1:20" ht="100" customHeight="1">
      <c r="A1102" s="26"/>
      <c r="B1102" s="39" t="str">
        <f t="shared" si="50"/>
        <v/>
      </c>
      <c r="C1102" s="43"/>
      <c r="D1102" s="51" t="str" cm="1">
        <f t="array" ref="D1102">IFERROR(INDEX(DB!G$2:G$2576,T1102),"")</f>
        <v/>
      </c>
      <c r="E1102" s="43"/>
      <c r="F1102" s="52" t="str" cm="1">
        <f t="array" ref="F1102">IFERROR(INDEX(DB!O$2:O$2576,T1102),"")</f>
        <v/>
      </c>
      <c r="G1102" s="43"/>
      <c r="H1102" s="40" t="str" cm="1">
        <f t="array" ref="H1102">IFERROR(INDEX(DB!P$2:P$2576,T1102),"")</f>
        <v/>
      </c>
      <c r="I1102" s="43"/>
      <c r="J1102" s="53" t="str" cm="1">
        <f t="array" ref="J1102">IFERROR(INDEX(DB!Q$2:Q$2576,T1102),"")</f>
        <v/>
      </c>
      <c r="K1102" s="43"/>
      <c r="L1102" s="41" t="str" cm="1">
        <f t="array" ref="L1102">IFERROR(INDEX(DB!R$2:R$2576,T1102),"")</f>
        <v/>
      </c>
      <c r="M1102" s="43"/>
      <c r="P1102" t="str" cm="1">
        <f t="array" ref="P1102">IFERROR(_xlfn.AGGREGATE(15,6,ROW(DB!A$2:A$2576)/((($D$3&lt;&gt;"YES")+($D$3="YES")*(DB!E$2:E$2576="YES"))*(($D$4="")+($D$4&lt;&gt;"")*( DB!B$2:B$2576=$D$4))*(($D$5="")+($D$5&lt;&gt;"")*( DB!C$2:C$2576=$D$5))*(($D$6="")+($D$6&lt;&gt;"")*( DB!D$2:D$2576=$D$6))*(($D$7="")+($D$7&lt;&gt;"")*(ISNUMBER(SEARCH($D$7,DB!G$2:G$2576))))*(($F$7="전체")+($F$7&lt;&gt;"전체")*(DB!H$2:H$2576=$F$7))),ROW()-13)-1,"")</f>
        <v/>
      </c>
      <c r="Q1102" t="str" cm="1">
        <f t="array" ref="Q1102">IFERROR(INDEX(DB!G$2:G$2576,P1102),"")</f>
        <v/>
      </c>
      <c r="R1102" t="str" cm="1">
        <f t="array" ref="R1102">IFERROR(INDEX(DB!O$2:O$2576,P1102),"")</f>
        <v/>
      </c>
      <c r="S1102" t="str">
        <f t="shared" si="51"/>
        <v/>
      </c>
      <c r="T1102" t="str">
        <f t="shared" si="52"/>
        <v/>
      </c>
    </row>
    <row r="1103" spans="1:20" ht="100" customHeight="1">
      <c r="A1103" s="26"/>
      <c r="B1103" s="42" t="str">
        <f t="shared" ref="B1103:B1166" si="53">IFERROR(IF(T1103="","",ROW()-13),"")</f>
        <v/>
      </c>
      <c r="C1103" s="43"/>
      <c r="D1103" s="51" t="str" cm="1">
        <f t="array" ref="D1103">IFERROR(INDEX(DB!G$2:G$2576,T1103),"")</f>
        <v/>
      </c>
      <c r="E1103" s="43"/>
      <c r="F1103" s="52" t="str" cm="1">
        <f t="array" ref="F1103">IFERROR(INDEX(DB!O$2:O$2576,T1103),"")</f>
        <v/>
      </c>
      <c r="G1103" s="43"/>
      <c r="H1103" s="40" t="str" cm="1">
        <f t="array" ref="H1103">IFERROR(INDEX(DB!P$2:P$2576,T1103),"")</f>
        <v/>
      </c>
      <c r="I1103" s="43"/>
      <c r="J1103" s="53" t="str" cm="1">
        <f t="array" ref="J1103">IFERROR(INDEX(DB!Q$2:Q$2576,T1103),"")</f>
        <v/>
      </c>
      <c r="K1103" s="43"/>
      <c r="L1103" s="41" t="str" cm="1">
        <f t="array" ref="L1103">IFERROR(INDEX(DB!R$2:R$2576,T1103),"")</f>
        <v/>
      </c>
      <c r="M1103" s="43"/>
      <c r="P1103" t="str" cm="1">
        <f t="array" ref="P1103">IFERROR(_xlfn.AGGREGATE(15,6,ROW(DB!A$2:A$2576)/((($D$3&lt;&gt;"YES")+($D$3="YES")*(DB!E$2:E$2576="YES"))*(($D$4="")+($D$4&lt;&gt;"")*( DB!B$2:B$2576=$D$4))*(($D$5="")+($D$5&lt;&gt;"")*( DB!C$2:C$2576=$D$5))*(($D$6="")+($D$6&lt;&gt;"")*( DB!D$2:D$2576=$D$6))*(($D$7="")+($D$7&lt;&gt;"")*(ISNUMBER(SEARCH($D$7,DB!G$2:G$2576))))*(($F$7="전체")+($F$7&lt;&gt;"전체")*(DB!H$2:H$2576=$F$7))),ROW()-13)-1,"")</f>
        <v/>
      </c>
      <c r="Q1103" t="str" cm="1">
        <f t="array" ref="Q1103">IFERROR(INDEX(DB!G$2:G$2576,P1103),"")</f>
        <v/>
      </c>
      <c r="R1103" t="str" cm="1">
        <f t="array" ref="R1103">IFERROR(INDEX(DB!O$2:O$2576,P1103),"")</f>
        <v/>
      </c>
      <c r="S1103" t="str">
        <f t="shared" ref="S1103:S1166" si="54">IF(P1103="","",COUNTIF($Q$14:$Q$2587,"&lt;"&amp;Q1103)*100+COUNTIF($R$14:$R$2587,"&lt;"&amp;R1103)+(ROW()-13)*0.001)</f>
        <v/>
      </c>
      <c r="T1103" t="str">
        <f t="shared" ref="T1103:T1166" si="55">IFERROR(INDEX($P$14:$P$2587,MATCH(SMALL($S$14:$S$2587,ROW()-13),$S$14:$S$2587,0)),"")</f>
        <v/>
      </c>
    </row>
    <row r="1104" spans="1:20" ht="100" customHeight="1">
      <c r="A1104" s="26"/>
      <c r="B1104" s="39" t="str">
        <f t="shared" si="53"/>
        <v/>
      </c>
      <c r="C1104" s="43"/>
      <c r="D1104" s="51" t="str" cm="1">
        <f t="array" ref="D1104">IFERROR(INDEX(DB!G$2:G$2576,T1104),"")</f>
        <v/>
      </c>
      <c r="E1104" s="43"/>
      <c r="F1104" s="52" t="str" cm="1">
        <f t="array" ref="F1104">IFERROR(INDEX(DB!O$2:O$2576,T1104),"")</f>
        <v/>
      </c>
      <c r="G1104" s="43"/>
      <c r="H1104" s="40" t="str" cm="1">
        <f t="array" ref="H1104">IFERROR(INDEX(DB!P$2:P$2576,T1104),"")</f>
        <v/>
      </c>
      <c r="I1104" s="43"/>
      <c r="J1104" s="53" t="str" cm="1">
        <f t="array" ref="J1104">IFERROR(INDEX(DB!Q$2:Q$2576,T1104),"")</f>
        <v/>
      </c>
      <c r="K1104" s="43"/>
      <c r="L1104" s="41" t="str" cm="1">
        <f t="array" ref="L1104">IFERROR(INDEX(DB!R$2:R$2576,T1104),"")</f>
        <v/>
      </c>
      <c r="M1104" s="43"/>
      <c r="P1104" t="str" cm="1">
        <f t="array" ref="P1104">IFERROR(_xlfn.AGGREGATE(15,6,ROW(DB!A$2:A$2576)/((($D$3&lt;&gt;"YES")+($D$3="YES")*(DB!E$2:E$2576="YES"))*(($D$4="")+($D$4&lt;&gt;"")*( DB!B$2:B$2576=$D$4))*(($D$5="")+($D$5&lt;&gt;"")*( DB!C$2:C$2576=$D$5))*(($D$6="")+($D$6&lt;&gt;"")*( DB!D$2:D$2576=$D$6))*(($D$7="")+($D$7&lt;&gt;"")*(ISNUMBER(SEARCH($D$7,DB!G$2:G$2576))))*(($F$7="전체")+($F$7&lt;&gt;"전체")*(DB!H$2:H$2576=$F$7))),ROW()-13)-1,"")</f>
        <v/>
      </c>
      <c r="Q1104" t="str" cm="1">
        <f t="array" ref="Q1104">IFERROR(INDEX(DB!G$2:G$2576,P1104),"")</f>
        <v/>
      </c>
      <c r="R1104" t="str" cm="1">
        <f t="array" ref="R1104">IFERROR(INDEX(DB!O$2:O$2576,P1104),"")</f>
        <v/>
      </c>
      <c r="S1104" t="str">
        <f t="shared" si="54"/>
        <v/>
      </c>
      <c r="T1104" t="str">
        <f t="shared" si="55"/>
        <v/>
      </c>
    </row>
    <row r="1105" spans="1:20" ht="100" customHeight="1">
      <c r="A1105" s="26"/>
      <c r="B1105" s="42" t="str">
        <f t="shared" si="53"/>
        <v/>
      </c>
      <c r="C1105" s="43"/>
      <c r="D1105" s="51" t="str" cm="1">
        <f t="array" ref="D1105">IFERROR(INDEX(DB!G$2:G$2576,T1105),"")</f>
        <v/>
      </c>
      <c r="E1105" s="43"/>
      <c r="F1105" s="52" t="str" cm="1">
        <f t="array" ref="F1105">IFERROR(INDEX(DB!O$2:O$2576,T1105),"")</f>
        <v/>
      </c>
      <c r="G1105" s="43"/>
      <c r="H1105" s="40" t="str" cm="1">
        <f t="array" ref="H1105">IFERROR(INDEX(DB!P$2:P$2576,T1105),"")</f>
        <v/>
      </c>
      <c r="I1105" s="43"/>
      <c r="J1105" s="53" t="str" cm="1">
        <f t="array" ref="J1105">IFERROR(INDEX(DB!Q$2:Q$2576,T1105),"")</f>
        <v/>
      </c>
      <c r="K1105" s="43"/>
      <c r="L1105" s="41" t="str" cm="1">
        <f t="array" ref="L1105">IFERROR(INDEX(DB!R$2:R$2576,T1105),"")</f>
        <v/>
      </c>
      <c r="M1105" s="43"/>
      <c r="P1105" t="str" cm="1">
        <f t="array" ref="P1105">IFERROR(_xlfn.AGGREGATE(15,6,ROW(DB!A$2:A$2576)/((($D$3&lt;&gt;"YES")+($D$3="YES")*(DB!E$2:E$2576="YES"))*(($D$4="")+($D$4&lt;&gt;"")*( DB!B$2:B$2576=$D$4))*(($D$5="")+($D$5&lt;&gt;"")*( DB!C$2:C$2576=$D$5))*(($D$6="")+($D$6&lt;&gt;"")*( DB!D$2:D$2576=$D$6))*(($D$7="")+($D$7&lt;&gt;"")*(ISNUMBER(SEARCH($D$7,DB!G$2:G$2576))))*(($F$7="전체")+($F$7&lt;&gt;"전체")*(DB!H$2:H$2576=$F$7))),ROW()-13)-1,"")</f>
        <v/>
      </c>
      <c r="Q1105" t="str" cm="1">
        <f t="array" ref="Q1105">IFERROR(INDEX(DB!G$2:G$2576,P1105),"")</f>
        <v/>
      </c>
      <c r="R1105" t="str" cm="1">
        <f t="array" ref="R1105">IFERROR(INDEX(DB!O$2:O$2576,P1105),"")</f>
        <v/>
      </c>
      <c r="S1105" t="str">
        <f t="shared" si="54"/>
        <v/>
      </c>
      <c r="T1105" t="str">
        <f t="shared" si="55"/>
        <v/>
      </c>
    </row>
    <row r="1106" spans="1:20" ht="100" customHeight="1">
      <c r="A1106" s="26"/>
      <c r="B1106" s="39" t="str">
        <f t="shared" si="53"/>
        <v/>
      </c>
      <c r="C1106" s="43"/>
      <c r="D1106" s="51" t="str" cm="1">
        <f t="array" ref="D1106">IFERROR(INDEX(DB!G$2:G$2576,T1106),"")</f>
        <v/>
      </c>
      <c r="E1106" s="43"/>
      <c r="F1106" s="52" t="str" cm="1">
        <f t="array" ref="F1106">IFERROR(INDEX(DB!O$2:O$2576,T1106),"")</f>
        <v/>
      </c>
      <c r="G1106" s="43"/>
      <c r="H1106" s="40" t="str" cm="1">
        <f t="array" ref="H1106">IFERROR(INDEX(DB!P$2:P$2576,T1106),"")</f>
        <v/>
      </c>
      <c r="I1106" s="43"/>
      <c r="J1106" s="53" t="str" cm="1">
        <f t="array" ref="J1106">IFERROR(INDEX(DB!Q$2:Q$2576,T1106),"")</f>
        <v/>
      </c>
      <c r="K1106" s="43"/>
      <c r="L1106" s="41" t="str" cm="1">
        <f t="array" ref="L1106">IFERROR(INDEX(DB!R$2:R$2576,T1106),"")</f>
        <v/>
      </c>
      <c r="M1106" s="43"/>
      <c r="P1106" t="str" cm="1">
        <f t="array" ref="P1106">IFERROR(_xlfn.AGGREGATE(15,6,ROW(DB!A$2:A$2576)/((($D$3&lt;&gt;"YES")+($D$3="YES")*(DB!E$2:E$2576="YES"))*(($D$4="")+($D$4&lt;&gt;"")*( DB!B$2:B$2576=$D$4))*(($D$5="")+($D$5&lt;&gt;"")*( DB!C$2:C$2576=$D$5))*(($D$6="")+($D$6&lt;&gt;"")*( DB!D$2:D$2576=$D$6))*(($D$7="")+($D$7&lt;&gt;"")*(ISNUMBER(SEARCH($D$7,DB!G$2:G$2576))))*(($F$7="전체")+($F$7&lt;&gt;"전체")*(DB!H$2:H$2576=$F$7))),ROW()-13)-1,"")</f>
        <v/>
      </c>
      <c r="Q1106" t="str" cm="1">
        <f t="array" ref="Q1106">IFERROR(INDEX(DB!G$2:G$2576,P1106),"")</f>
        <v/>
      </c>
      <c r="R1106" t="str" cm="1">
        <f t="array" ref="R1106">IFERROR(INDEX(DB!O$2:O$2576,P1106),"")</f>
        <v/>
      </c>
      <c r="S1106" t="str">
        <f t="shared" si="54"/>
        <v/>
      </c>
      <c r="T1106" t="str">
        <f t="shared" si="55"/>
        <v/>
      </c>
    </row>
    <row r="1107" spans="1:20" ht="100" customHeight="1">
      <c r="A1107" s="26"/>
      <c r="B1107" s="42" t="str">
        <f t="shared" si="53"/>
        <v/>
      </c>
      <c r="C1107" s="43"/>
      <c r="D1107" s="51" t="str" cm="1">
        <f t="array" ref="D1107">IFERROR(INDEX(DB!G$2:G$2576,T1107),"")</f>
        <v/>
      </c>
      <c r="E1107" s="43"/>
      <c r="F1107" s="52" t="str" cm="1">
        <f t="array" ref="F1107">IFERROR(INDEX(DB!O$2:O$2576,T1107),"")</f>
        <v/>
      </c>
      <c r="G1107" s="43"/>
      <c r="H1107" s="40" t="str" cm="1">
        <f t="array" ref="H1107">IFERROR(INDEX(DB!P$2:P$2576,T1107),"")</f>
        <v/>
      </c>
      <c r="I1107" s="43"/>
      <c r="J1107" s="53" t="str" cm="1">
        <f t="array" ref="J1107">IFERROR(INDEX(DB!Q$2:Q$2576,T1107),"")</f>
        <v/>
      </c>
      <c r="K1107" s="43"/>
      <c r="L1107" s="41" t="str" cm="1">
        <f t="array" ref="L1107">IFERROR(INDEX(DB!R$2:R$2576,T1107),"")</f>
        <v/>
      </c>
      <c r="M1107" s="43"/>
      <c r="P1107" t="str" cm="1">
        <f t="array" ref="P1107">IFERROR(_xlfn.AGGREGATE(15,6,ROW(DB!A$2:A$2576)/((($D$3&lt;&gt;"YES")+($D$3="YES")*(DB!E$2:E$2576="YES"))*(($D$4="")+($D$4&lt;&gt;"")*( DB!B$2:B$2576=$D$4))*(($D$5="")+($D$5&lt;&gt;"")*( DB!C$2:C$2576=$D$5))*(($D$6="")+($D$6&lt;&gt;"")*( DB!D$2:D$2576=$D$6))*(($D$7="")+($D$7&lt;&gt;"")*(ISNUMBER(SEARCH($D$7,DB!G$2:G$2576))))*(($F$7="전체")+($F$7&lt;&gt;"전체")*(DB!H$2:H$2576=$F$7))),ROW()-13)-1,"")</f>
        <v/>
      </c>
      <c r="Q1107" t="str" cm="1">
        <f t="array" ref="Q1107">IFERROR(INDEX(DB!G$2:G$2576,P1107),"")</f>
        <v/>
      </c>
      <c r="R1107" t="str" cm="1">
        <f t="array" ref="R1107">IFERROR(INDEX(DB!O$2:O$2576,P1107),"")</f>
        <v/>
      </c>
      <c r="S1107" t="str">
        <f t="shared" si="54"/>
        <v/>
      </c>
      <c r="T1107" t="str">
        <f t="shared" si="55"/>
        <v/>
      </c>
    </row>
    <row r="1108" spans="1:20" ht="100" customHeight="1">
      <c r="A1108" s="26"/>
      <c r="B1108" s="39" t="str">
        <f t="shared" si="53"/>
        <v/>
      </c>
      <c r="C1108" s="43"/>
      <c r="D1108" s="51" t="str" cm="1">
        <f t="array" ref="D1108">IFERROR(INDEX(DB!G$2:G$2576,T1108),"")</f>
        <v/>
      </c>
      <c r="E1108" s="43"/>
      <c r="F1108" s="52" t="str" cm="1">
        <f t="array" ref="F1108">IFERROR(INDEX(DB!O$2:O$2576,T1108),"")</f>
        <v/>
      </c>
      <c r="G1108" s="43"/>
      <c r="H1108" s="40" t="str" cm="1">
        <f t="array" ref="H1108">IFERROR(INDEX(DB!P$2:P$2576,T1108),"")</f>
        <v/>
      </c>
      <c r="I1108" s="43"/>
      <c r="J1108" s="53" t="str" cm="1">
        <f t="array" ref="J1108">IFERROR(INDEX(DB!Q$2:Q$2576,T1108),"")</f>
        <v/>
      </c>
      <c r="K1108" s="43"/>
      <c r="L1108" s="41" t="str" cm="1">
        <f t="array" ref="L1108">IFERROR(INDEX(DB!R$2:R$2576,T1108),"")</f>
        <v/>
      </c>
      <c r="M1108" s="43"/>
      <c r="P1108" t="str" cm="1">
        <f t="array" ref="P1108">IFERROR(_xlfn.AGGREGATE(15,6,ROW(DB!A$2:A$2576)/((($D$3&lt;&gt;"YES")+($D$3="YES")*(DB!E$2:E$2576="YES"))*(($D$4="")+($D$4&lt;&gt;"")*( DB!B$2:B$2576=$D$4))*(($D$5="")+($D$5&lt;&gt;"")*( DB!C$2:C$2576=$D$5))*(($D$6="")+($D$6&lt;&gt;"")*( DB!D$2:D$2576=$D$6))*(($D$7="")+($D$7&lt;&gt;"")*(ISNUMBER(SEARCH($D$7,DB!G$2:G$2576))))*(($F$7="전체")+($F$7&lt;&gt;"전체")*(DB!H$2:H$2576=$F$7))),ROW()-13)-1,"")</f>
        <v/>
      </c>
      <c r="Q1108" t="str" cm="1">
        <f t="array" ref="Q1108">IFERROR(INDEX(DB!G$2:G$2576,P1108),"")</f>
        <v/>
      </c>
      <c r="R1108" t="str" cm="1">
        <f t="array" ref="R1108">IFERROR(INDEX(DB!O$2:O$2576,P1108),"")</f>
        <v/>
      </c>
      <c r="S1108" t="str">
        <f t="shared" si="54"/>
        <v/>
      </c>
      <c r="T1108" t="str">
        <f t="shared" si="55"/>
        <v/>
      </c>
    </row>
    <row r="1109" spans="1:20" ht="100" customHeight="1">
      <c r="A1109" s="26"/>
      <c r="B1109" s="42" t="str">
        <f t="shared" si="53"/>
        <v/>
      </c>
      <c r="C1109" s="43"/>
      <c r="D1109" s="51" t="str" cm="1">
        <f t="array" ref="D1109">IFERROR(INDEX(DB!G$2:G$2576,T1109),"")</f>
        <v/>
      </c>
      <c r="E1109" s="43"/>
      <c r="F1109" s="52" t="str" cm="1">
        <f t="array" ref="F1109">IFERROR(INDEX(DB!O$2:O$2576,T1109),"")</f>
        <v/>
      </c>
      <c r="G1109" s="43"/>
      <c r="H1109" s="40" t="str" cm="1">
        <f t="array" ref="H1109">IFERROR(INDEX(DB!P$2:P$2576,T1109),"")</f>
        <v/>
      </c>
      <c r="I1109" s="43"/>
      <c r="J1109" s="53" t="str" cm="1">
        <f t="array" ref="J1109">IFERROR(INDEX(DB!Q$2:Q$2576,T1109),"")</f>
        <v/>
      </c>
      <c r="K1109" s="43"/>
      <c r="L1109" s="41" t="str" cm="1">
        <f t="array" ref="L1109">IFERROR(INDEX(DB!R$2:R$2576,T1109),"")</f>
        <v/>
      </c>
      <c r="M1109" s="43"/>
      <c r="P1109" t="str" cm="1">
        <f t="array" ref="P1109">IFERROR(_xlfn.AGGREGATE(15,6,ROW(DB!A$2:A$2576)/((($D$3&lt;&gt;"YES")+($D$3="YES")*(DB!E$2:E$2576="YES"))*(($D$4="")+($D$4&lt;&gt;"")*( DB!B$2:B$2576=$D$4))*(($D$5="")+($D$5&lt;&gt;"")*( DB!C$2:C$2576=$D$5))*(($D$6="")+($D$6&lt;&gt;"")*( DB!D$2:D$2576=$D$6))*(($D$7="")+($D$7&lt;&gt;"")*(ISNUMBER(SEARCH($D$7,DB!G$2:G$2576))))*(($F$7="전체")+($F$7&lt;&gt;"전체")*(DB!H$2:H$2576=$F$7))),ROW()-13)-1,"")</f>
        <v/>
      </c>
      <c r="Q1109" t="str" cm="1">
        <f t="array" ref="Q1109">IFERROR(INDEX(DB!G$2:G$2576,P1109),"")</f>
        <v/>
      </c>
      <c r="R1109" t="str" cm="1">
        <f t="array" ref="R1109">IFERROR(INDEX(DB!O$2:O$2576,P1109),"")</f>
        <v/>
      </c>
      <c r="S1109" t="str">
        <f t="shared" si="54"/>
        <v/>
      </c>
      <c r="T1109" t="str">
        <f t="shared" si="55"/>
        <v/>
      </c>
    </row>
    <row r="1110" spans="1:20" ht="100" customHeight="1">
      <c r="A1110" s="26"/>
      <c r="B1110" s="39" t="str">
        <f t="shared" si="53"/>
        <v/>
      </c>
      <c r="C1110" s="43"/>
      <c r="D1110" s="51" t="str" cm="1">
        <f t="array" ref="D1110">IFERROR(INDEX(DB!G$2:G$2576,T1110),"")</f>
        <v/>
      </c>
      <c r="E1110" s="43"/>
      <c r="F1110" s="52" t="str" cm="1">
        <f t="array" ref="F1110">IFERROR(INDEX(DB!O$2:O$2576,T1110),"")</f>
        <v/>
      </c>
      <c r="G1110" s="43"/>
      <c r="H1110" s="40" t="str" cm="1">
        <f t="array" ref="H1110">IFERROR(INDEX(DB!P$2:P$2576,T1110),"")</f>
        <v/>
      </c>
      <c r="I1110" s="43"/>
      <c r="J1110" s="53" t="str" cm="1">
        <f t="array" ref="J1110">IFERROR(INDEX(DB!Q$2:Q$2576,T1110),"")</f>
        <v/>
      </c>
      <c r="K1110" s="43"/>
      <c r="L1110" s="41" t="str" cm="1">
        <f t="array" ref="L1110">IFERROR(INDEX(DB!R$2:R$2576,T1110),"")</f>
        <v/>
      </c>
      <c r="M1110" s="43"/>
      <c r="P1110" t="str" cm="1">
        <f t="array" ref="P1110">IFERROR(_xlfn.AGGREGATE(15,6,ROW(DB!A$2:A$2576)/((($D$3&lt;&gt;"YES")+($D$3="YES")*(DB!E$2:E$2576="YES"))*(($D$4="")+($D$4&lt;&gt;"")*( DB!B$2:B$2576=$D$4))*(($D$5="")+($D$5&lt;&gt;"")*( DB!C$2:C$2576=$D$5))*(($D$6="")+($D$6&lt;&gt;"")*( DB!D$2:D$2576=$D$6))*(($D$7="")+($D$7&lt;&gt;"")*(ISNUMBER(SEARCH($D$7,DB!G$2:G$2576))))*(($F$7="전체")+($F$7&lt;&gt;"전체")*(DB!H$2:H$2576=$F$7))),ROW()-13)-1,"")</f>
        <v/>
      </c>
      <c r="Q1110" t="str" cm="1">
        <f t="array" ref="Q1110">IFERROR(INDEX(DB!G$2:G$2576,P1110),"")</f>
        <v/>
      </c>
      <c r="R1110" t="str" cm="1">
        <f t="array" ref="R1110">IFERROR(INDEX(DB!O$2:O$2576,P1110),"")</f>
        <v/>
      </c>
      <c r="S1110" t="str">
        <f t="shared" si="54"/>
        <v/>
      </c>
      <c r="T1110" t="str">
        <f t="shared" si="55"/>
        <v/>
      </c>
    </row>
    <row r="1111" spans="1:20" ht="100" customHeight="1">
      <c r="A1111" s="26"/>
      <c r="B1111" s="42" t="str">
        <f t="shared" si="53"/>
        <v/>
      </c>
      <c r="C1111" s="43"/>
      <c r="D1111" s="51" t="str" cm="1">
        <f t="array" ref="D1111">IFERROR(INDEX(DB!G$2:G$2576,T1111),"")</f>
        <v/>
      </c>
      <c r="E1111" s="43"/>
      <c r="F1111" s="52" t="str" cm="1">
        <f t="array" ref="F1111">IFERROR(INDEX(DB!O$2:O$2576,T1111),"")</f>
        <v/>
      </c>
      <c r="G1111" s="43"/>
      <c r="H1111" s="40" t="str" cm="1">
        <f t="array" ref="H1111">IFERROR(INDEX(DB!P$2:P$2576,T1111),"")</f>
        <v/>
      </c>
      <c r="I1111" s="43"/>
      <c r="J1111" s="53" t="str" cm="1">
        <f t="array" ref="J1111">IFERROR(INDEX(DB!Q$2:Q$2576,T1111),"")</f>
        <v/>
      </c>
      <c r="K1111" s="43"/>
      <c r="L1111" s="41" t="str" cm="1">
        <f t="array" ref="L1111">IFERROR(INDEX(DB!R$2:R$2576,T1111),"")</f>
        <v/>
      </c>
      <c r="M1111" s="43"/>
      <c r="P1111" t="str" cm="1">
        <f t="array" ref="P1111">IFERROR(_xlfn.AGGREGATE(15,6,ROW(DB!A$2:A$2576)/((($D$3&lt;&gt;"YES")+($D$3="YES")*(DB!E$2:E$2576="YES"))*(($D$4="")+($D$4&lt;&gt;"")*( DB!B$2:B$2576=$D$4))*(($D$5="")+($D$5&lt;&gt;"")*( DB!C$2:C$2576=$D$5))*(($D$6="")+($D$6&lt;&gt;"")*( DB!D$2:D$2576=$D$6))*(($D$7="")+($D$7&lt;&gt;"")*(ISNUMBER(SEARCH($D$7,DB!G$2:G$2576))))*(($F$7="전체")+($F$7&lt;&gt;"전체")*(DB!H$2:H$2576=$F$7))),ROW()-13)-1,"")</f>
        <v/>
      </c>
      <c r="Q1111" t="str" cm="1">
        <f t="array" ref="Q1111">IFERROR(INDEX(DB!G$2:G$2576,P1111),"")</f>
        <v/>
      </c>
      <c r="R1111" t="str" cm="1">
        <f t="array" ref="R1111">IFERROR(INDEX(DB!O$2:O$2576,P1111),"")</f>
        <v/>
      </c>
      <c r="S1111" t="str">
        <f t="shared" si="54"/>
        <v/>
      </c>
      <c r="T1111" t="str">
        <f t="shared" si="55"/>
        <v/>
      </c>
    </row>
    <row r="1112" spans="1:20" ht="100" customHeight="1">
      <c r="A1112" s="26"/>
      <c r="B1112" s="39" t="str">
        <f t="shared" si="53"/>
        <v/>
      </c>
      <c r="C1112" s="43"/>
      <c r="D1112" s="51" t="str" cm="1">
        <f t="array" ref="D1112">IFERROR(INDEX(DB!G$2:G$2576,T1112),"")</f>
        <v/>
      </c>
      <c r="E1112" s="43"/>
      <c r="F1112" s="52" t="str" cm="1">
        <f t="array" ref="F1112">IFERROR(INDEX(DB!O$2:O$2576,T1112),"")</f>
        <v/>
      </c>
      <c r="G1112" s="43"/>
      <c r="H1112" s="40" t="str" cm="1">
        <f t="array" ref="H1112">IFERROR(INDEX(DB!P$2:P$2576,T1112),"")</f>
        <v/>
      </c>
      <c r="I1112" s="43"/>
      <c r="J1112" s="53" t="str" cm="1">
        <f t="array" ref="J1112">IFERROR(INDEX(DB!Q$2:Q$2576,T1112),"")</f>
        <v/>
      </c>
      <c r="K1112" s="43"/>
      <c r="L1112" s="41" t="str" cm="1">
        <f t="array" ref="L1112">IFERROR(INDEX(DB!R$2:R$2576,T1112),"")</f>
        <v/>
      </c>
      <c r="M1112" s="43"/>
      <c r="P1112" t="str" cm="1">
        <f t="array" ref="P1112">IFERROR(_xlfn.AGGREGATE(15,6,ROW(DB!A$2:A$2576)/((($D$3&lt;&gt;"YES")+($D$3="YES")*(DB!E$2:E$2576="YES"))*(($D$4="")+($D$4&lt;&gt;"")*( DB!B$2:B$2576=$D$4))*(($D$5="")+($D$5&lt;&gt;"")*( DB!C$2:C$2576=$D$5))*(($D$6="")+($D$6&lt;&gt;"")*( DB!D$2:D$2576=$D$6))*(($D$7="")+($D$7&lt;&gt;"")*(ISNUMBER(SEARCH($D$7,DB!G$2:G$2576))))*(($F$7="전체")+($F$7&lt;&gt;"전체")*(DB!H$2:H$2576=$F$7))),ROW()-13)-1,"")</f>
        <v/>
      </c>
      <c r="Q1112" t="str" cm="1">
        <f t="array" ref="Q1112">IFERROR(INDEX(DB!G$2:G$2576,P1112),"")</f>
        <v/>
      </c>
      <c r="R1112" t="str" cm="1">
        <f t="array" ref="R1112">IFERROR(INDEX(DB!O$2:O$2576,P1112),"")</f>
        <v/>
      </c>
      <c r="S1112" t="str">
        <f t="shared" si="54"/>
        <v/>
      </c>
      <c r="T1112" t="str">
        <f t="shared" si="55"/>
        <v/>
      </c>
    </row>
    <row r="1113" spans="1:20" ht="100" customHeight="1">
      <c r="A1113" s="26"/>
      <c r="B1113" s="42" t="str">
        <f t="shared" si="53"/>
        <v/>
      </c>
      <c r="C1113" s="43"/>
      <c r="D1113" s="51" t="str" cm="1">
        <f t="array" ref="D1113">IFERROR(INDEX(DB!G$2:G$2576,T1113),"")</f>
        <v/>
      </c>
      <c r="E1113" s="43"/>
      <c r="F1113" s="52" t="str" cm="1">
        <f t="array" ref="F1113">IFERROR(INDEX(DB!O$2:O$2576,T1113),"")</f>
        <v/>
      </c>
      <c r="G1113" s="43"/>
      <c r="H1113" s="40" t="str" cm="1">
        <f t="array" ref="H1113">IFERROR(INDEX(DB!P$2:P$2576,T1113),"")</f>
        <v/>
      </c>
      <c r="I1113" s="43"/>
      <c r="J1113" s="53" t="str" cm="1">
        <f t="array" ref="J1113">IFERROR(INDEX(DB!Q$2:Q$2576,T1113),"")</f>
        <v/>
      </c>
      <c r="K1113" s="43"/>
      <c r="L1113" s="41" t="str" cm="1">
        <f t="array" ref="L1113">IFERROR(INDEX(DB!R$2:R$2576,T1113),"")</f>
        <v/>
      </c>
      <c r="M1113" s="43"/>
      <c r="P1113" t="str" cm="1">
        <f t="array" ref="P1113">IFERROR(_xlfn.AGGREGATE(15,6,ROW(DB!A$2:A$2576)/((($D$3&lt;&gt;"YES")+($D$3="YES")*(DB!E$2:E$2576="YES"))*(($D$4="")+($D$4&lt;&gt;"")*( DB!B$2:B$2576=$D$4))*(($D$5="")+($D$5&lt;&gt;"")*( DB!C$2:C$2576=$D$5))*(($D$6="")+($D$6&lt;&gt;"")*( DB!D$2:D$2576=$D$6))*(($D$7="")+($D$7&lt;&gt;"")*(ISNUMBER(SEARCH($D$7,DB!G$2:G$2576))))*(($F$7="전체")+($F$7&lt;&gt;"전체")*(DB!H$2:H$2576=$F$7))),ROW()-13)-1,"")</f>
        <v/>
      </c>
      <c r="Q1113" t="str" cm="1">
        <f t="array" ref="Q1113">IFERROR(INDEX(DB!G$2:G$2576,P1113),"")</f>
        <v/>
      </c>
      <c r="R1113" t="str" cm="1">
        <f t="array" ref="R1113">IFERROR(INDEX(DB!O$2:O$2576,P1113),"")</f>
        <v/>
      </c>
      <c r="S1113" t="str">
        <f t="shared" si="54"/>
        <v/>
      </c>
      <c r="T1113" t="str">
        <f t="shared" si="55"/>
        <v/>
      </c>
    </row>
    <row r="1114" spans="1:20" ht="100" customHeight="1">
      <c r="A1114" s="26"/>
      <c r="B1114" s="39" t="str">
        <f t="shared" si="53"/>
        <v/>
      </c>
      <c r="C1114" s="43"/>
      <c r="D1114" s="51" t="str" cm="1">
        <f t="array" ref="D1114">IFERROR(INDEX(DB!G$2:G$2576,T1114),"")</f>
        <v/>
      </c>
      <c r="E1114" s="43"/>
      <c r="F1114" s="52" t="str" cm="1">
        <f t="array" ref="F1114">IFERROR(INDEX(DB!O$2:O$2576,T1114),"")</f>
        <v/>
      </c>
      <c r="G1114" s="43"/>
      <c r="H1114" s="40" t="str" cm="1">
        <f t="array" ref="H1114">IFERROR(INDEX(DB!P$2:P$2576,T1114),"")</f>
        <v/>
      </c>
      <c r="I1114" s="43"/>
      <c r="J1114" s="53" t="str" cm="1">
        <f t="array" ref="J1114">IFERROR(INDEX(DB!Q$2:Q$2576,T1114),"")</f>
        <v/>
      </c>
      <c r="K1114" s="43"/>
      <c r="L1114" s="41" t="str" cm="1">
        <f t="array" ref="L1114">IFERROR(INDEX(DB!R$2:R$2576,T1114),"")</f>
        <v/>
      </c>
      <c r="M1114" s="43"/>
      <c r="P1114" t="str" cm="1">
        <f t="array" ref="P1114">IFERROR(_xlfn.AGGREGATE(15,6,ROW(DB!A$2:A$2576)/((($D$3&lt;&gt;"YES")+($D$3="YES")*(DB!E$2:E$2576="YES"))*(($D$4="")+($D$4&lt;&gt;"")*( DB!B$2:B$2576=$D$4))*(($D$5="")+($D$5&lt;&gt;"")*( DB!C$2:C$2576=$D$5))*(($D$6="")+($D$6&lt;&gt;"")*( DB!D$2:D$2576=$D$6))*(($D$7="")+($D$7&lt;&gt;"")*(ISNUMBER(SEARCH($D$7,DB!G$2:G$2576))))*(($F$7="전체")+($F$7&lt;&gt;"전체")*(DB!H$2:H$2576=$F$7))),ROW()-13)-1,"")</f>
        <v/>
      </c>
      <c r="Q1114" t="str" cm="1">
        <f t="array" ref="Q1114">IFERROR(INDEX(DB!G$2:G$2576,P1114),"")</f>
        <v/>
      </c>
      <c r="R1114" t="str" cm="1">
        <f t="array" ref="R1114">IFERROR(INDEX(DB!O$2:O$2576,P1114),"")</f>
        <v/>
      </c>
      <c r="S1114" t="str">
        <f t="shared" si="54"/>
        <v/>
      </c>
      <c r="T1114" t="str">
        <f t="shared" si="55"/>
        <v/>
      </c>
    </row>
    <row r="1115" spans="1:20" ht="100" customHeight="1">
      <c r="A1115" s="26"/>
      <c r="B1115" s="42" t="str">
        <f t="shared" si="53"/>
        <v/>
      </c>
      <c r="C1115" s="43"/>
      <c r="D1115" s="51" t="str" cm="1">
        <f t="array" ref="D1115">IFERROR(INDEX(DB!G$2:G$2576,T1115),"")</f>
        <v/>
      </c>
      <c r="E1115" s="43"/>
      <c r="F1115" s="52" t="str" cm="1">
        <f t="array" ref="F1115">IFERROR(INDEX(DB!O$2:O$2576,T1115),"")</f>
        <v/>
      </c>
      <c r="G1115" s="43"/>
      <c r="H1115" s="40" t="str" cm="1">
        <f t="array" ref="H1115">IFERROR(INDEX(DB!P$2:P$2576,T1115),"")</f>
        <v/>
      </c>
      <c r="I1115" s="43"/>
      <c r="J1115" s="53" t="str" cm="1">
        <f t="array" ref="J1115">IFERROR(INDEX(DB!Q$2:Q$2576,T1115),"")</f>
        <v/>
      </c>
      <c r="K1115" s="43"/>
      <c r="L1115" s="41" t="str" cm="1">
        <f t="array" ref="L1115">IFERROR(INDEX(DB!R$2:R$2576,T1115),"")</f>
        <v/>
      </c>
      <c r="M1115" s="43"/>
      <c r="P1115" t="str" cm="1">
        <f t="array" ref="P1115">IFERROR(_xlfn.AGGREGATE(15,6,ROW(DB!A$2:A$2576)/((($D$3&lt;&gt;"YES")+($D$3="YES")*(DB!E$2:E$2576="YES"))*(($D$4="")+($D$4&lt;&gt;"")*( DB!B$2:B$2576=$D$4))*(($D$5="")+($D$5&lt;&gt;"")*( DB!C$2:C$2576=$D$5))*(($D$6="")+($D$6&lt;&gt;"")*( DB!D$2:D$2576=$D$6))*(($D$7="")+($D$7&lt;&gt;"")*(ISNUMBER(SEARCH($D$7,DB!G$2:G$2576))))*(($F$7="전체")+($F$7&lt;&gt;"전체")*(DB!H$2:H$2576=$F$7))),ROW()-13)-1,"")</f>
        <v/>
      </c>
      <c r="Q1115" t="str" cm="1">
        <f t="array" ref="Q1115">IFERROR(INDEX(DB!G$2:G$2576,P1115),"")</f>
        <v/>
      </c>
      <c r="R1115" t="str" cm="1">
        <f t="array" ref="R1115">IFERROR(INDEX(DB!O$2:O$2576,P1115),"")</f>
        <v/>
      </c>
      <c r="S1115" t="str">
        <f t="shared" si="54"/>
        <v/>
      </c>
      <c r="T1115" t="str">
        <f t="shared" si="55"/>
        <v/>
      </c>
    </row>
    <row r="1116" spans="1:20" ht="100" customHeight="1">
      <c r="A1116" s="26"/>
      <c r="B1116" s="39" t="str">
        <f t="shared" si="53"/>
        <v/>
      </c>
      <c r="C1116" s="43"/>
      <c r="D1116" s="51" t="str" cm="1">
        <f t="array" ref="D1116">IFERROR(INDEX(DB!G$2:G$2576,T1116),"")</f>
        <v/>
      </c>
      <c r="E1116" s="43"/>
      <c r="F1116" s="52" t="str" cm="1">
        <f t="array" ref="F1116">IFERROR(INDEX(DB!O$2:O$2576,T1116),"")</f>
        <v/>
      </c>
      <c r="G1116" s="43"/>
      <c r="H1116" s="40" t="str" cm="1">
        <f t="array" ref="H1116">IFERROR(INDEX(DB!P$2:P$2576,T1116),"")</f>
        <v/>
      </c>
      <c r="I1116" s="43"/>
      <c r="J1116" s="53" t="str" cm="1">
        <f t="array" ref="J1116">IFERROR(INDEX(DB!Q$2:Q$2576,T1116),"")</f>
        <v/>
      </c>
      <c r="K1116" s="43"/>
      <c r="L1116" s="41" t="str" cm="1">
        <f t="array" ref="L1116">IFERROR(INDEX(DB!R$2:R$2576,T1116),"")</f>
        <v/>
      </c>
      <c r="M1116" s="43"/>
      <c r="P1116" t="str" cm="1">
        <f t="array" ref="P1116">IFERROR(_xlfn.AGGREGATE(15,6,ROW(DB!A$2:A$2576)/((($D$3&lt;&gt;"YES")+($D$3="YES")*(DB!E$2:E$2576="YES"))*(($D$4="")+($D$4&lt;&gt;"")*( DB!B$2:B$2576=$D$4))*(($D$5="")+($D$5&lt;&gt;"")*( DB!C$2:C$2576=$D$5))*(($D$6="")+($D$6&lt;&gt;"")*( DB!D$2:D$2576=$D$6))*(($D$7="")+($D$7&lt;&gt;"")*(ISNUMBER(SEARCH($D$7,DB!G$2:G$2576))))*(($F$7="전체")+($F$7&lt;&gt;"전체")*(DB!H$2:H$2576=$F$7))),ROW()-13)-1,"")</f>
        <v/>
      </c>
      <c r="Q1116" t="str" cm="1">
        <f t="array" ref="Q1116">IFERROR(INDEX(DB!G$2:G$2576,P1116),"")</f>
        <v/>
      </c>
      <c r="R1116" t="str" cm="1">
        <f t="array" ref="R1116">IFERROR(INDEX(DB!O$2:O$2576,P1116),"")</f>
        <v/>
      </c>
      <c r="S1116" t="str">
        <f t="shared" si="54"/>
        <v/>
      </c>
      <c r="T1116" t="str">
        <f t="shared" si="55"/>
        <v/>
      </c>
    </row>
    <row r="1117" spans="1:20" ht="100" customHeight="1">
      <c r="A1117" s="26"/>
      <c r="B1117" s="42" t="str">
        <f t="shared" si="53"/>
        <v/>
      </c>
      <c r="C1117" s="43"/>
      <c r="D1117" s="51" t="str" cm="1">
        <f t="array" ref="D1117">IFERROR(INDEX(DB!G$2:G$2576,T1117),"")</f>
        <v/>
      </c>
      <c r="E1117" s="43"/>
      <c r="F1117" s="52" t="str" cm="1">
        <f t="array" ref="F1117">IFERROR(INDEX(DB!O$2:O$2576,T1117),"")</f>
        <v/>
      </c>
      <c r="G1117" s="43"/>
      <c r="H1117" s="40" t="str" cm="1">
        <f t="array" ref="H1117">IFERROR(INDEX(DB!P$2:P$2576,T1117),"")</f>
        <v/>
      </c>
      <c r="I1117" s="43"/>
      <c r="J1117" s="53" t="str" cm="1">
        <f t="array" ref="J1117">IFERROR(INDEX(DB!Q$2:Q$2576,T1117),"")</f>
        <v/>
      </c>
      <c r="K1117" s="43"/>
      <c r="L1117" s="41" t="str" cm="1">
        <f t="array" ref="L1117">IFERROR(INDEX(DB!R$2:R$2576,T1117),"")</f>
        <v/>
      </c>
      <c r="M1117" s="43"/>
      <c r="P1117" t="str" cm="1">
        <f t="array" ref="P1117">IFERROR(_xlfn.AGGREGATE(15,6,ROW(DB!A$2:A$2576)/((($D$3&lt;&gt;"YES")+($D$3="YES")*(DB!E$2:E$2576="YES"))*(($D$4="")+($D$4&lt;&gt;"")*( DB!B$2:B$2576=$D$4))*(($D$5="")+($D$5&lt;&gt;"")*( DB!C$2:C$2576=$D$5))*(($D$6="")+($D$6&lt;&gt;"")*( DB!D$2:D$2576=$D$6))*(($D$7="")+($D$7&lt;&gt;"")*(ISNUMBER(SEARCH($D$7,DB!G$2:G$2576))))*(($F$7="전체")+($F$7&lt;&gt;"전체")*(DB!H$2:H$2576=$F$7))),ROW()-13)-1,"")</f>
        <v/>
      </c>
      <c r="Q1117" t="str" cm="1">
        <f t="array" ref="Q1117">IFERROR(INDEX(DB!G$2:G$2576,P1117),"")</f>
        <v/>
      </c>
      <c r="R1117" t="str" cm="1">
        <f t="array" ref="R1117">IFERROR(INDEX(DB!O$2:O$2576,P1117),"")</f>
        <v/>
      </c>
      <c r="S1117" t="str">
        <f t="shared" si="54"/>
        <v/>
      </c>
      <c r="T1117" t="str">
        <f t="shared" si="55"/>
        <v/>
      </c>
    </row>
    <row r="1118" spans="1:20" ht="100" customHeight="1">
      <c r="A1118" s="26"/>
      <c r="B1118" s="39" t="str">
        <f t="shared" si="53"/>
        <v/>
      </c>
      <c r="C1118" s="43"/>
      <c r="D1118" s="51" t="str" cm="1">
        <f t="array" ref="D1118">IFERROR(INDEX(DB!G$2:G$2576,T1118),"")</f>
        <v/>
      </c>
      <c r="E1118" s="43"/>
      <c r="F1118" s="52" t="str" cm="1">
        <f t="array" ref="F1118">IFERROR(INDEX(DB!O$2:O$2576,T1118),"")</f>
        <v/>
      </c>
      <c r="G1118" s="43"/>
      <c r="H1118" s="40" t="str" cm="1">
        <f t="array" ref="H1118">IFERROR(INDEX(DB!P$2:P$2576,T1118),"")</f>
        <v/>
      </c>
      <c r="I1118" s="43"/>
      <c r="J1118" s="53" t="str" cm="1">
        <f t="array" ref="J1118">IFERROR(INDEX(DB!Q$2:Q$2576,T1118),"")</f>
        <v/>
      </c>
      <c r="K1118" s="43"/>
      <c r="L1118" s="41" t="str" cm="1">
        <f t="array" ref="L1118">IFERROR(INDEX(DB!R$2:R$2576,T1118),"")</f>
        <v/>
      </c>
      <c r="M1118" s="43"/>
      <c r="P1118" t="str" cm="1">
        <f t="array" ref="P1118">IFERROR(_xlfn.AGGREGATE(15,6,ROW(DB!A$2:A$2576)/((($D$3&lt;&gt;"YES")+($D$3="YES")*(DB!E$2:E$2576="YES"))*(($D$4="")+($D$4&lt;&gt;"")*( DB!B$2:B$2576=$D$4))*(($D$5="")+($D$5&lt;&gt;"")*( DB!C$2:C$2576=$D$5))*(($D$6="")+($D$6&lt;&gt;"")*( DB!D$2:D$2576=$D$6))*(($D$7="")+($D$7&lt;&gt;"")*(ISNUMBER(SEARCH($D$7,DB!G$2:G$2576))))*(($F$7="전체")+($F$7&lt;&gt;"전체")*(DB!H$2:H$2576=$F$7))),ROW()-13)-1,"")</f>
        <v/>
      </c>
      <c r="Q1118" t="str" cm="1">
        <f t="array" ref="Q1118">IFERROR(INDEX(DB!G$2:G$2576,P1118),"")</f>
        <v/>
      </c>
      <c r="R1118" t="str" cm="1">
        <f t="array" ref="R1118">IFERROR(INDEX(DB!O$2:O$2576,P1118),"")</f>
        <v/>
      </c>
      <c r="S1118" t="str">
        <f t="shared" si="54"/>
        <v/>
      </c>
      <c r="T1118" t="str">
        <f t="shared" si="55"/>
        <v/>
      </c>
    </row>
    <row r="1119" spans="1:20" ht="100" customHeight="1">
      <c r="A1119" s="26"/>
      <c r="B1119" s="42" t="str">
        <f t="shared" si="53"/>
        <v/>
      </c>
      <c r="C1119" s="43"/>
      <c r="D1119" s="51" t="str" cm="1">
        <f t="array" ref="D1119">IFERROR(INDEX(DB!G$2:G$2576,T1119),"")</f>
        <v/>
      </c>
      <c r="E1119" s="43"/>
      <c r="F1119" s="52" t="str" cm="1">
        <f t="array" ref="F1119">IFERROR(INDEX(DB!O$2:O$2576,T1119),"")</f>
        <v/>
      </c>
      <c r="G1119" s="43"/>
      <c r="H1119" s="40" t="str" cm="1">
        <f t="array" ref="H1119">IFERROR(INDEX(DB!P$2:P$2576,T1119),"")</f>
        <v/>
      </c>
      <c r="I1119" s="43"/>
      <c r="J1119" s="53" t="str" cm="1">
        <f t="array" ref="J1119">IFERROR(INDEX(DB!Q$2:Q$2576,T1119),"")</f>
        <v/>
      </c>
      <c r="K1119" s="43"/>
      <c r="L1119" s="41" t="str" cm="1">
        <f t="array" ref="L1119">IFERROR(INDEX(DB!R$2:R$2576,T1119),"")</f>
        <v/>
      </c>
      <c r="M1119" s="43"/>
      <c r="P1119" t="str" cm="1">
        <f t="array" ref="P1119">IFERROR(_xlfn.AGGREGATE(15,6,ROW(DB!A$2:A$2576)/((($D$3&lt;&gt;"YES")+($D$3="YES")*(DB!E$2:E$2576="YES"))*(($D$4="")+($D$4&lt;&gt;"")*( DB!B$2:B$2576=$D$4))*(($D$5="")+($D$5&lt;&gt;"")*( DB!C$2:C$2576=$D$5))*(($D$6="")+($D$6&lt;&gt;"")*( DB!D$2:D$2576=$D$6))*(($D$7="")+($D$7&lt;&gt;"")*(ISNUMBER(SEARCH($D$7,DB!G$2:G$2576))))*(($F$7="전체")+($F$7&lt;&gt;"전체")*(DB!H$2:H$2576=$F$7))),ROW()-13)-1,"")</f>
        <v/>
      </c>
      <c r="Q1119" t="str" cm="1">
        <f t="array" ref="Q1119">IFERROR(INDEX(DB!G$2:G$2576,P1119),"")</f>
        <v/>
      </c>
      <c r="R1119" t="str" cm="1">
        <f t="array" ref="R1119">IFERROR(INDEX(DB!O$2:O$2576,P1119),"")</f>
        <v/>
      </c>
      <c r="S1119" t="str">
        <f t="shared" si="54"/>
        <v/>
      </c>
      <c r="T1119" t="str">
        <f t="shared" si="55"/>
        <v/>
      </c>
    </row>
    <row r="1120" spans="1:20" ht="100" customHeight="1">
      <c r="A1120" s="26"/>
      <c r="B1120" s="39" t="str">
        <f t="shared" si="53"/>
        <v/>
      </c>
      <c r="C1120" s="43"/>
      <c r="D1120" s="51" t="str" cm="1">
        <f t="array" ref="D1120">IFERROR(INDEX(DB!G$2:G$2576,T1120),"")</f>
        <v/>
      </c>
      <c r="E1120" s="43"/>
      <c r="F1120" s="52" t="str" cm="1">
        <f t="array" ref="F1120">IFERROR(INDEX(DB!O$2:O$2576,T1120),"")</f>
        <v/>
      </c>
      <c r="G1120" s="43"/>
      <c r="H1120" s="40" t="str" cm="1">
        <f t="array" ref="H1120">IFERROR(INDEX(DB!P$2:P$2576,T1120),"")</f>
        <v/>
      </c>
      <c r="I1120" s="43"/>
      <c r="J1120" s="53" t="str" cm="1">
        <f t="array" ref="J1120">IFERROR(INDEX(DB!Q$2:Q$2576,T1120),"")</f>
        <v/>
      </c>
      <c r="K1120" s="43"/>
      <c r="L1120" s="41" t="str" cm="1">
        <f t="array" ref="L1120">IFERROR(INDEX(DB!R$2:R$2576,T1120),"")</f>
        <v/>
      </c>
      <c r="M1120" s="43"/>
      <c r="P1120" t="str" cm="1">
        <f t="array" ref="P1120">IFERROR(_xlfn.AGGREGATE(15,6,ROW(DB!A$2:A$2576)/((($D$3&lt;&gt;"YES")+($D$3="YES")*(DB!E$2:E$2576="YES"))*(($D$4="")+($D$4&lt;&gt;"")*( DB!B$2:B$2576=$D$4))*(($D$5="")+($D$5&lt;&gt;"")*( DB!C$2:C$2576=$D$5))*(($D$6="")+($D$6&lt;&gt;"")*( DB!D$2:D$2576=$D$6))*(($D$7="")+($D$7&lt;&gt;"")*(ISNUMBER(SEARCH($D$7,DB!G$2:G$2576))))*(($F$7="전체")+($F$7&lt;&gt;"전체")*(DB!H$2:H$2576=$F$7))),ROW()-13)-1,"")</f>
        <v/>
      </c>
      <c r="Q1120" t="str" cm="1">
        <f t="array" ref="Q1120">IFERROR(INDEX(DB!G$2:G$2576,P1120),"")</f>
        <v/>
      </c>
      <c r="R1120" t="str" cm="1">
        <f t="array" ref="R1120">IFERROR(INDEX(DB!O$2:O$2576,P1120),"")</f>
        <v/>
      </c>
      <c r="S1120" t="str">
        <f t="shared" si="54"/>
        <v/>
      </c>
      <c r="T1120" t="str">
        <f t="shared" si="55"/>
        <v/>
      </c>
    </row>
    <row r="1121" spans="1:20" ht="100" customHeight="1">
      <c r="A1121" s="26"/>
      <c r="B1121" s="42" t="str">
        <f t="shared" si="53"/>
        <v/>
      </c>
      <c r="C1121" s="43"/>
      <c r="D1121" s="51" t="str" cm="1">
        <f t="array" ref="D1121">IFERROR(INDEX(DB!G$2:G$2576,T1121),"")</f>
        <v/>
      </c>
      <c r="E1121" s="43"/>
      <c r="F1121" s="52" t="str" cm="1">
        <f t="array" ref="F1121">IFERROR(INDEX(DB!O$2:O$2576,T1121),"")</f>
        <v/>
      </c>
      <c r="G1121" s="43"/>
      <c r="H1121" s="40" t="str" cm="1">
        <f t="array" ref="H1121">IFERROR(INDEX(DB!P$2:P$2576,T1121),"")</f>
        <v/>
      </c>
      <c r="I1121" s="43"/>
      <c r="J1121" s="53" t="str" cm="1">
        <f t="array" ref="J1121">IFERROR(INDEX(DB!Q$2:Q$2576,T1121),"")</f>
        <v/>
      </c>
      <c r="K1121" s="43"/>
      <c r="L1121" s="41" t="str" cm="1">
        <f t="array" ref="L1121">IFERROR(INDEX(DB!R$2:R$2576,T1121),"")</f>
        <v/>
      </c>
      <c r="M1121" s="43"/>
      <c r="P1121" t="str" cm="1">
        <f t="array" ref="P1121">IFERROR(_xlfn.AGGREGATE(15,6,ROW(DB!A$2:A$2576)/((($D$3&lt;&gt;"YES")+($D$3="YES")*(DB!E$2:E$2576="YES"))*(($D$4="")+($D$4&lt;&gt;"")*( DB!B$2:B$2576=$D$4))*(($D$5="")+($D$5&lt;&gt;"")*( DB!C$2:C$2576=$D$5))*(($D$6="")+($D$6&lt;&gt;"")*( DB!D$2:D$2576=$D$6))*(($D$7="")+($D$7&lt;&gt;"")*(ISNUMBER(SEARCH($D$7,DB!G$2:G$2576))))*(($F$7="전체")+($F$7&lt;&gt;"전체")*(DB!H$2:H$2576=$F$7))),ROW()-13)-1,"")</f>
        <v/>
      </c>
      <c r="Q1121" t="str" cm="1">
        <f t="array" ref="Q1121">IFERROR(INDEX(DB!G$2:G$2576,P1121),"")</f>
        <v/>
      </c>
      <c r="R1121" t="str" cm="1">
        <f t="array" ref="R1121">IFERROR(INDEX(DB!O$2:O$2576,P1121),"")</f>
        <v/>
      </c>
      <c r="S1121" t="str">
        <f t="shared" si="54"/>
        <v/>
      </c>
      <c r="T1121" t="str">
        <f t="shared" si="55"/>
        <v/>
      </c>
    </row>
    <row r="1122" spans="1:20" ht="100" customHeight="1">
      <c r="A1122" s="26"/>
      <c r="B1122" s="39" t="str">
        <f t="shared" si="53"/>
        <v/>
      </c>
      <c r="C1122" s="43"/>
      <c r="D1122" s="51" t="str" cm="1">
        <f t="array" ref="D1122">IFERROR(INDEX(DB!G$2:G$2576,T1122),"")</f>
        <v/>
      </c>
      <c r="E1122" s="43"/>
      <c r="F1122" s="52" t="str" cm="1">
        <f t="array" ref="F1122">IFERROR(INDEX(DB!O$2:O$2576,T1122),"")</f>
        <v/>
      </c>
      <c r="G1122" s="43"/>
      <c r="H1122" s="40" t="str" cm="1">
        <f t="array" ref="H1122">IFERROR(INDEX(DB!P$2:P$2576,T1122),"")</f>
        <v/>
      </c>
      <c r="I1122" s="43"/>
      <c r="J1122" s="53" t="str" cm="1">
        <f t="array" ref="J1122">IFERROR(INDEX(DB!Q$2:Q$2576,T1122),"")</f>
        <v/>
      </c>
      <c r="K1122" s="43"/>
      <c r="L1122" s="41" t="str" cm="1">
        <f t="array" ref="L1122">IFERROR(INDEX(DB!R$2:R$2576,T1122),"")</f>
        <v/>
      </c>
      <c r="M1122" s="43"/>
      <c r="P1122" t="str" cm="1">
        <f t="array" ref="P1122">IFERROR(_xlfn.AGGREGATE(15,6,ROW(DB!A$2:A$2576)/((($D$3&lt;&gt;"YES")+($D$3="YES")*(DB!E$2:E$2576="YES"))*(($D$4="")+($D$4&lt;&gt;"")*( DB!B$2:B$2576=$D$4))*(($D$5="")+($D$5&lt;&gt;"")*( DB!C$2:C$2576=$D$5))*(($D$6="")+($D$6&lt;&gt;"")*( DB!D$2:D$2576=$D$6))*(($D$7="")+($D$7&lt;&gt;"")*(ISNUMBER(SEARCH($D$7,DB!G$2:G$2576))))*(($F$7="전체")+($F$7&lt;&gt;"전체")*(DB!H$2:H$2576=$F$7))),ROW()-13)-1,"")</f>
        <v/>
      </c>
      <c r="Q1122" t="str" cm="1">
        <f t="array" ref="Q1122">IFERROR(INDEX(DB!G$2:G$2576,P1122),"")</f>
        <v/>
      </c>
      <c r="R1122" t="str" cm="1">
        <f t="array" ref="R1122">IFERROR(INDEX(DB!O$2:O$2576,P1122),"")</f>
        <v/>
      </c>
      <c r="S1122" t="str">
        <f t="shared" si="54"/>
        <v/>
      </c>
      <c r="T1122" t="str">
        <f t="shared" si="55"/>
        <v/>
      </c>
    </row>
    <row r="1123" spans="1:20" ht="100" customHeight="1">
      <c r="A1123" s="26"/>
      <c r="B1123" s="42" t="str">
        <f t="shared" si="53"/>
        <v/>
      </c>
      <c r="C1123" s="43"/>
      <c r="D1123" s="51" t="str" cm="1">
        <f t="array" ref="D1123">IFERROR(INDEX(DB!G$2:G$2576,T1123),"")</f>
        <v/>
      </c>
      <c r="E1123" s="43"/>
      <c r="F1123" s="52" t="str" cm="1">
        <f t="array" ref="F1123">IFERROR(INDEX(DB!O$2:O$2576,T1123),"")</f>
        <v/>
      </c>
      <c r="G1123" s="43"/>
      <c r="H1123" s="40" t="str" cm="1">
        <f t="array" ref="H1123">IFERROR(INDEX(DB!P$2:P$2576,T1123),"")</f>
        <v/>
      </c>
      <c r="I1123" s="43"/>
      <c r="J1123" s="53" t="str" cm="1">
        <f t="array" ref="J1123">IFERROR(INDEX(DB!Q$2:Q$2576,T1123),"")</f>
        <v/>
      </c>
      <c r="K1123" s="43"/>
      <c r="L1123" s="41" t="str" cm="1">
        <f t="array" ref="L1123">IFERROR(INDEX(DB!R$2:R$2576,T1123),"")</f>
        <v/>
      </c>
      <c r="M1123" s="43"/>
      <c r="P1123" t="str" cm="1">
        <f t="array" ref="P1123">IFERROR(_xlfn.AGGREGATE(15,6,ROW(DB!A$2:A$2576)/((($D$3&lt;&gt;"YES")+($D$3="YES")*(DB!E$2:E$2576="YES"))*(($D$4="")+($D$4&lt;&gt;"")*( DB!B$2:B$2576=$D$4))*(($D$5="")+($D$5&lt;&gt;"")*( DB!C$2:C$2576=$D$5))*(($D$6="")+($D$6&lt;&gt;"")*( DB!D$2:D$2576=$D$6))*(($D$7="")+($D$7&lt;&gt;"")*(ISNUMBER(SEARCH($D$7,DB!G$2:G$2576))))*(($F$7="전체")+($F$7&lt;&gt;"전체")*(DB!H$2:H$2576=$F$7))),ROW()-13)-1,"")</f>
        <v/>
      </c>
      <c r="Q1123" t="str" cm="1">
        <f t="array" ref="Q1123">IFERROR(INDEX(DB!G$2:G$2576,P1123),"")</f>
        <v/>
      </c>
      <c r="R1123" t="str" cm="1">
        <f t="array" ref="R1123">IFERROR(INDEX(DB!O$2:O$2576,P1123),"")</f>
        <v/>
      </c>
      <c r="S1123" t="str">
        <f t="shared" si="54"/>
        <v/>
      </c>
      <c r="T1123" t="str">
        <f t="shared" si="55"/>
        <v/>
      </c>
    </row>
    <row r="1124" spans="1:20" ht="100" customHeight="1">
      <c r="A1124" s="26"/>
      <c r="B1124" s="39" t="str">
        <f t="shared" si="53"/>
        <v/>
      </c>
      <c r="C1124" s="43"/>
      <c r="D1124" s="51" t="str" cm="1">
        <f t="array" ref="D1124">IFERROR(INDEX(DB!G$2:G$2576,T1124),"")</f>
        <v/>
      </c>
      <c r="E1124" s="43"/>
      <c r="F1124" s="52" t="str" cm="1">
        <f t="array" ref="F1124">IFERROR(INDEX(DB!O$2:O$2576,T1124),"")</f>
        <v/>
      </c>
      <c r="G1124" s="43"/>
      <c r="H1124" s="40" t="str" cm="1">
        <f t="array" ref="H1124">IFERROR(INDEX(DB!P$2:P$2576,T1124),"")</f>
        <v/>
      </c>
      <c r="I1124" s="43"/>
      <c r="J1124" s="53" t="str" cm="1">
        <f t="array" ref="J1124">IFERROR(INDEX(DB!Q$2:Q$2576,T1124),"")</f>
        <v/>
      </c>
      <c r="K1124" s="43"/>
      <c r="L1124" s="41" t="str" cm="1">
        <f t="array" ref="L1124">IFERROR(INDEX(DB!R$2:R$2576,T1124),"")</f>
        <v/>
      </c>
      <c r="M1124" s="43"/>
      <c r="P1124" t="str" cm="1">
        <f t="array" ref="P1124">IFERROR(_xlfn.AGGREGATE(15,6,ROW(DB!A$2:A$2576)/((($D$3&lt;&gt;"YES")+($D$3="YES")*(DB!E$2:E$2576="YES"))*(($D$4="")+($D$4&lt;&gt;"")*( DB!B$2:B$2576=$D$4))*(($D$5="")+($D$5&lt;&gt;"")*( DB!C$2:C$2576=$D$5))*(($D$6="")+($D$6&lt;&gt;"")*( DB!D$2:D$2576=$D$6))*(($D$7="")+($D$7&lt;&gt;"")*(ISNUMBER(SEARCH($D$7,DB!G$2:G$2576))))*(($F$7="전체")+($F$7&lt;&gt;"전체")*(DB!H$2:H$2576=$F$7))),ROW()-13)-1,"")</f>
        <v/>
      </c>
      <c r="Q1124" t="str" cm="1">
        <f t="array" ref="Q1124">IFERROR(INDEX(DB!G$2:G$2576,P1124),"")</f>
        <v/>
      </c>
      <c r="R1124" t="str" cm="1">
        <f t="array" ref="R1124">IFERROR(INDEX(DB!O$2:O$2576,P1124),"")</f>
        <v/>
      </c>
      <c r="S1124" t="str">
        <f t="shared" si="54"/>
        <v/>
      </c>
      <c r="T1124" t="str">
        <f t="shared" si="55"/>
        <v/>
      </c>
    </row>
    <row r="1125" spans="1:20" ht="100" customHeight="1">
      <c r="A1125" s="26"/>
      <c r="B1125" s="42" t="str">
        <f t="shared" si="53"/>
        <v/>
      </c>
      <c r="C1125" s="43"/>
      <c r="D1125" s="51" t="str" cm="1">
        <f t="array" ref="D1125">IFERROR(INDEX(DB!G$2:G$2576,T1125),"")</f>
        <v/>
      </c>
      <c r="E1125" s="43"/>
      <c r="F1125" s="52" t="str" cm="1">
        <f t="array" ref="F1125">IFERROR(INDEX(DB!O$2:O$2576,T1125),"")</f>
        <v/>
      </c>
      <c r="G1125" s="43"/>
      <c r="H1125" s="40" t="str" cm="1">
        <f t="array" ref="H1125">IFERROR(INDEX(DB!P$2:P$2576,T1125),"")</f>
        <v/>
      </c>
      <c r="I1125" s="43"/>
      <c r="J1125" s="53" t="str" cm="1">
        <f t="array" ref="J1125">IFERROR(INDEX(DB!Q$2:Q$2576,T1125),"")</f>
        <v/>
      </c>
      <c r="K1125" s="43"/>
      <c r="L1125" s="41" t="str" cm="1">
        <f t="array" ref="L1125">IFERROR(INDEX(DB!R$2:R$2576,T1125),"")</f>
        <v/>
      </c>
      <c r="M1125" s="43"/>
      <c r="P1125" t="str" cm="1">
        <f t="array" ref="P1125">IFERROR(_xlfn.AGGREGATE(15,6,ROW(DB!A$2:A$2576)/((($D$3&lt;&gt;"YES")+($D$3="YES")*(DB!E$2:E$2576="YES"))*(($D$4="")+($D$4&lt;&gt;"")*( DB!B$2:B$2576=$D$4))*(($D$5="")+($D$5&lt;&gt;"")*( DB!C$2:C$2576=$D$5))*(($D$6="")+($D$6&lt;&gt;"")*( DB!D$2:D$2576=$D$6))*(($D$7="")+($D$7&lt;&gt;"")*(ISNUMBER(SEARCH($D$7,DB!G$2:G$2576))))*(($F$7="전체")+($F$7&lt;&gt;"전체")*(DB!H$2:H$2576=$F$7))),ROW()-13)-1,"")</f>
        <v/>
      </c>
      <c r="Q1125" t="str" cm="1">
        <f t="array" ref="Q1125">IFERROR(INDEX(DB!G$2:G$2576,P1125),"")</f>
        <v/>
      </c>
      <c r="R1125" t="str" cm="1">
        <f t="array" ref="R1125">IFERROR(INDEX(DB!O$2:O$2576,P1125),"")</f>
        <v/>
      </c>
      <c r="S1125" t="str">
        <f t="shared" si="54"/>
        <v/>
      </c>
      <c r="T1125" t="str">
        <f t="shared" si="55"/>
        <v/>
      </c>
    </row>
    <row r="1126" spans="1:20" ht="100" customHeight="1">
      <c r="A1126" s="26"/>
      <c r="B1126" s="39" t="str">
        <f t="shared" si="53"/>
        <v/>
      </c>
      <c r="C1126" s="43"/>
      <c r="D1126" s="51" t="str" cm="1">
        <f t="array" ref="D1126">IFERROR(INDEX(DB!G$2:G$2576,T1126),"")</f>
        <v/>
      </c>
      <c r="E1126" s="43"/>
      <c r="F1126" s="52" t="str" cm="1">
        <f t="array" ref="F1126">IFERROR(INDEX(DB!O$2:O$2576,T1126),"")</f>
        <v/>
      </c>
      <c r="G1126" s="43"/>
      <c r="H1126" s="40" t="str" cm="1">
        <f t="array" ref="H1126">IFERROR(INDEX(DB!P$2:P$2576,T1126),"")</f>
        <v/>
      </c>
      <c r="I1126" s="43"/>
      <c r="J1126" s="53" t="str" cm="1">
        <f t="array" ref="J1126">IFERROR(INDEX(DB!Q$2:Q$2576,T1126),"")</f>
        <v/>
      </c>
      <c r="K1126" s="43"/>
      <c r="L1126" s="41" t="str" cm="1">
        <f t="array" ref="L1126">IFERROR(INDEX(DB!R$2:R$2576,T1126),"")</f>
        <v/>
      </c>
      <c r="M1126" s="43"/>
      <c r="P1126" t="str" cm="1">
        <f t="array" ref="P1126">IFERROR(_xlfn.AGGREGATE(15,6,ROW(DB!A$2:A$2576)/((($D$3&lt;&gt;"YES")+($D$3="YES")*(DB!E$2:E$2576="YES"))*(($D$4="")+($D$4&lt;&gt;"")*( DB!B$2:B$2576=$D$4))*(($D$5="")+($D$5&lt;&gt;"")*( DB!C$2:C$2576=$D$5))*(($D$6="")+($D$6&lt;&gt;"")*( DB!D$2:D$2576=$D$6))*(($D$7="")+($D$7&lt;&gt;"")*(ISNUMBER(SEARCH($D$7,DB!G$2:G$2576))))*(($F$7="전체")+($F$7&lt;&gt;"전체")*(DB!H$2:H$2576=$F$7))),ROW()-13)-1,"")</f>
        <v/>
      </c>
      <c r="Q1126" t="str" cm="1">
        <f t="array" ref="Q1126">IFERROR(INDEX(DB!G$2:G$2576,P1126),"")</f>
        <v/>
      </c>
      <c r="R1126" t="str" cm="1">
        <f t="array" ref="R1126">IFERROR(INDEX(DB!O$2:O$2576,P1126),"")</f>
        <v/>
      </c>
      <c r="S1126" t="str">
        <f t="shared" si="54"/>
        <v/>
      </c>
      <c r="T1126" t="str">
        <f t="shared" si="55"/>
        <v/>
      </c>
    </row>
    <row r="1127" spans="1:20" ht="100" customHeight="1">
      <c r="A1127" s="26"/>
      <c r="B1127" s="42" t="str">
        <f t="shared" si="53"/>
        <v/>
      </c>
      <c r="C1127" s="43"/>
      <c r="D1127" s="51" t="str" cm="1">
        <f t="array" ref="D1127">IFERROR(INDEX(DB!G$2:G$2576,T1127),"")</f>
        <v/>
      </c>
      <c r="E1127" s="43"/>
      <c r="F1127" s="52" t="str" cm="1">
        <f t="array" ref="F1127">IFERROR(INDEX(DB!O$2:O$2576,T1127),"")</f>
        <v/>
      </c>
      <c r="G1127" s="43"/>
      <c r="H1127" s="40" t="str" cm="1">
        <f t="array" ref="H1127">IFERROR(INDEX(DB!P$2:P$2576,T1127),"")</f>
        <v/>
      </c>
      <c r="I1127" s="43"/>
      <c r="J1127" s="53" t="str" cm="1">
        <f t="array" ref="J1127">IFERROR(INDEX(DB!Q$2:Q$2576,T1127),"")</f>
        <v/>
      </c>
      <c r="K1127" s="43"/>
      <c r="L1127" s="41" t="str" cm="1">
        <f t="array" ref="L1127">IFERROR(INDEX(DB!R$2:R$2576,T1127),"")</f>
        <v/>
      </c>
      <c r="M1127" s="43"/>
      <c r="P1127" t="str" cm="1">
        <f t="array" ref="P1127">IFERROR(_xlfn.AGGREGATE(15,6,ROW(DB!A$2:A$2576)/((($D$3&lt;&gt;"YES")+($D$3="YES")*(DB!E$2:E$2576="YES"))*(($D$4="")+($D$4&lt;&gt;"")*( DB!B$2:B$2576=$D$4))*(($D$5="")+($D$5&lt;&gt;"")*( DB!C$2:C$2576=$D$5))*(($D$6="")+($D$6&lt;&gt;"")*( DB!D$2:D$2576=$D$6))*(($D$7="")+($D$7&lt;&gt;"")*(ISNUMBER(SEARCH($D$7,DB!G$2:G$2576))))*(($F$7="전체")+($F$7&lt;&gt;"전체")*(DB!H$2:H$2576=$F$7))),ROW()-13)-1,"")</f>
        <v/>
      </c>
      <c r="Q1127" t="str" cm="1">
        <f t="array" ref="Q1127">IFERROR(INDEX(DB!G$2:G$2576,P1127),"")</f>
        <v/>
      </c>
      <c r="R1127" t="str" cm="1">
        <f t="array" ref="R1127">IFERROR(INDEX(DB!O$2:O$2576,P1127),"")</f>
        <v/>
      </c>
      <c r="S1127" t="str">
        <f t="shared" si="54"/>
        <v/>
      </c>
      <c r="T1127" t="str">
        <f t="shared" si="55"/>
        <v/>
      </c>
    </row>
    <row r="1128" spans="1:20" ht="100" customHeight="1">
      <c r="A1128" s="26"/>
      <c r="B1128" s="39" t="str">
        <f t="shared" si="53"/>
        <v/>
      </c>
      <c r="C1128" s="43"/>
      <c r="D1128" s="51" t="str" cm="1">
        <f t="array" ref="D1128">IFERROR(INDEX(DB!G$2:G$2576,T1128),"")</f>
        <v/>
      </c>
      <c r="E1128" s="43"/>
      <c r="F1128" s="52" t="str" cm="1">
        <f t="array" ref="F1128">IFERROR(INDEX(DB!O$2:O$2576,T1128),"")</f>
        <v/>
      </c>
      <c r="G1128" s="43"/>
      <c r="H1128" s="40" t="str" cm="1">
        <f t="array" ref="H1128">IFERROR(INDEX(DB!P$2:P$2576,T1128),"")</f>
        <v/>
      </c>
      <c r="I1128" s="43"/>
      <c r="J1128" s="53" t="str" cm="1">
        <f t="array" ref="J1128">IFERROR(INDEX(DB!Q$2:Q$2576,T1128),"")</f>
        <v/>
      </c>
      <c r="K1128" s="43"/>
      <c r="L1128" s="41" t="str" cm="1">
        <f t="array" ref="L1128">IFERROR(INDEX(DB!R$2:R$2576,T1128),"")</f>
        <v/>
      </c>
      <c r="M1128" s="43"/>
      <c r="P1128" t="str" cm="1">
        <f t="array" ref="P1128">IFERROR(_xlfn.AGGREGATE(15,6,ROW(DB!A$2:A$2576)/((($D$3&lt;&gt;"YES")+($D$3="YES")*(DB!E$2:E$2576="YES"))*(($D$4="")+($D$4&lt;&gt;"")*( DB!B$2:B$2576=$D$4))*(($D$5="")+($D$5&lt;&gt;"")*( DB!C$2:C$2576=$D$5))*(($D$6="")+($D$6&lt;&gt;"")*( DB!D$2:D$2576=$D$6))*(($D$7="")+($D$7&lt;&gt;"")*(ISNUMBER(SEARCH($D$7,DB!G$2:G$2576))))*(($F$7="전체")+($F$7&lt;&gt;"전체")*(DB!H$2:H$2576=$F$7))),ROW()-13)-1,"")</f>
        <v/>
      </c>
      <c r="Q1128" t="str" cm="1">
        <f t="array" ref="Q1128">IFERROR(INDEX(DB!G$2:G$2576,P1128),"")</f>
        <v/>
      </c>
      <c r="R1128" t="str" cm="1">
        <f t="array" ref="R1128">IFERROR(INDEX(DB!O$2:O$2576,P1128),"")</f>
        <v/>
      </c>
      <c r="S1128" t="str">
        <f t="shared" si="54"/>
        <v/>
      </c>
      <c r="T1128" t="str">
        <f t="shared" si="55"/>
        <v/>
      </c>
    </row>
    <row r="1129" spans="1:20" ht="100" customHeight="1">
      <c r="A1129" s="26"/>
      <c r="B1129" s="42" t="str">
        <f t="shared" si="53"/>
        <v/>
      </c>
      <c r="C1129" s="43"/>
      <c r="D1129" s="51" t="str" cm="1">
        <f t="array" ref="D1129">IFERROR(INDEX(DB!G$2:G$2576,T1129),"")</f>
        <v/>
      </c>
      <c r="E1129" s="43"/>
      <c r="F1129" s="52" t="str" cm="1">
        <f t="array" ref="F1129">IFERROR(INDEX(DB!O$2:O$2576,T1129),"")</f>
        <v/>
      </c>
      <c r="G1129" s="43"/>
      <c r="H1129" s="40" t="str" cm="1">
        <f t="array" ref="H1129">IFERROR(INDEX(DB!P$2:P$2576,T1129),"")</f>
        <v/>
      </c>
      <c r="I1129" s="43"/>
      <c r="J1129" s="53" t="str" cm="1">
        <f t="array" ref="J1129">IFERROR(INDEX(DB!Q$2:Q$2576,T1129),"")</f>
        <v/>
      </c>
      <c r="K1129" s="43"/>
      <c r="L1129" s="41" t="str" cm="1">
        <f t="array" ref="L1129">IFERROR(INDEX(DB!R$2:R$2576,T1129),"")</f>
        <v/>
      </c>
      <c r="M1129" s="43"/>
      <c r="P1129" t="str" cm="1">
        <f t="array" ref="P1129">IFERROR(_xlfn.AGGREGATE(15,6,ROW(DB!A$2:A$2576)/((($D$3&lt;&gt;"YES")+($D$3="YES")*(DB!E$2:E$2576="YES"))*(($D$4="")+($D$4&lt;&gt;"")*( DB!B$2:B$2576=$D$4))*(($D$5="")+($D$5&lt;&gt;"")*( DB!C$2:C$2576=$D$5))*(($D$6="")+($D$6&lt;&gt;"")*( DB!D$2:D$2576=$D$6))*(($D$7="")+($D$7&lt;&gt;"")*(ISNUMBER(SEARCH($D$7,DB!G$2:G$2576))))*(($F$7="전체")+($F$7&lt;&gt;"전체")*(DB!H$2:H$2576=$F$7))),ROW()-13)-1,"")</f>
        <v/>
      </c>
      <c r="Q1129" t="str" cm="1">
        <f t="array" ref="Q1129">IFERROR(INDEX(DB!G$2:G$2576,P1129),"")</f>
        <v/>
      </c>
      <c r="R1129" t="str" cm="1">
        <f t="array" ref="R1129">IFERROR(INDEX(DB!O$2:O$2576,P1129),"")</f>
        <v/>
      </c>
      <c r="S1129" t="str">
        <f t="shared" si="54"/>
        <v/>
      </c>
      <c r="T1129" t="str">
        <f t="shared" si="55"/>
        <v/>
      </c>
    </row>
    <row r="1130" spans="1:20" ht="100" customHeight="1">
      <c r="A1130" s="26"/>
      <c r="B1130" s="39" t="str">
        <f t="shared" si="53"/>
        <v/>
      </c>
      <c r="C1130" s="43"/>
      <c r="D1130" s="51" t="str" cm="1">
        <f t="array" ref="D1130">IFERROR(INDEX(DB!G$2:G$2576,T1130),"")</f>
        <v/>
      </c>
      <c r="E1130" s="43"/>
      <c r="F1130" s="52" t="str" cm="1">
        <f t="array" ref="F1130">IFERROR(INDEX(DB!O$2:O$2576,T1130),"")</f>
        <v/>
      </c>
      <c r="G1130" s="43"/>
      <c r="H1130" s="40" t="str" cm="1">
        <f t="array" ref="H1130">IFERROR(INDEX(DB!P$2:P$2576,T1130),"")</f>
        <v/>
      </c>
      <c r="I1130" s="43"/>
      <c r="J1130" s="53" t="str" cm="1">
        <f t="array" ref="J1130">IFERROR(INDEX(DB!Q$2:Q$2576,T1130),"")</f>
        <v/>
      </c>
      <c r="K1130" s="43"/>
      <c r="L1130" s="41" t="str" cm="1">
        <f t="array" ref="L1130">IFERROR(INDEX(DB!R$2:R$2576,T1130),"")</f>
        <v/>
      </c>
      <c r="M1130" s="43"/>
      <c r="P1130" t="str" cm="1">
        <f t="array" ref="P1130">IFERROR(_xlfn.AGGREGATE(15,6,ROW(DB!A$2:A$2576)/((($D$3&lt;&gt;"YES")+($D$3="YES")*(DB!E$2:E$2576="YES"))*(($D$4="")+($D$4&lt;&gt;"")*( DB!B$2:B$2576=$D$4))*(($D$5="")+($D$5&lt;&gt;"")*( DB!C$2:C$2576=$D$5))*(($D$6="")+($D$6&lt;&gt;"")*( DB!D$2:D$2576=$D$6))*(($D$7="")+($D$7&lt;&gt;"")*(ISNUMBER(SEARCH($D$7,DB!G$2:G$2576))))*(($F$7="전체")+($F$7&lt;&gt;"전체")*(DB!H$2:H$2576=$F$7))),ROW()-13)-1,"")</f>
        <v/>
      </c>
      <c r="Q1130" t="str" cm="1">
        <f t="array" ref="Q1130">IFERROR(INDEX(DB!G$2:G$2576,P1130),"")</f>
        <v/>
      </c>
      <c r="R1130" t="str" cm="1">
        <f t="array" ref="R1130">IFERROR(INDEX(DB!O$2:O$2576,P1130),"")</f>
        <v/>
      </c>
      <c r="S1130" t="str">
        <f t="shared" si="54"/>
        <v/>
      </c>
      <c r="T1130" t="str">
        <f t="shared" si="55"/>
        <v/>
      </c>
    </row>
    <row r="1131" spans="1:20" ht="100" customHeight="1">
      <c r="A1131" s="26"/>
      <c r="B1131" s="42" t="str">
        <f t="shared" si="53"/>
        <v/>
      </c>
      <c r="C1131" s="43"/>
      <c r="D1131" s="51" t="str" cm="1">
        <f t="array" ref="D1131">IFERROR(INDEX(DB!G$2:G$2576,T1131),"")</f>
        <v/>
      </c>
      <c r="E1131" s="43"/>
      <c r="F1131" s="52" t="str" cm="1">
        <f t="array" ref="F1131">IFERROR(INDEX(DB!O$2:O$2576,T1131),"")</f>
        <v/>
      </c>
      <c r="G1131" s="43"/>
      <c r="H1131" s="40" t="str" cm="1">
        <f t="array" ref="H1131">IFERROR(INDEX(DB!P$2:P$2576,T1131),"")</f>
        <v/>
      </c>
      <c r="I1131" s="43"/>
      <c r="J1131" s="53" t="str" cm="1">
        <f t="array" ref="J1131">IFERROR(INDEX(DB!Q$2:Q$2576,T1131),"")</f>
        <v/>
      </c>
      <c r="K1131" s="43"/>
      <c r="L1131" s="41" t="str" cm="1">
        <f t="array" ref="L1131">IFERROR(INDEX(DB!R$2:R$2576,T1131),"")</f>
        <v/>
      </c>
      <c r="M1131" s="43"/>
      <c r="P1131" t="str" cm="1">
        <f t="array" ref="P1131">IFERROR(_xlfn.AGGREGATE(15,6,ROW(DB!A$2:A$2576)/((($D$3&lt;&gt;"YES")+($D$3="YES")*(DB!E$2:E$2576="YES"))*(($D$4="")+($D$4&lt;&gt;"")*( DB!B$2:B$2576=$D$4))*(($D$5="")+($D$5&lt;&gt;"")*( DB!C$2:C$2576=$D$5))*(($D$6="")+($D$6&lt;&gt;"")*( DB!D$2:D$2576=$D$6))*(($D$7="")+($D$7&lt;&gt;"")*(ISNUMBER(SEARCH($D$7,DB!G$2:G$2576))))*(($F$7="전체")+($F$7&lt;&gt;"전체")*(DB!H$2:H$2576=$F$7))),ROW()-13)-1,"")</f>
        <v/>
      </c>
      <c r="Q1131" t="str" cm="1">
        <f t="array" ref="Q1131">IFERROR(INDEX(DB!G$2:G$2576,P1131),"")</f>
        <v/>
      </c>
      <c r="R1131" t="str" cm="1">
        <f t="array" ref="R1131">IFERROR(INDEX(DB!O$2:O$2576,P1131),"")</f>
        <v/>
      </c>
      <c r="S1131" t="str">
        <f t="shared" si="54"/>
        <v/>
      </c>
      <c r="T1131" t="str">
        <f t="shared" si="55"/>
        <v/>
      </c>
    </row>
    <row r="1132" spans="1:20" ht="100" customHeight="1">
      <c r="A1132" s="26"/>
      <c r="B1132" s="39" t="str">
        <f t="shared" si="53"/>
        <v/>
      </c>
      <c r="C1132" s="43"/>
      <c r="D1132" s="51" t="str" cm="1">
        <f t="array" ref="D1132">IFERROR(INDEX(DB!G$2:G$2576,T1132),"")</f>
        <v/>
      </c>
      <c r="E1132" s="43"/>
      <c r="F1132" s="52" t="str" cm="1">
        <f t="array" ref="F1132">IFERROR(INDEX(DB!O$2:O$2576,T1132),"")</f>
        <v/>
      </c>
      <c r="G1132" s="43"/>
      <c r="H1132" s="40" t="str" cm="1">
        <f t="array" ref="H1132">IFERROR(INDEX(DB!P$2:P$2576,T1132),"")</f>
        <v/>
      </c>
      <c r="I1132" s="43"/>
      <c r="J1132" s="53" t="str" cm="1">
        <f t="array" ref="J1132">IFERROR(INDEX(DB!Q$2:Q$2576,T1132),"")</f>
        <v/>
      </c>
      <c r="K1132" s="43"/>
      <c r="L1132" s="41" t="str" cm="1">
        <f t="array" ref="L1132">IFERROR(INDEX(DB!R$2:R$2576,T1132),"")</f>
        <v/>
      </c>
      <c r="M1132" s="43"/>
      <c r="P1132" t="str" cm="1">
        <f t="array" ref="P1132">IFERROR(_xlfn.AGGREGATE(15,6,ROW(DB!A$2:A$2576)/((($D$3&lt;&gt;"YES")+($D$3="YES")*(DB!E$2:E$2576="YES"))*(($D$4="")+($D$4&lt;&gt;"")*( DB!B$2:B$2576=$D$4))*(($D$5="")+($D$5&lt;&gt;"")*( DB!C$2:C$2576=$D$5))*(($D$6="")+($D$6&lt;&gt;"")*( DB!D$2:D$2576=$D$6))*(($D$7="")+($D$7&lt;&gt;"")*(ISNUMBER(SEARCH($D$7,DB!G$2:G$2576))))*(($F$7="전체")+($F$7&lt;&gt;"전체")*(DB!H$2:H$2576=$F$7))),ROW()-13)-1,"")</f>
        <v/>
      </c>
      <c r="Q1132" t="str" cm="1">
        <f t="array" ref="Q1132">IFERROR(INDEX(DB!G$2:G$2576,P1132),"")</f>
        <v/>
      </c>
      <c r="R1132" t="str" cm="1">
        <f t="array" ref="R1132">IFERROR(INDEX(DB!O$2:O$2576,P1132),"")</f>
        <v/>
      </c>
      <c r="S1132" t="str">
        <f t="shared" si="54"/>
        <v/>
      </c>
      <c r="T1132" t="str">
        <f t="shared" si="55"/>
        <v/>
      </c>
    </row>
    <row r="1133" spans="1:20" ht="100" customHeight="1">
      <c r="A1133" s="26"/>
      <c r="B1133" s="42" t="str">
        <f t="shared" si="53"/>
        <v/>
      </c>
      <c r="C1133" s="43"/>
      <c r="D1133" s="51" t="str" cm="1">
        <f t="array" ref="D1133">IFERROR(INDEX(DB!G$2:G$2576,T1133),"")</f>
        <v/>
      </c>
      <c r="E1133" s="43"/>
      <c r="F1133" s="52" t="str" cm="1">
        <f t="array" ref="F1133">IFERROR(INDEX(DB!O$2:O$2576,T1133),"")</f>
        <v/>
      </c>
      <c r="G1133" s="43"/>
      <c r="H1133" s="40" t="str" cm="1">
        <f t="array" ref="H1133">IFERROR(INDEX(DB!P$2:P$2576,T1133),"")</f>
        <v/>
      </c>
      <c r="I1133" s="43"/>
      <c r="J1133" s="53" t="str" cm="1">
        <f t="array" ref="J1133">IFERROR(INDEX(DB!Q$2:Q$2576,T1133),"")</f>
        <v/>
      </c>
      <c r="K1133" s="43"/>
      <c r="L1133" s="41" t="str" cm="1">
        <f t="array" ref="L1133">IFERROR(INDEX(DB!R$2:R$2576,T1133),"")</f>
        <v/>
      </c>
      <c r="M1133" s="43"/>
      <c r="P1133" t="str" cm="1">
        <f t="array" ref="P1133">IFERROR(_xlfn.AGGREGATE(15,6,ROW(DB!A$2:A$2576)/((($D$3&lt;&gt;"YES")+($D$3="YES")*(DB!E$2:E$2576="YES"))*(($D$4="")+($D$4&lt;&gt;"")*( DB!B$2:B$2576=$D$4))*(($D$5="")+($D$5&lt;&gt;"")*( DB!C$2:C$2576=$D$5))*(($D$6="")+($D$6&lt;&gt;"")*( DB!D$2:D$2576=$D$6))*(($D$7="")+($D$7&lt;&gt;"")*(ISNUMBER(SEARCH($D$7,DB!G$2:G$2576))))*(($F$7="전체")+($F$7&lt;&gt;"전체")*(DB!H$2:H$2576=$F$7))),ROW()-13)-1,"")</f>
        <v/>
      </c>
      <c r="Q1133" t="str" cm="1">
        <f t="array" ref="Q1133">IFERROR(INDEX(DB!G$2:G$2576,P1133),"")</f>
        <v/>
      </c>
      <c r="R1133" t="str" cm="1">
        <f t="array" ref="R1133">IFERROR(INDEX(DB!O$2:O$2576,P1133),"")</f>
        <v/>
      </c>
      <c r="S1133" t="str">
        <f t="shared" si="54"/>
        <v/>
      </c>
      <c r="T1133" t="str">
        <f t="shared" si="55"/>
        <v/>
      </c>
    </row>
    <row r="1134" spans="1:20" ht="100" customHeight="1">
      <c r="A1134" s="26"/>
      <c r="B1134" s="39" t="str">
        <f t="shared" si="53"/>
        <v/>
      </c>
      <c r="C1134" s="43"/>
      <c r="D1134" s="51" t="str" cm="1">
        <f t="array" ref="D1134">IFERROR(INDEX(DB!G$2:G$2576,T1134),"")</f>
        <v/>
      </c>
      <c r="E1134" s="43"/>
      <c r="F1134" s="52" t="str" cm="1">
        <f t="array" ref="F1134">IFERROR(INDEX(DB!O$2:O$2576,T1134),"")</f>
        <v/>
      </c>
      <c r="G1134" s="43"/>
      <c r="H1134" s="40" t="str" cm="1">
        <f t="array" ref="H1134">IFERROR(INDEX(DB!P$2:P$2576,T1134),"")</f>
        <v/>
      </c>
      <c r="I1134" s="43"/>
      <c r="J1134" s="53" t="str" cm="1">
        <f t="array" ref="J1134">IFERROR(INDEX(DB!Q$2:Q$2576,T1134),"")</f>
        <v/>
      </c>
      <c r="K1134" s="43"/>
      <c r="L1134" s="41" t="str" cm="1">
        <f t="array" ref="L1134">IFERROR(INDEX(DB!R$2:R$2576,T1134),"")</f>
        <v/>
      </c>
      <c r="M1134" s="43"/>
      <c r="P1134" t="str" cm="1">
        <f t="array" ref="P1134">IFERROR(_xlfn.AGGREGATE(15,6,ROW(DB!A$2:A$2576)/((($D$3&lt;&gt;"YES")+($D$3="YES")*(DB!E$2:E$2576="YES"))*(($D$4="")+($D$4&lt;&gt;"")*( DB!B$2:B$2576=$D$4))*(($D$5="")+($D$5&lt;&gt;"")*( DB!C$2:C$2576=$D$5))*(($D$6="")+($D$6&lt;&gt;"")*( DB!D$2:D$2576=$D$6))*(($D$7="")+($D$7&lt;&gt;"")*(ISNUMBER(SEARCH($D$7,DB!G$2:G$2576))))*(($F$7="전체")+($F$7&lt;&gt;"전체")*(DB!H$2:H$2576=$F$7))),ROW()-13)-1,"")</f>
        <v/>
      </c>
      <c r="Q1134" t="str" cm="1">
        <f t="array" ref="Q1134">IFERROR(INDEX(DB!G$2:G$2576,P1134),"")</f>
        <v/>
      </c>
      <c r="R1134" t="str" cm="1">
        <f t="array" ref="R1134">IFERROR(INDEX(DB!O$2:O$2576,P1134),"")</f>
        <v/>
      </c>
      <c r="S1134" t="str">
        <f t="shared" si="54"/>
        <v/>
      </c>
      <c r="T1134" t="str">
        <f t="shared" si="55"/>
        <v/>
      </c>
    </row>
    <row r="1135" spans="1:20" ht="100" customHeight="1">
      <c r="A1135" s="26"/>
      <c r="B1135" s="42" t="str">
        <f t="shared" si="53"/>
        <v/>
      </c>
      <c r="C1135" s="43"/>
      <c r="D1135" s="51" t="str" cm="1">
        <f t="array" ref="D1135">IFERROR(INDEX(DB!G$2:G$2576,T1135),"")</f>
        <v/>
      </c>
      <c r="E1135" s="43"/>
      <c r="F1135" s="52" t="str" cm="1">
        <f t="array" ref="F1135">IFERROR(INDEX(DB!O$2:O$2576,T1135),"")</f>
        <v/>
      </c>
      <c r="G1135" s="43"/>
      <c r="H1135" s="40" t="str" cm="1">
        <f t="array" ref="H1135">IFERROR(INDEX(DB!P$2:P$2576,T1135),"")</f>
        <v/>
      </c>
      <c r="I1135" s="43"/>
      <c r="J1135" s="53" t="str" cm="1">
        <f t="array" ref="J1135">IFERROR(INDEX(DB!Q$2:Q$2576,T1135),"")</f>
        <v/>
      </c>
      <c r="K1135" s="43"/>
      <c r="L1135" s="41" t="str" cm="1">
        <f t="array" ref="L1135">IFERROR(INDEX(DB!R$2:R$2576,T1135),"")</f>
        <v/>
      </c>
      <c r="M1135" s="43"/>
      <c r="P1135" t="str" cm="1">
        <f t="array" ref="P1135">IFERROR(_xlfn.AGGREGATE(15,6,ROW(DB!A$2:A$2576)/((($D$3&lt;&gt;"YES")+($D$3="YES")*(DB!E$2:E$2576="YES"))*(($D$4="")+($D$4&lt;&gt;"")*( DB!B$2:B$2576=$D$4))*(($D$5="")+($D$5&lt;&gt;"")*( DB!C$2:C$2576=$D$5))*(($D$6="")+($D$6&lt;&gt;"")*( DB!D$2:D$2576=$D$6))*(($D$7="")+($D$7&lt;&gt;"")*(ISNUMBER(SEARCH($D$7,DB!G$2:G$2576))))*(($F$7="전체")+($F$7&lt;&gt;"전체")*(DB!H$2:H$2576=$F$7))),ROW()-13)-1,"")</f>
        <v/>
      </c>
      <c r="Q1135" t="str" cm="1">
        <f t="array" ref="Q1135">IFERROR(INDEX(DB!G$2:G$2576,P1135),"")</f>
        <v/>
      </c>
      <c r="R1135" t="str" cm="1">
        <f t="array" ref="R1135">IFERROR(INDEX(DB!O$2:O$2576,P1135),"")</f>
        <v/>
      </c>
      <c r="S1135" t="str">
        <f t="shared" si="54"/>
        <v/>
      </c>
      <c r="T1135" t="str">
        <f t="shared" si="55"/>
        <v/>
      </c>
    </row>
    <row r="1136" spans="1:20" ht="100" customHeight="1">
      <c r="A1136" s="26"/>
      <c r="B1136" s="39" t="str">
        <f t="shared" si="53"/>
        <v/>
      </c>
      <c r="C1136" s="43"/>
      <c r="D1136" s="51" t="str" cm="1">
        <f t="array" ref="D1136">IFERROR(INDEX(DB!G$2:G$2576,T1136),"")</f>
        <v/>
      </c>
      <c r="E1136" s="43"/>
      <c r="F1136" s="52" t="str" cm="1">
        <f t="array" ref="F1136">IFERROR(INDEX(DB!O$2:O$2576,T1136),"")</f>
        <v/>
      </c>
      <c r="G1136" s="43"/>
      <c r="H1136" s="40" t="str" cm="1">
        <f t="array" ref="H1136">IFERROR(INDEX(DB!P$2:P$2576,T1136),"")</f>
        <v/>
      </c>
      <c r="I1136" s="43"/>
      <c r="J1136" s="53" t="str" cm="1">
        <f t="array" ref="J1136">IFERROR(INDEX(DB!Q$2:Q$2576,T1136),"")</f>
        <v/>
      </c>
      <c r="K1136" s="43"/>
      <c r="L1136" s="41" t="str" cm="1">
        <f t="array" ref="L1136">IFERROR(INDEX(DB!R$2:R$2576,T1136),"")</f>
        <v/>
      </c>
      <c r="M1136" s="43"/>
      <c r="P1136" t="str" cm="1">
        <f t="array" ref="P1136">IFERROR(_xlfn.AGGREGATE(15,6,ROW(DB!A$2:A$2576)/((($D$3&lt;&gt;"YES")+($D$3="YES")*(DB!E$2:E$2576="YES"))*(($D$4="")+($D$4&lt;&gt;"")*( DB!B$2:B$2576=$D$4))*(($D$5="")+($D$5&lt;&gt;"")*( DB!C$2:C$2576=$D$5))*(($D$6="")+($D$6&lt;&gt;"")*( DB!D$2:D$2576=$D$6))*(($D$7="")+($D$7&lt;&gt;"")*(ISNUMBER(SEARCH($D$7,DB!G$2:G$2576))))*(($F$7="전체")+($F$7&lt;&gt;"전체")*(DB!H$2:H$2576=$F$7))),ROW()-13)-1,"")</f>
        <v/>
      </c>
      <c r="Q1136" t="str" cm="1">
        <f t="array" ref="Q1136">IFERROR(INDEX(DB!G$2:G$2576,P1136),"")</f>
        <v/>
      </c>
      <c r="R1136" t="str" cm="1">
        <f t="array" ref="R1136">IFERROR(INDEX(DB!O$2:O$2576,P1136),"")</f>
        <v/>
      </c>
      <c r="S1136" t="str">
        <f t="shared" si="54"/>
        <v/>
      </c>
      <c r="T1136" t="str">
        <f t="shared" si="55"/>
        <v/>
      </c>
    </row>
    <row r="1137" spans="1:20" ht="100" customHeight="1">
      <c r="A1137" s="26"/>
      <c r="B1137" s="42" t="str">
        <f t="shared" si="53"/>
        <v/>
      </c>
      <c r="C1137" s="43"/>
      <c r="D1137" s="51" t="str" cm="1">
        <f t="array" ref="D1137">IFERROR(INDEX(DB!G$2:G$2576,T1137),"")</f>
        <v/>
      </c>
      <c r="E1137" s="43"/>
      <c r="F1137" s="52" t="str" cm="1">
        <f t="array" ref="F1137">IFERROR(INDEX(DB!O$2:O$2576,T1137),"")</f>
        <v/>
      </c>
      <c r="G1137" s="43"/>
      <c r="H1137" s="40" t="str" cm="1">
        <f t="array" ref="H1137">IFERROR(INDEX(DB!P$2:P$2576,T1137),"")</f>
        <v/>
      </c>
      <c r="I1137" s="43"/>
      <c r="J1137" s="53" t="str" cm="1">
        <f t="array" ref="J1137">IFERROR(INDEX(DB!Q$2:Q$2576,T1137),"")</f>
        <v/>
      </c>
      <c r="K1137" s="43"/>
      <c r="L1137" s="41" t="str" cm="1">
        <f t="array" ref="L1137">IFERROR(INDEX(DB!R$2:R$2576,T1137),"")</f>
        <v/>
      </c>
      <c r="M1137" s="43"/>
      <c r="P1137" t="str" cm="1">
        <f t="array" ref="P1137">IFERROR(_xlfn.AGGREGATE(15,6,ROW(DB!A$2:A$2576)/((($D$3&lt;&gt;"YES")+($D$3="YES")*(DB!E$2:E$2576="YES"))*(($D$4="")+($D$4&lt;&gt;"")*( DB!B$2:B$2576=$D$4))*(($D$5="")+($D$5&lt;&gt;"")*( DB!C$2:C$2576=$D$5))*(($D$6="")+($D$6&lt;&gt;"")*( DB!D$2:D$2576=$D$6))*(($D$7="")+($D$7&lt;&gt;"")*(ISNUMBER(SEARCH($D$7,DB!G$2:G$2576))))*(($F$7="전체")+($F$7&lt;&gt;"전체")*(DB!H$2:H$2576=$F$7))),ROW()-13)-1,"")</f>
        <v/>
      </c>
      <c r="Q1137" t="str" cm="1">
        <f t="array" ref="Q1137">IFERROR(INDEX(DB!G$2:G$2576,P1137),"")</f>
        <v/>
      </c>
      <c r="R1137" t="str" cm="1">
        <f t="array" ref="R1137">IFERROR(INDEX(DB!O$2:O$2576,P1137),"")</f>
        <v/>
      </c>
      <c r="S1137" t="str">
        <f t="shared" si="54"/>
        <v/>
      </c>
      <c r="T1137" t="str">
        <f t="shared" si="55"/>
        <v/>
      </c>
    </row>
    <row r="1138" spans="1:20" ht="100" customHeight="1">
      <c r="A1138" s="26"/>
      <c r="B1138" s="39" t="str">
        <f t="shared" si="53"/>
        <v/>
      </c>
      <c r="C1138" s="43"/>
      <c r="D1138" s="51" t="str" cm="1">
        <f t="array" ref="D1138">IFERROR(INDEX(DB!G$2:G$2576,T1138),"")</f>
        <v/>
      </c>
      <c r="E1138" s="43"/>
      <c r="F1138" s="52" t="str" cm="1">
        <f t="array" ref="F1138">IFERROR(INDEX(DB!O$2:O$2576,T1138),"")</f>
        <v/>
      </c>
      <c r="G1138" s="43"/>
      <c r="H1138" s="40" t="str" cm="1">
        <f t="array" ref="H1138">IFERROR(INDEX(DB!P$2:P$2576,T1138),"")</f>
        <v/>
      </c>
      <c r="I1138" s="43"/>
      <c r="J1138" s="53" t="str" cm="1">
        <f t="array" ref="J1138">IFERROR(INDEX(DB!Q$2:Q$2576,T1138),"")</f>
        <v/>
      </c>
      <c r="K1138" s="43"/>
      <c r="L1138" s="41" t="str" cm="1">
        <f t="array" ref="L1138">IFERROR(INDEX(DB!R$2:R$2576,T1138),"")</f>
        <v/>
      </c>
      <c r="M1138" s="43"/>
      <c r="P1138" t="str" cm="1">
        <f t="array" ref="P1138">IFERROR(_xlfn.AGGREGATE(15,6,ROW(DB!A$2:A$2576)/((($D$3&lt;&gt;"YES")+($D$3="YES")*(DB!E$2:E$2576="YES"))*(($D$4="")+($D$4&lt;&gt;"")*( DB!B$2:B$2576=$D$4))*(($D$5="")+($D$5&lt;&gt;"")*( DB!C$2:C$2576=$D$5))*(($D$6="")+($D$6&lt;&gt;"")*( DB!D$2:D$2576=$D$6))*(($D$7="")+($D$7&lt;&gt;"")*(ISNUMBER(SEARCH($D$7,DB!G$2:G$2576))))*(($F$7="전체")+($F$7&lt;&gt;"전체")*(DB!H$2:H$2576=$F$7))),ROW()-13)-1,"")</f>
        <v/>
      </c>
      <c r="Q1138" t="str" cm="1">
        <f t="array" ref="Q1138">IFERROR(INDEX(DB!G$2:G$2576,P1138),"")</f>
        <v/>
      </c>
      <c r="R1138" t="str" cm="1">
        <f t="array" ref="R1138">IFERROR(INDEX(DB!O$2:O$2576,P1138),"")</f>
        <v/>
      </c>
      <c r="S1138" t="str">
        <f t="shared" si="54"/>
        <v/>
      </c>
      <c r="T1138" t="str">
        <f t="shared" si="55"/>
        <v/>
      </c>
    </row>
    <row r="1139" spans="1:20" ht="100" customHeight="1">
      <c r="A1139" s="26"/>
      <c r="B1139" s="42" t="str">
        <f t="shared" si="53"/>
        <v/>
      </c>
      <c r="C1139" s="43"/>
      <c r="D1139" s="51" t="str" cm="1">
        <f t="array" ref="D1139">IFERROR(INDEX(DB!G$2:G$2576,T1139),"")</f>
        <v/>
      </c>
      <c r="E1139" s="43"/>
      <c r="F1139" s="52" t="str" cm="1">
        <f t="array" ref="F1139">IFERROR(INDEX(DB!O$2:O$2576,T1139),"")</f>
        <v/>
      </c>
      <c r="G1139" s="43"/>
      <c r="H1139" s="40" t="str" cm="1">
        <f t="array" ref="H1139">IFERROR(INDEX(DB!P$2:P$2576,T1139),"")</f>
        <v/>
      </c>
      <c r="I1139" s="43"/>
      <c r="J1139" s="53" t="str" cm="1">
        <f t="array" ref="J1139">IFERROR(INDEX(DB!Q$2:Q$2576,T1139),"")</f>
        <v/>
      </c>
      <c r="K1139" s="43"/>
      <c r="L1139" s="41" t="str" cm="1">
        <f t="array" ref="L1139">IFERROR(INDEX(DB!R$2:R$2576,T1139),"")</f>
        <v/>
      </c>
      <c r="M1139" s="43"/>
      <c r="P1139" t="str" cm="1">
        <f t="array" ref="P1139">IFERROR(_xlfn.AGGREGATE(15,6,ROW(DB!A$2:A$2576)/((($D$3&lt;&gt;"YES")+($D$3="YES")*(DB!E$2:E$2576="YES"))*(($D$4="")+($D$4&lt;&gt;"")*( DB!B$2:B$2576=$D$4))*(($D$5="")+($D$5&lt;&gt;"")*( DB!C$2:C$2576=$D$5))*(($D$6="")+($D$6&lt;&gt;"")*( DB!D$2:D$2576=$D$6))*(($D$7="")+($D$7&lt;&gt;"")*(ISNUMBER(SEARCH($D$7,DB!G$2:G$2576))))*(($F$7="전체")+($F$7&lt;&gt;"전체")*(DB!H$2:H$2576=$F$7))),ROW()-13)-1,"")</f>
        <v/>
      </c>
      <c r="Q1139" t="str" cm="1">
        <f t="array" ref="Q1139">IFERROR(INDEX(DB!G$2:G$2576,P1139),"")</f>
        <v/>
      </c>
      <c r="R1139" t="str" cm="1">
        <f t="array" ref="R1139">IFERROR(INDEX(DB!O$2:O$2576,P1139),"")</f>
        <v/>
      </c>
      <c r="S1139" t="str">
        <f t="shared" si="54"/>
        <v/>
      </c>
      <c r="T1139" t="str">
        <f t="shared" si="55"/>
        <v/>
      </c>
    </row>
    <row r="1140" spans="1:20" ht="100" customHeight="1">
      <c r="A1140" s="26"/>
      <c r="B1140" s="39" t="str">
        <f t="shared" si="53"/>
        <v/>
      </c>
      <c r="C1140" s="43"/>
      <c r="D1140" s="51" t="str" cm="1">
        <f t="array" ref="D1140">IFERROR(INDEX(DB!G$2:G$2576,T1140),"")</f>
        <v/>
      </c>
      <c r="E1140" s="43"/>
      <c r="F1140" s="52" t="str" cm="1">
        <f t="array" ref="F1140">IFERROR(INDEX(DB!O$2:O$2576,T1140),"")</f>
        <v/>
      </c>
      <c r="G1140" s="43"/>
      <c r="H1140" s="40" t="str" cm="1">
        <f t="array" ref="H1140">IFERROR(INDEX(DB!P$2:P$2576,T1140),"")</f>
        <v/>
      </c>
      <c r="I1140" s="43"/>
      <c r="J1140" s="53" t="str" cm="1">
        <f t="array" ref="J1140">IFERROR(INDEX(DB!Q$2:Q$2576,T1140),"")</f>
        <v/>
      </c>
      <c r="K1140" s="43"/>
      <c r="L1140" s="41" t="str" cm="1">
        <f t="array" ref="L1140">IFERROR(INDEX(DB!R$2:R$2576,T1140),"")</f>
        <v/>
      </c>
      <c r="M1140" s="43"/>
      <c r="P1140" t="str" cm="1">
        <f t="array" ref="P1140">IFERROR(_xlfn.AGGREGATE(15,6,ROW(DB!A$2:A$2576)/((($D$3&lt;&gt;"YES")+($D$3="YES")*(DB!E$2:E$2576="YES"))*(($D$4="")+($D$4&lt;&gt;"")*( DB!B$2:B$2576=$D$4))*(($D$5="")+($D$5&lt;&gt;"")*( DB!C$2:C$2576=$D$5))*(($D$6="")+($D$6&lt;&gt;"")*( DB!D$2:D$2576=$D$6))*(($D$7="")+($D$7&lt;&gt;"")*(ISNUMBER(SEARCH($D$7,DB!G$2:G$2576))))*(($F$7="전체")+($F$7&lt;&gt;"전체")*(DB!H$2:H$2576=$F$7))),ROW()-13)-1,"")</f>
        <v/>
      </c>
      <c r="Q1140" t="str" cm="1">
        <f t="array" ref="Q1140">IFERROR(INDEX(DB!G$2:G$2576,P1140),"")</f>
        <v/>
      </c>
      <c r="R1140" t="str" cm="1">
        <f t="array" ref="R1140">IFERROR(INDEX(DB!O$2:O$2576,P1140),"")</f>
        <v/>
      </c>
      <c r="S1140" t="str">
        <f t="shared" si="54"/>
        <v/>
      </c>
      <c r="T1140" t="str">
        <f t="shared" si="55"/>
        <v/>
      </c>
    </row>
    <row r="1141" spans="1:20" ht="100" customHeight="1">
      <c r="A1141" s="26"/>
      <c r="B1141" s="42" t="str">
        <f t="shared" si="53"/>
        <v/>
      </c>
      <c r="C1141" s="43"/>
      <c r="D1141" s="51" t="str" cm="1">
        <f t="array" ref="D1141">IFERROR(INDEX(DB!G$2:G$2576,T1141),"")</f>
        <v/>
      </c>
      <c r="E1141" s="43"/>
      <c r="F1141" s="52" t="str" cm="1">
        <f t="array" ref="F1141">IFERROR(INDEX(DB!O$2:O$2576,T1141),"")</f>
        <v/>
      </c>
      <c r="G1141" s="43"/>
      <c r="H1141" s="40" t="str" cm="1">
        <f t="array" ref="H1141">IFERROR(INDEX(DB!P$2:P$2576,T1141),"")</f>
        <v/>
      </c>
      <c r="I1141" s="43"/>
      <c r="J1141" s="53" t="str" cm="1">
        <f t="array" ref="J1141">IFERROR(INDEX(DB!Q$2:Q$2576,T1141),"")</f>
        <v/>
      </c>
      <c r="K1141" s="43"/>
      <c r="L1141" s="41" t="str" cm="1">
        <f t="array" ref="L1141">IFERROR(INDEX(DB!R$2:R$2576,T1141),"")</f>
        <v/>
      </c>
      <c r="M1141" s="43"/>
      <c r="P1141" t="str" cm="1">
        <f t="array" ref="P1141">IFERROR(_xlfn.AGGREGATE(15,6,ROW(DB!A$2:A$2576)/((($D$3&lt;&gt;"YES")+($D$3="YES")*(DB!E$2:E$2576="YES"))*(($D$4="")+($D$4&lt;&gt;"")*( DB!B$2:B$2576=$D$4))*(($D$5="")+($D$5&lt;&gt;"")*( DB!C$2:C$2576=$D$5))*(($D$6="")+($D$6&lt;&gt;"")*( DB!D$2:D$2576=$D$6))*(($D$7="")+($D$7&lt;&gt;"")*(ISNUMBER(SEARCH($D$7,DB!G$2:G$2576))))*(($F$7="전체")+($F$7&lt;&gt;"전체")*(DB!H$2:H$2576=$F$7))),ROW()-13)-1,"")</f>
        <v/>
      </c>
      <c r="Q1141" t="str" cm="1">
        <f t="array" ref="Q1141">IFERROR(INDEX(DB!G$2:G$2576,P1141),"")</f>
        <v/>
      </c>
      <c r="R1141" t="str" cm="1">
        <f t="array" ref="R1141">IFERROR(INDEX(DB!O$2:O$2576,P1141),"")</f>
        <v/>
      </c>
      <c r="S1141" t="str">
        <f t="shared" si="54"/>
        <v/>
      </c>
      <c r="T1141" t="str">
        <f t="shared" si="55"/>
        <v/>
      </c>
    </row>
    <row r="1142" spans="1:20" ht="100" customHeight="1">
      <c r="A1142" s="26"/>
      <c r="B1142" s="39" t="str">
        <f t="shared" si="53"/>
        <v/>
      </c>
      <c r="C1142" s="43"/>
      <c r="D1142" s="51" t="str" cm="1">
        <f t="array" ref="D1142">IFERROR(INDEX(DB!G$2:G$2576,T1142),"")</f>
        <v/>
      </c>
      <c r="E1142" s="43"/>
      <c r="F1142" s="52" t="str" cm="1">
        <f t="array" ref="F1142">IFERROR(INDEX(DB!O$2:O$2576,T1142),"")</f>
        <v/>
      </c>
      <c r="G1142" s="43"/>
      <c r="H1142" s="40" t="str" cm="1">
        <f t="array" ref="H1142">IFERROR(INDEX(DB!P$2:P$2576,T1142),"")</f>
        <v/>
      </c>
      <c r="I1142" s="43"/>
      <c r="J1142" s="53" t="str" cm="1">
        <f t="array" ref="J1142">IFERROR(INDEX(DB!Q$2:Q$2576,T1142),"")</f>
        <v/>
      </c>
      <c r="K1142" s="43"/>
      <c r="L1142" s="41" t="str" cm="1">
        <f t="array" ref="L1142">IFERROR(INDEX(DB!R$2:R$2576,T1142),"")</f>
        <v/>
      </c>
      <c r="M1142" s="43"/>
      <c r="P1142" t="str" cm="1">
        <f t="array" ref="P1142">IFERROR(_xlfn.AGGREGATE(15,6,ROW(DB!A$2:A$2576)/((($D$3&lt;&gt;"YES")+($D$3="YES")*(DB!E$2:E$2576="YES"))*(($D$4="")+($D$4&lt;&gt;"")*( DB!B$2:B$2576=$D$4))*(($D$5="")+($D$5&lt;&gt;"")*( DB!C$2:C$2576=$D$5))*(($D$6="")+($D$6&lt;&gt;"")*( DB!D$2:D$2576=$D$6))*(($D$7="")+($D$7&lt;&gt;"")*(ISNUMBER(SEARCH($D$7,DB!G$2:G$2576))))*(($F$7="전체")+($F$7&lt;&gt;"전체")*(DB!H$2:H$2576=$F$7))),ROW()-13)-1,"")</f>
        <v/>
      </c>
      <c r="Q1142" t="str" cm="1">
        <f t="array" ref="Q1142">IFERROR(INDEX(DB!G$2:G$2576,P1142),"")</f>
        <v/>
      </c>
      <c r="R1142" t="str" cm="1">
        <f t="array" ref="R1142">IFERROR(INDEX(DB!O$2:O$2576,P1142),"")</f>
        <v/>
      </c>
      <c r="S1142" t="str">
        <f t="shared" si="54"/>
        <v/>
      </c>
      <c r="T1142" t="str">
        <f t="shared" si="55"/>
        <v/>
      </c>
    </row>
    <row r="1143" spans="1:20" ht="100" customHeight="1">
      <c r="A1143" s="26"/>
      <c r="B1143" s="42" t="str">
        <f t="shared" si="53"/>
        <v/>
      </c>
      <c r="C1143" s="43"/>
      <c r="D1143" s="51" t="str" cm="1">
        <f t="array" ref="D1143">IFERROR(INDEX(DB!G$2:G$2576,T1143),"")</f>
        <v/>
      </c>
      <c r="E1143" s="43"/>
      <c r="F1143" s="52" t="str" cm="1">
        <f t="array" ref="F1143">IFERROR(INDEX(DB!O$2:O$2576,T1143),"")</f>
        <v/>
      </c>
      <c r="G1143" s="43"/>
      <c r="H1143" s="40" t="str" cm="1">
        <f t="array" ref="H1143">IFERROR(INDEX(DB!P$2:P$2576,T1143),"")</f>
        <v/>
      </c>
      <c r="I1143" s="43"/>
      <c r="J1143" s="53" t="str" cm="1">
        <f t="array" ref="J1143">IFERROR(INDEX(DB!Q$2:Q$2576,T1143),"")</f>
        <v/>
      </c>
      <c r="K1143" s="43"/>
      <c r="L1143" s="41" t="str" cm="1">
        <f t="array" ref="L1143">IFERROR(INDEX(DB!R$2:R$2576,T1143),"")</f>
        <v/>
      </c>
      <c r="M1143" s="43"/>
      <c r="P1143" t="str" cm="1">
        <f t="array" ref="P1143">IFERROR(_xlfn.AGGREGATE(15,6,ROW(DB!A$2:A$2576)/((($D$3&lt;&gt;"YES")+($D$3="YES")*(DB!E$2:E$2576="YES"))*(($D$4="")+($D$4&lt;&gt;"")*( DB!B$2:B$2576=$D$4))*(($D$5="")+($D$5&lt;&gt;"")*( DB!C$2:C$2576=$D$5))*(($D$6="")+($D$6&lt;&gt;"")*( DB!D$2:D$2576=$D$6))*(($D$7="")+($D$7&lt;&gt;"")*(ISNUMBER(SEARCH($D$7,DB!G$2:G$2576))))*(($F$7="전체")+($F$7&lt;&gt;"전체")*(DB!H$2:H$2576=$F$7))),ROW()-13)-1,"")</f>
        <v/>
      </c>
      <c r="Q1143" t="str" cm="1">
        <f t="array" ref="Q1143">IFERROR(INDEX(DB!G$2:G$2576,P1143),"")</f>
        <v/>
      </c>
      <c r="R1143" t="str" cm="1">
        <f t="array" ref="R1143">IFERROR(INDEX(DB!O$2:O$2576,P1143),"")</f>
        <v/>
      </c>
      <c r="S1143" t="str">
        <f t="shared" si="54"/>
        <v/>
      </c>
      <c r="T1143" t="str">
        <f t="shared" si="55"/>
        <v/>
      </c>
    </row>
    <row r="1144" spans="1:20" ht="100" customHeight="1">
      <c r="A1144" s="26"/>
      <c r="B1144" s="39" t="str">
        <f t="shared" si="53"/>
        <v/>
      </c>
      <c r="C1144" s="43"/>
      <c r="D1144" s="51" t="str" cm="1">
        <f t="array" ref="D1144">IFERROR(INDEX(DB!G$2:G$2576,T1144),"")</f>
        <v/>
      </c>
      <c r="E1144" s="43"/>
      <c r="F1144" s="52" t="str" cm="1">
        <f t="array" ref="F1144">IFERROR(INDEX(DB!O$2:O$2576,T1144),"")</f>
        <v/>
      </c>
      <c r="G1144" s="43"/>
      <c r="H1144" s="40" t="str" cm="1">
        <f t="array" ref="H1144">IFERROR(INDEX(DB!P$2:P$2576,T1144),"")</f>
        <v/>
      </c>
      <c r="I1144" s="43"/>
      <c r="J1144" s="53" t="str" cm="1">
        <f t="array" ref="J1144">IFERROR(INDEX(DB!Q$2:Q$2576,T1144),"")</f>
        <v/>
      </c>
      <c r="K1144" s="43"/>
      <c r="L1144" s="41" t="str" cm="1">
        <f t="array" ref="L1144">IFERROR(INDEX(DB!R$2:R$2576,T1144),"")</f>
        <v/>
      </c>
      <c r="M1144" s="43"/>
      <c r="P1144" t="str" cm="1">
        <f t="array" ref="P1144">IFERROR(_xlfn.AGGREGATE(15,6,ROW(DB!A$2:A$2576)/((($D$3&lt;&gt;"YES")+($D$3="YES")*(DB!E$2:E$2576="YES"))*(($D$4="")+($D$4&lt;&gt;"")*( DB!B$2:B$2576=$D$4))*(($D$5="")+($D$5&lt;&gt;"")*( DB!C$2:C$2576=$D$5))*(($D$6="")+($D$6&lt;&gt;"")*( DB!D$2:D$2576=$D$6))*(($D$7="")+($D$7&lt;&gt;"")*(ISNUMBER(SEARCH($D$7,DB!G$2:G$2576))))*(($F$7="전체")+($F$7&lt;&gt;"전체")*(DB!H$2:H$2576=$F$7))),ROW()-13)-1,"")</f>
        <v/>
      </c>
      <c r="Q1144" t="str" cm="1">
        <f t="array" ref="Q1144">IFERROR(INDEX(DB!G$2:G$2576,P1144),"")</f>
        <v/>
      </c>
      <c r="R1144" t="str" cm="1">
        <f t="array" ref="R1144">IFERROR(INDEX(DB!O$2:O$2576,P1144),"")</f>
        <v/>
      </c>
      <c r="S1144" t="str">
        <f t="shared" si="54"/>
        <v/>
      </c>
      <c r="T1144" t="str">
        <f t="shared" si="55"/>
        <v/>
      </c>
    </row>
    <row r="1145" spans="1:20" ht="100" customHeight="1">
      <c r="A1145" s="26"/>
      <c r="B1145" s="42" t="str">
        <f t="shared" si="53"/>
        <v/>
      </c>
      <c r="C1145" s="43"/>
      <c r="D1145" s="51" t="str" cm="1">
        <f t="array" ref="D1145">IFERROR(INDEX(DB!G$2:G$2576,T1145),"")</f>
        <v/>
      </c>
      <c r="E1145" s="43"/>
      <c r="F1145" s="52" t="str" cm="1">
        <f t="array" ref="F1145">IFERROR(INDEX(DB!O$2:O$2576,T1145),"")</f>
        <v/>
      </c>
      <c r="G1145" s="43"/>
      <c r="H1145" s="40" t="str" cm="1">
        <f t="array" ref="H1145">IFERROR(INDEX(DB!P$2:P$2576,T1145),"")</f>
        <v/>
      </c>
      <c r="I1145" s="43"/>
      <c r="J1145" s="53" t="str" cm="1">
        <f t="array" ref="J1145">IFERROR(INDEX(DB!Q$2:Q$2576,T1145),"")</f>
        <v/>
      </c>
      <c r="K1145" s="43"/>
      <c r="L1145" s="41" t="str" cm="1">
        <f t="array" ref="L1145">IFERROR(INDEX(DB!R$2:R$2576,T1145),"")</f>
        <v/>
      </c>
      <c r="M1145" s="43"/>
      <c r="P1145" t="str" cm="1">
        <f t="array" ref="P1145">IFERROR(_xlfn.AGGREGATE(15,6,ROW(DB!A$2:A$2576)/((($D$3&lt;&gt;"YES")+($D$3="YES")*(DB!E$2:E$2576="YES"))*(($D$4="")+($D$4&lt;&gt;"")*( DB!B$2:B$2576=$D$4))*(($D$5="")+($D$5&lt;&gt;"")*( DB!C$2:C$2576=$D$5))*(($D$6="")+($D$6&lt;&gt;"")*( DB!D$2:D$2576=$D$6))*(($D$7="")+($D$7&lt;&gt;"")*(ISNUMBER(SEARCH($D$7,DB!G$2:G$2576))))*(($F$7="전체")+($F$7&lt;&gt;"전체")*(DB!H$2:H$2576=$F$7))),ROW()-13)-1,"")</f>
        <v/>
      </c>
      <c r="Q1145" t="str" cm="1">
        <f t="array" ref="Q1145">IFERROR(INDEX(DB!G$2:G$2576,P1145),"")</f>
        <v/>
      </c>
      <c r="R1145" t="str" cm="1">
        <f t="array" ref="R1145">IFERROR(INDEX(DB!O$2:O$2576,P1145),"")</f>
        <v/>
      </c>
      <c r="S1145" t="str">
        <f t="shared" si="54"/>
        <v/>
      </c>
      <c r="T1145" t="str">
        <f t="shared" si="55"/>
        <v/>
      </c>
    </row>
    <row r="1146" spans="1:20" ht="100" customHeight="1">
      <c r="A1146" s="26"/>
      <c r="B1146" s="39" t="str">
        <f t="shared" si="53"/>
        <v/>
      </c>
      <c r="C1146" s="43"/>
      <c r="D1146" s="51" t="str" cm="1">
        <f t="array" ref="D1146">IFERROR(INDEX(DB!G$2:G$2576,T1146),"")</f>
        <v/>
      </c>
      <c r="E1146" s="43"/>
      <c r="F1146" s="52" t="str" cm="1">
        <f t="array" ref="F1146">IFERROR(INDEX(DB!O$2:O$2576,T1146),"")</f>
        <v/>
      </c>
      <c r="G1146" s="43"/>
      <c r="H1146" s="40" t="str" cm="1">
        <f t="array" ref="H1146">IFERROR(INDEX(DB!P$2:P$2576,T1146),"")</f>
        <v/>
      </c>
      <c r="I1146" s="43"/>
      <c r="J1146" s="53" t="str" cm="1">
        <f t="array" ref="J1146">IFERROR(INDEX(DB!Q$2:Q$2576,T1146),"")</f>
        <v/>
      </c>
      <c r="K1146" s="43"/>
      <c r="L1146" s="41" t="str" cm="1">
        <f t="array" ref="L1146">IFERROR(INDEX(DB!R$2:R$2576,T1146),"")</f>
        <v/>
      </c>
      <c r="M1146" s="43"/>
      <c r="P1146" t="str" cm="1">
        <f t="array" ref="P1146">IFERROR(_xlfn.AGGREGATE(15,6,ROW(DB!A$2:A$2576)/((($D$3&lt;&gt;"YES")+($D$3="YES")*(DB!E$2:E$2576="YES"))*(($D$4="")+($D$4&lt;&gt;"")*( DB!B$2:B$2576=$D$4))*(($D$5="")+($D$5&lt;&gt;"")*( DB!C$2:C$2576=$D$5))*(($D$6="")+($D$6&lt;&gt;"")*( DB!D$2:D$2576=$D$6))*(($D$7="")+($D$7&lt;&gt;"")*(ISNUMBER(SEARCH($D$7,DB!G$2:G$2576))))*(($F$7="전체")+($F$7&lt;&gt;"전체")*(DB!H$2:H$2576=$F$7))),ROW()-13)-1,"")</f>
        <v/>
      </c>
      <c r="Q1146" t="str" cm="1">
        <f t="array" ref="Q1146">IFERROR(INDEX(DB!G$2:G$2576,P1146),"")</f>
        <v/>
      </c>
      <c r="R1146" t="str" cm="1">
        <f t="array" ref="R1146">IFERROR(INDEX(DB!O$2:O$2576,P1146),"")</f>
        <v/>
      </c>
      <c r="S1146" t="str">
        <f t="shared" si="54"/>
        <v/>
      </c>
      <c r="T1146" t="str">
        <f t="shared" si="55"/>
        <v/>
      </c>
    </row>
    <row r="1147" spans="1:20" ht="100" customHeight="1">
      <c r="A1147" s="26"/>
      <c r="B1147" s="42" t="str">
        <f t="shared" si="53"/>
        <v/>
      </c>
      <c r="C1147" s="43"/>
      <c r="D1147" s="51" t="str" cm="1">
        <f t="array" ref="D1147">IFERROR(INDEX(DB!G$2:G$2576,T1147),"")</f>
        <v/>
      </c>
      <c r="E1147" s="43"/>
      <c r="F1147" s="52" t="str" cm="1">
        <f t="array" ref="F1147">IFERROR(INDEX(DB!O$2:O$2576,T1147),"")</f>
        <v/>
      </c>
      <c r="G1147" s="43"/>
      <c r="H1147" s="40" t="str" cm="1">
        <f t="array" ref="H1147">IFERROR(INDEX(DB!P$2:P$2576,T1147),"")</f>
        <v/>
      </c>
      <c r="I1147" s="43"/>
      <c r="J1147" s="53" t="str" cm="1">
        <f t="array" ref="J1147">IFERROR(INDEX(DB!Q$2:Q$2576,T1147),"")</f>
        <v/>
      </c>
      <c r="K1147" s="43"/>
      <c r="L1147" s="41" t="str" cm="1">
        <f t="array" ref="L1147">IFERROR(INDEX(DB!R$2:R$2576,T1147),"")</f>
        <v/>
      </c>
      <c r="M1147" s="43"/>
      <c r="P1147" t="str" cm="1">
        <f t="array" ref="P1147">IFERROR(_xlfn.AGGREGATE(15,6,ROW(DB!A$2:A$2576)/((($D$3&lt;&gt;"YES")+($D$3="YES")*(DB!E$2:E$2576="YES"))*(($D$4="")+($D$4&lt;&gt;"")*( DB!B$2:B$2576=$D$4))*(($D$5="")+($D$5&lt;&gt;"")*( DB!C$2:C$2576=$D$5))*(($D$6="")+($D$6&lt;&gt;"")*( DB!D$2:D$2576=$D$6))*(($D$7="")+($D$7&lt;&gt;"")*(ISNUMBER(SEARCH($D$7,DB!G$2:G$2576))))*(($F$7="전체")+($F$7&lt;&gt;"전체")*(DB!H$2:H$2576=$F$7))),ROW()-13)-1,"")</f>
        <v/>
      </c>
      <c r="Q1147" t="str" cm="1">
        <f t="array" ref="Q1147">IFERROR(INDEX(DB!G$2:G$2576,P1147),"")</f>
        <v/>
      </c>
      <c r="R1147" t="str" cm="1">
        <f t="array" ref="R1147">IFERROR(INDEX(DB!O$2:O$2576,P1147),"")</f>
        <v/>
      </c>
      <c r="S1147" t="str">
        <f t="shared" si="54"/>
        <v/>
      </c>
      <c r="T1147" t="str">
        <f t="shared" si="55"/>
        <v/>
      </c>
    </row>
    <row r="1148" spans="1:20" ht="100" customHeight="1">
      <c r="A1148" s="26"/>
      <c r="B1148" s="39" t="str">
        <f t="shared" si="53"/>
        <v/>
      </c>
      <c r="C1148" s="43"/>
      <c r="D1148" s="51" t="str" cm="1">
        <f t="array" ref="D1148">IFERROR(INDEX(DB!G$2:G$2576,T1148),"")</f>
        <v/>
      </c>
      <c r="E1148" s="43"/>
      <c r="F1148" s="52" t="str" cm="1">
        <f t="array" ref="F1148">IFERROR(INDEX(DB!O$2:O$2576,T1148),"")</f>
        <v/>
      </c>
      <c r="G1148" s="43"/>
      <c r="H1148" s="40" t="str" cm="1">
        <f t="array" ref="H1148">IFERROR(INDEX(DB!P$2:P$2576,T1148),"")</f>
        <v/>
      </c>
      <c r="I1148" s="43"/>
      <c r="J1148" s="53" t="str" cm="1">
        <f t="array" ref="J1148">IFERROR(INDEX(DB!Q$2:Q$2576,T1148),"")</f>
        <v/>
      </c>
      <c r="K1148" s="43"/>
      <c r="L1148" s="41" t="str" cm="1">
        <f t="array" ref="L1148">IFERROR(INDEX(DB!R$2:R$2576,T1148),"")</f>
        <v/>
      </c>
      <c r="M1148" s="43"/>
      <c r="P1148" t="str" cm="1">
        <f t="array" ref="P1148">IFERROR(_xlfn.AGGREGATE(15,6,ROW(DB!A$2:A$2576)/((($D$3&lt;&gt;"YES")+($D$3="YES")*(DB!E$2:E$2576="YES"))*(($D$4="")+($D$4&lt;&gt;"")*( DB!B$2:B$2576=$D$4))*(($D$5="")+($D$5&lt;&gt;"")*( DB!C$2:C$2576=$D$5))*(($D$6="")+($D$6&lt;&gt;"")*( DB!D$2:D$2576=$D$6))*(($D$7="")+($D$7&lt;&gt;"")*(ISNUMBER(SEARCH($D$7,DB!G$2:G$2576))))*(($F$7="전체")+($F$7&lt;&gt;"전체")*(DB!H$2:H$2576=$F$7))),ROW()-13)-1,"")</f>
        <v/>
      </c>
      <c r="Q1148" t="str" cm="1">
        <f t="array" ref="Q1148">IFERROR(INDEX(DB!G$2:G$2576,P1148),"")</f>
        <v/>
      </c>
      <c r="R1148" t="str" cm="1">
        <f t="array" ref="R1148">IFERROR(INDEX(DB!O$2:O$2576,P1148),"")</f>
        <v/>
      </c>
      <c r="S1148" t="str">
        <f t="shared" si="54"/>
        <v/>
      </c>
      <c r="T1148" t="str">
        <f t="shared" si="55"/>
        <v/>
      </c>
    </row>
    <row r="1149" spans="1:20" ht="100" customHeight="1">
      <c r="A1149" s="26"/>
      <c r="B1149" s="42" t="str">
        <f t="shared" si="53"/>
        <v/>
      </c>
      <c r="C1149" s="43"/>
      <c r="D1149" s="51" t="str" cm="1">
        <f t="array" ref="D1149">IFERROR(INDEX(DB!G$2:G$2576,T1149),"")</f>
        <v/>
      </c>
      <c r="E1149" s="43"/>
      <c r="F1149" s="52" t="str" cm="1">
        <f t="array" ref="F1149">IFERROR(INDEX(DB!O$2:O$2576,T1149),"")</f>
        <v/>
      </c>
      <c r="G1149" s="43"/>
      <c r="H1149" s="40" t="str" cm="1">
        <f t="array" ref="H1149">IFERROR(INDEX(DB!P$2:P$2576,T1149),"")</f>
        <v/>
      </c>
      <c r="I1149" s="43"/>
      <c r="J1149" s="53" t="str" cm="1">
        <f t="array" ref="J1149">IFERROR(INDEX(DB!Q$2:Q$2576,T1149),"")</f>
        <v/>
      </c>
      <c r="K1149" s="43"/>
      <c r="L1149" s="41" t="str" cm="1">
        <f t="array" ref="L1149">IFERROR(INDEX(DB!R$2:R$2576,T1149),"")</f>
        <v/>
      </c>
      <c r="M1149" s="43"/>
      <c r="P1149" t="str" cm="1">
        <f t="array" ref="P1149">IFERROR(_xlfn.AGGREGATE(15,6,ROW(DB!A$2:A$2576)/((($D$3&lt;&gt;"YES")+($D$3="YES")*(DB!E$2:E$2576="YES"))*(($D$4="")+($D$4&lt;&gt;"")*( DB!B$2:B$2576=$D$4))*(($D$5="")+($D$5&lt;&gt;"")*( DB!C$2:C$2576=$D$5))*(($D$6="")+($D$6&lt;&gt;"")*( DB!D$2:D$2576=$D$6))*(($D$7="")+($D$7&lt;&gt;"")*(ISNUMBER(SEARCH($D$7,DB!G$2:G$2576))))*(($F$7="전체")+($F$7&lt;&gt;"전체")*(DB!H$2:H$2576=$F$7))),ROW()-13)-1,"")</f>
        <v/>
      </c>
      <c r="Q1149" t="str" cm="1">
        <f t="array" ref="Q1149">IFERROR(INDEX(DB!G$2:G$2576,P1149),"")</f>
        <v/>
      </c>
      <c r="R1149" t="str" cm="1">
        <f t="array" ref="R1149">IFERROR(INDEX(DB!O$2:O$2576,P1149),"")</f>
        <v/>
      </c>
      <c r="S1149" t="str">
        <f t="shared" si="54"/>
        <v/>
      </c>
      <c r="T1149" t="str">
        <f t="shared" si="55"/>
        <v/>
      </c>
    </row>
    <row r="1150" spans="1:20" ht="100" customHeight="1">
      <c r="A1150" s="26"/>
      <c r="B1150" s="39" t="str">
        <f t="shared" si="53"/>
        <v/>
      </c>
      <c r="C1150" s="43"/>
      <c r="D1150" s="51" t="str" cm="1">
        <f t="array" ref="D1150">IFERROR(INDEX(DB!G$2:G$2576,T1150),"")</f>
        <v/>
      </c>
      <c r="E1150" s="43"/>
      <c r="F1150" s="52" t="str" cm="1">
        <f t="array" ref="F1150">IFERROR(INDEX(DB!O$2:O$2576,T1150),"")</f>
        <v/>
      </c>
      <c r="G1150" s="43"/>
      <c r="H1150" s="40" t="str" cm="1">
        <f t="array" ref="H1150">IFERROR(INDEX(DB!P$2:P$2576,T1150),"")</f>
        <v/>
      </c>
      <c r="I1150" s="43"/>
      <c r="J1150" s="53" t="str" cm="1">
        <f t="array" ref="J1150">IFERROR(INDEX(DB!Q$2:Q$2576,T1150),"")</f>
        <v/>
      </c>
      <c r="K1150" s="43"/>
      <c r="L1150" s="41" t="str" cm="1">
        <f t="array" ref="L1150">IFERROR(INDEX(DB!R$2:R$2576,T1150),"")</f>
        <v/>
      </c>
      <c r="M1150" s="43"/>
      <c r="P1150" t="str" cm="1">
        <f t="array" ref="P1150">IFERROR(_xlfn.AGGREGATE(15,6,ROW(DB!A$2:A$2576)/((($D$3&lt;&gt;"YES")+($D$3="YES")*(DB!E$2:E$2576="YES"))*(($D$4="")+($D$4&lt;&gt;"")*( DB!B$2:B$2576=$D$4))*(($D$5="")+($D$5&lt;&gt;"")*( DB!C$2:C$2576=$D$5))*(($D$6="")+($D$6&lt;&gt;"")*( DB!D$2:D$2576=$D$6))*(($D$7="")+($D$7&lt;&gt;"")*(ISNUMBER(SEARCH($D$7,DB!G$2:G$2576))))*(($F$7="전체")+($F$7&lt;&gt;"전체")*(DB!H$2:H$2576=$F$7))),ROW()-13)-1,"")</f>
        <v/>
      </c>
      <c r="Q1150" t="str" cm="1">
        <f t="array" ref="Q1150">IFERROR(INDEX(DB!G$2:G$2576,P1150),"")</f>
        <v/>
      </c>
      <c r="R1150" t="str" cm="1">
        <f t="array" ref="R1150">IFERROR(INDEX(DB!O$2:O$2576,P1150),"")</f>
        <v/>
      </c>
      <c r="S1150" t="str">
        <f t="shared" si="54"/>
        <v/>
      </c>
      <c r="T1150" t="str">
        <f t="shared" si="55"/>
        <v/>
      </c>
    </row>
    <row r="1151" spans="1:20" ht="100" customHeight="1">
      <c r="A1151" s="26"/>
      <c r="B1151" s="42" t="str">
        <f t="shared" si="53"/>
        <v/>
      </c>
      <c r="C1151" s="43"/>
      <c r="D1151" s="51" t="str" cm="1">
        <f t="array" ref="D1151">IFERROR(INDEX(DB!G$2:G$2576,T1151),"")</f>
        <v/>
      </c>
      <c r="E1151" s="43"/>
      <c r="F1151" s="52" t="str" cm="1">
        <f t="array" ref="F1151">IFERROR(INDEX(DB!O$2:O$2576,T1151),"")</f>
        <v/>
      </c>
      <c r="G1151" s="43"/>
      <c r="H1151" s="40" t="str" cm="1">
        <f t="array" ref="H1151">IFERROR(INDEX(DB!P$2:P$2576,T1151),"")</f>
        <v/>
      </c>
      <c r="I1151" s="43"/>
      <c r="J1151" s="53" t="str" cm="1">
        <f t="array" ref="J1151">IFERROR(INDEX(DB!Q$2:Q$2576,T1151),"")</f>
        <v/>
      </c>
      <c r="K1151" s="43"/>
      <c r="L1151" s="41" t="str" cm="1">
        <f t="array" ref="L1151">IFERROR(INDEX(DB!R$2:R$2576,T1151),"")</f>
        <v/>
      </c>
      <c r="M1151" s="43"/>
      <c r="P1151" t="str" cm="1">
        <f t="array" ref="P1151">IFERROR(_xlfn.AGGREGATE(15,6,ROW(DB!A$2:A$2576)/((($D$3&lt;&gt;"YES")+($D$3="YES")*(DB!E$2:E$2576="YES"))*(($D$4="")+($D$4&lt;&gt;"")*( DB!B$2:B$2576=$D$4))*(($D$5="")+($D$5&lt;&gt;"")*( DB!C$2:C$2576=$D$5))*(($D$6="")+($D$6&lt;&gt;"")*( DB!D$2:D$2576=$D$6))*(($D$7="")+($D$7&lt;&gt;"")*(ISNUMBER(SEARCH($D$7,DB!G$2:G$2576))))*(($F$7="전체")+($F$7&lt;&gt;"전체")*(DB!H$2:H$2576=$F$7))),ROW()-13)-1,"")</f>
        <v/>
      </c>
      <c r="Q1151" t="str" cm="1">
        <f t="array" ref="Q1151">IFERROR(INDEX(DB!G$2:G$2576,P1151),"")</f>
        <v/>
      </c>
      <c r="R1151" t="str" cm="1">
        <f t="array" ref="R1151">IFERROR(INDEX(DB!O$2:O$2576,P1151),"")</f>
        <v/>
      </c>
      <c r="S1151" t="str">
        <f t="shared" si="54"/>
        <v/>
      </c>
      <c r="T1151" t="str">
        <f t="shared" si="55"/>
        <v/>
      </c>
    </row>
    <row r="1152" spans="1:20" ht="100" customHeight="1">
      <c r="A1152" s="26"/>
      <c r="B1152" s="39" t="str">
        <f t="shared" si="53"/>
        <v/>
      </c>
      <c r="C1152" s="43"/>
      <c r="D1152" s="51" t="str" cm="1">
        <f t="array" ref="D1152">IFERROR(INDEX(DB!G$2:G$2576,T1152),"")</f>
        <v/>
      </c>
      <c r="E1152" s="43"/>
      <c r="F1152" s="52" t="str" cm="1">
        <f t="array" ref="F1152">IFERROR(INDEX(DB!O$2:O$2576,T1152),"")</f>
        <v/>
      </c>
      <c r="G1152" s="43"/>
      <c r="H1152" s="40" t="str" cm="1">
        <f t="array" ref="H1152">IFERROR(INDEX(DB!P$2:P$2576,T1152),"")</f>
        <v/>
      </c>
      <c r="I1152" s="43"/>
      <c r="J1152" s="53" t="str" cm="1">
        <f t="array" ref="J1152">IFERROR(INDEX(DB!Q$2:Q$2576,T1152),"")</f>
        <v/>
      </c>
      <c r="K1152" s="43"/>
      <c r="L1152" s="41" t="str" cm="1">
        <f t="array" ref="L1152">IFERROR(INDEX(DB!R$2:R$2576,T1152),"")</f>
        <v/>
      </c>
      <c r="M1152" s="43"/>
      <c r="P1152" t="str" cm="1">
        <f t="array" ref="P1152">IFERROR(_xlfn.AGGREGATE(15,6,ROW(DB!A$2:A$2576)/((($D$3&lt;&gt;"YES")+($D$3="YES")*(DB!E$2:E$2576="YES"))*(($D$4="")+($D$4&lt;&gt;"")*( DB!B$2:B$2576=$D$4))*(($D$5="")+($D$5&lt;&gt;"")*( DB!C$2:C$2576=$D$5))*(($D$6="")+($D$6&lt;&gt;"")*( DB!D$2:D$2576=$D$6))*(($D$7="")+($D$7&lt;&gt;"")*(ISNUMBER(SEARCH($D$7,DB!G$2:G$2576))))*(($F$7="전체")+($F$7&lt;&gt;"전체")*(DB!H$2:H$2576=$F$7))),ROW()-13)-1,"")</f>
        <v/>
      </c>
      <c r="Q1152" t="str" cm="1">
        <f t="array" ref="Q1152">IFERROR(INDEX(DB!G$2:G$2576,P1152),"")</f>
        <v/>
      </c>
      <c r="R1152" t="str" cm="1">
        <f t="array" ref="R1152">IFERROR(INDEX(DB!O$2:O$2576,P1152),"")</f>
        <v/>
      </c>
      <c r="S1152" t="str">
        <f t="shared" si="54"/>
        <v/>
      </c>
      <c r="T1152" t="str">
        <f t="shared" si="55"/>
        <v/>
      </c>
    </row>
    <row r="1153" spans="1:20" ht="100" customHeight="1">
      <c r="A1153" s="26"/>
      <c r="B1153" s="42" t="str">
        <f t="shared" si="53"/>
        <v/>
      </c>
      <c r="C1153" s="43"/>
      <c r="D1153" s="51" t="str" cm="1">
        <f t="array" ref="D1153">IFERROR(INDEX(DB!G$2:G$2576,T1153),"")</f>
        <v/>
      </c>
      <c r="E1153" s="43"/>
      <c r="F1153" s="52" t="str" cm="1">
        <f t="array" ref="F1153">IFERROR(INDEX(DB!O$2:O$2576,T1153),"")</f>
        <v/>
      </c>
      <c r="G1153" s="43"/>
      <c r="H1153" s="40" t="str" cm="1">
        <f t="array" ref="H1153">IFERROR(INDEX(DB!P$2:P$2576,T1153),"")</f>
        <v/>
      </c>
      <c r="I1153" s="43"/>
      <c r="J1153" s="53" t="str" cm="1">
        <f t="array" ref="J1153">IFERROR(INDEX(DB!Q$2:Q$2576,T1153),"")</f>
        <v/>
      </c>
      <c r="K1153" s="43"/>
      <c r="L1153" s="41" t="str" cm="1">
        <f t="array" ref="L1153">IFERROR(INDEX(DB!R$2:R$2576,T1153),"")</f>
        <v/>
      </c>
      <c r="M1153" s="43"/>
      <c r="P1153" t="str" cm="1">
        <f t="array" ref="P1153">IFERROR(_xlfn.AGGREGATE(15,6,ROW(DB!A$2:A$2576)/((($D$3&lt;&gt;"YES")+($D$3="YES")*(DB!E$2:E$2576="YES"))*(($D$4="")+($D$4&lt;&gt;"")*( DB!B$2:B$2576=$D$4))*(($D$5="")+($D$5&lt;&gt;"")*( DB!C$2:C$2576=$D$5))*(($D$6="")+($D$6&lt;&gt;"")*( DB!D$2:D$2576=$D$6))*(($D$7="")+($D$7&lt;&gt;"")*(ISNUMBER(SEARCH($D$7,DB!G$2:G$2576))))*(($F$7="전체")+($F$7&lt;&gt;"전체")*(DB!H$2:H$2576=$F$7))),ROW()-13)-1,"")</f>
        <v/>
      </c>
      <c r="Q1153" t="str" cm="1">
        <f t="array" ref="Q1153">IFERROR(INDEX(DB!G$2:G$2576,P1153),"")</f>
        <v/>
      </c>
      <c r="R1153" t="str" cm="1">
        <f t="array" ref="R1153">IFERROR(INDEX(DB!O$2:O$2576,P1153),"")</f>
        <v/>
      </c>
      <c r="S1153" t="str">
        <f t="shared" si="54"/>
        <v/>
      </c>
      <c r="T1153" t="str">
        <f t="shared" si="55"/>
        <v/>
      </c>
    </row>
    <row r="1154" spans="1:20" ht="100" customHeight="1">
      <c r="A1154" s="26"/>
      <c r="B1154" s="39" t="str">
        <f t="shared" si="53"/>
        <v/>
      </c>
      <c r="C1154" s="43"/>
      <c r="D1154" s="51" t="str" cm="1">
        <f t="array" ref="D1154">IFERROR(INDEX(DB!G$2:G$2576,T1154),"")</f>
        <v/>
      </c>
      <c r="E1154" s="43"/>
      <c r="F1154" s="52" t="str" cm="1">
        <f t="array" ref="F1154">IFERROR(INDEX(DB!O$2:O$2576,T1154),"")</f>
        <v/>
      </c>
      <c r="G1154" s="43"/>
      <c r="H1154" s="40" t="str" cm="1">
        <f t="array" ref="H1154">IFERROR(INDEX(DB!P$2:P$2576,T1154),"")</f>
        <v/>
      </c>
      <c r="I1154" s="43"/>
      <c r="J1154" s="53" t="str" cm="1">
        <f t="array" ref="J1154">IFERROR(INDEX(DB!Q$2:Q$2576,T1154),"")</f>
        <v/>
      </c>
      <c r="K1154" s="43"/>
      <c r="L1154" s="41" t="str" cm="1">
        <f t="array" ref="L1154">IFERROR(INDEX(DB!R$2:R$2576,T1154),"")</f>
        <v/>
      </c>
      <c r="M1154" s="43"/>
      <c r="P1154" t="str" cm="1">
        <f t="array" ref="P1154">IFERROR(_xlfn.AGGREGATE(15,6,ROW(DB!A$2:A$2576)/((($D$3&lt;&gt;"YES")+($D$3="YES")*(DB!E$2:E$2576="YES"))*(($D$4="")+($D$4&lt;&gt;"")*( DB!B$2:B$2576=$D$4))*(($D$5="")+($D$5&lt;&gt;"")*( DB!C$2:C$2576=$D$5))*(($D$6="")+($D$6&lt;&gt;"")*( DB!D$2:D$2576=$D$6))*(($D$7="")+($D$7&lt;&gt;"")*(ISNUMBER(SEARCH($D$7,DB!G$2:G$2576))))*(($F$7="전체")+($F$7&lt;&gt;"전체")*(DB!H$2:H$2576=$F$7))),ROW()-13)-1,"")</f>
        <v/>
      </c>
      <c r="Q1154" t="str" cm="1">
        <f t="array" ref="Q1154">IFERROR(INDEX(DB!G$2:G$2576,P1154),"")</f>
        <v/>
      </c>
      <c r="R1154" t="str" cm="1">
        <f t="array" ref="R1154">IFERROR(INDEX(DB!O$2:O$2576,P1154),"")</f>
        <v/>
      </c>
      <c r="S1154" t="str">
        <f t="shared" si="54"/>
        <v/>
      </c>
      <c r="T1154" t="str">
        <f t="shared" si="55"/>
        <v/>
      </c>
    </row>
    <row r="1155" spans="1:20" ht="100" customHeight="1">
      <c r="A1155" s="26"/>
      <c r="B1155" s="42" t="str">
        <f t="shared" si="53"/>
        <v/>
      </c>
      <c r="C1155" s="43"/>
      <c r="D1155" s="51" t="str" cm="1">
        <f t="array" ref="D1155">IFERROR(INDEX(DB!G$2:G$2576,T1155),"")</f>
        <v/>
      </c>
      <c r="E1155" s="43"/>
      <c r="F1155" s="52" t="str" cm="1">
        <f t="array" ref="F1155">IFERROR(INDEX(DB!O$2:O$2576,T1155),"")</f>
        <v/>
      </c>
      <c r="G1155" s="43"/>
      <c r="H1155" s="40" t="str" cm="1">
        <f t="array" ref="H1155">IFERROR(INDEX(DB!P$2:P$2576,T1155),"")</f>
        <v/>
      </c>
      <c r="I1155" s="43"/>
      <c r="J1155" s="53" t="str" cm="1">
        <f t="array" ref="J1155">IFERROR(INDEX(DB!Q$2:Q$2576,T1155),"")</f>
        <v/>
      </c>
      <c r="K1155" s="43"/>
      <c r="L1155" s="41" t="str" cm="1">
        <f t="array" ref="L1155">IFERROR(INDEX(DB!R$2:R$2576,T1155),"")</f>
        <v/>
      </c>
      <c r="M1155" s="43"/>
      <c r="P1155" t="str" cm="1">
        <f t="array" ref="P1155">IFERROR(_xlfn.AGGREGATE(15,6,ROW(DB!A$2:A$2576)/((($D$3&lt;&gt;"YES")+($D$3="YES")*(DB!E$2:E$2576="YES"))*(($D$4="")+($D$4&lt;&gt;"")*( DB!B$2:B$2576=$D$4))*(($D$5="")+($D$5&lt;&gt;"")*( DB!C$2:C$2576=$D$5))*(($D$6="")+($D$6&lt;&gt;"")*( DB!D$2:D$2576=$D$6))*(($D$7="")+($D$7&lt;&gt;"")*(ISNUMBER(SEARCH($D$7,DB!G$2:G$2576))))*(($F$7="전체")+($F$7&lt;&gt;"전체")*(DB!H$2:H$2576=$F$7))),ROW()-13)-1,"")</f>
        <v/>
      </c>
      <c r="Q1155" t="str" cm="1">
        <f t="array" ref="Q1155">IFERROR(INDEX(DB!G$2:G$2576,P1155),"")</f>
        <v/>
      </c>
      <c r="R1155" t="str" cm="1">
        <f t="array" ref="R1155">IFERROR(INDEX(DB!O$2:O$2576,P1155),"")</f>
        <v/>
      </c>
      <c r="S1155" t="str">
        <f t="shared" si="54"/>
        <v/>
      </c>
      <c r="T1155" t="str">
        <f t="shared" si="55"/>
        <v/>
      </c>
    </row>
    <row r="1156" spans="1:20" ht="100" customHeight="1">
      <c r="A1156" s="26"/>
      <c r="B1156" s="39" t="str">
        <f t="shared" si="53"/>
        <v/>
      </c>
      <c r="C1156" s="43"/>
      <c r="D1156" s="51" t="str" cm="1">
        <f t="array" ref="D1156">IFERROR(INDEX(DB!G$2:G$2576,T1156),"")</f>
        <v/>
      </c>
      <c r="E1156" s="43"/>
      <c r="F1156" s="52" t="str" cm="1">
        <f t="array" ref="F1156">IFERROR(INDEX(DB!O$2:O$2576,T1156),"")</f>
        <v/>
      </c>
      <c r="G1156" s="43"/>
      <c r="H1156" s="40" t="str" cm="1">
        <f t="array" ref="H1156">IFERROR(INDEX(DB!P$2:P$2576,T1156),"")</f>
        <v/>
      </c>
      <c r="I1156" s="43"/>
      <c r="J1156" s="53" t="str" cm="1">
        <f t="array" ref="J1156">IFERROR(INDEX(DB!Q$2:Q$2576,T1156),"")</f>
        <v/>
      </c>
      <c r="K1156" s="43"/>
      <c r="L1156" s="41" t="str" cm="1">
        <f t="array" ref="L1156">IFERROR(INDEX(DB!R$2:R$2576,T1156),"")</f>
        <v/>
      </c>
      <c r="M1156" s="43"/>
      <c r="P1156" t="str" cm="1">
        <f t="array" ref="P1156">IFERROR(_xlfn.AGGREGATE(15,6,ROW(DB!A$2:A$2576)/((($D$3&lt;&gt;"YES")+($D$3="YES")*(DB!E$2:E$2576="YES"))*(($D$4="")+($D$4&lt;&gt;"")*( DB!B$2:B$2576=$D$4))*(($D$5="")+($D$5&lt;&gt;"")*( DB!C$2:C$2576=$D$5))*(($D$6="")+($D$6&lt;&gt;"")*( DB!D$2:D$2576=$D$6))*(($D$7="")+($D$7&lt;&gt;"")*(ISNUMBER(SEARCH($D$7,DB!G$2:G$2576))))*(($F$7="전체")+($F$7&lt;&gt;"전체")*(DB!H$2:H$2576=$F$7))),ROW()-13)-1,"")</f>
        <v/>
      </c>
      <c r="Q1156" t="str" cm="1">
        <f t="array" ref="Q1156">IFERROR(INDEX(DB!G$2:G$2576,P1156),"")</f>
        <v/>
      </c>
      <c r="R1156" t="str" cm="1">
        <f t="array" ref="R1156">IFERROR(INDEX(DB!O$2:O$2576,P1156),"")</f>
        <v/>
      </c>
      <c r="S1156" t="str">
        <f t="shared" si="54"/>
        <v/>
      </c>
      <c r="T1156" t="str">
        <f t="shared" si="55"/>
        <v/>
      </c>
    </row>
    <row r="1157" spans="1:20" ht="100" customHeight="1">
      <c r="A1157" s="26"/>
      <c r="B1157" s="42" t="str">
        <f t="shared" si="53"/>
        <v/>
      </c>
      <c r="C1157" s="43"/>
      <c r="D1157" s="51" t="str" cm="1">
        <f t="array" ref="D1157">IFERROR(INDEX(DB!G$2:G$2576,T1157),"")</f>
        <v/>
      </c>
      <c r="E1157" s="43"/>
      <c r="F1157" s="52" t="str" cm="1">
        <f t="array" ref="F1157">IFERROR(INDEX(DB!O$2:O$2576,T1157),"")</f>
        <v/>
      </c>
      <c r="G1157" s="43"/>
      <c r="H1157" s="40" t="str" cm="1">
        <f t="array" ref="H1157">IFERROR(INDEX(DB!P$2:P$2576,T1157),"")</f>
        <v/>
      </c>
      <c r="I1157" s="43"/>
      <c r="J1157" s="53" t="str" cm="1">
        <f t="array" ref="J1157">IFERROR(INDEX(DB!Q$2:Q$2576,T1157),"")</f>
        <v/>
      </c>
      <c r="K1157" s="43"/>
      <c r="L1157" s="41" t="str" cm="1">
        <f t="array" ref="L1157">IFERROR(INDEX(DB!R$2:R$2576,T1157),"")</f>
        <v/>
      </c>
      <c r="M1157" s="43"/>
      <c r="P1157" t="str" cm="1">
        <f t="array" ref="P1157">IFERROR(_xlfn.AGGREGATE(15,6,ROW(DB!A$2:A$2576)/((($D$3&lt;&gt;"YES")+($D$3="YES")*(DB!E$2:E$2576="YES"))*(($D$4="")+($D$4&lt;&gt;"")*( DB!B$2:B$2576=$D$4))*(($D$5="")+($D$5&lt;&gt;"")*( DB!C$2:C$2576=$D$5))*(($D$6="")+($D$6&lt;&gt;"")*( DB!D$2:D$2576=$D$6))*(($D$7="")+($D$7&lt;&gt;"")*(ISNUMBER(SEARCH($D$7,DB!G$2:G$2576))))*(($F$7="전체")+($F$7&lt;&gt;"전체")*(DB!H$2:H$2576=$F$7))),ROW()-13)-1,"")</f>
        <v/>
      </c>
      <c r="Q1157" t="str" cm="1">
        <f t="array" ref="Q1157">IFERROR(INDEX(DB!G$2:G$2576,P1157),"")</f>
        <v/>
      </c>
      <c r="R1157" t="str" cm="1">
        <f t="array" ref="R1157">IFERROR(INDEX(DB!O$2:O$2576,P1157),"")</f>
        <v/>
      </c>
      <c r="S1157" t="str">
        <f t="shared" si="54"/>
        <v/>
      </c>
      <c r="T1157" t="str">
        <f t="shared" si="55"/>
        <v/>
      </c>
    </row>
    <row r="1158" spans="1:20" ht="100" customHeight="1">
      <c r="A1158" s="26"/>
      <c r="B1158" s="39" t="str">
        <f t="shared" si="53"/>
        <v/>
      </c>
      <c r="C1158" s="43"/>
      <c r="D1158" s="51" t="str" cm="1">
        <f t="array" ref="D1158">IFERROR(INDEX(DB!G$2:G$2576,T1158),"")</f>
        <v/>
      </c>
      <c r="E1158" s="43"/>
      <c r="F1158" s="52" t="str" cm="1">
        <f t="array" ref="F1158">IFERROR(INDEX(DB!O$2:O$2576,T1158),"")</f>
        <v/>
      </c>
      <c r="G1158" s="43"/>
      <c r="H1158" s="40" t="str" cm="1">
        <f t="array" ref="H1158">IFERROR(INDEX(DB!P$2:P$2576,T1158),"")</f>
        <v/>
      </c>
      <c r="I1158" s="43"/>
      <c r="J1158" s="53" t="str" cm="1">
        <f t="array" ref="J1158">IFERROR(INDEX(DB!Q$2:Q$2576,T1158),"")</f>
        <v/>
      </c>
      <c r="K1158" s="43"/>
      <c r="L1158" s="41" t="str" cm="1">
        <f t="array" ref="L1158">IFERROR(INDEX(DB!R$2:R$2576,T1158),"")</f>
        <v/>
      </c>
      <c r="M1158" s="43"/>
      <c r="P1158" t="str" cm="1">
        <f t="array" ref="P1158">IFERROR(_xlfn.AGGREGATE(15,6,ROW(DB!A$2:A$2576)/((($D$3&lt;&gt;"YES")+($D$3="YES")*(DB!E$2:E$2576="YES"))*(($D$4="")+($D$4&lt;&gt;"")*( DB!B$2:B$2576=$D$4))*(($D$5="")+($D$5&lt;&gt;"")*( DB!C$2:C$2576=$D$5))*(($D$6="")+($D$6&lt;&gt;"")*( DB!D$2:D$2576=$D$6))*(($D$7="")+($D$7&lt;&gt;"")*(ISNUMBER(SEARCH($D$7,DB!G$2:G$2576))))*(($F$7="전체")+($F$7&lt;&gt;"전체")*(DB!H$2:H$2576=$F$7))),ROW()-13)-1,"")</f>
        <v/>
      </c>
      <c r="Q1158" t="str" cm="1">
        <f t="array" ref="Q1158">IFERROR(INDEX(DB!G$2:G$2576,P1158),"")</f>
        <v/>
      </c>
      <c r="R1158" t="str" cm="1">
        <f t="array" ref="R1158">IFERROR(INDEX(DB!O$2:O$2576,P1158),"")</f>
        <v/>
      </c>
      <c r="S1158" t="str">
        <f t="shared" si="54"/>
        <v/>
      </c>
      <c r="T1158" t="str">
        <f t="shared" si="55"/>
        <v/>
      </c>
    </row>
    <row r="1159" spans="1:20" ht="100" customHeight="1">
      <c r="A1159" s="26"/>
      <c r="B1159" s="42" t="str">
        <f t="shared" si="53"/>
        <v/>
      </c>
      <c r="C1159" s="43"/>
      <c r="D1159" s="51" t="str" cm="1">
        <f t="array" ref="D1159">IFERROR(INDEX(DB!G$2:G$2576,T1159),"")</f>
        <v/>
      </c>
      <c r="E1159" s="43"/>
      <c r="F1159" s="52" t="str" cm="1">
        <f t="array" ref="F1159">IFERROR(INDEX(DB!O$2:O$2576,T1159),"")</f>
        <v/>
      </c>
      <c r="G1159" s="43"/>
      <c r="H1159" s="40" t="str" cm="1">
        <f t="array" ref="H1159">IFERROR(INDEX(DB!P$2:P$2576,T1159),"")</f>
        <v/>
      </c>
      <c r="I1159" s="43"/>
      <c r="J1159" s="53" t="str" cm="1">
        <f t="array" ref="J1159">IFERROR(INDEX(DB!Q$2:Q$2576,T1159),"")</f>
        <v/>
      </c>
      <c r="K1159" s="43"/>
      <c r="L1159" s="41" t="str" cm="1">
        <f t="array" ref="L1159">IFERROR(INDEX(DB!R$2:R$2576,T1159),"")</f>
        <v/>
      </c>
      <c r="M1159" s="43"/>
      <c r="P1159" t="str" cm="1">
        <f t="array" ref="P1159">IFERROR(_xlfn.AGGREGATE(15,6,ROW(DB!A$2:A$2576)/((($D$3&lt;&gt;"YES")+($D$3="YES")*(DB!E$2:E$2576="YES"))*(($D$4="")+($D$4&lt;&gt;"")*( DB!B$2:B$2576=$D$4))*(($D$5="")+($D$5&lt;&gt;"")*( DB!C$2:C$2576=$D$5))*(($D$6="")+($D$6&lt;&gt;"")*( DB!D$2:D$2576=$D$6))*(($D$7="")+($D$7&lt;&gt;"")*(ISNUMBER(SEARCH($D$7,DB!G$2:G$2576))))*(($F$7="전체")+($F$7&lt;&gt;"전체")*(DB!H$2:H$2576=$F$7))),ROW()-13)-1,"")</f>
        <v/>
      </c>
      <c r="Q1159" t="str" cm="1">
        <f t="array" ref="Q1159">IFERROR(INDEX(DB!G$2:G$2576,P1159),"")</f>
        <v/>
      </c>
      <c r="R1159" t="str" cm="1">
        <f t="array" ref="R1159">IFERROR(INDEX(DB!O$2:O$2576,P1159),"")</f>
        <v/>
      </c>
      <c r="S1159" t="str">
        <f t="shared" si="54"/>
        <v/>
      </c>
      <c r="T1159" t="str">
        <f t="shared" si="55"/>
        <v/>
      </c>
    </row>
    <row r="1160" spans="1:20" ht="100" customHeight="1">
      <c r="A1160" s="26"/>
      <c r="B1160" s="39" t="str">
        <f t="shared" si="53"/>
        <v/>
      </c>
      <c r="C1160" s="43"/>
      <c r="D1160" s="51" t="str" cm="1">
        <f t="array" ref="D1160">IFERROR(INDEX(DB!G$2:G$2576,T1160),"")</f>
        <v/>
      </c>
      <c r="E1160" s="43"/>
      <c r="F1160" s="52" t="str" cm="1">
        <f t="array" ref="F1160">IFERROR(INDEX(DB!O$2:O$2576,T1160),"")</f>
        <v/>
      </c>
      <c r="G1160" s="43"/>
      <c r="H1160" s="40" t="str" cm="1">
        <f t="array" ref="H1160">IFERROR(INDEX(DB!P$2:P$2576,T1160),"")</f>
        <v/>
      </c>
      <c r="I1160" s="43"/>
      <c r="J1160" s="53" t="str" cm="1">
        <f t="array" ref="J1160">IFERROR(INDEX(DB!Q$2:Q$2576,T1160),"")</f>
        <v/>
      </c>
      <c r="K1160" s="43"/>
      <c r="L1160" s="41" t="str" cm="1">
        <f t="array" ref="L1160">IFERROR(INDEX(DB!R$2:R$2576,T1160),"")</f>
        <v/>
      </c>
      <c r="M1160" s="43"/>
      <c r="P1160" t="str" cm="1">
        <f t="array" ref="P1160">IFERROR(_xlfn.AGGREGATE(15,6,ROW(DB!A$2:A$2576)/((($D$3&lt;&gt;"YES")+($D$3="YES")*(DB!E$2:E$2576="YES"))*(($D$4="")+($D$4&lt;&gt;"")*( DB!B$2:B$2576=$D$4))*(($D$5="")+($D$5&lt;&gt;"")*( DB!C$2:C$2576=$D$5))*(($D$6="")+($D$6&lt;&gt;"")*( DB!D$2:D$2576=$D$6))*(($D$7="")+($D$7&lt;&gt;"")*(ISNUMBER(SEARCH($D$7,DB!G$2:G$2576))))*(($F$7="전체")+($F$7&lt;&gt;"전체")*(DB!H$2:H$2576=$F$7))),ROW()-13)-1,"")</f>
        <v/>
      </c>
      <c r="Q1160" t="str" cm="1">
        <f t="array" ref="Q1160">IFERROR(INDEX(DB!G$2:G$2576,P1160),"")</f>
        <v/>
      </c>
      <c r="R1160" t="str" cm="1">
        <f t="array" ref="R1160">IFERROR(INDEX(DB!O$2:O$2576,P1160),"")</f>
        <v/>
      </c>
      <c r="S1160" t="str">
        <f t="shared" si="54"/>
        <v/>
      </c>
      <c r="T1160" t="str">
        <f t="shared" si="55"/>
        <v/>
      </c>
    </row>
    <row r="1161" spans="1:20" ht="100" customHeight="1">
      <c r="A1161" s="26"/>
      <c r="B1161" s="42" t="str">
        <f t="shared" si="53"/>
        <v/>
      </c>
      <c r="C1161" s="43"/>
      <c r="D1161" s="51" t="str" cm="1">
        <f t="array" ref="D1161">IFERROR(INDEX(DB!G$2:G$2576,T1161),"")</f>
        <v/>
      </c>
      <c r="E1161" s="43"/>
      <c r="F1161" s="52" t="str" cm="1">
        <f t="array" ref="F1161">IFERROR(INDEX(DB!O$2:O$2576,T1161),"")</f>
        <v/>
      </c>
      <c r="G1161" s="43"/>
      <c r="H1161" s="40" t="str" cm="1">
        <f t="array" ref="H1161">IFERROR(INDEX(DB!P$2:P$2576,T1161),"")</f>
        <v/>
      </c>
      <c r="I1161" s="43"/>
      <c r="J1161" s="53" t="str" cm="1">
        <f t="array" ref="J1161">IFERROR(INDEX(DB!Q$2:Q$2576,T1161),"")</f>
        <v/>
      </c>
      <c r="K1161" s="43"/>
      <c r="L1161" s="41" t="str" cm="1">
        <f t="array" ref="L1161">IFERROR(INDEX(DB!R$2:R$2576,T1161),"")</f>
        <v/>
      </c>
      <c r="M1161" s="43"/>
      <c r="P1161" t="str" cm="1">
        <f t="array" ref="P1161">IFERROR(_xlfn.AGGREGATE(15,6,ROW(DB!A$2:A$2576)/((($D$3&lt;&gt;"YES")+($D$3="YES")*(DB!E$2:E$2576="YES"))*(($D$4="")+($D$4&lt;&gt;"")*( DB!B$2:B$2576=$D$4))*(($D$5="")+($D$5&lt;&gt;"")*( DB!C$2:C$2576=$D$5))*(($D$6="")+($D$6&lt;&gt;"")*( DB!D$2:D$2576=$D$6))*(($D$7="")+($D$7&lt;&gt;"")*(ISNUMBER(SEARCH($D$7,DB!G$2:G$2576))))*(($F$7="전체")+($F$7&lt;&gt;"전체")*(DB!H$2:H$2576=$F$7))),ROW()-13)-1,"")</f>
        <v/>
      </c>
      <c r="Q1161" t="str" cm="1">
        <f t="array" ref="Q1161">IFERROR(INDEX(DB!G$2:G$2576,P1161),"")</f>
        <v/>
      </c>
      <c r="R1161" t="str" cm="1">
        <f t="array" ref="R1161">IFERROR(INDEX(DB!O$2:O$2576,P1161),"")</f>
        <v/>
      </c>
      <c r="S1161" t="str">
        <f t="shared" si="54"/>
        <v/>
      </c>
      <c r="T1161" t="str">
        <f t="shared" si="55"/>
        <v/>
      </c>
    </row>
    <row r="1162" spans="1:20" ht="100" customHeight="1">
      <c r="A1162" s="26"/>
      <c r="B1162" s="39" t="str">
        <f t="shared" si="53"/>
        <v/>
      </c>
      <c r="C1162" s="43"/>
      <c r="D1162" s="51" t="str" cm="1">
        <f t="array" ref="D1162">IFERROR(INDEX(DB!G$2:G$2576,T1162),"")</f>
        <v/>
      </c>
      <c r="E1162" s="43"/>
      <c r="F1162" s="52" t="str" cm="1">
        <f t="array" ref="F1162">IFERROR(INDEX(DB!O$2:O$2576,T1162),"")</f>
        <v/>
      </c>
      <c r="G1162" s="43"/>
      <c r="H1162" s="40" t="str" cm="1">
        <f t="array" ref="H1162">IFERROR(INDEX(DB!P$2:P$2576,T1162),"")</f>
        <v/>
      </c>
      <c r="I1162" s="43"/>
      <c r="J1162" s="53" t="str" cm="1">
        <f t="array" ref="J1162">IFERROR(INDEX(DB!Q$2:Q$2576,T1162),"")</f>
        <v/>
      </c>
      <c r="K1162" s="43"/>
      <c r="L1162" s="41" t="str" cm="1">
        <f t="array" ref="L1162">IFERROR(INDEX(DB!R$2:R$2576,T1162),"")</f>
        <v/>
      </c>
      <c r="M1162" s="43"/>
      <c r="P1162" t="str" cm="1">
        <f t="array" ref="P1162">IFERROR(_xlfn.AGGREGATE(15,6,ROW(DB!A$2:A$2576)/((($D$3&lt;&gt;"YES")+($D$3="YES")*(DB!E$2:E$2576="YES"))*(($D$4="")+($D$4&lt;&gt;"")*( DB!B$2:B$2576=$D$4))*(($D$5="")+($D$5&lt;&gt;"")*( DB!C$2:C$2576=$D$5))*(($D$6="")+($D$6&lt;&gt;"")*( DB!D$2:D$2576=$D$6))*(($D$7="")+($D$7&lt;&gt;"")*(ISNUMBER(SEARCH($D$7,DB!G$2:G$2576))))*(($F$7="전체")+($F$7&lt;&gt;"전체")*(DB!H$2:H$2576=$F$7))),ROW()-13)-1,"")</f>
        <v/>
      </c>
      <c r="Q1162" t="str" cm="1">
        <f t="array" ref="Q1162">IFERROR(INDEX(DB!G$2:G$2576,P1162),"")</f>
        <v/>
      </c>
      <c r="R1162" t="str" cm="1">
        <f t="array" ref="R1162">IFERROR(INDEX(DB!O$2:O$2576,P1162),"")</f>
        <v/>
      </c>
      <c r="S1162" t="str">
        <f t="shared" si="54"/>
        <v/>
      </c>
      <c r="T1162" t="str">
        <f t="shared" si="55"/>
        <v/>
      </c>
    </row>
    <row r="1163" spans="1:20" ht="100" customHeight="1">
      <c r="A1163" s="26"/>
      <c r="B1163" s="42" t="str">
        <f t="shared" si="53"/>
        <v/>
      </c>
      <c r="C1163" s="43"/>
      <c r="D1163" s="51" t="str" cm="1">
        <f t="array" ref="D1163">IFERROR(INDEX(DB!G$2:G$2576,T1163),"")</f>
        <v/>
      </c>
      <c r="E1163" s="43"/>
      <c r="F1163" s="52" t="str" cm="1">
        <f t="array" ref="F1163">IFERROR(INDEX(DB!O$2:O$2576,T1163),"")</f>
        <v/>
      </c>
      <c r="G1163" s="43"/>
      <c r="H1163" s="40" t="str" cm="1">
        <f t="array" ref="H1163">IFERROR(INDEX(DB!P$2:P$2576,T1163),"")</f>
        <v/>
      </c>
      <c r="I1163" s="43"/>
      <c r="J1163" s="53" t="str" cm="1">
        <f t="array" ref="J1163">IFERROR(INDEX(DB!Q$2:Q$2576,T1163),"")</f>
        <v/>
      </c>
      <c r="K1163" s="43"/>
      <c r="L1163" s="41" t="str" cm="1">
        <f t="array" ref="L1163">IFERROR(INDEX(DB!R$2:R$2576,T1163),"")</f>
        <v/>
      </c>
      <c r="M1163" s="43"/>
      <c r="P1163" t="str" cm="1">
        <f t="array" ref="P1163">IFERROR(_xlfn.AGGREGATE(15,6,ROW(DB!A$2:A$2576)/((($D$3&lt;&gt;"YES")+($D$3="YES")*(DB!E$2:E$2576="YES"))*(($D$4="")+($D$4&lt;&gt;"")*( DB!B$2:B$2576=$D$4))*(($D$5="")+($D$5&lt;&gt;"")*( DB!C$2:C$2576=$D$5))*(($D$6="")+($D$6&lt;&gt;"")*( DB!D$2:D$2576=$D$6))*(($D$7="")+($D$7&lt;&gt;"")*(ISNUMBER(SEARCH($D$7,DB!G$2:G$2576))))*(($F$7="전체")+($F$7&lt;&gt;"전체")*(DB!H$2:H$2576=$F$7))),ROW()-13)-1,"")</f>
        <v/>
      </c>
      <c r="Q1163" t="str" cm="1">
        <f t="array" ref="Q1163">IFERROR(INDEX(DB!G$2:G$2576,P1163),"")</f>
        <v/>
      </c>
      <c r="R1163" t="str" cm="1">
        <f t="array" ref="R1163">IFERROR(INDEX(DB!O$2:O$2576,P1163),"")</f>
        <v/>
      </c>
      <c r="S1163" t="str">
        <f t="shared" si="54"/>
        <v/>
      </c>
      <c r="T1163" t="str">
        <f t="shared" si="55"/>
        <v/>
      </c>
    </row>
    <row r="1164" spans="1:20" ht="100" customHeight="1">
      <c r="A1164" s="26"/>
      <c r="B1164" s="39" t="str">
        <f t="shared" si="53"/>
        <v/>
      </c>
      <c r="C1164" s="43"/>
      <c r="D1164" s="51" t="str" cm="1">
        <f t="array" ref="D1164">IFERROR(INDEX(DB!G$2:G$2576,T1164),"")</f>
        <v/>
      </c>
      <c r="E1164" s="43"/>
      <c r="F1164" s="52" t="str" cm="1">
        <f t="array" ref="F1164">IFERROR(INDEX(DB!O$2:O$2576,T1164),"")</f>
        <v/>
      </c>
      <c r="G1164" s="43"/>
      <c r="H1164" s="40" t="str" cm="1">
        <f t="array" ref="H1164">IFERROR(INDEX(DB!P$2:P$2576,T1164),"")</f>
        <v/>
      </c>
      <c r="I1164" s="43"/>
      <c r="J1164" s="53" t="str" cm="1">
        <f t="array" ref="J1164">IFERROR(INDEX(DB!Q$2:Q$2576,T1164),"")</f>
        <v/>
      </c>
      <c r="K1164" s="43"/>
      <c r="L1164" s="41" t="str" cm="1">
        <f t="array" ref="L1164">IFERROR(INDEX(DB!R$2:R$2576,T1164),"")</f>
        <v/>
      </c>
      <c r="M1164" s="43"/>
      <c r="P1164" t="str" cm="1">
        <f t="array" ref="P1164">IFERROR(_xlfn.AGGREGATE(15,6,ROW(DB!A$2:A$2576)/((($D$3&lt;&gt;"YES")+($D$3="YES")*(DB!E$2:E$2576="YES"))*(($D$4="")+($D$4&lt;&gt;"")*( DB!B$2:B$2576=$D$4))*(($D$5="")+($D$5&lt;&gt;"")*( DB!C$2:C$2576=$D$5))*(($D$6="")+($D$6&lt;&gt;"")*( DB!D$2:D$2576=$D$6))*(($D$7="")+($D$7&lt;&gt;"")*(ISNUMBER(SEARCH($D$7,DB!G$2:G$2576))))*(($F$7="전체")+($F$7&lt;&gt;"전체")*(DB!H$2:H$2576=$F$7))),ROW()-13)-1,"")</f>
        <v/>
      </c>
      <c r="Q1164" t="str" cm="1">
        <f t="array" ref="Q1164">IFERROR(INDEX(DB!G$2:G$2576,P1164),"")</f>
        <v/>
      </c>
      <c r="R1164" t="str" cm="1">
        <f t="array" ref="R1164">IFERROR(INDEX(DB!O$2:O$2576,P1164),"")</f>
        <v/>
      </c>
      <c r="S1164" t="str">
        <f t="shared" si="54"/>
        <v/>
      </c>
      <c r="T1164" t="str">
        <f t="shared" si="55"/>
        <v/>
      </c>
    </row>
    <row r="1165" spans="1:20" ht="100" customHeight="1">
      <c r="A1165" s="26"/>
      <c r="B1165" s="42" t="str">
        <f t="shared" si="53"/>
        <v/>
      </c>
      <c r="C1165" s="43"/>
      <c r="D1165" s="51" t="str" cm="1">
        <f t="array" ref="D1165">IFERROR(INDEX(DB!G$2:G$2576,T1165),"")</f>
        <v/>
      </c>
      <c r="E1165" s="43"/>
      <c r="F1165" s="52" t="str" cm="1">
        <f t="array" ref="F1165">IFERROR(INDEX(DB!O$2:O$2576,T1165),"")</f>
        <v/>
      </c>
      <c r="G1165" s="43"/>
      <c r="H1165" s="40" t="str" cm="1">
        <f t="array" ref="H1165">IFERROR(INDEX(DB!P$2:P$2576,T1165),"")</f>
        <v/>
      </c>
      <c r="I1165" s="43"/>
      <c r="J1165" s="53" t="str" cm="1">
        <f t="array" ref="J1165">IFERROR(INDEX(DB!Q$2:Q$2576,T1165),"")</f>
        <v/>
      </c>
      <c r="K1165" s="43"/>
      <c r="L1165" s="41" t="str" cm="1">
        <f t="array" ref="L1165">IFERROR(INDEX(DB!R$2:R$2576,T1165),"")</f>
        <v/>
      </c>
      <c r="M1165" s="43"/>
      <c r="P1165" t="str" cm="1">
        <f t="array" ref="P1165">IFERROR(_xlfn.AGGREGATE(15,6,ROW(DB!A$2:A$2576)/((($D$3&lt;&gt;"YES")+($D$3="YES")*(DB!E$2:E$2576="YES"))*(($D$4="")+($D$4&lt;&gt;"")*( DB!B$2:B$2576=$D$4))*(($D$5="")+($D$5&lt;&gt;"")*( DB!C$2:C$2576=$D$5))*(($D$6="")+($D$6&lt;&gt;"")*( DB!D$2:D$2576=$D$6))*(($D$7="")+($D$7&lt;&gt;"")*(ISNUMBER(SEARCH($D$7,DB!G$2:G$2576))))*(($F$7="전체")+($F$7&lt;&gt;"전체")*(DB!H$2:H$2576=$F$7))),ROW()-13)-1,"")</f>
        <v/>
      </c>
      <c r="Q1165" t="str" cm="1">
        <f t="array" ref="Q1165">IFERROR(INDEX(DB!G$2:G$2576,P1165),"")</f>
        <v/>
      </c>
      <c r="R1165" t="str" cm="1">
        <f t="array" ref="R1165">IFERROR(INDEX(DB!O$2:O$2576,P1165),"")</f>
        <v/>
      </c>
      <c r="S1165" t="str">
        <f t="shared" si="54"/>
        <v/>
      </c>
      <c r="T1165" t="str">
        <f t="shared" si="55"/>
        <v/>
      </c>
    </row>
    <row r="1166" spans="1:20" ht="100" customHeight="1">
      <c r="A1166" s="26"/>
      <c r="B1166" s="39" t="str">
        <f t="shared" si="53"/>
        <v/>
      </c>
      <c r="C1166" s="43"/>
      <c r="D1166" s="51" t="str" cm="1">
        <f t="array" ref="D1166">IFERROR(INDEX(DB!G$2:G$2576,T1166),"")</f>
        <v/>
      </c>
      <c r="E1166" s="43"/>
      <c r="F1166" s="52" t="str" cm="1">
        <f t="array" ref="F1166">IFERROR(INDEX(DB!O$2:O$2576,T1166),"")</f>
        <v/>
      </c>
      <c r="G1166" s="43"/>
      <c r="H1166" s="40" t="str" cm="1">
        <f t="array" ref="H1166">IFERROR(INDEX(DB!P$2:P$2576,T1166),"")</f>
        <v/>
      </c>
      <c r="I1166" s="43"/>
      <c r="J1166" s="53" t="str" cm="1">
        <f t="array" ref="J1166">IFERROR(INDEX(DB!Q$2:Q$2576,T1166),"")</f>
        <v/>
      </c>
      <c r="K1166" s="43"/>
      <c r="L1166" s="41" t="str" cm="1">
        <f t="array" ref="L1166">IFERROR(INDEX(DB!R$2:R$2576,T1166),"")</f>
        <v/>
      </c>
      <c r="M1166" s="43"/>
      <c r="P1166" t="str" cm="1">
        <f t="array" ref="P1166">IFERROR(_xlfn.AGGREGATE(15,6,ROW(DB!A$2:A$2576)/((($D$3&lt;&gt;"YES")+($D$3="YES")*(DB!E$2:E$2576="YES"))*(($D$4="")+($D$4&lt;&gt;"")*( DB!B$2:B$2576=$D$4))*(($D$5="")+($D$5&lt;&gt;"")*( DB!C$2:C$2576=$D$5))*(($D$6="")+($D$6&lt;&gt;"")*( DB!D$2:D$2576=$D$6))*(($D$7="")+($D$7&lt;&gt;"")*(ISNUMBER(SEARCH($D$7,DB!G$2:G$2576))))*(($F$7="전체")+($F$7&lt;&gt;"전체")*(DB!H$2:H$2576=$F$7))),ROW()-13)-1,"")</f>
        <v/>
      </c>
      <c r="Q1166" t="str" cm="1">
        <f t="array" ref="Q1166">IFERROR(INDEX(DB!G$2:G$2576,P1166),"")</f>
        <v/>
      </c>
      <c r="R1166" t="str" cm="1">
        <f t="array" ref="R1166">IFERROR(INDEX(DB!O$2:O$2576,P1166),"")</f>
        <v/>
      </c>
      <c r="S1166" t="str">
        <f t="shared" si="54"/>
        <v/>
      </c>
      <c r="T1166" t="str">
        <f t="shared" si="55"/>
        <v/>
      </c>
    </row>
    <row r="1167" spans="1:20" ht="100" customHeight="1">
      <c r="A1167" s="26"/>
      <c r="B1167" s="42" t="str">
        <f t="shared" ref="B1167:B1230" si="56">IFERROR(IF(T1167="","",ROW()-13),"")</f>
        <v/>
      </c>
      <c r="C1167" s="43"/>
      <c r="D1167" s="51" t="str" cm="1">
        <f t="array" ref="D1167">IFERROR(INDEX(DB!G$2:G$2576,T1167),"")</f>
        <v/>
      </c>
      <c r="E1167" s="43"/>
      <c r="F1167" s="52" t="str" cm="1">
        <f t="array" ref="F1167">IFERROR(INDEX(DB!O$2:O$2576,T1167),"")</f>
        <v/>
      </c>
      <c r="G1167" s="43"/>
      <c r="H1167" s="40" t="str" cm="1">
        <f t="array" ref="H1167">IFERROR(INDEX(DB!P$2:P$2576,T1167),"")</f>
        <v/>
      </c>
      <c r="I1167" s="43"/>
      <c r="J1167" s="53" t="str" cm="1">
        <f t="array" ref="J1167">IFERROR(INDEX(DB!Q$2:Q$2576,T1167),"")</f>
        <v/>
      </c>
      <c r="K1167" s="43"/>
      <c r="L1167" s="41" t="str" cm="1">
        <f t="array" ref="L1167">IFERROR(INDEX(DB!R$2:R$2576,T1167),"")</f>
        <v/>
      </c>
      <c r="M1167" s="43"/>
      <c r="P1167" t="str" cm="1">
        <f t="array" ref="P1167">IFERROR(_xlfn.AGGREGATE(15,6,ROW(DB!A$2:A$2576)/((($D$3&lt;&gt;"YES")+($D$3="YES")*(DB!E$2:E$2576="YES"))*(($D$4="")+($D$4&lt;&gt;"")*( DB!B$2:B$2576=$D$4))*(($D$5="")+($D$5&lt;&gt;"")*( DB!C$2:C$2576=$D$5))*(($D$6="")+($D$6&lt;&gt;"")*( DB!D$2:D$2576=$D$6))*(($D$7="")+($D$7&lt;&gt;"")*(ISNUMBER(SEARCH($D$7,DB!G$2:G$2576))))*(($F$7="전체")+($F$7&lt;&gt;"전체")*(DB!H$2:H$2576=$F$7))),ROW()-13)-1,"")</f>
        <v/>
      </c>
      <c r="Q1167" t="str" cm="1">
        <f t="array" ref="Q1167">IFERROR(INDEX(DB!G$2:G$2576,P1167),"")</f>
        <v/>
      </c>
      <c r="R1167" t="str" cm="1">
        <f t="array" ref="R1167">IFERROR(INDEX(DB!O$2:O$2576,P1167),"")</f>
        <v/>
      </c>
      <c r="S1167" t="str">
        <f t="shared" ref="S1167:S1230" si="57">IF(P1167="","",COUNTIF($Q$14:$Q$2587,"&lt;"&amp;Q1167)*100+COUNTIF($R$14:$R$2587,"&lt;"&amp;R1167)+(ROW()-13)*0.001)</f>
        <v/>
      </c>
      <c r="T1167" t="str">
        <f t="shared" ref="T1167:T1230" si="58">IFERROR(INDEX($P$14:$P$2587,MATCH(SMALL($S$14:$S$2587,ROW()-13),$S$14:$S$2587,0)),"")</f>
        <v/>
      </c>
    </row>
    <row r="1168" spans="1:20" ht="100" customHeight="1">
      <c r="A1168" s="26"/>
      <c r="B1168" s="39" t="str">
        <f t="shared" si="56"/>
        <v/>
      </c>
      <c r="C1168" s="43"/>
      <c r="D1168" s="51" t="str" cm="1">
        <f t="array" ref="D1168">IFERROR(INDEX(DB!G$2:G$2576,T1168),"")</f>
        <v/>
      </c>
      <c r="E1168" s="43"/>
      <c r="F1168" s="52" t="str" cm="1">
        <f t="array" ref="F1168">IFERROR(INDEX(DB!O$2:O$2576,T1168),"")</f>
        <v/>
      </c>
      <c r="G1168" s="43"/>
      <c r="H1168" s="40" t="str" cm="1">
        <f t="array" ref="H1168">IFERROR(INDEX(DB!P$2:P$2576,T1168),"")</f>
        <v/>
      </c>
      <c r="I1168" s="43"/>
      <c r="J1168" s="53" t="str" cm="1">
        <f t="array" ref="J1168">IFERROR(INDEX(DB!Q$2:Q$2576,T1168),"")</f>
        <v/>
      </c>
      <c r="K1168" s="43"/>
      <c r="L1168" s="41" t="str" cm="1">
        <f t="array" ref="L1168">IFERROR(INDEX(DB!R$2:R$2576,T1168),"")</f>
        <v/>
      </c>
      <c r="M1168" s="43"/>
      <c r="P1168" t="str" cm="1">
        <f t="array" ref="P1168">IFERROR(_xlfn.AGGREGATE(15,6,ROW(DB!A$2:A$2576)/((($D$3&lt;&gt;"YES")+($D$3="YES")*(DB!E$2:E$2576="YES"))*(($D$4="")+($D$4&lt;&gt;"")*( DB!B$2:B$2576=$D$4))*(($D$5="")+($D$5&lt;&gt;"")*( DB!C$2:C$2576=$D$5))*(($D$6="")+($D$6&lt;&gt;"")*( DB!D$2:D$2576=$D$6))*(($D$7="")+($D$7&lt;&gt;"")*(ISNUMBER(SEARCH($D$7,DB!G$2:G$2576))))*(($F$7="전체")+($F$7&lt;&gt;"전체")*(DB!H$2:H$2576=$F$7))),ROW()-13)-1,"")</f>
        <v/>
      </c>
      <c r="Q1168" t="str" cm="1">
        <f t="array" ref="Q1168">IFERROR(INDEX(DB!G$2:G$2576,P1168),"")</f>
        <v/>
      </c>
      <c r="R1168" t="str" cm="1">
        <f t="array" ref="R1168">IFERROR(INDEX(DB!O$2:O$2576,P1168),"")</f>
        <v/>
      </c>
      <c r="S1168" t="str">
        <f t="shared" si="57"/>
        <v/>
      </c>
      <c r="T1168" t="str">
        <f t="shared" si="58"/>
        <v/>
      </c>
    </row>
    <row r="1169" spans="1:20" ht="100" customHeight="1">
      <c r="A1169" s="26"/>
      <c r="B1169" s="42" t="str">
        <f t="shared" si="56"/>
        <v/>
      </c>
      <c r="C1169" s="43"/>
      <c r="D1169" s="51" t="str" cm="1">
        <f t="array" ref="D1169">IFERROR(INDEX(DB!G$2:G$2576,T1169),"")</f>
        <v/>
      </c>
      <c r="E1169" s="43"/>
      <c r="F1169" s="52" t="str" cm="1">
        <f t="array" ref="F1169">IFERROR(INDEX(DB!O$2:O$2576,T1169),"")</f>
        <v/>
      </c>
      <c r="G1169" s="43"/>
      <c r="H1169" s="40" t="str" cm="1">
        <f t="array" ref="H1169">IFERROR(INDEX(DB!P$2:P$2576,T1169),"")</f>
        <v/>
      </c>
      <c r="I1169" s="43"/>
      <c r="J1169" s="53" t="str" cm="1">
        <f t="array" ref="J1169">IFERROR(INDEX(DB!Q$2:Q$2576,T1169),"")</f>
        <v/>
      </c>
      <c r="K1169" s="43"/>
      <c r="L1169" s="41" t="str" cm="1">
        <f t="array" ref="L1169">IFERROR(INDEX(DB!R$2:R$2576,T1169),"")</f>
        <v/>
      </c>
      <c r="M1169" s="43"/>
      <c r="P1169" t="str" cm="1">
        <f t="array" ref="P1169">IFERROR(_xlfn.AGGREGATE(15,6,ROW(DB!A$2:A$2576)/((($D$3&lt;&gt;"YES")+($D$3="YES")*(DB!E$2:E$2576="YES"))*(($D$4="")+($D$4&lt;&gt;"")*( DB!B$2:B$2576=$D$4))*(($D$5="")+($D$5&lt;&gt;"")*( DB!C$2:C$2576=$D$5))*(($D$6="")+($D$6&lt;&gt;"")*( DB!D$2:D$2576=$D$6))*(($D$7="")+($D$7&lt;&gt;"")*(ISNUMBER(SEARCH($D$7,DB!G$2:G$2576))))*(($F$7="전체")+($F$7&lt;&gt;"전체")*(DB!H$2:H$2576=$F$7))),ROW()-13)-1,"")</f>
        <v/>
      </c>
      <c r="Q1169" t="str" cm="1">
        <f t="array" ref="Q1169">IFERROR(INDEX(DB!G$2:G$2576,P1169),"")</f>
        <v/>
      </c>
      <c r="R1169" t="str" cm="1">
        <f t="array" ref="R1169">IFERROR(INDEX(DB!O$2:O$2576,P1169),"")</f>
        <v/>
      </c>
      <c r="S1169" t="str">
        <f t="shared" si="57"/>
        <v/>
      </c>
      <c r="T1169" t="str">
        <f t="shared" si="58"/>
        <v/>
      </c>
    </row>
    <row r="1170" spans="1:20" ht="100" customHeight="1">
      <c r="A1170" s="26"/>
      <c r="B1170" s="39" t="str">
        <f t="shared" si="56"/>
        <v/>
      </c>
      <c r="C1170" s="43"/>
      <c r="D1170" s="51" t="str" cm="1">
        <f t="array" ref="D1170">IFERROR(INDEX(DB!G$2:G$2576,T1170),"")</f>
        <v/>
      </c>
      <c r="E1170" s="43"/>
      <c r="F1170" s="52" t="str" cm="1">
        <f t="array" ref="F1170">IFERROR(INDEX(DB!O$2:O$2576,T1170),"")</f>
        <v/>
      </c>
      <c r="G1170" s="43"/>
      <c r="H1170" s="40" t="str" cm="1">
        <f t="array" ref="H1170">IFERROR(INDEX(DB!P$2:P$2576,T1170),"")</f>
        <v/>
      </c>
      <c r="I1170" s="43"/>
      <c r="J1170" s="53" t="str" cm="1">
        <f t="array" ref="J1170">IFERROR(INDEX(DB!Q$2:Q$2576,T1170),"")</f>
        <v/>
      </c>
      <c r="K1170" s="43"/>
      <c r="L1170" s="41" t="str" cm="1">
        <f t="array" ref="L1170">IFERROR(INDEX(DB!R$2:R$2576,T1170),"")</f>
        <v/>
      </c>
      <c r="M1170" s="43"/>
      <c r="P1170" t="str" cm="1">
        <f t="array" ref="P1170">IFERROR(_xlfn.AGGREGATE(15,6,ROW(DB!A$2:A$2576)/((($D$3&lt;&gt;"YES")+($D$3="YES")*(DB!E$2:E$2576="YES"))*(($D$4="")+($D$4&lt;&gt;"")*( DB!B$2:B$2576=$D$4))*(($D$5="")+($D$5&lt;&gt;"")*( DB!C$2:C$2576=$D$5))*(($D$6="")+($D$6&lt;&gt;"")*( DB!D$2:D$2576=$D$6))*(($D$7="")+($D$7&lt;&gt;"")*(ISNUMBER(SEARCH($D$7,DB!G$2:G$2576))))*(($F$7="전체")+($F$7&lt;&gt;"전체")*(DB!H$2:H$2576=$F$7))),ROW()-13)-1,"")</f>
        <v/>
      </c>
      <c r="Q1170" t="str" cm="1">
        <f t="array" ref="Q1170">IFERROR(INDEX(DB!G$2:G$2576,P1170),"")</f>
        <v/>
      </c>
      <c r="R1170" t="str" cm="1">
        <f t="array" ref="R1170">IFERROR(INDEX(DB!O$2:O$2576,P1170),"")</f>
        <v/>
      </c>
      <c r="S1170" t="str">
        <f t="shared" si="57"/>
        <v/>
      </c>
      <c r="T1170" t="str">
        <f t="shared" si="58"/>
        <v/>
      </c>
    </row>
    <row r="1171" spans="1:20" ht="100" customHeight="1">
      <c r="A1171" s="26"/>
      <c r="B1171" s="42" t="str">
        <f t="shared" si="56"/>
        <v/>
      </c>
      <c r="C1171" s="43"/>
      <c r="D1171" s="51" t="str" cm="1">
        <f t="array" ref="D1171">IFERROR(INDEX(DB!G$2:G$2576,T1171),"")</f>
        <v/>
      </c>
      <c r="E1171" s="43"/>
      <c r="F1171" s="52" t="str" cm="1">
        <f t="array" ref="F1171">IFERROR(INDEX(DB!O$2:O$2576,T1171),"")</f>
        <v/>
      </c>
      <c r="G1171" s="43"/>
      <c r="H1171" s="40" t="str" cm="1">
        <f t="array" ref="H1171">IFERROR(INDEX(DB!P$2:P$2576,T1171),"")</f>
        <v/>
      </c>
      <c r="I1171" s="43"/>
      <c r="J1171" s="53" t="str" cm="1">
        <f t="array" ref="J1171">IFERROR(INDEX(DB!Q$2:Q$2576,T1171),"")</f>
        <v/>
      </c>
      <c r="K1171" s="43"/>
      <c r="L1171" s="41" t="str" cm="1">
        <f t="array" ref="L1171">IFERROR(INDEX(DB!R$2:R$2576,T1171),"")</f>
        <v/>
      </c>
      <c r="M1171" s="43"/>
      <c r="P1171" t="str" cm="1">
        <f t="array" ref="P1171">IFERROR(_xlfn.AGGREGATE(15,6,ROW(DB!A$2:A$2576)/((($D$3&lt;&gt;"YES")+($D$3="YES")*(DB!E$2:E$2576="YES"))*(($D$4="")+($D$4&lt;&gt;"")*( DB!B$2:B$2576=$D$4))*(($D$5="")+($D$5&lt;&gt;"")*( DB!C$2:C$2576=$D$5))*(($D$6="")+($D$6&lt;&gt;"")*( DB!D$2:D$2576=$D$6))*(($D$7="")+($D$7&lt;&gt;"")*(ISNUMBER(SEARCH($D$7,DB!G$2:G$2576))))*(($F$7="전체")+($F$7&lt;&gt;"전체")*(DB!H$2:H$2576=$F$7))),ROW()-13)-1,"")</f>
        <v/>
      </c>
      <c r="Q1171" t="str" cm="1">
        <f t="array" ref="Q1171">IFERROR(INDEX(DB!G$2:G$2576,P1171),"")</f>
        <v/>
      </c>
      <c r="R1171" t="str" cm="1">
        <f t="array" ref="R1171">IFERROR(INDEX(DB!O$2:O$2576,P1171),"")</f>
        <v/>
      </c>
      <c r="S1171" t="str">
        <f t="shared" si="57"/>
        <v/>
      </c>
      <c r="T1171" t="str">
        <f t="shared" si="58"/>
        <v/>
      </c>
    </row>
    <row r="1172" spans="1:20" ht="100" customHeight="1">
      <c r="A1172" s="26"/>
      <c r="B1172" s="39" t="str">
        <f t="shared" si="56"/>
        <v/>
      </c>
      <c r="C1172" s="43"/>
      <c r="D1172" s="51" t="str" cm="1">
        <f t="array" ref="D1172">IFERROR(INDEX(DB!G$2:G$2576,T1172),"")</f>
        <v/>
      </c>
      <c r="E1172" s="43"/>
      <c r="F1172" s="52" t="str" cm="1">
        <f t="array" ref="F1172">IFERROR(INDEX(DB!O$2:O$2576,T1172),"")</f>
        <v/>
      </c>
      <c r="G1172" s="43"/>
      <c r="H1172" s="40" t="str" cm="1">
        <f t="array" ref="H1172">IFERROR(INDEX(DB!P$2:P$2576,T1172),"")</f>
        <v/>
      </c>
      <c r="I1172" s="43"/>
      <c r="J1172" s="53" t="str" cm="1">
        <f t="array" ref="J1172">IFERROR(INDEX(DB!Q$2:Q$2576,T1172),"")</f>
        <v/>
      </c>
      <c r="K1172" s="43"/>
      <c r="L1172" s="41" t="str" cm="1">
        <f t="array" ref="L1172">IFERROR(INDEX(DB!R$2:R$2576,T1172),"")</f>
        <v/>
      </c>
      <c r="M1172" s="43"/>
      <c r="P1172" t="str" cm="1">
        <f t="array" ref="P1172">IFERROR(_xlfn.AGGREGATE(15,6,ROW(DB!A$2:A$2576)/((($D$3&lt;&gt;"YES")+($D$3="YES")*(DB!E$2:E$2576="YES"))*(($D$4="")+($D$4&lt;&gt;"")*( DB!B$2:B$2576=$D$4))*(($D$5="")+($D$5&lt;&gt;"")*( DB!C$2:C$2576=$D$5))*(($D$6="")+($D$6&lt;&gt;"")*( DB!D$2:D$2576=$D$6))*(($D$7="")+($D$7&lt;&gt;"")*(ISNUMBER(SEARCH($D$7,DB!G$2:G$2576))))*(($F$7="전체")+($F$7&lt;&gt;"전체")*(DB!H$2:H$2576=$F$7))),ROW()-13)-1,"")</f>
        <v/>
      </c>
      <c r="Q1172" t="str" cm="1">
        <f t="array" ref="Q1172">IFERROR(INDEX(DB!G$2:G$2576,P1172),"")</f>
        <v/>
      </c>
      <c r="R1172" t="str" cm="1">
        <f t="array" ref="R1172">IFERROR(INDEX(DB!O$2:O$2576,P1172),"")</f>
        <v/>
      </c>
      <c r="S1172" t="str">
        <f t="shared" si="57"/>
        <v/>
      </c>
      <c r="T1172" t="str">
        <f t="shared" si="58"/>
        <v/>
      </c>
    </row>
    <row r="1173" spans="1:20" ht="100" customHeight="1">
      <c r="A1173" s="26"/>
      <c r="B1173" s="42" t="str">
        <f t="shared" si="56"/>
        <v/>
      </c>
      <c r="C1173" s="43"/>
      <c r="D1173" s="51" t="str" cm="1">
        <f t="array" ref="D1173">IFERROR(INDEX(DB!G$2:G$2576,T1173),"")</f>
        <v/>
      </c>
      <c r="E1173" s="43"/>
      <c r="F1173" s="52" t="str" cm="1">
        <f t="array" ref="F1173">IFERROR(INDEX(DB!O$2:O$2576,T1173),"")</f>
        <v/>
      </c>
      <c r="G1173" s="43"/>
      <c r="H1173" s="40" t="str" cm="1">
        <f t="array" ref="H1173">IFERROR(INDEX(DB!P$2:P$2576,T1173),"")</f>
        <v/>
      </c>
      <c r="I1173" s="43"/>
      <c r="J1173" s="53" t="str" cm="1">
        <f t="array" ref="J1173">IFERROR(INDEX(DB!Q$2:Q$2576,T1173),"")</f>
        <v/>
      </c>
      <c r="K1173" s="43"/>
      <c r="L1173" s="41" t="str" cm="1">
        <f t="array" ref="L1173">IFERROR(INDEX(DB!R$2:R$2576,T1173),"")</f>
        <v/>
      </c>
      <c r="M1173" s="43"/>
      <c r="P1173" t="str" cm="1">
        <f t="array" ref="P1173">IFERROR(_xlfn.AGGREGATE(15,6,ROW(DB!A$2:A$2576)/((($D$3&lt;&gt;"YES")+($D$3="YES")*(DB!E$2:E$2576="YES"))*(($D$4="")+($D$4&lt;&gt;"")*( DB!B$2:B$2576=$D$4))*(($D$5="")+($D$5&lt;&gt;"")*( DB!C$2:C$2576=$D$5))*(($D$6="")+($D$6&lt;&gt;"")*( DB!D$2:D$2576=$D$6))*(($D$7="")+($D$7&lt;&gt;"")*(ISNUMBER(SEARCH($D$7,DB!G$2:G$2576))))*(($F$7="전체")+($F$7&lt;&gt;"전체")*(DB!H$2:H$2576=$F$7))),ROW()-13)-1,"")</f>
        <v/>
      </c>
      <c r="Q1173" t="str" cm="1">
        <f t="array" ref="Q1173">IFERROR(INDEX(DB!G$2:G$2576,P1173),"")</f>
        <v/>
      </c>
      <c r="R1173" t="str" cm="1">
        <f t="array" ref="R1173">IFERROR(INDEX(DB!O$2:O$2576,P1173),"")</f>
        <v/>
      </c>
      <c r="S1173" t="str">
        <f t="shared" si="57"/>
        <v/>
      </c>
      <c r="T1173" t="str">
        <f t="shared" si="58"/>
        <v/>
      </c>
    </row>
    <row r="1174" spans="1:20" ht="100" customHeight="1">
      <c r="A1174" s="26"/>
      <c r="B1174" s="39" t="str">
        <f t="shared" si="56"/>
        <v/>
      </c>
      <c r="C1174" s="43"/>
      <c r="D1174" s="51" t="str" cm="1">
        <f t="array" ref="D1174">IFERROR(INDEX(DB!G$2:G$2576,T1174),"")</f>
        <v/>
      </c>
      <c r="E1174" s="43"/>
      <c r="F1174" s="52" t="str" cm="1">
        <f t="array" ref="F1174">IFERROR(INDEX(DB!O$2:O$2576,T1174),"")</f>
        <v/>
      </c>
      <c r="G1174" s="43"/>
      <c r="H1174" s="40" t="str" cm="1">
        <f t="array" ref="H1174">IFERROR(INDEX(DB!P$2:P$2576,T1174),"")</f>
        <v/>
      </c>
      <c r="I1174" s="43"/>
      <c r="J1174" s="53" t="str" cm="1">
        <f t="array" ref="J1174">IFERROR(INDEX(DB!Q$2:Q$2576,T1174),"")</f>
        <v/>
      </c>
      <c r="K1174" s="43"/>
      <c r="L1174" s="41" t="str" cm="1">
        <f t="array" ref="L1174">IFERROR(INDEX(DB!R$2:R$2576,T1174),"")</f>
        <v/>
      </c>
      <c r="M1174" s="43"/>
      <c r="P1174" t="str" cm="1">
        <f t="array" ref="P1174">IFERROR(_xlfn.AGGREGATE(15,6,ROW(DB!A$2:A$2576)/((($D$3&lt;&gt;"YES")+($D$3="YES")*(DB!E$2:E$2576="YES"))*(($D$4="")+($D$4&lt;&gt;"")*( DB!B$2:B$2576=$D$4))*(($D$5="")+($D$5&lt;&gt;"")*( DB!C$2:C$2576=$D$5))*(($D$6="")+($D$6&lt;&gt;"")*( DB!D$2:D$2576=$D$6))*(($D$7="")+($D$7&lt;&gt;"")*(ISNUMBER(SEARCH($D$7,DB!G$2:G$2576))))*(($F$7="전체")+($F$7&lt;&gt;"전체")*(DB!H$2:H$2576=$F$7))),ROW()-13)-1,"")</f>
        <v/>
      </c>
      <c r="Q1174" t="str" cm="1">
        <f t="array" ref="Q1174">IFERROR(INDEX(DB!G$2:G$2576,P1174),"")</f>
        <v/>
      </c>
      <c r="R1174" t="str" cm="1">
        <f t="array" ref="R1174">IFERROR(INDEX(DB!O$2:O$2576,P1174),"")</f>
        <v/>
      </c>
      <c r="S1174" t="str">
        <f t="shared" si="57"/>
        <v/>
      </c>
      <c r="T1174" t="str">
        <f t="shared" si="58"/>
        <v/>
      </c>
    </row>
    <row r="1175" spans="1:20" ht="100" customHeight="1">
      <c r="A1175" s="26"/>
      <c r="B1175" s="42" t="str">
        <f t="shared" si="56"/>
        <v/>
      </c>
      <c r="C1175" s="43"/>
      <c r="D1175" s="51" t="str" cm="1">
        <f t="array" ref="D1175">IFERROR(INDEX(DB!G$2:G$2576,T1175),"")</f>
        <v/>
      </c>
      <c r="E1175" s="43"/>
      <c r="F1175" s="52" t="str" cm="1">
        <f t="array" ref="F1175">IFERROR(INDEX(DB!O$2:O$2576,T1175),"")</f>
        <v/>
      </c>
      <c r="G1175" s="43"/>
      <c r="H1175" s="40" t="str" cm="1">
        <f t="array" ref="H1175">IFERROR(INDEX(DB!P$2:P$2576,T1175),"")</f>
        <v/>
      </c>
      <c r="I1175" s="43"/>
      <c r="J1175" s="53" t="str" cm="1">
        <f t="array" ref="J1175">IFERROR(INDEX(DB!Q$2:Q$2576,T1175),"")</f>
        <v/>
      </c>
      <c r="K1175" s="43"/>
      <c r="L1175" s="41" t="str" cm="1">
        <f t="array" ref="L1175">IFERROR(INDEX(DB!R$2:R$2576,T1175),"")</f>
        <v/>
      </c>
      <c r="M1175" s="43"/>
      <c r="P1175" t="str" cm="1">
        <f t="array" ref="P1175">IFERROR(_xlfn.AGGREGATE(15,6,ROW(DB!A$2:A$2576)/((($D$3&lt;&gt;"YES")+($D$3="YES")*(DB!E$2:E$2576="YES"))*(($D$4="")+($D$4&lt;&gt;"")*( DB!B$2:B$2576=$D$4))*(($D$5="")+($D$5&lt;&gt;"")*( DB!C$2:C$2576=$D$5))*(($D$6="")+($D$6&lt;&gt;"")*( DB!D$2:D$2576=$D$6))*(($D$7="")+($D$7&lt;&gt;"")*(ISNUMBER(SEARCH($D$7,DB!G$2:G$2576))))*(($F$7="전체")+($F$7&lt;&gt;"전체")*(DB!H$2:H$2576=$F$7))),ROW()-13)-1,"")</f>
        <v/>
      </c>
      <c r="Q1175" t="str" cm="1">
        <f t="array" ref="Q1175">IFERROR(INDEX(DB!G$2:G$2576,P1175),"")</f>
        <v/>
      </c>
      <c r="R1175" t="str" cm="1">
        <f t="array" ref="R1175">IFERROR(INDEX(DB!O$2:O$2576,P1175),"")</f>
        <v/>
      </c>
      <c r="S1175" t="str">
        <f t="shared" si="57"/>
        <v/>
      </c>
      <c r="T1175" t="str">
        <f t="shared" si="58"/>
        <v/>
      </c>
    </row>
    <row r="1176" spans="1:20" ht="100" customHeight="1">
      <c r="A1176" s="26"/>
      <c r="B1176" s="39" t="str">
        <f t="shared" si="56"/>
        <v/>
      </c>
      <c r="C1176" s="43"/>
      <c r="D1176" s="51" t="str" cm="1">
        <f t="array" ref="D1176">IFERROR(INDEX(DB!G$2:G$2576,T1176),"")</f>
        <v/>
      </c>
      <c r="E1176" s="43"/>
      <c r="F1176" s="52" t="str" cm="1">
        <f t="array" ref="F1176">IFERROR(INDEX(DB!O$2:O$2576,T1176),"")</f>
        <v/>
      </c>
      <c r="G1176" s="43"/>
      <c r="H1176" s="40" t="str" cm="1">
        <f t="array" ref="H1176">IFERROR(INDEX(DB!P$2:P$2576,T1176),"")</f>
        <v/>
      </c>
      <c r="I1176" s="43"/>
      <c r="J1176" s="53" t="str" cm="1">
        <f t="array" ref="J1176">IFERROR(INDEX(DB!Q$2:Q$2576,T1176),"")</f>
        <v/>
      </c>
      <c r="K1176" s="43"/>
      <c r="L1176" s="41" t="str" cm="1">
        <f t="array" ref="L1176">IFERROR(INDEX(DB!R$2:R$2576,T1176),"")</f>
        <v/>
      </c>
      <c r="M1176" s="43"/>
      <c r="P1176" t="str" cm="1">
        <f t="array" ref="P1176">IFERROR(_xlfn.AGGREGATE(15,6,ROW(DB!A$2:A$2576)/((($D$3&lt;&gt;"YES")+($D$3="YES")*(DB!E$2:E$2576="YES"))*(($D$4="")+($D$4&lt;&gt;"")*( DB!B$2:B$2576=$D$4))*(($D$5="")+($D$5&lt;&gt;"")*( DB!C$2:C$2576=$D$5))*(($D$6="")+($D$6&lt;&gt;"")*( DB!D$2:D$2576=$D$6))*(($D$7="")+($D$7&lt;&gt;"")*(ISNUMBER(SEARCH($D$7,DB!G$2:G$2576))))*(($F$7="전체")+($F$7&lt;&gt;"전체")*(DB!H$2:H$2576=$F$7))),ROW()-13)-1,"")</f>
        <v/>
      </c>
      <c r="Q1176" t="str" cm="1">
        <f t="array" ref="Q1176">IFERROR(INDEX(DB!G$2:G$2576,P1176),"")</f>
        <v/>
      </c>
      <c r="R1176" t="str" cm="1">
        <f t="array" ref="R1176">IFERROR(INDEX(DB!O$2:O$2576,P1176),"")</f>
        <v/>
      </c>
      <c r="S1176" t="str">
        <f t="shared" si="57"/>
        <v/>
      </c>
      <c r="T1176" t="str">
        <f t="shared" si="58"/>
        <v/>
      </c>
    </row>
    <row r="1177" spans="1:20" ht="100" customHeight="1">
      <c r="A1177" s="26"/>
      <c r="B1177" s="42" t="str">
        <f t="shared" si="56"/>
        <v/>
      </c>
      <c r="C1177" s="43"/>
      <c r="D1177" s="51" t="str" cm="1">
        <f t="array" ref="D1177">IFERROR(INDEX(DB!G$2:G$2576,T1177),"")</f>
        <v/>
      </c>
      <c r="E1177" s="43"/>
      <c r="F1177" s="52" t="str" cm="1">
        <f t="array" ref="F1177">IFERROR(INDEX(DB!O$2:O$2576,T1177),"")</f>
        <v/>
      </c>
      <c r="G1177" s="43"/>
      <c r="H1177" s="40" t="str" cm="1">
        <f t="array" ref="H1177">IFERROR(INDEX(DB!P$2:P$2576,T1177),"")</f>
        <v/>
      </c>
      <c r="I1177" s="43"/>
      <c r="J1177" s="53" t="str" cm="1">
        <f t="array" ref="J1177">IFERROR(INDEX(DB!Q$2:Q$2576,T1177),"")</f>
        <v/>
      </c>
      <c r="K1177" s="43"/>
      <c r="L1177" s="41" t="str" cm="1">
        <f t="array" ref="L1177">IFERROR(INDEX(DB!R$2:R$2576,T1177),"")</f>
        <v/>
      </c>
      <c r="M1177" s="43"/>
      <c r="P1177" t="str" cm="1">
        <f t="array" ref="P1177">IFERROR(_xlfn.AGGREGATE(15,6,ROW(DB!A$2:A$2576)/((($D$3&lt;&gt;"YES")+($D$3="YES")*(DB!E$2:E$2576="YES"))*(($D$4="")+($D$4&lt;&gt;"")*( DB!B$2:B$2576=$D$4))*(($D$5="")+($D$5&lt;&gt;"")*( DB!C$2:C$2576=$D$5))*(($D$6="")+($D$6&lt;&gt;"")*( DB!D$2:D$2576=$D$6))*(($D$7="")+($D$7&lt;&gt;"")*(ISNUMBER(SEARCH($D$7,DB!G$2:G$2576))))*(($F$7="전체")+($F$7&lt;&gt;"전체")*(DB!H$2:H$2576=$F$7))),ROW()-13)-1,"")</f>
        <v/>
      </c>
      <c r="Q1177" t="str" cm="1">
        <f t="array" ref="Q1177">IFERROR(INDEX(DB!G$2:G$2576,P1177),"")</f>
        <v/>
      </c>
      <c r="R1177" t="str" cm="1">
        <f t="array" ref="R1177">IFERROR(INDEX(DB!O$2:O$2576,P1177),"")</f>
        <v/>
      </c>
      <c r="S1177" t="str">
        <f t="shared" si="57"/>
        <v/>
      </c>
      <c r="T1177" t="str">
        <f t="shared" si="58"/>
        <v/>
      </c>
    </row>
    <row r="1178" spans="1:20" ht="100" customHeight="1">
      <c r="A1178" s="26"/>
      <c r="B1178" s="39" t="str">
        <f t="shared" si="56"/>
        <v/>
      </c>
      <c r="C1178" s="43"/>
      <c r="D1178" s="51" t="str" cm="1">
        <f t="array" ref="D1178">IFERROR(INDEX(DB!G$2:G$2576,T1178),"")</f>
        <v/>
      </c>
      <c r="E1178" s="43"/>
      <c r="F1178" s="52" t="str" cm="1">
        <f t="array" ref="F1178">IFERROR(INDEX(DB!O$2:O$2576,T1178),"")</f>
        <v/>
      </c>
      <c r="G1178" s="43"/>
      <c r="H1178" s="40" t="str" cm="1">
        <f t="array" ref="H1178">IFERROR(INDEX(DB!P$2:P$2576,T1178),"")</f>
        <v/>
      </c>
      <c r="I1178" s="43"/>
      <c r="J1178" s="53" t="str" cm="1">
        <f t="array" ref="J1178">IFERROR(INDEX(DB!Q$2:Q$2576,T1178),"")</f>
        <v/>
      </c>
      <c r="K1178" s="43"/>
      <c r="L1178" s="41" t="str" cm="1">
        <f t="array" ref="L1178">IFERROR(INDEX(DB!R$2:R$2576,T1178),"")</f>
        <v/>
      </c>
      <c r="M1178" s="43"/>
      <c r="P1178" t="str" cm="1">
        <f t="array" ref="P1178">IFERROR(_xlfn.AGGREGATE(15,6,ROW(DB!A$2:A$2576)/((($D$3&lt;&gt;"YES")+($D$3="YES")*(DB!E$2:E$2576="YES"))*(($D$4="")+($D$4&lt;&gt;"")*( DB!B$2:B$2576=$D$4))*(($D$5="")+($D$5&lt;&gt;"")*( DB!C$2:C$2576=$D$5))*(($D$6="")+($D$6&lt;&gt;"")*( DB!D$2:D$2576=$D$6))*(($D$7="")+($D$7&lt;&gt;"")*(ISNUMBER(SEARCH($D$7,DB!G$2:G$2576))))*(($F$7="전체")+($F$7&lt;&gt;"전체")*(DB!H$2:H$2576=$F$7))),ROW()-13)-1,"")</f>
        <v/>
      </c>
      <c r="Q1178" t="str" cm="1">
        <f t="array" ref="Q1178">IFERROR(INDEX(DB!G$2:G$2576,P1178),"")</f>
        <v/>
      </c>
      <c r="R1178" t="str" cm="1">
        <f t="array" ref="R1178">IFERROR(INDEX(DB!O$2:O$2576,P1178),"")</f>
        <v/>
      </c>
      <c r="S1178" t="str">
        <f t="shared" si="57"/>
        <v/>
      </c>
      <c r="T1178" t="str">
        <f t="shared" si="58"/>
        <v/>
      </c>
    </row>
    <row r="1179" spans="1:20" ht="100" customHeight="1">
      <c r="A1179" s="26"/>
      <c r="B1179" s="42" t="str">
        <f t="shared" si="56"/>
        <v/>
      </c>
      <c r="C1179" s="43"/>
      <c r="D1179" s="51" t="str" cm="1">
        <f t="array" ref="D1179">IFERROR(INDEX(DB!G$2:G$2576,T1179),"")</f>
        <v/>
      </c>
      <c r="E1179" s="43"/>
      <c r="F1179" s="52" t="str" cm="1">
        <f t="array" ref="F1179">IFERROR(INDEX(DB!O$2:O$2576,T1179),"")</f>
        <v/>
      </c>
      <c r="G1179" s="43"/>
      <c r="H1179" s="40" t="str" cm="1">
        <f t="array" ref="H1179">IFERROR(INDEX(DB!P$2:P$2576,T1179),"")</f>
        <v/>
      </c>
      <c r="I1179" s="43"/>
      <c r="J1179" s="53" t="str" cm="1">
        <f t="array" ref="J1179">IFERROR(INDEX(DB!Q$2:Q$2576,T1179),"")</f>
        <v/>
      </c>
      <c r="K1179" s="43"/>
      <c r="L1179" s="41" t="str" cm="1">
        <f t="array" ref="L1179">IFERROR(INDEX(DB!R$2:R$2576,T1179),"")</f>
        <v/>
      </c>
      <c r="M1179" s="43"/>
      <c r="P1179" t="str" cm="1">
        <f t="array" ref="P1179">IFERROR(_xlfn.AGGREGATE(15,6,ROW(DB!A$2:A$2576)/((($D$3&lt;&gt;"YES")+($D$3="YES")*(DB!E$2:E$2576="YES"))*(($D$4="")+($D$4&lt;&gt;"")*( DB!B$2:B$2576=$D$4))*(($D$5="")+($D$5&lt;&gt;"")*( DB!C$2:C$2576=$D$5))*(($D$6="")+($D$6&lt;&gt;"")*( DB!D$2:D$2576=$D$6))*(($D$7="")+($D$7&lt;&gt;"")*(ISNUMBER(SEARCH($D$7,DB!G$2:G$2576))))*(($F$7="전체")+($F$7&lt;&gt;"전체")*(DB!H$2:H$2576=$F$7))),ROW()-13)-1,"")</f>
        <v/>
      </c>
      <c r="Q1179" t="str" cm="1">
        <f t="array" ref="Q1179">IFERROR(INDEX(DB!G$2:G$2576,P1179),"")</f>
        <v/>
      </c>
      <c r="R1179" t="str" cm="1">
        <f t="array" ref="R1179">IFERROR(INDEX(DB!O$2:O$2576,P1179),"")</f>
        <v/>
      </c>
      <c r="S1179" t="str">
        <f t="shared" si="57"/>
        <v/>
      </c>
      <c r="T1179" t="str">
        <f t="shared" si="58"/>
        <v/>
      </c>
    </row>
    <row r="1180" spans="1:20" ht="100" customHeight="1">
      <c r="A1180" s="26"/>
      <c r="B1180" s="39" t="str">
        <f t="shared" si="56"/>
        <v/>
      </c>
      <c r="C1180" s="43"/>
      <c r="D1180" s="51" t="str" cm="1">
        <f t="array" ref="D1180">IFERROR(INDEX(DB!G$2:G$2576,T1180),"")</f>
        <v/>
      </c>
      <c r="E1180" s="43"/>
      <c r="F1180" s="52" t="str" cm="1">
        <f t="array" ref="F1180">IFERROR(INDEX(DB!O$2:O$2576,T1180),"")</f>
        <v/>
      </c>
      <c r="G1180" s="43"/>
      <c r="H1180" s="40" t="str" cm="1">
        <f t="array" ref="H1180">IFERROR(INDEX(DB!P$2:P$2576,T1180),"")</f>
        <v/>
      </c>
      <c r="I1180" s="43"/>
      <c r="J1180" s="53" t="str" cm="1">
        <f t="array" ref="J1180">IFERROR(INDEX(DB!Q$2:Q$2576,T1180),"")</f>
        <v/>
      </c>
      <c r="K1180" s="43"/>
      <c r="L1180" s="41" t="str" cm="1">
        <f t="array" ref="L1180">IFERROR(INDEX(DB!R$2:R$2576,T1180),"")</f>
        <v/>
      </c>
      <c r="M1180" s="43"/>
      <c r="P1180" t="str" cm="1">
        <f t="array" ref="P1180">IFERROR(_xlfn.AGGREGATE(15,6,ROW(DB!A$2:A$2576)/((($D$3&lt;&gt;"YES")+($D$3="YES")*(DB!E$2:E$2576="YES"))*(($D$4="")+($D$4&lt;&gt;"")*( DB!B$2:B$2576=$D$4))*(($D$5="")+($D$5&lt;&gt;"")*( DB!C$2:C$2576=$D$5))*(($D$6="")+($D$6&lt;&gt;"")*( DB!D$2:D$2576=$D$6))*(($D$7="")+($D$7&lt;&gt;"")*(ISNUMBER(SEARCH($D$7,DB!G$2:G$2576))))*(($F$7="전체")+($F$7&lt;&gt;"전체")*(DB!H$2:H$2576=$F$7))),ROW()-13)-1,"")</f>
        <v/>
      </c>
      <c r="Q1180" t="str" cm="1">
        <f t="array" ref="Q1180">IFERROR(INDEX(DB!G$2:G$2576,P1180),"")</f>
        <v/>
      </c>
      <c r="R1180" t="str" cm="1">
        <f t="array" ref="R1180">IFERROR(INDEX(DB!O$2:O$2576,P1180),"")</f>
        <v/>
      </c>
      <c r="S1180" t="str">
        <f t="shared" si="57"/>
        <v/>
      </c>
      <c r="T1180" t="str">
        <f t="shared" si="58"/>
        <v/>
      </c>
    </row>
    <row r="1181" spans="1:20" ht="100" customHeight="1">
      <c r="A1181" s="26"/>
      <c r="B1181" s="42" t="str">
        <f t="shared" si="56"/>
        <v/>
      </c>
      <c r="C1181" s="43"/>
      <c r="D1181" s="51" t="str" cm="1">
        <f t="array" ref="D1181">IFERROR(INDEX(DB!G$2:G$2576,T1181),"")</f>
        <v/>
      </c>
      <c r="E1181" s="43"/>
      <c r="F1181" s="52" t="str" cm="1">
        <f t="array" ref="F1181">IFERROR(INDEX(DB!O$2:O$2576,T1181),"")</f>
        <v/>
      </c>
      <c r="G1181" s="43"/>
      <c r="H1181" s="40" t="str" cm="1">
        <f t="array" ref="H1181">IFERROR(INDEX(DB!P$2:P$2576,T1181),"")</f>
        <v/>
      </c>
      <c r="I1181" s="43"/>
      <c r="J1181" s="53" t="str" cm="1">
        <f t="array" ref="J1181">IFERROR(INDEX(DB!Q$2:Q$2576,T1181),"")</f>
        <v/>
      </c>
      <c r="K1181" s="43"/>
      <c r="L1181" s="41" t="str" cm="1">
        <f t="array" ref="L1181">IFERROR(INDEX(DB!R$2:R$2576,T1181),"")</f>
        <v/>
      </c>
      <c r="M1181" s="43"/>
      <c r="P1181" t="str" cm="1">
        <f t="array" ref="P1181">IFERROR(_xlfn.AGGREGATE(15,6,ROW(DB!A$2:A$2576)/((($D$3&lt;&gt;"YES")+($D$3="YES")*(DB!E$2:E$2576="YES"))*(($D$4="")+($D$4&lt;&gt;"")*( DB!B$2:B$2576=$D$4))*(($D$5="")+($D$5&lt;&gt;"")*( DB!C$2:C$2576=$D$5))*(($D$6="")+($D$6&lt;&gt;"")*( DB!D$2:D$2576=$D$6))*(($D$7="")+($D$7&lt;&gt;"")*(ISNUMBER(SEARCH($D$7,DB!G$2:G$2576))))*(($F$7="전체")+($F$7&lt;&gt;"전체")*(DB!H$2:H$2576=$F$7))),ROW()-13)-1,"")</f>
        <v/>
      </c>
      <c r="Q1181" t="str" cm="1">
        <f t="array" ref="Q1181">IFERROR(INDEX(DB!G$2:G$2576,P1181),"")</f>
        <v/>
      </c>
      <c r="R1181" t="str" cm="1">
        <f t="array" ref="R1181">IFERROR(INDEX(DB!O$2:O$2576,P1181),"")</f>
        <v/>
      </c>
      <c r="S1181" t="str">
        <f t="shared" si="57"/>
        <v/>
      </c>
      <c r="T1181" t="str">
        <f t="shared" si="58"/>
        <v/>
      </c>
    </row>
    <row r="1182" spans="1:20" ht="100" customHeight="1">
      <c r="A1182" s="26"/>
      <c r="B1182" s="39" t="str">
        <f t="shared" si="56"/>
        <v/>
      </c>
      <c r="C1182" s="43"/>
      <c r="D1182" s="51" t="str" cm="1">
        <f t="array" ref="D1182">IFERROR(INDEX(DB!G$2:G$2576,T1182),"")</f>
        <v/>
      </c>
      <c r="E1182" s="43"/>
      <c r="F1182" s="52" t="str" cm="1">
        <f t="array" ref="F1182">IFERROR(INDEX(DB!O$2:O$2576,T1182),"")</f>
        <v/>
      </c>
      <c r="G1182" s="43"/>
      <c r="H1182" s="40" t="str" cm="1">
        <f t="array" ref="H1182">IFERROR(INDEX(DB!P$2:P$2576,T1182),"")</f>
        <v/>
      </c>
      <c r="I1182" s="43"/>
      <c r="J1182" s="53" t="str" cm="1">
        <f t="array" ref="J1182">IFERROR(INDEX(DB!Q$2:Q$2576,T1182),"")</f>
        <v/>
      </c>
      <c r="K1182" s="43"/>
      <c r="L1182" s="41" t="str" cm="1">
        <f t="array" ref="L1182">IFERROR(INDEX(DB!R$2:R$2576,T1182),"")</f>
        <v/>
      </c>
      <c r="M1182" s="43"/>
      <c r="P1182" t="str" cm="1">
        <f t="array" ref="P1182">IFERROR(_xlfn.AGGREGATE(15,6,ROW(DB!A$2:A$2576)/((($D$3&lt;&gt;"YES")+($D$3="YES")*(DB!E$2:E$2576="YES"))*(($D$4="")+($D$4&lt;&gt;"")*( DB!B$2:B$2576=$D$4))*(($D$5="")+($D$5&lt;&gt;"")*( DB!C$2:C$2576=$D$5))*(($D$6="")+($D$6&lt;&gt;"")*( DB!D$2:D$2576=$D$6))*(($D$7="")+($D$7&lt;&gt;"")*(ISNUMBER(SEARCH($D$7,DB!G$2:G$2576))))*(($F$7="전체")+($F$7&lt;&gt;"전체")*(DB!H$2:H$2576=$F$7))),ROW()-13)-1,"")</f>
        <v/>
      </c>
      <c r="Q1182" t="str" cm="1">
        <f t="array" ref="Q1182">IFERROR(INDEX(DB!G$2:G$2576,P1182),"")</f>
        <v/>
      </c>
      <c r="R1182" t="str" cm="1">
        <f t="array" ref="R1182">IFERROR(INDEX(DB!O$2:O$2576,P1182),"")</f>
        <v/>
      </c>
      <c r="S1182" t="str">
        <f t="shared" si="57"/>
        <v/>
      </c>
      <c r="T1182" t="str">
        <f t="shared" si="58"/>
        <v/>
      </c>
    </row>
    <row r="1183" spans="1:20" ht="100" customHeight="1">
      <c r="A1183" s="26"/>
      <c r="B1183" s="42" t="str">
        <f t="shared" si="56"/>
        <v/>
      </c>
      <c r="C1183" s="43"/>
      <c r="D1183" s="51" t="str" cm="1">
        <f t="array" ref="D1183">IFERROR(INDEX(DB!G$2:G$2576,T1183),"")</f>
        <v/>
      </c>
      <c r="E1183" s="43"/>
      <c r="F1183" s="52" t="str" cm="1">
        <f t="array" ref="F1183">IFERROR(INDEX(DB!O$2:O$2576,T1183),"")</f>
        <v/>
      </c>
      <c r="G1183" s="43"/>
      <c r="H1183" s="40" t="str" cm="1">
        <f t="array" ref="H1183">IFERROR(INDEX(DB!P$2:P$2576,T1183),"")</f>
        <v/>
      </c>
      <c r="I1183" s="43"/>
      <c r="J1183" s="53" t="str" cm="1">
        <f t="array" ref="J1183">IFERROR(INDEX(DB!Q$2:Q$2576,T1183),"")</f>
        <v/>
      </c>
      <c r="K1183" s="43"/>
      <c r="L1183" s="41" t="str" cm="1">
        <f t="array" ref="L1183">IFERROR(INDEX(DB!R$2:R$2576,T1183),"")</f>
        <v/>
      </c>
      <c r="M1183" s="43"/>
      <c r="P1183" t="str" cm="1">
        <f t="array" ref="P1183">IFERROR(_xlfn.AGGREGATE(15,6,ROW(DB!A$2:A$2576)/((($D$3&lt;&gt;"YES")+($D$3="YES")*(DB!E$2:E$2576="YES"))*(($D$4="")+($D$4&lt;&gt;"")*( DB!B$2:B$2576=$D$4))*(($D$5="")+($D$5&lt;&gt;"")*( DB!C$2:C$2576=$D$5))*(($D$6="")+($D$6&lt;&gt;"")*( DB!D$2:D$2576=$D$6))*(($D$7="")+($D$7&lt;&gt;"")*(ISNUMBER(SEARCH($D$7,DB!G$2:G$2576))))*(($F$7="전체")+($F$7&lt;&gt;"전체")*(DB!H$2:H$2576=$F$7))),ROW()-13)-1,"")</f>
        <v/>
      </c>
      <c r="Q1183" t="str" cm="1">
        <f t="array" ref="Q1183">IFERROR(INDEX(DB!G$2:G$2576,P1183),"")</f>
        <v/>
      </c>
      <c r="R1183" t="str" cm="1">
        <f t="array" ref="R1183">IFERROR(INDEX(DB!O$2:O$2576,P1183),"")</f>
        <v/>
      </c>
      <c r="S1183" t="str">
        <f t="shared" si="57"/>
        <v/>
      </c>
      <c r="T1183" t="str">
        <f t="shared" si="58"/>
        <v/>
      </c>
    </row>
    <row r="1184" spans="1:20" ht="100" customHeight="1">
      <c r="A1184" s="26"/>
      <c r="B1184" s="39" t="str">
        <f t="shared" si="56"/>
        <v/>
      </c>
      <c r="C1184" s="43"/>
      <c r="D1184" s="51" t="str" cm="1">
        <f t="array" ref="D1184">IFERROR(INDEX(DB!G$2:G$2576,T1184),"")</f>
        <v/>
      </c>
      <c r="E1184" s="43"/>
      <c r="F1184" s="52" t="str" cm="1">
        <f t="array" ref="F1184">IFERROR(INDEX(DB!O$2:O$2576,T1184),"")</f>
        <v/>
      </c>
      <c r="G1184" s="43"/>
      <c r="H1184" s="40" t="str" cm="1">
        <f t="array" ref="H1184">IFERROR(INDEX(DB!P$2:P$2576,T1184),"")</f>
        <v/>
      </c>
      <c r="I1184" s="43"/>
      <c r="J1184" s="53" t="str" cm="1">
        <f t="array" ref="J1184">IFERROR(INDEX(DB!Q$2:Q$2576,T1184),"")</f>
        <v/>
      </c>
      <c r="K1184" s="43"/>
      <c r="L1184" s="41" t="str" cm="1">
        <f t="array" ref="L1184">IFERROR(INDEX(DB!R$2:R$2576,T1184),"")</f>
        <v/>
      </c>
      <c r="M1184" s="43"/>
      <c r="P1184" t="str" cm="1">
        <f t="array" ref="P1184">IFERROR(_xlfn.AGGREGATE(15,6,ROW(DB!A$2:A$2576)/((($D$3&lt;&gt;"YES")+($D$3="YES")*(DB!E$2:E$2576="YES"))*(($D$4="")+($D$4&lt;&gt;"")*( DB!B$2:B$2576=$D$4))*(($D$5="")+($D$5&lt;&gt;"")*( DB!C$2:C$2576=$D$5))*(($D$6="")+($D$6&lt;&gt;"")*( DB!D$2:D$2576=$D$6))*(($D$7="")+($D$7&lt;&gt;"")*(ISNUMBER(SEARCH($D$7,DB!G$2:G$2576))))*(($F$7="전체")+($F$7&lt;&gt;"전체")*(DB!H$2:H$2576=$F$7))),ROW()-13)-1,"")</f>
        <v/>
      </c>
      <c r="Q1184" t="str" cm="1">
        <f t="array" ref="Q1184">IFERROR(INDEX(DB!G$2:G$2576,P1184),"")</f>
        <v/>
      </c>
      <c r="R1184" t="str" cm="1">
        <f t="array" ref="R1184">IFERROR(INDEX(DB!O$2:O$2576,P1184),"")</f>
        <v/>
      </c>
      <c r="S1184" t="str">
        <f t="shared" si="57"/>
        <v/>
      </c>
      <c r="T1184" t="str">
        <f t="shared" si="58"/>
        <v/>
      </c>
    </row>
    <row r="1185" spans="1:20" ht="100" customHeight="1">
      <c r="A1185" s="26"/>
      <c r="B1185" s="42" t="str">
        <f t="shared" si="56"/>
        <v/>
      </c>
      <c r="C1185" s="43"/>
      <c r="D1185" s="51" t="str" cm="1">
        <f t="array" ref="D1185">IFERROR(INDEX(DB!G$2:G$2576,T1185),"")</f>
        <v/>
      </c>
      <c r="E1185" s="43"/>
      <c r="F1185" s="52" t="str" cm="1">
        <f t="array" ref="F1185">IFERROR(INDEX(DB!O$2:O$2576,T1185),"")</f>
        <v/>
      </c>
      <c r="G1185" s="43"/>
      <c r="H1185" s="40" t="str" cm="1">
        <f t="array" ref="H1185">IFERROR(INDEX(DB!P$2:P$2576,T1185),"")</f>
        <v/>
      </c>
      <c r="I1185" s="43"/>
      <c r="J1185" s="53" t="str" cm="1">
        <f t="array" ref="J1185">IFERROR(INDEX(DB!Q$2:Q$2576,T1185),"")</f>
        <v/>
      </c>
      <c r="K1185" s="43"/>
      <c r="L1185" s="41" t="str" cm="1">
        <f t="array" ref="L1185">IFERROR(INDEX(DB!R$2:R$2576,T1185),"")</f>
        <v/>
      </c>
      <c r="M1185" s="43"/>
      <c r="P1185" t="str" cm="1">
        <f t="array" ref="P1185">IFERROR(_xlfn.AGGREGATE(15,6,ROW(DB!A$2:A$2576)/((($D$3&lt;&gt;"YES")+($D$3="YES")*(DB!E$2:E$2576="YES"))*(($D$4="")+($D$4&lt;&gt;"")*( DB!B$2:B$2576=$D$4))*(($D$5="")+($D$5&lt;&gt;"")*( DB!C$2:C$2576=$D$5))*(($D$6="")+($D$6&lt;&gt;"")*( DB!D$2:D$2576=$D$6))*(($D$7="")+($D$7&lt;&gt;"")*(ISNUMBER(SEARCH($D$7,DB!G$2:G$2576))))*(($F$7="전체")+($F$7&lt;&gt;"전체")*(DB!H$2:H$2576=$F$7))),ROW()-13)-1,"")</f>
        <v/>
      </c>
      <c r="Q1185" t="str" cm="1">
        <f t="array" ref="Q1185">IFERROR(INDEX(DB!G$2:G$2576,P1185),"")</f>
        <v/>
      </c>
      <c r="R1185" t="str" cm="1">
        <f t="array" ref="R1185">IFERROR(INDEX(DB!O$2:O$2576,P1185),"")</f>
        <v/>
      </c>
      <c r="S1185" t="str">
        <f t="shared" si="57"/>
        <v/>
      </c>
      <c r="T1185" t="str">
        <f t="shared" si="58"/>
        <v/>
      </c>
    </row>
    <row r="1186" spans="1:20" ht="100" customHeight="1">
      <c r="A1186" s="26"/>
      <c r="B1186" s="39" t="str">
        <f t="shared" si="56"/>
        <v/>
      </c>
      <c r="C1186" s="43"/>
      <c r="D1186" s="51" t="str" cm="1">
        <f t="array" ref="D1186">IFERROR(INDEX(DB!G$2:G$2576,T1186),"")</f>
        <v/>
      </c>
      <c r="E1186" s="43"/>
      <c r="F1186" s="52" t="str" cm="1">
        <f t="array" ref="F1186">IFERROR(INDEX(DB!O$2:O$2576,T1186),"")</f>
        <v/>
      </c>
      <c r="G1186" s="43"/>
      <c r="H1186" s="40" t="str" cm="1">
        <f t="array" ref="H1186">IFERROR(INDEX(DB!P$2:P$2576,T1186),"")</f>
        <v/>
      </c>
      <c r="I1186" s="43"/>
      <c r="J1186" s="53" t="str" cm="1">
        <f t="array" ref="J1186">IFERROR(INDEX(DB!Q$2:Q$2576,T1186),"")</f>
        <v/>
      </c>
      <c r="K1186" s="43"/>
      <c r="L1186" s="41" t="str" cm="1">
        <f t="array" ref="L1186">IFERROR(INDEX(DB!R$2:R$2576,T1186),"")</f>
        <v/>
      </c>
      <c r="M1186" s="43"/>
      <c r="P1186" t="str" cm="1">
        <f t="array" ref="P1186">IFERROR(_xlfn.AGGREGATE(15,6,ROW(DB!A$2:A$2576)/((($D$3&lt;&gt;"YES")+($D$3="YES")*(DB!E$2:E$2576="YES"))*(($D$4="")+($D$4&lt;&gt;"")*( DB!B$2:B$2576=$D$4))*(($D$5="")+($D$5&lt;&gt;"")*( DB!C$2:C$2576=$D$5))*(($D$6="")+($D$6&lt;&gt;"")*( DB!D$2:D$2576=$D$6))*(($D$7="")+($D$7&lt;&gt;"")*(ISNUMBER(SEARCH($D$7,DB!G$2:G$2576))))*(($F$7="전체")+($F$7&lt;&gt;"전체")*(DB!H$2:H$2576=$F$7))),ROW()-13)-1,"")</f>
        <v/>
      </c>
      <c r="Q1186" t="str" cm="1">
        <f t="array" ref="Q1186">IFERROR(INDEX(DB!G$2:G$2576,P1186),"")</f>
        <v/>
      </c>
      <c r="R1186" t="str" cm="1">
        <f t="array" ref="R1186">IFERROR(INDEX(DB!O$2:O$2576,P1186),"")</f>
        <v/>
      </c>
      <c r="S1186" t="str">
        <f t="shared" si="57"/>
        <v/>
      </c>
      <c r="T1186" t="str">
        <f t="shared" si="58"/>
        <v/>
      </c>
    </row>
    <row r="1187" spans="1:20" ht="100" customHeight="1">
      <c r="A1187" s="26"/>
      <c r="B1187" s="42" t="str">
        <f t="shared" si="56"/>
        <v/>
      </c>
      <c r="C1187" s="43"/>
      <c r="D1187" s="51" t="str" cm="1">
        <f t="array" ref="D1187">IFERROR(INDEX(DB!G$2:G$2576,T1187),"")</f>
        <v/>
      </c>
      <c r="E1187" s="43"/>
      <c r="F1187" s="52" t="str" cm="1">
        <f t="array" ref="F1187">IFERROR(INDEX(DB!O$2:O$2576,T1187),"")</f>
        <v/>
      </c>
      <c r="G1187" s="43"/>
      <c r="H1187" s="40" t="str" cm="1">
        <f t="array" ref="H1187">IFERROR(INDEX(DB!P$2:P$2576,T1187),"")</f>
        <v/>
      </c>
      <c r="I1187" s="43"/>
      <c r="J1187" s="53" t="str" cm="1">
        <f t="array" ref="J1187">IFERROR(INDEX(DB!Q$2:Q$2576,T1187),"")</f>
        <v/>
      </c>
      <c r="K1187" s="43"/>
      <c r="L1187" s="41" t="str" cm="1">
        <f t="array" ref="L1187">IFERROR(INDEX(DB!R$2:R$2576,T1187),"")</f>
        <v/>
      </c>
      <c r="M1187" s="43"/>
      <c r="P1187" t="str" cm="1">
        <f t="array" ref="P1187">IFERROR(_xlfn.AGGREGATE(15,6,ROW(DB!A$2:A$2576)/((($D$3&lt;&gt;"YES")+($D$3="YES")*(DB!E$2:E$2576="YES"))*(($D$4="")+($D$4&lt;&gt;"")*( DB!B$2:B$2576=$D$4))*(($D$5="")+($D$5&lt;&gt;"")*( DB!C$2:C$2576=$D$5))*(($D$6="")+($D$6&lt;&gt;"")*( DB!D$2:D$2576=$D$6))*(($D$7="")+($D$7&lt;&gt;"")*(ISNUMBER(SEARCH($D$7,DB!G$2:G$2576))))*(($F$7="전체")+($F$7&lt;&gt;"전체")*(DB!H$2:H$2576=$F$7))),ROW()-13)-1,"")</f>
        <v/>
      </c>
      <c r="Q1187" t="str" cm="1">
        <f t="array" ref="Q1187">IFERROR(INDEX(DB!G$2:G$2576,P1187),"")</f>
        <v/>
      </c>
      <c r="R1187" t="str" cm="1">
        <f t="array" ref="R1187">IFERROR(INDEX(DB!O$2:O$2576,P1187),"")</f>
        <v/>
      </c>
      <c r="S1187" t="str">
        <f t="shared" si="57"/>
        <v/>
      </c>
      <c r="T1187" t="str">
        <f t="shared" si="58"/>
        <v/>
      </c>
    </row>
    <row r="1188" spans="1:20" ht="100" customHeight="1">
      <c r="A1188" s="26"/>
      <c r="B1188" s="39" t="str">
        <f t="shared" si="56"/>
        <v/>
      </c>
      <c r="C1188" s="43"/>
      <c r="D1188" s="51" t="str" cm="1">
        <f t="array" ref="D1188">IFERROR(INDEX(DB!G$2:G$2576,T1188),"")</f>
        <v/>
      </c>
      <c r="E1188" s="43"/>
      <c r="F1188" s="52" t="str" cm="1">
        <f t="array" ref="F1188">IFERROR(INDEX(DB!O$2:O$2576,T1188),"")</f>
        <v/>
      </c>
      <c r="G1188" s="43"/>
      <c r="H1188" s="40" t="str" cm="1">
        <f t="array" ref="H1188">IFERROR(INDEX(DB!P$2:P$2576,T1188),"")</f>
        <v/>
      </c>
      <c r="I1188" s="43"/>
      <c r="J1188" s="53" t="str" cm="1">
        <f t="array" ref="J1188">IFERROR(INDEX(DB!Q$2:Q$2576,T1188),"")</f>
        <v/>
      </c>
      <c r="K1188" s="43"/>
      <c r="L1188" s="41" t="str" cm="1">
        <f t="array" ref="L1188">IFERROR(INDEX(DB!R$2:R$2576,T1188),"")</f>
        <v/>
      </c>
      <c r="M1188" s="43"/>
      <c r="P1188" t="str" cm="1">
        <f t="array" ref="P1188">IFERROR(_xlfn.AGGREGATE(15,6,ROW(DB!A$2:A$2576)/((($D$3&lt;&gt;"YES")+($D$3="YES")*(DB!E$2:E$2576="YES"))*(($D$4="")+($D$4&lt;&gt;"")*( DB!B$2:B$2576=$D$4))*(($D$5="")+($D$5&lt;&gt;"")*( DB!C$2:C$2576=$D$5))*(($D$6="")+($D$6&lt;&gt;"")*( DB!D$2:D$2576=$D$6))*(($D$7="")+($D$7&lt;&gt;"")*(ISNUMBER(SEARCH($D$7,DB!G$2:G$2576))))*(($F$7="전체")+($F$7&lt;&gt;"전체")*(DB!H$2:H$2576=$F$7))),ROW()-13)-1,"")</f>
        <v/>
      </c>
      <c r="Q1188" t="str" cm="1">
        <f t="array" ref="Q1188">IFERROR(INDEX(DB!G$2:G$2576,P1188),"")</f>
        <v/>
      </c>
      <c r="R1188" t="str" cm="1">
        <f t="array" ref="R1188">IFERROR(INDEX(DB!O$2:O$2576,P1188),"")</f>
        <v/>
      </c>
      <c r="S1188" t="str">
        <f t="shared" si="57"/>
        <v/>
      </c>
      <c r="T1188" t="str">
        <f t="shared" si="58"/>
        <v/>
      </c>
    </row>
    <row r="1189" spans="1:20" ht="100" customHeight="1">
      <c r="A1189" s="26"/>
      <c r="B1189" s="42" t="str">
        <f t="shared" si="56"/>
        <v/>
      </c>
      <c r="C1189" s="43"/>
      <c r="D1189" s="51" t="str" cm="1">
        <f t="array" ref="D1189">IFERROR(INDEX(DB!G$2:G$2576,T1189),"")</f>
        <v/>
      </c>
      <c r="E1189" s="43"/>
      <c r="F1189" s="52" t="str" cm="1">
        <f t="array" ref="F1189">IFERROR(INDEX(DB!O$2:O$2576,T1189),"")</f>
        <v/>
      </c>
      <c r="G1189" s="43"/>
      <c r="H1189" s="40" t="str" cm="1">
        <f t="array" ref="H1189">IFERROR(INDEX(DB!P$2:P$2576,T1189),"")</f>
        <v/>
      </c>
      <c r="I1189" s="43"/>
      <c r="J1189" s="53" t="str" cm="1">
        <f t="array" ref="J1189">IFERROR(INDEX(DB!Q$2:Q$2576,T1189),"")</f>
        <v/>
      </c>
      <c r="K1189" s="43"/>
      <c r="L1189" s="41" t="str" cm="1">
        <f t="array" ref="L1189">IFERROR(INDEX(DB!R$2:R$2576,T1189),"")</f>
        <v/>
      </c>
      <c r="M1189" s="43"/>
      <c r="P1189" t="str" cm="1">
        <f t="array" ref="P1189">IFERROR(_xlfn.AGGREGATE(15,6,ROW(DB!A$2:A$2576)/((($D$3&lt;&gt;"YES")+($D$3="YES")*(DB!E$2:E$2576="YES"))*(($D$4="")+($D$4&lt;&gt;"")*( DB!B$2:B$2576=$D$4))*(($D$5="")+($D$5&lt;&gt;"")*( DB!C$2:C$2576=$D$5))*(($D$6="")+($D$6&lt;&gt;"")*( DB!D$2:D$2576=$D$6))*(($D$7="")+($D$7&lt;&gt;"")*(ISNUMBER(SEARCH($D$7,DB!G$2:G$2576))))*(($F$7="전체")+($F$7&lt;&gt;"전체")*(DB!H$2:H$2576=$F$7))),ROW()-13)-1,"")</f>
        <v/>
      </c>
      <c r="Q1189" t="str" cm="1">
        <f t="array" ref="Q1189">IFERROR(INDEX(DB!G$2:G$2576,P1189),"")</f>
        <v/>
      </c>
      <c r="R1189" t="str" cm="1">
        <f t="array" ref="R1189">IFERROR(INDEX(DB!O$2:O$2576,P1189),"")</f>
        <v/>
      </c>
      <c r="S1189" t="str">
        <f t="shared" si="57"/>
        <v/>
      </c>
      <c r="T1189" t="str">
        <f t="shared" si="58"/>
        <v/>
      </c>
    </row>
    <row r="1190" spans="1:20" ht="100" customHeight="1">
      <c r="A1190" s="26"/>
      <c r="B1190" s="39" t="str">
        <f t="shared" si="56"/>
        <v/>
      </c>
      <c r="C1190" s="43"/>
      <c r="D1190" s="51" t="str" cm="1">
        <f t="array" ref="D1190">IFERROR(INDEX(DB!G$2:G$2576,T1190),"")</f>
        <v/>
      </c>
      <c r="E1190" s="43"/>
      <c r="F1190" s="52" t="str" cm="1">
        <f t="array" ref="F1190">IFERROR(INDEX(DB!O$2:O$2576,T1190),"")</f>
        <v/>
      </c>
      <c r="G1190" s="43"/>
      <c r="H1190" s="40" t="str" cm="1">
        <f t="array" ref="H1190">IFERROR(INDEX(DB!P$2:P$2576,T1190),"")</f>
        <v/>
      </c>
      <c r="I1190" s="43"/>
      <c r="J1190" s="53" t="str" cm="1">
        <f t="array" ref="J1190">IFERROR(INDEX(DB!Q$2:Q$2576,T1190),"")</f>
        <v/>
      </c>
      <c r="K1190" s="43"/>
      <c r="L1190" s="41" t="str" cm="1">
        <f t="array" ref="L1190">IFERROR(INDEX(DB!R$2:R$2576,T1190),"")</f>
        <v/>
      </c>
      <c r="M1190" s="43"/>
      <c r="P1190" t="str" cm="1">
        <f t="array" ref="P1190">IFERROR(_xlfn.AGGREGATE(15,6,ROW(DB!A$2:A$2576)/((($D$3&lt;&gt;"YES")+($D$3="YES")*(DB!E$2:E$2576="YES"))*(($D$4="")+($D$4&lt;&gt;"")*( DB!B$2:B$2576=$D$4))*(($D$5="")+($D$5&lt;&gt;"")*( DB!C$2:C$2576=$D$5))*(($D$6="")+($D$6&lt;&gt;"")*( DB!D$2:D$2576=$D$6))*(($D$7="")+($D$7&lt;&gt;"")*(ISNUMBER(SEARCH($D$7,DB!G$2:G$2576))))*(($F$7="전체")+($F$7&lt;&gt;"전체")*(DB!H$2:H$2576=$F$7))),ROW()-13)-1,"")</f>
        <v/>
      </c>
      <c r="Q1190" t="str" cm="1">
        <f t="array" ref="Q1190">IFERROR(INDEX(DB!G$2:G$2576,P1190),"")</f>
        <v/>
      </c>
      <c r="R1190" t="str" cm="1">
        <f t="array" ref="R1190">IFERROR(INDEX(DB!O$2:O$2576,P1190),"")</f>
        <v/>
      </c>
      <c r="S1190" t="str">
        <f t="shared" si="57"/>
        <v/>
      </c>
      <c r="T1190" t="str">
        <f t="shared" si="58"/>
        <v/>
      </c>
    </row>
    <row r="1191" spans="1:20" ht="100" customHeight="1">
      <c r="A1191" s="26"/>
      <c r="B1191" s="42" t="str">
        <f t="shared" si="56"/>
        <v/>
      </c>
      <c r="C1191" s="43"/>
      <c r="D1191" s="51" t="str" cm="1">
        <f t="array" ref="D1191">IFERROR(INDEX(DB!G$2:G$2576,T1191),"")</f>
        <v/>
      </c>
      <c r="E1191" s="43"/>
      <c r="F1191" s="52" t="str" cm="1">
        <f t="array" ref="F1191">IFERROR(INDEX(DB!O$2:O$2576,T1191),"")</f>
        <v/>
      </c>
      <c r="G1191" s="43"/>
      <c r="H1191" s="40" t="str" cm="1">
        <f t="array" ref="H1191">IFERROR(INDEX(DB!P$2:P$2576,T1191),"")</f>
        <v/>
      </c>
      <c r="I1191" s="43"/>
      <c r="J1191" s="53" t="str" cm="1">
        <f t="array" ref="J1191">IFERROR(INDEX(DB!Q$2:Q$2576,T1191),"")</f>
        <v/>
      </c>
      <c r="K1191" s="43"/>
      <c r="L1191" s="41" t="str" cm="1">
        <f t="array" ref="L1191">IFERROR(INDEX(DB!R$2:R$2576,T1191),"")</f>
        <v/>
      </c>
      <c r="M1191" s="43"/>
      <c r="P1191" t="str" cm="1">
        <f t="array" ref="P1191">IFERROR(_xlfn.AGGREGATE(15,6,ROW(DB!A$2:A$2576)/((($D$3&lt;&gt;"YES")+($D$3="YES")*(DB!E$2:E$2576="YES"))*(($D$4="")+($D$4&lt;&gt;"")*( DB!B$2:B$2576=$D$4))*(($D$5="")+($D$5&lt;&gt;"")*( DB!C$2:C$2576=$D$5))*(($D$6="")+($D$6&lt;&gt;"")*( DB!D$2:D$2576=$D$6))*(($D$7="")+($D$7&lt;&gt;"")*(ISNUMBER(SEARCH($D$7,DB!G$2:G$2576))))*(($F$7="전체")+($F$7&lt;&gt;"전체")*(DB!H$2:H$2576=$F$7))),ROW()-13)-1,"")</f>
        <v/>
      </c>
      <c r="Q1191" t="str" cm="1">
        <f t="array" ref="Q1191">IFERROR(INDEX(DB!G$2:G$2576,P1191),"")</f>
        <v/>
      </c>
      <c r="R1191" t="str" cm="1">
        <f t="array" ref="R1191">IFERROR(INDEX(DB!O$2:O$2576,P1191),"")</f>
        <v/>
      </c>
      <c r="S1191" t="str">
        <f t="shared" si="57"/>
        <v/>
      </c>
      <c r="T1191" t="str">
        <f t="shared" si="58"/>
        <v/>
      </c>
    </row>
    <row r="1192" spans="1:20" ht="100" customHeight="1">
      <c r="A1192" s="26"/>
      <c r="B1192" s="39" t="str">
        <f t="shared" si="56"/>
        <v/>
      </c>
      <c r="C1192" s="43"/>
      <c r="D1192" s="51" t="str" cm="1">
        <f t="array" ref="D1192">IFERROR(INDEX(DB!G$2:G$2576,T1192),"")</f>
        <v/>
      </c>
      <c r="E1192" s="43"/>
      <c r="F1192" s="52" t="str" cm="1">
        <f t="array" ref="F1192">IFERROR(INDEX(DB!O$2:O$2576,T1192),"")</f>
        <v/>
      </c>
      <c r="G1192" s="43"/>
      <c r="H1192" s="40" t="str" cm="1">
        <f t="array" ref="H1192">IFERROR(INDEX(DB!P$2:P$2576,T1192),"")</f>
        <v/>
      </c>
      <c r="I1192" s="43"/>
      <c r="J1192" s="53" t="str" cm="1">
        <f t="array" ref="J1192">IFERROR(INDEX(DB!Q$2:Q$2576,T1192),"")</f>
        <v/>
      </c>
      <c r="K1192" s="43"/>
      <c r="L1192" s="41" t="str" cm="1">
        <f t="array" ref="L1192">IFERROR(INDEX(DB!R$2:R$2576,T1192),"")</f>
        <v/>
      </c>
      <c r="M1192" s="43"/>
      <c r="P1192" t="str" cm="1">
        <f t="array" ref="P1192">IFERROR(_xlfn.AGGREGATE(15,6,ROW(DB!A$2:A$2576)/((($D$3&lt;&gt;"YES")+($D$3="YES")*(DB!E$2:E$2576="YES"))*(($D$4="")+($D$4&lt;&gt;"")*( DB!B$2:B$2576=$D$4))*(($D$5="")+($D$5&lt;&gt;"")*( DB!C$2:C$2576=$D$5))*(($D$6="")+($D$6&lt;&gt;"")*( DB!D$2:D$2576=$D$6))*(($D$7="")+($D$7&lt;&gt;"")*(ISNUMBER(SEARCH($D$7,DB!G$2:G$2576))))*(($F$7="전체")+($F$7&lt;&gt;"전체")*(DB!H$2:H$2576=$F$7))),ROW()-13)-1,"")</f>
        <v/>
      </c>
      <c r="Q1192" t="str" cm="1">
        <f t="array" ref="Q1192">IFERROR(INDEX(DB!G$2:G$2576,P1192),"")</f>
        <v/>
      </c>
      <c r="R1192" t="str" cm="1">
        <f t="array" ref="R1192">IFERROR(INDEX(DB!O$2:O$2576,P1192),"")</f>
        <v/>
      </c>
      <c r="S1192" t="str">
        <f t="shared" si="57"/>
        <v/>
      </c>
      <c r="T1192" t="str">
        <f t="shared" si="58"/>
        <v/>
      </c>
    </row>
    <row r="1193" spans="1:20" ht="100" customHeight="1">
      <c r="A1193" s="26"/>
      <c r="B1193" s="42" t="str">
        <f t="shared" si="56"/>
        <v/>
      </c>
      <c r="C1193" s="43"/>
      <c r="D1193" s="51" t="str" cm="1">
        <f t="array" ref="D1193">IFERROR(INDEX(DB!G$2:G$2576,T1193),"")</f>
        <v/>
      </c>
      <c r="E1193" s="43"/>
      <c r="F1193" s="52" t="str" cm="1">
        <f t="array" ref="F1193">IFERROR(INDEX(DB!O$2:O$2576,T1193),"")</f>
        <v/>
      </c>
      <c r="G1193" s="43"/>
      <c r="H1193" s="40" t="str" cm="1">
        <f t="array" ref="H1193">IFERROR(INDEX(DB!P$2:P$2576,T1193),"")</f>
        <v/>
      </c>
      <c r="I1193" s="43"/>
      <c r="J1193" s="53" t="str" cm="1">
        <f t="array" ref="J1193">IFERROR(INDEX(DB!Q$2:Q$2576,T1193),"")</f>
        <v/>
      </c>
      <c r="K1193" s="43"/>
      <c r="L1193" s="41" t="str" cm="1">
        <f t="array" ref="L1193">IFERROR(INDEX(DB!R$2:R$2576,T1193),"")</f>
        <v/>
      </c>
      <c r="M1193" s="43"/>
      <c r="P1193" t="str" cm="1">
        <f t="array" ref="P1193">IFERROR(_xlfn.AGGREGATE(15,6,ROW(DB!A$2:A$2576)/((($D$3&lt;&gt;"YES")+($D$3="YES")*(DB!E$2:E$2576="YES"))*(($D$4="")+($D$4&lt;&gt;"")*( DB!B$2:B$2576=$D$4))*(($D$5="")+($D$5&lt;&gt;"")*( DB!C$2:C$2576=$D$5))*(($D$6="")+($D$6&lt;&gt;"")*( DB!D$2:D$2576=$D$6))*(($D$7="")+($D$7&lt;&gt;"")*(ISNUMBER(SEARCH($D$7,DB!G$2:G$2576))))*(($F$7="전체")+($F$7&lt;&gt;"전체")*(DB!H$2:H$2576=$F$7))),ROW()-13)-1,"")</f>
        <v/>
      </c>
      <c r="Q1193" t="str" cm="1">
        <f t="array" ref="Q1193">IFERROR(INDEX(DB!G$2:G$2576,P1193),"")</f>
        <v/>
      </c>
      <c r="R1193" t="str" cm="1">
        <f t="array" ref="R1193">IFERROR(INDEX(DB!O$2:O$2576,P1193),"")</f>
        <v/>
      </c>
      <c r="S1193" t="str">
        <f t="shared" si="57"/>
        <v/>
      </c>
      <c r="T1193" t="str">
        <f t="shared" si="58"/>
        <v/>
      </c>
    </row>
    <row r="1194" spans="1:20" ht="100" customHeight="1">
      <c r="A1194" s="26"/>
      <c r="B1194" s="39" t="str">
        <f t="shared" si="56"/>
        <v/>
      </c>
      <c r="C1194" s="43"/>
      <c r="D1194" s="51" t="str" cm="1">
        <f t="array" ref="D1194">IFERROR(INDEX(DB!G$2:G$2576,T1194),"")</f>
        <v/>
      </c>
      <c r="E1194" s="43"/>
      <c r="F1194" s="52" t="str" cm="1">
        <f t="array" ref="F1194">IFERROR(INDEX(DB!O$2:O$2576,T1194),"")</f>
        <v/>
      </c>
      <c r="G1194" s="43"/>
      <c r="H1194" s="40" t="str" cm="1">
        <f t="array" ref="H1194">IFERROR(INDEX(DB!P$2:P$2576,T1194),"")</f>
        <v/>
      </c>
      <c r="I1194" s="43"/>
      <c r="J1194" s="53" t="str" cm="1">
        <f t="array" ref="J1194">IFERROR(INDEX(DB!Q$2:Q$2576,T1194),"")</f>
        <v/>
      </c>
      <c r="K1194" s="43"/>
      <c r="L1194" s="41" t="str" cm="1">
        <f t="array" ref="L1194">IFERROR(INDEX(DB!R$2:R$2576,T1194),"")</f>
        <v/>
      </c>
      <c r="M1194" s="43"/>
      <c r="P1194" t="str" cm="1">
        <f t="array" ref="P1194">IFERROR(_xlfn.AGGREGATE(15,6,ROW(DB!A$2:A$2576)/((($D$3&lt;&gt;"YES")+($D$3="YES")*(DB!E$2:E$2576="YES"))*(($D$4="")+($D$4&lt;&gt;"")*( DB!B$2:B$2576=$D$4))*(($D$5="")+($D$5&lt;&gt;"")*( DB!C$2:C$2576=$D$5))*(($D$6="")+($D$6&lt;&gt;"")*( DB!D$2:D$2576=$D$6))*(($D$7="")+($D$7&lt;&gt;"")*(ISNUMBER(SEARCH($D$7,DB!G$2:G$2576))))*(($F$7="전체")+($F$7&lt;&gt;"전체")*(DB!H$2:H$2576=$F$7))),ROW()-13)-1,"")</f>
        <v/>
      </c>
      <c r="Q1194" t="str" cm="1">
        <f t="array" ref="Q1194">IFERROR(INDEX(DB!G$2:G$2576,P1194),"")</f>
        <v/>
      </c>
      <c r="R1194" t="str" cm="1">
        <f t="array" ref="R1194">IFERROR(INDEX(DB!O$2:O$2576,P1194),"")</f>
        <v/>
      </c>
      <c r="S1194" t="str">
        <f t="shared" si="57"/>
        <v/>
      </c>
      <c r="T1194" t="str">
        <f t="shared" si="58"/>
        <v/>
      </c>
    </row>
    <row r="1195" spans="1:20" ht="100" customHeight="1">
      <c r="A1195" s="26"/>
      <c r="B1195" s="42" t="str">
        <f t="shared" si="56"/>
        <v/>
      </c>
      <c r="C1195" s="43"/>
      <c r="D1195" s="51" t="str" cm="1">
        <f t="array" ref="D1195">IFERROR(INDEX(DB!G$2:G$2576,T1195),"")</f>
        <v/>
      </c>
      <c r="E1195" s="43"/>
      <c r="F1195" s="52" t="str" cm="1">
        <f t="array" ref="F1195">IFERROR(INDEX(DB!O$2:O$2576,T1195),"")</f>
        <v/>
      </c>
      <c r="G1195" s="43"/>
      <c r="H1195" s="40" t="str" cm="1">
        <f t="array" ref="H1195">IFERROR(INDEX(DB!P$2:P$2576,T1195),"")</f>
        <v/>
      </c>
      <c r="I1195" s="43"/>
      <c r="J1195" s="53" t="str" cm="1">
        <f t="array" ref="J1195">IFERROR(INDEX(DB!Q$2:Q$2576,T1195),"")</f>
        <v/>
      </c>
      <c r="K1195" s="43"/>
      <c r="L1195" s="41" t="str" cm="1">
        <f t="array" ref="L1195">IFERROR(INDEX(DB!R$2:R$2576,T1195),"")</f>
        <v/>
      </c>
      <c r="M1195" s="43"/>
      <c r="P1195" t="str" cm="1">
        <f t="array" ref="P1195">IFERROR(_xlfn.AGGREGATE(15,6,ROW(DB!A$2:A$2576)/((($D$3&lt;&gt;"YES")+($D$3="YES")*(DB!E$2:E$2576="YES"))*(($D$4="")+($D$4&lt;&gt;"")*( DB!B$2:B$2576=$D$4))*(($D$5="")+($D$5&lt;&gt;"")*( DB!C$2:C$2576=$D$5))*(($D$6="")+($D$6&lt;&gt;"")*( DB!D$2:D$2576=$D$6))*(($D$7="")+($D$7&lt;&gt;"")*(ISNUMBER(SEARCH($D$7,DB!G$2:G$2576))))*(($F$7="전체")+($F$7&lt;&gt;"전체")*(DB!H$2:H$2576=$F$7))),ROW()-13)-1,"")</f>
        <v/>
      </c>
      <c r="Q1195" t="str" cm="1">
        <f t="array" ref="Q1195">IFERROR(INDEX(DB!G$2:G$2576,P1195),"")</f>
        <v/>
      </c>
      <c r="R1195" t="str" cm="1">
        <f t="array" ref="R1195">IFERROR(INDEX(DB!O$2:O$2576,P1195),"")</f>
        <v/>
      </c>
      <c r="S1195" t="str">
        <f t="shared" si="57"/>
        <v/>
      </c>
      <c r="T1195" t="str">
        <f t="shared" si="58"/>
        <v/>
      </c>
    </row>
    <row r="1196" spans="1:20" ht="100" customHeight="1">
      <c r="A1196" s="26"/>
      <c r="B1196" s="39" t="str">
        <f t="shared" si="56"/>
        <v/>
      </c>
      <c r="C1196" s="43"/>
      <c r="D1196" s="51" t="str" cm="1">
        <f t="array" ref="D1196">IFERROR(INDEX(DB!G$2:G$2576,T1196),"")</f>
        <v/>
      </c>
      <c r="E1196" s="43"/>
      <c r="F1196" s="52" t="str" cm="1">
        <f t="array" ref="F1196">IFERROR(INDEX(DB!O$2:O$2576,T1196),"")</f>
        <v/>
      </c>
      <c r="G1196" s="43"/>
      <c r="H1196" s="40" t="str" cm="1">
        <f t="array" ref="H1196">IFERROR(INDEX(DB!P$2:P$2576,T1196),"")</f>
        <v/>
      </c>
      <c r="I1196" s="43"/>
      <c r="J1196" s="53" t="str" cm="1">
        <f t="array" ref="J1196">IFERROR(INDEX(DB!Q$2:Q$2576,T1196),"")</f>
        <v/>
      </c>
      <c r="K1196" s="43"/>
      <c r="L1196" s="41" t="str" cm="1">
        <f t="array" ref="L1196">IFERROR(INDEX(DB!R$2:R$2576,T1196),"")</f>
        <v/>
      </c>
      <c r="M1196" s="43"/>
      <c r="P1196" t="str" cm="1">
        <f t="array" ref="P1196">IFERROR(_xlfn.AGGREGATE(15,6,ROW(DB!A$2:A$2576)/((($D$3&lt;&gt;"YES")+($D$3="YES")*(DB!E$2:E$2576="YES"))*(($D$4="")+($D$4&lt;&gt;"")*( DB!B$2:B$2576=$D$4))*(($D$5="")+($D$5&lt;&gt;"")*( DB!C$2:C$2576=$D$5))*(($D$6="")+($D$6&lt;&gt;"")*( DB!D$2:D$2576=$D$6))*(($D$7="")+($D$7&lt;&gt;"")*(ISNUMBER(SEARCH($D$7,DB!G$2:G$2576))))*(($F$7="전체")+($F$7&lt;&gt;"전체")*(DB!H$2:H$2576=$F$7))),ROW()-13)-1,"")</f>
        <v/>
      </c>
      <c r="Q1196" t="str" cm="1">
        <f t="array" ref="Q1196">IFERROR(INDEX(DB!G$2:G$2576,P1196),"")</f>
        <v/>
      </c>
      <c r="R1196" t="str" cm="1">
        <f t="array" ref="R1196">IFERROR(INDEX(DB!O$2:O$2576,P1196),"")</f>
        <v/>
      </c>
      <c r="S1196" t="str">
        <f t="shared" si="57"/>
        <v/>
      </c>
      <c r="T1196" t="str">
        <f t="shared" si="58"/>
        <v/>
      </c>
    </row>
    <row r="1197" spans="1:20" ht="100" customHeight="1">
      <c r="A1197" s="26"/>
      <c r="B1197" s="42" t="str">
        <f t="shared" si="56"/>
        <v/>
      </c>
      <c r="C1197" s="43"/>
      <c r="D1197" s="51" t="str" cm="1">
        <f t="array" ref="D1197">IFERROR(INDEX(DB!G$2:G$2576,T1197),"")</f>
        <v/>
      </c>
      <c r="E1197" s="43"/>
      <c r="F1197" s="52" t="str" cm="1">
        <f t="array" ref="F1197">IFERROR(INDEX(DB!O$2:O$2576,T1197),"")</f>
        <v/>
      </c>
      <c r="G1197" s="43"/>
      <c r="H1197" s="40" t="str" cm="1">
        <f t="array" ref="H1197">IFERROR(INDEX(DB!P$2:P$2576,T1197),"")</f>
        <v/>
      </c>
      <c r="I1197" s="43"/>
      <c r="J1197" s="53" t="str" cm="1">
        <f t="array" ref="J1197">IFERROR(INDEX(DB!Q$2:Q$2576,T1197),"")</f>
        <v/>
      </c>
      <c r="K1197" s="43"/>
      <c r="L1197" s="41" t="str" cm="1">
        <f t="array" ref="L1197">IFERROR(INDEX(DB!R$2:R$2576,T1197),"")</f>
        <v/>
      </c>
      <c r="M1197" s="43"/>
      <c r="P1197" t="str" cm="1">
        <f t="array" ref="P1197">IFERROR(_xlfn.AGGREGATE(15,6,ROW(DB!A$2:A$2576)/((($D$3&lt;&gt;"YES")+($D$3="YES")*(DB!E$2:E$2576="YES"))*(($D$4="")+($D$4&lt;&gt;"")*( DB!B$2:B$2576=$D$4))*(($D$5="")+($D$5&lt;&gt;"")*( DB!C$2:C$2576=$D$5))*(($D$6="")+($D$6&lt;&gt;"")*( DB!D$2:D$2576=$D$6))*(($D$7="")+($D$7&lt;&gt;"")*(ISNUMBER(SEARCH($D$7,DB!G$2:G$2576))))*(($F$7="전체")+($F$7&lt;&gt;"전체")*(DB!H$2:H$2576=$F$7))),ROW()-13)-1,"")</f>
        <v/>
      </c>
      <c r="Q1197" t="str" cm="1">
        <f t="array" ref="Q1197">IFERROR(INDEX(DB!G$2:G$2576,P1197),"")</f>
        <v/>
      </c>
      <c r="R1197" t="str" cm="1">
        <f t="array" ref="R1197">IFERROR(INDEX(DB!O$2:O$2576,P1197),"")</f>
        <v/>
      </c>
      <c r="S1197" t="str">
        <f t="shared" si="57"/>
        <v/>
      </c>
      <c r="T1197" t="str">
        <f t="shared" si="58"/>
        <v/>
      </c>
    </row>
    <row r="1198" spans="1:20" ht="100" customHeight="1">
      <c r="A1198" s="26"/>
      <c r="B1198" s="39" t="str">
        <f t="shared" si="56"/>
        <v/>
      </c>
      <c r="C1198" s="43"/>
      <c r="D1198" s="51" t="str" cm="1">
        <f t="array" ref="D1198">IFERROR(INDEX(DB!G$2:G$2576,T1198),"")</f>
        <v/>
      </c>
      <c r="E1198" s="43"/>
      <c r="F1198" s="52" t="str" cm="1">
        <f t="array" ref="F1198">IFERROR(INDEX(DB!O$2:O$2576,T1198),"")</f>
        <v/>
      </c>
      <c r="G1198" s="43"/>
      <c r="H1198" s="40" t="str" cm="1">
        <f t="array" ref="H1198">IFERROR(INDEX(DB!P$2:P$2576,T1198),"")</f>
        <v/>
      </c>
      <c r="I1198" s="43"/>
      <c r="J1198" s="53" t="str" cm="1">
        <f t="array" ref="J1198">IFERROR(INDEX(DB!Q$2:Q$2576,T1198),"")</f>
        <v/>
      </c>
      <c r="K1198" s="43"/>
      <c r="L1198" s="41" t="str" cm="1">
        <f t="array" ref="L1198">IFERROR(INDEX(DB!R$2:R$2576,T1198),"")</f>
        <v/>
      </c>
      <c r="M1198" s="43"/>
      <c r="P1198" t="str" cm="1">
        <f t="array" ref="P1198">IFERROR(_xlfn.AGGREGATE(15,6,ROW(DB!A$2:A$2576)/((($D$3&lt;&gt;"YES")+($D$3="YES")*(DB!E$2:E$2576="YES"))*(($D$4="")+($D$4&lt;&gt;"")*( DB!B$2:B$2576=$D$4))*(($D$5="")+($D$5&lt;&gt;"")*( DB!C$2:C$2576=$D$5))*(($D$6="")+($D$6&lt;&gt;"")*( DB!D$2:D$2576=$D$6))*(($D$7="")+($D$7&lt;&gt;"")*(ISNUMBER(SEARCH($D$7,DB!G$2:G$2576))))*(($F$7="전체")+($F$7&lt;&gt;"전체")*(DB!H$2:H$2576=$F$7))),ROW()-13)-1,"")</f>
        <v/>
      </c>
      <c r="Q1198" t="str" cm="1">
        <f t="array" ref="Q1198">IFERROR(INDEX(DB!G$2:G$2576,P1198),"")</f>
        <v/>
      </c>
      <c r="R1198" t="str" cm="1">
        <f t="array" ref="R1198">IFERROR(INDEX(DB!O$2:O$2576,P1198),"")</f>
        <v/>
      </c>
      <c r="S1198" t="str">
        <f t="shared" si="57"/>
        <v/>
      </c>
      <c r="T1198" t="str">
        <f t="shared" si="58"/>
        <v/>
      </c>
    </row>
    <row r="1199" spans="1:20" ht="100" customHeight="1">
      <c r="A1199" s="26"/>
      <c r="B1199" s="42" t="str">
        <f t="shared" si="56"/>
        <v/>
      </c>
      <c r="C1199" s="43"/>
      <c r="D1199" s="51" t="str" cm="1">
        <f t="array" ref="D1199">IFERROR(INDEX(DB!G$2:G$2576,T1199),"")</f>
        <v/>
      </c>
      <c r="E1199" s="43"/>
      <c r="F1199" s="52" t="str" cm="1">
        <f t="array" ref="F1199">IFERROR(INDEX(DB!O$2:O$2576,T1199),"")</f>
        <v/>
      </c>
      <c r="G1199" s="43"/>
      <c r="H1199" s="40" t="str" cm="1">
        <f t="array" ref="H1199">IFERROR(INDEX(DB!P$2:P$2576,T1199),"")</f>
        <v/>
      </c>
      <c r="I1199" s="43"/>
      <c r="J1199" s="53" t="str" cm="1">
        <f t="array" ref="J1199">IFERROR(INDEX(DB!Q$2:Q$2576,T1199),"")</f>
        <v/>
      </c>
      <c r="K1199" s="43"/>
      <c r="L1199" s="41" t="str" cm="1">
        <f t="array" ref="L1199">IFERROR(INDEX(DB!R$2:R$2576,T1199),"")</f>
        <v/>
      </c>
      <c r="M1199" s="43"/>
      <c r="P1199" t="str" cm="1">
        <f t="array" ref="P1199">IFERROR(_xlfn.AGGREGATE(15,6,ROW(DB!A$2:A$2576)/((($D$3&lt;&gt;"YES")+($D$3="YES")*(DB!E$2:E$2576="YES"))*(($D$4="")+($D$4&lt;&gt;"")*( DB!B$2:B$2576=$D$4))*(($D$5="")+($D$5&lt;&gt;"")*( DB!C$2:C$2576=$D$5))*(($D$6="")+($D$6&lt;&gt;"")*( DB!D$2:D$2576=$D$6))*(($D$7="")+($D$7&lt;&gt;"")*(ISNUMBER(SEARCH($D$7,DB!G$2:G$2576))))*(($F$7="전체")+($F$7&lt;&gt;"전체")*(DB!H$2:H$2576=$F$7))),ROW()-13)-1,"")</f>
        <v/>
      </c>
      <c r="Q1199" t="str" cm="1">
        <f t="array" ref="Q1199">IFERROR(INDEX(DB!G$2:G$2576,P1199),"")</f>
        <v/>
      </c>
      <c r="R1199" t="str" cm="1">
        <f t="array" ref="R1199">IFERROR(INDEX(DB!O$2:O$2576,P1199),"")</f>
        <v/>
      </c>
      <c r="S1199" t="str">
        <f t="shared" si="57"/>
        <v/>
      </c>
      <c r="T1199" t="str">
        <f t="shared" si="58"/>
        <v/>
      </c>
    </row>
    <row r="1200" spans="1:20" ht="100" customHeight="1">
      <c r="A1200" s="26"/>
      <c r="B1200" s="39" t="str">
        <f t="shared" si="56"/>
        <v/>
      </c>
      <c r="C1200" s="43"/>
      <c r="D1200" s="51" t="str" cm="1">
        <f t="array" ref="D1200">IFERROR(INDEX(DB!G$2:G$2576,T1200),"")</f>
        <v/>
      </c>
      <c r="E1200" s="43"/>
      <c r="F1200" s="52" t="str" cm="1">
        <f t="array" ref="F1200">IFERROR(INDEX(DB!O$2:O$2576,T1200),"")</f>
        <v/>
      </c>
      <c r="G1200" s="43"/>
      <c r="H1200" s="40" t="str" cm="1">
        <f t="array" ref="H1200">IFERROR(INDEX(DB!P$2:P$2576,T1200),"")</f>
        <v/>
      </c>
      <c r="I1200" s="43"/>
      <c r="J1200" s="53" t="str" cm="1">
        <f t="array" ref="J1200">IFERROR(INDEX(DB!Q$2:Q$2576,T1200),"")</f>
        <v/>
      </c>
      <c r="K1200" s="43"/>
      <c r="L1200" s="41" t="str" cm="1">
        <f t="array" ref="L1200">IFERROR(INDEX(DB!R$2:R$2576,T1200),"")</f>
        <v/>
      </c>
      <c r="M1200" s="43"/>
      <c r="P1200" t="str" cm="1">
        <f t="array" ref="P1200">IFERROR(_xlfn.AGGREGATE(15,6,ROW(DB!A$2:A$2576)/((($D$3&lt;&gt;"YES")+($D$3="YES")*(DB!E$2:E$2576="YES"))*(($D$4="")+($D$4&lt;&gt;"")*( DB!B$2:B$2576=$D$4))*(($D$5="")+($D$5&lt;&gt;"")*( DB!C$2:C$2576=$D$5))*(($D$6="")+($D$6&lt;&gt;"")*( DB!D$2:D$2576=$D$6))*(($D$7="")+($D$7&lt;&gt;"")*(ISNUMBER(SEARCH($D$7,DB!G$2:G$2576))))*(($F$7="전체")+($F$7&lt;&gt;"전체")*(DB!H$2:H$2576=$F$7))),ROW()-13)-1,"")</f>
        <v/>
      </c>
      <c r="Q1200" t="str" cm="1">
        <f t="array" ref="Q1200">IFERROR(INDEX(DB!G$2:G$2576,P1200),"")</f>
        <v/>
      </c>
      <c r="R1200" t="str" cm="1">
        <f t="array" ref="R1200">IFERROR(INDEX(DB!O$2:O$2576,P1200),"")</f>
        <v/>
      </c>
      <c r="S1200" t="str">
        <f t="shared" si="57"/>
        <v/>
      </c>
      <c r="T1200" t="str">
        <f t="shared" si="58"/>
        <v/>
      </c>
    </row>
    <row r="1201" spans="1:20" ht="100" customHeight="1">
      <c r="A1201" s="26"/>
      <c r="B1201" s="42" t="str">
        <f t="shared" si="56"/>
        <v/>
      </c>
      <c r="C1201" s="43"/>
      <c r="D1201" s="51" t="str" cm="1">
        <f t="array" ref="D1201">IFERROR(INDEX(DB!G$2:G$2576,T1201),"")</f>
        <v/>
      </c>
      <c r="E1201" s="43"/>
      <c r="F1201" s="52" t="str" cm="1">
        <f t="array" ref="F1201">IFERROR(INDEX(DB!O$2:O$2576,T1201),"")</f>
        <v/>
      </c>
      <c r="G1201" s="43"/>
      <c r="H1201" s="40" t="str" cm="1">
        <f t="array" ref="H1201">IFERROR(INDEX(DB!P$2:P$2576,T1201),"")</f>
        <v/>
      </c>
      <c r="I1201" s="43"/>
      <c r="J1201" s="53" t="str" cm="1">
        <f t="array" ref="J1201">IFERROR(INDEX(DB!Q$2:Q$2576,T1201),"")</f>
        <v/>
      </c>
      <c r="K1201" s="43"/>
      <c r="L1201" s="41" t="str" cm="1">
        <f t="array" ref="L1201">IFERROR(INDEX(DB!R$2:R$2576,T1201),"")</f>
        <v/>
      </c>
      <c r="M1201" s="43"/>
      <c r="P1201" t="str" cm="1">
        <f t="array" ref="P1201">IFERROR(_xlfn.AGGREGATE(15,6,ROW(DB!A$2:A$2576)/((($D$3&lt;&gt;"YES")+($D$3="YES")*(DB!E$2:E$2576="YES"))*(($D$4="")+($D$4&lt;&gt;"")*( DB!B$2:B$2576=$D$4))*(($D$5="")+($D$5&lt;&gt;"")*( DB!C$2:C$2576=$D$5))*(($D$6="")+($D$6&lt;&gt;"")*( DB!D$2:D$2576=$D$6))*(($D$7="")+($D$7&lt;&gt;"")*(ISNUMBER(SEARCH($D$7,DB!G$2:G$2576))))*(($F$7="전체")+($F$7&lt;&gt;"전체")*(DB!H$2:H$2576=$F$7))),ROW()-13)-1,"")</f>
        <v/>
      </c>
      <c r="Q1201" t="str" cm="1">
        <f t="array" ref="Q1201">IFERROR(INDEX(DB!G$2:G$2576,P1201),"")</f>
        <v/>
      </c>
      <c r="R1201" t="str" cm="1">
        <f t="array" ref="R1201">IFERROR(INDEX(DB!O$2:O$2576,P1201),"")</f>
        <v/>
      </c>
      <c r="S1201" t="str">
        <f t="shared" si="57"/>
        <v/>
      </c>
      <c r="T1201" t="str">
        <f t="shared" si="58"/>
        <v/>
      </c>
    </row>
    <row r="1202" spans="1:20" ht="100" customHeight="1">
      <c r="A1202" s="26"/>
      <c r="B1202" s="39" t="str">
        <f t="shared" si="56"/>
        <v/>
      </c>
      <c r="C1202" s="43"/>
      <c r="D1202" s="51" t="str" cm="1">
        <f t="array" ref="D1202">IFERROR(INDEX(DB!G$2:G$2576,T1202),"")</f>
        <v/>
      </c>
      <c r="E1202" s="43"/>
      <c r="F1202" s="52" t="str" cm="1">
        <f t="array" ref="F1202">IFERROR(INDEX(DB!O$2:O$2576,T1202),"")</f>
        <v/>
      </c>
      <c r="G1202" s="43"/>
      <c r="H1202" s="40" t="str" cm="1">
        <f t="array" ref="H1202">IFERROR(INDEX(DB!P$2:P$2576,T1202),"")</f>
        <v/>
      </c>
      <c r="I1202" s="43"/>
      <c r="J1202" s="53" t="str" cm="1">
        <f t="array" ref="J1202">IFERROR(INDEX(DB!Q$2:Q$2576,T1202),"")</f>
        <v/>
      </c>
      <c r="K1202" s="43"/>
      <c r="L1202" s="41" t="str" cm="1">
        <f t="array" ref="L1202">IFERROR(INDEX(DB!R$2:R$2576,T1202),"")</f>
        <v/>
      </c>
      <c r="M1202" s="43"/>
      <c r="P1202" t="str" cm="1">
        <f t="array" ref="P1202">IFERROR(_xlfn.AGGREGATE(15,6,ROW(DB!A$2:A$2576)/((($D$3&lt;&gt;"YES")+($D$3="YES")*(DB!E$2:E$2576="YES"))*(($D$4="")+($D$4&lt;&gt;"")*( DB!B$2:B$2576=$D$4))*(($D$5="")+($D$5&lt;&gt;"")*( DB!C$2:C$2576=$D$5))*(($D$6="")+($D$6&lt;&gt;"")*( DB!D$2:D$2576=$D$6))*(($D$7="")+($D$7&lt;&gt;"")*(ISNUMBER(SEARCH($D$7,DB!G$2:G$2576))))*(($F$7="전체")+($F$7&lt;&gt;"전체")*(DB!H$2:H$2576=$F$7))),ROW()-13)-1,"")</f>
        <v/>
      </c>
      <c r="Q1202" t="str" cm="1">
        <f t="array" ref="Q1202">IFERROR(INDEX(DB!G$2:G$2576,P1202),"")</f>
        <v/>
      </c>
      <c r="R1202" t="str" cm="1">
        <f t="array" ref="R1202">IFERROR(INDEX(DB!O$2:O$2576,P1202),"")</f>
        <v/>
      </c>
      <c r="S1202" t="str">
        <f t="shared" si="57"/>
        <v/>
      </c>
      <c r="T1202" t="str">
        <f t="shared" si="58"/>
        <v/>
      </c>
    </row>
    <row r="1203" spans="1:20" ht="100" customHeight="1">
      <c r="A1203" s="26"/>
      <c r="B1203" s="42" t="str">
        <f t="shared" si="56"/>
        <v/>
      </c>
      <c r="C1203" s="43"/>
      <c r="D1203" s="51" t="str" cm="1">
        <f t="array" ref="D1203">IFERROR(INDEX(DB!G$2:G$2576,T1203),"")</f>
        <v/>
      </c>
      <c r="E1203" s="43"/>
      <c r="F1203" s="52" t="str" cm="1">
        <f t="array" ref="F1203">IFERROR(INDEX(DB!O$2:O$2576,T1203),"")</f>
        <v/>
      </c>
      <c r="G1203" s="43"/>
      <c r="H1203" s="40" t="str" cm="1">
        <f t="array" ref="H1203">IFERROR(INDEX(DB!P$2:P$2576,T1203),"")</f>
        <v/>
      </c>
      <c r="I1203" s="43"/>
      <c r="J1203" s="53" t="str" cm="1">
        <f t="array" ref="J1203">IFERROR(INDEX(DB!Q$2:Q$2576,T1203),"")</f>
        <v/>
      </c>
      <c r="K1203" s="43"/>
      <c r="L1203" s="41" t="str" cm="1">
        <f t="array" ref="L1203">IFERROR(INDEX(DB!R$2:R$2576,T1203),"")</f>
        <v/>
      </c>
      <c r="M1203" s="43"/>
      <c r="P1203" t="str" cm="1">
        <f t="array" ref="P1203">IFERROR(_xlfn.AGGREGATE(15,6,ROW(DB!A$2:A$2576)/((($D$3&lt;&gt;"YES")+($D$3="YES")*(DB!E$2:E$2576="YES"))*(($D$4="")+($D$4&lt;&gt;"")*( DB!B$2:B$2576=$D$4))*(($D$5="")+($D$5&lt;&gt;"")*( DB!C$2:C$2576=$D$5))*(($D$6="")+($D$6&lt;&gt;"")*( DB!D$2:D$2576=$D$6))*(($D$7="")+($D$7&lt;&gt;"")*(ISNUMBER(SEARCH($D$7,DB!G$2:G$2576))))*(($F$7="전체")+($F$7&lt;&gt;"전체")*(DB!H$2:H$2576=$F$7))),ROW()-13)-1,"")</f>
        <v/>
      </c>
      <c r="Q1203" t="str" cm="1">
        <f t="array" ref="Q1203">IFERROR(INDEX(DB!G$2:G$2576,P1203),"")</f>
        <v/>
      </c>
      <c r="R1203" t="str" cm="1">
        <f t="array" ref="R1203">IFERROR(INDEX(DB!O$2:O$2576,P1203),"")</f>
        <v/>
      </c>
      <c r="S1203" t="str">
        <f t="shared" si="57"/>
        <v/>
      </c>
      <c r="T1203" t="str">
        <f t="shared" si="58"/>
        <v/>
      </c>
    </row>
    <row r="1204" spans="1:20" ht="100" customHeight="1">
      <c r="A1204" s="26"/>
      <c r="B1204" s="39" t="str">
        <f t="shared" si="56"/>
        <v/>
      </c>
      <c r="C1204" s="43"/>
      <c r="D1204" s="51" t="str" cm="1">
        <f t="array" ref="D1204">IFERROR(INDEX(DB!G$2:G$2576,T1204),"")</f>
        <v/>
      </c>
      <c r="E1204" s="43"/>
      <c r="F1204" s="52" t="str" cm="1">
        <f t="array" ref="F1204">IFERROR(INDEX(DB!O$2:O$2576,T1204),"")</f>
        <v/>
      </c>
      <c r="G1204" s="43"/>
      <c r="H1204" s="40" t="str" cm="1">
        <f t="array" ref="H1204">IFERROR(INDEX(DB!P$2:P$2576,T1204),"")</f>
        <v/>
      </c>
      <c r="I1204" s="43"/>
      <c r="J1204" s="53" t="str" cm="1">
        <f t="array" ref="J1204">IFERROR(INDEX(DB!Q$2:Q$2576,T1204),"")</f>
        <v/>
      </c>
      <c r="K1204" s="43"/>
      <c r="L1204" s="41" t="str" cm="1">
        <f t="array" ref="L1204">IFERROR(INDEX(DB!R$2:R$2576,T1204),"")</f>
        <v/>
      </c>
      <c r="M1204" s="43"/>
      <c r="P1204" t="str" cm="1">
        <f t="array" ref="P1204">IFERROR(_xlfn.AGGREGATE(15,6,ROW(DB!A$2:A$2576)/((($D$3&lt;&gt;"YES")+($D$3="YES")*(DB!E$2:E$2576="YES"))*(($D$4="")+($D$4&lt;&gt;"")*( DB!B$2:B$2576=$D$4))*(($D$5="")+($D$5&lt;&gt;"")*( DB!C$2:C$2576=$D$5))*(($D$6="")+($D$6&lt;&gt;"")*( DB!D$2:D$2576=$D$6))*(($D$7="")+($D$7&lt;&gt;"")*(ISNUMBER(SEARCH($D$7,DB!G$2:G$2576))))*(($F$7="전체")+($F$7&lt;&gt;"전체")*(DB!H$2:H$2576=$F$7))),ROW()-13)-1,"")</f>
        <v/>
      </c>
      <c r="Q1204" t="str" cm="1">
        <f t="array" ref="Q1204">IFERROR(INDEX(DB!G$2:G$2576,P1204),"")</f>
        <v/>
      </c>
      <c r="R1204" t="str" cm="1">
        <f t="array" ref="R1204">IFERROR(INDEX(DB!O$2:O$2576,P1204),"")</f>
        <v/>
      </c>
      <c r="S1204" t="str">
        <f t="shared" si="57"/>
        <v/>
      </c>
      <c r="T1204" t="str">
        <f t="shared" si="58"/>
        <v/>
      </c>
    </row>
    <row r="1205" spans="1:20" ht="100" customHeight="1">
      <c r="A1205" s="26"/>
      <c r="B1205" s="42" t="str">
        <f t="shared" si="56"/>
        <v/>
      </c>
      <c r="C1205" s="43"/>
      <c r="D1205" s="51" t="str" cm="1">
        <f t="array" ref="D1205">IFERROR(INDEX(DB!G$2:G$2576,T1205),"")</f>
        <v/>
      </c>
      <c r="E1205" s="43"/>
      <c r="F1205" s="52" t="str" cm="1">
        <f t="array" ref="F1205">IFERROR(INDEX(DB!O$2:O$2576,T1205),"")</f>
        <v/>
      </c>
      <c r="G1205" s="43"/>
      <c r="H1205" s="40" t="str" cm="1">
        <f t="array" ref="H1205">IFERROR(INDEX(DB!P$2:P$2576,T1205),"")</f>
        <v/>
      </c>
      <c r="I1205" s="43"/>
      <c r="J1205" s="53" t="str" cm="1">
        <f t="array" ref="J1205">IFERROR(INDEX(DB!Q$2:Q$2576,T1205),"")</f>
        <v/>
      </c>
      <c r="K1205" s="43"/>
      <c r="L1205" s="41" t="str" cm="1">
        <f t="array" ref="L1205">IFERROR(INDEX(DB!R$2:R$2576,T1205),"")</f>
        <v/>
      </c>
      <c r="M1205" s="43"/>
      <c r="P1205" t="str" cm="1">
        <f t="array" ref="P1205">IFERROR(_xlfn.AGGREGATE(15,6,ROW(DB!A$2:A$2576)/((($D$3&lt;&gt;"YES")+($D$3="YES")*(DB!E$2:E$2576="YES"))*(($D$4="")+($D$4&lt;&gt;"")*( DB!B$2:B$2576=$D$4))*(($D$5="")+($D$5&lt;&gt;"")*( DB!C$2:C$2576=$D$5))*(($D$6="")+($D$6&lt;&gt;"")*( DB!D$2:D$2576=$D$6))*(($D$7="")+($D$7&lt;&gt;"")*(ISNUMBER(SEARCH($D$7,DB!G$2:G$2576))))*(($F$7="전체")+($F$7&lt;&gt;"전체")*(DB!H$2:H$2576=$F$7))),ROW()-13)-1,"")</f>
        <v/>
      </c>
      <c r="Q1205" t="str" cm="1">
        <f t="array" ref="Q1205">IFERROR(INDEX(DB!G$2:G$2576,P1205),"")</f>
        <v/>
      </c>
      <c r="R1205" t="str" cm="1">
        <f t="array" ref="R1205">IFERROR(INDEX(DB!O$2:O$2576,P1205),"")</f>
        <v/>
      </c>
      <c r="S1205" t="str">
        <f t="shared" si="57"/>
        <v/>
      </c>
      <c r="T1205" t="str">
        <f t="shared" si="58"/>
        <v/>
      </c>
    </row>
    <row r="1206" spans="1:20" ht="100" customHeight="1">
      <c r="A1206" s="26"/>
      <c r="B1206" s="39" t="str">
        <f t="shared" si="56"/>
        <v/>
      </c>
      <c r="C1206" s="43"/>
      <c r="D1206" s="51" t="str" cm="1">
        <f t="array" ref="D1206">IFERROR(INDEX(DB!G$2:G$2576,T1206),"")</f>
        <v/>
      </c>
      <c r="E1206" s="43"/>
      <c r="F1206" s="52" t="str" cm="1">
        <f t="array" ref="F1206">IFERROR(INDEX(DB!O$2:O$2576,T1206),"")</f>
        <v/>
      </c>
      <c r="G1206" s="43"/>
      <c r="H1206" s="40" t="str" cm="1">
        <f t="array" ref="H1206">IFERROR(INDEX(DB!P$2:P$2576,T1206),"")</f>
        <v/>
      </c>
      <c r="I1206" s="43"/>
      <c r="J1206" s="53" t="str" cm="1">
        <f t="array" ref="J1206">IFERROR(INDEX(DB!Q$2:Q$2576,T1206),"")</f>
        <v/>
      </c>
      <c r="K1206" s="43"/>
      <c r="L1206" s="41" t="str" cm="1">
        <f t="array" ref="L1206">IFERROR(INDEX(DB!R$2:R$2576,T1206),"")</f>
        <v/>
      </c>
      <c r="M1206" s="43"/>
      <c r="P1206" t="str" cm="1">
        <f t="array" ref="P1206">IFERROR(_xlfn.AGGREGATE(15,6,ROW(DB!A$2:A$2576)/((($D$3&lt;&gt;"YES")+($D$3="YES")*(DB!E$2:E$2576="YES"))*(($D$4="")+($D$4&lt;&gt;"")*( DB!B$2:B$2576=$D$4))*(($D$5="")+($D$5&lt;&gt;"")*( DB!C$2:C$2576=$D$5))*(($D$6="")+($D$6&lt;&gt;"")*( DB!D$2:D$2576=$D$6))*(($D$7="")+($D$7&lt;&gt;"")*(ISNUMBER(SEARCH($D$7,DB!G$2:G$2576))))*(($F$7="전체")+($F$7&lt;&gt;"전체")*(DB!H$2:H$2576=$F$7))),ROW()-13)-1,"")</f>
        <v/>
      </c>
      <c r="Q1206" t="str" cm="1">
        <f t="array" ref="Q1206">IFERROR(INDEX(DB!G$2:G$2576,P1206),"")</f>
        <v/>
      </c>
      <c r="R1206" t="str" cm="1">
        <f t="array" ref="R1206">IFERROR(INDEX(DB!O$2:O$2576,P1206),"")</f>
        <v/>
      </c>
      <c r="S1206" t="str">
        <f t="shared" si="57"/>
        <v/>
      </c>
      <c r="T1206" t="str">
        <f t="shared" si="58"/>
        <v/>
      </c>
    </row>
    <row r="1207" spans="1:20" ht="100" customHeight="1">
      <c r="A1207" s="26"/>
      <c r="B1207" s="42" t="str">
        <f t="shared" si="56"/>
        <v/>
      </c>
      <c r="C1207" s="43"/>
      <c r="D1207" s="51" t="str" cm="1">
        <f t="array" ref="D1207">IFERROR(INDEX(DB!G$2:G$2576,T1207),"")</f>
        <v/>
      </c>
      <c r="E1207" s="43"/>
      <c r="F1207" s="52" t="str" cm="1">
        <f t="array" ref="F1207">IFERROR(INDEX(DB!O$2:O$2576,T1207),"")</f>
        <v/>
      </c>
      <c r="G1207" s="43"/>
      <c r="H1207" s="40" t="str" cm="1">
        <f t="array" ref="H1207">IFERROR(INDEX(DB!P$2:P$2576,T1207),"")</f>
        <v/>
      </c>
      <c r="I1207" s="43"/>
      <c r="J1207" s="53" t="str" cm="1">
        <f t="array" ref="J1207">IFERROR(INDEX(DB!Q$2:Q$2576,T1207),"")</f>
        <v/>
      </c>
      <c r="K1207" s="43"/>
      <c r="L1207" s="41" t="str" cm="1">
        <f t="array" ref="L1207">IFERROR(INDEX(DB!R$2:R$2576,T1207),"")</f>
        <v/>
      </c>
      <c r="M1207" s="43"/>
      <c r="P1207" t="str" cm="1">
        <f t="array" ref="P1207">IFERROR(_xlfn.AGGREGATE(15,6,ROW(DB!A$2:A$2576)/((($D$3&lt;&gt;"YES")+($D$3="YES")*(DB!E$2:E$2576="YES"))*(($D$4="")+($D$4&lt;&gt;"")*( DB!B$2:B$2576=$D$4))*(($D$5="")+($D$5&lt;&gt;"")*( DB!C$2:C$2576=$D$5))*(($D$6="")+($D$6&lt;&gt;"")*( DB!D$2:D$2576=$D$6))*(($D$7="")+($D$7&lt;&gt;"")*(ISNUMBER(SEARCH($D$7,DB!G$2:G$2576))))*(($F$7="전체")+($F$7&lt;&gt;"전체")*(DB!H$2:H$2576=$F$7))),ROW()-13)-1,"")</f>
        <v/>
      </c>
      <c r="Q1207" t="str" cm="1">
        <f t="array" ref="Q1207">IFERROR(INDEX(DB!G$2:G$2576,P1207),"")</f>
        <v/>
      </c>
      <c r="R1207" t="str" cm="1">
        <f t="array" ref="R1207">IFERROR(INDEX(DB!O$2:O$2576,P1207),"")</f>
        <v/>
      </c>
      <c r="S1207" t="str">
        <f t="shared" si="57"/>
        <v/>
      </c>
      <c r="T1207" t="str">
        <f t="shared" si="58"/>
        <v/>
      </c>
    </row>
    <row r="1208" spans="1:20" ht="100" customHeight="1">
      <c r="A1208" s="26"/>
      <c r="B1208" s="39" t="str">
        <f t="shared" si="56"/>
        <v/>
      </c>
      <c r="C1208" s="43"/>
      <c r="D1208" s="51" t="str" cm="1">
        <f t="array" ref="D1208">IFERROR(INDEX(DB!G$2:G$2576,T1208),"")</f>
        <v/>
      </c>
      <c r="E1208" s="43"/>
      <c r="F1208" s="52" t="str" cm="1">
        <f t="array" ref="F1208">IFERROR(INDEX(DB!O$2:O$2576,T1208),"")</f>
        <v/>
      </c>
      <c r="G1208" s="43"/>
      <c r="H1208" s="40" t="str" cm="1">
        <f t="array" ref="H1208">IFERROR(INDEX(DB!P$2:P$2576,T1208),"")</f>
        <v/>
      </c>
      <c r="I1208" s="43"/>
      <c r="J1208" s="53" t="str" cm="1">
        <f t="array" ref="J1208">IFERROR(INDEX(DB!Q$2:Q$2576,T1208),"")</f>
        <v/>
      </c>
      <c r="K1208" s="43"/>
      <c r="L1208" s="41" t="str" cm="1">
        <f t="array" ref="L1208">IFERROR(INDEX(DB!R$2:R$2576,T1208),"")</f>
        <v/>
      </c>
      <c r="M1208" s="43"/>
      <c r="P1208" t="str" cm="1">
        <f t="array" ref="P1208">IFERROR(_xlfn.AGGREGATE(15,6,ROW(DB!A$2:A$2576)/((($D$3&lt;&gt;"YES")+($D$3="YES")*(DB!E$2:E$2576="YES"))*(($D$4="")+($D$4&lt;&gt;"")*( DB!B$2:B$2576=$D$4))*(($D$5="")+($D$5&lt;&gt;"")*( DB!C$2:C$2576=$D$5))*(($D$6="")+($D$6&lt;&gt;"")*( DB!D$2:D$2576=$D$6))*(($D$7="")+($D$7&lt;&gt;"")*(ISNUMBER(SEARCH($D$7,DB!G$2:G$2576))))*(($F$7="전체")+($F$7&lt;&gt;"전체")*(DB!H$2:H$2576=$F$7))),ROW()-13)-1,"")</f>
        <v/>
      </c>
      <c r="Q1208" t="str" cm="1">
        <f t="array" ref="Q1208">IFERROR(INDEX(DB!G$2:G$2576,P1208),"")</f>
        <v/>
      </c>
      <c r="R1208" t="str" cm="1">
        <f t="array" ref="R1208">IFERROR(INDEX(DB!O$2:O$2576,P1208),"")</f>
        <v/>
      </c>
      <c r="S1208" t="str">
        <f t="shared" si="57"/>
        <v/>
      </c>
      <c r="T1208" t="str">
        <f t="shared" si="58"/>
        <v/>
      </c>
    </row>
    <row r="1209" spans="1:20" ht="100" customHeight="1">
      <c r="A1209" s="26"/>
      <c r="B1209" s="42" t="str">
        <f t="shared" si="56"/>
        <v/>
      </c>
      <c r="C1209" s="43"/>
      <c r="D1209" s="51" t="str" cm="1">
        <f t="array" ref="D1209">IFERROR(INDEX(DB!G$2:G$2576,T1209),"")</f>
        <v/>
      </c>
      <c r="E1209" s="43"/>
      <c r="F1209" s="52" t="str" cm="1">
        <f t="array" ref="F1209">IFERROR(INDEX(DB!O$2:O$2576,T1209),"")</f>
        <v/>
      </c>
      <c r="G1209" s="43"/>
      <c r="H1209" s="40" t="str" cm="1">
        <f t="array" ref="H1209">IFERROR(INDEX(DB!P$2:P$2576,T1209),"")</f>
        <v/>
      </c>
      <c r="I1209" s="43"/>
      <c r="J1209" s="53" t="str" cm="1">
        <f t="array" ref="J1209">IFERROR(INDEX(DB!Q$2:Q$2576,T1209),"")</f>
        <v/>
      </c>
      <c r="K1209" s="43"/>
      <c r="L1209" s="41" t="str" cm="1">
        <f t="array" ref="L1209">IFERROR(INDEX(DB!R$2:R$2576,T1209),"")</f>
        <v/>
      </c>
      <c r="M1209" s="43"/>
      <c r="P1209" t="str" cm="1">
        <f t="array" ref="P1209">IFERROR(_xlfn.AGGREGATE(15,6,ROW(DB!A$2:A$2576)/((($D$3&lt;&gt;"YES")+($D$3="YES")*(DB!E$2:E$2576="YES"))*(($D$4="")+($D$4&lt;&gt;"")*( DB!B$2:B$2576=$D$4))*(($D$5="")+($D$5&lt;&gt;"")*( DB!C$2:C$2576=$D$5))*(($D$6="")+($D$6&lt;&gt;"")*( DB!D$2:D$2576=$D$6))*(($D$7="")+($D$7&lt;&gt;"")*(ISNUMBER(SEARCH($D$7,DB!G$2:G$2576))))*(($F$7="전체")+($F$7&lt;&gt;"전체")*(DB!H$2:H$2576=$F$7))),ROW()-13)-1,"")</f>
        <v/>
      </c>
      <c r="Q1209" t="str" cm="1">
        <f t="array" ref="Q1209">IFERROR(INDEX(DB!G$2:G$2576,P1209),"")</f>
        <v/>
      </c>
      <c r="R1209" t="str" cm="1">
        <f t="array" ref="R1209">IFERROR(INDEX(DB!O$2:O$2576,P1209),"")</f>
        <v/>
      </c>
      <c r="S1209" t="str">
        <f t="shared" si="57"/>
        <v/>
      </c>
      <c r="T1209" t="str">
        <f t="shared" si="58"/>
        <v/>
      </c>
    </row>
    <row r="1210" spans="1:20" ht="100" customHeight="1">
      <c r="A1210" s="26"/>
      <c r="B1210" s="39" t="str">
        <f t="shared" si="56"/>
        <v/>
      </c>
      <c r="C1210" s="43"/>
      <c r="D1210" s="51" t="str" cm="1">
        <f t="array" ref="D1210">IFERROR(INDEX(DB!G$2:G$2576,T1210),"")</f>
        <v/>
      </c>
      <c r="E1210" s="43"/>
      <c r="F1210" s="52" t="str" cm="1">
        <f t="array" ref="F1210">IFERROR(INDEX(DB!O$2:O$2576,T1210),"")</f>
        <v/>
      </c>
      <c r="G1210" s="43"/>
      <c r="H1210" s="40" t="str" cm="1">
        <f t="array" ref="H1210">IFERROR(INDEX(DB!P$2:P$2576,T1210),"")</f>
        <v/>
      </c>
      <c r="I1210" s="43"/>
      <c r="J1210" s="53" t="str" cm="1">
        <f t="array" ref="J1210">IFERROR(INDEX(DB!Q$2:Q$2576,T1210),"")</f>
        <v/>
      </c>
      <c r="K1210" s="43"/>
      <c r="L1210" s="41" t="str" cm="1">
        <f t="array" ref="L1210">IFERROR(INDEX(DB!R$2:R$2576,T1210),"")</f>
        <v/>
      </c>
      <c r="M1210" s="43"/>
      <c r="P1210" t="str" cm="1">
        <f t="array" ref="P1210">IFERROR(_xlfn.AGGREGATE(15,6,ROW(DB!A$2:A$2576)/((($D$3&lt;&gt;"YES")+($D$3="YES")*(DB!E$2:E$2576="YES"))*(($D$4="")+($D$4&lt;&gt;"")*( DB!B$2:B$2576=$D$4))*(($D$5="")+($D$5&lt;&gt;"")*( DB!C$2:C$2576=$D$5))*(($D$6="")+($D$6&lt;&gt;"")*( DB!D$2:D$2576=$D$6))*(($D$7="")+($D$7&lt;&gt;"")*(ISNUMBER(SEARCH($D$7,DB!G$2:G$2576))))*(($F$7="전체")+($F$7&lt;&gt;"전체")*(DB!H$2:H$2576=$F$7))),ROW()-13)-1,"")</f>
        <v/>
      </c>
      <c r="Q1210" t="str" cm="1">
        <f t="array" ref="Q1210">IFERROR(INDEX(DB!G$2:G$2576,P1210),"")</f>
        <v/>
      </c>
      <c r="R1210" t="str" cm="1">
        <f t="array" ref="R1210">IFERROR(INDEX(DB!O$2:O$2576,P1210),"")</f>
        <v/>
      </c>
      <c r="S1210" t="str">
        <f t="shared" si="57"/>
        <v/>
      </c>
      <c r="T1210" t="str">
        <f t="shared" si="58"/>
        <v/>
      </c>
    </row>
    <row r="1211" spans="1:20" ht="100" customHeight="1">
      <c r="A1211" s="26"/>
      <c r="B1211" s="42" t="str">
        <f t="shared" si="56"/>
        <v/>
      </c>
      <c r="C1211" s="43"/>
      <c r="D1211" s="51" t="str" cm="1">
        <f t="array" ref="D1211">IFERROR(INDEX(DB!G$2:G$2576,T1211),"")</f>
        <v/>
      </c>
      <c r="E1211" s="43"/>
      <c r="F1211" s="52" t="str" cm="1">
        <f t="array" ref="F1211">IFERROR(INDEX(DB!O$2:O$2576,T1211),"")</f>
        <v/>
      </c>
      <c r="G1211" s="43"/>
      <c r="H1211" s="40" t="str" cm="1">
        <f t="array" ref="H1211">IFERROR(INDEX(DB!P$2:P$2576,T1211),"")</f>
        <v/>
      </c>
      <c r="I1211" s="43"/>
      <c r="J1211" s="53" t="str" cm="1">
        <f t="array" ref="J1211">IFERROR(INDEX(DB!Q$2:Q$2576,T1211),"")</f>
        <v/>
      </c>
      <c r="K1211" s="43"/>
      <c r="L1211" s="41" t="str" cm="1">
        <f t="array" ref="L1211">IFERROR(INDEX(DB!R$2:R$2576,T1211),"")</f>
        <v/>
      </c>
      <c r="M1211" s="43"/>
      <c r="P1211" t="str" cm="1">
        <f t="array" ref="P1211">IFERROR(_xlfn.AGGREGATE(15,6,ROW(DB!A$2:A$2576)/((($D$3&lt;&gt;"YES")+($D$3="YES")*(DB!E$2:E$2576="YES"))*(($D$4="")+($D$4&lt;&gt;"")*( DB!B$2:B$2576=$D$4))*(($D$5="")+($D$5&lt;&gt;"")*( DB!C$2:C$2576=$D$5))*(($D$6="")+($D$6&lt;&gt;"")*( DB!D$2:D$2576=$D$6))*(($D$7="")+($D$7&lt;&gt;"")*(ISNUMBER(SEARCH($D$7,DB!G$2:G$2576))))*(($F$7="전체")+($F$7&lt;&gt;"전체")*(DB!H$2:H$2576=$F$7))),ROW()-13)-1,"")</f>
        <v/>
      </c>
      <c r="Q1211" t="str" cm="1">
        <f t="array" ref="Q1211">IFERROR(INDEX(DB!G$2:G$2576,P1211),"")</f>
        <v/>
      </c>
      <c r="R1211" t="str" cm="1">
        <f t="array" ref="R1211">IFERROR(INDEX(DB!O$2:O$2576,P1211),"")</f>
        <v/>
      </c>
      <c r="S1211" t="str">
        <f t="shared" si="57"/>
        <v/>
      </c>
      <c r="T1211" t="str">
        <f t="shared" si="58"/>
        <v/>
      </c>
    </row>
    <row r="1212" spans="1:20" ht="100" customHeight="1">
      <c r="A1212" s="26"/>
      <c r="B1212" s="39" t="str">
        <f t="shared" si="56"/>
        <v/>
      </c>
      <c r="C1212" s="43"/>
      <c r="D1212" s="51" t="str" cm="1">
        <f t="array" ref="D1212">IFERROR(INDEX(DB!G$2:G$2576,T1212),"")</f>
        <v/>
      </c>
      <c r="E1212" s="43"/>
      <c r="F1212" s="52" t="str" cm="1">
        <f t="array" ref="F1212">IFERROR(INDEX(DB!O$2:O$2576,T1212),"")</f>
        <v/>
      </c>
      <c r="G1212" s="43"/>
      <c r="H1212" s="40" t="str" cm="1">
        <f t="array" ref="H1212">IFERROR(INDEX(DB!P$2:P$2576,T1212),"")</f>
        <v/>
      </c>
      <c r="I1212" s="43"/>
      <c r="J1212" s="53" t="str" cm="1">
        <f t="array" ref="J1212">IFERROR(INDEX(DB!Q$2:Q$2576,T1212),"")</f>
        <v/>
      </c>
      <c r="K1212" s="43"/>
      <c r="L1212" s="41" t="str" cm="1">
        <f t="array" ref="L1212">IFERROR(INDEX(DB!R$2:R$2576,T1212),"")</f>
        <v/>
      </c>
      <c r="M1212" s="43"/>
      <c r="P1212" t="str" cm="1">
        <f t="array" ref="P1212">IFERROR(_xlfn.AGGREGATE(15,6,ROW(DB!A$2:A$2576)/((($D$3&lt;&gt;"YES")+($D$3="YES")*(DB!E$2:E$2576="YES"))*(($D$4="")+($D$4&lt;&gt;"")*( DB!B$2:B$2576=$D$4))*(($D$5="")+($D$5&lt;&gt;"")*( DB!C$2:C$2576=$D$5))*(($D$6="")+($D$6&lt;&gt;"")*( DB!D$2:D$2576=$D$6))*(($D$7="")+($D$7&lt;&gt;"")*(ISNUMBER(SEARCH($D$7,DB!G$2:G$2576))))*(($F$7="전체")+($F$7&lt;&gt;"전체")*(DB!H$2:H$2576=$F$7))),ROW()-13)-1,"")</f>
        <v/>
      </c>
      <c r="Q1212" t="str" cm="1">
        <f t="array" ref="Q1212">IFERROR(INDEX(DB!G$2:G$2576,P1212),"")</f>
        <v/>
      </c>
      <c r="R1212" t="str" cm="1">
        <f t="array" ref="R1212">IFERROR(INDEX(DB!O$2:O$2576,P1212),"")</f>
        <v/>
      </c>
      <c r="S1212" t="str">
        <f t="shared" si="57"/>
        <v/>
      </c>
      <c r="T1212" t="str">
        <f t="shared" si="58"/>
        <v/>
      </c>
    </row>
    <row r="1213" spans="1:20" ht="100" customHeight="1">
      <c r="A1213" s="26"/>
      <c r="B1213" s="42" t="str">
        <f t="shared" si="56"/>
        <v/>
      </c>
      <c r="C1213" s="43"/>
      <c r="D1213" s="51" t="str" cm="1">
        <f t="array" ref="D1213">IFERROR(INDEX(DB!G$2:G$2576,T1213),"")</f>
        <v/>
      </c>
      <c r="E1213" s="43"/>
      <c r="F1213" s="52" t="str" cm="1">
        <f t="array" ref="F1213">IFERROR(INDEX(DB!O$2:O$2576,T1213),"")</f>
        <v/>
      </c>
      <c r="G1213" s="43"/>
      <c r="H1213" s="40" t="str" cm="1">
        <f t="array" ref="H1213">IFERROR(INDEX(DB!P$2:P$2576,T1213),"")</f>
        <v/>
      </c>
      <c r="I1213" s="43"/>
      <c r="J1213" s="53" t="str" cm="1">
        <f t="array" ref="J1213">IFERROR(INDEX(DB!Q$2:Q$2576,T1213),"")</f>
        <v/>
      </c>
      <c r="K1213" s="43"/>
      <c r="L1213" s="41" t="str" cm="1">
        <f t="array" ref="L1213">IFERROR(INDEX(DB!R$2:R$2576,T1213),"")</f>
        <v/>
      </c>
      <c r="M1213" s="43"/>
      <c r="P1213" t="str" cm="1">
        <f t="array" ref="P1213">IFERROR(_xlfn.AGGREGATE(15,6,ROW(DB!A$2:A$2576)/((($D$3&lt;&gt;"YES")+($D$3="YES")*(DB!E$2:E$2576="YES"))*(($D$4="")+($D$4&lt;&gt;"")*( DB!B$2:B$2576=$D$4))*(($D$5="")+($D$5&lt;&gt;"")*( DB!C$2:C$2576=$D$5))*(($D$6="")+($D$6&lt;&gt;"")*( DB!D$2:D$2576=$D$6))*(($D$7="")+($D$7&lt;&gt;"")*(ISNUMBER(SEARCH($D$7,DB!G$2:G$2576))))*(($F$7="전체")+($F$7&lt;&gt;"전체")*(DB!H$2:H$2576=$F$7))),ROW()-13)-1,"")</f>
        <v/>
      </c>
      <c r="Q1213" t="str" cm="1">
        <f t="array" ref="Q1213">IFERROR(INDEX(DB!G$2:G$2576,P1213),"")</f>
        <v/>
      </c>
      <c r="R1213" t="str" cm="1">
        <f t="array" ref="R1213">IFERROR(INDEX(DB!O$2:O$2576,P1213),"")</f>
        <v/>
      </c>
      <c r="S1213" t="str">
        <f t="shared" si="57"/>
        <v/>
      </c>
      <c r="T1213" t="str">
        <f t="shared" si="58"/>
        <v/>
      </c>
    </row>
    <row r="1214" spans="1:20" ht="100" customHeight="1">
      <c r="A1214" s="26"/>
      <c r="B1214" s="39" t="str">
        <f t="shared" si="56"/>
        <v/>
      </c>
      <c r="C1214" s="43"/>
      <c r="D1214" s="51" t="str" cm="1">
        <f t="array" ref="D1214">IFERROR(INDEX(DB!G$2:G$2576,T1214),"")</f>
        <v/>
      </c>
      <c r="E1214" s="43"/>
      <c r="F1214" s="52" t="str" cm="1">
        <f t="array" ref="F1214">IFERROR(INDEX(DB!O$2:O$2576,T1214),"")</f>
        <v/>
      </c>
      <c r="G1214" s="43"/>
      <c r="H1214" s="40" t="str" cm="1">
        <f t="array" ref="H1214">IFERROR(INDEX(DB!P$2:P$2576,T1214),"")</f>
        <v/>
      </c>
      <c r="I1214" s="43"/>
      <c r="J1214" s="53" t="str" cm="1">
        <f t="array" ref="J1214">IFERROR(INDEX(DB!Q$2:Q$2576,T1214),"")</f>
        <v/>
      </c>
      <c r="K1214" s="43"/>
      <c r="L1214" s="41" t="str" cm="1">
        <f t="array" ref="L1214">IFERROR(INDEX(DB!R$2:R$2576,T1214),"")</f>
        <v/>
      </c>
      <c r="M1214" s="43"/>
      <c r="P1214" t="str" cm="1">
        <f t="array" ref="P1214">IFERROR(_xlfn.AGGREGATE(15,6,ROW(DB!A$2:A$2576)/((($D$3&lt;&gt;"YES")+($D$3="YES")*(DB!E$2:E$2576="YES"))*(($D$4="")+($D$4&lt;&gt;"")*( DB!B$2:B$2576=$D$4))*(($D$5="")+($D$5&lt;&gt;"")*( DB!C$2:C$2576=$D$5))*(($D$6="")+($D$6&lt;&gt;"")*( DB!D$2:D$2576=$D$6))*(($D$7="")+($D$7&lt;&gt;"")*(ISNUMBER(SEARCH($D$7,DB!G$2:G$2576))))*(($F$7="전체")+($F$7&lt;&gt;"전체")*(DB!H$2:H$2576=$F$7))),ROW()-13)-1,"")</f>
        <v/>
      </c>
      <c r="Q1214" t="str" cm="1">
        <f t="array" ref="Q1214">IFERROR(INDEX(DB!G$2:G$2576,P1214),"")</f>
        <v/>
      </c>
      <c r="R1214" t="str" cm="1">
        <f t="array" ref="R1214">IFERROR(INDEX(DB!O$2:O$2576,P1214),"")</f>
        <v/>
      </c>
      <c r="S1214" t="str">
        <f t="shared" si="57"/>
        <v/>
      </c>
      <c r="T1214" t="str">
        <f t="shared" si="58"/>
        <v/>
      </c>
    </row>
    <row r="1215" spans="1:20" ht="100" customHeight="1">
      <c r="A1215" s="26"/>
      <c r="B1215" s="42" t="str">
        <f t="shared" si="56"/>
        <v/>
      </c>
      <c r="C1215" s="43"/>
      <c r="D1215" s="51" t="str" cm="1">
        <f t="array" ref="D1215">IFERROR(INDEX(DB!G$2:G$2576,T1215),"")</f>
        <v/>
      </c>
      <c r="E1215" s="43"/>
      <c r="F1215" s="52" t="str" cm="1">
        <f t="array" ref="F1215">IFERROR(INDEX(DB!O$2:O$2576,T1215),"")</f>
        <v/>
      </c>
      <c r="G1215" s="43"/>
      <c r="H1215" s="40" t="str" cm="1">
        <f t="array" ref="H1215">IFERROR(INDEX(DB!P$2:P$2576,T1215),"")</f>
        <v/>
      </c>
      <c r="I1215" s="43"/>
      <c r="J1215" s="53" t="str" cm="1">
        <f t="array" ref="J1215">IFERROR(INDEX(DB!Q$2:Q$2576,T1215),"")</f>
        <v/>
      </c>
      <c r="K1215" s="43"/>
      <c r="L1215" s="41" t="str" cm="1">
        <f t="array" ref="L1215">IFERROR(INDEX(DB!R$2:R$2576,T1215),"")</f>
        <v/>
      </c>
      <c r="M1215" s="43"/>
      <c r="P1215" t="str" cm="1">
        <f t="array" ref="P1215">IFERROR(_xlfn.AGGREGATE(15,6,ROW(DB!A$2:A$2576)/((($D$3&lt;&gt;"YES")+($D$3="YES")*(DB!E$2:E$2576="YES"))*(($D$4="")+($D$4&lt;&gt;"")*( DB!B$2:B$2576=$D$4))*(($D$5="")+($D$5&lt;&gt;"")*( DB!C$2:C$2576=$D$5))*(($D$6="")+($D$6&lt;&gt;"")*( DB!D$2:D$2576=$D$6))*(($D$7="")+($D$7&lt;&gt;"")*(ISNUMBER(SEARCH($D$7,DB!G$2:G$2576))))*(($F$7="전체")+($F$7&lt;&gt;"전체")*(DB!H$2:H$2576=$F$7))),ROW()-13)-1,"")</f>
        <v/>
      </c>
      <c r="Q1215" t="str" cm="1">
        <f t="array" ref="Q1215">IFERROR(INDEX(DB!G$2:G$2576,P1215),"")</f>
        <v/>
      </c>
      <c r="R1215" t="str" cm="1">
        <f t="array" ref="R1215">IFERROR(INDEX(DB!O$2:O$2576,P1215),"")</f>
        <v/>
      </c>
      <c r="S1215" t="str">
        <f t="shared" si="57"/>
        <v/>
      </c>
      <c r="T1215" t="str">
        <f t="shared" si="58"/>
        <v/>
      </c>
    </row>
    <row r="1216" spans="1:20" ht="100" customHeight="1">
      <c r="A1216" s="26"/>
      <c r="B1216" s="39" t="str">
        <f t="shared" si="56"/>
        <v/>
      </c>
      <c r="C1216" s="43"/>
      <c r="D1216" s="51" t="str" cm="1">
        <f t="array" ref="D1216">IFERROR(INDEX(DB!G$2:G$2576,T1216),"")</f>
        <v/>
      </c>
      <c r="E1216" s="43"/>
      <c r="F1216" s="52" t="str" cm="1">
        <f t="array" ref="F1216">IFERROR(INDEX(DB!O$2:O$2576,T1216),"")</f>
        <v/>
      </c>
      <c r="G1216" s="43"/>
      <c r="H1216" s="40" t="str" cm="1">
        <f t="array" ref="H1216">IFERROR(INDEX(DB!P$2:P$2576,T1216),"")</f>
        <v/>
      </c>
      <c r="I1216" s="43"/>
      <c r="J1216" s="53" t="str" cm="1">
        <f t="array" ref="J1216">IFERROR(INDEX(DB!Q$2:Q$2576,T1216),"")</f>
        <v/>
      </c>
      <c r="K1216" s="43"/>
      <c r="L1216" s="41" t="str" cm="1">
        <f t="array" ref="L1216">IFERROR(INDEX(DB!R$2:R$2576,T1216),"")</f>
        <v/>
      </c>
      <c r="M1216" s="43"/>
      <c r="P1216" t="str" cm="1">
        <f t="array" ref="P1216">IFERROR(_xlfn.AGGREGATE(15,6,ROW(DB!A$2:A$2576)/((($D$3&lt;&gt;"YES")+($D$3="YES")*(DB!E$2:E$2576="YES"))*(($D$4="")+($D$4&lt;&gt;"")*( DB!B$2:B$2576=$D$4))*(($D$5="")+($D$5&lt;&gt;"")*( DB!C$2:C$2576=$D$5))*(($D$6="")+($D$6&lt;&gt;"")*( DB!D$2:D$2576=$D$6))*(($D$7="")+($D$7&lt;&gt;"")*(ISNUMBER(SEARCH($D$7,DB!G$2:G$2576))))*(($F$7="전체")+($F$7&lt;&gt;"전체")*(DB!H$2:H$2576=$F$7))),ROW()-13)-1,"")</f>
        <v/>
      </c>
      <c r="Q1216" t="str" cm="1">
        <f t="array" ref="Q1216">IFERROR(INDEX(DB!G$2:G$2576,P1216),"")</f>
        <v/>
      </c>
      <c r="R1216" t="str" cm="1">
        <f t="array" ref="R1216">IFERROR(INDEX(DB!O$2:O$2576,P1216),"")</f>
        <v/>
      </c>
      <c r="S1216" t="str">
        <f t="shared" si="57"/>
        <v/>
      </c>
      <c r="T1216" t="str">
        <f t="shared" si="58"/>
        <v/>
      </c>
    </row>
    <row r="1217" spans="1:20" ht="100" customHeight="1">
      <c r="A1217" s="26"/>
      <c r="B1217" s="42" t="str">
        <f t="shared" si="56"/>
        <v/>
      </c>
      <c r="C1217" s="43"/>
      <c r="D1217" s="51" t="str" cm="1">
        <f t="array" ref="D1217">IFERROR(INDEX(DB!G$2:G$2576,T1217),"")</f>
        <v/>
      </c>
      <c r="E1217" s="43"/>
      <c r="F1217" s="52" t="str" cm="1">
        <f t="array" ref="F1217">IFERROR(INDEX(DB!O$2:O$2576,T1217),"")</f>
        <v/>
      </c>
      <c r="G1217" s="43"/>
      <c r="H1217" s="40" t="str" cm="1">
        <f t="array" ref="H1217">IFERROR(INDEX(DB!P$2:P$2576,T1217),"")</f>
        <v/>
      </c>
      <c r="I1217" s="43"/>
      <c r="J1217" s="53" t="str" cm="1">
        <f t="array" ref="J1217">IFERROR(INDEX(DB!Q$2:Q$2576,T1217),"")</f>
        <v/>
      </c>
      <c r="K1217" s="43"/>
      <c r="L1217" s="41" t="str" cm="1">
        <f t="array" ref="L1217">IFERROR(INDEX(DB!R$2:R$2576,T1217),"")</f>
        <v/>
      </c>
      <c r="M1217" s="43"/>
      <c r="P1217" t="str" cm="1">
        <f t="array" ref="P1217">IFERROR(_xlfn.AGGREGATE(15,6,ROW(DB!A$2:A$2576)/((($D$3&lt;&gt;"YES")+($D$3="YES")*(DB!E$2:E$2576="YES"))*(($D$4="")+($D$4&lt;&gt;"")*( DB!B$2:B$2576=$D$4))*(($D$5="")+($D$5&lt;&gt;"")*( DB!C$2:C$2576=$D$5))*(($D$6="")+($D$6&lt;&gt;"")*( DB!D$2:D$2576=$D$6))*(($D$7="")+($D$7&lt;&gt;"")*(ISNUMBER(SEARCH($D$7,DB!G$2:G$2576))))*(($F$7="전체")+($F$7&lt;&gt;"전체")*(DB!H$2:H$2576=$F$7))),ROW()-13)-1,"")</f>
        <v/>
      </c>
      <c r="Q1217" t="str" cm="1">
        <f t="array" ref="Q1217">IFERROR(INDEX(DB!G$2:G$2576,P1217),"")</f>
        <v/>
      </c>
      <c r="R1217" t="str" cm="1">
        <f t="array" ref="R1217">IFERROR(INDEX(DB!O$2:O$2576,P1217),"")</f>
        <v/>
      </c>
      <c r="S1217" t="str">
        <f t="shared" si="57"/>
        <v/>
      </c>
      <c r="T1217" t="str">
        <f t="shared" si="58"/>
        <v/>
      </c>
    </row>
    <row r="1218" spans="1:20" ht="100" customHeight="1">
      <c r="A1218" s="26"/>
      <c r="B1218" s="39" t="str">
        <f t="shared" si="56"/>
        <v/>
      </c>
      <c r="C1218" s="43"/>
      <c r="D1218" s="51" t="str" cm="1">
        <f t="array" ref="D1218">IFERROR(INDEX(DB!G$2:G$2576,T1218),"")</f>
        <v/>
      </c>
      <c r="E1218" s="43"/>
      <c r="F1218" s="52" t="str" cm="1">
        <f t="array" ref="F1218">IFERROR(INDEX(DB!O$2:O$2576,T1218),"")</f>
        <v/>
      </c>
      <c r="G1218" s="43"/>
      <c r="H1218" s="40" t="str" cm="1">
        <f t="array" ref="H1218">IFERROR(INDEX(DB!P$2:P$2576,T1218),"")</f>
        <v/>
      </c>
      <c r="I1218" s="43"/>
      <c r="J1218" s="53" t="str" cm="1">
        <f t="array" ref="J1218">IFERROR(INDEX(DB!Q$2:Q$2576,T1218),"")</f>
        <v/>
      </c>
      <c r="K1218" s="43"/>
      <c r="L1218" s="41" t="str" cm="1">
        <f t="array" ref="L1218">IFERROR(INDEX(DB!R$2:R$2576,T1218),"")</f>
        <v/>
      </c>
      <c r="M1218" s="43"/>
      <c r="P1218" t="str" cm="1">
        <f t="array" ref="P1218">IFERROR(_xlfn.AGGREGATE(15,6,ROW(DB!A$2:A$2576)/((($D$3&lt;&gt;"YES")+($D$3="YES")*(DB!E$2:E$2576="YES"))*(($D$4="")+($D$4&lt;&gt;"")*( DB!B$2:B$2576=$D$4))*(($D$5="")+($D$5&lt;&gt;"")*( DB!C$2:C$2576=$D$5))*(($D$6="")+($D$6&lt;&gt;"")*( DB!D$2:D$2576=$D$6))*(($D$7="")+($D$7&lt;&gt;"")*(ISNUMBER(SEARCH($D$7,DB!G$2:G$2576))))*(($F$7="전체")+($F$7&lt;&gt;"전체")*(DB!H$2:H$2576=$F$7))),ROW()-13)-1,"")</f>
        <v/>
      </c>
      <c r="Q1218" t="str" cm="1">
        <f t="array" ref="Q1218">IFERROR(INDEX(DB!G$2:G$2576,P1218),"")</f>
        <v/>
      </c>
      <c r="R1218" t="str" cm="1">
        <f t="array" ref="R1218">IFERROR(INDEX(DB!O$2:O$2576,P1218),"")</f>
        <v/>
      </c>
      <c r="S1218" t="str">
        <f t="shared" si="57"/>
        <v/>
      </c>
      <c r="T1218" t="str">
        <f t="shared" si="58"/>
        <v/>
      </c>
    </row>
    <row r="1219" spans="1:20" ht="100" customHeight="1">
      <c r="A1219" s="26"/>
      <c r="B1219" s="42" t="str">
        <f t="shared" si="56"/>
        <v/>
      </c>
      <c r="C1219" s="43"/>
      <c r="D1219" s="51" t="str" cm="1">
        <f t="array" ref="D1219">IFERROR(INDEX(DB!G$2:G$2576,T1219),"")</f>
        <v/>
      </c>
      <c r="E1219" s="43"/>
      <c r="F1219" s="52" t="str" cm="1">
        <f t="array" ref="F1219">IFERROR(INDEX(DB!O$2:O$2576,T1219),"")</f>
        <v/>
      </c>
      <c r="G1219" s="43"/>
      <c r="H1219" s="40" t="str" cm="1">
        <f t="array" ref="H1219">IFERROR(INDEX(DB!P$2:P$2576,T1219),"")</f>
        <v/>
      </c>
      <c r="I1219" s="43"/>
      <c r="J1219" s="53" t="str" cm="1">
        <f t="array" ref="J1219">IFERROR(INDEX(DB!Q$2:Q$2576,T1219),"")</f>
        <v/>
      </c>
      <c r="K1219" s="43"/>
      <c r="L1219" s="41" t="str" cm="1">
        <f t="array" ref="L1219">IFERROR(INDEX(DB!R$2:R$2576,T1219),"")</f>
        <v/>
      </c>
      <c r="M1219" s="43"/>
      <c r="P1219" t="str" cm="1">
        <f t="array" ref="P1219">IFERROR(_xlfn.AGGREGATE(15,6,ROW(DB!A$2:A$2576)/((($D$3&lt;&gt;"YES")+($D$3="YES")*(DB!E$2:E$2576="YES"))*(($D$4="")+($D$4&lt;&gt;"")*( DB!B$2:B$2576=$D$4))*(($D$5="")+($D$5&lt;&gt;"")*( DB!C$2:C$2576=$D$5))*(($D$6="")+($D$6&lt;&gt;"")*( DB!D$2:D$2576=$D$6))*(($D$7="")+($D$7&lt;&gt;"")*(ISNUMBER(SEARCH($D$7,DB!G$2:G$2576))))*(($F$7="전체")+($F$7&lt;&gt;"전체")*(DB!H$2:H$2576=$F$7))),ROW()-13)-1,"")</f>
        <v/>
      </c>
      <c r="Q1219" t="str" cm="1">
        <f t="array" ref="Q1219">IFERROR(INDEX(DB!G$2:G$2576,P1219),"")</f>
        <v/>
      </c>
      <c r="R1219" t="str" cm="1">
        <f t="array" ref="R1219">IFERROR(INDEX(DB!O$2:O$2576,P1219),"")</f>
        <v/>
      </c>
      <c r="S1219" t="str">
        <f t="shared" si="57"/>
        <v/>
      </c>
      <c r="T1219" t="str">
        <f t="shared" si="58"/>
        <v/>
      </c>
    </row>
    <row r="1220" spans="1:20" ht="100" customHeight="1">
      <c r="A1220" s="26"/>
      <c r="B1220" s="39" t="str">
        <f t="shared" si="56"/>
        <v/>
      </c>
      <c r="C1220" s="43"/>
      <c r="D1220" s="51" t="str" cm="1">
        <f t="array" ref="D1220">IFERROR(INDEX(DB!G$2:G$2576,T1220),"")</f>
        <v/>
      </c>
      <c r="E1220" s="43"/>
      <c r="F1220" s="52" t="str" cm="1">
        <f t="array" ref="F1220">IFERROR(INDEX(DB!O$2:O$2576,T1220),"")</f>
        <v/>
      </c>
      <c r="G1220" s="43"/>
      <c r="H1220" s="40" t="str" cm="1">
        <f t="array" ref="H1220">IFERROR(INDEX(DB!P$2:P$2576,T1220),"")</f>
        <v/>
      </c>
      <c r="I1220" s="43"/>
      <c r="J1220" s="53" t="str" cm="1">
        <f t="array" ref="J1220">IFERROR(INDEX(DB!Q$2:Q$2576,T1220),"")</f>
        <v/>
      </c>
      <c r="K1220" s="43"/>
      <c r="L1220" s="41" t="str" cm="1">
        <f t="array" ref="L1220">IFERROR(INDEX(DB!R$2:R$2576,T1220),"")</f>
        <v/>
      </c>
      <c r="M1220" s="43"/>
      <c r="P1220" t="str" cm="1">
        <f t="array" ref="P1220">IFERROR(_xlfn.AGGREGATE(15,6,ROW(DB!A$2:A$2576)/((($D$3&lt;&gt;"YES")+($D$3="YES")*(DB!E$2:E$2576="YES"))*(($D$4="")+($D$4&lt;&gt;"")*( DB!B$2:B$2576=$D$4))*(($D$5="")+($D$5&lt;&gt;"")*( DB!C$2:C$2576=$D$5))*(($D$6="")+($D$6&lt;&gt;"")*( DB!D$2:D$2576=$D$6))*(($D$7="")+($D$7&lt;&gt;"")*(ISNUMBER(SEARCH($D$7,DB!G$2:G$2576))))*(($F$7="전체")+($F$7&lt;&gt;"전체")*(DB!H$2:H$2576=$F$7))),ROW()-13)-1,"")</f>
        <v/>
      </c>
      <c r="Q1220" t="str" cm="1">
        <f t="array" ref="Q1220">IFERROR(INDEX(DB!G$2:G$2576,P1220),"")</f>
        <v/>
      </c>
      <c r="R1220" t="str" cm="1">
        <f t="array" ref="R1220">IFERROR(INDEX(DB!O$2:O$2576,P1220),"")</f>
        <v/>
      </c>
      <c r="S1220" t="str">
        <f t="shared" si="57"/>
        <v/>
      </c>
      <c r="T1220" t="str">
        <f t="shared" si="58"/>
        <v/>
      </c>
    </row>
    <row r="1221" spans="1:20" ht="100" customHeight="1">
      <c r="A1221" s="26"/>
      <c r="B1221" s="42" t="str">
        <f t="shared" si="56"/>
        <v/>
      </c>
      <c r="C1221" s="43"/>
      <c r="D1221" s="51" t="str" cm="1">
        <f t="array" ref="D1221">IFERROR(INDEX(DB!G$2:G$2576,T1221),"")</f>
        <v/>
      </c>
      <c r="E1221" s="43"/>
      <c r="F1221" s="52" t="str" cm="1">
        <f t="array" ref="F1221">IFERROR(INDEX(DB!O$2:O$2576,T1221),"")</f>
        <v/>
      </c>
      <c r="G1221" s="43"/>
      <c r="H1221" s="40" t="str" cm="1">
        <f t="array" ref="H1221">IFERROR(INDEX(DB!P$2:P$2576,T1221),"")</f>
        <v/>
      </c>
      <c r="I1221" s="43"/>
      <c r="J1221" s="53" t="str" cm="1">
        <f t="array" ref="J1221">IFERROR(INDEX(DB!Q$2:Q$2576,T1221),"")</f>
        <v/>
      </c>
      <c r="K1221" s="43"/>
      <c r="L1221" s="41" t="str" cm="1">
        <f t="array" ref="L1221">IFERROR(INDEX(DB!R$2:R$2576,T1221),"")</f>
        <v/>
      </c>
      <c r="M1221" s="43"/>
      <c r="P1221" t="str" cm="1">
        <f t="array" ref="P1221">IFERROR(_xlfn.AGGREGATE(15,6,ROW(DB!A$2:A$2576)/((($D$3&lt;&gt;"YES")+($D$3="YES")*(DB!E$2:E$2576="YES"))*(($D$4="")+($D$4&lt;&gt;"")*( DB!B$2:B$2576=$D$4))*(($D$5="")+($D$5&lt;&gt;"")*( DB!C$2:C$2576=$D$5))*(($D$6="")+($D$6&lt;&gt;"")*( DB!D$2:D$2576=$D$6))*(($D$7="")+($D$7&lt;&gt;"")*(ISNUMBER(SEARCH($D$7,DB!G$2:G$2576))))*(($F$7="전체")+($F$7&lt;&gt;"전체")*(DB!H$2:H$2576=$F$7))),ROW()-13)-1,"")</f>
        <v/>
      </c>
      <c r="Q1221" t="str" cm="1">
        <f t="array" ref="Q1221">IFERROR(INDEX(DB!G$2:G$2576,P1221),"")</f>
        <v/>
      </c>
      <c r="R1221" t="str" cm="1">
        <f t="array" ref="R1221">IFERROR(INDEX(DB!O$2:O$2576,P1221),"")</f>
        <v/>
      </c>
      <c r="S1221" t="str">
        <f t="shared" si="57"/>
        <v/>
      </c>
      <c r="T1221" t="str">
        <f t="shared" si="58"/>
        <v/>
      </c>
    </row>
    <row r="1222" spans="1:20" ht="100" customHeight="1">
      <c r="A1222" s="26"/>
      <c r="B1222" s="39" t="str">
        <f t="shared" si="56"/>
        <v/>
      </c>
      <c r="C1222" s="43"/>
      <c r="D1222" s="51" t="str" cm="1">
        <f t="array" ref="D1222">IFERROR(INDEX(DB!G$2:G$2576,T1222),"")</f>
        <v/>
      </c>
      <c r="E1222" s="43"/>
      <c r="F1222" s="52" t="str" cm="1">
        <f t="array" ref="F1222">IFERROR(INDEX(DB!O$2:O$2576,T1222),"")</f>
        <v/>
      </c>
      <c r="G1222" s="43"/>
      <c r="H1222" s="40" t="str" cm="1">
        <f t="array" ref="H1222">IFERROR(INDEX(DB!P$2:P$2576,T1222),"")</f>
        <v/>
      </c>
      <c r="I1222" s="43"/>
      <c r="J1222" s="53" t="str" cm="1">
        <f t="array" ref="J1222">IFERROR(INDEX(DB!Q$2:Q$2576,T1222),"")</f>
        <v/>
      </c>
      <c r="K1222" s="43"/>
      <c r="L1222" s="41" t="str" cm="1">
        <f t="array" ref="L1222">IFERROR(INDEX(DB!R$2:R$2576,T1222),"")</f>
        <v/>
      </c>
      <c r="M1222" s="43"/>
      <c r="P1222" t="str" cm="1">
        <f t="array" ref="P1222">IFERROR(_xlfn.AGGREGATE(15,6,ROW(DB!A$2:A$2576)/((($D$3&lt;&gt;"YES")+($D$3="YES")*(DB!E$2:E$2576="YES"))*(($D$4="")+($D$4&lt;&gt;"")*( DB!B$2:B$2576=$D$4))*(($D$5="")+($D$5&lt;&gt;"")*( DB!C$2:C$2576=$D$5))*(($D$6="")+($D$6&lt;&gt;"")*( DB!D$2:D$2576=$D$6))*(($D$7="")+($D$7&lt;&gt;"")*(ISNUMBER(SEARCH($D$7,DB!G$2:G$2576))))*(($F$7="전체")+($F$7&lt;&gt;"전체")*(DB!H$2:H$2576=$F$7))),ROW()-13)-1,"")</f>
        <v/>
      </c>
      <c r="Q1222" t="str" cm="1">
        <f t="array" ref="Q1222">IFERROR(INDEX(DB!G$2:G$2576,P1222),"")</f>
        <v/>
      </c>
      <c r="R1222" t="str" cm="1">
        <f t="array" ref="R1222">IFERROR(INDEX(DB!O$2:O$2576,P1222),"")</f>
        <v/>
      </c>
      <c r="S1222" t="str">
        <f t="shared" si="57"/>
        <v/>
      </c>
      <c r="T1222" t="str">
        <f t="shared" si="58"/>
        <v/>
      </c>
    </row>
    <row r="1223" spans="1:20" ht="100" customHeight="1">
      <c r="A1223" s="26"/>
      <c r="B1223" s="42" t="str">
        <f t="shared" si="56"/>
        <v/>
      </c>
      <c r="C1223" s="43"/>
      <c r="D1223" s="51" t="str" cm="1">
        <f t="array" ref="D1223">IFERROR(INDEX(DB!G$2:G$2576,T1223),"")</f>
        <v/>
      </c>
      <c r="E1223" s="43"/>
      <c r="F1223" s="52" t="str" cm="1">
        <f t="array" ref="F1223">IFERROR(INDEX(DB!O$2:O$2576,T1223),"")</f>
        <v/>
      </c>
      <c r="G1223" s="43"/>
      <c r="H1223" s="40" t="str" cm="1">
        <f t="array" ref="H1223">IFERROR(INDEX(DB!P$2:P$2576,T1223),"")</f>
        <v/>
      </c>
      <c r="I1223" s="43"/>
      <c r="J1223" s="53" t="str" cm="1">
        <f t="array" ref="J1223">IFERROR(INDEX(DB!Q$2:Q$2576,T1223),"")</f>
        <v/>
      </c>
      <c r="K1223" s="43"/>
      <c r="L1223" s="41" t="str" cm="1">
        <f t="array" ref="L1223">IFERROR(INDEX(DB!R$2:R$2576,T1223),"")</f>
        <v/>
      </c>
      <c r="M1223" s="43"/>
      <c r="P1223" t="str" cm="1">
        <f t="array" ref="P1223">IFERROR(_xlfn.AGGREGATE(15,6,ROW(DB!A$2:A$2576)/((($D$3&lt;&gt;"YES")+($D$3="YES")*(DB!E$2:E$2576="YES"))*(($D$4="")+($D$4&lt;&gt;"")*( DB!B$2:B$2576=$D$4))*(($D$5="")+($D$5&lt;&gt;"")*( DB!C$2:C$2576=$D$5))*(($D$6="")+($D$6&lt;&gt;"")*( DB!D$2:D$2576=$D$6))*(($D$7="")+($D$7&lt;&gt;"")*(ISNUMBER(SEARCH($D$7,DB!G$2:G$2576))))*(($F$7="전체")+($F$7&lt;&gt;"전체")*(DB!H$2:H$2576=$F$7))),ROW()-13)-1,"")</f>
        <v/>
      </c>
      <c r="Q1223" t="str" cm="1">
        <f t="array" ref="Q1223">IFERROR(INDEX(DB!G$2:G$2576,P1223),"")</f>
        <v/>
      </c>
      <c r="R1223" t="str" cm="1">
        <f t="array" ref="R1223">IFERROR(INDEX(DB!O$2:O$2576,P1223),"")</f>
        <v/>
      </c>
      <c r="S1223" t="str">
        <f t="shared" si="57"/>
        <v/>
      </c>
      <c r="T1223" t="str">
        <f t="shared" si="58"/>
        <v/>
      </c>
    </row>
    <row r="1224" spans="1:20" ht="100" customHeight="1">
      <c r="A1224" s="26"/>
      <c r="B1224" s="39" t="str">
        <f t="shared" si="56"/>
        <v/>
      </c>
      <c r="C1224" s="43"/>
      <c r="D1224" s="51" t="str" cm="1">
        <f t="array" ref="D1224">IFERROR(INDEX(DB!G$2:G$2576,T1224),"")</f>
        <v/>
      </c>
      <c r="E1224" s="43"/>
      <c r="F1224" s="52" t="str" cm="1">
        <f t="array" ref="F1224">IFERROR(INDEX(DB!O$2:O$2576,T1224),"")</f>
        <v/>
      </c>
      <c r="G1224" s="43"/>
      <c r="H1224" s="40" t="str" cm="1">
        <f t="array" ref="H1224">IFERROR(INDEX(DB!P$2:P$2576,T1224),"")</f>
        <v/>
      </c>
      <c r="I1224" s="43"/>
      <c r="J1224" s="53" t="str" cm="1">
        <f t="array" ref="J1224">IFERROR(INDEX(DB!Q$2:Q$2576,T1224),"")</f>
        <v/>
      </c>
      <c r="K1224" s="43"/>
      <c r="L1224" s="41" t="str" cm="1">
        <f t="array" ref="L1224">IFERROR(INDEX(DB!R$2:R$2576,T1224),"")</f>
        <v/>
      </c>
      <c r="M1224" s="43"/>
      <c r="P1224" t="str" cm="1">
        <f t="array" ref="P1224">IFERROR(_xlfn.AGGREGATE(15,6,ROW(DB!A$2:A$2576)/((($D$3&lt;&gt;"YES")+($D$3="YES")*(DB!E$2:E$2576="YES"))*(($D$4="")+($D$4&lt;&gt;"")*( DB!B$2:B$2576=$D$4))*(($D$5="")+($D$5&lt;&gt;"")*( DB!C$2:C$2576=$D$5))*(($D$6="")+($D$6&lt;&gt;"")*( DB!D$2:D$2576=$D$6))*(($D$7="")+($D$7&lt;&gt;"")*(ISNUMBER(SEARCH($D$7,DB!G$2:G$2576))))*(($F$7="전체")+($F$7&lt;&gt;"전체")*(DB!H$2:H$2576=$F$7))),ROW()-13)-1,"")</f>
        <v/>
      </c>
      <c r="Q1224" t="str" cm="1">
        <f t="array" ref="Q1224">IFERROR(INDEX(DB!G$2:G$2576,P1224),"")</f>
        <v/>
      </c>
      <c r="R1224" t="str" cm="1">
        <f t="array" ref="R1224">IFERROR(INDEX(DB!O$2:O$2576,P1224),"")</f>
        <v/>
      </c>
      <c r="S1224" t="str">
        <f t="shared" si="57"/>
        <v/>
      </c>
      <c r="T1224" t="str">
        <f t="shared" si="58"/>
        <v/>
      </c>
    </row>
    <row r="1225" spans="1:20" ht="100" customHeight="1">
      <c r="A1225" s="26"/>
      <c r="B1225" s="42" t="str">
        <f t="shared" si="56"/>
        <v/>
      </c>
      <c r="C1225" s="43"/>
      <c r="D1225" s="51" t="str" cm="1">
        <f t="array" ref="D1225">IFERROR(INDEX(DB!G$2:G$2576,T1225),"")</f>
        <v/>
      </c>
      <c r="E1225" s="43"/>
      <c r="F1225" s="52" t="str" cm="1">
        <f t="array" ref="F1225">IFERROR(INDEX(DB!O$2:O$2576,T1225),"")</f>
        <v/>
      </c>
      <c r="G1225" s="43"/>
      <c r="H1225" s="40" t="str" cm="1">
        <f t="array" ref="H1225">IFERROR(INDEX(DB!P$2:P$2576,T1225),"")</f>
        <v/>
      </c>
      <c r="I1225" s="43"/>
      <c r="J1225" s="53" t="str" cm="1">
        <f t="array" ref="J1225">IFERROR(INDEX(DB!Q$2:Q$2576,T1225),"")</f>
        <v/>
      </c>
      <c r="K1225" s="43"/>
      <c r="L1225" s="41" t="str" cm="1">
        <f t="array" ref="L1225">IFERROR(INDEX(DB!R$2:R$2576,T1225),"")</f>
        <v/>
      </c>
      <c r="M1225" s="43"/>
      <c r="P1225" t="str" cm="1">
        <f t="array" ref="P1225">IFERROR(_xlfn.AGGREGATE(15,6,ROW(DB!A$2:A$2576)/((($D$3&lt;&gt;"YES")+($D$3="YES")*(DB!E$2:E$2576="YES"))*(($D$4="")+($D$4&lt;&gt;"")*( DB!B$2:B$2576=$D$4))*(($D$5="")+($D$5&lt;&gt;"")*( DB!C$2:C$2576=$D$5))*(($D$6="")+($D$6&lt;&gt;"")*( DB!D$2:D$2576=$D$6))*(($D$7="")+($D$7&lt;&gt;"")*(ISNUMBER(SEARCH($D$7,DB!G$2:G$2576))))*(($F$7="전체")+($F$7&lt;&gt;"전체")*(DB!H$2:H$2576=$F$7))),ROW()-13)-1,"")</f>
        <v/>
      </c>
      <c r="Q1225" t="str" cm="1">
        <f t="array" ref="Q1225">IFERROR(INDEX(DB!G$2:G$2576,P1225),"")</f>
        <v/>
      </c>
      <c r="R1225" t="str" cm="1">
        <f t="array" ref="R1225">IFERROR(INDEX(DB!O$2:O$2576,P1225),"")</f>
        <v/>
      </c>
      <c r="S1225" t="str">
        <f t="shared" si="57"/>
        <v/>
      </c>
      <c r="T1225" t="str">
        <f t="shared" si="58"/>
        <v/>
      </c>
    </row>
    <row r="1226" spans="1:20" ht="100" customHeight="1">
      <c r="A1226" s="26"/>
      <c r="B1226" s="39" t="str">
        <f t="shared" si="56"/>
        <v/>
      </c>
      <c r="C1226" s="43"/>
      <c r="D1226" s="51" t="str" cm="1">
        <f t="array" ref="D1226">IFERROR(INDEX(DB!G$2:G$2576,T1226),"")</f>
        <v/>
      </c>
      <c r="E1226" s="43"/>
      <c r="F1226" s="52" t="str" cm="1">
        <f t="array" ref="F1226">IFERROR(INDEX(DB!O$2:O$2576,T1226),"")</f>
        <v/>
      </c>
      <c r="G1226" s="43"/>
      <c r="H1226" s="40" t="str" cm="1">
        <f t="array" ref="H1226">IFERROR(INDEX(DB!P$2:P$2576,T1226),"")</f>
        <v/>
      </c>
      <c r="I1226" s="43"/>
      <c r="J1226" s="53" t="str" cm="1">
        <f t="array" ref="J1226">IFERROR(INDEX(DB!Q$2:Q$2576,T1226),"")</f>
        <v/>
      </c>
      <c r="K1226" s="43"/>
      <c r="L1226" s="41" t="str" cm="1">
        <f t="array" ref="L1226">IFERROR(INDEX(DB!R$2:R$2576,T1226),"")</f>
        <v/>
      </c>
      <c r="M1226" s="43"/>
      <c r="P1226" t="str" cm="1">
        <f t="array" ref="P1226">IFERROR(_xlfn.AGGREGATE(15,6,ROW(DB!A$2:A$2576)/((($D$3&lt;&gt;"YES")+($D$3="YES")*(DB!E$2:E$2576="YES"))*(($D$4="")+($D$4&lt;&gt;"")*( DB!B$2:B$2576=$D$4))*(($D$5="")+($D$5&lt;&gt;"")*( DB!C$2:C$2576=$D$5))*(($D$6="")+($D$6&lt;&gt;"")*( DB!D$2:D$2576=$D$6))*(($D$7="")+($D$7&lt;&gt;"")*(ISNUMBER(SEARCH($D$7,DB!G$2:G$2576))))*(($F$7="전체")+($F$7&lt;&gt;"전체")*(DB!H$2:H$2576=$F$7))),ROW()-13)-1,"")</f>
        <v/>
      </c>
      <c r="Q1226" t="str" cm="1">
        <f t="array" ref="Q1226">IFERROR(INDEX(DB!G$2:G$2576,P1226),"")</f>
        <v/>
      </c>
      <c r="R1226" t="str" cm="1">
        <f t="array" ref="R1226">IFERROR(INDEX(DB!O$2:O$2576,P1226),"")</f>
        <v/>
      </c>
      <c r="S1226" t="str">
        <f t="shared" si="57"/>
        <v/>
      </c>
      <c r="T1226" t="str">
        <f t="shared" si="58"/>
        <v/>
      </c>
    </row>
    <row r="1227" spans="1:20" ht="100" customHeight="1">
      <c r="A1227" s="26"/>
      <c r="B1227" s="42" t="str">
        <f t="shared" si="56"/>
        <v/>
      </c>
      <c r="C1227" s="43"/>
      <c r="D1227" s="51" t="str" cm="1">
        <f t="array" ref="D1227">IFERROR(INDEX(DB!G$2:G$2576,T1227),"")</f>
        <v/>
      </c>
      <c r="E1227" s="43"/>
      <c r="F1227" s="52" t="str" cm="1">
        <f t="array" ref="F1227">IFERROR(INDEX(DB!O$2:O$2576,T1227),"")</f>
        <v/>
      </c>
      <c r="G1227" s="43"/>
      <c r="H1227" s="40" t="str" cm="1">
        <f t="array" ref="H1227">IFERROR(INDEX(DB!P$2:P$2576,T1227),"")</f>
        <v/>
      </c>
      <c r="I1227" s="43"/>
      <c r="J1227" s="53" t="str" cm="1">
        <f t="array" ref="J1227">IFERROR(INDEX(DB!Q$2:Q$2576,T1227),"")</f>
        <v/>
      </c>
      <c r="K1227" s="43"/>
      <c r="L1227" s="41" t="str" cm="1">
        <f t="array" ref="L1227">IFERROR(INDEX(DB!R$2:R$2576,T1227),"")</f>
        <v/>
      </c>
      <c r="M1227" s="43"/>
      <c r="P1227" t="str" cm="1">
        <f t="array" ref="P1227">IFERROR(_xlfn.AGGREGATE(15,6,ROW(DB!A$2:A$2576)/((($D$3&lt;&gt;"YES")+($D$3="YES")*(DB!E$2:E$2576="YES"))*(($D$4="")+($D$4&lt;&gt;"")*( DB!B$2:B$2576=$D$4))*(($D$5="")+($D$5&lt;&gt;"")*( DB!C$2:C$2576=$D$5))*(($D$6="")+($D$6&lt;&gt;"")*( DB!D$2:D$2576=$D$6))*(($D$7="")+($D$7&lt;&gt;"")*(ISNUMBER(SEARCH($D$7,DB!G$2:G$2576))))*(($F$7="전체")+($F$7&lt;&gt;"전체")*(DB!H$2:H$2576=$F$7))),ROW()-13)-1,"")</f>
        <v/>
      </c>
      <c r="Q1227" t="str" cm="1">
        <f t="array" ref="Q1227">IFERROR(INDEX(DB!G$2:G$2576,P1227),"")</f>
        <v/>
      </c>
      <c r="R1227" t="str" cm="1">
        <f t="array" ref="R1227">IFERROR(INDEX(DB!O$2:O$2576,P1227),"")</f>
        <v/>
      </c>
      <c r="S1227" t="str">
        <f t="shared" si="57"/>
        <v/>
      </c>
      <c r="T1227" t="str">
        <f t="shared" si="58"/>
        <v/>
      </c>
    </row>
    <row r="1228" spans="1:20" ht="100" customHeight="1">
      <c r="A1228" s="26"/>
      <c r="B1228" s="39" t="str">
        <f t="shared" si="56"/>
        <v/>
      </c>
      <c r="C1228" s="43"/>
      <c r="D1228" s="51" t="str" cm="1">
        <f t="array" ref="D1228">IFERROR(INDEX(DB!G$2:G$2576,T1228),"")</f>
        <v/>
      </c>
      <c r="E1228" s="43"/>
      <c r="F1228" s="52" t="str" cm="1">
        <f t="array" ref="F1228">IFERROR(INDEX(DB!O$2:O$2576,T1228),"")</f>
        <v/>
      </c>
      <c r="G1228" s="43"/>
      <c r="H1228" s="40" t="str" cm="1">
        <f t="array" ref="H1228">IFERROR(INDEX(DB!P$2:P$2576,T1228),"")</f>
        <v/>
      </c>
      <c r="I1228" s="43"/>
      <c r="J1228" s="53" t="str" cm="1">
        <f t="array" ref="J1228">IFERROR(INDEX(DB!Q$2:Q$2576,T1228),"")</f>
        <v/>
      </c>
      <c r="K1228" s="43"/>
      <c r="L1228" s="41" t="str" cm="1">
        <f t="array" ref="L1228">IFERROR(INDEX(DB!R$2:R$2576,T1228),"")</f>
        <v/>
      </c>
      <c r="M1228" s="43"/>
      <c r="P1228" t="str" cm="1">
        <f t="array" ref="P1228">IFERROR(_xlfn.AGGREGATE(15,6,ROW(DB!A$2:A$2576)/((($D$3&lt;&gt;"YES")+($D$3="YES")*(DB!E$2:E$2576="YES"))*(($D$4="")+($D$4&lt;&gt;"")*( DB!B$2:B$2576=$D$4))*(($D$5="")+($D$5&lt;&gt;"")*( DB!C$2:C$2576=$D$5))*(($D$6="")+($D$6&lt;&gt;"")*( DB!D$2:D$2576=$D$6))*(($D$7="")+($D$7&lt;&gt;"")*(ISNUMBER(SEARCH($D$7,DB!G$2:G$2576))))*(($F$7="전체")+($F$7&lt;&gt;"전체")*(DB!H$2:H$2576=$F$7))),ROW()-13)-1,"")</f>
        <v/>
      </c>
      <c r="Q1228" t="str" cm="1">
        <f t="array" ref="Q1228">IFERROR(INDEX(DB!G$2:G$2576,P1228),"")</f>
        <v/>
      </c>
      <c r="R1228" t="str" cm="1">
        <f t="array" ref="R1228">IFERROR(INDEX(DB!O$2:O$2576,P1228),"")</f>
        <v/>
      </c>
      <c r="S1228" t="str">
        <f t="shared" si="57"/>
        <v/>
      </c>
      <c r="T1228" t="str">
        <f t="shared" si="58"/>
        <v/>
      </c>
    </row>
    <row r="1229" spans="1:20" ht="100" customHeight="1">
      <c r="A1229" s="26"/>
      <c r="B1229" s="42" t="str">
        <f t="shared" si="56"/>
        <v/>
      </c>
      <c r="C1229" s="43"/>
      <c r="D1229" s="51" t="str" cm="1">
        <f t="array" ref="D1229">IFERROR(INDEX(DB!G$2:G$2576,T1229),"")</f>
        <v/>
      </c>
      <c r="E1229" s="43"/>
      <c r="F1229" s="52" t="str" cm="1">
        <f t="array" ref="F1229">IFERROR(INDEX(DB!O$2:O$2576,T1229),"")</f>
        <v/>
      </c>
      <c r="G1229" s="43"/>
      <c r="H1229" s="40" t="str" cm="1">
        <f t="array" ref="H1229">IFERROR(INDEX(DB!P$2:P$2576,T1229),"")</f>
        <v/>
      </c>
      <c r="I1229" s="43"/>
      <c r="J1229" s="53" t="str" cm="1">
        <f t="array" ref="J1229">IFERROR(INDEX(DB!Q$2:Q$2576,T1229),"")</f>
        <v/>
      </c>
      <c r="K1229" s="43"/>
      <c r="L1229" s="41" t="str" cm="1">
        <f t="array" ref="L1229">IFERROR(INDEX(DB!R$2:R$2576,T1229),"")</f>
        <v/>
      </c>
      <c r="M1229" s="43"/>
      <c r="P1229" t="str" cm="1">
        <f t="array" ref="P1229">IFERROR(_xlfn.AGGREGATE(15,6,ROW(DB!A$2:A$2576)/((($D$3&lt;&gt;"YES")+($D$3="YES")*(DB!E$2:E$2576="YES"))*(($D$4="")+($D$4&lt;&gt;"")*( DB!B$2:B$2576=$D$4))*(($D$5="")+($D$5&lt;&gt;"")*( DB!C$2:C$2576=$D$5))*(($D$6="")+($D$6&lt;&gt;"")*( DB!D$2:D$2576=$D$6))*(($D$7="")+($D$7&lt;&gt;"")*(ISNUMBER(SEARCH($D$7,DB!G$2:G$2576))))*(($F$7="전체")+($F$7&lt;&gt;"전체")*(DB!H$2:H$2576=$F$7))),ROW()-13)-1,"")</f>
        <v/>
      </c>
      <c r="Q1229" t="str" cm="1">
        <f t="array" ref="Q1229">IFERROR(INDEX(DB!G$2:G$2576,P1229),"")</f>
        <v/>
      </c>
      <c r="R1229" t="str" cm="1">
        <f t="array" ref="R1229">IFERROR(INDEX(DB!O$2:O$2576,P1229),"")</f>
        <v/>
      </c>
      <c r="S1229" t="str">
        <f t="shared" si="57"/>
        <v/>
      </c>
      <c r="T1229" t="str">
        <f t="shared" si="58"/>
        <v/>
      </c>
    </row>
    <row r="1230" spans="1:20" ht="100" customHeight="1">
      <c r="A1230" s="26"/>
      <c r="B1230" s="39" t="str">
        <f t="shared" si="56"/>
        <v/>
      </c>
      <c r="C1230" s="43"/>
      <c r="D1230" s="51" t="str" cm="1">
        <f t="array" ref="D1230">IFERROR(INDEX(DB!G$2:G$2576,T1230),"")</f>
        <v/>
      </c>
      <c r="E1230" s="43"/>
      <c r="F1230" s="52" t="str" cm="1">
        <f t="array" ref="F1230">IFERROR(INDEX(DB!O$2:O$2576,T1230),"")</f>
        <v/>
      </c>
      <c r="G1230" s="43"/>
      <c r="H1230" s="40" t="str" cm="1">
        <f t="array" ref="H1230">IFERROR(INDEX(DB!P$2:P$2576,T1230),"")</f>
        <v/>
      </c>
      <c r="I1230" s="43"/>
      <c r="J1230" s="53" t="str" cm="1">
        <f t="array" ref="J1230">IFERROR(INDEX(DB!Q$2:Q$2576,T1230),"")</f>
        <v/>
      </c>
      <c r="K1230" s="43"/>
      <c r="L1230" s="41" t="str" cm="1">
        <f t="array" ref="L1230">IFERROR(INDEX(DB!R$2:R$2576,T1230),"")</f>
        <v/>
      </c>
      <c r="M1230" s="43"/>
      <c r="P1230" t="str" cm="1">
        <f t="array" ref="P1230">IFERROR(_xlfn.AGGREGATE(15,6,ROW(DB!A$2:A$2576)/((($D$3&lt;&gt;"YES")+($D$3="YES")*(DB!E$2:E$2576="YES"))*(($D$4="")+($D$4&lt;&gt;"")*( DB!B$2:B$2576=$D$4))*(($D$5="")+($D$5&lt;&gt;"")*( DB!C$2:C$2576=$D$5))*(($D$6="")+($D$6&lt;&gt;"")*( DB!D$2:D$2576=$D$6))*(($D$7="")+($D$7&lt;&gt;"")*(ISNUMBER(SEARCH($D$7,DB!G$2:G$2576))))*(($F$7="전체")+($F$7&lt;&gt;"전체")*(DB!H$2:H$2576=$F$7))),ROW()-13)-1,"")</f>
        <v/>
      </c>
      <c r="Q1230" t="str" cm="1">
        <f t="array" ref="Q1230">IFERROR(INDEX(DB!G$2:G$2576,P1230),"")</f>
        <v/>
      </c>
      <c r="R1230" t="str" cm="1">
        <f t="array" ref="R1230">IFERROR(INDEX(DB!O$2:O$2576,P1230),"")</f>
        <v/>
      </c>
      <c r="S1230" t="str">
        <f t="shared" si="57"/>
        <v/>
      </c>
      <c r="T1230" t="str">
        <f t="shared" si="58"/>
        <v/>
      </c>
    </row>
    <row r="1231" spans="1:20" ht="100" customHeight="1">
      <c r="A1231" s="26"/>
      <c r="B1231" s="42" t="str">
        <f t="shared" ref="B1231:B1294" si="59">IFERROR(IF(T1231="","",ROW()-13),"")</f>
        <v/>
      </c>
      <c r="C1231" s="43"/>
      <c r="D1231" s="51" t="str" cm="1">
        <f t="array" ref="D1231">IFERROR(INDEX(DB!G$2:G$2576,T1231),"")</f>
        <v/>
      </c>
      <c r="E1231" s="43"/>
      <c r="F1231" s="52" t="str" cm="1">
        <f t="array" ref="F1231">IFERROR(INDEX(DB!O$2:O$2576,T1231),"")</f>
        <v/>
      </c>
      <c r="G1231" s="43"/>
      <c r="H1231" s="40" t="str" cm="1">
        <f t="array" ref="H1231">IFERROR(INDEX(DB!P$2:P$2576,T1231),"")</f>
        <v/>
      </c>
      <c r="I1231" s="43"/>
      <c r="J1231" s="53" t="str" cm="1">
        <f t="array" ref="J1231">IFERROR(INDEX(DB!Q$2:Q$2576,T1231),"")</f>
        <v/>
      </c>
      <c r="K1231" s="43"/>
      <c r="L1231" s="41" t="str" cm="1">
        <f t="array" ref="L1231">IFERROR(INDEX(DB!R$2:R$2576,T1231),"")</f>
        <v/>
      </c>
      <c r="M1231" s="43"/>
      <c r="P1231" t="str" cm="1">
        <f t="array" ref="P1231">IFERROR(_xlfn.AGGREGATE(15,6,ROW(DB!A$2:A$2576)/((($D$3&lt;&gt;"YES")+($D$3="YES")*(DB!E$2:E$2576="YES"))*(($D$4="")+($D$4&lt;&gt;"")*( DB!B$2:B$2576=$D$4))*(($D$5="")+($D$5&lt;&gt;"")*( DB!C$2:C$2576=$D$5))*(($D$6="")+($D$6&lt;&gt;"")*( DB!D$2:D$2576=$D$6))*(($D$7="")+($D$7&lt;&gt;"")*(ISNUMBER(SEARCH($D$7,DB!G$2:G$2576))))*(($F$7="전체")+($F$7&lt;&gt;"전체")*(DB!H$2:H$2576=$F$7))),ROW()-13)-1,"")</f>
        <v/>
      </c>
      <c r="Q1231" t="str" cm="1">
        <f t="array" ref="Q1231">IFERROR(INDEX(DB!G$2:G$2576,P1231),"")</f>
        <v/>
      </c>
      <c r="R1231" t="str" cm="1">
        <f t="array" ref="R1231">IFERROR(INDEX(DB!O$2:O$2576,P1231),"")</f>
        <v/>
      </c>
      <c r="S1231" t="str">
        <f t="shared" ref="S1231:S1294" si="60">IF(P1231="","",COUNTIF($Q$14:$Q$2587,"&lt;"&amp;Q1231)*100+COUNTIF($R$14:$R$2587,"&lt;"&amp;R1231)+(ROW()-13)*0.001)</f>
        <v/>
      </c>
      <c r="T1231" t="str">
        <f t="shared" ref="T1231:T1294" si="61">IFERROR(INDEX($P$14:$P$2587,MATCH(SMALL($S$14:$S$2587,ROW()-13),$S$14:$S$2587,0)),"")</f>
        <v/>
      </c>
    </row>
    <row r="1232" spans="1:20" ht="100" customHeight="1">
      <c r="A1232" s="26"/>
      <c r="B1232" s="39" t="str">
        <f t="shared" si="59"/>
        <v/>
      </c>
      <c r="C1232" s="43"/>
      <c r="D1232" s="51" t="str" cm="1">
        <f t="array" ref="D1232">IFERROR(INDEX(DB!G$2:G$2576,T1232),"")</f>
        <v/>
      </c>
      <c r="E1232" s="43"/>
      <c r="F1232" s="52" t="str" cm="1">
        <f t="array" ref="F1232">IFERROR(INDEX(DB!O$2:O$2576,T1232),"")</f>
        <v/>
      </c>
      <c r="G1232" s="43"/>
      <c r="H1232" s="40" t="str" cm="1">
        <f t="array" ref="H1232">IFERROR(INDEX(DB!P$2:P$2576,T1232),"")</f>
        <v/>
      </c>
      <c r="I1232" s="43"/>
      <c r="J1232" s="53" t="str" cm="1">
        <f t="array" ref="J1232">IFERROR(INDEX(DB!Q$2:Q$2576,T1232),"")</f>
        <v/>
      </c>
      <c r="K1232" s="43"/>
      <c r="L1232" s="41" t="str" cm="1">
        <f t="array" ref="L1232">IFERROR(INDEX(DB!R$2:R$2576,T1232),"")</f>
        <v/>
      </c>
      <c r="M1232" s="43"/>
      <c r="P1232" t="str" cm="1">
        <f t="array" ref="P1232">IFERROR(_xlfn.AGGREGATE(15,6,ROW(DB!A$2:A$2576)/((($D$3&lt;&gt;"YES")+($D$3="YES")*(DB!E$2:E$2576="YES"))*(($D$4="")+($D$4&lt;&gt;"")*( DB!B$2:B$2576=$D$4))*(($D$5="")+($D$5&lt;&gt;"")*( DB!C$2:C$2576=$D$5))*(($D$6="")+($D$6&lt;&gt;"")*( DB!D$2:D$2576=$D$6))*(($D$7="")+($D$7&lt;&gt;"")*(ISNUMBER(SEARCH($D$7,DB!G$2:G$2576))))*(($F$7="전체")+($F$7&lt;&gt;"전체")*(DB!H$2:H$2576=$F$7))),ROW()-13)-1,"")</f>
        <v/>
      </c>
      <c r="Q1232" t="str" cm="1">
        <f t="array" ref="Q1232">IFERROR(INDEX(DB!G$2:G$2576,P1232),"")</f>
        <v/>
      </c>
      <c r="R1232" t="str" cm="1">
        <f t="array" ref="R1232">IFERROR(INDEX(DB!O$2:O$2576,P1232),"")</f>
        <v/>
      </c>
      <c r="S1232" t="str">
        <f t="shared" si="60"/>
        <v/>
      </c>
      <c r="T1232" t="str">
        <f t="shared" si="61"/>
        <v/>
      </c>
    </row>
    <row r="1233" spans="1:20" ht="100" customHeight="1">
      <c r="A1233" s="26"/>
      <c r="B1233" s="42" t="str">
        <f t="shared" si="59"/>
        <v/>
      </c>
      <c r="C1233" s="43"/>
      <c r="D1233" s="51" t="str" cm="1">
        <f t="array" ref="D1233">IFERROR(INDEX(DB!G$2:G$2576,T1233),"")</f>
        <v/>
      </c>
      <c r="E1233" s="43"/>
      <c r="F1233" s="52" t="str" cm="1">
        <f t="array" ref="F1233">IFERROR(INDEX(DB!O$2:O$2576,T1233),"")</f>
        <v/>
      </c>
      <c r="G1233" s="43"/>
      <c r="H1233" s="40" t="str" cm="1">
        <f t="array" ref="H1233">IFERROR(INDEX(DB!P$2:P$2576,T1233),"")</f>
        <v/>
      </c>
      <c r="I1233" s="43"/>
      <c r="J1233" s="53" t="str" cm="1">
        <f t="array" ref="J1233">IFERROR(INDEX(DB!Q$2:Q$2576,T1233),"")</f>
        <v/>
      </c>
      <c r="K1233" s="43"/>
      <c r="L1233" s="41" t="str" cm="1">
        <f t="array" ref="L1233">IFERROR(INDEX(DB!R$2:R$2576,T1233),"")</f>
        <v/>
      </c>
      <c r="M1233" s="43"/>
      <c r="P1233" t="str" cm="1">
        <f t="array" ref="P1233">IFERROR(_xlfn.AGGREGATE(15,6,ROW(DB!A$2:A$2576)/((($D$3&lt;&gt;"YES")+($D$3="YES")*(DB!E$2:E$2576="YES"))*(($D$4="")+($D$4&lt;&gt;"")*( DB!B$2:B$2576=$D$4))*(($D$5="")+($D$5&lt;&gt;"")*( DB!C$2:C$2576=$D$5))*(($D$6="")+($D$6&lt;&gt;"")*( DB!D$2:D$2576=$D$6))*(($D$7="")+($D$7&lt;&gt;"")*(ISNUMBER(SEARCH($D$7,DB!G$2:G$2576))))*(($F$7="전체")+($F$7&lt;&gt;"전체")*(DB!H$2:H$2576=$F$7))),ROW()-13)-1,"")</f>
        <v/>
      </c>
      <c r="Q1233" t="str" cm="1">
        <f t="array" ref="Q1233">IFERROR(INDEX(DB!G$2:G$2576,P1233),"")</f>
        <v/>
      </c>
      <c r="R1233" t="str" cm="1">
        <f t="array" ref="R1233">IFERROR(INDEX(DB!O$2:O$2576,P1233),"")</f>
        <v/>
      </c>
      <c r="S1233" t="str">
        <f t="shared" si="60"/>
        <v/>
      </c>
      <c r="T1233" t="str">
        <f t="shared" si="61"/>
        <v/>
      </c>
    </row>
    <row r="1234" spans="1:20" ht="100" customHeight="1">
      <c r="A1234" s="26"/>
      <c r="B1234" s="39" t="str">
        <f t="shared" si="59"/>
        <v/>
      </c>
      <c r="C1234" s="43"/>
      <c r="D1234" s="51" t="str" cm="1">
        <f t="array" ref="D1234">IFERROR(INDEX(DB!G$2:G$2576,T1234),"")</f>
        <v/>
      </c>
      <c r="E1234" s="43"/>
      <c r="F1234" s="52" t="str" cm="1">
        <f t="array" ref="F1234">IFERROR(INDEX(DB!O$2:O$2576,T1234),"")</f>
        <v/>
      </c>
      <c r="G1234" s="43"/>
      <c r="H1234" s="40" t="str" cm="1">
        <f t="array" ref="H1234">IFERROR(INDEX(DB!P$2:P$2576,T1234),"")</f>
        <v/>
      </c>
      <c r="I1234" s="43"/>
      <c r="J1234" s="53" t="str" cm="1">
        <f t="array" ref="J1234">IFERROR(INDEX(DB!Q$2:Q$2576,T1234),"")</f>
        <v/>
      </c>
      <c r="K1234" s="43"/>
      <c r="L1234" s="41" t="str" cm="1">
        <f t="array" ref="L1234">IFERROR(INDEX(DB!R$2:R$2576,T1234),"")</f>
        <v/>
      </c>
      <c r="M1234" s="43"/>
      <c r="P1234" t="str" cm="1">
        <f t="array" ref="P1234">IFERROR(_xlfn.AGGREGATE(15,6,ROW(DB!A$2:A$2576)/((($D$3&lt;&gt;"YES")+($D$3="YES")*(DB!E$2:E$2576="YES"))*(($D$4="")+($D$4&lt;&gt;"")*( DB!B$2:B$2576=$D$4))*(($D$5="")+($D$5&lt;&gt;"")*( DB!C$2:C$2576=$D$5))*(($D$6="")+($D$6&lt;&gt;"")*( DB!D$2:D$2576=$D$6))*(($D$7="")+($D$7&lt;&gt;"")*(ISNUMBER(SEARCH($D$7,DB!G$2:G$2576))))*(($F$7="전체")+($F$7&lt;&gt;"전체")*(DB!H$2:H$2576=$F$7))),ROW()-13)-1,"")</f>
        <v/>
      </c>
      <c r="Q1234" t="str" cm="1">
        <f t="array" ref="Q1234">IFERROR(INDEX(DB!G$2:G$2576,P1234),"")</f>
        <v/>
      </c>
      <c r="R1234" t="str" cm="1">
        <f t="array" ref="R1234">IFERROR(INDEX(DB!O$2:O$2576,P1234),"")</f>
        <v/>
      </c>
      <c r="S1234" t="str">
        <f t="shared" si="60"/>
        <v/>
      </c>
      <c r="T1234" t="str">
        <f t="shared" si="61"/>
        <v/>
      </c>
    </row>
    <row r="1235" spans="1:20" ht="100" customHeight="1">
      <c r="A1235" s="26"/>
      <c r="B1235" s="42" t="str">
        <f t="shared" si="59"/>
        <v/>
      </c>
      <c r="C1235" s="43"/>
      <c r="D1235" s="51" t="str" cm="1">
        <f t="array" ref="D1235">IFERROR(INDEX(DB!G$2:G$2576,T1235),"")</f>
        <v/>
      </c>
      <c r="E1235" s="43"/>
      <c r="F1235" s="52" t="str" cm="1">
        <f t="array" ref="F1235">IFERROR(INDEX(DB!O$2:O$2576,T1235),"")</f>
        <v/>
      </c>
      <c r="G1235" s="43"/>
      <c r="H1235" s="40" t="str" cm="1">
        <f t="array" ref="H1235">IFERROR(INDEX(DB!P$2:P$2576,T1235),"")</f>
        <v/>
      </c>
      <c r="I1235" s="43"/>
      <c r="J1235" s="53" t="str" cm="1">
        <f t="array" ref="J1235">IFERROR(INDEX(DB!Q$2:Q$2576,T1235),"")</f>
        <v/>
      </c>
      <c r="K1235" s="43"/>
      <c r="L1235" s="41" t="str" cm="1">
        <f t="array" ref="L1235">IFERROR(INDEX(DB!R$2:R$2576,T1235),"")</f>
        <v/>
      </c>
      <c r="M1235" s="43"/>
      <c r="P1235" t="str" cm="1">
        <f t="array" ref="P1235">IFERROR(_xlfn.AGGREGATE(15,6,ROW(DB!A$2:A$2576)/((($D$3&lt;&gt;"YES")+($D$3="YES")*(DB!E$2:E$2576="YES"))*(($D$4="")+($D$4&lt;&gt;"")*( DB!B$2:B$2576=$D$4))*(($D$5="")+($D$5&lt;&gt;"")*( DB!C$2:C$2576=$D$5))*(($D$6="")+($D$6&lt;&gt;"")*( DB!D$2:D$2576=$D$6))*(($D$7="")+($D$7&lt;&gt;"")*(ISNUMBER(SEARCH($D$7,DB!G$2:G$2576))))*(($F$7="전체")+($F$7&lt;&gt;"전체")*(DB!H$2:H$2576=$F$7))),ROW()-13)-1,"")</f>
        <v/>
      </c>
      <c r="Q1235" t="str" cm="1">
        <f t="array" ref="Q1235">IFERROR(INDEX(DB!G$2:G$2576,P1235),"")</f>
        <v/>
      </c>
      <c r="R1235" t="str" cm="1">
        <f t="array" ref="R1235">IFERROR(INDEX(DB!O$2:O$2576,P1235),"")</f>
        <v/>
      </c>
      <c r="S1235" t="str">
        <f t="shared" si="60"/>
        <v/>
      </c>
      <c r="T1235" t="str">
        <f t="shared" si="61"/>
        <v/>
      </c>
    </row>
    <row r="1236" spans="1:20" ht="100" customHeight="1">
      <c r="A1236" s="26"/>
      <c r="B1236" s="39" t="str">
        <f t="shared" si="59"/>
        <v/>
      </c>
      <c r="C1236" s="43"/>
      <c r="D1236" s="51" t="str" cm="1">
        <f t="array" ref="D1236">IFERROR(INDEX(DB!G$2:G$2576,T1236),"")</f>
        <v/>
      </c>
      <c r="E1236" s="43"/>
      <c r="F1236" s="52" t="str" cm="1">
        <f t="array" ref="F1236">IFERROR(INDEX(DB!O$2:O$2576,T1236),"")</f>
        <v/>
      </c>
      <c r="G1236" s="43"/>
      <c r="H1236" s="40" t="str" cm="1">
        <f t="array" ref="H1236">IFERROR(INDEX(DB!P$2:P$2576,T1236),"")</f>
        <v/>
      </c>
      <c r="I1236" s="43"/>
      <c r="J1236" s="53" t="str" cm="1">
        <f t="array" ref="J1236">IFERROR(INDEX(DB!Q$2:Q$2576,T1236),"")</f>
        <v/>
      </c>
      <c r="K1236" s="43"/>
      <c r="L1236" s="41" t="str" cm="1">
        <f t="array" ref="L1236">IFERROR(INDEX(DB!R$2:R$2576,T1236),"")</f>
        <v/>
      </c>
      <c r="M1236" s="43"/>
      <c r="P1236" t="str" cm="1">
        <f t="array" ref="P1236">IFERROR(_xlfn.AGGREGATE(15,6,ROW(DB!A$2:A$2576)/((($D$3&lt;&gt;"YES")+($D$3="YES")*(DB!E$2:E$2576="YES"))*(($D$4="")+($D$4&lt;&gt;"")*( DB!B$2:B$2576=$D$4))*(($D$5="")+($D$5&lt;&gt;"")*( DB!C$2:C$2576=$D$5))*(($D$6="")+($D$6&lt;&gt;"")*( DB!D$2:D$2576=$D$6))*(($D$7="")+($D$7&lt;&gt;"")*(ISNUMBER(SEARCH($D$7,DB!G$2:G$2576))))*(($F$7="전체")+($F$7&lt;&gt;"전체")*(DB!H$2:H$2576=$F$7))),ROW()-13)-1,"")</f>
        <v/>
      </c>
      <c r="Q1236" t="str" cm="1">
        <f t="array" ref="Q1236">IFERROR(INDEX(DB!G$2:G$2576,P1236),"")</f>
        <v/>
      </c>
      <c r="R1236" t="str" cm="1">
        <f t="array" ref="R1236">IFERROR(INDEX(DB!O$2:O$2576,P1236),"")</f>
        <v/>
      </c>
      <c r="S1236" t="str">
        <f t="shared" si="60"/>
        <v/>
      </c>
      <c r="T1236" t="str">
        <f t="shared" si="61"/>
        <v/>
      </c>
    </row>
    <row r="1237" spans="1:20" ht="100" customHeight="1">
      <c r="A1237" s="26"/>
      <c r="B1237" s="42" t="str">
        <f t="shared" si="59"/>
        <v/>
      </c>
      <c r="C1237" s="43"/>
      <c r="D1237" s="51" t="str" cm="1">
        <f t="array" ref="D1237">IFERROR(INDEX(DB!G$2:G$2576,T1237),"")</f>
        <v/>
      </c>
      <c r="E1237" s="43"/>
      <c r="F1237" s="52" t="str" cm="1">
        <f t="array" ref="F1237">IFERROR(INDEX(DB!O$2:O$2576,T1237),"")</f>
        <v/>
      </c>
      <c r="G1237" s="43"/>
      <c r="H1237" s="40" t="str" cm="1">
        <f t="array" ref="H1237">IFERROR(INDEX(DB!P$2:P$2576,T1237),"")</f>
        <v/>
      </c>
      <c r="I1237" s="43"/>
      <c r="J1237" s="53" t="str" cm="1">
        <f t="array" ref="J1237">IFERROR(INDEX(DB!Q$2:Q$2576,T1237),"")</f>
        <v/>
      </c>
      <c r="K1237" s="43"/>
      <c r="L1237" s="41" t="str" cm="1">
        <f t="array" ref="L1237">IFERROR(INDEX(DB!R$2:R$2576,T1237),"")</f>
        <v/>
      </c>
      <c r="M1237" s="43"/>
      <c r="P1237" t="str" cm="1">
        <f t="array" ref="P1237">IFERROR(_xlfn.AGGREGATE(15,6,ROW(DB!A$2:A$2576)/((($D$3&lt;&gt;"YES")+($D$3="YES")*(DB!E$2:E$2576="YES"))*(($D$4="")+($D$4&lt;&gt;"")*( DB!B$2:B$2576=$D$4))*(($D$5="")+($D$5&lt;&gt;"")*( DB!C$2:C$2576=$D$5))*(($D$6="")+($D$6&lt;&gt;"")*( DB!D$2:D$2576=$D$6))*(($D$7="")+($D$7&lt;&gt;"")*(ISNUMBER(SEARCH($D$7,DB!G$2:G$2576))))*(($F$7="전체")+($F$7&lt;&gt;"전체")*(DB!H$2:H$2576=$F$7))),ROW()-13)-1,"")</f>
        <v/>
      </c>
      <c r="Q1237" t="str" cm="1">
        <f t="array" ref="Q1237">IFERROR(INDEX(DB!G$2:G$2576,P1237),"")</f>
        <v/>
      </c>
      <c r="R1237" t="str" cm="1">
        <f t="array" ref="R1237">IFERROR(INDEX(DB!O$2:O$2576,P1237),"")</f>
        <v/>
      </c>
      <c r="S1237" t="str">
        <f t="shared" si="60"/>
        <v/>
      </c>
      <c r="T1237" t="str">
        <f t="shared" si="61"/>
        <v/>
      </c>
    </row>
    <row r="1238" spans="1:20" ht="100" customHeight="1">
      <c r="A1238" s="26"/>
      <c r="B1238" s="39" t="str">
        <f t="shared" si="59"/>
        <v/>
      </c>
      <c r="C1238" s="43"/>
      <c r="D1238" s="51" t="str" cm="1">
        <f t="array" ref="D1238">IFERROR(INDEX(DB!G$2:G$2576,T1238),"")</f>
        <v/>
      </c>
      <c r="E1238" s="43"/>
      <c r="F1238" s="52" t="str" cm="1">
        <f t="array" ref="F1238">IFERROR(INDEX(DB!O$2:O$2576,T1238),"")</f>
        <v/>
      </c>
      <c r="G1238" s="43"/>
      <c r="H1238" s="40" t="str" cm="1">
        <f t="array" ref="H1238">IFERROR(INDEX(DB!P$2:P$2576,T1238),"")</f>
        <v/>
      </c>
      <c r="I1238" s="43"/>
      <c r="J1238" s="53" t="str" cm="1">
        <f t="array" ref="J1238">IFERROR(INDEX(DB!Q$2:Q$2576,T1238),"")</f>
        <v/>
      </c>
      <c r="K1238" s="43"/>
      <c r="L1238" s="41" t="str" cm="1">
        <f t="array" ref="L1238">IFERROR(INDEX(DB!R$2:R$2576,T1238),"")</f>
        <v/>
      </c>
      <c r="M1238" s="43"/>
      <c r="P1238" t="str" cm="1">
        <f t="array" ref="P1238">IFERROR(_xlfn.AGGREGATE(15,6,ROW(DB!A$2:A$2576)/((($D$3&lt;&gt;"YES")+($D$3="YES")*(DB!E$2:E$2576="YES"))*(($D$4="")+($D$4&lt;&gt;"")*( DB!B$2:B$2576=$D$4))*(($D$5="")+($D$5&lt;&gt;"")*( DB!C$2:C$2576=$D$5))*(($D$6="")+($D$6&lt;&gt;"")*( DB!D$2:D$2576=$D$6))*(($D$7="")+($D$7&lt;&gt;"")*(ISNUMBER(SEARCH($D$7,DB!G$2:G$2576))))*(($F$7="전체")+($F$7&lt;&gt;"전체")*(DB!H$2:H$2576=$F$7))),ROW()-13)-1,"")</f>
        <v/>
      </c>
      <c r="Q1238" t="str" cm="1">
        <f t="array" ref="Q1238">IFERROR(INDEX(DB!G$2:G$2576,P1238),"")</f>
        <v/>
      </c>
      <c r="R1238" t="str" cm="1">
        <f t="array" ref="R1238">IFERROR(INDEX(DB!O$2:O$2576,P1238),"")</f>
        <v/>
      </c>
      <c r="S1238" t="str">
        <f t="shared" si="60"/>
        <v/>
      </c>
      <c r="T1238" t="str">
        <f t="shared" si="61"/>
        <v/>
      </c>
    </row>
    <row r="1239" spans="1:20" ht="100" customHeight="1">
      <c r="A1239" s="26"/>
      <c r="B1239" s="42" t="str">
        <f t="shared" si="59"/>
        <v/>
      </c>
      <c r="C1239" s="43"/>
      <c r="D1239" s="51" t="str" cm="1">
        <f t="array" ref="D1239">IFERROR(INDEX(DB!G$2:G$2576,T1239),"")</f>
        <v/>
      </c>
      <c r="E1239" s="43"/>
      <c r="F1239" s="52" t="str" cm="1">
        <f t="array" ref="F1239">IFERROR(INDEX(DB!O$2:O$2576,T1239),"")</f>
        <v/>
      </c>
      <c r="G1239" s="43"/>
      <c r="H1239" s="40" t="str" cm="1">
        <f t="array" ref="H1239">IFERROR(INDEX(DB!P$2:P$2576,T1239),"")</f>
        <v/>
      </c>
      <c r="I1239" s="43"/>
      <c r="J1239" s="53" t="str" cm="1">
        <f t="array" ref="J1239">IFERROR(INDEX(DB!Q$2:Q$2576,T1239),"")</f>
        <v/>
      </c>
      <c r="K1239" s="43"/>
      <c r="L1239" s="41" t="str" cm="1">
        <f t="array" ref="L1239">IFERROR(INDEX(DB!R$2:R$2576,T1239),"")</f>
        <v/>
      </c>
      <c r="M1239" s="43"/>
      <c r="P1239" t="str" cm="1">
        <f t="array" ref="P1239">IFERROR(_xlfn.AGGREGATE(15,6,ROW(DB!A$2:A$2576)/((($D$3&lt;&gt;"YES")+($D$3="YES")*(DB!E$2:E$2576="YES"))*(($D$4="")+($D$4&lt;&gt;"")*( DB!B$2:B$2576=$D$4))*(($D$5="")+($D$5&lt;&gt;"")*( DB!C$2:C$2576=$D$5))*(($D$6="")+($D$6&lt;&gt;"")*( DB!D$2:D$2576=$D$6))*(($D$7="")+($D$7&lt;&gt;"")*(ISNUMBER(SEARCH($D$7,DB!G$2:G$2576))))*(($F$7="전체")+($F$7&lt;&gt;"전체")*(DB!H$2:H$2576=$F$7))),ROW()-13)-1,"")</f>
        <v/>
      </c>
      <c r="Q1239" t="str" cm="1">
        <f t="array" ref="Q1239">IFERROR(INDEX(DB!G$2:G$2576,P1239),"")</f>
        <v/>
      </c>
      <c r="R1239" t="str" cm="1">
        <f t="array" ref="R1239">IFERROR(INDEX(DB!O$2:O$2576,P1239),"")</f>
        <v/>
      </c>
      <c r="S1239" t="str">
        <f t="shared" si="60"/>
        <v/>
      </c>
      <c r="T1239" t="str">
        <f t="shared" si="61"/>
        <v/>
      </c>
    </row>
    <row r="1240" spans="1:20" ht="100" customHeight="1">
      <c r="A1240" s="26"/>
      <c r="B1240" s="39" t="str">
        <f t="shared" si="59"/>
        <v/>
      </c>
      <c r="C1240" s="43"/>
      <c r="D1240" s="51" t="str" cm="1">
        <f t="array" ref="D1240">IFERROR(INDEX(DB!G$2:G$2576,T1240),"")</f>
        <v/>
      </c>
      <c r="E1240" s="43"/>
      <c r="F1240" s="52" t="str" cm="1">
        <f t="array" ref="F1240">IFERROR(INDEX(DB!O$2:O$2576,T1240),"")</f>
        <v/>
      </c>
      <c r="G1240" s="43"/>
      <c r="H1240" s="40" t="str" cm="1">
        <f t="array" ref="H1240">IFERROR(INDEX(DB!P$2:P$2576,T1240),"")</f>
        <v/>
      </c>
      <c r="I1240" s="43"/>
      <c r="J1240" s="53" t="str" cm="1">
        <f t="array" ref="J1240">IFERROR(INDEX(DB!Q$2:Q$2576,T1240),"")</f>
        <v/>
      </c>
      <c r="K1240" s="43"/>
      <c r="L1240" s="41" t="str" cm="1">
        <f t="array" ref="L1240">IFERROR(INDEX(DB!R$2:R$2576,T1240),"")</f>
        <v/>
      </c>
      <c r="M1240" s="43"/>
      <c r="P1240" t="str" cm="1">
        <f t="array" ref="P1240">IFERROR(_xlfn.AGGREGATE(15,6,ROW(DB!A$2:A$2576)/((($D$3&lt;&gt;"YES")+($D$3="YES")*(DB!E$2:E$2576="YES"))*(($D$4="")+($D$4&lt;&gt;"")*( DB!B$2:B$2576=$D$4))*(($D$5="")+($D$5&lt;&gt;"")*( DB!C$2:C$2576=$D$5))*(($D$6="")+($D$6&lt;&gt;"")*( DB!D$2:D$2576=$D$6))*(($D$7="")+($D$7&lt;&gt;"")*(ISNUMBER(SEARCH($D$7,DB!G$2:G$2576))))*(($F$7="전체")+($F$7&lt;&gt;"전체")*(DB!H$2:H$2576=$F$7))),ROW()-13)-1,"")</f>
        <v/>
      </c>
      <c r="Q1240" t="str" cm="1">
        <f t="array" ref="Q1240">IFERROR(INDEX(DB!G$2:G$2576,P1240),"")</f>
        <v/>
      </c>
      <c r="R1240" t="str" cm="1">
        <f t="array" ref="R1240">IFERROR(INDEX(DB!O$2:O$2576,P1240),"")</f>
        <v/>
      </c>
      <c r="S1240" t="str">
        <f t="shared" si="60"/>
        <v/>
      </c>
      <c r="T1240" t="str">
        <f t="shared" si="61"/>
        <v/>
      </c>
    </row>
    <row r="1241" spans="1:20" ht="100" customHeight="1">
      <c r="A1241" s="26"/>
      <c r="B1241" s="42" t="str">
        <f t="shared" si="59"/>
        <v/>
      </c>
      <c r="C1241" s="43"/>
      <c r="D1241" s="51" t="str" cm="1">
        <f t="array" ref="D1241">IFERROR(INDEX(DB!G$2:G$2576,T1241),"")</f>
        <v/>
      </c>
      <c r="E1241" s="43"/>
      <c r="F1241" s="52" t="str" cm="1">
        <f t="array" ref="F1241">IFERROR(INDEX(DB!O$2:O$2576,T1241),"")</f>
        <v/>
      </c>
      <c r="G1241" s="43"/>
      <c r="H1241" s="40" t="str" cm="1">
        <f t="array" ref="H1241">IFERROR(INDEX(DB!P$2:P$2576,T1241),"")</f>
        <v/>
      </c>
      <c r="I1241" s="43"/>
      <c r="J1241" s="53" t="str" cm="1">
        <f t="array" ref="J1241">IFERROR(INDEX(DB!Q$2:Q$2576,T1241),"")</f>
        <v/>
      </c>
      <c r="K1241" s="43"/>
      <c r="L1241" s="41" t="str" cm="1">
        <f t="array" ref="L1241">IFERROR(INDEX(DB!R$2:R$2576,T1241),"")</f>
        <v/>
      </c>
      <c r="M1241" s="43"/>
      <c r="P1241" t="str" cm="1">
        <f t="array" ref="P1241">IFERROR(_xlfn.AGGREGATE(15,6,ROW(DB!A$2:A$2576)/((($D$3&lt;&gt;"YES")+($D$3="YES")*(DB!E$2:E$2576="YES"))*(($D$4="")+($D$4&lt;&gt;"")*( DB!B$2:B$2576=$D$4))*(($D$5="")+($D$5&lt;&gt;"")*( DB!C$2:C$2576=$D$5))*(($D$6="")+($D$6&lt;&gt;"")*( DB!D$2:D$2576=$D$6))*(($D$7="")+($D$7&lt;&gt;"")*(ISNUMBER(SEARCH($D$7,DB!G$2:G$2576))))*(($F$7="전체")+($F$7&lt;&gt;"전체")*(DB!H$2:H$2576=$F$7))),ROW()-13)-1,"")</f>
        <v/>
      </c>
      <c r="Q1241" t="str" cm="1">
        <f t="array" ref="Q1241">IFERROR(INDEX(DB!G$2:G$2576,P1241),"")</f>
        <v/>
      </c>
      <c r="R1241" t="str" cm="1">
        <f t="array" ref="R1241">IFERROR(INDEX(DB!O$2:O$2576,P1241),"")</f>
        <v/>
      </c>
      <c r="S1241" t="str">
        <f t="shared" si="60"/>
        <v/>
      </c>
      <c r="T1241" t="str">
        <f t="shared" si="61"/>
        <v/>
      </c>
    </row>
    <row r="1242" spans="1:20" ht="100" customHeight="1">
      <c r="A1242" s="26"/>
      <c r="B1242" s="39" t="str">
        <f t="shared" si="59"/>
        <v/>
      </c>
      <c r="C1242" s="43"/>
      <c r="D1242" s="51" t="str" cm="1">
        <f t="array" ref="D1242">IFERROR(INDEX(DB!G$2:G$2576,T1242),"")</f>
        <v/>
      </c>
      <c r="E1242" s="43"/>
      <c r="F1242" s="52" t="str" cm="1">
        <f t="array" ref="F1242">IFERROR(INDEX(DB!O$2:O$2576,T1242),"")</f>
        <v/>
      </c>
      <c r="G1242" s="43"/>
      <c r="H1242" s="40" t="str" cm="1">
        <f t="array" ref="H1242">IFERROR(INDEX(DB!P$2:P$2576,T1242),"")</f>
        <v/>
      </c>
      <c r="I1242" s="43"/>
      <c r="J1242" s="53" t="str" cm="1">
        <f t="array" ref="J1242">IFERROR(INDEX(DB!Q$2:Q$2576,T1242),"")</f>
        <v/>
      </c>
      <c r="K1242" s="43"/>
      <c r="L1242" s="41" t="str" cm="1">
        <f t="array" ref="L1242">IFERROR(INDEX(DB!R$2:R$2576,T1242),"")</f>
        <v/>
      </c>
      <c r="M1242" s="43"/>
      <c r="P1242" t="str" cm="1">
        <f t="array" ref="P1242">IFERROR(_xlfn.AGGREGATE(15,6,ROW(DB!A$2:A$2576)/((($D$3&lt;&gt;"YES")+($D$3="YES")*(DB!E$2:E$2576="YES"))*(($D$4="")+($D$4&lt;&gt;"")*( DB!B$2:B$2576=$D$4))*(($D$5="")+($D$5&lt;&gt;"")*( DB!C$2:C$2576=$D$5))*(($D$6="")+($D$6&lt;&gt;"")*( DB!D$2:D$2576=$D$6))*(($D$7="")+($D$7&lt;&gt;"")*(ISNUMBER(SEARCH($D$7,DB!G$2:G$2576))))*(($F$7="전체")+($F$7&lt;&gt;"전체")*(DB!H$2:H$2576=$F$7))),ROW()-13)-1,"")</f>
        <v/>
      </c>
      <c r="Q1242" t="str" cm="1">
        <f t="array" ref="Q1242">IFERROR(INDEX(DB!G$2:G$2576,P1242),"")</f>
        <v/>
      </c>
      <c r="R1242" t="str" cm="1">
        <f t="array" ref="R1242">IFERROR(INDEX(DB!O$2:O$2576,P1242),"")</f>
        <v/>
      </c>
      <c r="S1242" t="str">
        <f t="shared" si="60"/>
        <v/>
      </c>
      <c r="T1242" t="str">
        <f t="shared" si="61"/>
        <v/>
      </c>
    </row>
    <row r="1243" spans="1:20" ht="100" customHeight="1">
      <c r="A1243" s="26"/>
      <c r="B1243" s="42" t="str">
        <f t="shared" si="59"/>
        <v/>
      </c>
      <c r="C1243" s="43"/>
      <c r="D1243" s="51" t="str" cm="1">
        <f t="array" ref="D1243">IFERROR(INDEX(DB!G$2:G$2576,T1243),"")</f>
        <v/>
      </c>
      <c r="E1243" s="43"/>
      <c r="F1243" s="52" t="str" cm="1">
        <f t="array" ref="F1243">IFERROR(INDEX(DB!O$2:O$2576,T1243),"")</f>
        <v/>
      </c>
      <c r="G1243" s="43"/>
      <c r="H1243" s="40" t="str" cm="1">
        <f t="array" ref="H1243">IFERROR(INDEX(DB!P$2:P$2576,T1243),"")</f>
        <v/>
      </c>
      <c r="I1243" s="43"/>
      <c r="J1243" s="53" t="str" cm="1">
        <f t="array" ref="J1243">IFERROR(INDEX(DB!Q$2:Q$2576,T1243),"")</f>
        <v/>
      </c>
      <c r="K1243" s="43"/>
      <c r="L1243" s="41" t="str" cm="1">
        <f t="array" ref="L1243">IFERROR(INDEX(DB!R$2:R$2576,T1243),"")</f>
        <v/>
      </c>
      <c r="M1243" s="43"/>
      <c r="P1243" t="str" cm="1">
        <f t="array" ref="P1243">IFERROR(_xlfn.AGGREGATE(15,6,ROW(DB!A$2:A$2576)/((($D$3&lt;&gt;"YES")+($D$3="YES")*(DB!E$2:E$2576="YES"))*(($D$4="")+($D$4&lt;&gt;"")*( DB!B$2:B$2576=$D$4))*(($D$5="")+($D$5&lt;&gt;"")*( DB!C$2:C$2576=$D$5))*(($D$6="")+($D$6&lt;&gt;"")*( DB!D$2:D$2576=$D$6))*(($D$7="")+($D$7&lt;&gt;"")*(ISNUMBER(SEARCH($D$7,DB!G$2:G$2576))))*(($F$7="전체")+($F$7&lt;&gt;"전체")*(DB!H$2:H$2576=$F$7))),ROW()-13)-1,"")</f>
        <v/>
      </c>
      <c r="Q1243" t="str" cm="1">
        <f t="array" ref="Q1243">IFERROR(INDEX(DB!G$2:G$2576,P1243),"")</f>
        <v/>
      </c>
      <c r="R1243" t="str" cm="1">
        <f t="array" ref="R1243">IFERROR(INDEX(DB!O$2:O$2576,P1243),"")</f>
        <v/>
      </c>
      <c r="S1243" t="str">
        <f t="shared" si="60"/>
        <v/>
      </c>
      <c r="T1243" t="str">
        <f t="shared" si="61"/>
        <v/>
      </c>
    </row>
    <row r="1244" spans="1:20" ht="100" customHeight="1">
      <c r="A1244" s="26"/>
      <c r="B1244" s="39" t="str">
        <f t="shared" si="59"/>
        <v/>
      </c>
      <c r="C1244" s="43"/>
      <c r="D1244" s="51" t="str" cm="1">
        <f t="array" ref="D1244">IFERROR(INDEX(DB!G$2:G$2576,T1244),"")</f>
        <v/>
      </c>
      <c r="E1244" s="43"/>
      <c r="F1244" s="52" t="str" cm="1">
        <f t="array" ref="F1244">IFERROR(INDEX(DB!O$2:O$2576,T1244),"")</f>
        <v/>
      </c>
      <c r="G1244" s="43"/>
      <c r="H1244" s="40" t="str" cm="1">
        <f t="array" ref="H1244">IFERROR(INDEX(DB!P$2:P$2576,T1244),"")</f>
        <v/>
      </c>
      <c r="I1244" s="43"/>
      <c r="J1244" s="53" t="str" cm="1">
        <f t="array" ref="J1244">IFERROR(INDEX(DB!Q$2:Q$2576,T1244),"")</f>
        <v/>
      </c>
      <c r="K1244" s="43"/>
      <c r="L1244" s="41" t="str" cm="1">
        <f t="array" ref="L1244">IFERROR(INDEX(DB!R$2:R$2576,T1244),"")</f>
        <v/>
      </c>
      <c r="M1244" s="43"/>
      <c r="P1244" t="str" cm="1">
        <f t="array" ref="P1244">IFERROR(_xlfn.AGGREGATE(15,6,ROW(DB!A$2:A$2576)/((($D$3&lt;&gt;"YES")+($D$3="YES")*(DB!E$2:E$2576="YES"))*(($D$4="")+($D$4&lt;&gt;"")*( DB!B$2:B$2576=$D$4))*(($D$5="")+($D$5&lt;&gt;"")*( DB!C$2:C$2576=$D$5))*(($D$6="")+($D$6&lt;&gt;"")*( DB!D$2:D$2576=$D$6))*(($D$7="")+($D$7&lt;&gt;"")*(ISNUMBER(SEARCH($D$7,DB!G$2:G$2576))))*(($F$7="전체")+($F$7&lt;&gt;"전체")*(DB!H$2:H$2576=$F$7))),ROW()-13)-1,"")</f>
        <v/>
      </c>
      <c r="Q1244" t="str" cm="1">
        <f t="array" ref="Q1244">IFERROR(INDEX(DB!G$2:G$2576,P1244),"")</f>
        <v/>
      </c>
      <c r="R1244" t="str" cm="1">
        <f t="array" ref="R1244">IFERROR(INDEX(DB!O$2:O$2576,P1244),"")</f>
        <v/>
      </c>
      <c r="S1244" t="str">
        <f t="shared" si="60"/>
        <v/>
      </c>
      <c r="T1244" t="str">
        <f t="shared" si="61"/>
        <v/>
      </c>
    </row>
    <row r="1245" spans="1:20" ht="100" customHeight="1">
      <c r="A1245" s="26"/>
      <c r="B1245" s="42" t="str">
        <f t="shared" si="59"/>
        <v/>
      </c>
      <c r="C1245" s="43"/>
      <c r="D1245" s="51" t="str" cm="1">
        <f t="array" ref="D1245">IFERROR(INDEX(DB!G$2:G$2576,T1245),"")</f>
        <v/>
      </c>
      <c r="E1245" s="43"/>
      <c r="F1245" s="52" t="str" cm="1">
        <f t="array" ref="F1245">IFERROR(INDEX(DB!O$2:O$2576,T1245),"")</f>
        <v/>
      </c>
      <c r="G1245" s="43"/>
      <c r="H1245" s="40" t="str" cm="1">
        <f t="array" ref="H1245">IFERROR(INDEX(DB!P$2:P$2576,T1245),"")</f>
        <v/>
      </c>
      <c r="I1245" s="43"/>
      <c r="J1245" s="53" t="str" cm="1">
        <f t="array" ref="J1245">IFERROR(INDEX(DB!Q$2:Q$2576,T1245),"")</f>
        <v/>
      </c>
      <c r="K1245" s="43"/>
      <c r="L1245" s="41" t="str" cm="1">
        <f t="array" ref="L1245">IFERROR(INDEX(DB!R$2:R$2576,T1245),"")</f>
        <v/>
      </c>
      <c r="M1245" s="43"/>
      <c r="P1245" t="str" cm="1">
        <f t="array" ref="P1245">IFERROR(_xlfn.AGGREGATE(15,6,ROW(DB!A$2:A$2576)/((($D$3&lt;&gt;"YES")+($D$3="YES")*(DB!E$2:E$2576="YES"))*(($D$4="")+($D$4&lt;&gt;"")*( DB!B$2:B$2576=$D$4))*(($D$5="")+($D$5&lt;&gt;"")*( DB!C$2:C$2576=$D$5))*(($D$6="")+($D$6&lt;&gt;"")*( DB!D$2:D$2576=$D$6))*(($D$7="")+($D$7&lt;&gt;"")*(ISNUMBER(SEARCH($D$7,DB!G$2:G$2576))))*(($F$7="전체")+($F$7&lt;&gt;"전체")*(DB!H$2:H$2576=$F$7))),ROW()-13)-1,"")</f>
        <v/>
      </c>
      <c r="Q1245" t="str" cm="1">
        <f t="array" ref="Q1245">IFERROR(INDEX(DB!G$2:G$2576,P1245),"")</f>
        <v/>
      </c>
      <c r="R1245" t="str" cm="1">
        <f t="array" ref="R1245">IFERROR(INDEX(DB!O$2:O$2576,P1245),"")</f>
        <v/>
      </c>
      <c r="S1245" t="str">
        <f t="shared" si="60"/>
        <v/>
      </c>
      <c r="T1245" t="str">
        <f t="shared" si="61"/>
        <v/>
      </c>
    </row>
    <row r="1246" spans="1:20" ht="100" customHeight="1">
      <c r="A1246" s="26"/>
      <c r="B1246" s="39" t="str">
        <f t="shared" si="59"/>
        <v/>
      </c>
      <c r="C1246" s="43"/>
      <c r="D1246" s="51" t="str" cm="1">
        <f t="array" ref="D1246">IFERROR(INDEX(DB!G$2:G$2576,T1246),"")</f>
        <v/>
      </c>
      <c r="E1246" s="43"/>
      <c r="F1246" s="52" t="str" cm="1">
        <f t="array" ref="F1246">IFERROR(INDEX(DB!O$2:O$2576,T1246),"")</f>
        <v/>
      </c>
      <c r="G1246" s="43"/>
      <c r="H1246" s="40" t="str" cm="1">
        <f t="array" ref="H1246">IFERROR(INDEX(DB!P$2:P$2576,T1246),"")</f>
        <v/>
      </c>
      <c r="I1246" s="43"/>
      <c r="J1246" s="53" t="str" cm="1">
        <f t="array" ref="J1246">IFERROR(INDEX(DB!Q$2:Q$2576,T1246),"")</f>
        <v/>
      </c>
      <c r="K1246" s="43"/>
      <c r="L1246" s="41" t="str" cm="1">
        <f t="array" ref="L1246">IFERROR(INDEX(DB!R$2:R$2576,T1246),"")</f>
        <v/>
      </c>
      <c r="M1246" s="43"/>
      <c r="P1246" t="str" cm="1">
        <f t="array" ref="P1246">IFERROR(_xlfn.AGGREGATE(15,6,ROW(DB!A$2:A$2576)/((($D$3&lt;&gt;"YES")+($D$3="YES")*(DB!E$2:E$2576="YES"))*(($D$4="")+($D$4&lt;&gt;"")*( DB!B$2:B$2576=$D$4))*(($D$5="")+($D$5&lt;&gt;"")*( DB!C$2:C$2576=$D$5))*(($D$6="")+($D$6&lt;&gt;"")*( DB!D$2:D$2576=$D$6))*(($D$7="")+($D$7&lt;&gt;"")*(ISNUMBER(SEARCH($D$7,DB!G$2:G$2576))))*(($F$7="전체")+($F$7&lt;&gt;"전체")*(DB!H$2:H$2576=$F$7))),ROW()-13)-1,"")</f>
        <v/>
      </c>
      <c r="Q1246" t="str" cm="1">
        <f t="array" ref="Q1246">IFERROR(INDEX(DB!G$2:G$2576,P1246),"")</f>
        <v/>
      </c>
      <c r="R1246" t="str" cm="1">
        <f t="array" ref="R1246">IFERROR(INDEX(DB!O$2:O$2576,P1246),"")</f>
        <v/>
      </c>
      <c r="S1246" t="str">
        <f t="shared" si="60"/>
        <v/>
      </c>
      <c r="T1246" t="str">
        <f t="shared" si="61"/>
        <v/>
      </c>
    </row>
    <row r="1247" spans="1:20" ht="100" customHeight="1">
      <c r="A1247" s="26"/>
      <c r="B1247" s="42" t="str">
        <f t="shared" si="59"/>
        <v/>
      </c>
      <c r="C1247" s="43"/>
      <c r="D1247" s="51" t="str" cm="1">
        <f t="array" ref="D1247">IFERROR(INDEX(DB!G$2:G$2576,T1247),"")</f>
        <v/>
      </c>
      <c r="E1247" s="43"/>
      <c r="F1247" s="52" t="str" cm="1">
        <f t="array" ref="F1247">IFERROR(INDEX(DB!O$2:O$2576,T1247),"")</f>
        <v/>
      </c>
      <c r="G1247" s="43"/>
      <c r="H1247" s="40" t="str" cm="1">
        <f t="array" ref="H1247">IFERROR(INDEX(DB!P$2:P$2576,T1247),"")</f>
        <v/>
      </c>
      <c r="I1247" s="43"/>
      <c r="J1247" s="53" t="str" cm="1">
        <f t="array" ref="J1247">IFERROR(INDEX(DB!Q$2:Q$2576,T1247),"")</f>
        <v/>
      </c>
      <c r="K1247" s="43"/>
      <c r="L1247" s="41" t="str" cm="1">
        <f t="array" ref="L1247">IFERROR(INDEX(DB!R$2:R$2576,T1247),"")</f>
        <v/>
      </c>
      <c r="M1247" s="43"/>
      <c r="P1247" t="str" cm="1">
        <f t="array" ref="P1247">IFERROR(_xlfn.AGGREGATE(15,6,ROW(DB!A$2:A$2576)/((($D$3&lt;&gt;"YES")+($D$3="YES")*(DB!E$2:E$2576="YES"))*(($D$4="")+($D$4&lt;&gt;"")*( DB!B$2:B$2576=$D$4))*(($D$5="")+($D$5&lt;&gt;"")*( DB!C$2:C$2576=$D$5))*(($D$6="")+($D$6&lt;&gt;"")*( DB!D$2:D$2576=$D$6))*(($D$7="")+($D$7&lt;&gt;"")*(ISNUMBER(SEARCH($D$7,DB!G$2:G$2576))))*(($F$7="전체")+($F$7&lt;&gt;"전체")*(DB!H$2:H$2576=$F$7))),ROW()-13)-1,"")</f>
        <v/>
      </c>
      <c r="Q1247" t="str" cm="1">
        <f t="array" ref="Q1247">IFERROR(INDEX(DB!G$2:G$2576,P1247),"")</f>
        <v/>
      </c>
      <c r="R1247" t="str" cm="1">
        <f t="array" ref="R1247">IFERROR(INDEX(DB!O$2:O$2576,P1247),"")</f>
        <v/>
      </c>
      <c r="S1247" t="str">
        <f t="shared" si="60"/>
        <v/>
      </c>
      <c r="T1247" t="str">
        <f t="shared" si="61"/>
        <v/>
      </c>
    </row>
    <row r="1248" spans="1:20" ht="100" customHeight="1">
      <c r="A1248" s="26"/>
      <c r="B1248" s="39" t="str">
        <f t="shared" si="59"/>
        <v/>
      </c>
      <c r="C1248" s="43"/>
      <c r="D1248" s="51" t="str" cm="1">
        <f t="array" ref="D1248">IFERROR(INDEX(DB!G$2:G$2576,T1248),"")</f>
        <v/>
      </c>
      <c r="E1248" s="43"/>
      <c r="F1248" s="52" t="str" cm="1">
        <f t="array" ref="F1248">IFERROR(INDEX(DB!O$2:O$2576,T1248),"")</f>
        <v/>
      </c>
      <c r="G1248" s="43"/>
      <c r="H1248" s="40" t="str" cm="1">
        <f t="array" ref="H1248">IFERROR(INDEX(DB!P$2:P$2576,T1248),"")</f>
        <v/>
      </c>
      <c r="I1248" s="43"/>
      <c r="J1248" s="53" t="str" cm="1">
        <f t="array" ref="J1248">IFERROR(INDEX(DB!Q$2:Q$2576,T1248),"")</f>
        <v/>
      </c>
      <c r="K1248" s="43"/>
      <c r="L1248" s="41" t="str" cm="1">
        <f t="array" ref="L1248">IFERROR(INDEX(DB!R$2:R$2576,T1248),"")</f>
        <v/>
      </c>
      <c r="M1248" s="43"/>
      <c r="P1248" t="str" cm="1">
        <f t="array" ref="P1248">IFERROR(_xlfn.AGGREGATE(15,6,ROW(DB!A$2:A$2576)/((($D$3&lt;&gt;"YES")+($D$3="YES")*(DB!E$2:E$2576="YES"))*(($D$4="")+($D$4&lt;&gt;"")*( DB!B$2:B$2576=$D$4))*(($D$5="")+($D$5&lt;&gt;"")*( DB!C$2:C$2576=$D$5))*(($D$6="")+($D$6&lt;&gt;"")*( DB!D$2:D$2576=$D$6))*(($D$7="")+($D$7&lt;&gt;"")*(ISNUMBER(SEARCH($D$7,DB!G$2:G$2576))))*(($F$7="전체")+($F$7&lt;&gt;"전체")*(DB!H$2:H$2576=$F$7))),ROW()-13)-1,"")</f>
        <v/>
      </c>
      <c r="Q1248" t="str" cm="1">
        <f t="array" ref="Q1248">IFERROR(INDEX(DB!G$2:G$2576,P1248),"")</f>
        <v/>
      </c>
      <c r="R1248" t="str" cm="1">
        <f t="array" ref="R1248">IFERROR(INDEX(DB!O$2:O$2576,P1248),"")</f>
        <v/>
      </c>
      <c r="S1248" t="str">
        <f t="shared" si="60"/>
        <v/>
      </c>
      <c r="T1248" t="str">
        <f t="shared" si="61"/>
        <v/>
      </c>
    </row>
    <row r="1249" spans="1:20" ht="100" customHeight="1">
      <c r="A1249" s="26"/>
      <c r="B1249" s="42" t="str">
        <f t="shared" si="59"/>
        <v/>
      </c>
      <c r="C1249" s="43"/>
      <c r="D1249" s="51" t="str" cm="1">
        <f t="array" ref="D1249">IFERROR(INDEX(DB!G$2:G$2576,T1249),"")</f>
        <v/>
      </c>
      <c r="E1249" s="43"/>
      <c r="F1249" s="52" t="str" cm="1">
        <f t="array" ref="F1249">IFERROR(INDEX(DB!O$2:O$2576,T1249),"")</f>
        <v/>
      </c>
      <c r="G1249" s="43"/>
      <c r="H1249" s="40" t="str" cm="1">
        <f t="array" ref="H1249">IFERROR(INDEX(DB!P$2:P$2576,T1249),"")</f>
        <v/>
      </c>
      <c r="I1249" s="43"/>
      <c r="J1249" s="53" t="str" cm="1">
        <f t="array" ref="J1249">IFERROR(INDEX(DB!Q$2:Q$2576,T1249),"")</f>
        <v/>
      </c>
      <c r="K1249" s="43"/>
      <c r="L1249" s="41" t="str" cm="1">
        <f t="array" ref="L1249">IFERROR(INDEX(DB!R$2:R$2576,T1249),"")</f>
        <v/>
      </c>
      <c r="M1249" s="43"/>
      <c r="P1249" t="str" cm="1">
        <f t="array" ref="P1249">IFERROR(_xlfn.AGGREGATE(15,6,ROW(DB!A$2:A$2576)/((($D$3&lt;&gt;"YES")+($D$3="YES")*(DB!E$2:E$2576="YES"))*(($D$4="")+($D$4&lt;&gt;"")*( DB!B$2:B$2576=$D$4))*(($D$5="")+($D$5&lt;&gt;"")*( DB!C$2:C$2576=$D$5))*(($D$6="")+($D$6&lt;&gt;"")*( DB!D$2:D$2576=$D$6))*(($D$7="")+($D$7&lt;&gt;"")*(ISNUMBER(SEARCH($D$7,DB!G$2:G$2576))))*(($F$7="전체")+($F$7&lt;&gt;"전체")*(DB!H$2:H$2576=$F$7))),ROW()-13)-1,"")</f>
        <v/>
      </c>
      <c r="Q1249" t="str" cm="1">
        <f t="array" ref="Q1249">IFERROR(INDEX(DB!G$2:G$2576,P1249),"")</f>
        <v/>
      </c>
      <c r="R1249" t="str" cm="1">
        <f t="array" ref="R1249">IFERROR(INDEX(DB!O$2:O$2576,P1249),"")</f>
        <v/>
      </c>
      <c r="S1249" t="str">
        <f t="shared" si="60"/>
        <v/>
      </c>
      <c r="T1249" t="str">
        <f t="shared" si="61"/>
        <v/>
      </c>
    </row>
    <row r="1250" spans="1:20" ht="100" customHeight="1">
      <c r="A1250" s="26"/>
      <c r="B1250" s="39" t="str">
        <f t="shared" si="59"/>
        <v/>
      </c>
      <c r="C1250" s="43"/>
      <c r="D1250" s="51" t="str" cm="1">
        <f t="array" ref="D1250">IFERROR(INDEX(DB!G$2:G$2576,T1250),"")</f>
        <v/>
      </c>
      <c r="E1250" s="43"/>
      <c r="F1250" s="52" t="str" cm="1">
        <f t="array" ref="F1250">IFERROR(INDEX(DB!O$2:O$2576,T1250),"")</f>
        <v/>
      </c>
      <c r="G1250" s="43"/>
      <c r="H1250" s="40" t="str" cm="1">
        <f t="array" ref="H1250">IFERROR(INDEX(DB!P$2:P$2576,T1250),"")</f>
        <v/>
      </c>
      <c r="I1250" s="43"/>
      <c r="J1250" s="53" t="str" cm="1">
        <f t="array" ref="J1250">IFERROR(INDEX(DB!Q$2:Q$2576,T1250),"")</f>
        <v/>
      </c>
      <c r="K1250" s="43"/>
      <c r="L1250" s="41" t="str" cm="1">
        <f t="array" ref="L1250">IFERROR(INDEX(DB!R$2:R$2576,T1250),"")</f>
        <v/>
      </c>
      <c r="M1250" s="43"/>
      <c r="P1250" t="str" cm="1">
        <f t="array" ref="P1250">IFERROR(_xlfn.AGGREGATE(15,6,ROW(DB!A$2:A$2576)/((($D$3&lt;&gt;"YES")+($D$3="YES")*(DB!E$2:E$2576="YES"))*(($D$4="")+($D$4&lt;&gt;"")*( DB!B$2:B$2576=$D$4))*(($D$5="")+($D$5&lt;&gt;"")*( DB!C$2:C$2576=$D$5))*(($D$6="")+($D$6&lt;&gt;"")*( DB!D$2:D$2576=$D$6))*(($D$7="")+($D$7&lt;&gt;"")*(ISNUMBER(SEARCH($D$7,DB!G$2:G$2576))))*(($F$7="전체")+($F$7&lt;&gt;"전체")*(DB!H$2:H$2576=$F$7))),ROW()-13)-1,"")</f>
        <v/>
      </c>
      <c r="Q1250" t="str" cm="1">
        <f t="array" ref="Q1250">IFERROR(INDEX(DB!G$2:G$2576,P1250),"")</f>
        <v/>
      </c>
      <c r="R1250" t="str" cm="1">
        <f t="array" ref="R1250">IFERROR(INDEX(DB!O$2:O$2576,P1250),"")</f>
        <v/>
      </c>
      <c r="S1250" t="str">
        <f t="shared" si="60"/>
        <v/>
      </c>
      <c r="T1250" t="str">
        <f t="shared" si="61"/>
        <v/>
      </c>
    </row>
    <row r="1251" spans="1:20" ht="100" customHeight="1">
      <c r="A1251" s="26"/>
      <c r="B1251" s="42" t="str">
        <f t="shared" si="59"/>
        <v/>
      </c>
      <c r="C1251" s="43"/>
      <c r="D1251" s="51" t="str" cm="1">
        <f t="array" ref="D1251">IFERROR(INDEX(DB!G$2:G$2576,T1251),"")</f>
        <v/>
      </c>
      <c r="E1251" s="43"/>
      <c r="F1251" s="52" t="str" cm="1">
        <f t="array" ref="F1251">IFERROR(INDEX(DB!O$2:O$2576,T1251),"")</f>
        <v/>
      </c>
      <c r="G1251" s="43"/>
      <c r="H1251" s="40" t="str" cm="1">
        <f t="array" ref="H1251">IFERROR(INDEX(DB!P$2:P$2576,T1251),"")</f>
        <v/>
      </c>
      <c r="I1251" s="43"/>
      <c r="J1251" s="53" t="str" cm="1">
        <f t="array" ref="J1251">IFERROR(INDEX(DB!Q$2:Q$2576,T1251),"")</f>
        <v/>
      </c>
      <c r="K1251" s="43"/>
      <c r="L1251" s="41" t="str" cm="1">
        <f t="array" ref="L1251">IFERROR(INDEX(DB!R$2:R$2576,T1251),"")</f>
        <v/>
      </c>
      <c r="M1251" s="43"/>
      <c r="P1251" t="str" cm="1">
        <f t="array" ref="P1251">IFERROR(_xlfn.AGGREGATE(15,6,ROW(DB!A$2:A$2576)/((($D$3&lt;&gt;"YES")+($D$3="YES")*(DB!E$2:E$2576="YES"))*(($D$4="")+($D$4&lt;&gt;"")*( DB!B$2:B$2576=$D$4))*(($D$5="")+($D$5&lt;&gt;"")*( DB!C$2:C$2576=$D$5))*(($D$6="")+($D$6&lt;&gt;"")*( DB!D$2:D$2576=$D$6))*(($D$7="")+($D$7&lt;&gt;"")*(ISNUMBER(SEARCH($D$7,DB!G$2:G$2576))))*(($F$7="전체")+($F$7&lt;&gt;"전체")*(DB!H$2:H$2576=$F$7))),ROW()-13)-1,"")</f>
        <v/>
      </c>
      <c r="Q1251" t="str" cm="1">
        <f t="array" ref="Q1251">IFERROR(INDEX(DB!G$2:G$2576,P1251),"")</f>
        <v/>
      </c>
      <c r="R1251" t="str" cm="1">
        <f t="array" ref="R1251">IFERROR(INDEX(DB!O$2:O$2576,P1251),"")</f>
        <v/>
      </c>
      <c r="S1251" t="str">
        <f t="shared" si="60"/>
        <v/>
      </c>
      <c r="T1251" t="str">
        <f t="shared" si="61"/>
        <v/>
      </c>
    </row>
    <row r="1252" spans="1:20" ht="100" customHeight="1">
      <c r="A1252" s="26"/>
      <c r="B1252" s="39" t="str">
        <f t="shared" si="59"/>
        <v/>
      </c>
      <c r="C1252" s="43"/>
      <c r="D1252" s="51" t="str" cm="1">
        <f t="array" ref="D1252">IFERROR(INDEX(DB!G$2:G$2576,T1252),"")</f>
        <v/>
      </c>
      <c r="E1252" s="43"/>
      <c r="F1252" s="52" t="str" cm="1">
        <f t="array" ref="F1252">IFERROR(INDEX(DB!O$2:O$2576,T1252),"")</f>
        <v/>
      </c>
      <c r="G1252" s="43"/>
      <c r="H1252" s="40" t="str" cm="1">
        <f t="array" ref="H1252">IFERROR(INDEX(DB!P$2:P$2576,T1252),"")</f>
        <v/>
      </c>
      <c r="I1252" s="43"/>
      <c r="J1252" s="53" t="str" cm="1">
        <f t="array" ref="J1252">IFERROR(INDEX(DB!Q$2:Q$2576,T1252),"")</f>
        <v/>
      </c>
      <c r="K1252" s="43"/>
      <c r="L1252" s="41" t="str" cm="1">
        <f t="array" ref="L1252">IFERROR(INDEX(DB!R$2:R$2576,T1252),"")</f>
        <v/>
      </c>
      <c r="M1252" s="43"/>
      <c r="P1252" t="str" cm="1">
        <f t="array" ref="P1252">IFERROR(_xlfn.AGGREGATE(15,6,ROW(DB!A$2:A$2576)/((($D$3&lt;&gt;"YES")+($D$3="YES")*(DB!E$2:E$2576="YES"))*(($D$4="")+($D$4&lt;&gt;"")*( DB!B$2:B$2576=$D$4))*(($D$5="")+($D$5&lt;&gt;"")*( DB!C$2:C$2576=$D$5))*(($D$6="")+($D$6&lt;&gt;"")*( DB!D$2:D$2576=$D$6))*(($D$7="")+($D$7&lt;&gt;"")*(ISNUMBER(SEARCH($D$7,DB!G$2:G$2576))))*(($F$7="전체")+($F$7&lt;&gt;"전체")*(DB!H$2:H$2576=$F$7))),ROW()-13)-1,"")</f>
        <v/>
      </c>
      <c r="Q1252" t="str" cm="1">
        <f t="array" ref="Q1252">IFERROR(INDEX(DB!G$2:G$2576,P1252),"")</f>
        <v/>
      </c>
      <c r="R1252" t="str" cm="1">
        <f t="array" ref="R1252">IFERROR(INDEX(DB!O$2:O$2576,P1252),"")</f>
        <v/>
      </c>
      <c r="S1252" t="str">
        <f t="shared" si="60"/>
        <v/>
      </c>
      <c r="T1252" t="str">
        <f t="shared" si="61"/>
        <v/>
      </c>
    </row>
    <row r="1253" spans="1:20" ht="100" customHeight="1">
      <c r="A1253" s="26"/>
      <c r="B1253" s="42" t="str">
        <f t="shared" si="59"/>
        <v/>
      </c>
      <c r="C1253" s="43"/>
      <c r="D1253" s="51" t="str" cm="1">
        <f t="array" ref="D1253">IFERROR(INDEX(DB!G$2:G$2576,T1253),"")</f>
        <v/>
      </c>
      <c r="E1253" s="43"/>
      <c r="F1253" s="52" t="str" cm="1">
        <f t="array" ref="F1253">IFERROR(INDEX(DB!O$2:O$2576,T1253),"")</f>
        <v/>
      </c>
      <c r="G1253" s="43"/>
      <c r="H1253" s="40" t="str" cm="1">
        <f t="array" ref="H1253">IFERROR(INDEX(DB!P$2:P$2576,T1253),"")</f>
        <v/>
      </c>
      <c r="I1253" s="43"/>
      <c r="J1253" s="53" t="str" cm="1">
        <f t="array" ref="J1253">IFERROR(INDEX(DB!Q$2:Q$2576,T1253),"")</f>
        <v/>
      </c>
      <c r="K1253" s="43"/>
      <c r="L1253" s="41" t="str" cm="1">
        <f t="array" ref="L1253">IFERROR(INDEX(DB!R$2:R$2576,T1253),"")</f>
        <v/>
      </c>
      <c r="M1253" s="43"/>
      <c r="P1253" t="str" cm="1">
        <f t="array" ref="P1253">IFERROR(_xlfn.AGGREGATE(15,6,ROW(DB!A$2:A$2576)/((($D$3&lt;&gt;"YES")+($D$3="YES")*(DB!E$2:E$2576="YES"))*(($D$4="")+($D$4&lt;&gt;"")*( DB!B$2:B$2576=$D$4))*(($D$5="")+($D$5&lt;&gt;"")*( DB!C$2:C$2576=$D$5))*(($D$6="")+($D$6&lt;&gt;"")*( DB!D$2:D$2576=$D$6))*(($D$7="")+($D$7&lt;&gt;"")*(ISNUMBER(SEARCH($D$7,DB!G$2:G$2576))))*(($F$7="전체")+($F$7&lt;&gt;"전체")*(DB!H$2:H$2576=$F$7))),ROW()-13)-1,"")</f>
        <v/>
      </c>
      <c r="Q1253" t="str" cm="1">
        <f t="array" ref="Q1253">IFERROR(INDEX(DB!G$2:G$2576,P1253),"")</f>
        <v/>
      </c>
      <c r="R1253" t="str" cm="1">
        <f t="array" ref="R1253">IFERROR(INDEX(DB!O$2:O$2576,P1253),"")</f>
        <v/>
      </c>
      <c r="S1253" t="str">
        <f t="shared" si="60"/>
        <v/>
      </c>
      <c r="T1253" t="str">
        <f t="shared" si="61"/>
        <v/>
      </c>
    </row>
    <row r="1254" spans="1:20" ht="100" customHeight="1">
      <c r="A1254" s="26"/>
      <c r="B1254" s="39" t="str">
        <f t="shared" si="59"/>
        <v/>
      </c>
      <c r="C1254" s="43"/>
      <c r="D1254" s="51" t="str" cm="1">
        <f t="array" ref="D1254">IFERROR(INDEX(DB!G$2:G$2576,T1254),"")</f>
        <v/>
      </c>
      <c r="E1254" s="43"/>
      <c r="F1254" s="52" t="str" cm="1">
        <f t="array" ref="F1254">IFERROR(INDEX(DB!O$2:O$2576,T1254),"")</f>
        <v/>
      </c>
      <c r="G1254" s="43"/>
      <c r="H1254" s="40" t="str" cm="1">
        <f t="array" ref="H1254">IFERROR(INDEX(DB!P$2:P$2576,T1254),"")</f>
        <v/>
      </c>
      <c r="I1254" s="43"/>
      <c r="J1254" s="53" t="str" cm="1">
        <f t="array" ref="J1254">IFERROR(INDEX(DB!Q$2:Q$2576,T1254),"")</f>
        <v/>
      </c>
      <c r="K1254" s="43"/>
      <c r="L1254" s="41" t="str" cm="1">
        <f t="array" ref="L1254">IFERROR(INDEX(DB!R$2:R$2576,T1254),"")</f>
        <v/>
      </c>
      <c r="M1254" s="43"/>
      <c r="P1254" t="str" cm="1">
        <f t="array" ref="P1254">IFERROR(_xlfn.AGGREGATE(15,6,ROW(DB!A$2:A$2576)/((($D$3&lt;&gt;"YES")+($D$3="YES")*(DB!E$2:E$2576="YES"))*(($D$4="")+($D$4&lt;&gt;"")*( DB!B$2:B$2576=$D$4))*(($D$5="")+($D$5&lt;&gt;"")*( DB!C$2:C$2576=$D$5))*(($D$6="")+($D$6&lt;&gt;"")*( DB!D$2:D$2576=$D$6))*(($D$7="")+($D$7&lt;&gt;"")*(ISNUMBER(SEARCH($D$7,DB!G$2:G$2576))))*(($F$7="전체")+($F$7&lt;&gt;"전체")*(DB!H$2:H$2576=$F$7))),ROW()-13)-1,"")</f>
        <v/>
      </c>
      <c r="Q1254" t="str" cm="1">
        <f t="array" ref="Q1254">IFERROR(INDEX(DB!G$2:G$2576,P1254),"")</f>
        <v/>
      </c>
      <c r="R1254" t="str" cm="1">
        <f t="array" ref="R1254">IFERROR(INDEX(DB!O$2:O$2576,P1254),"")</f>
        <v/>
      </c>
      <c r="S1254" t="str">
        <f t="shared" si="60"/>
        <v/>
      </c>
      <c r="T1254" t="str">
        <f t="shared" si="61"/>
        <v/>
      </c>
    </row>
    <row r="1255" spans="1:20" ht="100" customHeight="1">
      <c r="A1255" s="26"/>
      <c r="B1255" s="42" t="str">
        <f t="shared" si="59"/>
        <v/>
      </c>
      <c r="C1255" s="43"/>
      <c r="D1255" s="51" t="str" cm="1">
        <f t="array" ref="D1255">IFERROR(INDEX(DB!G$2:G$2576,T1255),"")</f>
        <v/>
      </c>
      <c r="E1255" s="43"/>
      <c r="F1255" s="52" t="str" cm="1">
        <f t="array" ref="F1255">IFERROR(INDEX(DB!O$2:O$2576,T1255),"")</f>
        <v/>
      </c>
      <c r="G1255" s="43"/>
      <c r="H1255" s="40" t="str" cm="1">
        <f t="array" ref="H1255">IFERROR(INDEX(DB!P$2:P$2576,T1255),"")</f>
        <v/>
      </c>
      <c r="I1255" s="43"/>
      <c r="J1255" s="53" t="str" cm="1">
        <f t="array" ref="J1255">IFERROR(INDEX(DB!Q$2:Q$2576,T1255),"")</f>
        <v/>
      </c>
      <c r="K1255" s="43"/>
      <c r="L1255" s="41" t="str" cm="1">
        <f t="array" ref="L1255">IFERROR(INDEX(DB!R$2:R$2576,T1255),"")</f>
        <v/>
      </c>
      <c r="M1255" s="43"/>
      <c r="P1255" t="str" cm="1">
        <f t="array" ref="P1255">IFERROR(_xlfn.AGGREGATE(15,6,ROW(DB!A$2:A$2576)/((($D$3&lt;&gt;"YES")+($D$3="YES")*(DB!E$2:E$2576="YES"))*(($D$4="")+($D$4&lt;&gt;"")*( DB!B$2:B$2576=$D$4))*(($D$5="")+($D$5&lt;&gt;"")*( DB!C$2:C$2576=$D$5))*(($D$6="")+($D$6&lt;&gt;"")*( DB!D$2:D$2576=$D$6))*(($D$7="")+($D$7&lt;&gt;"")*(ISNUMBER(SEARCH($D$7,DB!G$2:G$2576))))*(($F$7="전체")+($F$7&lt;&gt;"전체")*(DB!H$2:H$2576=$F$7))),ROW()-13)-1,"")</f>
        <v/>
      </c>
      <c r="Q1255" t="str" cm="1">
        <f t="array" ref="Q1255">IFERROR(INDEX(DB!G$2:G$2576,P1255),"")</f>
        <v/>
      </c>
      <c r="R1255" t="str" cm="1">
        <f t="array" ref="R1255">IFERROR(INDEX(DB!O$2:O$2576,P1255),"")</f>
        <v/>
      </c>
      <c r="S1255" t="str">
        <f t="shared" si="60"/>
        <v/>
      </c>
      <c r="T1255" t="str">
        <f t="shared" si="61"/>
        <v/>
      </c>
    </row>
    <row r="1256" spans="1:20" ht="100" customHeight="1">
      <c r="A1256" s="26"/>
      <c r="B1256" s="39" t="str">
        <f t="shared" si="59"/>
        <v/>
      </c>
      <c r="C1256" s="43"/>
      <c r="D1256" s="51" t="str" cm="1">
        <f t="array" ref="D1256">IFERROR(INDEX(DB!G$2:G$2576,T1256),"")</f>
        <v/>
      </c>
      <c r="E1256" s="43"/>
      <c r="F1256" s="52" t="str" cm="1">
        <f t="array" ref="F1256">IFERROR(INDEX(DB!O$2:O$2576,T1256),"")</f>
        <v/>
      </c>
      <c r="G1256" s="43"/>
      <c r="H1256" s="40" t="str" cm="1">
        <f t="array" ref="H1256">IFERROR(INDEX(DB!P$2:P$2576,T1256),"")</f>
        <v/>
      </c>
      <c r="I1256" s="43"/>
      <c r="J1256" s="53" t="str" cm="1">
        <f t="array" ref="J1256">IFERROR(INDEX(DB!Q$2:Q$2576,T1256),"")</f>
        <v/>
      </c>
      <c r="K1256" s="43"/>
      <c r="L1256" s="41" t="str" cm="1">
        <f t="array" ref="L1256">IFERROR(INDEX(DB!R$2:R$2576,T1256),"")</f>
        <v/>
      </c>
      <c r="M1256" s="43"/>
      <c r="P1256" t="str" cm="1">
        <f t="array" ref="P1256">IFERROR(_xlfn.AGGREGATE(15,6,ROW(DB!A$2:A$2576)/((($D$3&lt;&gt;"YES")+($D$3="YES")*(DB!E$2:E$2576="YES"))*(($D$4="")+($D$4&lt;&gt;"")*( DB!B$2:B$2576=$D$4))*(($D$5="")+($D$5&lt;&gt;"")*( DB!C$2:C$2576=$D$5))*(($D$6="")+($D$6&lt;&gt;"")*( DB!D$2:D$2576=$D$6))*(($D$7="")+($D$7&lt;&gt;"")*(ISNUMBER(SEARCH($D$7,DB!G$2:G$2576))))*(($F$7="전체")+($F$7&lt;&gt;"전체")*(DB!H$2:H$2576=$F$7))),ROW()-13)-1,"")</f>
        <v/>
      </c>
      <c r="Q1256" t="str" cm="1">
        <f t="array" ref="Q1256">IFERROR(INDEX(DB!G$2:G$2576,P1256),"")</f>
        <v/>
      </c>
      <c r="R1256" t="str" cm="1">
        <f t="array" ref="R1256">IFERROR(INDEX(DB!O$2:O$2576,P1256),"")</f>
        <v/>
      </c>
      <c r="S1256" t="str">
        <f t="shared" si="60"/>
        <v/>
      </c>
      <c r="T1256" t="str">
        <f t="shared" si="61"/>
        <v/>
      </c>
    </row>
    <row r="1257" spans="1:20" ht="100" customHeight="1">
      <c r="A1257" s="26"/>
      <c r="B1257" s="42" t="str">
        <f t="shared" si="59"/>
        <v/>
      </c>
      <c r="C1257" s="43"/>
      <c r="D1257" s="51" t="str" cm="1">
        <f t="array" ref="D1257">IFERROR(INDEX(DB!G$2:G$2576,T1257),"")</f>
        <v/>
      </c>
      <c r="E1257" s="43"/>
      <c r="F1257" s="52" t="str" cm="1">
        <f t="array" ref="F1257">IFERROR(INDEX(DB!O$2:O$2576,T1257),"")</f>
        <v/>
      </c>
      <c r="G1257" s="43"/>
      <c r="H1257" s="40" t="str" cm="1">
        <f t="array" ref="H1257">IFERROR(INDEX(DB!P$2:P$2576,T1257),"")</f>
        <v/>
      </c>
      <c r="I1257" s="43"/>
      <c r="J1257" s="53" t="str" cm="1">
        <f t="array" ref="J1257">IFERROR(INDEX(DB!Q$2:Q$2576,T1257),"")</f>
        <v/>
      </c>
      <c r="K1257" s="43"/>
      <c r="L1257" s="41" t="str" cm="1">
        <f t="array" ref="L1257">IFERROR(INDEX(DB!R$2:R$2576,T1257),"")</f>
        <v/>
      </c>
      <c r="M1257" s="43"/>
      <c r="P1257" t="str" cm="1">
        <f t="array" ref="P1257">IFERROR(_xlfn.AGGREGATE(15,6,ROW(DB!A$2:A$2576)/((($D$3&lt;&gt;"YES")+($D$3="YES")*(DB!E$2:E$2576="YES"))*(($D$4="")+($D$4&lt;&gt;"")*( DB!B$2:B$2576=$D$4))*(($D$5="")+($D$5&lt;&gt;"")*( DB!C$2:C$2576=$D$5))*(($D$6="")+($D$6&lt;&gt;"")*( DB!D$2:D$2576=$D$6))*(($D$7="")+($D$7&lt;&gt;"")*(ISNUMBER(SEARCH($D$7,DB!G$2:G$2576))))*(($F$7="전체")+($F$7&lt;&gt;"전체")*(DB!H$2:H$2576=$F$7))),ROW()-13)-1,"")</f>
        <v/>
      </c>
      <c r="Q1257" t="str" cm="1">
        <f t="array" ref="Q1257">IFERROR(INDEX(DB!G$2:G$2576,P1257),"")</f>
        <v/>
      </c>
      <c r="R1257" t="str" cm="1">
        <f t="array" ref="R1257">IFERROR(INDEX(DB!O$2:O$2576,P1257),"")</f>
        <v/>
      </c>
      <c r="S1257" t="str">
        <f t="shared" si="60"/>
        <v/>
      </c>
      <c r="T1257" t="str">
        <f t="shared" si="61"/>
        <v/>
      </c>
    </row>
    <row r="1258" spans="1:20" ht="100" customHeight="1">
      <c r="A1258" s="26"/>
      <c r="B1258" s="39" t="str">
        <f t="shared" si="59"/>
        <v/>
      </c>
      <c r="C1258" s="43"/>
      <c r="D1258" s="51" t="str" cm="1">
        <f t="array" ref="D1258">IFERROR(INDEX(DB!G$2:G$2576,T1258),"")</f>
        <v/>
      </c>
      <c r="E1258" s="43"/>
      <c r="F1258" s="52" t="str" cm="1">
        <f t="array" ref="F1258">IFERROR(INDEX(DB!O$2:O$2576,T1258),"")</f>
        <v/>
      </c>
      <c r="G1258" s="43"/>
      <c r="H1258" s="40" t="str" cm="1">
        <f t="array" ref="H1258">IFERROR(INDEX(DB!P$2:P$2576,T1258),"")</f>
        <v/>
      </c>
      <c r="I1258" s="43"/>
      <c r="J1258" s="53" t="str" cm="1">
        <f t="array" ref="J1258">IFERROR(INDEX(DB!Q$2:Q$2576,T1258),"")</f>
        <v/>
      </c>
      <c r="K1258" s="43"/>
      <c r="L1258" s="41" t="str" cm="1">
        <f t="array" ref="L1258">IFERROR(INDEX(DB!R$2:R$2576,T1258),"")</f>
        <v/>
      </c>
      <c r="M1258" s="43"/>
      <c r="P1258" t="str" cm="1">
        <f t="array" ref="P1258">IFERROR(_xlfn.AGGREGATE(15,6,ROW(DB!A$2:A$2576)/((($D$3&lt;&gt;"YES")+($D$3="YES")*(DB!E$2:E$2576="YES"))*(($D$4="")+($D$4&lt;&gt;"")*( DB!B$2:B$2576=$D$4))*(($D$5="")+($D$5&lt;&gt;"")*( DB!C$2:C$2576=$D$5))*(($D$6="")+($D$6&lt;&gt;"")*( DB!D$2:D$2576=$D$6))*(($D$7="")+($D$7&lt;&gt;"")*(ISNUMBER(SEARCH($D$7,DB!G$2:G$2576))))*(($F$7="전체")+($F$7&lt;&gt;"전체")*(DB!H$2:H$2576=$F$7))),ROW()-13)-1,"")</f>
        <v/>
      </c>
      <c r="Q1258" t="str" cm="1">
        <f t="array" ref="Q1258">IFERROR(INDEX(DB!G$2:G$2576,P1258),"")</f>
        <v/>
      </c>
      <c r="R1258" t="str" cm="1">
        <f t="array" ref="R1258">IFERROR(INDEX(DB!O$2:O$2576,P1258),"")</f>
        <v/>
      </c>
      <c r="S1258" t="str">
        <f t="shared" si="60"/>
        <v/>
      </c>
      <c r="T1258" t="str">
        <f t="shared" si="61"/>
        <v/>
      </c>
    </row>
    <row r="1259" spans="1:20" ht="100" customHeight="1">
      <c r="A1259" s="26"/>
      <c r="B1259" s="42" t="str">
        <f t="shared" si="59"/>
        <v/>
      </c>
      <c r="C1259" s="43"/>
      <c r="D1259" s="51" t="str" cm="1">
        <f t="array" ref="D1259">IFERROR(INDEX(DB!G$2:G$2576,T1259),"")</f>
        <v/>
      </c>
      <c r="E1259" s="43"/>
      <c r="F1259" s="52" t="str" cm="1">
        <f t="array" ref="F1259">IFERROR(INDEX(DB!O$2:O$2576,T1259),"")</f>
        <v/>
      </c>
      <c r="G1259" s="43"/>
      <c r="H1259" s="40" t="str" cm="1">
        <f t="array" ref="H1259">IFERROR(INDEX(DB!P$2:P$2576,T1259),"")</f>
        <v/>
      </c>
      <c r="I1259" s="43"/>
      <c r="J1259" s="53" t="str" cm="1">
        <f t="array" ref="J1259">IFERROR(INDEX(DB!Q$2:Q$2576,T1259),"")</f>
        <v/>
      </c>
      <c r="K1259" s="43"/>
      <c r="L1259" s="41" t="str" cm="1">
        <f t="array" ref="L1259">IFERROR(INDEX(DB!R$2:R$2576,T1259),"")</f>
        <v/>
      </c>
      <c r="M1259" s="43"/>
      <c r="P1259" t="str" cm="1">
        <f t="array" ref="P1259">IFERROR(_xlfn.AGGREGATE(15,6,ROW(DB!A$2:A$2576)/((($D$3&lt;&gt;"YES")+($D$3="YES")*(DB!E$2:E$2576="YES"))*(($D$4="")+($D$4&lt;&gt;"")*( DB!B$2:B$2576=$D$4))*(($D$5="")+($D$5&lt;&gt;"")*( DB!C$2:C$2576=$D$5))*(($D$6="")+($D$6&lt;&gt;"")*( DB!D$2:D$2576=$D$6))*(($D$7="")+($D$7&lt;&gt;"")*(ISNUMBER(SEARCH($D$7,DB!G$2:G$2576))))*(($F$7="전체")+($F$7&lt;&gt;"전체")*(DB!H$2:H$2576=$F$7))),ROW()-13)-1,"")</f>
        <v/>
      </c>
      <c r="Q1259" t="str" cm="1">
        <f t="array" ref="Q1259">IFERROR(INDEX(DB!G$2:G$2576,P1259),"")</f>
        <v/>
      </c>
      <c r="R1259" t="str" cm="1">
        <f t="array" ref="R1259">IFERROR(INDEX(DB!O$2:O$2576,P1259),"")</f>
        <v/>
      </c>
      <c r="S1259" t="str">
        <f t="shared" si="60"/>
        <v/>
      </c>
      <c r="T1259" t="str">
        <f t="shared" si="61"/>
        <v/>
      </c>
    </row>
    <row r="1260" spans="1:20" ht="100" customHeight="1">
      <c r="A1260" s="26"/>
      <c r="B1260" s="39" t="str">
        <f t="shared" si="59"/>
        <v/>
      </c>
      <c r="C1260" s="43"/>
      <c r="D1260" s="51" t="str" cm="1">
        <f t="array" ref="D1260">IFERROR(INDEX(DB!G$2:G$2576,T1260),"")</f>
        <v/>
      </c>
      <c r="E1260" s="43"/>
      <c r="F1260" s="52" t="str" cm="1">
        <f t="array" ref="F1260">IFERROR(INDEX(DB!O$2:O$2576,T1260),"")</f>
        <v/>
      </c>
      <c r="G1260" s="43"/>
      <c r="H1260" s="40" t="str" cm="1">
        <f t="array" ref="H1260">IFERROR(INDEX(DB!P$2:P$2576,T1260),"")</f>
        <v/>
      </c>
      <c r="I1260" s="43"/>
      <c r="J1260" s="53" t="str" cm="1">
        <f t="array" ref="J1260">IFERROR(INDEX(DB!Q$2:Q$2576,T1260),"")</f>
        <v/>
      </c>
      <c r="K1260" s="43"/>
      <c r="L1260" s="41" t="str" cm="1">
        <f t="array" ref="L1260">IFERROR(INDEX(DB!R$2:R$2576,T1260),"")</f>
        <v/>
      </c>
      <c r="M1260" s="43"/>
      <c r="P1260" t="str" cm="1">
        <f t="array" ref="P1260">IFERROR(_xlfn.AGGREGATE(15,6,ROW(DB!A$2:A$2576)/((($D$3&lt;&gt;"YES")+($D$3="YES")*(DB!E$2:E$2576="YES"))*(($D$4="")+($D$4&lt;&gt;"")*( DB!B$2:B$2576=$D$4))*(($D$5="")+($D$5&lt;&gt;"")*( DB!C$2:C$2576=$D$5))*(($D$6="")+($D$6&lt;&gt;"")*( DB!D$2:D$2576=$D$6))*(($D$7="")+($D$7&lt;&gt;"")*(ISNUMBER(SEARCH($D$7,DB!G$2:G$2576))))*(($F$7="전체")+($F$7&lt;&gt;"전체")*(DB!H$2:H$2576=$F$7))),ROW()-13)-1,"")</f>
        <v/>
      </c>
      <c r="Q1260" t="str" cm="1">
        <f t="array" ref="Q1260">IFERROR(INDEX(DB!G$2:G$2576,P1260),"")</f>
        <v/>
      </c>
      <c r="R1260" t="str" cm="1">
        <f t="array" ref="R1260">IFERROR(INDEX(DB!O$2:O$2576,P1260),"")</f>
        <v/>
      </c>
      <c r="S1260" t="str">
        <f t="shared" si="60"/>
        <v/>
      </c>
      <c r="T1260" t="str">
        <f t="shared" si="61"/>
        <v/>
      </c>
    </row>
    <row r="1261" spans="1:20" ht="100" customHeight="1">
      <c r="A1261" s="26"/>
      <c r="B1261" s="42" t="str">
        <f t="shared" si="59"/>
        <v/>
      </c>
      <c r="C1261" s="43"/>
      <c r="D1261" s="51" t="str" cm="1">
        <f t="array" ref="D1261">IFERROR(INDEX(DB!G$2:G$2576,T1261),"")</f>
        <v/>
      </c>
      <c r="E1261" s="43"/>
      <c r="F1261" s="52" t="str" cm="1">
        <f t="array" ref="F1261">IFERROR(INDEX(DB!O$2:O$2576,T1261),"")</f>
        <v/>
      </c>
      <c r="G1261" s="43"/>
      <c r="H1261" s="40" t="str" cm="1">
        <f t="array" ref="H1261">IFERROR(INDEX(DB!P$2:P$2576,T1261),"")</f>
        <v/>
      </c>
      <c r="I1261" s="43"/>
      <c r="J1261" s="53" t="str" cm="1">
        <f t="array" ref="J1261">IFERROR(INDEX(DB!Q$2:Q$2576,T1261),"")</f>
        <v/>
      </c>
      <c r="K1261" s="43"/>
      <c r="L1261" s="41" t="str" cm="1">
        <f t="array" ref="L1261">IFERROR(INDEX(DB!R$2:R$2576,T1261),"")</f>
        <v/>
      </c>
      <c r="M1261" s="43"/>
      <c r="P1261" t="str" cm="1">
        <f t="array" ref="P1261">IFERROR(_xlfn.AGGREGATE(15,6,ROW(DB!A$2:A$2576)/((($D$3&lt;&gt;"YES")+($D$3="YES")*(DB!E$2:E$2576="YES"))*(($D$4="")+($D$4&lt;&gt;"")*( DB!B$2:B$2576=$D$4))*(($D$5="")+($D$5&lt;&gt;"")*( DB!C$2:C$2576=$D$5))*(($D$6="")+($D$6&lt;&gt;"")*( DB!D$2:D$2576=$D$6))*(($D$7="")+($D$7&lt;&gt;"")*(ISNUMBER(SEARCH($D$7,DB!G$2:G$2576))))*(($F$7="전체")+($F$7&lt;&gt;"전체")*(DB!H$2:H$2576=$F$7))),ROW()-13)-1,"")</f>
        <v/>
      </c>
      <c r="Q1261" t="str" cm="1">
        <f t="array" ref="Q1261">IFERROR(INDEX(DB!G$2:G$2576,P1261),"")</f>
        <v/>
      </c>
      <c r="R1261" t="str" cm="1">
        <f t="array" ref="R1261">IFERROR(INDEX(DB!O$2:O$2576,P1261),"")</f>
        <v/>
      </c>
      <c r="S1261" t="str">
        <f t="shared" si="60"/>
        <v/>
      </c>
      <c r="T1261" t="str">
        <f t="shared" si="61"/>
        <v/>
      </c>
    </row>
    <row r="1262" spans="1:20" ht="100" customHeight="1">
      <c r="A1262" s="26"/>
      <c r="B1262" s="39" t="str">
        <f t="shared" si="59"/>
        <v/>
      </c>
      <c r="C1262" s="43"/>
      <c r="D1262" s="51" t="str" cm="1">
        <f t="array" ref="D1262">IFERROR(INDEX(DB!G$2:G$2576,T1262),"")</f>
        <v/>
      </c>
      <c r="E1262" s="43"/>
      <c r="F1262" s="52" t="str" cm="1">
        <f t="array" ref="F1262">IFERROR(INDEX(DB!O$2:O$2576,T1262),"")</f>
        <v/>
      </c>
      <c r="G1262" s="43"/>
      <c r="H1262" s="40" t="str" cm="1">
        <f t="array" ref="H1262">IFERROR(INDEX(DB!P$2:P$2576,T1262),"")</f>
        <v/>
      </c>
      <c r="I1262" s="43"/>
      <c r="J1262" s="53" t="str" cm="1">
        <f t="array" ref="J1262">IFERROR(INDEX(DB!Q$2:Q$2576,T1262),"")</f>
        <v/>
      </c>
      <c r="K1262" s="43"/>
      <c r="L1262" s="41" t="str" cm="1">
        <f t="array" ref="L1262">IFERROR(INDEX(DB!R$2:R$2576,T1262),"")</f>
        <v/>
      </c>
      <c r="M1262" s="43"/>
      <c r="P1262" t="str" cm="1">
        <f t="array" ref="P1262">IFERROR(_xlfn.AGGREGATE(15,6,ROW(DB!A$2:A$2576)/((($D$3&lt;&gt;"YES")+($D$3="YES")*(DB!E$2:E$2576="YES"))*(($D$4="")+($D$4&lt;&gt;"")*( DB!B$2:B$2576=$D$4))*(($D$5="")+($D$5&lt;&gt;"")*( DB!C$2:C$2576=$D$5))*(($D$6="")+($D$6&lt;&gt;"")*( DB!D$2:D$2576=$D$6))*(($D$7="")+($D$7&lt;&gt;"")*(ISNUMBER(SEARCH($D$7,DB!G$2:G$2576))))*(($F$7="전체")+($F$7&lt;&gt;"전체")*(DB!H$2:H$2576=$F$7))),ROW()-13)-1,"")</f>
        <v/>
      </c>
      <c r="Q1262" t="str" cm="1">
        <f t="array" ref="Q1262">IFERROR(INDEX(DB!G$2:G$2576,P1262),"")</f>
        <v/>
      </c>
      <c r="R1262" t="str" cm="1">
        <f t="array" ref="R1262">IFERROR(INDEX(DB!O$2:O$2576,P1262),"")</f>
        <v/>
      </c>
      <c r="S1262" t="str">
        <f t="shared" si="60"/>
        <v/>
      </c>
      <c r="T1262" t="str">
        <f t="shared" si="61"/>
        <v/>
      </c>
    </row>
    <row r="1263" spans="1:20" ht="100" customHeight="1">
      <c r="A1263" s="26"/>
      <c r="B1263" s="42" t="str">
        <f t="shared" si="59"/>
        <v/>
      </c>
      <c r="C1263" s="43"/>
      <c r="D1263" s="51" t="str" cm="1">
        <f t="array" ref="D1263">IFERROR(INDEX(DB!G$2:G$2576,T1263),"")</f>
        <v/>
      </c>
      <c r="E1263" s="43"/>
      <c r="F1263" s="52" t="str" cm="1">
        <f t="array" ref="F1263">IFERROR(INDEX(DB!O$2:O$2576,T1263),"")</f>
        <v/>
      </c>
      <c r="G1263" s="43"/>
      <c r="H1263" s="40" t="str" cm="1">
        <f t="array" ref="H1263">IFERROR(INDEX(DB!P$2:P$2576,T1263),"")</f>
        <v/>
      </c>
      <c r="I1263" s="43"/>
      <c r="J1263" s="53" t="str" cm="1">
        <f t="array" ref="J1263">IFERROR(INDEX(DB!Q$2:Q$2576,T1263),"")</f>
        <v/>
      </c>
      <c r="K1263" s="43"/>
      <c r="L1263" s="41" t="str" cm="1">
        <f t="array" ref="L1263">IFERROR(INDEX(DB!R$2:R$2576,T1263),"")</f>
        <v/>
      </c>
      <c r="M1263" s="43"/>
      <c r="P1263" t="str" cm="1">
        <f t="array" ref="P1263">IFERROR(_xlfn.AGGREGATE(15,6,ROW(DB!A$2:A$2576)/((($D$3&lt;&gt;"YES")+($D$3="YES")*(DB!E$2:E$2576="YES"))*(($D$4="")+($D$4&lt;&gt;"")*( DB!B$2:B$2576=$D$4))*(($D$5="")+($D$5&lt;&gt;"")*( DB!C$2:C$2576=$D$5))*(($D$6="")+($D$6&lt;&gt;"")*( DB!D$2:D$2576=$D$6))*(($D$7="")+($D$7&lt;&gt;"")*(ISNUMBER(SEARCH($D$7,DB!G$2:G$2576))))*(($F$7="전체")+($F$7&lt;&gt;"전체")*(DB!H$2:H$2576=$F$7))),ROW()-13)-1,"")</f>
        <v/>
      </c>
      <c r="Q1263" t="str" cm="1">
        <f t="array" ref="Q1263">IFERROR(INDEX(DB!G$2:G$2576,P1263),"")</f>
        <v/>
      </c>
      <c r="R1263" t="str" cm="1">
        <f t="array" ref="R1263">IFERROR(INDEX(DB!O$2:O$2576,P1263),"")</f>
        <v/>
      </c>
      <c r="S1263" t="str">
        <f t="shared" si="60"/>
        <v/>
      </c>
      <c r="T1263" t="str">
        <f t="shared" si="61"/>
        <v/>
      </c>
    </row>
    <row r="1264" spans="1:20" ht="100" customHeight="1">
      <c r="A1264" s="26"/>
      <c r="B1264" s="39" t="str">
        <f t="shared" si="59"/>
        <v/>
      </c>
      <c r="C1264" s="43"/>
      <c r="D1264" s="51" t="str" cm="1">
        <f t="array" ref="D1264">IFERROR(INDEX(DB!G$2:G$2576,T1264),"")</f>
        <v/>
      </c>
      <c r="E1264" s="43"/>
      <c r="F1264" s="52" t="str" cm="1">
        <f t="array" ref="F1264">IFERROR(INDEX(DB!O$2:O$2576,T1264),"")</f>
        <v/>
      </c>
      <c r="G1264" s="43"/>
      <c r="H1264" s="40" t="str" cm="1">
        <f t="array" ref="H1264">IFERROR(INDEX(DB!P$2:P$2576,T1264),"")</f>
        <v/>
      </c>
      <c r="I1264" s="43"/>
      <c r="J1264" s="53" t="str" cm="1">
        <f t="array" ref="J1264">IFERROR(INDEX(DB!Q$2:Q$2576,T1264),"")</f>
        <v/>
      </c>
      <c r="K1264" s="43"/>
      <c r="L1264" s="41" t="str" cm="1">
        <f t="array" ref="L1264">IFERROR(INDEX(DB!R$2:R$2576,T1264),"")</f>
        <v/>
      </c>
      <c r="M1264" s="43"/>
      <c r="P1264" t="str" cm="1">
        <f t="array" ref="P1264">IFERROR(_xlfn.AGGREGATE(15,6,ROW(DB!A$2:A$2576)/((($D$3&lt;&gt;"YES")+($D$3="YES")*(DB!E$2:E$2576="YES"))*(($D$4="")+($D$4&lt;&gt;"")*( DB!B$2:B$2576=$D$4))*(($D$5="")+($D$5&lt;&gt;"")*( DB!C$2:C$2576=$D$5))*(($D$6="")+($D$6&lt;&gt;"")*( DB!D$2:D$2576=$D$6))*(($D$7="")+($D$7&lt;&gt;"")*(ISNUMBER(SEARCH($D$7,DB!G$2:G$2576))))*(($F$7="전체")+($F$7&lt;&gt;"전체")*(DB!H$2:H$2576=$F$7))),ROW()-13)-1,"")</f>
        <v/>
      </c>
      <c r="Q1264" t="str" cm="1">
        <f t="array" ref="Q1264">IFERROR(INDEX(DB!G$2:G$2576,P1264),"")</f>
        <v/>
      </c>
      <c r="R1264" t="str" cm="1">
        <f t="array" ref="R1264">IFERROR(INDEX(DB!O$2:O$2576,P1264),"")</f>
        <v/>
      </c>
      <c r="S1264" t="str">
        <f t="shared" si="60"/>
        <v/>
      </c>
      <c r="T1264" t="str">
        <f t="shared" si="61"/>
        <v/>
      </c>
    </row>
    <row r="1265" spans="1:20" ht="100" customHeight="1">
      <c r="A1265" s="26"/>
      <c r="B1265" s="42" t="str">
        <f t="shared" si="59"/>
        <v/>
      </c>
      <c r="C1265" s="43"/>
      <c r="D1265" s="51" t="str" cm="1">
        <f t="array" ref="D1265">IFERROR(INDEX(DB!G$2:G$2576,T1265),"")</f>
        <v/>
      </c>
      <c r="E1265" s="43"/>
      <c r="F1265" s="52" t="str" cm="1">
        <f t="array" ref="F1265">IFERROR(INDEX(DB!O$2:O$2576,T1265),"")</f>
        <v/>
      </c>
      <c r="G1265" s="43"/>
      <c r="H1265" s="40" t="str" cm="1">
        <f t="array" ref="H1265">IFERROR(INDEX(DB!P$2:P$2576,T1265),"")</f>
        <v/>
      </c>
      <c r="I1265" s="43"/>
      <c r="J1265" s="53" t="str" cm="1">
        <f t="array" ref="J1265">IFERROR(INDEX(DB!Q$2:Q$2576,T1265),"")</f>
        <v/>
      </c>
      <c r="K1265" s="43"/>
      <c r="L1265" s="41" t="str" cm="1">
        <f t="array" ref="L1265">IFERROR(INDEX(DB!R$2:R$2576,T1265),"")</f>
        <v/>
      </c>
      <c r="M1265" s="43"/>
      <c r="P1265" t="str" cm="1">
        <f t="array" ref="P1265">IFERROR(_xlfn.AGGREGATE(15,6,ROW(DB!A$2:A$2576)/((($D$3&lt;&gt;"YES")+($D$3="YES")*(DB!E$2:E$2576="YES"))*(($D$4="")+($D$4&lt;&gt;"")*( DB!B$2:B$2576=$D$4))*(($D$5="")+($D$5&lt;&gt;"")*( DB!C$2:C$2576=$D$5))*(($D$6="")+($D$6&lt;&gt;"")*( DB!D$2:D$2576=$D$6))*(($D$7="")+($D$7&lt;&gt;"")*(ISNUMBER(SEARCH($D$7,DB!G$2:G$2576))))*(($F$7="전체")+($F$7&lt;&gt;"전체")*(DB!H$2:H$2576=$F$7))),ROW()-13)-1,"")</f>
        <v/>
      </c>
      <c r="Q1265" t="str" cm="1">
        <f t="array" ref="Q1265">IFERROR(INDEX(DB!G$2:G$2576,P1265),"")</f>
        <v/>
      </c>
      <c r="R1265" t="str" cm="1">
        <f t="array" ref="R1265">IFERROR(INDEX(DB!O$2:O$2576,P1265),"")</f>
        <v/>
      </c>
      <c r="S1265" t="str">
        <f t="shared" si="60"/>
        <v/>
      </c>
      <c r="T1265" t="str">
        <f t="shared" si="61"/>
        <v/>
      </c>
    </row>
    <row r="1266" spans="1:20" ht="100" customHeight="1">
      <c r="A1266" s="26"/>
      <c r="B1266" s="39" t="str">
        <f t="shared" si="59"/>
        <v/>
      </c>
      <c r="C1266" s="43"/>
      <c r="D1266" s="51" t="str" cm="1">
        <f t="array" ref="D1266">IFERROR(INDEX(DB!G$2:G$2576,T1266),"")</f>
        <v/>
      </c>
      <c r="E1266" s="43"/>
      <c r="F1266" s="52" t="str" cm="1">
        <f t="array" ref="F1266">IFERROR(INDEX(DB!O$2:O$2576,T1266),"")</f>
        <v/>
      </c>
      <c r="G1266" s="43"/>
      <c r="H1266" s="40" t="str" cm="1">
        <f t="array" ref="H1266">IFERROR(INDEX(DB!P$2:P$2576,T1266),"")</f>
        <v/>
      </c>
      <c r="I1266" s="43"/>
      <c r="J1266" s="53" t="str" cm="1">
        <f t="array" ref="J1266">IFERROR(INDEX(DB!Q$2:Q$2576,T1266),"")</f>
        <v/>
      </c>
      <c r="K1266" s="43"/>
      <c r="L1266" s="41" t="str" cm="1">
        <f t="array" ref="L1266">IFERROR(INDEX(DB!R$2:R$2576,T1266),"")</f>
        <v/>
      </c>
      <c r="M1266" s="43"/>
      <c r="P1266" t="str" cm="1">
        <f t="array" ref="P1266">IFERROR(_xlfn.AGGREGATE(15,6,ROW(DB!A$2:A$2576)/((($D$3&lt;&gt;"YES")+($D$3="YES")*(DB!E$2:E$2576="YES"))*(($D$4="")+($D$4&lt;&gt;"")*( DB!B$2:B$2576=$D$4))*(($D$5="")+($D$5&lt;&gt;"")*( DB!C$2:C$2576=$D$5))*(($D$6="")+($D$6&lt;&gt;"")*( DB!D$2:D$2576=$D$6))*(($D$7="")+($D$7&lt;&gt;"")*(ISNUMBER(SEARCH($D$7,DB!G$2:G$2576))))*(($F$7="전체")+($F$7&lt;&gt;"전체")*(DB!H$2:H$2576=$F$7))),ROW()-13)-1,"")</f>
        <v/>
      </c>
      <c r="Q1266" t="str" cm="1">
        <f t="array" ref="Q1266">IFERROR(INDEX(DB!G$2:G$2576,P1266),"")</f>
        <v/>
      </c>
      <c r="R1266" t="str" cm="1">
        <f t="array" ref="R1266">IFERROR(INDEX(DB!O$2:O$2576,P1266),"")</f>
        <v/>
      </c>
      <c r="S1266" t="str">
        <f t="shared" si="60"/>
        <v/>
      </c>
      <c r="T1266" t="str">
        <f t="shared" si="61"/>
        <v/>
      </c>
    </row>
    <row r="1267" spans="1:20" ht="100" customHeight="1">
      <c r="A1267" s="26"/>
      <c r="B1267" s="42" t="str">
        <f t="shared" si="59"/>
        <v/>
      </c>
      <c r="C1267" s="43"/>
      <c r="D1267" s="51" t="str" cm="1">
        <f t="array" ref="D1267">IFERROR(INDEX(DB!G$2:G$2576,T1267),"")</f>
        <v/>
      </c>
      <c r="E1267" s="43"/>
      <c r="F1267" s="52" t="str" cm="1">
        <f t="array" ref="F1267">IFERROR(INDEX(DB!O$2:O$2576,T1267),"")</f>
        <v/>
      </c>
      <c r="G1267" s="43"/>
      <c r="H1267" s="40" t="str" cm="1">
        <f t="array" ref="H1267">IFERROR(INDEX(DB!P$2:P$2576,T1267),"")</f>
        <v/>
      </c>
      <c r="I1267" s="43"/>
      <c r="J1267" s="53" t="str" cm="1">
        <f t="array" ref="J1267">IFERROR(INDEX(DB!Q$2:Q$2576,T1267),"")</f>
        <v/>
      </c>
      <c r="K1267" s="43"/>
      <c r="L1267" s="41" t="str" cm="1">
        <f t="array" ref="L1267">IFERROR(INDEX(DB!R$2:R$2576,T1267),"")</f>
        <v/>
      </c>
      <c r="M1267" s="43"/>
      <c r="P1267" t="str" cm="1">
        <f t="array" ref="P1267">IFERROR(_xlfn.AGGREGATE(15,6,ROW(DB!A$2:A$2576)/((($D$3&lt;&gt;"YES")+($D$3="YES")*(DB!E$2:E$2576="YES"))*(($D$4="")+($D$4&lt;&gt;"")*( DB!B$2:B$2576=$D$4))*(($D$5="")+($D$5&lt;&gt;"")*( DB!C$2:C$2576=$D$5))*(($D$6="")+($D$6&lt;&gt;"")*( DB!D$2:D$2576=$D$6))*(($D$7="")+($D$7&lt;&gt;"")*(ISNUMBER(SEARCH($D$7,DB!G$2:G$2576))))*(($F$7="전체")+($F$7&lt;&gt;"전체")*(DB!H$2:H$2576=$F$7))),ROW()-13)-1,"")</f>
        <v/>
      </c>
      <c r="Q1267" t="str" cm="1">
        <f t="array" ref="Q1267">IFERROR(INDEX(DB!G$2:G$2576,P1267),"")</f>
        <v/>
      </c>
      <c r="R1267" t="str" cm="1">
        <f t="array" ref="R1267">IFERROR(INDEX(DB!O$2:O$2576,P1267),"")</f>
        <v/>
      </c>
      <c r="S1267" t="str">
        <f t="shared" si="60"/>
        <v/>
      </c>
      <c r="T1267" t="str">
        <f t="shared" si="61"/>
        <v/>
      </c>
    </row>
    <row r="1268" spans="1:20" ht="100" customHeight="1">
      <c r="A1268" s="26"/>
      <c r="B1268" s="39" t="str">
        <f t="shared" si="59"/>
        <v/>
      </c>
      <c r="C1268" s="43"/>
      <c r="D1268" s="51" t="str" cm="1">
        <f t="array" ref="D1268">IFERROR(INDEX(DB!G$2:G$2576,T1268),"")</f>
        <v/>
      </c>
      <c r="E1268" s="43"/>
      <c r="F1268" s="52" t="str" cm="1">
        <f t="array" ref="F1268">IFERROR(INDEX(DB!O$2:O$2576,T1268),"")</f>
        <v/>
      </c>
      <c r="G1268" s="43"/>
      <c r="H1268" s="40" t="str" cm="1">
        <f t="array" ref="H1268">IFERROR(INDEX(DB!P$2:P$2576,T1268),"")</f>
        <v/>
      </c>
      <c r="I1268" s="43"/>
      <c r="J1268" s="53" t="str" cm="1">
        <f t="array" ref="J1268">IFERROR(INDEX(DB!Q$2:Q$2576,T1268),"")</f>
        <v/>
      </c>
      <c r="K1268" s="43"/>
      <c r="L1268" s="41" t="str" cm="1">
        <f t="array" ref="L1268">IFERROR(INDEX(DB!R$2:R$2576,T1268),"")</f>
        <v/>
      </c>
      <c r="M1268" s="43"/>
      <c r="P1268" t="str" cm="1">
        <f t="array" ref="P1268">IFERROR(_xlfn.AGGREGATE(15,6,ROW(DB!A$2:A$2576)/((($D$3&lt;&gt;"YES")+($D$3="YES")*(DB!E$2:E$2576="YES"))*(($D$4="")+($D$4&lt;&gt;"")*( DB!B$2:B$2576=$D$4))*(($D$5="")+($D$5&lt;&gt;"")*( DB!C$2:C$2576=$D$5))*(($D$6="")+($D$6&lt;&gt;"")*( DB!D$2:D$2576=$D$6))*(($D$7="")+($D$7&lt;&gt;"")*(ISNUMBER(SEARCH($D$7,DB!G$2:G$2576))))*(($F$7="전체")+($F$7&lt;&gt;"전체")*(DB!H$2:H$2576=$F$7))),ROW()-13)-1,"")</f>
        <v/>
      </c>
      <c r="Q1268" t="str" cm="1">
        <f t="array" ref="Q1268">IFERROR(INDEX(DB!G$2:G$2576,P1268),"")</f>
        <v/>
      </c>
      <c r="R1268" t="str" cm="1">
        <f t="array" ref="R1268">IFERROR(INDEX(DB!O$2:O$2576,P1268),"")</f>
        <v/>
      </c>
      <c r="S1268" t="str">
        <f t="shared" si="60"/>
        <v/>
      </c>
      <c r="T1268" t="str">
        <f t="shared" si="61"/>
        <v/>
      </c>
    </row>
    <row r="1269" spans="1:20" ht="100" customHeight="1">
      <c r="A1269" s="26"/>
      <c r="B1269" s="42" t="str">
        <f t="shared" si="59"/>
        <v/>
      </c>
      <c r="C1269" s="43"/>
      <c r="D1269" s="51" t="str" cm="1">
        <f t="array" ref="D1269">IFERROR(INDEX(DB!G$2:G$2576,T1269),"")</f>
        <v/>
      </c>
      <c r="E1269" s="43"/>
      <c r="F1269" s="52" t="str" cm="1">
        <f t="array" ref="F1269">IFERROR(INDEX(DB!O$2:O$2576,T1269),"")</f>
        <v/>
      </c>
      <c r="G1269" s="43"/>
      <c r="H1269" s="40" t="str" cm="1">
        <f t="array" ref="H1269">IFERROR(INDEX(DB!P$2:P$2576,T1269),"")</f>
        <v/>
      </c>
      <c r="I1269" s="43"/>
      <c r="J1269" s="53" t="str" cm="1">
        <f t="array" ref="J1269">IFERROR(INDEX(DB!Q$2:Q$2576,T1269),"")</f>
        <v/>
      </c>
      <c r="K1269" s="43"/>
      <c r="L1269" s="41" t="str" cm="1">
        <f t="array" ref="L1269">IFERROR(INDEX(DB!R$2:R$2576,T1269),"")</f>
        <v/>
      </c>
      <c r="M1269" s="43"/>
      <c r="P1269" t="str" cm="1">
        <f t="array" ref="P1269">IFERROR(_xlfn.AGGREGATE(15,6,ROW(DB!A$2:A$2576)/((($D$3&lt;&gt;"YES")+($D$3="YES")*(DB!E$2:E$2576="YES"))*(($D$4="")+($D$4&lt;&gt;"")*( DB!B$2:B$2576=$D$4))*(($D$5="")+($D$5&lt;&gt;"")*( DB!C$2:C$2576=$D$5))*(($D$6="")+($D$6&lt;&gt;"")*( DB!D$2:D$2576=$D$6))*(($D$7="")+($D$7&lt;&gt;"")*(ISNUMBER(SEARCH($D$7,DB!G$2:G$2576))))*(($F$7="전체")+($F$7&lt;&gt;"전체")*(DB!H$2:H$2576=$F$7))),ROW()-13)-1,"")</f>
        <v/>
      </c>
      <c r="Q1269" t="str" cm="1">
        <f t="array" ref="Q1269">IFERROR(INDEX(DB!G$2:G$2576,P1269),"")</f>
        <v/>
      </c>
      <c r="R1269" t="str" cm="1">
        <f t="array" ref="R1269">IFERROR(INDEX(DB!O$2:O$2576,P1269),"")</f>
        <v/>
      </c>
      <c r="S1269" t="str">
        <f t="shared" si="60"/>
        <v/>
      </c>
      <c r="T1269" t="str">
        <f t="shared" si="61"/>
        <v/>
      </c>
    </row>
    <row r="1270" spans="1:20" ht="100" customHeight="1">
      <c r="A1270" s="26"/>
      <c r="B1270" s="39" t="str">
        <f t="shared" si="59"/>
        <v/>
      </c>
      <c r="C1270" s="43"/>
      <c r="D1270" s="51" t="str" cm="1">
        <f t="array" ref="D1270">IFERROR(INDEX(DB!G$2:G$2576,T1270),"")</f>
        <v/>
      </c>
      <c r="E1270" s="43"/>
      <c r="F1270" s="52" t="str" cm="1">
        <f t="array" ref="F1270">IFERROR(INDEX(DB!O$2:O$2576,T1270),"")</f>
        <v/>
      </c>
      <c r="G1270" s="43"/>
      <c r="H1270" s="40" t="str" cm="1">
        <f t="array" ref="H1270">IFERROR(INDEX(DB!P$2:P$2576,T1270),"")</f>
        <v/>
      </c>
      <c r="I1270" s="43"/>
      <c r="J1270" s="53" t="str" cm="1">
        <f t="array" ref="J1270">IFERROR(INDEX(DB!Q$2:Q$2576,T1270),"")</f>
        <v/>
      </c>
      <c r="K1270" s="43"/>
      <c r="L1270" s="41" t="str" cm="1">
        <f t="array" ref="L1270">IFERROR(INDEX(DB!R$2:R$2576,T1270),"")</f>
        <v/>
      </c>
      <c r="M1270" s="43"/>
      <c r="P1270" t="str" cm="1">
        <f t="array" ref="P1270">IFERROR(_xlfn.AGGREGATE(15,6,ROW(DB!A$2:A$2576)/((($D$3&lt;&gt;"YES")+($D$3="YES")*(DB!E$2:E$2576="YES"))*(($D$4="")+($D$4&lt;&gt;"")*( DB!B$2:B$2576=$D$4))*(($D$5="")+($D$5&lt;&gt;"")*( DB!C$2:C$2576=$D$5))*(($D$6="")+($D$6&lt;&gt;"")*( DB!D$2:D$2576=$D$6))*(($D$7="")+($D$7&lt;&gt;"")*(ISNUMBER(SEARCH($D$7,DB!G$2:G$2576))))*(($F$7="전체")+($F$7&lt;&gt;"전체")*(DB!H$2:H$2576=$F$7))),ROW()-13)-1,"")</f>
        <v/>
      </c>
      <c r="Q1270" t="str" cm="1">
        <f t="array" ref="Q1270">IFERROR(INDEX(DB!G$2:G$2576,P1270),"")</f>
        <v/>
      </c>
      <c r="R1270" t="str" cm="1">
        <f t="array" ref="R1270">IFERROR(INDEX(DB!O$2:O$2576,P1270),"")</f>
        <v/>
      </c>
      <c r="S1270" t="str">
        <f t="shared" si="60"/>
        <v/>
      </c>
      <c r="T1270" t="str">
        <f t="shared" si="61"/>
        <v/>
      </c>
    </row>
    <row r="1271" spans="1:20" ht="100" customHeight="1">
      <c r="A1271" s="26"/>
      <c r="B1271" s="42" t="str">
        <f t="shared" si="59"/>
        <v/>
      </c>
      <c r="C1271" s="43"/>
      <c r="D1271" s="51" t="str" cm="1">
        <f t="array" ref="D1271">IFERROR(INDEX(DB!G$2:G$2576,T1271),"")</f>
        <v/>
      </c>
      <c r="E1271" s="43"/>
      <c r="F1271" s="52" t="str" cm="1">
        <f t="array" ref="F1271">IFERROR(INDEX(DB!O$2:O$2576,T1271),"")</f>
        <v/>
      </c>
      <c r="G1271" s="43"/>
      <c r="H1271" s="40" t="str" cm="1">
        <f t="array" ref="H1271">IFERROR(INDEX(DB!P$2:P$2576,T1271),"")</f>
        <v/>
      </c>
      <c r="I1271" s="43"/>
      <c r="J1271" s="53" t="str" cm="1">
        <f t="array" ref="J1271">IFERROR(INDEX(DB!Q$2:Q$2576,T1271),"")</f>
        <v/>
      </c>
      <c r="K1271" s="43"/>
      <c r="L1271" s="41" t="str" cm="1">
        <f t="array" ref="L1271">IFERROR(INDEX(DB!R$2:R$2576,T1271),"")</f>
        <v/>
      </c>
      <c r="M1271" s="43"/>
      <c r="P1271" t="str" cm="1">
        <f t="array" ref="P1271">IFERROR(_xlfn.AGGREGATE(15,6,ROW(DB!A$2:A$2576)/((($D$3&lt;&gt;"YES")+($D$3="YES")*(DB!E$2:E$2576="YES"))*(($D$4="")+($D$4&lt;&gt;"")*( DB!B$2:B$2576=$D$4))*(($D$5="")+($D$5&lt;&gt;"")*( DB!C$2:C$2576=$D$5))*(($D$6="")+($D$6&lt;&gt;"")*( DB!D$2:D$2576=$D$6))*(($D$7="")+($D$7&lt;&gt;"")*(ISNUMBER(SEARCH($D$7,DB!G$2:G$2576))))*(($F$7="전체")+($F$7&lt;&gt;"전체")*(DB!H$2:H$2576=$F$7))),ROW()-13)-1,"")</f>
        <v/>
      </c>
      <c r="Q1271" t="str" cm="1">
        <f t="array" ref="Q1271">IFERROR(INDEX(DB!G$2:G$2576,P1271),"")</f>
        <v/>
      </c>
      <c r="R1271" t="str" cm="1">
        <f t="array" ref="R1271">IFERROR(INDEX(DB!O$2:O$2576,P1271),"")</f>
        <v/>
      </c>
      <c r="S1271" t="str">
        <f t="shared" si="60"/>
        <v/>
      </c>
      <c r="T1271" t="str">
        <f t="shared" si="61"/>
        <v/>
      </c>
    </row>
    <row r="1272" spans="1:20" ht="100" customHeight="1">
      <c r="A1272" s="26"/>
      <c r="B1272" s="39" t="str">
        <f t="shared" si="59"/>
        <v/>
      </c>
      <c r="C1272" s="43"/>
      <c r="D1272" s="51" t="str" cm="1">
        <f t="array" ref="D1272">IFERROR(INDEX(DB!G$2:G$2576,T1272),"")</f>
        <v/>
      </c>
      <c r="E1272" s="43"/>
      <c r="F1272" s="52" t="str" cm="1">
        <f t="array" ref="F1272">IFERROR(INDEX(DB!O$2:O$2576,T1272),"")</f>
        <v/>
      </c>
      <c r="G1272" s="43"/>
      <c r="H1272" s="40" t="str" cm="1">
        <f t="array" ref="H1272">IFERROR(INDEX(DB!P$2:P$2576,T1272),"")</f>
        <v/>
      </c>
      <c r="I1272" s="43"/>
      <c r="J1272" s="53" t="str" cm="1">
        <f t="array" ref="J1272">IFERROR(INDEX(DB!Q$2:Q$2576,T1272),"")</f>
        <v/>
      </c>
      <c r="K1272" s="43"/>
      <c r="L1272" s="41" t="str" cm="1">
        <f t="array" ref="L1272">IFERROR(INDEX(DB!R$2:R$2576,T1272),"")</f>
        <v/>
      </c>
      <c r="M1272" s="43"/>
      <c r="P1272" t="str" cm="1">
        <f t="array" ref="P1272">IFERROR(_xlfn.AGGREGATE(15,6,ROW(DB!A$2:A$2576)/((($D$3&lt;&gt;"YES")+($D$3="YES")*(DB!E$2:E$2576="YES"))*(($D$4="")+($D$4&lt;&gt;"")*( DB!B$2:B$2576=$D$4))*(($D$5="")+($D$5&lt;&gt;"")*( DB!C$2:C$2576=$D$5))*(($D$6="")+($D$6&lt;&gt;"")*( DB!D$2:D$2576=$D$6))*(($D$7="")+($D$7&lt;&gt;"")*(ISNUMBER(SEARCH($D$7,DB!G$2:G$2576))))*(($F$7="전체")+($F$7&lt;&gt;"전체")*(DB!H$2:H$2576=$F$7))),ROW()-13)-1,"")</f>
        <v/>
      </c>
      <c r="Q1272" t="str" cm="1">
        <f t="array" ref="Q1272">IFERROR(INDEX(DB!G$2:G$2576,P1272),"")</f>
        <v/>
      </c>
      <c r="R1272" t="str" cm="1">
        <f t="array" ref="R1272">IFERROR(INDEX(DB!O$2:O$2576,P1272),"")</f>
        <v/>
      </c>
      <c r="S1272" t="str">
        <f t="shared" si="60"/>
        <v/>
      </c>
      <c r="T1272" t="str">
        <f t="shared" si="61"/>
        <v/>
      </c>
    </row>
    <row r="1273" spans="1:20" ht="100" customHeight="1">
      <c r="A1273" s="26"/>
      <c r="B1273" s="42" t="str">
        <f t="shared" si="59"/>
        <v/>
      </c>
      <c r="C1273" s="43"/>
      <c r="D1273" s="51" t="str" cm="1">
        <f t="array" ref="D1273">IFERROR(INDEX(DB!G$2:G$2576,T1273),"")</f>
        <v/>
      </c>
      <c r="E1273" s="43"/>
      <c r="F1273" s="52" t="str" cm="1">
        <f t="array" ref="F1273">IFERROR(INDEX(DB!O$2:O$2576,T1273),"")</f>
        <v/>
      </c>
      <c r="G1273" s="43"/>
      <c r="H1273" s="40" t="str" cm="1">
        <f t="array" ref="H1273">IFERROR(INDEX(DB!P$2:P$2576,T1273),"")</f>
        <v/>
      </c>
      <c r="I1273" s="43"/>
      <c r="J1273" s="53" t="str" cm="1">
        <f t="array" ref="J1273">IFERROR(INDEX(DB!Q$2:Q$2576,T1273),"")</f>
        <v/>
      </c>
      <c r="K1273" s="43"/>
      <c r="L1273" s="41" t="str" cm="1">
        <f t="array" ref="L1273">IFERROR(INDEX(DB!R$2:R$2576,T1273),"")</f>
        <v/>
      </c>
      <c r="M1273" s="43"/>
      <c r="P1273" t="str" cm="1">
        <f t="array" ref="P1273">IFERROR(_xlfn.AGGREGATE(15,6,ROW(DB!A$2:A$2576)/((($D$3&lt;&gt;"YES")+($D$3="YES")*(DB!E$2:E$2576="YES"))*(($D$4="")+($D$4&lt;&gt;"")*( DB!B$2:B$2576=$D$4))*(($D$5="")+($D$5&lt;&gt;"")*( DB!C$2:C$2576=$D$5))*(($D$6="")+($D$6&lt;&gt;"")*( DB!D$2:D$2576=$D$6))*(($D$7="")+($D$7&lt;&gt;"")*(ISNUMBER(SEARCH($D$7,DB!G$2:G$2576))))*(($F$7="전체")+($F$7&lt;&gt;"전체")*(DB!H$2:H$2576=$F$7))),ROW()-13)-1,"")</f>
        <v/>
      </c>
      <c r="Q1273" t="str" cm="1">
        <f t="array" ref="Q1273">IFERROR(INDEX(DB!G$2:G$2576,P1273),"")</f>
        <v/>
      </c>
      <c r="R1273" t="str" cm="1">
        <f t="array" ref="R1273">IFERROR(INDEX(DB!O$2:O$2576,P1273),"")</f>
        <v/>
      </c>
      <c r="S1273" t="str">
        <f t="shared" si="60"/>
        <v/>
      </c>
      <c r="T1273" t="str">
        <f t="shared" si="61"/>
        <v/>
      </c>
    </row>
    <row r="1274" spans="1:20" ht="100" customHeight="1">
      <c r="A1274" s="26"/>
      <c r="B1274" s="39" t="str">
        <f t="shared" si="59"/>
        <v/>
      </c>
      <c r="C1274" s="43"/>
      <c r="D1274" s="51" t="str" cm="1">
        <f t="array" ref="D1274">IFERROR(INDEX(DB!G$2:G$2576,T1274),"")</f>
        <v/>
      </c>
      <c r="E1274" s="43"/>
      <c r="F1274" s="52" t="str" cm="1">
        <f t="array" ref="F1274">IFERROR(INDEX(DB!O$2:O$2576,T1274),"")</f>
        <v/>
      </c>
      <c r="G1274" s="43"/>
      <c r="H1274" s="40" t="str" cm="1">
        <f t="array" ref="H1274">IFERROR(INDEX(DB!P$2:P$2576,T1274),"")</f>
        <v/>
      </c>
      <c r="I1274" s="43"/>
      <c r="J1274" s="53" t="str" cm="1">
        <f t="array" ref="J1274">IFERROR(INDEX(DB!Q$2:Q$2576,T1274),"")</f>
        <v/>
      </c>
      <c r="K1274" s="43"/>
      <c r="L1274" s="41" t="str" cm="1">
        <f t="array" ref="L1274">IFERROR(INDEX(DB!R$2:R$2576,T1274),"")</f>
        <v/>
      </c>
      <c r="M1274" s="43"/>
      <c r="P1274" t="str" cm="1">
        <f t="array" ref="P1274">IFERROR(_xlfn.AGGREGATE(15,6,ROW(DB!A$2:A$2576)/((($D$3&lt;&gt;"YES")+($D$3="YES")*(DB!E$2:E$2576="YES"))*(($D$4="")+($D$4&lt;&gt;"")*( DB!B$2:B$2576=$D$4))*(($D$5="")+($D$5&lt;&gt;"")*( DB!C$2:C$2576=$D$5))*(($D$6="")+($D$6&lt;&gt;"")*( DB!D$2:D$2576=$D$6))*(($D$7="")+($D$7&lt;&gt;"")*(ISNUMBER(SEARCH($D$7,DB!G$2:G$2576))))*(($F$7="전체")+($F$7&lt;&gt;"전체")*(DB!H$2:H$2576=$F$7))),ROW()-13)-1,"")</f>
        <v/>
      </c>
      <c r="Q1274" t="str" cm="1">
        <f t="array" ref="Q1274">IFERROR(INDEX(DB!G$2:G$2576,P1274),"")</f>
        <v/>
      </c>
      <c r="R1274" t="str" cm="1">
        <f t="array" ref="R1274">IFERROR(INDEX(DB!O$2:O$2576,P1274),"")</f>
        <v/>
      </c>
      <c r="S1274" t="str">
        <f t="shared" si="60"/>
        <v/>
      </c>
      <c r="T1274" t="str">
        <f t="shared" si="61"/>
        <v/>
      </c>
    </row>
    <row r="1275" spans="1:20" ht="100" customHeight="1">
      <c r="A1275" s="26"/>
      <c r="B1275" s="42" t="str">
        <f t="shared" si="59"/>
        <v/>
      </c>
      <c r="C1275" s="43"/>
      <c r="D1275" s="51" t="str" cm="1">
        <f t="array" ref="D1275">IFERROR(INDEX(DB!G$2:G$2576,T1275),"")</f>
        <v/>
      </c>
      <c r="E1275" s="43"/>
      <c r="F1275" s="52" t="str" cm="1">
        <f t="array" ref="F1275">IFERROR(INDEX(DB!O$2:O$2576,T1275),"")</f>
        <v/>
      </c>
      <c r="G1275" s="43"/>
      <c r="H1275" s="40" t="str" cm="1">
        <f t="array" ref="H1275">IFERROR(INDEX(DB!P$2:P$2576,T1275),"")</f>
        <v/>
      </c>
      <c r="I1275" s="43"/>
      <c r="J1275" s="53" t="str" cm="1">
        <f t="array" ref="J1275">IFERROR(INDEX(DB!Q$2:Q$2576,T1275),"")</f>
        <v/>
      </c>
      <c r="K1275" s="43"/>
      <c r="L1275" s="41" t="str" cm="1">
        <f t="array" ref="L1275">IFERROR(INDEX(DB!R$2:R$2576,T1275),"")</f>
        <v/>
      </c>
      <c r="M1275" s="43"/>
      <c r="P1275" t="str" cm="1">
        <f t="array" ref="P1275">IFERROR(_xlfn.AGGREGATE(15,6,ROW(DB!A$2:A$2576)/((($D$3&lt;&gt;"YES")+($D$3="YES")*(DB!E$2:E$2576="YES"))*(($D$4="")+($D$4&lt;&gt;"")*( DB!B$2:B$2576=$D$4))*(($D$5="")+($D$5&lt;&gt;"")*( DB!C$2:C$2576=$D$5))*(($D$6="")+($D$6&lt;&gt;"")*( DB!D$2:D$2576=$D$6))*(($D$7="")+($D$7&lt;&gt;"")*(ISNUMBER(SEARCH($D$7,DB!G$2:G$2576))))*(($F$7="전체")+($F$7&lt;&gt;"전체")*(DB!H$2:H$2576=$F$7))),ROW()-13)-1,"")</f>
        <v/>
      </c>
      <c r="Q1275" t="str" cm="1">
        <f t="array" ref="Q1275">IFERROR(INDEX(DB!G$2:G$2576,P1275),"")</f>
        <v/>
      </c>
      <c r="R1275" t="str" cm="1">
        <f t="array" ref="R1275">IFERROR(INDEX(DB!O$2:O$2576,P1275),"")</f>
        <v/>
      </c>
      <c r="S1275" t="str">
        <f t="shared" si="60"/>
        <v/>
      </c>
      <c r="T1275" t="str">
        <f t="shared" si="61"/>
        <v/>
      </c>
    </row>
    <row r="1276" spans="1:20" ht="100" customHeight="1">
      <c r="A1276" s="26"/>
      <c r="B1276" s="39" t="str">
        <f t="shared" si="59"/>
        <v/>
      </c>
      <c r="C1276" s="43"/>
      <c r="D1276" s="51" t="str" cm="1">
        <f t="array" ref="D1276">IFERROR(INDEX(DB!G$2:G$2576,T1276),"")</f>
        <v/>
      </c>
      <c r="E1276" s="43"/>
      <c r="F1276" s="52" t="str" cm="1">
        <f t="array" ref="F1276">IFERROR(INDEX(DB!O$2:O$2576,T1276),"")</f>
        <v/>
      </c>
      <c r="G1276" s="43"/>
      <c r="H1276" s="40" t="str" cm="1">
        <f t="array" ref="H1276">IFERROR(INDEX(DB!P$2:P$2576,T1276),"")</f>
        <v/>
      </c>
      <c r="I1276" s="43"/>
      <c r="J1276" s="53" t="str" cm="1">
        <f t="array" ref="J1276">IFERROR(INDEX(DB!Q$2:Q$2576,T1276),"")</f>
        <v/>
      </c>
      <c r="K1276" s="43"/>
      <c r="L1276" s="41" t="str" cm="1">
        <f t="array" ref="L1276">IFERROR(INDEX(DB!R$2:R$2576,T1276),"")</f>
        <v/>
      </c>
      <c r="M1276" s="43"/>
      <c r="P1276" t="str" cm="1">
        <f t="array" ref="P1276">IFERROR(_xlfn.AGGREGATE(15,6,ROW(DB!A$2:A$2576)/((($D$3&lt;&gt;"YES")+($D$3="YES")*(DB!E$2:E$2576="YES"))*(($D$4="")+($D$4&lt;&gt;"")*( DB!B$2:B$2576=$D$4))*(($D$5="")+($D$5&lt;&gt;"")*( DB!C$2:C$2576=$D$5))*(($D$6="")+($D$6&lt;&gt;"")*( DB!D$2:D$2576=$D$6))*(($D$7="")+($D$7&lt;&gt;"")*(ISNUMBER(SEARCH($D$7,DB!G$2:G$2576))))*(($F$7="전체")+($F$7&lt;&gt;"전체")*(DB!H$2:H$2576=$F$7))),ROW()-13)-1,"")</f>
        <v/>
      </c>
      <c r="Q1276" t="str" cm="1">
        <f t="array" ref="Q1276">IFERROR(INDEX(DB!G$2:G$2576,P1276),"")</f>
        <v/>
      </c>
      <c r="R1276" t="str" cm="1">
        <f t="array" ref="R1276">IFERROR(INDEX(DB!O$2:O$2576,P1276),"")</f>
        <v/>
      </c>
      <c r="S1276" t="str">
        <f t="shared" si="60"/>
        <v/>
      </c>
      <c r="T1276" t="str">
        <f t="shared" si="61"/>
        <v/>
      </c>
    </row>
    <row r="1277" spans="1:20" ht="100" customHeight="1">
      <c r="A1277" s="26"/>
      <c r="B1277" s="42" t="str">
        <f t="shared" si="59"/>
        <v/>
      </c>
      <c r="C1277" s="43"/>
      <c r="D1277" s="51" t="str" cm="1">
        <f t="array" ref="D1277">IFERROR(INDEX(DB!G$2:G$2576,T1277),"")</f>
        <v/>
      </c>
      <c r="E1277" s="43"/>
      <c r="F1277" s="52" t="str" cm="1">
        <f t="array" ref="F1277">IFERROR(INDEX(DB!O$2:O$2576,T1277),"")</f>
        <v/>
      </c>
      <c r="G1277" s="43"/>
      <c r="H1277" s="40" t="str" cm="1">
        <f t="array" ref="H1277">IFERROR(INDEX(DB!P$2:P$2576,T1277),"")</f>
        <v/>
      </c>
      <c r="I1277" s="43"/>
      <c r="J1277" s="53" t="str" cm="1">
        <f t="array" ref="J1277">IFERROR(INDEX(DB!Q$2:Q$2576,T1277),"")</f>
        <v/>
      </c>
      <c r="K1277" s="43"/>
      <c r="L1277" s="41" t="str" cm="1">
        <f t="array" ref="L1277">IFERROR(INDEX(DB!R$2:R$2576,T1277),"")</f>
        <v/>
      </c>
      <c r="M1277" s="43"/>
      <c r="P1277" t="str" cm="1">
        <f t="array" ref="P1277">IFERROR(_xlfn.AGGREGATE(15,6,ROW(DB!A$2:A$2576)/((($D$3&lt;&gt;"YES")+($D$3="YES")*(DB!E$2:E$2576="YES"))*(($D$4="")+($D$4&lt;&gt;"")*( DB!B$2:B$2576=$D$4))*(($D$5="")+($D$5&lt;&gt;"")*( DB!C$2:C$2576=$D$5))*(($D$6="")+($D$6&lt;&gt;"")*( DB!D$2:D$2576=$D$6))*(($D$7="")+($D$7&lt;&gt;"")*(ISNUMBER(SEARCH($D$7,DB!G$2:G$2576))))*(($F$7="전체")+($F$7&lt;&gt;"전체")*(DB!H$2:H$2576=$F$7))),ROW()-13)-1,"")</f>
        <v/>
      </c>
      <c r="Q1277" t="str" cm="1">
        <f t="array" ref="Q1277">IFERROR(INDEX(DB!G$2:G$2576,P1277),"")</f>
        <v/>
      </c>
      <c r="R1277" t="str" cm="1">
        <f t="array" ref="R1277">IFERROR(INDEX(DB!O$2:O$2576,P1277),"")</f>
        <v/>
      </c>
      <c r="S1277" t="str">
        <f t="shared" si="60"/>
        <v/>
      </c>
      <c r="T1277" t="str">
        <f t="shared" si="61"/>
        <v/>
      </c>
    </row>
    <row r="1278" spans="1:20" ht="100" customHeight="1">
      <c r="A1278" s="26"/>
      <c r="B1278" s="39" t="str">
        <f t="shared" si="59"/>
        <v/>
      </c>
      <c r="C1278" s="43"/>
      <c r="D1278" s="51" t="str" cm="1">
        <f t="array" ref="D1278">IFERROR(INDEX(DB!G$2:G$2576,T1278),"")</f>
        <v/>
      </c>
      <c r="E1278" s="43"/>
      <c r="F1278" s="52" t="str" cm="1">
        <f t="array" ref="F1278">IFERROR(INDEX(DB!O$2:O$2576,T1278),"")</f>
        <v/>
      </c>
      <c r="G1278" s="43"/>
      <c r="H1278" s="40" t="str" cm="1">
        <f t="array" ref="H1278">IFERROR(INDEX(DB!P$2:P$2576,T1278),"")</f>
        <v/>
      </c>
      <c r="I1278" s="43"/>
      <c r="J1278" s="53" t="str" cm="1">
        <f t="array" ref="J1278">IFERROR(INDEX(DB!Q$2:Q$2576,T1278),"")</f>
        <v/>
      </c>
      <c r="K1278" s="43"/>
      <c r="L1278" s="41" t="str" cm="1">
        <f t="array" ref="L1278">IFERROR(INDEX(DB!R$2:R$2576,T1278),"")</f>
        <v/>
      </c>
      <c r="M1278" s="43"/>
      <c r="P1278" t="str" cm="1">
        <f t="array" ref="P1278">IFERROR(_xlfn.AGGREGATE(15,6,ROW(DB!A$2:A$2576)/((($D$3&lt;&gt;"YES")+($D$3="YES")*(DB!E$2:E$2576="YES"))*(($D$4="")+($D$4&lt;&gt;"")*( DB!B$2:B$2576=$D$4))*(($D$5="")+($D$5&lt;&gt;"")*( DB!C$2:C$2576=$D$5))*(($D$6="")+($D$6&lt;&gt;"")*( DB!D$2:D$2576=$D$6))*(($D$7="")+($D$7&lt;&gt;"")*(ISNUMBER(SEARCH($D$7,DB!G$2:G$2576))))*(($F$7="전체")+($F$7&lt;&gt;"전체")*(DB!H$2:H$2576=$F$7))),ROW()-13)-1,"")</f>
        <v/>
      </c>
      <c r="Q1278" t="str" cm="1">
        <f t="array" ref="Q1278">IFERROR(INDEX(DB!G$2:G$2576,P1278),"")</f>
        <v/>
      </c>
      <c r="R1278" t="str" cm="1">
        <f t="array" ref="R1278">IFERROR(INDEX(DB!O$2:O$2576,P1278),"")</f>
        <v/>
      </c>
      <c r="S1278" t="str">
        <f t="shared" si="60"/>
        <v/>
      </c>
      <c r="T1278" t="str">
        <f t="shared" si="61"/>
        <v/>
      </c>
    </row>
    <row r="1279" spans="1:20" ht="100" customHeight="1">
      <c r="A1279" s="26"/>
      <c r="B1279" s="42" t="str">
        <f t="shared" si="59"/>
        <v/>
      </c>
      <c r="C1279" s="43"/>
      <c r="D1279" s="51" t="str" cm="1">
        <f t="array" ref="D1279">IFERROR(INDEX(DB!G$2:G$2576,T1279),"")</f>
        <v/>
      </c>
      <c r="E1279" s="43"/>
      <c r="F1279" s="52" t="str" cm="1">
        <f t="array" ref="F1279">IFERROR(INDEX(DB!O$2:O$2576,T1279),"")</f>
        <v/>
      </c>
      <c r="G1279" s="43"/>
      <c r="H1279" s="40" t="str" cm="1">
        <f t="array" ref="H1279">IFERROR(INDEX(DB!P$2:P$2576,T1279),"")</f>
        <v/>
      </c>
      <c r="I1279" s="43"/>
      <c r="J1279" s="53" t="str" cm="1">
        <f t="array" ref="J1279">IFERROR(INDEX(DB!Q$2:Q$2576,T1279),"")</f>
        <v/>
      </c>
      <c r="K1279" s="43"/>
      <c r="L1279" s="41" t="str" cm="1">
        <f t="array" ref="L1279">IFERROR(INDEX(DB!R$2:R$2576,T1279),"")</f>
        <v/>
      </c>
      <c r="M1279" s="43"/>
      <c r="P1279" t="str" cm="1">
        <f t="array" ref="P1279">IFERROR(_xlfn.AGGREGATE(15,6,ROW(DB!A$2:A$2576)/((($D$3&lt;&gt;"YES")+($D$3="YES")*(DB!E$2:E$2576="YES"))*(($D$4="")+($D$4&lt;&gt;"")*( DB!B$2:B$2576=$D$4))*(($D$5="")+($D$5&lt;&gt;"")*( DB!C$2:C$2576=$D$5))*(($D$6="")+($D$6&lt;&gt;"")*( DB!D$2:D$2576=$D$6))*(($D$7="")+($D$7&lt;&gt;"")*(ISNUMBER(SEARCH($D$7,DB!G$2:G$2576))))*(($F$7="전체")+($F$7&lt;&gt;"전체")*(DB!H$2:H$2576=$F$7))),ROW()-13)-1,"")</f>
        <v/>
      </c>
      <c r="Q1279" t="str" cm="1">
        <f t="array" ref="Q1279">IFERROR(INDEX(DB!G$2:G$2576,P1279),"")</f>
        <v/>
      </c>
      <c r="R1279" t="str" cm="1">
        <f t="array" ref="R1279">IFERROR(INDEX(DB!O$2:O$2576,P1279),"")</f>
        <v/>
      </c>
      <c r="S1279" t="str">
        <f t="shared" si="60"/>
        <v/>
      </c>
      <c r="T1279" t="str">
        <f t="shared" si="61"/>
        <v/>
      </c>
    </row>
    <row r="1280" spans="1:20" ht="100" customHeight="1">
      <c r="A1280" s="26"/>
      <c r="B1280" s="39" t="str">
        <f t="shared" si="59"/>
        <v/>
      </c>
      <c r="C1280" s="43"/>
      <c r="D1280" s="51" t="str" cm="1">
        <f t="array" ref="D1280">IFERROR(INDEX(DB!G$2:G$2576,T1280),"")</f>
        <v/>
      </c>
      <c r="E1280" s="43"/>
      <c r="F1280" s="52" t="str" cm="1">
        <f t="array" ref="F1280">IFERROR(INDEX(DB!O$2:O$2576,T1280),"")</f>
        <v/>
      </c>
      <c r="G1280" s="43"/>
      <c r="H1280" s="40" t="str" cm="1">
        <f t="array" ref="H1280">IFERROR(INDEX(DB!P$2:P$2576,T1280),"")</f>
        <v/>
      </c>
      <c r="I1280" s="43"/>
      <c r="J1280" s="53" t="str" cm="1">
        <f t="array" ref="J1280">IFERROR(INDEX(DB!Q$2:Q$2576,T1280),"")</f>
        <v/>
      </c>
      <c r="K1280" s="43"/>
      <c r="L1280" s="41" t="str" cm="1">
        <f t="array" ref="L1280">IFERROR(INDEX(DB!R$2:R$2576,T1280),"")</f>
        <v/>
      </c>
      <c r="M1280" s="43"/>
      <c r="P1280" t="str" cm="1">
        <f t="array" ref="P1280">IFERROR(_xlfn.AGGREGATE(15,6,ROW(DB!A$2:A$2576)/((($D$3&lt;&gt;"YES")+($D$3="YES")*(DB!E$2:E$2576="YES"))*(($D$4="")+($D$4&lt;&gt;"")*( DB!B$2:B$2576=$D$4))*(($D$5="")+($D$5&lt;&gt;"")*( DB!C$2:C$2576=$D$5))*(($D$6="")+($D$6&lt;&gt;"")*( DB!D$2:D$2576=$D$6))*(($D$7="")+($D$7&lt;&gt;"")*(ISNUMBER(SEARCH($D$7,DB!G$2:G$2576))))*(($F$7="전체")+($F$7&lt;&gt;"전체")*(DB!H$2:H$2576=$F$7))),ROW()-13)-1,"")</f>
        <v/>
      </c>
      <c r="Q1280" t="str" cm="1">
        <f t="array" ref="Q1280">IFERROR(INDEX(DB!G$2:G$2576,P1280),"")</f>
        <v/>
      </c>
      <c r="R1280" t="str" cm="1">
        <f t="array" ref="R1280">IFERROR(INDEX(DB!O$2:O$2576,P1280),"")</f>
        <v/>
      </c>
      <c r="S1280" t="str">
        <f t="shared" si="60"/>
        <v/>
      </c>
      <c r="T1280" t="str">
        <f t="shared" si="61"/>
        <v/>
      </c>
    </row>
    <row r="1281" spans="1:20" ht="100" customHeight="1">
      <c r="A1281" s="26"/>
      <c r="B1281" s="42" t="str">
        <f t="shared" si="59"/>
        <v/>
      </c>
      <c r="C1281" s="43"/>
      <c r="D1281" s="51" t="str" cm="1">
        <f t="array" ref="D1281">IFERROR(INDEX(DB!G$2:G$2576,T1281),"")</f>
        <v/>
      </c>
      <c r="E1281" s="43"/>
      <c r="F1281" s="52" t="str" cm="1">
        <f t="array" ref="F1281">IFERROR(INDEX(DB!O$2:O$2576,T1281),"")</f>
        <v/>
      </c>
      <c r="G1281" s="43"/>
      <c r="H1281" s="40" t="str" cm="1">
        <f t="array" ref="H1281">IFERROR(INDEX(DB!P$2:P$2576,T1281),"")</f>
        <v/>
      </c>
      <c r="I1281" s="43"/>
      <c r="J1281" s="53" t="str" cm="1">
        <f t="array" ref="J1281">IFERROR(INDEX(DB!Q$2:Q$2576,T1281),"")</f>
        <v/>
      </c>
      <c r="K1281" s="43"/>
      <c r="L1281" s="41" t="str" cm="1">
        <f t="array" ref="L1281">IFERROR(INDEX(DB!R$2:R$2576,T1281),"")</f>
        <v/>
      </c>
      <c r="M1281" s="43"/>
      <c r="P1281" t="str" cm="1">
        <f t="array" ref="P1281">IFERROR(_xlfn.AGGREGATE(15,6,ROW(DB!A$2:A$2576)/((($D$3&lt;&gt;"YES")+($D$3="YES")*(DB!E$2:E$2576="YES"))*(($D$4="")+($D$4&lt;&gt;"")*( DB!B$2:B$2576=$D$4))*(($D$5="")+($D$5&lt;&gt;"")*( DB!C$2:C$2576=$D$5))*(($D$6="")+($D$6&lt;&gt;"")*( DB!D$2:D$2576=$D$6))*(($D$7="")+($D$7&lt;&gt;"")*(ISNUMBER(SEARCH($D$7,DB!G$2:G$2576))))*(($F$7="전체")+($F$7&lt;&gt;"전체")*(DB!H$2:H$2576=$F$7))),ROW()-13)-1,"")</f>
        <v/>
      </c>
      <c r="Q1281" t="str" cm="1">
        <f t="array" ref="Q1281">IFERROR(INDEX(DB!G$2:G$2576,P1281),"")</f>
        <v/>
      </c>
      <c r="R1281" t="str" cm="1">
        <f t="array" ref="R1281">IFERROR(INDEX(DB!O$2:O$2576,P1281),"")</f>
        <v/>
      </c>
      <c r="S1281" t="str">
        <f t="shared" si="60"/>
        <v/>
      </c>
      <c r="T1281" t="str">
        <f t="shared" si="61"/>
        <v/>
      </c>
    </row>
    <row r="1282" spans="1:20" ht="100" customHeight="1">
      <c r="A1282" s="26"/>
      <c r="B1282" s="39" t="str">
        <f t="shared" si="59"/>
        <v/>
      </c>
      <c r="C1282" s="43"/>
      <c r="D1282" s="51" t="str" cm="1">
        <f t="array" ref="D1282">IFERROR(INDEX(DB!G$2:G$2576,T1282),"")</f>
        <v/>
      </c>
      <c r="E1282" s="43"/>
      <c r="F1282" s="52" t="str" cm="1">
        <f t="array" ref="F1282">IFERROR(INDEX(DB!O$2:O$2576,T1282),"")</f>
        <v/>
      </c>
      <c r="G1282" s="43"/>
      <c r="H1282" s="40" t="str" cm="1">
        <f t="array" ref="H1282">IFERROR(INDEX(DB!P$2:P$2576,T1282),"")</f>
        <v/>
      </c>
      <c r="I1282" s="43"/>
      <c r="J1282" s="53" t="str" cm="1">
        <f t="array" ref="J1282">IFERROR(INDEX(DB!Q$2:Q$2576,T1282),"")</f>
        <v/>
      </c>
      <c r="K1282" s="43"/>
      <c r="L1282" s="41" t="str" cm="1">
        <f t="array" ref="L1282">IFERROR(INDEX(DB!R$2:R$2576,T1282),"")</f>
        <v/>
      </c>
      <c r="M1282" s="43"/>
      <c r="P1282" t="str" cm="1">
        <f t="array" ref="P1282">IFERROR(_xlfn.AGGREGATE(15,6,ROW(DB!A$2:A$2576)/((($D$3&lt;&gt;"YES")+($D$3="YES")*(DB!E$2:E$2576="YES"))*(($D$4="")+($D$4&lt;&gt;"")*( DB!B$2:B$2576=$D$4))*(($D$5="")+($D$5&lt;&gt;"")*( DB!C$2:C$2576=$D$5))*(($D$6="")+($D$6&lt;&gt;"")*( DB!D$2:D$2576=$D$6))*(($D$7="")+($D$7&lt;&gt;"")*(ISNUMBER(SEARCH($D$7,DB!G$2:G$2576))))*(($F$7="전체")+($F$7&lt;&gt;"전체")*(DB!H$2:H$2576=$F$7))),ROW()-13)-1,"")</f>
        <v/>
      </c>
      <c r="Q1282" t="str" cm="1">
        <f t="array" ref="Q1282">IFERROR(INDEX(DB!G$2:G$2576,P1282),"")</f>
        <v/>
      </c>
      <c r="R1282" t="str" cm="1">
        <f t="array" ref="R1282">IFERROR(INDEX(DB!O$2:O$2576,P1282),"")</f>
        <v/>
      </c>
      <c r="S1282" t="str">
        <f t="shared" si="60"/>
        <v/>
      </c>
      <c r="T1282" t="str">
        <f t="shared" si="61"/>
        <v/>
      </c>
    </row>
    <row r="1283" spans="1:20" ht="100" customHeight="1">
      <c r="A1283" s="26"/>
      <c r="B1283" s="42" t="str">
        <f t="shared" si="59"/>
        <v/>
      </c>
      <c r="C1283" s="43"/>
      <c r="D1283" s="51" t="str" cm="1">
        <f t="array" ref="D1283">IFERROR(INDEX(DB!G$2:G$2576,T1283),"")</f>
        <v/>
      </c>
      <c r="E1283" s="43"/>
      <c r="F1283" s="52" t="str" cm="1">
        <f t="array" ref="F1283">IFERROR(INDEX(DB!O$2:O$2576,T1283),"")</f>
        <v/>
      </c>
      <c r="G1283" s="43"/>
      <c r="H1283" s="40" t="str" cm="1">
        <f t="array" ref="H1283">IFERROR(INDEX(DB!P$2:P$2576,T1283),"")</f>
        <v/>
      </c>
      <c r="I1283" s="43"/>
      <c r="J1283" s="53" t="str" cm="1">
        <f t="array" ref="J1283">IFERROR(INDEX(DB!Q$2:Q$2576,T1283),"")</f>
        <v/>
      </c>
      <c r="K1283" s="43"/>
      <c r="L1283" s="41" t="str" cm="1">
        <f t="array" ref="L1283">IFERROR(INDEX(DB!R$2:R$2576,T1283),"")</f>
        <v/>
      </c>
      <c r="M1283" s="43"/>
      <c r="P1283" t="str" cm="1">
        <f t="array" ref="P1283">IFERROR(_xlfn.AGGREGATE(15,6,ROW(DB!A$2:A$2576)/((($D$3&lt;&gt;"YES")+($D$3="YES")*(DB!E$2:E$2576="YES"))*(($D$4="")+($D$4&lt;&gt;"")*( DB!B$2:B$2576=$D$4))*(($D$5="")+($D$5&lt;&gt;"")*( DB!C$2:C$2576=$D$5))*(($D$6="")+($D$6&lt;&gt;"")*( DB!D$2:D$2576=$D$6))*(($D$7="")+($D$7&lt;&gt;"")*(ISNUMBER(SEARCH($D$7,DB!G$2:G$2576))))*(($F$7="전체")+($F$7&lt;&gt;"전체")*(DB!H$2:H$2576=$F$7))),ROW()-13)-1,"")</f>
        <v/>
      </c>
      <c r="Q1283" t="str" cm="1">
        <f t="array" ref="Q1283">IFERROR(INDEX(DB!G$2:G$2576,P1283),"")</f>
        <v/>
      </c>
      <c r="R1283" t="str" cm="1">
        <f t="array" ref="R1283">IFERROR(INDEX(DB!O$2:O$2576,P1283),"")</f>
        <v/>
      </c>
      <c r="S1283" t="str">
        <f t="shared" si="60"/>
        <v/>
      </c>
      <c r="T1283" t="str">
        <f t="shared" si="61"/>
        <v/>
      </c>
    </row>
    <row r="1284" spans="1:20" ht="100" customHeight="1">
      <c r="A1284" s="26"/>
      <c r="B1284" s="39" t="str">
        <f t="shared" si="59"/>
        <v/>
      </c>
      <c r="C1284" s="43"/>
      <c r="D1284" s="51" t="str" cm="1">
        <f t="array" ref="D1284">IFERROR(INDEX(DB!G$2:G$2576,T1284),"")</f>
        <v/>
      </c>
      <c r="E1284" s="43"/>
      <c r="F1284" s="52" t="str" cm="1">
        <f t="array" ref="F1284">IFERROR(INDEX(DB!O$2:O$2576,T1284),"")</f>
        <v/>
      </c>
      <c r="G1284" s="43"/>
      <c r="H1284" s="40" t="str" cm="1">
        <f t="array" ref="H1284">IFERROR(INDEX(DB!P$2:P$2576,T1284),"")</f>
        <v/>
      </c>
      <c r="I1284" s="43"/>
      <c r="J1284" s="53" t="str" cm="1">
        <f t="array" ref="J1284">IFERROR(INDEX(DB!Q$2:Q$2576,T1284),"")</f>
        <v/>
      </c>
      <c r="K1284" s="43"/>
      <c r="L1284" s="41" t="str" cm="1">
        <f t="array" ref="L1284">IFERROR(INDEX(DB!R$2:R$2576,T1284),"")</f>
        <v/>
      </c>
      <c r="M1284" s="43"/>
      <c r="P1284" t="str" cm="1">
        <f t="array" ref="P1284">IFERROR(_xlfn.AGGREGATE(15,6,ROW(DB!A$2:A$2576)/((($D$3&lt;&gt;"YES")+($D$3="YES")*(DB!E$2:E$2576="YES"))*(($D$4="")+($D$4&lt;&gt;"")*( DB!B$2:B$2576=$D$4))*(($D$5="")+($D$5&lt;&gt;"")*( DB!C$2:C$2576=$D$5))*(($D$6="")+($D$6&lt;&gt;"")*( DB!D$2:D$2576=$D$6))*(($D$7="")+($D$7&lt;&gt;"")*(ISNUMBER(SEARCH($D$7,DB!G$2:G$2576))))*(($F$7="전체")+($F$7&lt;&gt;"전체")*(DB!H$2:H$2576=$F$7))),ROW()-13)-1,"")</f>
        <v/>
      </c>
      <c r="Q1284" t="str" cm="1">
        <f t="array" ref="Q1284">IFERROR(INDEX(DB!G$2:G$2576,P1284),"")</f>
        <v/>
      </c>
      <c r="R1284" t="str" cm="1">
        <f t="array" ref="R1284">IFERROR(INDEX(DB!O$2:O$2576,P1284),"")</f>
        <v/>
      </c>
      <c r="S1284" t="str">
        <f t="shared" si="60"/>
        <v/>
      </c>
      <c r="T1284" t="str">
        <f t="shared" si="61"/>
        <v/>
      </c>
    </row>
    <row r="1285" spans="1:20" ht="100" customHeight="1">
      <c r="A1285" s="26"/>
      <c r="B1285" s="42" t="str">
        <f t="shared" si="59"/>
        <v/>
      </c>
      <c r="C1285" s="43"/>
      <c r="D1285" s="51" t="str" cm="1">
        <f t="array" ref="D1285">IFERROR(INDEX(DB!G$2:G$2576,T1285),"")</f>
        <v/>
      </c>
      <c r="E1285" s="43"/>
      <c r="F1285" s="52" t="str" cm="1">
        <f t="array" ref="F1285">IFERROR(INDEX(DB!O$2:O$2576,T1285),"")</f>
        <v/>
      </c>
      <c r="G1285" s="43"/>
      <c r="H1285" s="40" t="str" cm="1">
        <f t="array" ref="H1285">IFERROR(INDEX(DB!P$2:P$2576,T1285),"")</f>
        <v/>
      </c>
      <c r="I1285" s="43"/>
      <c r="J1285" s="53" t="str" cm="1">
        <f t="array" ref="J1285">IFERROR(INDEX(DB!Q$2:Q$2576,T1285),"")</f>
        <v/>
      </c>
      <c r="K1285" s="43"/>
      <c r="L1285" s="41" t="str" cm="1">
        <f t="array" ref="L1285">IFERROR(INDEX(DB!R$2:R$2576,T1285),"")</f>
        <v/>
      </c>
      <c r="M1285" s="43"/>
      <c r="P1285" t="str" cm="1">
        <f t="array" ref="P1285">IFERROR(_xlfn.AGGREGATE(15,6,ROW(DB!A$2:A$2576)/((($D$3&lt;&gt;"YES")+($D$3="YES")*(DB!E$2:E$2576="YES"))*(($D$4="")+($D$4&lt;&gt;"")*( DB!B$2:B$2576=$D$4))*(($D$5="")+($D$5&lt;&gt;"")*( DB!C$2:C$2576=$D$5))*(($D$6="")+($D$6&lt;&gt;"")*( DB!D$2:D$2576=$D$6))*(($D$7="")+($D$7&lt;&gt;"")*(ISNUMBER(SEARCH($D$7,DB!G$2:G$2576))))*(($F$7="전체")+($F$7&lt;&gt;"전체")*(DB!H$2:H$2576=$F$7))),ROW()-13)-1,"")</f>
        <v/>
      </c>
      <c r="Q1285" t="str" cm="1">
        <f t="array" ref="Q1285">IFERROR(INDEX(DB!G$2:G$2576,P1285),"")</f>
        <v/>
      </c>
      <c r="R1285" t="str" cm="1">
        <f t="array" ref="R1285">IFERROR(INDEX(DB!O$2:O$2576,P1285),"")</f>
        <v/>
      </c>
      <c r="S1285" t="str">
        <f t="shared" si="60"/>
        <v/>
      </c>
      <c r="T1285" t="str">
        <f t="shared" si="61"/>
        <v/>
      </c>
    </row>
    <row r="1286" spans="1:20" ht="100" customHeight="1">
      <c r="A1286" s="26"/>
      <c r="B1286" s="39" t="str">
        <f t="shared" si="59"/>
        <v/>
      </c>
      <c r="C1286" s="43"/>
      <c r="D1286" s="51" t="str" cm="1">
        <f t="array" ref="D1286">IFERROR(INDEX(DB!G$2:G$2576,T1286),"")</f>
        <v/>
      </c>
      <c r="E1286" s="43"/>
      <c r="F1286" s="52" t="str" cm="1">
        <f t="array" ref="F1286">IFERROR(INDEX(DB!O$2:O$2576,T1286),"")</f>
        <v/>
      </c>
      <c r="G1286" s="43"/>
      <c r="H1286" s="40" t="str" cm="1">
        <f t="array" ref="H1286">IFERROR(INDEX(DB!P$2:P$2576,T1286),"")</f>
        <v/>
      </c>
      <c r="I1286" s="43"/>
      <c r="J1286" s="53" t="str" cm="1">
        <f t="array" ref="J1286">IFERROR(INDEX(DB!Q$2:Q$2576,T1286),"")</f>
        <v/>
      </c>
      <c r="K1286" s="43"/>
      <c r="L1286" s="41" t="str" cm="1">
        <f t="array" ref="L1286">IFERROR(INDEX(DB!R$2:R$2576,T1286),"")</f>
        <v/>
      </c>
      <c r="M1286" s="43"/>
      <c r="P1286" t="str" cm="1">
        <f t="array" ref="P1286">IFERROR(_xlfn.AGGREGATE(15,6,ROW(DB!A$2:A$2576)/((($D$3&lt;&gt;"YES")+($D$3="YES")*(DB!E$2:E$2576="YES"))*(($D$4="")+($D$4&lt;&gt;"")*( DB!B$2:B$2576=$D$4))*(($D$5="")+($D$5&lt;&gt;"")*( DB!C$2:C$2576=$D$5))*(($D$6="")+($D$6&lt;&gt;"")*( DB!D$2:D$2576=$D$6))*(($D$7="")+($D$7&lt;&gt;"")*(ISNUMBER(SEARCH($D$7,DB!G$2:G$2576))))*(($F$7="전체")+($F$7&lt;&gt;"전체")*(DB!H$2:H$2576=$F$7))),ROW()-13)-1,"")</f>
        <v/>
      </c>
      <c r="Q1286" t="str" cm="1">
        <f t="array" ref="Q1286">IFERROR(INDEX(DB!G$2:G$2576,P1286),"")</f>
        <v/>
      </c>
      <c r="R1286" t="str" cm="1">
        <f t="array" ref="R1286">IFERROR(INDEX(DB!O$2:O$2576,P1286),"")</f>
        <v/>
      </c>
      <c r="S1286" t="str">
        <f t="shared" si="60"/>
        <v/>
      </c>
      <c r="T1286" t="str">
        <f t="shared" si="61"/>
        <v/>
      </c>
    </row>
    <row r="1287" spans="1:20" ht="100" customHeight="1">
      <c r="A1287" s="26"/>
      <c r="B1287" s="42" t="str">
        <f t="shared" si="59"/>
        <v/>
      </c>
      <c r="C1287" s="43"/>
      <c r="D1287" s="51" t="str" cm="1">
        <f t="array" ref="D1287">IFERROR(INDEX(DB!G$2:G$2576,T1287),"")</f>
        <v/>
      </c>
      <c r="E1287" s="43"/>
      <c r="F1287" s="52" t="str" cm="1">
        <f t="array" ref="F1287">IFERROR(INDEX(DB!O$2:O$2576,T1287),"")</f>
        <v/>
      </c>
      <c r="G1287" s="43"/>
      <c r="H1287" s="40" t="str" cm="1">
        <f t="array" ref="H1287">IFERROR(INDEX(DB!P$2:P$2576,T1287),"")</f>
        <v/>
      </c>
      <c r="I1287" s="43"/>
      <c r="J1287" s="53" t="str" cm="1">
        <f t="array" ref="J1287">IFERROR(INDEX(DB!Q$2:Q$2576,T1287),"")</f>
        <v/>
      </c>
      <c r="K1287" s="43"/>
      <c r="L1287" s="41" t="str" cm="1">
        <f t="array" ref="L1287">IFERROR(INDEX(DB!R$2:R$2576,T1287),"")</f>
        <v/>
      </c>
      <c r="M1287" s="43"/>
      <c r="P1287" t="str" cm="1">
        <f t="array" ref="P1287">IFERROR(_xlfn.AGGREGATE(15,6,ROW(DB!A$2:A$2576)/((($D$3&lt;&gt;"YES")+($D$3="YES")*(DB!E$2:E$2576="YES"))*(($D$4="")+($D$4&lt;&gt;"")*( DB!B$2:B$2576=$D$4))*(($D$5="")+($D$5&lt;&gt;"")*( DB!C$2:C$2576=$D$5))*(($D$6="")+($D$6&lt;&gt;"")*( DB!D$2:D$2576=$D$6))*(($D$7="")+($D$7&lt;&gt;"")*(ISNUMBER(SEARCH($D$7,DB!G$2:G$2576))))*(($F$7="전체")+($F$7&lt;&gt;"전체")*(DB!H$2:H$2576=$F$7))),ROW()-13)-1,"")</f>
        <v/>
      </c>
      <c r="Q1287" t="str" cm="1">
        <f t="array" ref="Q1287">IFERROR(INDEX(DB!G$2:G$2576,P1287),"")</f>
        <v/>
      </c>
      <c r="R1287" t="str" cm="1">
        <f t="array" ref="R1287">IFERROR(INDEX(DB!O$2:O$2576,P1287),"")</f>
        <v/>
      </c>
      <c r="S1287" t="str">
        <f t="shared" si="60"/>
        <v/>
      </c>
      <c r="T1287" t="str">
        <f t="shared" si="61"/>
        <v/>
      </c>
    </row>
    <row r="1288" spans="1:20" ht="100" customHeight="1">
      <c r="A1288" s="26"/>
      <c r="B1288" s="39" t="str">
        <f t="shared" si="59"/>
        <v/>
      </c>
      <c r="C1288" s="43"/>
      <c r="D1288" s="51" t="str" cm="1">
        <f t="array" ref="D1288">IFERROR(INDEX(DB!G$2:G$2576,T1288),"")</f>
        <v/>
      </c>
      <c r="E1288" s="43"/>
      <c r="F1288" s="52" t="str" cm="1">
        <f t="array" ref="F1288">IFERROR(INDEX(DB!O$2:O$2576,T1288),"")</f>
        <v/>
      </c>
      <c r="G1288" s="43"/>
      <c r="H1288" s="40" t="str" cm="1">
        <f t="array" ref="H1288">IFERROR(INDEX(DB!P$2:P$2576,T1288),"")</f>
        <v/>
      </c>
      <c r="I1288" s="43"/>
      <c r="J1288" s="53" t="str" cm="1">
        <f t="array" ref="J1288">IFERROR(INDEX(DB!Q$2:Q$2576,T1288),"")</f>
        <v/>
      </c>
      <c r="K1288" s="43"/>
      <c r="L1288" s="41" t="str" cm="1">
        <f t="array" ref="L1288">IFERROR(INDEX(DB!R$2:R$2576,T1288),"")</f>
        <v/>
      </c>
      <c r="M1288" s="43"/>
      <c r="P1288" t="str" cm="1">
        <f t="array" ref="P1288">IFERROR(_xlfn.AGGREGATE(15,6,ROW(DB!A$2:A$2576)/((($D$3&lt;&gt;"YES")+($D$3="YES")*(DB!E$2:E$2576="YES"))*(($D$4="")+($D$4&lt;&gt;"")*( DB!B$2:B$2576=$D$4))*(($D$5="")+($D$5&lt;&gt;"")*( DB!C$2:C$2576=$D$5))*(($D$6="")+($D$6&lt;&gt;"")*( DB!D$2:D$2576=$D$6))*(($D$7="")+($D$7&lt;&gt;"")*(ISNUMBER(SEARCH($D$7,DB!G$2:G$2576))))*(($F$7="전체")+($F$7&lt;&gt;"전체")*(DB!H$2:H$2576=$F$7))),ROW()-13)-1,"")</f>
        <v/>
      </c>
      <c r="Q1288" t="str" cm="1">
        <f t="array" ref="Q1288">IFERROR(INDEX(DB!G$2:G$2576,P1288),"")</f>
        <v/>
      </c>
      <c r="R1288" t="str" cm="1">
        <f t="array" ref="R1288">IFERROR(INDEX(DB!O$2:O$2576,P1288),"")</f>
        <v/>
      </c>
      <c r="S1288" t="str">
        <f t="shared" si="60"/>
        <v/>
      </c>
      <c r="T1288" t="str">
        <f t="shared" si="61"/>
        <v/>
      </c>
    </row>
    <row r="1289" spans="1:20" ht="100" customHeight="1">
      <c r="A1289" s="26"/>
      <c r="B1289" s="42" t="str">
        <f t="shared" si="59"/>
        <v/>
      </c>
      <c r="C1289" s="43"/>
      <c r="D1289" s="51" t="str" cm="1">
        <f t="array" ref="D1289">IFERROR(INDEX(DB!G$2:G$2576,T1289),"")</f>
        <v/>
      </c>
      <c r="E1289" s="43"/>
      <c r="F1289" s="52" t="str" cm="1">
        <f t="array" ref="F1289">IFERROR(INDEX(DB!O$2:O$2576,T1289),"")</f>
        <v/>
      </c>
      <c r="G1289" s="43"/>
      <c r="H1289" s="40" t="str" cm="1">
        <f t="array" ref="H1289">IFERROR(INDEX(DB!P$2:P$2576,T1289),"")</f>
        <v/>
      </c>
      <c r="I1289" s="43"/>
      <c r="J1289" s="53" t="str" cm="1">
        <f t="array" ref="J1289">IFERROR(INDEX(DB!Q$2:Q$2576,T1289),"")</f>
        <v/>
      </c>
      <c r="K1289" s="43"/>
      <c r="L1289" s="41" t="str" cm="1">
        <f t="array" ref="L1289">IFERROR(INDEX(DB!R$2:R$2576,T1289),"")</f>
        <v/>
      </c>
      <c r="M1289" s="43"/>
      <c r="P1289" t="str" cm="1">
        <f t="array" ref="P1289">IFERROR(_xlfn.AGGREGATE(15,6,ROW(DB!A$2:A$2576)/((($D$3&lt;&gt;"YES")+($D$3="YES")*(DB!E$2:E$2576="YES"))*(($D$4="")+($D$4&lt;&gt;"")*( DB!B$2:B$2576=$D$4))*(($D$5="")+($D$5&lt;&gt;"")*( DB!C$2:C$2576=$D$5))*(($D$6="")+($D$6&lt;&gt;"")*( DB!D$2:D$2576=$D$6))*(($D$7="")+($D$7&lt;&gt;"")*(ISNUMBER(SEARCH($D$7,DB!G$2:G$2576))))*(($F$7="전체")+($F$7&lt;&gt;"전체")*(DB!H$2:H$2576=$F$7))),ROW()-13)-1,"")</f>
        <v/>
      </c>
      <c r="Q1289" t="str" cm="1">
        <f t="array" ref="Q1289">IFERROR(INDEX(DB!G$2:G$2576,P1289),"")</f>
        <v/>
      </c>
      <c r="R1289" t="str" cm="1">
        <f t="array" ref="R1289">IFERROR(INDEX(DB!O$2:O$2576,P1289),"")</f>
        <v/>
      </c>
      <c r="S1289" t="str">
        <f t="shared" si="60"/>
        <v/>
      </c>
      <c r="T1289" t="str">
        <f t="shared" si="61"/>
        <v/>
      </c>
    </row>
    <row r="1290" spans="1:20" ht="100" customHeight="1">
      <c r="A1290" s="26"/>
      <c r="B1290" s="39" t="str">
        <f t="shared" si="59"/>
        <v/>
      </c>
      <c r="C1290" s="43"/>
      <c r="D1290" s="51" t="str" cm="1">
        <f t="array" ref="D1290">IFERROR(INDEX(DB!G$2:G$2576,T1290),"")</f>
        <v/>
      </c>
      <c r="E1290" s="43"/>
      <c r="F1290" s="52" t="str" cm="1">
        <f t="array" ref="F1290">IFERROR(INDEX(DB!O$2:O$2576,T1290),"")</f>
        <v/>
      </c>
      <c r="G1290" s="43"/>
      <c r="H1290" s="40" t="str" cm="1">
        <f t="array" ref="H1290">IFERROR(INDEX(DB!P$2:P$2576,T1290),"")</f>
        <v/>
      </c>
      <c r="I1290" s="43"/>
      <c r="J1290" s="53" t="str" cm="1">
        <f t="array" ref="J1290">IFERROR(INDEX(DB!Q$2:Q$2576,T1290),"")</f>
        <v/>
      </c>
      <c r="K1290" s="43"/>
      <c r="L1290" s="41" t="str" cm="1">
        <f t="array" ref="L1290">IFERROR(INDEX(DB!R$2:R$2576,T1290),"")</f>
        <v/>
      </c>
      <c r="M1290" s="43"/>
      <c r="P1290" t="str" cm="1">
        <f t="array" ref="P1290">IFERROR(_xlfn.AGGREGATE(15,6,ROW(DB!A$2:A$2576)/((($D$3&lt;&gt;"YES")+($D$3="YES")*(DB!E$2:E$2576="YES"))*(($D$4="")+($D$4&lt;&gt;"")*( DB!B$2:B$2576=$D$4))*(($D$5="")+($D$5&lt;&gt;"")*( DB!C$2:C$2576=$D$5))*(($D$6="")+($D$6&lt;&gt;"")*( DB!D$2:D$2576=$D$6))*(($D$7="")+($D$7&lt;&gt;"")*(ISNUMBER(SEARCH($D$7,DB!G$2:G$2576))))*(($F$7="전체")+($F$7&lt;&gt;"전체")*(DB!H$2:H$2576=$F$7))),ROW()-13)-1,"")</f>
        <v/>
      </c>
      <c r="Q1290" t="str" cm="1">
        <f t="array" ref="Q1290">IFERROR(INDEX(DB!G$2:G$2576,P1290),"")</f>
        <v/>
      </c>
      <c r="R1290" t="str" cm="1">
        <f t="array" ref="R1290">IFERROR(INDEX(DB!O$2:O$2576,P1290),"")</f>
        <v/>
      </c>
      <c r="S1290" t="str">
        <f t="shared" si="60"/>
        <v/>
      </c>
      <c r="T1290" t="str">
        <f t="shared" si="61"/>
        <v/>
      </c>
    </row>
    <row r="1291" spans="1:20" ht="100" customHeight="1">
      <c r="A1291" s="26"/>
      <c r="B1291" s="42" t="str">
        <f t="shared" si="59"/>
        <v/>
      </c>
      <c r="C1291" s="43"/>
      <c r="D1291" s="51" t="str" cm="1">
        <f t="array" ref="D1291">IFERROR(INDEX(DB!G$2:G$2576,T1291),"")</f>
        <v/>
      </c>
      <c r="E1291" s="43"/>
      <c r="F1291" s="52" t="str" cm="1">
        <f t="array" ref="F1291">IFERROR(INDEX(DB!O$2:O$2576,T1291),"")</f>
        <v/>
      </c>
      <c r="G1291" s="43"/>
      <c r="H1291" s="40" t="str" cm="1">
        <f t="array" ref="H1291">IFERROR(INDEX(DB!P$2:P$2576,T1291),"")</f>
        <v/>
      </c>
      <c r="I1291" s="43"/>
      <c r="J1291" s="53" t="str" cm="1">
        <f t="array" ref="J1291">IFERROR(INDEX(DB!Q$2:Q$2576,T1291),"")</f>
        <v/>
      </c>
      <c r="K1291" s="43"/>
      <c r="L1291" s="41" t="str" cm="1">
        <f t="array" ref="L1291">IFERROR(INDEX(DB!R$2:R$2576,T1291),"")</f>
        <v/>
      </c>
      <c r="M1291" s="43"/>
      <c r="P1291" t="str" cm="1">
        <f t="array" ref="P1291">IFERROR(_xlfn.AGGREGATE(15,6,ROW(DB!A$2:A$2576)/((($D$3&lt;&gt;"YES")+($D$3="YES")*(DB!E$2:E$2576="YES"))*(($D$4="")+($D$4&lt;&gt;"")*( DB!B$2:B$2576=$D$4))*(($D$5="")+($D$5&lt;&gt;"")*( DB!C$2:C$2576=$D$5))*(($D$6="")+($D$6&lt;&gt;"")*( DB!D$2:D$2576=$D$6))*(($D$7="")+($D$7&lt;&gt;"")*(ISNUMBER(SEARCH($D$7,DB!G$2:G$2576))))*(($F$7="전체")+($F$7&lt;&gt;"전체")*(DB!H$2:H$2576=$F$7))),ROW()-13)-1,"")</f>
        <v/>
      </c>
      <c r="Q1291" t="str" cm="1">
        <f t="array" ref="Q1291">IFERROR(INDEX(DB!G$2:G$2576,P1291),"")</f>
        <v/>
      </c>
      <c r="R1291" t="str" cm="1">
        <f t="array" ref="R1291">IFERROR(INDEX(DB!O$2:O$2576,P1291),"")</f>
        <v/>
      </c>
      <c r="S1291" t="str">
        <f t="shared" si="60"/>
        <v/>
      </c>
      <c r="T1291" t="str">
        <f t="shared" si="61"/>
        <v/>
      </c>
    </row>
    <row r="1292" spans="1:20" ht="100" customHeight="1">
      <c r="A1292" s="26"/>
      <c r="B1292" s="39" t="str">
        <f t="shared" si="59"/>
        <v/>
      </c>
      <c r="C1292" s="43"/>
      <c r="D1292" s="51" t="str" cm="1">
        <f t="array" ref="D1292">IFERROR(INDEX(DB!G$2:G$2576,T1292),"")</f>
        <v/>
      </c>
      <c r="E1292" s="43"/>
      <c r="F1292" s="52" t="str" cm="1">
        <f t="array" ref="F1292">IFERROR(INDEX(DB!O$2:O$2576,T1292),"")</f>
        <v/>
      </c>
      <c r="G1292" s="43"/>
      <c r="H1292" s="40" t="str" cm="1">
        <f t="array" ref="H1292">IFERROR(INDEX(DB!P$2:P$2576,T1292),"")</f>
        <v/>
      </c>
      <c r="I1292" s="43"/>
      <c r="J1292" s="53" t="str" cm="1">
        <f t="array" ref="J1292">IFERROR(INDEX(DB!Q$2:Q$2576,T1292),"")</f>
        <v/>
      </c>
      <c r="K1292" s="43"/>
      <c r="L1292" s="41" t="str" cm="1">
        <f t="array" ref="L1292">IFERROR(INDEX(DB!R$2:R$2576,T1292),"")</f>
        <v/>
      </c>
      <c r="M1292" s="43"/>
      <c r="P1292" t="str" cm="1">
        <f t="array" ref="P1292">IFERROR(_xlfn.AGGREGATE(15,6,ROW(DB!A$2:A$2576)/((($D$3&lt;&gt;"YES")+($D$3="YES")*(DB!E$2:E$2576="YES"))*(($D$4="")+($D$4&lt;&gt;"")*( DB!B$2:B$2576=$D$4))*(($D$5="")+($D$5&lt;&gt;"")*( DB!C$2:C$2576=$D$5))*(($D$6="")+($D$6&lt;&gt;"")*( DB!D$2:D$2576=$D$6))*(($D$7="")+($D$7&lt;&gt;"")*(ISNUMBER(SEARCH($D$7,DB!G$2:G$2576))))*(($F$7="전체")+($F$7&lt;&gt;"전체")*(DB!H$2:H$2576=$F$7))),ROW()-13)-1,"")</f>
        <v/>
      </c>
      <c r="Q1292" t="str" cm="1">
        <f t="array" ref="Q1292">IFERROR(INDEX(DB!G$2:G$2576,P1292),"")</f>
        <v/>
      </c>
      <c r="R1292" t="str" cm="1">
        <f t="array" ref="R1292">IFERROR(INDEX(DB!O$2:O$2576,P1292),"")</f>
        <v/>
      </c>
      <c r="S1292" t="str">
        <f t="shared" si="60"/>
        <v/>
      </c>
      <c r="T1292" t="str">
        <f t="shared" si="61"/>
        <v/>
      </c>
    </row>
    <row r="1293" spans="1:20" ht="100" customHeight="1">
      <c r="A1293" s="26"/>
      <c r="B1293" s="42" t="str">
        <f t="shared" si="59"/>
        <v/>
      </c>
      <c r="C1293" s="43"/>
      <c r="D1293" s="51" t="str" cm="1">
        <f t="array" ref="D1293">IFERROR(INDEX(DB!G$2:G$2576,T1293),"")</f>
        <v/>
      </c>
      <c r="E1293" s="43"/>
      <c r="F1293" s="52" t="str" cm="1">
        <f t="array" ref="F1293">IFERROR(INDEX(DB!O$2:O$2576,T1293),"")</f>
        <v/>
      </c>
      <c r="G1293" s="43"/>
      <c r="H1293" s="40" t="str" cm="1">
        <f t="array" ref="H1293">IFERROR(INDEX(DB!P$2:P$2576,T1293),"")</f>
        <v/>
      </c>
      <c r="I1293" s="43"/>
      <c r="J1293" s="53" t="str" cm="1">
        <f t="array" ref="J1293">IFERROR(INDEX(DB!Q$2:Q$2576,T1293),"")</f>
        <v/>
      </c>
      <c r="K1293" s="43"/>
      <c r="L1293" s="41" t="str" cm="1">
        <f t="array" ref="L1293">IFERROR(INDEX(DB!R$2:R$2576,T1293),"")</f>
        <v/>
      </c>
      <c r="M1293" s="43"/>
      <c r="P1293" t="str" cm="1">
        <f t="array" ref="P1293">IFERROR(_xlfn.AGGREGATE(15,6,ROW(DB!A$2:A$2576)/((($D$3&lt;&gt;"YES")+($D$3="YES")*(DB!E$2:E$2576="YES"))*(($D$4="")+($D$4&lt;&gt;"")*( DB!B$2:B$2576=$D$4))*(($D$5="")+($D$5&lt;&gt;"")*( DB!C$2:C$2576=$D$5))*(($D$6="")+($D$6&lt;&gt;"")*( DB!D$2:D$2576=$D$6))*(($D$7="")+($D$7&lt;&gt;"")*(ISNUMBER(SEARCH($D$7,DB!G$2:G$2576))))*(($F$7="전체")+($F$7&lt;&gt;"전체")*(DB!H$2:H$2576=$F$7))),ROW()-13)-1,"")</f>
        <v/>
      </c>
      <c r="Q1293" t="str" cm="1">
        <f t="array" ref="Q1293">IFERROR(INDEX(DB!G$2:G$2576,P1293),"")</f>
        <v/>
      </c>
      <c r="R1293" t="str" cm="1">
        <f t="array" ref="R1293">IFERROR(INDEX(DB!O$2:O$2576,P1293),"")</f>
        <v/>
      </c>
      <c r="S1293" t="str">
        <f t="shared" si="60"/>
        <v/>
      </c>
      <c r="T1293" t="str">
        <f t="shared" si="61"/>
        <v/>
      </c>
    </row>
    <row r="1294" spans="1:20" ht="100" customHeight="1">
      <c r="A1294" s="26"/>
      <c r="B1294" s="39" t="str">
        <f t="shared" si="59"/>
        <v/>
      </c>
      <c r="C1294" s="43"/>
      <c r="D1294" s="51" t="str" cm="1">
        <f t="array" ref="D1294">IFERROR(INDEX(DB!G$2:G$2576,T1294),"")</f>
        <v/>
      </c>
      <c r="E1294" s="43"/>
      <c r="F1294" s="52" t="str" cm="1">
        <f t="array" ref="F1294">IFERROR(INDEX(DB!O$2:O$2576,T1294),"")</f>
        <v/>
      </c>
      <c r="G1294" s="43"/>
      <c r="H1294" s="40" t="str" cm="1">
        <f t="array" ref="H1294">IFERROR(INDEX(DB!P$2:P$2576,T1294),"")</f>
        <v/>
      </c>
      <c r="I1294" s="43"/>
      <c r="J1294" s="53" t="str" cm="1">
        <f t="array" ref="J1294">IFERROR(INDEX(DB!Q$2:Q$2576,T1294),"")</f>
        <v/>
      </c>
      <c r="K1294" s="43"/>
      <c r="L1294" s="41" t="str" cm="1">
        <f t="array" ref="L1294">IFERROR(INDEX(DB!R$2:R$2576,T1294),"")</f>
        <v/>
      </c>
      <c r="M1294" s="43"/>
      <c r="P1294" t="str" cm="1">
        <f t="array" ref="P1294">IFERROR(_xlfn.AGGREGATE(15,6,ROW(DB!A$2:A$2576)/((($D$3&lt;&gt;"YES")+($D$3="YES")*(DB!E$2:E$2576="YES"))*(($D$4="")+($D$4&lt;&gt;"")*( DB!B$2:B$2576=$D$4))*(($D$5="")+($D$5&lt;&gt;"")*( DB!C$2:C$2576=$D$5))*(($D$6="")+($D$6&lt;&gt;"")*( DB!D$2:D$2576=$D$6))*(($D$7="")+($D$7&lt;&gt;"")*(ISNUMBER(SEARCH($D$7,DB!G$2:G$2576))))*(($F$7="전체")+($F$7&lt;&gt;"전체")*(DB!H$2:H$2576=$F$7))),ROW()-13)-1,"")</f>
        <v/>
      </c>
      <c r="Q1294" t="str" cm="1">
        <f t="array" ref="Q1294">IFERROR(INDEX(DB!G$2:G$2576,P1294),"")</f>
        <v/>
      </c>
      <c r="R1294" t="str" cm="1">
        <f t="array" ref="R1294">IFERROR(INDEX(DB!O$2:O$2576,P1294),"")</f>
        <v/>
      </c>
      <c r="S1294" t="str">
        <f t="shared" si="60"/>
        <v/>
      </c>
      <c r="T1294" t="str">
        <f t="shared" si="61"/>
        <v/>
      </c>
    </row>
    <row r="1295" spans="1:20" ht="100" customHeight="1">
      <c r="A1295" s="26"/>
      <c r="B1295" s="42" t="str">
        <f t="shared" ref="B1295:B1358" si="62">IFERROR(IF(T1295="","",ROW()-13),"")</f>
        <v/>
      </c>
      <c r="C1295" s="43"/>
      <c r="D1295" s="51" t="str" cm="1">
        <f t="array" ref="D1295">IFERROR(INDEX(DB!G$2:G$2576,T1295),"")</f>
        <v/>
      </c>
      <c r="E1295" s="43"/>
      <c r="F1295" s="52" t="str" cm="1">
        <f t="array" ref="F1295">IFERROR(INDEX(DB!O$2:O$2576,T1295),"")</f>
        <v/>
      </c>
      <c r="G1295" s="43"/>
      <c r="H1295" s="40" t="str" cm="1">
        <f t="array" ref="H1295">IFERROR(INDEX(DB!P$2:P$2576,T1295),"")</f>
        <v/>
      </c>
      <c r="I1295" s="43"/>
      <c r="J1295" s="53" t="str" cm="1">
        <f t="array" ref="J1295">IFERROR(INDEX(DB!Q$2:Q$2576,T1295),"")</f>
        <v/>
      </c>
      <c r="K1295" s="43"/>
      <c r="L1295" s="41" t="str" cm="1">
        <f t="array" ref="L1295">IFERROR(INDEX(DB!R$2:R$2576,T1295),"")</f>
        <v/>
      </c>
      <c r="M1295" s="43"/>
      <c r="P1295" t="str" cm="1">
        <f t="array" ref="P1295">IFERROR(_xlfn.AGGREGATE(15,6,ROW(DB!A$2:A$2576)/((($D$3&lt;&gt;"YES")+($D$3="YES")*(DB!E$2:E$2576="YES"))*(($D$4="")+($D$4&lt;&gt;"")*( DB!B$2:B$2576=$D$4))*(($D$5="")+($D$5&lt;&gt;"")*( DB!C$2:C$2576=$D$5))*(($D$6="")+($D$6&lt;&gt;"")*( DB!D$2:D$2576=$D$6))*(($D$7="")+($D$7&lt;&gt;"")*(ISNUMBER(SEARCH($D$7,DB!G$2:G$2576))))*(($F$7="전체")+($F$7&lt;&gt;"전체")*(DB!H$2:H$2576=$F$7))),ROW()-13)-1,"")</f>
        <v/>
      </c>
      <c r="Q1295" t="str" cm="1">
        <f t="array" ref="Q1295">IFERROR(INDEX(DB!G$2:G$2576,P1295),"")</f>
        <v/>
      </c>
      <c r="R1295" t="str" cm="1">
        <f t="array" ref="R1295">IFERROR(INDEX(DB!O$2:O$2576,P1295),"")</f>
        <v/>
      </c>
      <c r="S1295" t="str">
        <f t="shared" ref="S1295:S1358" si="63">IF(P1295="","",COUNTIF($Q$14:$Q$2587,"&lt;"&amp;Q1295)*100+COUNTIF($R$14:$R$2587,"&lt;"&amp;R1295)+(ROW()-13)*0.001)</f>
        <v/>
      </c>
      <c r="T1295" t="str">
        <f t="shared" ref="T1295:T1358" si="64">IFERROR(INDEX($P$14:$P$2587,MATCH(SMALL($S$14:$S$2587,ROW()-13),$S$14:$S$2587,0)),"")</f>
        <v/>
      </c>
    </row>
    <row r="1296" spans="1:20" ht="100" customHeight="1">
      <c r="A1296" s="26"/>
      <c r="B1296" s="39" t="str">
        <f t="shared" si="62"/>
        <v/>
      </c>
      <c r="C1296" s="43"/>
      <c r="D1296" s="51" t="str" cm="1">
        <f t="array" ref="D1296">IFERROR(INDEX(DB!G$2:G$2576,T1296),"")</f>
        <v/>
      </c>
      <c r="E1296" s="43"/>
      <c r="F1296" s="52" t="str" cm="1">
        <f t="array" ref="F1296">IFERROR(INDEX(DB!O$2:O$2576,T1296),"")</f>
        <v/>
      </c>
      <c r="G1296" s="43"/>
      <c r="H1296" s="40" t="str" cm="1">
        <f t="array" ref="H1296">IFERROR(INDEX(DB!P$2:P$2576,T1296),"")</f>
        <v/>
      </c>
      <c r="I1296" s="43"/>
      <c r="J1296" s="53" t="str" cm="1">
        <f t="array" ref="J1296">IFERROR(INDEX(DB!Q$2:Q$2576,T1296),"")</f>
        <v/>
      </c>
      <c r="K1296" s="43"/>
      <c r="L1296" s="41" t="str" cm="1">
        <f t="array" ref="L1296">IFERROR(INDEX(DB!R$2:R$2576,T1296),"")</f>
        <v/>
      </c>
      <c r="M1296" s="43"/>
      <c r="P1296" t="str" cm="1">
        <f t="array" ref="P1296">IFERROR(_xlfn.AGGREGATE(15,6,ROW(DB!A$2:A$2576)/((($D$3&lt;&gt;"YES")+($D$3="YES")*(DB!E$2:E$2576="YES"))*(($D$4="")+($D$4&lt;&gt;"")*( DB!B$2:B$2576=$D$4))*(($D$5="")+($D$5&lt;&gt;"")*( DB!C$2:C$2576=$D$5))*(($D$6="")+($D$6&lt;&gt;"")*( DB!D$2:D$2576=$D$6))*(($D$7="")+($D$7&lt;&gt;"")*(ISNUMBER(SEARCH($D$7,DB!G$2:G$2576))))*(($F$7="전체")+($F$7&lt;&gt;"전체")*(DB!H$2:H$2576=$F$7))),ROW()-13)-1,"")</f>
        <v/>
      </c>
      <c r="Q1296" t="str" cm="1">
        <f t="array" ref="Q1296">IFERROR(INDEX(DB!G$2:G$2576,P1296),"")</f>
        <v/>
      </c>
      <c r="R1296" t="str" cm="1">
        <f t="array" ref="R1296">IFERROR(INDEX(DB!O$2:O$2576,P1296),"")</f>
        <v/>
      </c>
      <c r="S1296" t="str">
        <f t="shared" si="63"/>
        <v/>
      </c>
      <c r="T1296" t="str">
        <f t="shared" si="64"/>
        <v/>
      </c>
    </row>
    <row r="1297" spans="1:20" ht="100" customHeight="1">
      <c r="A1297" s="26"/>
      <c r="B1297" s="42" t="str">
        <f t="shared" si="62"/>
        <v/>
      </c>
      <c r="C1297" s="43"/>
      <c r="D1297" s="51" t="str" cm="1">
        <f t="array" ref="D1297">IFERROR(INDEX(DB!G$2:G$2576,T1297),"")</f>
        <v/>
      </c>
      <c r="E1297" s="43"/>
      <c r="F1297" s="52" t="str" cm="1">
        <f t="array" ref="F1297">IFERROR(INDEX(DB!O$2:O$2576,T1297),"")</f>
        <v/>
      </c>
      <c r="G1297" s="43"/>
      <c r="H1297" s="40" t="str" cm="1">
        <f t="array" ref="H1297">IFERROR(INDEX(DB!P$2:P$2576,T1297),"")</f>
        <v/>
      </c>
      <c r="I1297" s="43"/>
      <c r="J1297" s="53" t="str" cm="1">
        <f t="array" ref="J1297">IFERROR(INDEX(DB!Q$2:Q$2576,T1297),"")</f>
        <v/>
      </c>
      <c r="K1297" s="43"/>
      <c r="L1297" s="41" t="str" cm="1">
        <f t="array" ref="L1297">IFERROR(INDEX(DB!R$2:R$2576,T1297),"")</f>
        <v/>
      </c>
      <c r="M1297" s="43"/>
      <c r="P1297" t="str" cm="1">
        <f t="array" ref="P1297">IFERROR(_xlfn.AGGREGATE(15,6,ROW(DB!A$2:A$2576)/((($D$3&lt;&gt;"YES")+($D$3="YES")*(DB!E$2:E$2576="YES"))*(($D$4="")+($D$4&lt;&gt;"")*( DB!B$2:B$2576=$D$4))*(($D$5="")+($D$5&lt;&gt;"")*( DB!C$2:C$2576=$D$5))*(($D$6="")+($D$6&lt;&gt;"")*( DB!D$2:D$2576=$D$6))*(($D$7="")+($D$7&lt;&gt;"")*(ISNUMBER(SEARCH($D$7,DB!G$2:G$2576))))*(($F$7="전체")+($F$7&lt;&gt;"전체")*(DB!H$2:H$2576=$F$7))),ROW()-13)-1,"")</f>
        <v/>
      </c>
      <c r="Q1297" t="str" cm="1">
        <f t="array" ref="Q1297">IFERROR(INDEX(DB!G$2:G$2576,P1297),"")</f>
        <v/>
      </c>
      <c r="R1297" t="str" cm="1">
        <f t="array" ref="R1297">IFERROR(INDEX(DB!O$2:O$2576,P1297),"")</f>
        <v/>
      </c>
      <c r="S1297" t="str">
        <f t="shared" si="63"/>
        <v/>
      </c>
      <c r="T1297" t="str">
        <f t="shared" si="64"/>
        <v/>
      </c>
    </row>
    <row r="1298" spans="1:20" ht="100" customHeight="1">
      <c r="A1298" s="26"/>
      <c r="B1298" s="39" t="str">
        <f t="shared" si="62"/>
        <v/>
      </c>
      <c r="C1298" s="43"/>
      <c r="D1298" s="51" t="str" cm="1">
        <f t="array" ref="D1298">IFERROR(INDEX(DB!G$2:G$2576,T1298),"")</f>
        <v/>
      </c>
      <c r="E1298" s="43"/>
      <c r="F1298" s="52" t="str" cm="1">
        <f t="array" ref="F1298">IFERROR(INDEX(DB!O$2:O$2576,T1298),"")</f>
        <v/>
      </c>
      <c r="G1298" s="43"/>
      <c r="H1298" s="40" t="str" cm="1">
        <f t="array" ref="H1298">IFERROR(INDEX(DB!P$2:P$2576,T1298),"")</f>
        <v/>
      </c>
      <c r="I1298" s="43"/>
      <c r="J1298" s="53" t="str" cm="1">
        <f t="array" ref="J1298">IFERROR(INDEX(DB!Q$2:Q$2576,T1298),"")</f>
        <v/>
      </c>
      <c r="K1298" s="43"/>
      <c r="L1298" s="41" t="str" cm="1">
        <f t="array" ref="L1298">IFERROR(INDEX(DB!R$2:R$2576,T1298),"")</f>
        <v/>
      </c>
      <c r="M1298" s="43"/>
      <c r="P1298" t="str" cm="1">
        <f t="array" ref="P1298">IFERROR(_xlfn.AGGREGATE(15,6,ROW(DB!A$2:A$2576)/((($D$3&lt;&gt;"YES")+($D$3="YES")*(DB!E$2:E$2576="YES"))*(($D$4="")+($D$4&lt;&gt;"")*( DB!B$2:B$2576=$D$4))*(($D$5="")+($D$5&lt;&gt;"")*( DB!C$2:C$2576=$D$5))*(($D$6="")+($D$6&lt;&gt;"")*( DB!D$2:D$2576=$D$6))*(($D$7="")+($D$7&lt;&gt;"")*(ISNUMBER(SEARCH($D$7,DB!G$2:G$2576))))*(($F$7="전체")+($F$7&lt;&gt;"전체")*(DB!H$2:H$2576=$F$7))),ROW()-13)-1,"")</f>
        <v/>
      </c>
      <c r="Q1298" t="str" cm="1">
        <f t="array" ref="Q1298">IFERROR(INDEX(DB!G$2:G$2576,P1298),"")</f>
        <v/>
      </c>
      <c r="R1298" t="str" cm="1">
        <f t="array" ref="R1298">IFERROR(INDEX(DB!O$2:O$2576,P1298),"")</f>
        <v/>
      </c>
      <c r="S1298" t="str">
        <f t="shared" si="63"/>
        <v/>
      </c>
      <c r="T1298" t="str">
        <f t="shared" si="64"/>
        <v/>
      </c>
    </row>
    <row r="1299" spans="1:20" ht="100" customHeight="1">
      <c r="A1299" s="26"/>
      <c r="B1299" s="42" t="str">
        <f t="shared" si="62"/>
        <v/>
      </c>
      <c r="C1299" s="43"/>
      <c r="D1299" s="51" t="str" cm="1">
        <f t="array" ref="D1299">IFERROR(INDEX(DB!G$2:G$2576,T1299),"")</f>
        <v/>
      </c>
      <c r="E1299" s="43"/>
      <c r="F1299" s="52" t="str" cm="1">
        <f t="array" ref="F1299">IFERROR(INDEX(DB!O$2:O$2576,T1299),"")</f>
        <v/>
      </c>
      <c r="G1299" s="43"/>
      <c r="H1299" s="40" t="str" cm="1">
        <f t="array" ref="H1299">IFERROR(INDEX(DB!P$2:P$2576,T1299),"")</f>
        <v/>
      </c>
      <c r="I1299" s="43"/>
      <c r="J1299" s="53" t="str" cm="1">
        <f t="array" ref="J1299">IFERROR(INDEX(DB!Q$2:Q$2576,T1299),"")</f>
        <v/>
      </c>
      <c r="K1299" s="43"/>
      <c r="L1299" s="41" t="str" cm="1">
        <f t="array" ref="L1299">IFERROR(INDEX(DB!R$2:R$2576,T1299),"")</f>
        <v/>
      </c>
      <c r="M1299" s="43"/>
      <c r="P1299" t="str" cm="1">
        <f t="array" ref="P1299">IFERROR(_xlfn.AGGREGATE(15,6,ROW(DB!A$2:A$2576)/((($D$3&lt;&gt;"YES")+($D$3="YES")*(DB!E$2:E$2576="YES"))*(($D$4="")+($D$4&lt;&gt;"")*( DB!B$2:B$2576=$D$4))*(($D$5="")+($D$5&lt;&gt;"")*( DB!C$2:C$2576=$D$5))*(($D$6="")+($D$6&lt;&gt;"")*( DB!D$2:D$2576=$D$6))*(($D$7="")+($D$7&lt;&gt;"")*(ISNUMBER(SEARCH($D$7,DB!G$2:G$2576))))*(($F$7="전체")+($F$7&lt;&gt;"전체")*(DB!H$2:H$2576=$F$7))),ROW()-13)-1,"")</f>
        <v/>
      </c>
      <c r="Q1299" t="str" cm="1">
        <f t="array" ref="Q1299">IFERROR(INDEX(DB!G$2:G$2576,P1299),"")</f>
        <v/>
      </c>
      <c r="R1299" t="str" cm="1">
        <f t="array" ref="R1299">IFERROR(INDEX(DB!O$2:O$2576,P1299),"")</f>
        <v/>
      </c>
      <c r="S1299" t="str">
        <f t="shared" si="63"/>
        <v/>
      </c>
      <c r="T1299" t="str">
        <f t="shared" si="64"/>
        <v/>
      </c>
    </row>
    <row r="1300" spans="1:20" ht="100" customHeight="1">
      <c r="A1300" s="26"/>
      <c r="B1300" s="39" t="str">
        <f t="shared" si="62"/>
        <v/>
      </c>
      <c r="C1300" s="43"/>
      <c r="D1300" s="51" t="str" cm="1">
        <f t="array" ref="D1300">IFERROR(INDEX(DB!G$2:G$2576,T1300),"")</f>
        <v/>
      </c>
      <c r="E1300" s="43"/>
      <c r="F1300" s="52" t="str" cm="1">
        <f t="array" ref="F1300">IFERROR(INDEX(DB!O$2:O$2576,T1300),"")</f>
        <v/>
      </c>
      <c r="G1300" s="43"/>
      <c r="H1300" s="40" t="str" cm="1">
        <f t="array" ref="H1300">IFERROR(INDEX(DB!P$2:P$2576,T1300),"")</f>
        <v/>
      </c>
      <c r="I1300" s="43"/>
      <c r="J1300" s="53" t="str" cm="1">
        <f t="array" ref="J1300">IFERROR(INDEX(DB!Q$2:Q$2576,T1300),"")</f>
        <v/>
      </c>
      <c r="K1300" s="43"/>
      <c r="L1300" s="41" t="str" cm="1">
        <f t="array" ref="L1300">IFERROR(INDEX(DB!R$2:R$2576,T1300),"")</f>
        <v/>
      </c>
      <c r="M1300" s="43"/>
      <c r="P1300" t="str" cm="1">
        <f t="array" ref="P1300">IFERROR(_xlfn.AGGREGATE(15,6,ROW(DB!A$2:A$2576)/((($D$3&lt;&gt;"YES")+($D$3="YES")*(DB!E$2:E$2576="YES"))*(($D$4="")+($D$4&lt;&gt;"")*( DB!B$2:B$2576=$D$4))*(($D$5="")+($D$5&lt;&gt;"")*( DB!C$2:C$2576=$D$5))*(($D$6="")+($D$6&lt;&gt;"")*( DB!D$2:D$2576=$D$6))*(($D$7="")+($D$7&lt;&gt;"")*(ISNUMBER(SEARCH($D$7,DB!G$2:G$2576))))*(($F$7="전체")+($F$7&lt;&gt;"전체")*(DB!H$2:H$2576=$F$7))),ROW()-13)-1,"")</f>
        <v/>
      </c>
      <c r="Q1300" t="str" cm="1">
        <f t="array" ref="Q1300">IFERROR(INDEX(DB!G$2:G$2576,P1300),"")</f>
        <v/>
      </c>
      <c r="R1300" t="str" cm="1">
        <f t="array" ref="R1300">IFERROR(INDEX(DB!O$2:O$2576,P1300),"")</f>
        <v/>
      </c>
      <c r="S1300" t="str">
        <f t="shared" si="63"/>
        <v/>
      </c>
      <c r="T1300" t="str">
        <f t="shared" si="64"/>
        <v/>
      </c>
    </row>
    <row r="1301" spans="1:20" ht="100" customHeight="1">
      <c r="A1301" s="26"/>
      <c r="B1301" s="42" t="str">
        <f t="shared" si="62"/>
        <v/>
      </c>
      <c r="C1301" s="43"/>
      <c r="D1301" s="51" t="str" cm="1">
        <f t="array" ref="D1301">IFERROR(INDEX(DB!G$2:G$2576,T1301),"")</f>
        <v/>
      </c>
      <c r="E1301" s="43"/>
      <c r="F1301" s="52" t="str" cm="1">
        <f t="array" ref="F1301">IFERROR(INDEX(DB!O$2:O$2576,T1301),"")</f>
        <v/>
      </c>
      <c r="G1301" s="43"/>
      <c r="H1301" s="40" t="str" cm="1">
        <f t="array" ref="H1301">IFERROR(INDEX(DB!P$2:P$2576,T1301),"")</f>
        <v/>
      </c>
      <c r="I1301" s="43"/>
      <c r="J1301" s="53" t="str" cm="1">
        <f t="array" ref="J1301">IFERROR(INDEX(DB!Q$2:Q$2576,T1301),"")</f>
        <v/>
      </c>
      <c r="K1301" s="43"/>
      <c r="L1301" s="41" t="str" cm="1">
        <f t="array" ref="L1301">IFERROR(INDEX(DB!R$2:R$2576,T1301),"")</f>
        <v/>
      </c>
      <c r="M1301" s="43"/>
      <c r="P1301" t="str" cm="1">
        <f t="array" ref="P1301">IFERROR(_xlfn.AGGREGATE(15,6,ROW(DB!A$2:A$2576)/((($D$3&lt;&gt;"YES")+($D$3="YES")*(DB!E$2:E$2576="YES"))*(($D$4="")+($D$4&lt;&gt;"")*( DB!B$2:B$2576=$D$4))*(($D$5="")+($D$5&lt;&gt;"")*( DB!C$2:C$2576=$D$5))*(($D$6="")+($D$6&lt;&gt;"")*( DB!D$2:D$2576=$D$6))*(($D$7="")+($D$7&lt;&gt;"")*(ISNUMBER(SEARCH($D$7,DB!G$2:G$2576))))*(($F$7="전체")+($F$7&lt;&gt;"전체")*(DB!H$2:H$2576=$F$7))),ROW()-13)-1,"")</f>
        <v/>
      </c>
      <c r="Q1301" t="str" cm="1">
        <f t="array" ref="Q1301">IFERROR(INDEX(DB!G$2:G$2576,P1301),"")</f>
        <v/>
      </c>
      <c r="R1301" t="str" cm="1">
        <f t="array" ref="R1301">IFERROR(INDEX(DB!O$2:O$2576,P1301),"")</f>
        <v/>
      </c>
      <c r="S1301" t="str">
        <f t="shared" si="63"/>
        <v/>
      </c>
      <c r="T1301" t="str">
        <f t="shared" si="64"/>
        <v/>
      </c>
    </row>
    <row r="1302" spans="1:20" ht="100" customHeight="1">
      <c r="A1302" s="26"/>
      <c r="B1302" s="39" t="str">
        <f t="shared" si="62"/>
        <v/>
      </c>
      <c r="C1302" s="43"/>
      <c r="D1302" s="51" t="str" cm="1">
        <f t="array" ref="D1302">IFERROR(INDEX(DB!G$2:G$2576,T1302),"")</f>
        <v/>
      </c>
      <c r="E1302" s="43"/>
      <c r="F1302" s="52" t="str" cm="1">
        <f t="array" ref="F1302">IFERROR(INDEX(DB!O$2:O$2576,T1302),"")</f>
        <v/>
      </c>
      <c r="G1302" s="43"/>
      <c r="H1302" s="40" t="str" cm="1">
        <f t="array" ref="H1302">IFERROR(INDEX(DB!P$2:P$2576,T1302),"")</f>
        <v/>
      </c>
      <c r="I1302" s="43"/>
      <c r="J1302" s="53" t="str" cm="1">
        <f t="array" ref="J1302">IFERROR(INDEX(DB!Q$2:Q$2576,T1302),"")</f>
        <v/>
      </c>
      <c r="K1302" s="43"/>
      <c r="L1302" s="41" t="str" cm="1">
        <f t="array" ref="L1302">IFERROR(INDEX(DB!R$2:R$2576,T1302),"")</f>
        <v/>
      </c>
      <c r="M1302" s="43"/>
      <c r="P1302" t="str" cm="1">
        <f t="array" ref="P1302">IFERROR(_xlfn.AGGREGATE(15,6,ROW(DB!A$2:A$2576)/((($D$3&lt;&gt;"YES")+($D$3="YES")*(DB!E$2:E$2576="YES"))*(($D$4="")+($D$4&lt;&gt;"")*( DB!B$2:B$2576=$D$4))*(($D$5="")+($D$5&lt;&gt;"")*( DB!C$2:C$2576=$D$5))*(($D$6="")+($D$6&lt;&gt;"")*( DB!D$2:D$2576=$D$6))*(($D$7="")+($D$7&lt;&gt;"")*(ISNUMBER(SEARCH($D$7,DB!G$2:G$2576))))*(($F$7="전체")+($F$7&lt;&gt;"전체")*(DB!H$2:H$2576=$F$7))),ROW()-13)-1,"")</f>
        <v/>
      </c>
      <c r="Q1302" t="str" cm="1">
        <f t="array" ref="Q1302">IFERROR(INDEX(DB!G$2:G$2576,P1302),"")</f>
        <v/>
      </c>
      <c r="R1302" t="str" cm="1">
        <f t="array" ref="R1302">IFERROR(INDEX(DB!O$2:O$2576,P1302),"")</f>
        <v/>
      </c>
      <c r="S1302" t="str">
        <f t="shared" si="63"/>
        <v/>
      </c>
      <c r="T1302" t="str">
        <f t="shared" si="64"/>
        <v/>
      </c>
    </row>
    <row r="1303" spans="1:20" ht="100" customHeight="1">
      <c r="A1303" s="26"/>
      <c r="B1303" s="42" t="str">
        <f t="shared" si="62"/>
        <v/>
      </c>
      <c r="C1303" s="43"/>
      <c r="D1303" s="51" t="str" cm="1">
        <f t="array" ref="D1303">IFERROR(INDEX(DB!G$2:G$2576,T1303),"")</f>
        <v/>
      </c>
      <c r="E1303" s="43"/>
      <c r="F1303" s="52" t="str" cm="1">
        <f t="array" ref="F1303">IFERROR(INDEX(DB!O$2:O$2576,T1303),"")</f>
        <v/>
      </c>
      <c r="G1303" s="43"/>
      <c r="H1303" s="40" t="str" cm="1">
        <f t="array" ref="H1303">IFERROR(INDEX(DB!P$2:P$2576,T1303),"")</f>
        <v/>
      </c>
      <c r="I1303" s="43"/>
      <c r="J1303" s="53" t="str" cm="1">
        <f t="array" ref="J1303">IFERROR(INDEX(DB!Q$2:Q$2576,T1303),"")</f>
        <v/>
      </c>
      <c r="K1303" s="43"/>
      <c r="L1303" s="41" t="str" cm="1">
        <f t="array" ref="L1303">IFERROR(INDEX(DB!R$2:R$2576,T1303),"")</f>
        <v/>
      </c>
      <c r="M1303" s="43"/>
      <c r="P1303" t="str" cm="1">
        <f t="array" ref="P1303">IFERROR(_xlfn.AGGREGATE(15,6,ROW(DB!A$2:A$2576)/((($D$3&lt;&gt;"YES")+($D$3="YES")*(DB!E$2:E$2576="YES"))*(($D$4="")+($D$4&lt;&gt;"")*( DB!B$2:B$2576=$D$4))*(($D$5="")+($D$5&lt;&gt;"")*( DB!C$2:C$2576=$D$5))*(($D$6="")+($D$6&lt;&gt;"")*( DB!D$2:D$2576=$D$6))*(($D$7="")+($D$7&lt;&gt;"")*(ISNUMBER(SEARCH($D$7,DB!G$2:G$2576))))*(($F$7="전체")+($F$7&lt;&gt;"전체")*(DB!H$2:H$2576=$F$7))),ROW()-13)-1,"")</f>
        <v/>
      </c>
      <c r="Q1303" t="str" cm="1">
        <f t="array" ref="Q1303">IFERROR(INDEX(DB!G$2:G$2576,P1303),"")</f>
        <v/>
      </c>
      <c r="R1303" t="str" cm="1">
        <f t="array" ref="R1303">IFERROR(INDEX(DB!O$2:O$2576,P1303),"")</f>
        <v/>
      </c>
      <c r="S1303" t="str">
        <f t="shared" si="63"/>
        <v/>
      </c>
      <c r="T1303" t="str">
        <f t="shared" si="64"/>
        <v/>
      </c>
    </row>
    <row r="1304" spans="1:20" ht="100" customHeight="1">
      <c r="A1304" s="26"/>
      <c r="B1304" s="39" t="str">
        <f t="shared" si="62"/>
        <v/>
      </c>
      <c r="C1304" s="43"/>
      <c r="D1304" s="51" t="str" cm="1">
        <f t="array" ref="D1304">IFERROR(INDEX(DB!G$2:G$2576,T1304),"")</f>
        <v/>
      </c>
      <c r="E1304" s="43"/>
      <c r="F1304" s="52" t="str" cm="1">
        <f t="array" ref="F1304">IFERROR(INDEX(DB!O$2:O$2576,T1304),"")</f>
        <v/>
      </c>
      <c r="G1304" s="43"/>
      <c r="H1304" s="40" t="str" cm="1">
        <f t="array" ref="H1304">IFERROR(INDEX(DB!P$2:P$2576,T1304),"")</f>
        <v/>
      </c>
      <c r="I1304" s="43"/>
      <c r="J1304" s="53" t="str" cm="1">
        <f t="array" ref="J1304">IFERROR(INDEX(DB!Q$2:Q$2576,T1304),"")</f>
        <v/>
      </c>
      <c r="K1304" s="43"/>
      <c r="L1304" s="41" t="str" cm="1">
        <f t="array" ref="L1304">IFERROR(INDEX(DB!R$2:R$2576,T1304),"")</f>
        <v/>
      </c>
      <c r="M1304" s="43"/>
      <c r="P1304" t="str" cm="1">
        <f t="array" ref="P1304">IFERROR(_xlfn.AGGREGATE(15,6,ROW(DB!A$2:A$2576)/((($D$3&lt;&gt;"YES")+($D$3="YES")*(DB!E$2:E$2576="YES"))*(($D$4="")+($D$4&lt;&gt;"")*( DB!B$2:B$2576=$D$4))*(($D$5="")+($D$5&lt;&gt;"")*( DB!C$2:C$2576=$D$5))*(($D$6="")+($D$6&lt;&gt;"")*( DB!D$2:D$2576=$D$6))*(($D$7="")+($D$7&lt;&gt;"")*(ISNUMBER(SEARCH($D$7,DB!G$2:G$2576))))*(($F$7="전체")+($F$7&lt;&gt;"전체")*(DB!H$2:H$2576=$F$7))),ROW()-13)-1,"")</f>
        <v/>
      </c>
      <c r="Q1304" t="str" cm="1">
        <f t="array" ref="Q1304">IFERROR(INDEX(DB!G$2:G$2576,P1304),"")</f>
        <v/>
      </c>
      <c r="R1304" t="str" cm="1">
        <f t="array" ref="R1304">IFERROR(INDEX(DB!O$2:O$2576,P1304),"")</f>
        <v/>
      </c>
      <c r="S1304" t="str">
        <f t="shared" si="63"/>
        <v/>
      </c>
      <c r="T1304" t="str">
        <f t="shared" si="64"/>
        <v/>
      </c>
    </row>
    <row r="1305" spans="1:20" ht="100" customHeight="1">
      <c r="A1305" s="26"/>
      <c r="B1305" s="42" t="str">
        <f t="shared" si="62"/>
        <v/>
      </c>
      <c r="C1305" s="43"/>
      <c r="D1305" s="51" t="str" cm="1">
        <f t="array" ref="D1305">IFERROR(INDEX(DB!G$2:G$2576,T1305),"")</f>
        <v/>
      </c>
      <c r="E1305" s="43"/>
      <c r="F1305" s="52" t="str" cm="1">
        <f t="array" ref="F1305">IFERROR(INDEX(DB!O$2:O$2576,T1305),"")</f>
        <v/>
      </c>
      <c r="G1305" s="43"/>
      <c r="H1305" s="40" t="str" cm="1">
        <f t="array" ref="H1305">IFERROR(INDEX(DB!P$2:P$2576,T1305),"")</f>
        <v/>
      </c>
      <c r="I1305" s="43"/>
      <c r="J1305" s="53" t="str" cm="1">
        <f t="array" ref="J1305">IFERROR(INDEX(DB!Q$2:Q$2576,T1305),"")</f>
        <v/>
      </c>
      <c r="K1305" s="43"/>
      <c r="L1305" s="41" t="str" cm="1">
        <f t="array" ref="L1305">IFERROR(INDEX(DB!R$2:R$2576,T1305),"")</f>
        <v/>
      </c>
      <c r="M1305" s="43"/>
      <c r="P1305" t="str" cm="1">
        <f t="array" ref="P1305">IFERROR(_xlfn.AGGREGATE(15,6,ROW(DB!A$2:A$2576)/((($D$3&lt;&gt;"YES")+($D$3="YES")*(DB!E$2:E$2576="YES"))*(($D$4="")+($D$4&lt;&gt;"")*( DB!B$2:B$2576=$D$4))*(($D$5="")+($D$5&lt;&gt;"")*( DB!C$2:C$2576=$D$5))*(($D$6="")+($D$6&lt;&gt;"")*( DB!D$2:D$2576=$D$6))*(($D$7="")+($D$7&lt;&gt;"")*(ISNUMBER(SEARCH($D$7,DB!G$2:G$2576))))*(($F$7="전체")+($F$7&lt;&gt;"전체")*(DB!H$2:H$2576=$F$7))),ROW()-13)-1,"")</f>
        <v/>
      </c>
      <c r="Q1305" t="str" cm="1">
        <f t="array" ref="Q1305">IFERROR(INDEX(DB!G$2:G$2576,P1305),"")</f>
        <v/>
      </c>
      <c r="R1305" t="str" cm="1">
        <f t="array" ref="R1305">IFERROR(INDEX(DB!O$2:O$2576,P1305),"")</f>
        <v/>
      </c>
      <c r="S1305" t="str">
        <f t="shared" si="63"/>
        <v/>
      </c>
      <c r="T1305" t="str">
        <f t="shared" si="64"/>
        <v/>
      </c>
    </row>
    <row r="1306" spans="1:20" ht="100" customHeight="1">
      <c r="A1306" s="26"/>
      <c r="B1306" s="39" t="str">
        <f t="shared" si="62"/>
        <v/>
      </c>
      <c r="C1306" s="43"/>
      <c r="D1306" s="51" t="str" cm="1">
        <f t="array" ref="D1306">IFERROR(INDEX(DB!G$2:G$2576,T1306),"")</f>
        <v/>
      </c>
      <c r="E1306" s="43"/>
      <c r="F1306" s="52" t="str" cm="1">
        <f t="array" ref="F1306">IFERROR(INDEX(DB!O$2:O$2576,T1306),"")</f>
        <v/>
      </c>
      <c r="G1306" s="43"/>
      <c r="H1306" s="40" t="str" cm="1">
        <f t="array" ref="H1306">IFERROR(INDEX(DB!P$2:P$2576,T1306),"")</f>
        <v/>
      </c>
      <c r="I1306" s="43"/>
      <c r="J1306" s="53" t="str" cm="1">
        <f t="array" ref="J1306">IFERROR(INDEX(DB!Q$2:Q$2576,T1306),"")</f>
        <v/>
      </c>
      <c r="K1306" s="43"/>
      <c r="L1306" s="41" t="str" cm="1">
        <f t="array" ref="L1306">IFERROR(INDEX(DB!R$2:R$2576,T1306),"")</f>
        <v/>
      </c>
      <c r="M1306" s="43"/>
      <c r="P1306" t="str" cm="1">
        <f t="array" ref="P1306">IFERROR(_xlfn.AGGREGATE(15,6,ROW(DB!A$2:A$2576)/((($D$3&lt;&gt;"YES")+($D$3="YES")*(DB!E$2:E$2576="YES"))*(($D$4="")+($D$4&lt;&gt;"")*( DB!B$2:B$2576=$D$4))*(($D$5="")+($D$5&lt;&gt;"")*( DB!C$2:C$2576=$D$5))*(($D$6="")+($D$6&lt;&gt;"")*( DB!D$2:D$2576=$D$6))*(($D$7="")+($D$7&lt;&gt;"")*(ISNUMBER(SEARCH($D$7,DB!G$2:G$2576))))*(($F$7="전체")+($F$7&lt;&gt;"전체")*(DB!H$2:H$2576=$F$7))),ROW()-13)-1,"")</f>
        <v/>
      </c>
      <c r="Q1306" t="str" cm="1">
        <f t="array" ref="Q1306">IFERROR(INDEX(DB!G$2:G$2576,P1306),"")</f>
        <v/>
      </c>
      <c r="R1306" t="str" cm="1">
        <f t="array" ref="R1306">IFERROR(INDEX(DB!O$2:O$2576,P1306),"")</f>
        <v/>
      </c>
      <c r="S1306" t="str">
        <f t="shared" si="63"/>
        <v/>
      </c>
      <c r="T1306" t="str">
        <f t="shared" si="64"/>
        <v/>
      </c>
    </row>
    <row r="1307" spans="1:20" ht="100" customHeight="1">
      <c r="A1307" s="26"/>
      <c r="B1307" s="42" t="str">
        <f t="shared" si="62"/>
        <v/>
      </c>
      <c r="C1307" s="43"/>
      <c r="D1307" s="51" t="str" cm="1">
        <f t="array" ref="D1307">IFERROR(INDEX(DB!G$2:G$2576,T1307),"")</f>
        <v/>
      </c>
      <c r="E1307" s="43"/>
      <c r="F1307" s="52" t="str" cm="1">
        <f t="array" ref="F1307">IFERROR(INDEX(DB!O$2:O$2576,T1307),"")</f>
        <v/>
      </c>
      <c r="G1307" s="43"/>
      <c r="H1307" s="40" t="str" cm="1">
        <f t="array" ref="H1307">IFERROR(INDEX(DB!P$2:P$2576,T1307),"")</f>
        <v/>
      </c>
      <c r="I1307" s="43"/>
      <c r="J1307" s="53" t="str" cm="1">
        <f t="array" ref="J1307">IFERROR(INDEX(DB!Q$2:Q$2576,T1307),"")</f>
        <v/>
      </c>
      <c r="K1307" s="43"/>
      <c r="L1307" s="41" t="str" cm="1">
        <f t="array" ref="L1307">IFERROR(INDEX(DB!R$2:R$2576,T1307),"")</f>
        <v/>
      </c>
      <c r="M1307" s="43"/>
      <c r="P1307" t="str" cm="1">
        <f t="array" ref="P1307">IFERROR(_xlfn.AGGREGATE(15,6,ROW(DB!A$2:A$2576)/((($D$3&lt;&gt;"YES")+($D$3="YES")*(DB!E$2:E$2576="YES"))*(($D$4="")+($D$4&lt;&gt;"")*( DB!B$2:B$2576=$D$4))*(($D$5="")+($D$5&lt;&gt;"")*( DB!C$2:C$2576=$D$5))*(($D$6="")+($D$6&lt;&gt;"")*( DB!D$2:D$2576=$D$6))*(($D$7="")+($D$7&lt;&gt;"")*(ISNUMBER(SEARCH($D$7,DB!G$2:G$2576))))*(($F$7="전체")+($F$7&lt;&gt;"전체")*(DB!H$2:H$2576=$F$7))),ROW()-13)-1,"")</f>
        <v/>
      </c>
      <c r="Q1307" t="str" cm="1">
        <f t="array" ref="Q1307">IFERROR(INDEX(DB!G$2:G$2576,P1307),"")</f>
        <v/>
      </c>
      <c r="R1307" t="str" cm="1">
        <f t="array" ref="R1307">IFERROR(INDEX(DB!O$2:O$2576,P1307),"")</f>
        <v/>
      </c>
      <c r="S1307" t="str">
        <f t="shared" si="63"/>
        <v/>
      </c>
      <c r="T1307" t="str">
        <f t="shared" si="64"/>
        <v/>
      </c>
    </row>
    <row r="1308" spans="1:20" ht="100" customHeight="1">
      <c r="A1308" s="26"/>
      <c r="B1308" s="39" t="str">
        <f t="shared" si="62"/>
        <v/>
      </c>
      <c r="C1308" s="43"/>
      <c r="D1308" s="51" t="str" cm="1">
        <f t="array" ref="D1308">IFERROR(INDEX(DB!G$2:G$2576,T1308),"")</f>
        <v/>
      </c>
      <c r="E1308" s="43"/>
      <c r="F1308" s="52" t="str" cm="1">
        <f t="array" ref="F1308">IFERROR(INDEX(DB!O$2:O$2576,T1308),"")</f>
        <v/>
      </c>
      <c r="G1308" s="43"/>
      <c r="H1308" s="40" t="str" cm="1">
        <f t="array" ref="H1308">IFERROR(INDEX(DB!P$2:P$2576,T1308),"")</f>
        <v/>
      </c>
      <c r="I1308" s="43"/>
      <c r="J1308" s="53" t="str" cm="1">
        <f t="array" ref="J1308">IFERROR(INDEX(DB!Q$2:Q$2576,T1308),"")</f>
        <v/>
      </c>
      <c r="K1308" s="43"/>
      <c r="L1308" s="41" t="str" cm="1">
        <f t="array" ref="L1308">IFERROR(INDEX(DB!R$2:R$2576,T1308),"")</f>
        <v/>
      </c>
      <c r="M1308" s="43"/>
      <c r="P1308" t="str" cm="1">
        <f t="array" ref="P1308">IFERROR(_xlfn.AGGREGATE(15,6,ROW(DB!A$2:A$2576)/((($D$3&lt;&gt;"YES")+($D$3="YES")*(DB!E$2:E$2576="YES"))*(($D$4="")+($D$4&lt;&gt;"")*( DB!B$2:B$2576=$D$4))*(($D$5="")+($D$5&lt;&gt;"")*( DB!C$2:C$2576=$D$5))*(($D$6="")+($D$6&lt;&gt;"")*( DB!D$2:D$2576=$D$6))*(($D$7="")+($D$7&lt;&gt;"")*(ISNUMBER(SEARCH($D$7,DB!G$2:G$2576))))*(($F$7="전체")+($F$7&lt;&gt;"전체")*(DB!H$2:H$2576=$F$7))),ROW()-13)-1,"")</f>
        <v/>
      </c>
      <c r="Q1308" t="str" cm="1">
        <f t="array" ref="Q1308">IFERROR(INDEX(DB!G$2:G$2576,P1308),"")</f>
        <v/>
      </c>
      <c r="R1308" t="str" cm="1">
        <f t="array" ref="R1308">IFERROR(INDEX(DB!O$2:O$2576,P1308),"")</f>
        <v/>
      </c>
      <c r="S1308" t="str">
        <f t="shared" si="63"/>
        <v/>
      </c>
      <c r="T1308" t="str">
        <f t="shared" si="64"/>
        <v/>
      </c>
    </row>
    <row r="1309" spans="1:20" ht="100" customHeight="1">
      <c r="A1309" s="26"/>
      <c r="B1309" s="42" t="str">
        <f t="shared" si="62"/>
        <v/>
      </c>
      <c r="C1309" s="43"/>
      <c r="D1309" s="51" t="str" cm="1">
        <f t="array" ref="D1309">IFERROR(INDEX(DB!G$2:G$2576,T1309),"")</f>
        <v/>
      </c>
      <c r="E1309" s="43"/>
      <c r="F1309" s="52" t="str" cm="1">
        <f t="array" ref="F1309">IFERROR(INDEX(DB!O$2:O$2576,T1309),"")</f>
        <v/>
      </c>
      <c r="G1309" s="43"/>
      <c r="H1309" s="40" t="str" cm="1">
        <f t="array" ref="H1309">IFERROR(INDEX(DB!P$2:P$2576,T1309),"")</f>
        <v/>
      </c>
      <c r="I1309" s="43"/>
      <c r="J1309" s="53" t="str" cm="1">
        <f t="array" ref="J1309">IFERROR(INDEX(DB!Q$2:Q$2576,T1309),"")</f>
        <v/>
      </c>
      <c r="K1309" s="43"/>
      <c r="L1309" s="41" t="str" cm="1">
        <f t="array" ref="L1309">IFERROR(INDEX(DB!R$2:R$2576,T1309),"")</f>
        <v/>
      </c>
      <c r="M1309" s="43"/>
      <c r="P1309" t="str" cm="1">
        <f t="array" ref="P1309">IFERROR(_xlfn.AGGREGATE(15,6,ROW(DB!A$2:A$2576)/((($D$3&lt;&gt;"YES")+($D$3="YES")*(DB!E$2:E$2576="YES"))*(($D$4="")+($D$4&lt;&gt;"")*( DB!B$2:B$2576=$D$4))*(($D$5="")+($D$5&lt;&gt;"")*( DB!C$2:C$2576=$D$5))*(($D$6="")+($D$6&lt;&gt;"")*( DB!D$2:D$2576=$D$6))*(($D$7="")+($D$7&lt;&gt;"")*(ISNUMBER(SEARCH($D$7,DB!G$2:G$2576))))*(($F$7="전체")+($F$7&lt;&gt;"전체")*(DB!H$2:H$2576=$F$7))),ROW()-13)-1,"")</f>
        <v/>
      </c>
      <c r="Q1309" t="str" cm="1">
        <f t="array" ref="Q1309">IFERROR(INDEX(DB!G$2:G$2576,P1309),"")</f>
        <v/>
      </c>
      <c r="R1309" t="str" cm="1">
        <f t="array" ref="R1309">IFERROR(INDEX(DB!O$2:O$2576,P1309),"")</f>
        <v/>
      </c>
      <c r="S1309" t="str">
        <f t="shared" si="63"/>
        <v/>
      </c>
      <c r="T1309" t="str">
        <f t="shared" si="64"/>
        <v/>
      </c>
    </row>
    <row r="1310" spans="1:20" ht="100" customHeight="1">
      <c r="A1310" s="26"/>
      <c r="B1310" s="39" t="str">
        <f t="shared" si="62"/>
        <v/>
      </c>
      <c r="C1310" s="43"/>
      <c r="D1310" s="51" t="str" cm="1">
        <f t="array" ref="D1310">IFERROR(INDEX(DB!G$2:G$2576,T1310),"")</f>
        <v/>
      </c>
      <c r="E1310" s="43"/>
      <c r="F1310" s="52" t="str" cm="1">
        <f t="array" ref="F1310">IFERROR(INDEX(DB!O$2:O$2576,T1310),"")</f>
        <v/>
      </c>
      <c r="G1310" s="43"/>
      <c r="H1310" s="40" t="str" cm="1">
        <f t="array" ref="H1310">IFERROR(INDEX(DB!P$2:P$2576,T1310),"")</f>
        <v/>
      </c>
      <c r="I1310" s="43"/>
      <c r="J1310" s="53" t="str" cm="1">
        <f t="array" ref="J1310">IFERROR(INDEX(DB!Q$2:Q$2576,T1310),"")</f>
        <v/>
      </c>
      <c r="K1310" s="43"/>
      <c r="L1310" s="41" t="str" cm="1">
        <f t="array" ref="L1310">IFERROR(INDEX(DB!R$2:R$2576,T1310),"")</f>
        <v/>
      </c>
      <c r="M1310" s="43"/>
      <c r="P1310" t="str" cm="1">
        <f t="array" ref="P1310">IFERROR(_xlfn.AGGREGATE(15,6,ROW(DB!A$2:A$2576)/((($D$3&lt;&gt;"YES")+($D$3="YES")*(DB!E$2:E$2576="YES"))*(($D$4="")+($D$4&lt;&gt;"")*( DB!B$2:B$2576=$D$4))*(($D$5="")+($D$5&lt;&gt;"")*( DB!C$2:C$2576=$D$5))*(($D$6="")+($D$6&lt;&gt;"")*( DB!D$2:D$2576=$D$6))*(($D$7="")+($D$7&lt;&gt;"")*(ISNUMBER(SEARCH($D$7,DB!G$2:G$2576))))*(($F$7="전체")+($F$7&lt;&gt;"전체")*(DB!H$2:H$2576=$F$7))),ROW()-13)-1,"")</f>
        <v/>
      </c>
      <c r="Q1310" t="str" cm="1">
        <f t="array" ref="Q1310">IFERROR(INDEX(DB!G$2:G$2576,P1310),"")</f>
        <v/>
      </c>
      <c r="R1310" t="str" cm="1">
        <f t="array" ref="R1310">IFERROR(INDEX(DB!O$2:O$2576,P1310),"")</f>
        <v/>
      </c>
      <c r="S1310" t="str">
        <f t="shared" si="63"/>
        <v/>
      </c>
      <c r="T1310" t="str">
        <f t="shared" si="64"/>
        <v/>
      </c>
    </row>
    <row r="1311" spans="1:20" ht="100" customHeight="1">
      <c r="A1311" s="26"/>
      <c r="B1311" s="42" t="str">
        <f t="shared" si="62"/>
        <v/>
      </c>
      <c r="C1311" s="43"/>
      <c r="D1311" s="51" t="str" cm="1">
        <f t="array" ref="D1311">IFERROR(INDEX(DB!G$2:G$2576,T1311),"")</f>
        <v/>
      </c>
      <c r="E1311" s="43"/>
      <c r="F1311" s="52" t="str" cm="1">
        <f t="array" ref="F1311">IFERROR(INDEX(DB!O$2:O$2576,T1311),"")</f>
        <v/>
      </c>
      <c r="G1311" s="43"/>
      <c r="H1311" s="40" t="str" cm="1">
        <f t="array" ref="H1311">IFERROR(INDEX(DB!P$2:P$2576,T1311),"")</f>
        <v/>
      </c>
      <c r="I1311" s="43"/>
      <c r="J1311" s="53" t="str" cm="1">
        <f t="array" ref="J1311">IFERROR(INDEX(DB!Q$2:Q$2576,T1311),"")</f>
        <v/>
      </c>
      <c r="K1311" s="43"/>
      <c r="L1311" s="41" t="str" cm="1">
        <f t="array" ref="L1311">IFERROR(INDEX(DB!R$2:R$2576,T1311),"")</f>
        <v/>
      </c>
      <c r="M1311" s="43"/>
      <c r="P1311" t="str" cm="1">
        <f t="array" ref="P1311">IFERROR(_xlfn.AGGREGATE(15,6,ROW(DB!A$2:A$2576)/((($D$3&lt;&gt;"YES")+($D$3="YES")*(DB!E$2:E$2576="YES"))*(($D$4="")+($D$4&lt;&gt;"")*( DB!B$2:B$2576=$D$4))*(($D$5="")+($D$5&lt;&gt;"")*( DB!C$2:C$2576=$D$5))*(($D$6="")+($D$6&lt;&gt;"")*( DB!D$2:D$2576=$D$6))*(($D$7="")+($D$7&lt;&gt;"")*(ISNUMBER(SEARCH($D$7,DB!G$2:G$2576))))*(($F$7="전체")+($F$7&lt;&gt;"전체")*(DB!H$2:H$2576=$F$7))),ROW()-13)-1,"")</f>
        <v/>
      </c>
      <c r="Q1311" t="str" cm="1">
        <f t="array" ref="Q1311">IFERROR(INDEX(DB!G$2:G$2576,P1311),"")</f>
        <v/>
      </c>
      <c r="R1311" t="str" cm="1">
        <f t="array" ref="R1311">IFERROR(INDEX(DB!O$2:O$2576,P1311),"")</f>
        <v/>
      </c>
      <c r="S1311" t="str">
        <f t="shared" si="63"/>
        <v/>
      </c>
      <c r="T1311" t="str">
        <f t="shared" si="64"/>
        <v/>
      </c>
    </row>
    <row r="1312" spans="1:20" ht="100" customHeight="1">
      <c r="A1312" s="26"/>
      <c r="B1312" s="39" t="str">
        <f t="shared" si="62"/>
        <v/>
      </c>
      <c r="C1312" s="43"/>
      <c r="D1312" s="51" t="str" cm="1">
        <f t="array" ref="D1312">IFERROR(INDEX(DB!G$2:G$2576,T1312),"")</f>
        <v/>
      </c>
      <c r="E1312" s="43"/>
      <c r="F1312" s="52" t="str" cm="1">
        <f t="array" ref="F1312">IFERROR(INDEX(DB!O$2:O$2576,T1312),"")</f>
        <v/>
      </c>
      <c r="G1312" s="43"/>
      <c r="H1312" s="40" t="str" cm="1">
        <f t="array" ref="H1312">IFERROR(INDEX(DB!P$2:P$2576,T1312),"")</f>
        <v/>
      </c>
      <c r="I1312" s="43"/>
      <c r="J1312" s="53" t="str" cm="1">
        <f t="array" ref="J1312">IFERROR(INDEX(DB!Q$2:Q$2576,T1312),"")</f>
        <v/>
      </c>
      <c r="K1312" s="43"/>
      <c r="L1312" s="41" t="str" cm="1">
        <f t="array" ref="L1312">IFERROR(INDEX(DB!R$2:R$2576,T1312),"")</f>
        <v/>
      </c>
      <c r="M1312" s="43"/>
      <c r="P1312" t="str" cm="1">
        <f t="array" ref="P1312">IFERROR(_xlfn.AGGREGATE(15,6,ROW(DB!A$2:A$2576)/((($D$3&lt;&gt;"YES")+($D$3="YES")*(DB!E$2:E$2576="YES"))*(($D$4="")+($D$4&lt;&gt;"")*( DB!B$2:B$2576=$D$4))*(($D$5="")+($D$5&lt;&gt;"")*( DB!C$2:C$2576=$D$5))*(($D$6="")+($D$6&lt;&gt;"")*( DB!D$2:D$2576=$D$6))*(($D$7="")+($D$7&lt;&gt;"")*(ISNUMBER(SEARCH($D$7,DB!G$2:G$2576))))*(($F$7="전체")+($F$7&lt;&gt;"전체")*(DB!H$2:H$2576=$F$7))),ROW()-13)-1,"")</f>
        <v/>
      </c>
      <c r="Q1312" t="str" cm="1">
        <f t="array" ref="Q1312">IFERROR(INDEX(DB!G$2:G$2576,P1312),"")</f>
        <v/>
      </c>
      <c r="R1312" t="str" cm="1">
        <f t="array" ref="R1312">IFERROR(INDEX(DB!O$2:O$2576,P1312),"")</f>
        <v/>
      </c>
      <c r="S1312" t="str">
        <f t="shared" si="63"/>
        <v/>
      </c>
      <c r="T1312" t="str">
        <f t="shared" si="64"/>
        <v/>
      </c>
    </row>
    <row r="1313" spans="1:20" ht="100" customHeight="1">
      <c r="A1313" s="26"/>
      <c r="B1313" s="42" t="str">
        <f t="shared" si="62"/>
        <v/>
      </c>
      <c r="C1313" s="43"/>
      <c r="D1313" s="51" t="str" cm="1">
        <f t="array" ref="D1313">IFERROR(INDEX(DB!G$2:G$2576,T1313),"")</f>
        <v/>
      </c>
      <c r="E1313" s="43"/>
      <c r="F1313" s="52" t="str" cm="1">
        <f t="array" ref="F1313">IFERROR(INDEX(DB!O$2:O$2576,T1313),"")</f>
        <v/>
      </c>
      <c r="G1313" s="43"/>
      <c r="H1313" s="40" t="str" cm="1">
        <f t="array" ref="H1313">IFERROR(INDEX(DB!P$2:P$2576,T1313),"")</f>
        <v/>
      </c>
      <c r="I1313" s="43"/>
      <c r="J1313" s="53" t="str" cm="1">
        <f t="array" ref="J1313">IFERROR(INDEX(DB!Q$2:Q$2576,T1313),"")</f>
        <v/>
      </c>
      <c r="K1313" s="43"/>
      <c r="L1313" s="41" t="str" cm="1">
        <f t="array" ref="L1313">IFERROR(INDEX(DB!R$2:R$2576,T1313),"")</f>
        <v/>
      </c>
      <c r="M1313" s="43"/>
      <c r="P1313" t="str" cm="1">
        <f t="array" ref="P1313">IFERROR(_xlfn.AGGREGATE(15,6,ROW(DB!A$2:A$2576)/((($D$3&lt;&gt;"YES")+($D$3="YES")*(DB!E$2:E$2576="YES"))*(($D$4="")+($D$4&lt;&gt;"")*( DB!B$2:B$2576=$D$4))*(($D$5="")+($D$5&lt;&gt;"")*( DB!C$2:C$2576=$D$5))*(($D$6="")+($D$6&lt;&gt;"")*( DB!D$2:D$2576=$D$6))*(($D$7="")+($D$7&lt;&gt;"")*(ISNUMBER(SEARCH($D$7,DB!G$2:G$2576))))*(($F$7="전체")+($F$7&lt;&gt;"전체")*(DB!H$2:H$2576=$F$7))),ROW()-13)-1,"")</f>
        <v/>
      </c>
      <c r="Q1313" t="str" cm="1">
        <f t="array" ref="Q1313">IFERROR(INDEX(DB!G$2:G$2576,P1313),"")</f>
        <v/>
      </c>
      <c r="R1313" t="str" cm="1">
        <f t="array" ref="R1313">IFERROR(INDEX(DB!O$2:O$2576,P1313),"")</f>
        <v/>
      </c>
      <c r="S1313" t="str">
        <f t="shared" si="63"/>
        <v/>
      </c>
      <c r="T1313" t="str">
        <f t="shared" si="64"/>
        <v/>
      </c>
    </row>
    <row r="1314" spans="1:20" ht="100" customHeight="1">
      <c r="A1314" s="26"/>
      <c r="B1314" s="39" t="str">
        <f t="shared" si="62"/>
        <v/>
      </c>
      <c r="C1314" s="43"/>
      <c r="D1314" s="51" t="str" cm="1">
        <f t="array" ref="D1314">IFERROR(INDEX(DB!G$2:G$2576,T1314),"")</f>
        <v/>
      </c>
      <c r="E1314" s="43"/>
      <c r="F1314" s="52" t="str" cm="1">
        <f t="array" ref="F1314">IFERROR(INDEX(DB!O$2:O$2576,T1314),"")</f>
        <v/>
      </c>
      <c r="G1314" s="43"/>
      <c r="H1314" s="40" t="str" cm="1">
        <f t="array" ref="H1314">IFERROR(INDEX(DB!P$2:P$2576,T1314),"")</f>
        <v/>
      </c>
      <c r="I1314" s="43"/>
      <c r="J1314" s="53" t="str" cm="1">
        <f t="array" ref="J1314">IFERROR(INDEX(DB!Q$2:Q$2576,T1314),"")</f>
        <v/>
      </c>
      <c r="K1314" s="43"/>
      <c r="L1314" s="41" t="str" cm="1">
        <f t="array" ref="L1314">IFERROR(INDEX(DB!R$2:R$2576,T1314),"")</f>
        <v/>
      </c>
      <c r="M1314" s="43"/>
      <c r="P1314" t="str" cm="1">
        <f t="array" ref="P1314">IFERROR(_xlfn.AGGREGATE(15,6,ROW(DB!A$2:A$2576)/((($D$3&lt;&gt;"YES")+($D$3="YES")*(DB!E$2:E$2576="YES"))*(($D$4="")+($D$4&lt;&gt;"")*( DB!B$2:B$2576=$D$4))*(($D$5="")+($D$5&lt;&gt;"")*( DB!C$2:C$2576=$D$5))*(($D$6="")+($D$6&lt;&gt;"")*( DB!D$2:D$2576=$D$6))*(($D$7="")+($D$7&lt;&gt;"")*(ISNUMBER(SEARCH($D$7,DB!G$2:G$2576))))*(($F$7="전체")+($F$7&lt;&gt;"전체")*(DB!H$2:H$2576=$F$7))),ROW()-13)-1,"")</f>
        <v/>
      </c>
      <c r="Q1314" t="str" cm="1">
        <f t="array" ref="Q1314">IFERROR(INDEX(DB!G$2:G$2576,P1314),"")</f>
        <v/>
      </c>
      <c r="R1314" t="str" cm="1">
        <f t="array" ref="R1314">IFERROR(INDEX(DB!O$2:O$2576,P1314),"")</f>
        <v/>
      </c>
      <c r="S1314" t="str">
        <f t="shared" si="63"/>
        <v/>
      </c>
      <c r="T1314" t="str">
        <f t="shared" si="64"/>
        <v/>
      </c>
    </row>
    <row r="1315" spans="1:20" ht="100" customHeight="1">
      <c r="A1315" s="26"/>
      <c r="B1315" s="42" t="str">
        <f t="shared" si="62"/>
        <v/>
      </c>
      <c r="C1315" s="43"/>
      <c r="D1315" s="51" t="str" cm="1">
        <f t="array" ref="D1315">IFERROR(INDEX(DB!G$2:G$2576,T1315),"")</f>
        <v/>
      </c>
      <c r="E1315" s="43"/>
      <c r="F1315" s="52" t="str" cm="1">
        <f t="array" ref="F1315">IFERROR(INDEX(DB!O$2:O$2576,T1315),"")</f>
        <v/>
      </c>
      <c r="G1315" s="43"/>
      <c r="H1315" s="40" t="str" cm="1">
        <f t="array" ref="H1315">IFERROR(INDEX(DB!P$2:P$2576,T1315),"")</f>
        <v/>
      </c>
      <c r="I1315" s="43"/>
      <c r="J1315" s="53" t="str" cm="1">
        <f t="array" ref="J1315">IFERROR(INDEX(DB!Q$2:Q$2576,T1315),"")</f>
        <v/>
      </c>
      <c r="K1315" s="43"/>
      <c r="L1315" s="41" t="str" cm="1">
        <f t="array" ref="L1315">IFERROR(INDEX(DB!R$2:R$2576,T1315),"")</f>
        <v/>
      </c>
      <c r="M1315" s="43"/>
      <c r="P1315" t="str" cm="1">
        <f t="array" ref="P1315">IFERROR(_xlfn.AGGREGATE(15,6,ROW(DB!A$2:A$2576)/((($D$3&lt;&gt;"YES")+($D$3="YES")*(DB!E$2:E$2576="YES"))*(($D$4="")+($D$4&lt;&gt;"")*( DB!B$2:B$2576=$D$4))*(($D$5="")+($D$5&lt;&gt;"")*( DB!C$2:C$2576=$D$5))*(($D$6="")+($D$6&lt;&gt;"")*( DB!D$2:D$2576=$D$6))*(($D$7="")+($D$7&lt;&gt;"")*(ISNUMBER(SEARCH($D$7,DB!G$2:G$2576))))*(($F$7="전체")+($F$7&lt;&gt;"전체")*(DB!H$2:H$2576=$F$7))),ROW()-13)-1,"")</f>
        <v/>
      </c>
      <c r="Q1315" t="str" cm="1">
        <f t="array" ref="Q1315">IFERROR(INDEX(DB!G$2:G$2576,P1315),"")</f>
        <v/>
      </c>
      <c r="R1315" t="str" cm="1">
        <f t="array" ref="R1315">IFERROR(INDEX(DB!O$2:O$2576,P1315),"")</f>
        <v/>
      </c>
      <c r="S1315" t="str">
        <f t="shared" si="63"/>
        <v/>
      </c>
      <c r="T1315" t="str">
        <f t="shared" si="64"/>
        <v/>
      </c>
    </row>
    <row r="1316" spans="1:20" ht="100" customHeight="1">
      <c r="A1316" s="26"/>
      <c r="B1316" s="39" t="str">
        <f t="shared" si="62"/>
        <v/>
      </c>
      <c r="C1316" s="43"/>
      <c r="D1316" s="51" t="str" cm="1">
        <f t="array" ref="D1316">IFERROR(INDEX(DB!G$2:G$2576,T1316),"")</f>
        <v/>
      </c>
      <c r="E1316" s="43"/>
      <c r="F1316" s="52" t="str" cm="1">
        <f t="array" ref="F1316">IFERROR(INDEX(DB!O$2:O$2576,T1316),"")</f>
        <v/>
      </c>
      <c r="G1316" s="43"/>
      <c r="H1316" s="40" t="str" cm="1">
        <f t="array" ref="H1316">IFERROR(INDEX(DB!P$2:P$2576,T1316),"")</f>
        <v/>
      </c>
      <c r="I1316" s="43"/>
      <c r="J1316" s="53" t="str" cm="1">
        <f t="array" ref="J1316">IFERROR(INDEX(DB!Q$2:Q$2576,T1316),"")</f>
        <v/>
      </c>
      <c r="K1316" s="43"/>
      <c r="L1316" s="41" t="str" cm="1">
        <f t="array" ref="L1316">IFERROR(INDEX(DB!R$2:R$2576,T1316),"")</f>
        <v/>
      </c>
      <c r="M1316" s="43"/>
      <c r="P1316" t="str" cm="1">
        <f t="array" ref="P1316">IFERROR(_xlfn.AGGREGATE(15,6,ROW(DB!A$2:A$2576)/((($D$3&lt;&gt;"YES")+($D$3="YES")*(DB!E$2:E$2576="YES"))*(($D$4="")+($D$4&lt;&gt;"")*( DB!B$2:B$2576=$D$4))*(($D$5="")+($D$5&lt;&gt;"")*( DB!C$2:C$2576=$D$5))*(($D$6="")+($D$6&lt;&gt;"")*( DB!D$2:D$2576=$D$6))*(($D$7="")+($D$7&lt;&gt;"")*(ISNUMBER(SEARCH($D$7,DB!G$2:G$2576))))*(($F$7="전체")+($F$7&lt;&gt;"전체")*(DB!H$2:H$2576=$F$7))),ROW()-13)-1,"")</f>
        <v/>
      </c>
      <c r="Q1316" t="str" cm="1">
        <f t="array" ref="Q1316">IFERROR(INDEX(DB!G$2:G$2576,P1316),"")</f>
        <v/>
      </c>
      <c r="R1316" t="str" cm="1">
        <f t="array" ref="R1316">IFERROR(INDEX(DB!O$2:O$2576,P1316),"")</f>
        <v/>
      </c>
      <c r="S1316" t="str">
        <f t="shared" si="63"/>
        <v/>
      </c>
      <c r="T1316" t="str">
        <f t="shared" si="64"/>
        <v/>
      </c>
    </row>
    <row r="1317" spans="1:20" ht="100" customHeight="1">
      <c r="A1317" s="26"/>
      <c r="B1317" s="42" t="str">
        <f t="shared" si="62"/>
        <v/>
      </c>
      <c r="C1317" s="43"/>
      <c r="D1317" s="51" t="str" cm="1">
        <f t="array" ref="D1317">IFERROR(INDEX(DB!G$2:G$2576,T1317),"")</f>
        <v/>
      </c>
      <c r="E1317" s="43"/>
      <c r="F1317" s="52" t="str" cm="1">
        <f t="array" ref="F1317">IFERROR(INDEX(DB!O$2:O$2576,T1317),"")</f>
        <v/>
      </c>
      <c r="G1317" s="43"/>
      <c r="H1317" s="40" t="str" cm="1">
        <f t="array" ref="H1317">IFERROR(INDEX(DB!P$2:P$2576,T1317),"")</f>
        <v/>
      </c>
      <c r="I1317" s="43"/>
      <c r="J1317" s="53" t="str" cm="1">
        <f t="array" ref="J1317">IFERROR(INDEX(DB!Q$2:Q$2576,T1317),"")</f>
        <v/>
      </c>
      <c r="K1317" s="43"/>
      <c r="L1317" s="41" t="str" cm="1">
        <f t="array" ref="L1317">IFERROR(INDEX(DB!R$2:R$2576,T1317),"")</f>
        <v/>
      </c>
      <c r="M1317" s="43"/>
      <c r="P1317" t="str" cm="1">
        <f t="array" ref="P1317">IFERROR(_xlfn.AGGREGATE(15,6,ROW(DB!A$2:A$2576)/((($D$3&lt;&gt;"YES")+($D$3="YES")*(DB!E$2:E$2576="YES"))*(($D$4="")+($D$4&lt;&gt;"")*( DB!B$2:B$2576=$D$4))*(($D$5="")+($D$5&lt;&gt;"")*( DB!C$2:C$2576=$D$5))*(($D$6="")+($D$6&lt;&gt;"")*( DB!D$2:D$2576=$D$6))*(($D$7="")+($D$7&lt;&gt;"")*(ISNUMBER(SEARCH($D$7,DB!G$2:G$2576))))*(($F$7="전체")+($F$7&lt;&gt;"전체")*(DB!H$2:H$2576=$F$7))),ROW()-13)-1,"")</f>
        <v/>
      </c>
      <c r="Q1317" t="str" cm="1">
        <f t="array" ref="Q1317">IFERROR(INDEX(DB!G$2:G$2576,P1317),"")</f>
        <v/>
      </c>
      <c r="R1317" t="str" cm="1">
        <f t="array" ref="R1317">IFERROR(INDEX(DB!O$2:O$2576,P1317),"")</f>
        <v/>
      </c>
      <c r="S1317" t="str">
        <f t="shared" si="63"/>
        <v/>
      </c>
      <c r="T1317" t="str">
        <f t="shared" si="64"/>
        <v/>
      </c>
    </row>
    <row r="1318" spans="1:20" ht="100" customHeight="1">
      <c r="A1318" s="26"/>
      <c r="B1318" s="39" t="str">
        <f t="shared" si="62"/>
        <v/>
      </c>
      <c r="C1318" s="43"/>
      <c r="D1318" s="51" t="str" cm="1">
        <f t="array" ref="D1318">IFERROR(INDEX(DB!G$2:G$2576,T1318),"")</f>
        <v/>
      </c>
      <c r="E1318" s="43"/>
      <c r="F1318" s="52" t="str" cm="1">
        <f t="array" ref="F1318">IFERROR(INDEX(DB!O$2:O$2576,T1318),"")</f>
        <v/>
      </c>
      <c r="G1318" s="43"/>
      <c r="H1318" s="40" t="str" cm="1">
        <f t="array" ref="H1318">IFERROR(INDEX(DB!P$2:P$2576,T1318),"")</f>
        <v/>
      </c>
      <c r="I1318" s="43"/>
      <c r="J1318" s="53" t="str" cm="1">
        <f t="array" ref="J1318">IFERROR(INDEX(DB!Q$2:Q$2576,T1318),"")</f>
        <v/>
      </c>
      <c r="K1318" s="43"/>
      <c r="L1318" s="41" t="str" cm="1">
        <f t="array" ref="L1318">IFERROR(INDEX(DB!R$2:R$2576,T1318),"")</f>
        <v/>
      </c>
      <c r="M1318" s="43"/>
      <c r="P1318" t="str" cm="1">
        <f t="array" ref="P1318">IFERROR(_xlfn.AGGREGATE(15,6,ROW(DB!A$2:A$2576)/((($D$3&lt;&gt;"YES")+($D$3="YES")*(DB!E$2:E$2576="YES"))*(($D$4="")+($D$4&lt;&gt;"")*( DB!B$2:B$2576=$D$4))*(($D$5="")+($D$5&lt;&gt;"")*( DB!C$2:C$2576=$D$5))*(($D$6="")+($D$6&lt;&gt;"")*( DB!D$2:D$2576=$D$6))*(($D$7="")+($D$7&lt;&gt;"")*(ISNUMBER(SEARCH($D$7,DB!G$2:G$2576))))*(($F$7="전체")+($F$7&lt;&gt;"전체")*(DB!H$2:H$2576=$F$7))),ROW()-13)-1,"")</f>
        <v/>
      </c>
      <c r="Q1318" t="str" cm="1">
        <f t="array" ref="Q1318">IFERROR(INDEX(DB!G$2:G$2576,P1318),"")</f>
        <v/>
      </c>
      <c r="R1318" t="str" cm="1">
        <f t="array" ref="R1318">IFERROR(INDEX(DB!O$2:O$2576,P1318),"")</f>
        <v/>
      </c>
      <c r="S1318" t="str">
        <f t="shared" si="63"/>
        <v/>
      </c>
      <c r="T1318" t="str">
        <f t="shared" si="64"/>
        <v/>
      </c>
    </row>
    <row r="1319" spans="1:20" ht="100" customHeight="1">
      <c r="A1319" s="26"/>
      <c r="B1319" s="42" t="str">
        <f t="shared" si="62"/>
        <v/>
      </c>
      <c r="C1319" s="43"/>
      <c r="D1319" s="51" t="str" cm="1">
        <f t="array" ref="D1319">IFERROR(INDEX(DB!G$2:G$2576,T1319),"")</f>
        <v/>
      </c>
      <c r="E1319" s="43"/>
      <c r="F1319" s="52" t="str" cm="1">
        <f t="array" ref="F1319">IFERROR(INDEX(DB!O$2:O$2576,T1319),"")</f>
        <v/>
      </c>
      <c r="G1319" s="43"/>
      <c r="H1319" s="40" t="str" cm="1">
        <f t="array" ref="H1319">IFERROR(INDEX(DB!P$2:P$2576,T1319),"")</f>
        <v/>
      </c>
      <c r="I1319" s="43"/>
      <c r="J1319" s="53" t="str" cm="1">
        <f t="array" ref="J1319">IFERROR(INDEX(DB!Q$2:Q$2576,T1319),"")</f>
        <v/>
      </c>
      <c r="K1319" s="43"/>
      <c r="L1319" s="41" t="str" cm="1">
        <f t="array" ref="L1319">IFERROR(INDEX(DB!R$2:R$2576,T1319),"")</f>
        <v/>
      </c>
      <c r="M1319" s="43"/>
      <c r="P1319" t="str" cm="1">
        <f t="array" ref="P1319">IFERROR(_xlfn.AGGREGATE(15,6,ROW(DB!A$2:A$2576)/((($D$3&lt;&gt;"YES")+($D$3="YES")*(DB!E$2:E$2576="YES"))*(($D$4="")+($D$4&lt;&gt;"")*( DB!B$2:B$2576=$D$4))*(($D$5="")+($D$5&lt;&gt;"")*( DB!C$2:C$2576=$D$5))*(($D$6="")+($D$6&lt;&gt;"")*( DB!D$2:D$2576=$D$6))*(($D$7="")+($D$7&lt;&gt;"")*(ISNUMBER(SEARCH($D$7,DB!G$2:G$2576))))*(($F$7="전체")+($F$7&lt;&gt;"전체")*(DB!H$2:H$2576=$F$7))),ROW()-13)-1,"")</f>
        <v/>
      </c>
      <c r="Q1319" t="str" cm="1">
        <f t="array" ref="Q1319">IFERROR(INDEX(DB!G$2:G$2576,P1319),"")</f>
        <v/>
      </c>
      <c r="R1319" t="str" cm="1">
        <f t="array" ref="R1319">IFERROR(INDEX(DB!O$2:O$2576,P1319),"")</f>
        <v/>
      </c>
      <c r="S1319" t="str">
        <f t="shared" si="63"/>
        <v/>
      </c>
      <c r="T1319" t="str">
        <f t="shared" si="64"/>
        <v/>
      </c>
    </row>
    <row r="1320" spans="1:20" ht="100" customHeight="1">
      <c r="A1320" s="26"/>
      <c r="B1320" s="39" t="str">
        <f t="shared" si="62"/>
        <v/>
      </c>
      <c r="C1320" s="43"/>
      <c r="D1320" s="51" t="str" cm="1">
        <f t="array" ref="D1320">IFERROR(INDEX(DB!G$2:G$2576,T1320),"")</f>
        <v/>
      </c>
      <c r="E1320" s="43"/>
      <c r="F1320" s="52" t="str" cm="1">
        <f t="array" ref="F1320">IFERROR(INDEX(DB!O$2:O$2576,T1320),"")</f>
        <v/>
      </c>
      <c r="G1320" s="43"/>
      <c r="H1320" s="40" t="str" cm="1">
        <f t="array" ref="H1320">IFERROR(INDEX(DB!P$2:P$2576,T1320),"")</f>
        <v/>
      </c>
      <c r="I1320" s="43"/>
      <c r="J1320" s="53" t="str" cm="1">
        <f t="array" ref="J1320">IFERROR(INDEX(DB!Q$2:Q$2576,T1320),"")</f>
        <v/>
      </c>
      <c r="K1320" s="43"/>
      <c r="L1320" s="41" t="str" cm="1">
        <f t="array" ref="L1320">IFERROR(INDEX(DB!R$2:R$2576,T1320),"")</f>
        <v/>
      </c>
      <c r="M1320" s="43"/>
      <c r="P1320" t="str" cm="1">
        <f t="array" ref="P1320">IFERROR(_xlfn.AGGREGATE(15,6,ROW(DB!A$2:A$2576)/((($D$3&lt;&gt;"YES")+($D$3="YES")*(DB!E$2:E$2576="YES"))*(($D$4="")+($D$4&lt;&gt;"")*( DB!B$2:B$2576=$D$4))*(($D$5="")+($D$5&lt;&gt;"")*( DB!C$2:C$2576=$D$5))*(($D$6="")+($D$6&lt;&gt;"")*( DB!D$2:D$2576=$D$6))*(($D$7="")+($D$7&lt;&gt;"")*(ISNUMBER(SEARCH($D$7,DB!G$2:G$2576))))*(($F$7="전체")+($F$7&lt;&gt;"전체")*(DB!H$2:H$2576=$F$7))),ROW()-13)-1,"")</f>
        <v/>
      </c>
      <c r="Q1320" t="str" cm="1">
        <f t="array" ref="Q1320">IFERROR(INDEX(DB!G$2:G$2576,P1320),"")</f>
        <v/>
      </c>
      <c r="R1320" t="str" cm="1">
        <f t="array" ref="R1320">IFERROR(INDEX(DB!O$2:O$2576,P1320),"")</f>
        <v/>
      </c>
      <c r="S1320" t="str">
        <f t="shared" si="63"/>
        <v/>
      </c>
      <c r="T1320" t="str">
        <f t="shared" si="64"/>
        <v/>
      </c>
    </row>
    <row r="1321" spans="1:20" ht="100" customHeight="1">
      <c r="A1321" s="26"/>
      <c r="B1321" s="42" t="str">
        <f t="shared" si="62"/>
        <v/>
      </c>
      <c r="C1321" s="43"/>
      <c r="D1321" s="51" t="str" cm="1">
        <f t="array" ref="D1321">IFERROR(INDEX(DB!G$2:G$2576,T1321),"")</f>
        <v/>
      </c>
      <c r="E1321" s="43"/>
      <c r="F1321" s="52" t="str" cm="1">
        <f t="array" ref="F1321">IFERROR(INDEX(DB!O$2:O$2576,T1321),"")</f>
        <v/>
      </c>
      <c r="G1321" s="43"/>
      <c r="H1321" s="40" t="str" cm="1">
        <f t="array" ref="H1321">IFERROR(INDEX(DB!P$2:P$2576,T1321),"")</f>
        <v/>
      </c>
      <c r="I1321" s="43"/>
      <c r="J1321" s="53" t="str" cm="1">
        <f t="array" ref="J1321">IFERROR(INDEX(DB!Q$2:Q$2576,T1321),"")</f>
        <v/>
      </c>
      <c r="K1321" s="43"/>
      <c r="L1321" s="41" t="str" cm="1">
        <f t="array" ref="L1321">IFERROR(INDEX(DB!R$2:R$2576,T1321),"")</f>
        <v/>
      </c>
      <c r="M1321" s="43"/>
      <c r="P1321" t="str" cm="1">
        <f t="array" ref="P1321">IFERROR(_xlfn.AGGREGATE(15,6,ROW(DB!A$2:A$2576)/((($D$3&lt;&gt;"YES")+($D$3="YES")*(DB!E$2:E$2576="YES"))*(($D$4="")+($D$4&lt;&gt;"")*( DB!B$2:B$2576=$D$4))*(($D$5="")+($D$5&lt;&gt;"")*( DB!C$2:C$2576=$D$5))*(($D$6="")+($D$6&lt;&gt;"")*( DB!D$2:D$2576=$D$6))*(($D$7="")+($D$7&lt;&gt;"")*(ISNUMBER(SEARCH($D$7,DB!G$2:G$2576))))*(($F$7="전체")+($F$7&lt;&gt;"전체")*(DB!H$2:H$2576=$F$7))),ROW()-13)-1,"")</f>
        <v/>
      </c>
      <c r="Q1321" t="str" cm="1">
        <f t="array" ref="Q1321">IFERROR(INDEX(DB!G$2:G$2576,P1321),"")</f>
        <v/>
      </c>
      <c r="R1321" t="str" cm="1">
        <f t="array" ref="R1321">IFERROR(INDEX(DB!O$2:O$2576,P1321),"")</f>
        <v/>
      </c>
      <c r="S1321" t="str">
        <f t="shared" si="63"/>
        <v/>
      </c>
      <c r="T1321" t="str">
        <f t="shared" si="64"/>
        <v/>
      </c>
    </row>
    <row r="1322" spans="1:20" ht="100" customHeight="1">
      <c r="A1322" s="26"/>
      <c r="B1322" s="39" t="str">
        <f t="shared" si="62"/>
        <v/>
      </c>
      <c r="C1322" s="43"/>
      <c r="D1322" s="51" t="str" cm="1">
        <f t="array" ref="D1322">IFERROR(INDEX(DB!G$2:G$2576,T1322),"")</f>
        <v/>
      </c>
      <c r="E1322" s="43"/>
      <c r="F1322" s="52" t="str" cm="1">
        <f t="array" ref="F1322">IFERROR(INDEX(DB!O$2:O$2576,T1322),"")</f>
        <v/>
      </c>
      <c r="G1322" s="43"/>
      <c r="H1322" s="40" t="str" cm="1">
        <f t="array" ref="H1322">IFERROR(INDEX(DB!P$2:P$2576,T1322),"")</f>
        <v/>
      </c>
      <c r="I1322" s="43"/>
      <c r="J1322" s="53" t="str" cm="1">
        <f t="array" ref="J1322">IFERROR(INDEX(DB!Q$2:Q$2576,T1322),"")</f>
        <v/>
      </c>
      <c r="K1322" s="43"/>
      <c r="L1322" s="41" t="str" cm="1">
        <f t="array" ref="L1322">IFERROR(INDEX(DB!R$2:R$2576,T1322),"")</f>
        <v/>
      </c>
      <c r="M1322" s="43"/>
      <c r="P1322" t="str" cm="1">
        <f t="array" ref="P1322">IFERROR(_xlfn.AGGREGATE(15,6,ROW(DB!A$2:A$2576)/((($D$3&lt;&gt;"YES")+($D$3="YES")*(DB!E$2:E$2576="YES"))*(($D$4="")+($D$4&lt;&gt;"")*( DB!B$2:B$2576=$D$4))*(($D$5="")+($D$5&lt;&gt;"")*( DB!C$2:C$2576=$D$5))*(($D$6="")+($D$6&lt;&gt;"")*( DB!D$2:D$2576=$D$6))*(($D$7="")+($D$7&lt;&gt;"")*(ISNUMBER(SEARCH($D$7,DB!G$2:G$2576))))*(($F$7="전체")+($F$7&lt;&gt;"전체")*(DB!H$2:H$2576=$F$7))),ROW()-13)-1,"")</f>
        <v/>
      </c>
      <c r="Q1322" t="str" cm="1">
        <f t="array" ref="Q1322">IFERROR(INDEX(DB!G$2:G$2576,P1322),"")</f>
        <v/>
      </c>
      <c r="R1322" t="str" cm="1">
        <f t="array" ref="R1322">IFERROR(INDEX(DB!O$2:O$2576,P1322),"")</f>
        <v/>
      </c>
      <c r="S1322" t="str">
        <f t="shared" si="63"/>
        <v/>
      </c>
      <c r="T1322" t="str">
        <f t="shared" si="64"/>
        <v/>
      </c>
    </row>
    <row r="1323" spans="1:20" ht="100" customHeight="1">
      <c r="A1323" s="26"/>
      <c r="B1323" s="42" t="str">
        <f t="shared" si="62"/>
        <v/>
      </c>
      <c r="C1323" s="43"/>
      <c r="D1323" s="51" t="str" cm="1">
        <f t="array" ref="D1323">IFERROR(INDEX(DB!G$2:G$2576,T1323),"")</f>
        <v/>
      </c>
      <c r="E1323" s="43"/>
      <c r="F1323" s="52" t="str" cm="1">
        <f t="array" ref="F1323">IFERROR(INDEX(DB!O$2:O$2576,T1323),"")</f>
        <v/>
      </c>
      <c r="G1323" s="43"/>
      <c r="H1323" s="40" t="str" cm="1">
        <f t="array" ref="H1323">IFERROR(INDEX(DB!P$2:P$2576,T1323),"")</f>
        <v/>
      </c>
      <c r="I1323" s="43"/>
      <c r="J1323" s="53" t="str" cm="1">
        <f t="array" ref="J1323">IFERROR(INDEX(DB!Q$2:Q$2576,T1323),"")</f>
        <v/>
      </c>
      <c r="K1323" s="43"/>
      <c r="L1323" s="41" t="str" cm="1">
        <f t="array" ref="L1323">IFERROR(INDEX(DB!R$2:R$2576,T1323),"")</f>
        <v/>
      </c>
      <c r="M1323" s="43"/>
      <c r="P1323" t="str" cm="1">
        <f t="array" ref="P1323">IFERROR(_xlfn.AGGREGATE(15,6,ROW(DB!A$2:A$2576)/((($D$3&lt;&gt;"YES")+($D$3="YES")*(DB!E$2:E$2576="YES"))*(($D$4="")+($D$4&lt;&gt;"")*( DB!B$2:B$2576=$D$4))*(($D$5="")+($D$5&lt;&gt;"")*( DB!C$2:C$2576=$D$5))*(($D$6="")+($D$6&lt;&gt;"")*( DB!D$2:D$2576=$D$6))*(($D$7="")+($D$7&lt;&gt;"")*(ISNUMBER(SEARCH($D$7,DB!G$2:G$2576))))*(($F$7="전체")+($F$7&lt;&gt;"전체")*(DB!H$2:H$2576=$F$7))),ROW()-13)-1,"")</f>
        <v/>
      </c>
      <c r="Q1323" t="str" cm="1">
        <f t="array" ref="Q1323">IFERROR(INDEX(DB!G$2:G$2576,P1323),"")</f>
        <v/>
      </c>
      <c r="R1323" t="str" cm="1">
        <f t="array" ref="R1323">IFERROR(INDEX(DB!O$2:O$2576,P1323),"")</f>
        <v/>
      </c>
      <c r="S1323" t="str">
        <f t="shared" si="63"/>
        <v/>
      </c>
      <c r="T1323" t="str">
        <f t="shared" si="64"/>
        <v/>
      </c>
    </row>
    <row r="1324" spans="1:20" ht="100" customHeight="1">
      <c r="A1324" s="26"/>
      <c r="B1324" s="39" t="str">
        <f t="shared" si="62"/>
        <v/>
      </c>
      <c r="C1324" s="43"/>
      <c r="D1324" s="51" t="str" cm="1">
        <f t="array" ref="D1324">IFERROR(INDEX(DB!G$2:G$2576,T1324),"")</f>
        <v/>
      </c>
      <c r="E1324" s="43"/>
      <c r="F1324" s="52" t="str" cm="1">
        <f t="array" ref="F1324">IFERROR(INDEX(DB!O$2:O$2576,T1324),"")</f>
        <v/>
      </c>
      <c r="G1324" s="43"/>
      <c r="H1324" s="40" t="str" cm="1">
        <f t="array" ref="H1324">IFERROR(INDEX(DB!P$2:P$2576,T1324),"")</f>
        <v/>
      </c>
      <c r="I1324" s="43"/>
      <c r="J1324" s="53" t="str" cm="1">
        <f t="array" ref="J1324">IFERROR(INDEX(DB!Q$2:Q$2576,T1324),"")</f>
        <v/>
      </c>
      <c r="K1324" s="43"/>
      <c r="L1324" s="41" t="str" cm="1">
        <f t="array" ref="L1324">IFERROR(INDEX(DB!R$2:R$2576,T1324),"")</f>
        <v/>
      </c>
      <c r="M1324" s="43"/>
      <c r="P1324" t="str" cm="1">
        <f t="array" ref="P1324">IFERROR(_xlfn.AGGREGATE(15,6,ROW(DB!A$2:A$2576)/((($D$3&lt;&gt;"YES")+($D$3="YES")*(DB!E$2:E$2576="YES"))*(($D$4="")+($D$4&lt;&gt;"")*( DB!B$2:B$2576=$D$4))*(($D$5="")+($D$5&lt;&gt;"")*( DB!C$2:C$2576=$D$5))*(($D$6="")+($D$6&lt;&gt;"")*( DB!D$2:D$2576=$D$6))*(($D$7="")+($D$7&lt;&gt;"")*(ISNUMBER(SEARCH($D$7,DB!G$2:G$2576))))*(($F$7="전체")+($F$7&lt;&gt;"전체")*(DB!H$2:H$2576=$F$7))),ROW()-13)-1,"")</f>
        <v/>
      </c>
      <c r="Q1324" t="str" cm="1">
        <f t="array" ref="Q1324">IFERROR(INDEX(DB!G$2:G$2576,P1324),"")</f>
        <v/>
      </c>
      <c r="R1324" t="str" cm="1">
        <f t="array" ref="R1324">IFERROR(INDEX(DB!O$2:O$2576,P1324),"")</f>
        <v/>
      </c>
      <c r="S1324" t="str">
        <f t="shared" si="63"/>
        <v/>
      </c>
      <c r="T1324" t="str">
        <f t="shared" si="64"/>
        <v/>
      </c>
    </row>
    <row r="1325" spans="1:20" ht="100" customHeight="1">
      <c r="A1325" s="26"/>
      <c r="B1325" s="42" t="str">
        <f t="shared" si="62"/>
        <v/>
      </c>
      <c r="C1325" s="43"/>
      <c r="D1325" s="51" t="str" cm="1">
        <f t="array" ref="D1325">IFERROR(INDEX(DB!G$2:G$2576,T1325),"")</f>
        <v/>
      </c>
      <c r="E1325" s="43"/>
      <c r="F1325" s="52" t="str" cm="1">
        <f t="array" ref="F1325">IFERROR(INDEX(DB!O$2:O$2576,T1325),"")</f>
        <v/>
      </c>
      <c r="G1325" s="43"/>
      <c r="H1325" s="40" t="str" cm="1">
        <f t="array" ref="H1325">IFERROR(INDEX(DB!P$2:P$2576,T1325),"")</f>
        <v/>
      </c>
      <c r="I1325" s="43"/>
      <c r="J1325" s="53" t="str" cm="1">
        <f t="array" ref="J1325">IFERROR(INDEX(DB!Q$2:Q$2576,T1325),"")</f>
        <v/>
      </c>
      <c r="K1325" s="43"/>
      <c r="L1325" s="41" t="str" cm="1">
        <f t="array" ref="L1325">IFERROR(INDEX(DB!R$2:R$2576,T1325),"")</f>
        <v/>
      </c>
      <c r="M1325" s="43"/>
      <c r="P1325" t="str" cm="1">
        <f t="array" ref="P1325">IFERROR(_xlfn.AGGREGATE(15,6,ROW(DB!A$2:A$2576)/((($D$3&lt;&gt;"YES")+($D$3="YES")*(DB!E$2:E$2576="YES"))*(($D$4="")+($D$4&lt;&gt;"")*( DB!B$2:B$2576=$D$4))*(($D$5="")+($D$5&lt;&gt;"")*( DB!C$2:C$2576=$D$5))*(($D$6="")+($D$6&lt;&gt;"")*( DB!D$2:D$2576=$D$6))*(($D$7="")+($D$7&lt;&gt;"")*(ISNUMBER(SEARCH($D$7,DB!G$2:G$2576))))*(($F$7="전체")+($F$7&lt;&gt;"전체")*(DB!H$2:H$2576=$F$7))),ROW()-13)-1,"")</f>
        <v/>
      </c>
      <c r="Q1325" t="str" cm="1">
        <f t="array" ref="Q1325">IFERROR(INDEX(DB!G$2:G$2576,P1325),"")</f>
        <v/>
      </c>
      <c r="R1325" t="str" cm="1">
        <f t="array" ref="R1325">IFERROR(INDEX(DB!O$2:O$2576,P1325),"")</f>
        <v/>
      </c>
      <c r="S1325" t="str">
        <f t="shared" si="63"/>
        <v/>
      </c>
      <c r="T1325" t="str">
        <f t="shared" si="64"/>
        <v/>
      </c>
    </row>
    <row r="1326" spans="1:20" ht="100" customHeight="1">
      <c r="A1326" s="26"/>
      <c r="B1326" s="39" t="str">
        <f t="shared" si="62"/>
        <v/>
      </c>
      <c r="C1326" s="43"/>
      <c r="D1326" s="51" t="str" cm="1">
        <f t="array" ref="D1326">IFERROR(INDEX(DB!G$2:G$2576,T1326),"")</f>
        <v/>
      </c>
      <c r="E1326" s="43"/>
      <c r="F1326" s="52" t="str" cm="1">
        <f t="array" ref="F1326">IFERROR(INDEX(DB!O$2:O$2576,T1326),"")</f>
        <v/>
      </c>
      <c r="G1326" s="43"/>
      <c r="H1326" s="40" t="str" cm="1">
        <f t="array" ref="H1326">IFERROR(INDEX(DB!P$2:P$2576,T1326),"")</f>
        <v/>
      </c>
      <c r="I1326" s="43"/>
      <c r="J1326" s="53" t="str" cm="1">
        <f t="array" ref="J1326">IFERROR(INDEX(DB!Q$2:Q$2576,T1326),"")</f>
        <v/>
      </c>
      <c r="K1326" s="43"/>
      <c r="L1326" s="41" t="str" cm="1">
        <f t="array" ref="L1326">IFERROR(INDEX(DB!R$2:R$2576,T1326),"")</f>
        <v/>
      </c>
      <c r="M1326" s="43"/>
      <c r="P1326" t="str" cm="1">
        <f t="array" ref="P1326">IFERROR(_xlfn.AGGREGATE(15,6,ROW(DB!A$2:A$2576)/((($D$3&lt;&gt;"YES")+($D$3="YES")*(DB!E$2:E$2576="YES"))*(($D$4="")+($D$4&lt;&gt;"")*( DB!B$2:B$2576=$D$4))*(($D$5="")+($D$5&lt;&gt;"")*( DB!C$2:C$2576=$D$5))*(($D$6="")+($D$6&lt;&gt;"")*( DB!D$2:D$2576=$D$6))*(($D$7="")+($D$7&lt;&gt;"")*(ISNUMBER(SEARCH($D$7,DB!G$2:G$2576))))*(($F$7="전체")+($F$7&lt;&gt;"전체")*(DB!H$2:H$2576=$F$7))),ROW()-13)-1,"")</f>
        <v/>
      </c>
      <c r="Q1326" t="str" cm="1">
        <f t="array" ref="Q1326">IFERROR(INDEX(DB!G$2:G$2576,P1326),"")</f>
        <v/>
      </c>
      <c r="R1326" t="str" cm="1">
        <f t="array" ref="R1326">IFERROR(INDEX(DB!O$2:O$2576,P1326),"")</f>
        <v/>
      </c>
      <c r="S1326" t="str">
        <f t="shared" si="63"/>
        <v/>
      </c>
      <c r="T1326" t="str">
        <f t="shared" si="64"/>
        <v/>
      </c>
    </row>
    <row r="1327" spans="1:20" ht="100" customHeight="1">
      <c r="A1327" s="26"/>
      <c r="B1327" s="42" t="str">
        <f t="shared" si="62"/>
        <v/>
      </c>
      <c r="C1327" s="43"/>
      <c r="D1327" s="51" t="str" cm="1">
        <f t="array" ref="D1327">IFERROR(INDEX(DB!G$2:G$2576,T1327),"")</f>
        <v/>
      </c>
      <c r="E1327" s="43"/>
      <c r="F1327" s="52" t="str" cm="1">
        <f t="array" ref="F1327">IFERROR(INDEX(DB!O$2:O$2576,T1327),"")</f>
        <v/>
      </c>
      <c r="G1327" s="43"/>
      <c r="H1327" s="40" t="str" cm="1">
        <f t="array" ref="H1327">IFERROR(INDEX(DB!P$2:P$2576,T1327),"")</f>
        <v/>
      </c>
      <c r="I1327" s="43"/>
      <c r="J1327" s="53" t="str" cm="1">
        <f t="array" ref="J1327">IFERROR(INDEX(DB!Q$2:Q$2576,T1327),"")</f>
        <v/>
      </c>
      <c r="K1327" s="43"/>
      <c r="L1327" s="41" t="str" cm="1">
        <f t="array" ref="L1327">IFERROR(INDEX(DB!R$2:R$2576,T1327),"")</f>
        <v/>
      </c>
      <c r="M1327" s="43"/>
      <c r="P1327" t="str" cm="1">
        <f t="array" ref="P1327">IFERROR(_xlfn.AGGREGATE(15,6,ROW(DB!A$2:A$2576)/((($D$3&lt;&gt;"YES")+($D$3="YES")*(DB!E$2:E$2576="YES"))*(($D$4="")+($D$4&lt;&gt;"")*( DB!B$2:B$2576=$D$4))*(($D$5="")+($D$5&lt;&gt;"")*( DB!C$2:C$2576=$D$5))*(($D$6="")+($D$6&lt;&gt;"")*( DB!D$2:D$2576=$D$6))*(($D$7="")+($D$7&lt;&gt;"")*(ISNUMBER(SEARCH($D$7,DB!G$2:G$2576))))*(($F$7="전체")+($F$7&lt;&gt;"전체")*(DB!H$2:H$2576=$F$7))),ROW()-13)-1,"")</f>
        <v/>
      </c>
      <c r="Q1327" t="str" cm="1">
        <f t="array" ref="Q1327">IFERROR(INDEX(DB!G$2:G$2576,P1327),"")</f>
        <v/>
      </c>
      <c r="R1327" t="str" cm="1">
        <f t="array" ref="R1327">IFERROR(INDEX(DB!O$2:O$2576,P1327),"")</f>
        <v/>
      </c>
      <c r="S1327" t="str">
        <f t="shared" si="63"/>
        <v/>
      </c>
      <c r="T1327" t="str">
        <f t="shared" si="64"/>
        <v/>
      </c>
    </row>
    <row r="1328" spans="1:20" ht="100" customHeight="1">
      <c r="A1328" s="26"/>
      <c r="B1328" s="39" t="str">
        <f t="shared" si="62"/>
        <v/>
      </c>
      <c r="C1328" s="43"/>
      <c r="D1328" s="51" t="str" cm="1">
        <f t="array" ref="D1328">IFERROR(INDEX(DB!G$2:G$2576,T1328),"")</f>
        <v/>
      </c>
      <c r="E1328" s="43"/>
      <c r="F1328" s="52" t="str" cm="1">
        <f t="array" ref="F1328">IFERROR(INDEX(DB!O$2:O$2576,T1328),"")</f>
        <v/>
      </c>
      <c r="G1328" s="43"/>
      <c r="H1328" s="40" t="str" cm="1">
        <f t="array" ref="H1328">IFERROR(INDEX(DB!P$2:P$2576,T1328),"")</f>
        <v/>
      </c>
      <c r="I1328" s="43"/>
      <c r="J1328" s="53" t="str" cm="1">
        <f t="array" ref="J1328">IFERROR(INDEX(DB!Q$2:Q$2576,T1328),"")</f>
        <v/>
      </c>
      <c r="K1328" s="43"/>
      <c r="L1328" s="41" t="str" cm="1">
        <f t="array" ref="L1328">IFERROR(INDEX(DB!R$2:R$2576,T1328),"")</f>
        <v/>
      </c>
      <c r="M1328" s="43"/>
      <c r="P1328" t="str" cm="1">
        <f t="array" ref="P1328">IFERROR(_xlfn.AGGREGATE(15,6,ROW(DB!A$2:A$2576)/((($D$3&lt;&gt;"YES")+($D$3="YES")*(DB!E$2:E$2576="YES"))*(($D$4="")+($D$4&lt;&gt;"")*( DB!B$2:B$2576=$D$4))*(($D$5="")+($D$5&lt;&gt;"")*( DB!C$2:C$2576=$D$5))*(($D$6="")+($D$6&lt;&gt;"")*( DB!D$2:D$2576=$D$6))*(($D$7="")+($D$7&lt;&gt;"")*(ISNUMBER(SEARCH($D$7,DB!G$2:G$2576))))*(($F$7="전체")+($F$7&lt;&gt;"전체")*(DB!H$2:H$2576=$F$7))),ROW()-13)-1,"")</f>
        <v/>
      </c>
      <c r="Q1328" t="str" cm="1">
        <f t="array" ref="Q1328">IFERROR(INDEX(DB!G$2:G$2576,P1328),"")</f>
        <v/>
      </c>
      <c r="R1328" t="str" cm="1">
        <f t="array" ref="R1328">IFERROR(INDEX(DB!O$2:O$2576,P1328),"")</f>
        <v/>
      </c>
      <c r="S1328" t="str">
        <f t="shared" si="63"/>
        <v/>
      </c>
      <c r="T1328" t="str">
        <f t="shared" si="64"/>
        <v/>
      </c>
    </row>
    <row r="1329" spans="1:20" ht="100" customHeight="1">
      <c r="A1329" s="26"/>
      <c r="B1329" s="42" t="str">
        <f t="shared" si="62"/>
        <v/>
      </c>
      <c r="C1329" s="43"/>
      <c r="D1329" s="51" t="str" cm="1">
        <f t="array" ref="D1329">IFERROR(INDEX(DB!G$2:G$2576,T1329),"")</f>
        <v/>
      </c>
      <c r="E1329" s="43"/>
      <c r="F1329" s="52" t="str" cm="1">
        <f t="array" ref="F1329">IFERROR(INDEX(DB!O$2:O$2576,T1329),"")</f>
        <v/>
      </c>
      <c r="G1329" s="43"/>
      <c r="H1329" s="40" t="str" cm="1">
        <f t="array" ref="H1329">IFERROR(INDEX(DB!P$2:P$2576,T1329),"")</f>
        <v/>
      </c>
      <c r="I1329" s="43"/>
      <c r="J1329" s="53" t="str" cm="1">
        <f t="array" ref="J1329">IFERROR(INDEX(DB!Q$2:Q$2576,T1329),"")</f>
        <v/>
      </c>
      <c r="K1329" s="43"/>
      <c r="L1329" s="41" t="str" cm="1">
        <f t="array" ref="L1329">IFERROR(INDEX(DB!R$2:R$2576,T1329),"")</f>
        <v/>
      </c>
      <c r="M1329" s="43"/>
      <c r="P1329" t="str" cm="1">
        <f t="array" ref="P1329">IFERROR(_xlfn.AGGREGATE(15,6,ROW(DB!A$2:A$2576)/((($D$3&lt;&gt;"YES")+($D$3="YES")*(DB!E$2:E$2576="YES"))*(($D$4="")+($D$4&lt;&gt;"")*( DB!B$2:B$2576=$D$4))*(($D$5="")+($D$5&lt;&gt;"")*( DB!C$2:C$2576=$D$5))*(($D$6="")+($D$6&lt;&gt;"")*( DB!D$2:D$2576=$D$6))*(($D$7="")+($D$7&lt;&gt;"")*(ISNUMBER(SEARCH($D$7,DB!G$2:G$2576))))*(($F$7="전체")+($F$7&lt;&gt;"전체")*(DB!H$2:H$2576=$F$7))),ROW()-13)-1,"")</f>
        <v/>
      </c>
      <c r="Q1329" t="str" cm="1">
        <f t="array" ref="Q1329">IFERROR(INDEX(DB!G$2:G$2576,P1329),"")</f>
        <v/>
      </c>
      <c r="R1329" t="str" cm="1">
        <f t="array" ref="R1329">IFERROR(INDEX(DB!O$2:O$2576,P1329),"")</f>
        <v/>
      </c>
      <c r="S1329" t="str">
        <f t="shared" si="63"/>
        <v/>
      </c>
      <c r="T1329" t="str">
        <f t="shared" si="64"/>
        <v/>
      </c>
    </row>
    <row r="1330" spans="1:20" ht="100" customHeight="1">
      <c r="A1330" s="26"/>
      <c r="B1330" s="39" t="str">
        <f t="shared" si="62"/>
        <v/>
      </c>
      <c r="C1330" s="43"/>
      <c r="D1330" s="51" t="str" cm="1">
        <f t="array" ref="D1330">IFERROR(INDEX(DB!G$2:G$2576,T1330),"")</f>
        <v/>
      </c>
      <c r="E1330" s="43"/>
      <c r="F1330" s="52" t="str" cm="1">
        <f t="array" ref="F1330">IFERROR(INDEX(DB!O$2:O$2576,T1330),"")</f>
        <v/>
      </c>
      <c r="G1330" s="43"/>
      <c r="H1330" s="40" t="str" cm="1">
        <f t="array" ref="H1330">IFERROR(INDEX(DB!P$2:P$2576,T1330),"")</f>
        <v/>
      </c>
      <c r="I1330" s="43"/>
      <c r="J1330" s="53" t="str" cm="1">
        <f t="array" ref="J1330">IFERROR(INDEX(DB!Q$2:Q$2576,T1330),"")</f>
        <v/>
      </c>
      <c r="K1330" s="43"/>
      <c r="L1330" s="41" t="str" cm="1">
        <f t="array" ref="L1330">IFERROR(INDEX(DB!R$2:R$2576,T1330),"")</f>
        <v/>
      </c>
      <c r="M1330" s="43"/>
      <c r="P1330" t="str" cm="1">
        <f t="array" ref="P1330">IFERROR(_xlfn.AGGREGATE(15,6,ROW(DB!A$2:A$2576)/((($D$3&lt;&gt;"YES")+($D$3="YES")*(DB!E$2:E$2576="YES"))*(($D$4="")+($D$4&lt;&gt;"")*( DB!B$2:B$2576=$D$4))*(($D$5="")+($D$5&lt;&gt;"")*( DB!C$2:C$2576=$D$5))*(($D$6="")+($D$6&lt;&gt;"")*( DB!D$2:D$2576=$D$6))*(($D$7="")+($D$7&lt;&gt;"")*(ISNUMBER(SEARCH($D$7,DB!G$2:G$2576))))*(($F$7="전체")+($F$7&lt;&gt;"전체")*(DB!H$2:H$2576=$F$7))),ROW()-13)-1,"")</f>
        <v/>
      </c>
      <c r="Q1330" t="str" cm="1">
        <f t="array" ref="Q1330">IFERROR(INDEX(DB!G$2:G$2576,P1330),"")</f>
        <v/>
      </c>
      <c r="R1330" t="str" cm="1">
        <f t="array" ref="R1330">IFERROR(INDEX(DB!O$2:O$2576,P1330),"")</f>
        <v/>
      </c>
      <c r="S1330" t="str">
        <f t="shared" si="63"/>
        <v/>
      </c>
      <c r="T1330" t="str">
        <f t="shared" si="64"/>
        <v/>
      </c>
    </row>
    <row r="1331" spans="1:20" ht="100" customHeight="1">
      <c r="A1331" s="26"/>
      <c r="B1331" s="42" t="str">
        <f t="shared" si="62"/>
        <v/>
      </c>
      <c r="C1331" s="43"/>
      <c r="D1331" s="51" t="str" cm="1">
        <f t="array" ref="D1331">IFERROR(INDEX(DB!G$2:G$2576,T1331),"")</f>
        <v/>
      </c>
      <c r="E1331" s="43"/>
      <c r="F1331" s="52" t="str" cm="1">
        <f t="array" ref="F1331">IFERROR(INDEX(DB!O$2:O$2576,T1331),"")</f>
        <v/>
      </c>
      <c r="G1331" s="43"/>
      <c r="H1331" s="40" t="str" cm="1">
        <f t="array" ref="H1331">IFERROR(INDEX(DB!P$2:P$2576,T1331),"")</f>
        <v/>
      </c>
      <c r="I1331" s="43"/>
      <c r="J1331" s="53" t="str" cm="1">
        <f t="array" ref="J1331">IFERROR(INDEX(DB!Q$2:Q$2576,T1331),"")</f>
        <v/>
      </c>
      <c r="K1331" s="43"/>
      <c r="L1331" s="41" t="str" cm="1">
        <f t="array" ref="L1331">IFERROR(INDEX(DB!R$2:R$2576,T1331),"")</f>
        <v/>
      </c>
      <c r="M1331" s="43"/>
      <c r="P1331" t="str" cm="1">
        <f t="array" ref="P1331">IFERROR(_xlfn.AGGREGATE(15,6,ROW(DB!A$2:A$2576)/((($D$3&lt;&gt;"YES")+($D$3="YES")*(DB!E$2:E$2576="YES"))*(($D$4="")+($D$4&lt;&gt;"")*( DB!B$2:B$2576=$D$4))*(($D$5="")+($D$5&lt;&gt;"")*( DB!C$2:C$2576=$D$5))*(($D$6="")+($D$6&lt;&gt;"")*( DB!D$2:D$2576=$D$6))*(($D$7="")+($D$7&lt;&gt;"")*(ISNUMBER(SEARCH($D$7,DB!G$2:G$2576))))*(($F$7="전체")+($F$7&lt;&gt;"전체")*(DB!H$2:H$2576=$F$7))),ROW()-13)-1,"")</f>
        <v/>
      </c>
      <c r="Q1331" t="str" cm="1">
        <f t="array" ref="Q1331">IFERROR(INDEX(DB!G$2:G$2576,P1331),"")</f>
        <v/>
      </c>
      <c r="R1331" t="str" cm="1">
        <f t="array" ref="R1331">IFERROR(INDEX(DB!O$2:O$2576,P1331),"")</f>
        <v/>
      </c>
      <c r="S1331" t="str">
        <f t="shared" si="63"/>
        <v/>
      </c>
      <c r="T1331" t="str">
        <f t="shared" si="64"/>
        <v/>
      </c>
    </row>
    <row r="1332" spans="1:20" ht="100" customHeight="1">
      <c r="A1332" s="26"/>
      <c r="B1332" s="39" t="str">
        <f t="shared" si="62"/>
        <v/>
      </c>
      <c r="C1332" s="43"/>
      <c r="D1332" s="51" t="str" cm="1">
        <f t="array" ref="D1332">IFERROR(INDEX(DB!G$2:G$2576,T1332),"")</f>
        <v/>
      </c>
      <c r="E1332" s="43"/>
      <c r="F1332" s="52" t="str" cm="1">
        <f t="array" ref="F1332">IFERROR(INDEX(DB!O$2:O$2576,T1332),"")</f>
        <v/>
      </c>
      <c r="G1332" s="43"/>
      <c r="H1332" s="40" t="str" cm="1">
        <f t="array" ref="H1332">IFERROR(INDEX(DB!P$2:P$2576,T1332),"")</f>
        <v/>
      </c>
      <c r="I1332" s="43"/>
      <c r="J1332" s="53" t="str" cm="1">
        <f t="array" ref="J1332">IFERROR(INDEX(DB!Q$2:Q$2576,T1332),"")</f>
        <v/>
      </c>
      <c r="K1332" s="43"/>
      <c r="L1332" s="41" t="str" cm="1">
        <f t="array" ref="L1332">IFERROR(INDEX(DB!R$2:R$2576,T1332),"")</f>
        <v/>
      </c>
      <c r="M1332" s="43"/>
      <c r="P1332" t="str" cm="1">
        <f t="array" ref="P1332">IFERROR(_xlfn.AGGREGATE(15,6,ROW(DB!A$2:A$2576)/((($D$3&lt;&gt;"YES")+($D$3="YES")*(DB!E$2:E$2576="YES"))*(($D$4="")+($D$4&lt;&gt;"")*( DB!B$2:B$2576=$D$4))*(($D$5="")+($D$5&lt;&gt;"")*( DB!C$2:C$2576=$D$5))*(($D$6="")+($D$6&lt;&gt;"")*( DB!D$2:D$2576=$D$6))*(($D$7="")+($D$7&lt;&gt;"")*(ISNUMBER(SEARCH($D$7,DB!G$2:G$2576))))*(($F$7="전체")+($F$7&lt;&gt;"전체")*(DB!H$2:H$2576=$F$7))),ROW()-13)-1,"")</f>
        <v/>
      </c>
      <c r="Q1332" t="str" cm="1">
        <f t="array" ref="Q1332">IFERROR(INDEX(DB!G$2:G$2576,P1332),"")</f>
        <v/>
      </c>
      <c r="R1332" t="str" cm="1">
        <f t="array" ref="R1332">IFERROR(INDEX(DB!O$2:O$2576,P1332),"")</f>
        <v/>
      </c>
      <c r="S1332" t="str">
        <f t="shared" si="63"/>
        <v/>
      </c>
      <c r="T1332" t="str">
        <f t="shared" si="64"/>
        <v/>
      </c>
    </row>
    <row r="1333" spans="1:20" ht="100" customHeight="1">
      <c r="A1333" s="26"/>
      <c r="B1333" s="42" t="str">
        <f t="shared" si="62"/>
        <v/>
      </c>
      <c r="C1333" s="43"/>
      <c r="D1333" s="51" t="str" cm="1">
        <f t="array" ref="D1333">IFERROR(INDEX(DB!G$2:G$2576,T1333),"")</f>
        <v/>
      </c>
      <c r="E1333" s="43"/>
      <c r="F1333" s="52" t="str" cm="1">
        <f t="array" ref="F1333">IFERROR(INDEX(DB!O$2:O$2576,T1333),"")</f>
        <v/>
      </c>
      <c r="G1333" s="43"/>
      <c r="H1333" s="40" t="str" cm="1">
        <f t="array" ref="H1333">IFERROR(INDEX(DB!P$2:P$2576,T1333),"")</f>
        <v/>
      </c>
      <c r="I1333" s="43"/>
      <c r="J1333" s="53" t="str" cm="1">
        <f t="array" ref="J1333">IFERROR(INDEX(DB!Q$2:Q$2576,T1333),"")</f>
        <v/>
      </c>
      <c r="K1333" s="43"/>
      <c r="L1333" s="41" t="str" cm="1">
        <f t="array" ref="L1333">IFERROR(INDEX(DB!R$2:R$2576,T1333),"")</f>
        <v/>
      </c>
      <c r="M1333" s="43"/>
      <c r="P1333" t="str" cm="1">
        <f t="array" ref="P1333">IFERROR(_xlfn.AGGREGATE(15,6,ROW(DB!A$2:A$2576)/((($D$3&lt;&gt;"YES")+($D$3="YES")*(DB!E$2:E$2576="YES"))*(($D$4="")+($D$4&lt;&gt;"")*( DB!B$2:B$2576=$D$4))*(($D$5="")+($D$5&lt;&gt;"")*( DB!C$2:C$2576=$D$5))*(($D$6="")+($D$6&lt;&gt;"")*( DB!D$2:D$2576=$D$6))*(($D$7="")+($D$7&lt;&gt;"")*(ISNUMBER(SEARCH($D$7,DB!G$2:G$2576))))*(($F$7="전체")+($F$7&lt;&gt;"전체")*(DB!H$2:H$2576=$F$7))),ROW()-13)-1,"")</f>
        <v/>
      </c>
      <c r="Q1333" t="str" cm="1">
        <f t="array" ref="Q1333">IFERROR(INDEX(DB!G$2:G$2576,P1333),"")</f>
        <v/>
      </c>
      <c r="R1333" t="str" cm="1">
        <f t="array" ref="R1333">IFERROR(INDEX(DB!O$2:O$2576,P1333),"")</f>
        <v/>
      </c>
      <c r="S1333" t="str">
        <f t="shared" si="63"/>
        <v/>
      </c>
      <c r="T1333" t="str">
        <f t="shared" si="64"/>
        <v/>
      </c>
    </row>
    <row r="1334" spans="1:20" ht="100" customHeight="1">
      <c r="A1334" s="26"/>
      <c r="B1334" s="39" t="str">
        <f t="shared" si="62"/>
        <v/>
      </c>
      <c r="C1334" s="43"/>
      <c r="D1334" s="51" t="str" cm="1">
        <f t="array" ref="D1334">IFERROR(INDEX(DB!G$2:G$2576,T1334),"")</f>
        <v/>
      </c>
      <c r="E1334" s="43"/>
      <c r="F1334" s="52" t="str" cm="1">
        <f t="array" ref="F1334">IFERROR(INDEX(DB!O$2:O$2576,T1334),"")</f>
        <v/>
      </c>
      <c r="G1334" s="43"/>
      <c r="H1334" s="40" t="str" cm="1">
        <f t="array" ref="H1334">IFERROR(INDEX(DB!P$2:P$2576,T1334),"")</f>
        <v/>
      </c>
      <c r="I1334" s="43"/>
      <c r="J1334" s="53" t="str" cm="1">
        <f t="array" ref="J1334">IFERROR(INDEX(DB!Q$2:Q$2576,T1334),"")</f>
        <v/>
      </c>
      <c r="K1334" s="43"/>
      <c r="L1334" s="41" t="str" cm="1">
        <f t="array" ref="L1334">IFERROR(INDEX(DB!R$2:R$2576,T1334),"")</f>
        <v/>
      </c>
      <c r="M1334" s="43"/>
      <c r="P1334" t="str" cm="1">
        <f t="array" ref="P1334">IFERROR(_xlfn.AGGREGATE(15,6,ROW(DB!A$2:A$2576)/((($D$3&lt;&gt;"YES")+($D$3="YES")*(DB!E$2:E$2576="YES"))*(($D$4="")+($D$4&lt;&gt;"")*( DB!B$2:B$2576=$D$4))*(($D$5="")+($D$5&lt;&gt;"")*( DB!C$2:C$2576=$D$5))*(($D$6="")+($D$6&lt;&gt;"")*( DB!D$2:D$2576=$D$6))*(($D$7="")+($D$7&lt;&gt;"")*(ISNUMBER(SEARCH($D$7,DB!G$2:G$2576))))*(($F$7="전체")+($F$7&lt;&gt;"전체")*(DB!H$2:H$2576=$F$7))),ROW()-13)-1,"")</f>
        <v/>
      </c>
      <c r="Q1334" t="str" cm="1">
        <f t="array" ref="Q1334">IFERROR(INDEX(DB!G$2:G$2576,P1334),"")</f>
        <v/>
      </c>
      <c r="R1334" t="str" cm="1">
        <f t="array" ref="R1334">IFERROR(INDEX(DB!O$2:O$2576,P1334),"")</f>
        <v/>
      </c>
      <c r="S1334" t="str">
        <f t="shared" si="63"/>
        <v/>
      </c>
      <c r="T1334" t="str">
        <f t="shared" si="64"/>
        <v/>
      </c>
    </row>
    <row r="1335" spans="1:20" ht="100" customHeight="1">
      <c r="A1335" s="26"/>
      <c r="B1335" s="42" t="str">
        <f t="shared" si="62"/>
        <v/>
      </c>
      <c r="C1335" s="43"/>
      <c r="D1335" s="51" t="str" cm="1">
        <f t="array" ref="D1335">IFERROR(INDEX(DB!G$2:G$2576,T1335),"")</f>
        <v/>
      </c>
      <c r="E1335" s="43"/>
      <c r="F1335" s="52" t="str" cm="1">
        <f t="array" ref="F1335">IFERROR(INDEX(DB!O$2:O$2576,T1335),"")</f>
        <v/>
      </c>
      <c r="G1335" s="43"/>
      <c r="H1335" s="40" t="str" cm="1">
        <f t="array" ref="H1335">IFERROR(INDEX(DB!P$2:P$2576,T1335),"")</f>
        <v/>
      </c>
      <c r="I1335" s="43"/>
      <c r="J1335" s="53" t="str" cm="1">
        <f t="array" ref="J1335">IFERROR(INDEX(DB!Q$2:Q$2576,T1335),"")</f>
        <v/>
      </c>
      <c r="K1335" s="43"/>
      <c r="L1335" s="41" t="str" cm="1">
        <f t="array" ref="L1335">IFERROR(INDEX(DB!R$2:R$2576,T1335),"")</f>
        <v/>
      </c>
      <c r="M1335" s="43"/>
      <c r="P1335" t="str" cm="1">
        <f t="array" ref="P1335">IFERROR(_xlfn.AGGREGATE(15,6,ROW(DB!A$2:A$2576)/((($D$3&lt;&gt;"YES")+($D$3="YES")*(DB!E$2:E$2576="YES"))*(($D$4="")+($D$4&lt;&gt;"")*( DB!B$2:B$2576=$D$4))*(($D$5="")+($D$5&lt;&gt;"")*( DB!C$2:C$2576=$D$5))*(($D$6="")+($D$6&lt;&gt;"")*( DB!D$2:D$2576=$D$6))*(($D$7="")+($D$7&lt;&gt;"")*(ISNUMBER(SEARCH($D$7,DB!G$2:G$2576))))*(($F$7="전체")+($F$7&lt;&gt;"전체")*(DB!H$2:H$2576=$F$7))),ROW()-13)-1,"")</f>
        <v/>
      </c>
      <c r="Q1335" t="str" cm="1">
        <f t="array" ref="Q1335">IFERROR(INDEX(DB!G$2:G$2576,P1335),"")</f>
        <v/>
      </c>
      <c r="R1335" t="str" cm="1">
        <f t="array" ref="R1335">IFERROR(INDEX(DB!O$2:O$2576,P1335),"")</f>
        <v/>
      </c>
      <c r="S1335" t="str">
        <f t="shared" si="63"/>
        <v/>
      </c>
      <c r="T1335" t="str">
        <f t="shared" si="64"/>
        <v/>
      </c>
    </row>
    <row r="1336" spans="1:20" ht="100" customHeight="1">
      <c r="A1336" s="26"/>
      <c r="B1336" s="39" t="str">
        <f t="shared" si="62"/>
        <v/>
      </c>
      <c r="C1336" s="43"/>
      <c r="D1336" s="51" t="str" cm="1">
        <f t="array" ref="D1336">IFERROR(INDEX(DB!G$2:G$2576,T1336),"")</f>
        <v/>
      </c>
      <c r="E1336" s="43"/>
      <c r="F1336" s="52" t="str" cm="1">
        <f t="array" ref="F1336">IFERROR(INDEX(DB!O$2:O$2576,T1336),"")</f>
        <v/>
      </c>
      <c r="G1336" s="43"/>
      <c r="H1336" s="40" t="str" cm="1">
        <f t="array" ref="H1336">IFERROR(INDEX(DB!P$2:P$2576,T1336),"")</f>
        <v/>
      </c>
      <c r="I1336" s="43"/>
      <c r="J1336" s="53" t="str" cm="1">
        <f t="array" ref="J1336">IFERROR(INDEX(DB!Q$2:Q$2576,T1336),"")</f>
        <v/>
      </c>
      <c r="K1336" s="43"/>
      <c r="L1336" s="41" t="str" cm="1">
        <f t="array" ref="L1336">IFERROR(INDEX(DB!R$2:R$2576,T1336),"")</f>
        <v/>
      </c>
      <c r="M1336" s="43"/>
      <c r="P1336" t="str" cm="1">
        <f t="array" ref="P1336">IFERROR(_xlfn.AGGREGATE(15,6,ROW(DB!A$2:A$2576)/((($D$3&lt;&gt;"YES")+($D$3="YES")*(DB!E$2:E$2576="YES"))*(($D$4="")+($D$4&lt;&gt;"")*( DB!B$2:B$2576=$D$4))*(($D$5="")+($D$5&lt;&gt;"")*( DB!C$2:C$2576=$D$5))*(($D$6="")+($D$6&lt;&gt;"")*( DB!D$2:D$2576=$D$6))*(($D$7="")+($D$7&lt;&gt;"")*(ISNUMBER(SEARCH($D$7,DB!G$2:G$2576))))*(($F$7="전체")+($F$7&lt;&gt;"전체")*(DB!H$2:H$2576=$F$7))),ROW()-13)-1,"")</f>
        <v/>
      </c>
      <c r="Q1336" t="str" cm="1">
        <f t="array" ref="Q1336">IFERROR(INDEX(DB!G$2:G$2576,P1336),"")</f>
        <v/>
      </c>
      <c r="R1336" t="str" cm="1">
        <f t="array" ref="R1336">IFERROR(INDEX(DB!O$2:O$2576,P1336),"")</f>
        <v/>
      </c>
      <c r="S1336" t="str">
        <f t="shared" si="63"/>
        <v/>
      </c>
      <c r="T1336" t="str">
        <f t="shared" si="64"/>
        <v/>
      </c>
    </row>
    <row r="1337" spans="1:20" ht="100" customHeight="1">
      <c r="A1337" s="26"/>
      <c r="B1337" s="42" t="str">
        <f t="shared" si="62"/>
        <v/>
      </c>
      <c r="C1337" s="43"/>
      <c r="D1337" s="51" t="str" cm="1">
        <f t="array" ref="D1337">IFERROR(INDEX(DB!G$2:G$2576,T1337),"")</f>
        <v/>
      </c>
      <c r="E1337" s="43"/>
      <c r="F1337" s="52" t="str" cm="1">
        <f t="array" ref="F1337">IFERROR(INDEX(DB!O$2:O$2576,T1337),"")</f>
        <v/>
      </c>
      <c r="G1337" s="43"/>
      <c r="H1337" s="40" t="str" cm="1">
        <f t="array" ref="H1337">IFERROR(INDEX(DB!P$2:P$2576,T1337),"")</f>
        <v/>
      </c>
      <c r="I1337" s="43"/>
      <c r="J1337" s="53" t="str" cm="1">
        <f t="array" ref="J1337">IFERROR(INDEX(DB!Q$2:Q$2576,T1337),"")</f>
        <v/>
      </c>
      <c r="K1337" s="43"/>
      <c r="L1337" s="41" t="str" cm="1">
        <f t="array" ref="L1337">IFERROR(INDEX(DB!R$2:R$2576,T1337),"")</f>
        <v/>
      </c>
      <c r="M1337" s="43"/>
      <c r="P1337" t="str" cm="1">
        <f t="array" ref="P1337">IFERROR(_xlfn.AGGREGATE(15,6,ROW(DB!A$2:A$2576)/((($D$3&lt;&gt;"YES")+($D$3="YES")*(DB!E$2:E$2576="YES"))*(($D$4="")+($D$4&lt;&gt;"")*( DB!B$2:B$2576=$D$4))*(($D$5="")+($D$5&lt;&gt;"")*( DB!C$2:C$2576=$D$5))*(($D$6="")+($D$6&lt;&gt;"")*( DB!D$2:D$2576=$D$6))*(($D$7="")+($D$7&lt;&gt;"")*(ISNUMBER(SEARCH($D$7,DB!G$2:G$2576))))*(($F$7="전체")+($F$7&lt;&gt;"전체")*(DB!H$2:H$2576=$F$7))),ROW()-13)-1,"")</f>
        <v/>
      </c>
      <c r="Q1337" t="str" cm="1">
        <f t="array" ref="Q1337">IFERROR(INDEX(DB!G$2:G$2576,P1337),"")</f>
        <v/>
      </c>
      <c r="R1337" t="str" cm="1">
        <f t="array" ref="R1337">IFERROR(INDEX(DB!O$2:O$2576,P1337),"")</f>
        <v/>
      </c>
      <c r="S1337" t="str">
        <f t="shared" si="63"/>
        <v/>
      </c>
      <c r="T1337" t="str">
        <f t="shared" si="64"/>
        <v/>
      </c>
    </row>
    <row r="1338" spans="1:20" ht="100" customHeight="1">
      <c r="A1338" s="26"/>
      <c r="B1338" s="39" t="str">
        <f t="shared" si="62"/>
        <v/>
      </c>
      <c r="C1338" s="43"/>
      <c r="D1338" s="51" t="str" cm="1">
        <f t="array" ref="D1338">IFERROR(INDEX(DB!G$2:G$2576,T1338),"")</f>
        <v/>
      </c>
      <c r="E1338" s="43"/>
      <c r="F1338" s="52" t="str" cm="1">
        <f t="array" ref="F1338">IFERROR(INDEX(DB!O$2:O$2576,T1338),"")</f>
        <v/>
      </c>
      <c r="G1338" s="43"/>
      <c r="H1338" s="40" t="str" cm="1">
        <f t="array" ref="H1338">IFERROR(INDEX(DB!P$2:P$2576,T1338),"")</f>
        <v/>
      </c>
      <c r="I1338" s="43"/>
      <c r="J1338" s="53" t="str" cm="1">
        <f t="array" ref="J1338">IFERROR(INDEX(DB!Q$2:Q$2576,T1338),"")</f>
        <v/>
      </c>
      <c r="K1338" s="43"/>
      <c r="L1338" s="41" t="str" cm="1">
        <f t="array" ref="L1338">IFERROR(INDEX(DB!R$2:R$2576,T1338),"")</f>
        <v/>
      </c>
      <c r="M1338" s="43"/>
      <c r="P1338" t="str" cm="1">
        <f t="array" ref="P1338">IFERROR(_xlfn.AGGREGATE(15,6,ROW(DB!A$2:A$2576)/((($D$3&lt;&gt;"YES")+($D$3="YES")*(DB!E$2:E$2576="YES"))*(($D$4="")+($D$4&lt;&gt;"")*( DB!B$2:B$2576=$D$4))*(($D$5="")+($D$5&lt;&gt;"")*( DB!C$2:C$2576=$D$5))*(($D$6="")+($D$6&lt;&gt;"")*( DB!D$2:D$2576=$D$6))*(($D$7="")+($D$7&lt;&gt;"")*(ISNUMBER(SEARCH($D$7,DB!G$2:G$2576))))*(($F$7="전체")+($F$7&lt;&gt;"전체")*(DB!H$2:H$2576=$F$7))),ROW()-13)-1,"")</f>
        <v/>
      </c>
      <c r="Q1338" t="str" cm="1">
        <f t="array" ref="Q1338">IFERROR(INDEX(DB!G$2:G$2576,P1338),"")</f>
        <v/>
      </c>
      <c r="R1338" t="str" cm="1">
        <f t="array" ref="R1338">IFERROR(INDEX(DB!O$2:O$2576,P1338),"")</f>
        <v/>
      </c>
      <c r="S1338" t="str">
        <f t="shared" si="63"/>
        <v/>
      </c>
      <c r="T1338" t="str">
        <f t="shared" si="64"/>
        <v/>
      </c>
    </row>
    <row r="1339" spans="1:20" ht="100" customHeight="1">
      <c r="A1339" s="26"/>
      <c r="B1339" s="42" t="str">
        <f t="shared" si="62"/>
        <v/>
      </c>
      <c r="C1339" s="43"/>
      <c r="D1339" s="51" t="str" cm="1">
        <f t="array" ref="D1339">IFERROR(INDEX(DB!G$2:G$2576,T1339),"")</f>
        <v/>
      </c>
      <c r="E1339" s="43"/>
      <c r="F1339" s="52" t="str" cm="1">
        <f t="array" ref="F1339">IFERROR(INDEX(DB!O$2:O$2576,T1339),"")</f>
        <v/>
      </c>
      <c r="G1339" s="43"/>
      <c r="H1339" s="40" t="str" cm="1">
        <f t="array" ref="H1339">IFERROR(INDEX(DB!P$2:P$2576,T1339),"")</f>
        <v/>
      </c>
      <c r="I1339" s="43"/>
      <c r="J1339" s="53" t="str" cm="1">
        <f t="array" ref="J1339">IFERROR(INDEX(DB!Q$2:Q$2576,T1339),"")</f>
        <v/>
      </c>
      <c r="K1339" s="43"/>
      <c r="L1339" s="41" t="str" cm="1">
        <f t="array" ref="L1339">IFERROR(INDEX(DB!R$2:R$2576,T1339),"")</f>
        <v/>
      </c>
      <c r="M1339" s="43"/>
      <c r="P1339" t="str" cm="1">
        <f t="array" ref="P1339">IFERROR(_xlfn.AGGREGATE(15,6,ROW(DB!A$2:A$2576)/((($D$3&lt;&gt;"YES")+($D$3="YES")*(DB!E$2:E$2576="YES"))*(($D$4="")+($D$4&lt;&gt;"")*( DB!B$2:B$2576=$D$4))*(($D$5="")+($D$5&lt;&gt;"")*( DB!C$2:C$2576=$D$5))*(($D$6="")+($D$6&lt;&gt;"")*( DB!D$2:D$2576=$D$6))*(($D$7="")+($D$7&lt;&gt;"")*(ISNUMBER(SEARCH($D$7,DB!G$2:G$2576))))*(($F$7="전체")+($F$7&lt;&gt;"전체")*(DB!H$2:H$2576=$F$7))),ROW()-13)-1,"")</f>
        <v/>
      </c>
      <c r="Q1339" t="str" cm="1">
        <f t="array" ref="Q1339">IFERROR(INDEX(DB!G$2:G$2576,P1339),"")</f>
        <v/>
      </c>
      <c r="R1339" t="str" cm="1">
        <f t="array" ref="R1339">IFERROR(INDEX(DB!O$2:O$2576,P1339),"")</f>
        <v/>
      </c>
      <c r="S1339" t="str">
        <f t="shared" si="63"/>
        <v/>
      </c>
      <c r="T1339" t="str">
        <f t="shared" si="64"/>
        <v/>
      </c>
    </row>
    <row r="1340" spans="1:20" ht="100" customHeight="1">
      <c r="A1340" s="26"/>
      <c r="B1340" s="39" t="str">
        <f t="shared" si="62"/>
        <v/>
      </c>
      <c r="C1340" s="43"/>
      <c r="D1340" s="51" t="str" cm="1">
        <f t="array" ref="D1340">IFERROR(INDEX(DB!G$2:G$2576,T1340),"")</f>
        <v/>
      </c>
      <c r="E1340" s="43"/>
      <c r="F1340" s="52" t="str" cm="1">
        <f t="array" ref="F1340">IFERROR(INDEX(DB!O$2:O$2576,T1340),"")</f>
        <v/>
      </c>
      <c r="G1340" s="43"/>
      <c r="H1340" s="40" t="str" cm="1">
        <f t="array" ref="H1340">IFERROR(INDEX(DB!P$2:P$2576,T1340),"")</f>
        <v/>
      </c>
      <c r="I1340" s="43"/>
      <c r="J1340" s="53" t="str" cm="1">
        <f t="array" ref="J1340">IFERROR(INDEX(DB!Q$2:Q$2576,T1340),"")</f>
        <v/>
      </c>
      <c r="K1340" s="43"/>
      <c r="L1340" s="41" t="str" cm="1">
        <f t="array" ref="L1340">IFERROR(INDEX(DB!R$2:R$2576,T1340),"")</f>
        <v/>
      </c>
      <c r="M1340" s="43"/>
      <c r="P1340" t="str" cm="1">
        <f t="array" ref="P1340">IFERROR(_xlfn.AGGREGATE(15,6,ROW(DB!A$2:A$2576)/((($D$3&lt;&gt;"YES")+($D$3="YES")*(DB!E$2:E$2576="YES"))*(($D$4="")+($D$4&lt;&gt;"")*( DB!B$2:B$2576=$D$4))*(($D$5="")+($D$5&lt;&gt;"")*( DB!C$2:C$2576=$D$5))*(($D$6="")+($D$6&lt;&gt;"")*( DB!D$2:D$2576=$D$6))*(($D$7="")+($D$7&lt;&gt;"")*(ISNUMBER(SEARCH($D$7,DB!G$2:G$2576))))*(($F$7="전체")+($F$7&lt;&gt;"전체")*(DB!H$2:H$2576=$F$7))),ROW()-13)-1,"")</f>
        <v/>
      </c>
      <c r="Q1340" t="str" cm="1">
        <f t="array" ref="Q1340">IFERROR(INDEX(DB!G$2:G$2576,P1340),"")</f>
        <v/>
      </c>
      <c r="R1340" t="str" cm="1">
        <f t="array" ref="R1340">IFERROR(INDEX(DB!O$2:O$2576,P1340),"")</f>
        <v/>
      </c>
      <c r="S1340" t="str">
        <f t="shared" si="63"/>
        <v/>
      </c>
      <c r="T1340" t="str">
        <f t="shared" si="64"/>
        <v/>
      </c>
    </row>
    <row r="1341" spans="1:20" ht="100" customHeight="1">
      <c r="A1341" s="26"/>
      <c r="B1341" s="42" t="str">
        <f t="shared" si="62"/>
        <v/>
      </c>
      <c r="C1341" s="43"/>
      <c r="D1341" s="51" t="str" cm="1">
        <f t="array" ref="D1341">IFERROR(INDEX(DB!G$2:G$2576,T1341),"")</f>
        <v/>
      </c>
      <c r="E1341" s="43"/>
      <c r="F1341" s="52" t="str" cm="1">
        <f t="array" ref="F1341">IFERROR(INDEX(DB!O$2:O$2576,T1341),"")</f>
        <v/>
      </c>
      <c r="G1341" s="43"/>
      <c r="H1341" s="40" t="str" cm="1">
        <f t="array" ref="H1341">IFERROR(INDEX(DB!P$2:P$2576,T1341),"")</f>
        <v/>
      </c>
      <c r="I1341" s="43"/>
      <c r="J1341" s="53" t="str" cm="1">
        <f t="array" ref="J1341">IFERROR(INDEX(DB!Q$2:Q$2576,T1341),"")</f>
        <v/>
      </c>
      <c r="K1341" s="43"/>
      <c r="L1341" s="41" t="str" cm="1">
        <f t="array" ref="L1341">IFERROR(INDEX(DB!R$2:R$2576,T1341),"")</f>
        <v/>
      </c>
      <c r="M1341" s="43"/>
      <c r="P1341" t="str" cm="1">
        <f t="array" ref="P1341">IFERROR(_xlfn.AGGREGATE(15,6,ROW(DB!A$2:A$2576)/((($D$3&lt;&gt;"YES")+($D$3="YES")*(DB!E$2:E$2576="YES"))*(($D$4="")+($D$4&lt;&gt;"")*( DB!B$2:B$2576=$D$4))*(($D$5="")+($D$5&lt;&gt;"")*( DB!C$2:C$2576=$D$5))*(($D$6="")+($D$6&lt;&gt;"")*( DB!D$2:D$2576=$D$6))*(($D$7="")+($D$7&lt;&gt;"")*(ISNUMBER(SEARCH($D$7,DB!G$2:G$2576))))*(($F$7="전체")+($F$7&lt;&gt;"전체")*(DB!H$2:H$2576=$F$7))),ROW()-13)-1,"")</f>
        <v/>
      </c>
      <c r="Q1341" t="str" cm="1">
        <f t="array" ref="Q1341">IFERROR(INDEX(DB!G$2:G$2576,P1341),"")</f>
        <v/>
      </c>
      <c r="R1341" t="str" cm="1">
        <f t="array" ref="R1341">IFERROR(INDEX(DB!O$2:O$2576,P1341),"")</f>
        <v/>
      </c>
      <c r="S1341" t="str">
        <f t="shared" si="63"/>
        <v/>
      </c>
      <c r="T1341" t="str">
        <f t="shared" si="64"/>
        <v/>
      </c>
    </row>
    <row r="1342" spans="1:20" ht="100" customHeight="1">
      <c r="A1342" s="26"/>
      <c r="B1342" s="39" t="str">
        <f t="shared" si="62"/>
        <v/>
      </c>
      <c r="C1342" s="43"/>
      <c r="D1342" s="51" t="str" cm="1">
        <f t="array" ref="D1342">IFERROR(INDEX(DB!G$2:G$2576,T1342),"")</f>
        <v/>
      </c>
      <c r="E1342" s="43"/>
      <c r="F1342" s="52" t="str" cm="1">
        <f t="array" ref="F1342">IFERROR(INDEX(DB!O$2:O$2576,T1342),"")</f>
        <v/>
      </c>
      <c r="G1342" s="43"/>
      <c r="H1342" s="40" t="str" cm="1">
        <f t="array" ref="H1342">IFERROR(INDEX(DB!P$2:P$2576,T1342),"")</f>
        <v/>
      </c>
      <c r="I1342" s="43"/>
      <c r="J1342" s="53" t="str" cm="1">
        <f t="array" ref="J1342">IFERROR(INDEX(DB!Q$2:Q$2576,T1342),"")</f>
        <v/>
      </c>
      <c r="K1342" s="43"/>
      <c r="L1342" s="41" t="str" cm="1">
        <f t="array" ref="L1342">IFERROR(INDEX(DB!R$2:R$2576,T1342),"")</f>
        <v/>
      </c>
      <c r="M1342" s="43"/>
      <c r="P1342" t="str" cm="1">
        <f t="array" ref="P1342">IFERROR(_xlfn.AGGREGATE(15,6,ROW(DB!A$2:A$2576)/((($D$3&lt;&gt;"YES")+($D$3="YES")*(DB!E$2:E$2576="YES"))*(($D$4="")+($D$4&lt;&gt;"")*( DB!B$2:B$2576=$D$4))*(($D$5="")+($D$5&lt;&gt;"")*( DB!C$2:C$2576=$D$5))*(($D$6="")+($D$6&lt;&gt;"")*( DB!D$2:D$2576=$D$6))*(($D$7="")+($D$7&lt;&gt;"")*(ISNUMBER(SEARCH($D$7,DB!G$2:G$2576))))*(($F$7="전체")+($F$7&lt;&gt;"전체")*(DB!H$2:H$2576=$F$7))),ROW()-13)-1,"")</f>
        <v/>
      </c>
      <c r="Q1342" t="str" cm="1">
        <f t="array" ref="Q1342">IFERROR(INDEX(DB!G$2:G$2576,P1342),"")</f>
        <v/>
      </c>
      <c r="R1342" t="str" cm="1">
        <f t="array" ref="R1342">IFERROR(INDEX(DB!O$2:O$2576,P1342),"")</f>
        <v/>
      </c>
      <c r="S1342" t="str">
        <f t="shared" si="63"/>
        <v/>
      </c>
      <c r="T1342" t="str">
        <f t="shared" si="64"/>
        <v/>
      </c>
    </row>
    <row r="1343" spans="1:20" ht="100" customHeight="1">
      <c r="A1343" s="26"/>
      <c r="B1343" s="42" t="str">
        <f t="shared" si="62"/>
        <v/>
      </c>
      <c r="C1343" s="43"/>
      <c r="D1343" s="51" t="str" cm="1">
        <f t="array" ref="D1343">IFERROR(INDEX(DB!G$2:G$2576,T1343),"")</f>
        <v/>
      </c>
      <c r="E1343" s="43"/>
      <c r="F1343" s="52" t="str" cm="1">
        <f t="array" ref="F1343">IFERROR(INDEX(DB!O$2:O$2576,T1343),"")</f>
        <v/>
      </c>
      <c r="G1343" s="43"/>
      <c r="H1343" s="40" t="str" cm="1">
        <f t="array" ref="H1343">IFERROR(INDEX(DB!P$2:P$2576,T1343),"")</f>
        <v/>
      </c>
      <c r="I1343" s="43"/>
      <c r="J1343" s="53" t="str" cm="1">
        <f t="array" ref="J1343">IFERROR(INDEX(DB!Q$2:Q$2576,T1343),"")</f>
        <v/>
      </c>
      <c r="K1343" s="43"/>
      <c r="L1343" s="41" t="str" cm="1">
        <f t="array" ref="L1343">IFERROR(INDEX(DB!R$2:R$2576,T1343),"")</f>
        <v/>
      </c>
      <c r="M1343" s="43"/>
      <c r="P1343" t="str" cm="1">
        <f t="array" ref="P1343">IFERROR(_xlfn.AGGREGATE(15,6,ROW(DB!A$2:A$2576)/((($D$3&lt;&gt;"YES")+($D$3="YES")*(DB!E$2:E$2576="YES"))*(($D$4="")+($D$4&lt;&gt;"")*( DB!B$2:B$2576=$D$4))*(($D$5="")+($D$5&lt;&gt;"")*( DB!C$2:C$2576=$D$5))*(($D$6="")+($D$6&lt;&gt;"")*( DB!D$2:D$2576=$D$6))*(($D$7="")+($D$7&lt;&gt;"")*(ISNUMBER(SEARCH($D$7,DB!G$2:G$2576))))*(($F$7="전체")+($F$7&lt;&gt;"전체")*(DB!H$2:H$2576=$F$7))),ROW()-13)-1,"")</f>
        <v/>
      </c>
      <c r="Q1343" t="str" cm="1">
        <f t="array" ref="Q1343">IFERROR(INDEX(DB!G$2:G$2576,P1343),"")</f>
        <v/>
      </c>
      <c r="R1343" t="str" cm="1">
        <f t="array" ref="R1343">IFERROR(INDEX(DB!O$2:O$2576,P1343),"")</f>
        <v/>
      </c>
      <c r="S1343" t="str">
        <f t="shared" si="63"/>
        <v/>
      </c>
      <c r="T1343" t="str">
        <f t="shared" si="64"/>
        <v/>
      </c>
    </row>
    <row r="1344" spans="1:20" ht="100" customHeight="1">
      <c r="A1344" s="26"/>
      <c r="B1344" s="39" t="str">
        <f t="shared" si="62"/>
        <v/>
      </c>
      <c r="C1344" s="43"/>
      <c r="D1344" s="51" t="str" cm="1">
        <f t="array" ref="D1344">IFERROR(INDEX(DB!G$2:G$2576,T1344),"")</f>
        <v/>
      </c>
      <c r="E1344" s="43"/>
      <c r="F1344" s="52" t="str" cm="1">
        <f t="array" ref="F1344">IFERROR(INDEX(DB!O$2:O$2576,T1344),"")</f>
        <v/>
      </c>
      <c r="G1344" s="43"/>
      <c r="H1344" s="40" t="str" cm="1">
        <f t="array" ref="H1344">IFERROR(INDEX(DB!P$2:P$2576,T1344),"")</f>
        <v/>
      </c>
      <c r="I1344" s="43"/>
      <c r="J1344" s="53" t="str" cm="1">
        <f t="array" ref="J1344">IFERROR(INDEX(DB!Q$2:Q$2576,T1344),"")</f>
        <v/>
      </c>
      <c r="K1344" s="43"/>
      <c r="L1344" s="41" t="str" cm="1">
        <f t="array" ref="L1344">IFERROR(INDEX(DB!R$2:R$2576,T1344),"")</f>
        <v/>
      </c>
      <c r="M1344" s="43"/>
      <c r="P1344" t="str" cm="1">
        <f t="array" ref="P1344">IFERROR(_xlfn.AGGREGATE(15,6,ROW(DB!A$2:A$2576)/((($D$3&lt;&gt;"YES")+($D$3="YES")*(DB!E$2:E$2576="YES"))*(($D$4="")+($D$4&lt;&gt;"")*( DB!B$2:B$2576=$D$4))*(($D$5="")+($D$5&lt;&gt;"")*( DB!C$2:C$2576=$D$5))*(($D$6="")+($D$6&lt;&gt;"")*( DB!D$2:D$2576=$D$6))*(($D$7="")+($D$7&lt;&gt;"")*(ISNUMBER(SEARCH($D$7,DB!G$2:G$2576))))*(($F$7="전체")+($F$7&lt;&gt;"전체")*(DB!H$2:H$2576=$F$7))),ROW()-13)-1,"")</f>
        <v/>
      </c>
      <c r="Q1344" t="str" cm="1">
        <f t="array" ref="Q1344">IFERROR(INDEX(DB!G$2:G$2576,P1344),"")</f>
        <v/>
      </c>
      <c r="R1344" t="str" cm="1">
        <f t="array" ref="R1344">IFERROR(INDEX(DB!O$2:O$2576,P1344),"")</f>
        <v/>
      </c>
      <c r="S1344" t="str">
        <f t="shared" si="63"/>
        <v/>
      </c>
      <c r="T1344" t="str">
        <f t="shared" si="64"/>
        <v/>
      </c>
    </row>
    <row r="1345" spans="1:20" ht="100" customHeight="1">
      <c r="A1345" s="26"/>
      <c r="B1345" s="42" t="str">
        <f t="shared" si="62"/>
        <v/>
      </c>
      <c r="C1345" s="43"/>
      <c r="D1345" s="51" t="str" cm="1">
        <f t="array" ref="D1345">IFERROR(INDEX(DB!G$2:G$2576,T1345),"")</f>
        <v/>
      </c>
      <c r="E1345" s="43"/>
      <c r="F1345" s="52" t="str" cm="1">
        <f t="array" ref="F1345">IFERROR(INDEX(DB!O$2:O$2576,T1345),"")</f>
        <v/>
      </c>
      <c r="G1345" s="43"/>
      <c r="H1345" s="40" t="str" cm="1">
        <f t="array" ref="H1345">IFERROR(INDEX(DB!P$2:P$2576,T1345),"")</f>
        <v/>
      </c>
      <c r="I1345" s="43"/>
      <c r="J1345" s="53" t="str" cm="1">
        <f t="array" ref="J1345">IFERROR(INDEX(DB!Q$2:Q$2576,T1345),"")</f>
        <v/>
      </c>
      <c r="K1345" s="43"/>
      <c r="L1345" s="41" t="str" cm="1">
        <f t="array" ref="L1345">IFERROR(INDEX(DB!R$2:R$2576,T1345),"")</f>
        <v/>
      </c>
      <c r="M1345" s="43"/>
      <c r="P1345" t="str" cm="1">
        <f t="array" ref="P1345">IFERROR(_xlfn.AGGREGATE(15,6,ROW(DB!A$2:A$2576)/((($D$3&lt;&gt;"YES")+($D$3="YES")*(DB!E$2:E$2576="YES"))*(($D$4="")+($D$4&lt;&gt;"")*( DB!B$2:B$2576=$D$4))*(($D$5="")+($D$5&lt;&gt;"")*( DB!C$2:C$2576=$D$5))*(($D$6="")+($D$6&lt;&gt;"")*( DB!D$2:D$2576=$D$6))*(($D$7="")+($D$7&lt;&gt;"")*(ISNUMBER(SEARCH($D$7,DB!G$2:G$2576))))*(($F$7="전체")+($F$7&lt;&gt;"전체")*(DB!H$2:H$2576=$F$7))),ROW()-13)-1,"")</f>
        <v/>
      </c>
      <c r="Q1345" t="str" cm="1">
        <f t="array" ref="Q1345">IFERROR(INDEX(DB!G$2:G$2576,P1345),"")</f>
        <v/>
      </c>
      <c r="R1345" t="str" cm="1">
        <f t="array" ref="R1345">IFERROR(INDEX(DB!O$2:O$2576,P1345),"")</f>
        <v/>
      </c>
      <c r="S1345" t="str">
        <f t="shared" si="63"/>
        <v/>
      </c>
      <c r="T1345" t="str">
        <f t="shared" si="64"/>
        <v/>
      </c>
    </row>
    <row r="1346" spans="1:20" ht="100" customHeight="1">
      <c r="A1346" s="26"/>
      <c r="B1346" s="39" t="str">
        <f t="shared" si="62"/>
        <v/>
      </c>
      <c r="C1346" s="43"/>
      <c r="D1346" s="51" t="str" cm="1">
        <f t="array" ref="D1346">IFERROR(INDEX(DB!G$2:G$2576,T1346),"")</f>
        <v/>
      </c>
      <c r="E1346" s="43"/>
      <c r="F1346" s="52" t="str" cm="1">
        <f t="array" ref="F1346">IFERROR(INDEX(DB!O$2:O$2576,T1346),"")</f>
        <v/>
      </c>
      <c r="G1346" s="43"/>
      <c r="H1346" s="40" t="str" cm="1">
        <f t="array" ref="H1346">IFERROR(INDEX(DB!P$2:P$2576,T1346),"")</f>
        <v/>
      </c>
      <c r="I1346" s="43"/>
      <c r="J1346" s="53" t="str" cm="1">
        <f t="array" ref="J1346">IFERROR(INDEX(DB!Q$2:Q$2576,T1346),"")</f>
        <v/>
      </c>
      <c r="K1346" s="43"/>
      <c r="L1346" s="41" t="str" cm="1">
        <f t="array" ref="L1346">IFERROR(INDEX(DB!R$2:R$2576,T1346),"")</f>
        <v/>
      </c>
      <c r="M1346" s="43"/>
      <c r="P1346" t="str" cm="1">
        <f t="array" ref="P1346">IFERROR(_xlfn.AGGREGATE(15,6,ROW(DB!A$2:A$2576)/((($D$3&lt;&gt;"YES")+($D$3="YES")*(DB!E$2:E$2576="YES"))*(($D$4="")+($D$4&lt;&gt;"")*( DB!B$2:B$2576=$D$4))*(($D$5="")+($D$5&lt;&gt;"")*( DB!C$2:C$2576=$D$5))*(($D$6="")+($D$6&lt;&gt;"")*( DB!D$2:D$2576=$D$6))*(($D$7="")+($D$7&lt;&gt;"")*(ISNUMBER(SEARCH($D$7,DB!G$2:G$2576))))*(($F$7="전체")+($F$7&lt;&gt;"전체")*(DB!H$2:H$2576=$F$7))),ROW()-13)-1,"")</f>
        <v/>
      </c>
      <c r="Q1346" t="str" cm="1">
        <f t="array" ref="Q1346">IFERROR(INDEX(DB!G$2:G$2576,P1346),"")</f>
        <v/>
      </c>
      <c r="R1346" t="str" cm="1">
        <f t="array" ref="R1346">IFERROR(INDEX(DB!O$2:O$2576,P1346),"")</f>
        <v/>
      </c>
      <c r="S1346" t="str">
        <f t="shared" si="63"/>
        <v/>
      </c>
      <c r="T1346" t="str">
        <f t="shared" si="64"/>
        <v/>
      </c>
    </row>
    <row r="1347" spans="1:20" ht="100" customHeight="1">
      <c r="A1347" s="26"/>
      <c r="B1347" s="42" t="str">
        <f t="shared" si="62"/>
        <v/>
      </c>
      <c r="C1347" s="43"/>
      <c r="D1347" s="51" t="str" cm="1">
        <f t="array" ref="D1347">IFERROR(INDEX(DB!G$2:G$2576,T1347),"")</f>
        <v/>
      </c>
      <c r="E1347" s="43"/>
      <c r="F1347" s="52" t="str" cm="1">
        <f t="array" ref="F1347">IFERROR(INDEX(DB!O$2:O$2576,T1347),"")</f>
        <v/>
      </c>
      <c r="G1347" s="43"/>
      <c r="H1347" s="40" t="str" cm="1">
        <f t="array" ref="H1347">IFERROR(INDEX(DB!P$2:P$2576,T1347),"")</f>
        <v/>
      </c>
      <c r="I1347" s="43"/>
      <c r="J1347" s="53" t="str" cm="1">
        <f t="array" ref="J1347">IFERROR(INDEX(DB!Q$2:Q$2576,T1347),"")</f>
        <v/>
      </c>
      <c r="K1347" s="43"/>
      <c r="L1347" s="41" t="str" cm="1">
        <f t="array" ref="L1347">IFERROR(INDEX(DB!R$2:R$2576,T1347),"")</f>
        <v/>
      </c>
      <c r="M1347" s="43"/>
      <c r="P1347" t="str" cm="1">
        <f t="array" ref="P1347">IFERROR(_xlfn.AGGREGATE(15,6,ROW(DB!A$2:A$2576)/((($D$3&lt;&gt;"YES")+($D$3="YES")*(DB!E$2:E$2576="YES"))*(($D$4="")+($D$4&lt;&gt;"")*( DB!B$2:B$2576=$D$4))*(($D$5="")+($D$5&lt;&gt;"")*( DB!C$2:C$2576=$D$5))*(($D$6="")+($D$6&lt;&gt;"")*( DB!D$2:D$2576=$D$6))*(($D$7="")+($D$7&lt;&gt;"")*(ISNUMBER(SEARCH($D$7,DB!G$2:G$2576))))*(($F$7="전체")+($F$7&lt;&gt;"전체")*(DB!H$2:H$2576=$F$7))),ROW()-13)-1,"")</f>
        <v/>
      </c>
      <c r="Q1347" t="str" cm="1">
        <f t="array" ref="Q1347">IFERROR(INDEX(DB!G$2:G$2576,P1347),"")</f>
        <v/>
      </c>
      <c r="R1347" t="str" cm="1">
        <f t="array" ref="R1347">IFERROR(INDEX(DB!O$2:O$2576,P1347),"")</f>
        <v/>
      </c>
      <c r="S1347" t="str">
        <f t="shared" si="63"/>
        <v/>
      </c>
      <c r="T1347" t="str">
        <f t="shared" si="64"/>
        <v/>
      </c>
    </row>
    <row r="1348" spans="1:20" ht="100" customHeight="1">
      <c r="A1348" s="26"/>
      <c r="B1348" s="39" t="str">
        <f t="shared" si="62"/>
        <v/>
      </c>
      <c r="C1348" s="43"/>
      <c r="D1348" s="51" t="str" cm="1">
        <f t="array" ref="D1348">IFERROR(INDEX(DB!G$2:G$2576,T1348),"")</f>
        <v/>
      </c>
      <c r="E1348" s="43"/>
      <c r="F1348" s="52" t="str" cm="1">
        <f t="array" ref="F1348">IFERROR(INDEX(DB!O$2:O$2576,T1348),"")</f>
        <v/>
      </c>
      <c r="G1348" s="43"/>
      <c r="H1348" s="40" t="str" cm="1">
        <f t="array" ref="H1348">IFERROR(INDEX(DB!P$2:P$2576,T1348),"")</f>
        <v/>
      </c>
      <c r="I1348" s="43"/>
      <c r="J1348" s="53" t="str" cm="1">
        <f t="array" ref="J1348">IFERROR(INDEX(DB!Q$2:Q$2576,T1348),"")</f>
        <v/>
      </c>
      <c r="K1348" s="43"/>
      <c r="L1348" s="41" t="str" cm="1">
        <f t="array" ref="L1348">IFERROR(INDEX(DB!R$2:R$2576,T1348),"")</f>
        <v/>
      </c>
      <c r="M1348" s="43"/>
      <c r="P1348" t="str" cm="1">
        <f t="array" ref="P1348">IFERROR(_xlfn.AGGREGATE(15,6,ROW(DB!A$2:A$2576)/((($D$3&lt;&gt;"YES")+($D$3="YES")*(DB!E$2:E$2576="YES"))*(($D$4="")+($D$4&lt;&gt;"")*( DB!B$2:B$2576=$D$4))*(($D$5="")+($D$5&lt;&gt;"")*( DB!C$2:C$2576=$D$5))*(($D$6="")+($D$6&lt;&gt;"")*( DB!D$2:D$2576=$D$6))*(($D$7="")+($D$7&lt;&gt;"")*(ISNUMBER(SEARCH($D$7,DB!G$2:G$2576))))*(($F$7="전체")+($F$7&lt;&gt;"전체")*(DB!H$2:H$2576=$F$7))),ROW()-13)-1,"")</f>
        <v/>
      </c>
      <c r="Q1348" t="str" cm="1">
        <f t="array" ref="Q1348">IFERROR(INDEX(DB!G$2:G$2576,P1348),"")</f>
        <v/>
      </c>
      <c r="R1348" t="str" cm="1">
        <f t="array" ref="R1348">IFERROR(INDEX(DB!O$2:O$2576,P1348),"")</f>
        <v/>
      </c>
      <c r="S1348" t="str">
        <f t="shared" si="63"/>
        <v/>
      </c>
      <c r="T1348" t="str">
        <f t="shared" si="64"/>
        <v/>
      </c>
    </row>
    <row r="1349" spans="1:20" ht="100" customHeight="1">
      <c r="A1349" s="26"/>
      <c r="B1349" s="42" t="str">
        <f t="shared" si="62"/>
        <v/>
      </c>
      <c r="C1349" s="43"/>
      <c r="D1349" s="51" t="str" cm="1">
        <f t="array" ref="D1349">IFERROR(INDEX(DB!G$2:G$2576,T1349),"")</f>
        <v/>
      </c>
      <c r="E1349" s="43"/>
      <c r="F1349" s="52" t="str" cm="1">
        <f t="array" ref="F1349">IFERROR(INDEX(DB!O$2:O$2576,T1349),"")</f>
        <v/>
      </c>
      <c r="G1349" s="43"/>
      <c r="H1349" s="40" t="str" cm="1">
        <f t="array" ref="H1349">IFERROR(INDEX(DB!P$2:P$2576,T1349),"")</f>
        <v/>
      </c>
      <c r="I1349" s="43"/>
      <c r="J1349" s="53" t="str" cm="1">
        <f t="array" ref="J1349">IFERROR(INDEX(DB!Q$2:Q$2576,T1349),"")</f>
        <v/>
      </c>
      <c r="K1349" s="43"/>
      <c r="L1349" s="41" t="str" cm="1">
        <f t="array" ref="L1349">IFERROR(INDEX(DB!R$2:R$2576,T1349),"")</f>
        <v/>
      </c>
      <c r="M1349" s="43"/>
      <c r="P1349" t="str" cm="1">
        <f t="array" ref="P1349">IFERROR(_xlfn.AGGREGATE(15,6,ROW(DB!A$2:A$2576)/((($D$3&lt;&gt;"YES")+($D$3="YES")*(DB!E$2:E$2576="YES"))*(($D$4="")+($D$4&lt;&gt;"")*( DB!B$2:B$2576=$D$4))*(($D$5="")+($D$5&lt;&gt;"")*( DB!C$2:C$2576=$D$5))*(($D$6="")+($D$6&lt;&gt;"")*( DB!D$2:D$2576=$D$6))*(($D$7="")+($D$7&lt;&gt;"")*(ISNUMBER(SEARCH($D$7,DB!G$2:G$2576))))*(($F$7="전체")+($F$7&lt;&gt;"전체")*(DB!H$2:H$2576=$F$7))),ROW()-13)-1,"")</f>
        <v/>
      </c>
      <c r="Q1349" t="str" cm="1">
        <f t="array" ref="Q1349">IFERROR(INDEX(DB!G$2:G$2576,P1349),"")</f>
        <v/>
      </c>
      <c r="R1349" t="str" cm="1">
        <f t="array" ref="R1349">IFERROR(INDEX(DB!O$2:O$2576,P1349),"")</f>
        <v/>
      </c>
      <c r="S1349" t="str">
        <f t="shared" si="63"/>
        <v/>
      </c>
      <c r="T1349" t="str">
        <f t="shared" si="64"/>
        <v/>
      </c>
    </row>
    <row r="1350" spans="1:20" ht="100" customHeight="1">
      <c r="A1350" s="26"/>
      <c r="B1350" s="39" t="str">
        <f t="shared" si="62"/>
        <v/>
      </c>
      <c r="C1350" s="43"/>
      <c r="D1350" s="51" t="str" cm="1">
        <f t="array" ref="D1350">IFERROR(INDEX(DB!G$2:G$2576,T1350),"")</f>
        <v/>
      </c>
      <c r="E1350" s="43"/>
      <c r="F1350" s="52" t="str" cm="1">
        <f t="array" ref="F1350">IFERROR(INDEX(DB!O$2:O$2576,T1350),"")</f>
        <v/>
      </c>
      <c r="G1350" s="43"/>
      <c r="H1350" s="40" t="str" cm="1">
        <f t="array" ref="H1350">IFERROR(INDEX(DB!P$2:P$2576,T1350),"")</f>
        <v/>
      </c>
      <c r="I1350" s="43"/>
      <c r="J1350" s="53" t="str" cm="1">
        <f t="array" ref="J1350">IFERROR(INDEX(DB!Q$2:Q$2576,T1350),"")</f>
        <v/>
      </c>
      <c r="K1350" s="43"/>
      <c r="L1350" s="41" t="str" cm="1">
        <f t="array" ref="L1350">IFERROR(INDEX(DB!R$2:R$2576,T1350),"")</f>
        <v/>
      </c>
      <c r="M1350" s="43"/>
      <c r="P1350" t="str" cm="1">
        <f t="array" ref="P1350">IFERROR(_xlfn.AGGREGATE(15,6,ROW(DB!A$2:A$2576)/((($D$3&lt;&gt;"YES")+($D$3="YES")*(DB!E$2:E$2576="YES"))*(($D$4="")+($D$4&lt;&gt;"")*( DB!B$2:B$2576=$D$4))*(($D$5="")+($D$5&lt;&gt;"")*( DB!C$2:C$2576=$D$5))*(($D$6="")+($D$6&lt;&gt;"")*( DB!D$2:D$2576=$D$6))*(($D$7="")+($D$7&lt;&gt;"")*(ISNUMBER(SEARCH($D$7,DB!G$2:G$2576))))*(($F$7="전체")+($F$7&lt;&gt;"전체")*(DB!H$2:H$2576=$F$7))),ROW()-13)-1,"")</f>
        <v/>
      </c>
      <c r="Q1350" t="str" cm="1">
        <f t="array" ref="Q1350">IFERROR(INDEX(DB!G$2:G$2576,P1350),"")</f>
        <v/>
      </c>
      <c r="R1350" t="str" cm="1">
        <f t="array" ref="R1350">IFERROR(INDEX(DB!O$2:O$2576,P1350),"")</f>
        <v/>
      </c>
      <c r="S1350" t="str">
        <f t="shared" si="63"/>
        <v/>
      </c>
      <c r="T1350" t="str">
        <f t="shared" si="64"/>
        <v/>
      </c>
    </row>
    <row r="1351" spans="1:20" ht="100" customHeight="1">
      <c r="A1351" s="26"/>
      <c r="B1351" s="42" t="str">
        <f t="shared" si="62"/>
        <v/>
      </c>
      <c r="C1351" s="43"/>
      <c r="D1351" s="51" t="str" cm="1">
        <f t="array" ref="D1351">IFERROR(INDEX(DB!G$2:G$2576,T1351),"")</f>
        <v/>
      </c>
      <c r="E1351" s="43"/>
      <c r="F1351" s="52" t="str" cm="1">
        <f t="array" ref="F1351">IFERROR(INDEX(DB!O$2:O$2576,T1351),"")</f>
        <v/>
      </c>
      <c r="G1351" s="43"/>
      <c r="H1351" s="40" t="str" cm="1">
        <f t="array" ref="H1351">IFERROR(INDEX(DB!P$2:P$2576,T1351),"")</f>
        <v/>
      </c>
      <c r="I1351" s="43"/>
      <c r="J1351" s="53" t="str" cm="1">
        <f t="array" ref="J1351">IFERROR(INDEX(DB!Q$2:Q$2576,T1351),"")</f>
        <v/>
      </c>
      <c r="K1351" s="43"/>
      <c r="L1351" s="41" t="str" cm="1">
        <f t="array" ref="L1351">IFERROR(INDEX(DB!R$2:R$2576,T1351),"")</f>
        <v/>
      </c>
      <c r="M1351" s="43"/>
      <c r="P1351" t="str" cm="1">
        <f t="array" ref="P1351">IFERROR(_xlfn.AGGREGATE(15,6,ROW(DB!A$2:A$2576)/((($D$3&lt;&gt;"YES")+($D$3="YES")*(DB!E$2:E$2576="YES"))*(($D$4="")+($D$4&lt;&gt;"")*( DB!B$2:B$2576=$D$4))*(($D$5="")+($D$5&lt;&gt;"")*( DB!C$2:C$2576=$D$5))*(($D$6="")+($D$6&lt;&gt;"")*( DB!D$2:D$2576=$D$6))*(($D$7="")+($D$7&lt;&gt;"")*(ISNUMBER(SEARCH($D$7,DB!G$2:G$2576))))*(($F$7="전체")+($F$7&lt;&gt;"전체")*(DB!H$2:H$2576=$F$7))),ROW()-13)-1,"")</f>
        <v/>
      </c>
      <c r="Q1351" t="str" cm="1">
        <f t="array" ref="Q1351">IFERROR(INDEX(DB!G$2:G$2576,P1351),"")</f>
        <v/>
      </c>
      <c r="R1351" t="str" cm="1">
        <f t="array" ref="R1351">IFERROR(INDEX(DB!O$2:O$2576,P1351),"")</f>
        <v/>
      </c>
      <c r="S1351" t="str">
        <f t="shared" si="63"/>
        <v/>
      </c>
      <c r="T1351" t="str">
        <f t="shared" si="64"/>
        <v/>
      </c>
    </row>
    <row r="1352" spans="1:20" ht="100" customHeight="1">
      <c r="A1352" s="26"/>
      <c r="B1352" s="39" t="str">
        <f t="shared" si="62"/>
        <v/>
      </c>
      <c r="C1352" s="43"/>
      <c r="D1352" s="51" t="str" cm="1">
        <f t="array" ref="D1352">IFERROR(INDEX(DB!G$2:G$2576,T1352),"")</f>
        <v/>
      </c>
      <c r="E1352" s="43"/>
      <c r="F1352" s="52" t="str" cm="1">
        <f t="array" ref="F1352">IFERROR(INDEX(DB!O$2:O$2576,T1352),"")</f>
        <v/>
      </c>
      <c r="G1352" s="43"/>
      <c r="H1352" s="40" t="str" cm="1">
        <f t="array" ref="H1352">IFERROR(INDEX(DB!P$2:P$2576,T1352),"")</f>
        <v/>
      </c>
      <c r="I1352" s="43"/>
      <c r="J1352" s="53" t="str" cm="1">
        <f t="array" ref="J1352">IFERROR(INDEX(DB!Q$2:Q$2576,T1352),"")</f>
        <v/>
      </c>
      <c r="K1352" s="43"/>
      <c r="L1352" s="41" t="str" cm="1">
        <f t="array" ref="L1352">IFERROR(INDEX(DB!R$2:R$2576,T1352),"")</f>
        <v/>
      </c>
      <c r="M1352" s="43"/>
      <c r="P1352" t="str" cm="1">
        <f t="array" ref="P1352">IFERROR(_xlfn.AGGREGATE(15,6,ROW(DB!A$2:A$2576)/((($D$3&lt;&gt;"YES")+($D$3="YES")*(DB!E$2:E$2576="YES"))*(($D$4="")+($D$4&lt;&gt;"")*( DB!B$2:B$2576=$D$4))*(($D$5="")+($D$5&lt;&gt;"")*( DB!C$2:C$2576=$D$5))*(($D$6="")+($D$6&lt;&gt;"")*( DB!D$2:D$2576=$D$6))*(($D$7="")+($D$7&lt;&gt;"")*(ISNUMBER(SEARCH($D$7,DB!G$2:G$2576))))*(($F$7="전체")+($F$7&lt;&gt;"전체")*(DB!H$2:H$2576=$F$7))),ROW()-13)-1,"")</f>
        <v/>
      </c>
      <c r="Q1352" t="str" cm="1">
        <f t="array" ref="Q1352">IFERROR(INDEX(DB!G$2:G$2576,P1352),"")</f>
        <v/>
      </c>
      <c r="R1352" t="str" cm="1">
        <f t="array" ref="R1352">IFERROR(INDEX(DB!O$2:O$2576,P1352),"")</f>
        <v/>
      </c>
      <c r="S1352" t="str">
        <f t="shared" si="63"/>
        <v/>
      </c>
      <c r="T1352" t="str">
        <f t="shared" si="64"/>
        <v/>
      </c>
    </row>
    <row r="1353" spans="1:20" ht="100" customHeight="1">
      <c r="A1353" s="26"/>
      <c r="B1353" s="42" t="str">
        <f t="shared" si="62"/>
        <v/>
      </c>
      <c r="C1353" s="43"/>
      <c r="D1353" s="51" t="str" cm="1">
        <f t="array" ref="D1353">IFERROR(INDEX(DB!G$2:G$2576,T1353),"")</f>
        <v/>
      </c>
      <c r="E1353" s="43"/>
      <c r="F1353" s="52" t="str" cm="1">
        <f t="array" ref="F1353">IFERROR(INDEX(DB!O$2:O$2576,T1353),"")</f>
        <v/>
      </c>
      <c r="G1353" s="43"/>
      <c r="H1353" s="40" t="str" cm="1">
        <f t="array" ref="H1353">IFERROR(INDEX(DB!P$2:P$2576,T1353),"")</f>
        <v/>
      </c>
      <c r="I1353" s="43"/>
      <c r="J1353" s="53" t="str" cm="1">
        <f t="array" ref="J1353">IFERROR(INDEX(DB!Q$2:Q$2576,T1353),"")</f>
        <v/>
      </c>
      <c r="K1353" s="43"/>
      <c r="L1353" s="41" t="str" cm="1">
        <f t="array" ref="L1353">IFERROR(INDEX(DB!R$2:R$2576,T1353),"")</f>
        <v/>
      </c>
      <c r="M1353" s="43"/>
      <c r="P1353" t="str" cm="1">
        <f t="array" ref="P1353">IFERROR(_xlfn.AGGREGATE(15,6,ROW(DB!A$2:A$2576)/((($D$3&lt;&gt;"YES")+($D$3="YES")*(DB!E$2:E$2576="YES"))*(($D$4="")+($D$4&lt;&gt;"")*( DB!B$2:B$2576=$D$4))*(($D$5="")+($D$5&lt;&gt;"")*( DB!C$2:C$2576=$D$5))*(($D$6="")+($D$6&lt;&gt;"")*( DB!D$2:D$2576=$D$6))*(($D$7="")+($D$7&lt;&gt;"")*(ISNUMBER(SEARCH($D$7,DB!G$2:G$2576))))*(($F$7="전체")+($F$7&lt;&gt;"전체")*(DB!H$2:H$2576=$F$7))),ROW()-13)-1,"")</f>
        <v/>
      </c>
      <c r="Q1353" t="str" cm="1">
        <f t="array" ref="Q1353">IFERROR(INDEX(DB!G$2:G$2576,P1353),"")</f>
        <v/>
      </c>
      <c r="R1353" t="str" cm="1">
        <f t="array" ref="R1353">IFERROR(INDEX(DB!O$2:O$2576,P1353),"")</f>
        <v/>
      </c>
      <c r="S1353" t="str">
        <f t="shared" si="63"/>
        <v/>
      </c>
      <c r="T1353" t="str">
        <f t="shared" si="64"/>
        <v/>
      </c>
    </row>
    <row r="1354" spans="1:20" ht="100" customHeight="1">
      <c r="A1354" s="26"/>
      <c r="B1354" s="39" t="str">
        <f t="shared" si="62"/>
        <v/>
      </c>
      <c r="C1354" s="43"/>
      <c r="D1354" s="51" t="str" cm="1">
        <f t="array" ref="D1354">IFERROR(INDEX(DB!G$2:G$2576,T1354),"")</f>
        <v/>
      </c>
      <c r="E1354" s="43"/>
      <c r="F1354" s="52" t="str" cm="1">
        <f t="array" ref="F1354">IFERROR(INDEX(DB!O$2:O$2576,T1354),"")</f>
        <v/>
      </c>
      <c r="G1354" s="43"/>
      <c r="H1354" s="40" t="str" cm="1">
        <f t="array" ref="H1354">IFERROR(INDEX(DB!P$2:P$2576,T1354),"")</f>
        <v/>
      </c>
      <c r="I1354" s="43"/>
      <c r="J1354" s="53" t="str" cm="1">
        <f t="array" ref="J1354">IFERROR(INDEX(DB!Q$2:Q$2576,T1354),"")</f>
        <v/>
      </c>
      <c r="K1354" s="43"/>
      <c r="L1354" s="41" t="str" cm="1">
        <f t="array" ref="L1354">IFERROR(INDEX(DB!R$2:R$2576,T1354),"")</f>
        <v/>
      </c>
      <c r="M1354" s="43"/>
      <c r="P1354" t="str" cm="1">
        <f t="array" ref="P1354">IFERROR(_xlfn.AGGREGATE(15,6,ROW(DB!A$2:A$2576)/((($D$3&lt;&gt;"YES")+($D$3="YES")*(DB!E$2:E$2576="YES"))*(($D$4="")+($D$4&lt;&gt;"")*( DB!B$2:B$2576=$D$4))*(($D$5="")+($D$5&lt;&gt;"")*( DB!C$2:C$2576=$D$5))*(($D$6="")+($D$6&lt;&gt;"")*( DB!D$2:D$2576=$D$6))*(($D$7="")+($D$7&lt;&gt;"")*(ISNUMBER(SEARCH($D$7,DB!G$2:G$2576))))*(($F$7="전체")+($F$7&lt;&gt;"전체")*(DB!H$2:H$2576=$F$7))),ROW()-13)-1,"")</f>
        <v/>
      </c>
      <c r="Q1354" t="str" cm="1">
        <f t="array" ref="Q1354">IFERROR(INDEX(DB!G$2:G$2576,P1354),"")</f>
        <v/>
      </c>
      <c r="R1354" t="str" cm="1">
        <f t="array" ref="R1354">IFERROR(INDEX(DB!O$2:O$2576,P1354),"")</f>
        <v/>
      </c>
      <c r="S1354" t="str">
        <f t="shared" si="63"/>
        <v/>
      </c>
      <c r="T1354" t="str">
        <f t="shared" si="64"/>
        <v/>
      </c>
    </row>
    <row r="1355" spans="1:20" ht="100" customHeight="1">
      <c r="A1355" s="26"/>
      <c r="B1355" s="42" t="str">
        <f t="shared" si="62"/>
        <v/>
      </c>
      <c r="C1355" s="43"/>
      <c r="D1355" s="51" t="str" cm="1">
        <f t="array" ref="D1355">IFERROR(INDEX(DB!G$2:G$2576,T1355),"")</f>
        <v/>
      </c>
      <c r="E1355" s="43"/>
      <c r="F1355" s="52" t="str" cm="1">
        <f t="array" ref="F1355">IFERROR(INDEX(DB!O$2:O$2576,T1355),"")</f>
        <v/>
      </c>
      <c r="G1355" s="43"/>
      <c r="H1355" s="40" t="str" cm="1">
        <f t="array" ref="H1355">IFERROR(INDEX(DB!P$2:P$2576,T1355),"")</f>
        <v/>
      </c>
      <c r="I1355" s="43"/>
      <c r="J1355" s="53" t="str" cm="1">
        <f t="array" ref="J1355">IFERROR(INDEX(DB!Q$2:Q$2576,T1355),"")</f>
        <v/>
      </c>
      <c r="K1355" s="43"/>
      <c r="L1355" s="41" t="str" cm="1">
        <f t="array" ref="L1355">IFERROR(INDEX(DB!R$2:R$2576,T1355),"")</f>
        <v/>
      </c>
      <c r="M1355" s="43"/>
      <c r="P1355" t="str" cm="1">
        <f t="array" ref="P1355">IFERROR(_xlfn.AGGREGATE(15,6,ROW(DB!A$2:A$2576)/((($D$3&lt;&gt;"YES")+($D$3="YES")*(DB!E$2:E$2576="YES"))*(($D$4="")+($D$4&lt;&gt;"")*( DB!B$2:B$2576=$D$4))*(($D$5="")+($D$5&lt;&gt;"")*( DB!C$2:C$2576=$D$5))*(($D$6="")+($D$6&lt;&gt;"")*( DB!D$2:D$2576=$D$6))*(($D$7="")+($D$7&lt;&gt;"")*(ISNUMBER(SEARCH($D$7,DB!G$2:G$2576))))*(($F$7="전체")+($F$7&lt;&gt;"전체")*(DB!H$2:H$2576=$F$7))),ROW()-13)-1,"")</f>
        <v/>
      </c>
      <c r="Q1355" t="str" cm="1">
        <f t="array" ref="Q1355">IFERROR(INDEX(DB!G$2:G$2576,P1355),"")</f>
        <v/>
      </c>
      <c r="R1355" t="str" cm="1">
        <f t="array" ref="R1355">IFERROR(INDEX(DB!O$2:O$2576,P1355),"")</f>
        <v/>
      </c>
      <c r="S1355" t="str">
        <f t="shared" si="63"/>
        <v/>
      </c>
      <c r="T1355" t="str">
        <f t="shared" si="64"/>
        <v/>
      </c>
    </row>
    <row r="1356" spans="1:20" ht="100" customHeight="1">
      <c r="A1356" s="26"/>
      <c r="B1356" s="39" t="str">
        <f t="shared" si="62"/>
        <v/>
      </c>
      <c r="C1356" s="43"/>
      <c r="D1356" s="51" t="str" cm="1">
        <f t="array" ref="D1356">IFERROR(INDEX(DB!G$2:G$2576,T1356),"")</f>
        <v/>
      </c>
      <c r="E1356" s="43"/>
      <c r="F1356" s="52" t="str" cm="1">
        <f t="array" ref="F1356">IFERROR(INDEX(DB!O$2:O$2576,T1356),"")</f>
        <v/>
      </c>
      <c r="G1356" s="43"/>
      <c r="H1356" s="40" t="str" cm="1">
        <f t="array" ref="H1356">IFERROR(INDEX(DB!P$2:P$2576,T1356),"")</f>
        <v/>
      </c>
      <c r="I1356" s="43"/>
      <c r="J1356" s="53" t="str" cm="1">
        <f t="array" ref="J1356">IFERROR(INDEX(DB!Q$2:Q$2576,T1356),"")</f>
        <v/>
      </c>
      <c r="K1356" s="43"/>
      <c r="L1356" s="41" t="str" cm="1">
        <f t="array" ref="L1356">IFERROR(INDEX(DB!R$2:R$2576,T1356),"")</f>
        <v/>
      </c>
      <c r="M1356" s="43"/>
      <c r="P1356" t="str" cm="1">
        <f t="array" ref="P1356">IFERROR(_xlfn.AGGREGATE(15,6,ROW(DB!A$2:A$2576)/((($D$3&lt;&gt;"YES")+($D$3="YES")*(DB!E$2:E$2576="YES"))*(($D$4="")+($D$4&lt;&gt;"")*( DB!B$2:B$2576=$D$4))*(($D$5="")+($D$5&lt;&gt;"")*( DB!C$2:C$2576=$D$5))*(($D$6="")+($D$6&lt;&gt;"")*( DB!D$2:D$2576=$D$6))*(($D$7="")+($D$7&lt;&gt;"")*(ISNUMBER(SEARCH($D$7,DB!G$2:G$2576))))*(($F$7="전체")+($F$7&lt;&gt;"전체")*(DB!H$2:H$2576=$F$7))),ROW()-13)-1,"")</f>
        <v/>
      </c>
      <c r="Q1356" t="str" cm="1">
        <f t="array" ref="Q1356">IFERROR(INDEX(DB!G$2:G$2576,P1356),"")</f>
        <v/>
      </c>
      <c r="R1356" t="str" cm="1">
        <f t="array" ref="R1356">IFERROR(INDEX(DB!O$2:O$2576,P1356),"")</f>
        <v/>
      </c>
      <c r="S1356" t="str">
        <f t="shared" si="63"/>
        <v/>
      </c>
      <c r="T1356" t="str">
        <f t="shared" si="64"/>
        <v/>
      </c>
    </row>
    <row r="1357" spans="1:20" ht="100" customHeight="1">
      <c r="A1357" s="26"/>
      <c r="B1357" s="42" t="str">
        <f t="shared" si="62"/>
        <v/>
      </c>
      <c r="C1357" s="43"/>
      <c r="D1357" s="51" t="str" cm="1">
        <f t="array" ref="D1357">IFERROR(INDEX(DB!G$2:G$2576,T1357),"")</f>
        <v/>
      </c>
      <c r="E1357" s="43"/>
      <c r="F1357" s="52" t="str" cm="1">
        <f t="array" ref="F1357">IFERROR(INDEX(DB!O$2:O$2576,T1357),"")</f>
        <v/>
      </c>
      <c r="G1357" s="43"/>
      <c r="H1357" s="40" t="str" cm="1">
        <f t="array" ref="H1357">IFERROR(INDEX(DB!P$2:P$2576,T1357),"")</f>
        <v/>
      </c>
      <c r="I1357" s="43"/>
      <c r="J1357" s="53" t="str" cm="1">
        <f t="array" ref="J1357">IFERROR(INDEX(DB!Q$2:Q$2576,T1357),"")</f>
        <v/>
      </c>
      <c r="K1357" s="43"/>
      <c r="L1357" s="41" t="str" cm="1">
        <f t="array" ref="L1357">IFERROR(INDEX(DB!R$2:R$2576,T1357),"")</f>
        <v/>
      </c>
      <c r="M1357" s="43"/>
      <c r="P1357" t="str" cm="1">
        <f t="array" ref="P1357">IFERROR(_xlfn.AGGREGATE(15,6,ROW(DB!A$2:A$2576)/((($D$3&lt;&gt;"YES")+($D$3="YES")*(DB!E$2:E$2576="YES"))*(($D$4="")+($D$4&lt;&gt;"")*( DB!B$2:B$2576=$D$4))*(($D$5="")+($D$5&lt;&gt;"")*( DB!C$2:C$2576=$D$5))*(($D$6="")+($D$6&lt;&gt;"")*( DB!D$2:D$2576=$D$6))*(($D$7="")+($D$7&lt;&gt;"")*(ISNUMBER(SEARCH($D$7,DB!G$2:G$2576))))*(($F$7="전체")+($F$7&lt;&gt;"전체")*(DB!H$2:H$2576=$F$7))),ROW()-13)-1,"")</f>
        <v/>
      </c>
      <c r="Q1357" t="str" cm="1">
        <f t="array" ref="Q1357">IFERROR(INDEX(DB!G$2:G$2576,P1357),"")</f>
        <v/>
      </c>
      <c r="R1357" t="str" cm="1">
        <f t="array" ref="R1357">IFERROR(INDEX(DB!O$2:O$2576,P1357),"")</f>
        <v/>
      </c>
      <c r="S1357" t="str">
        <f t="shared" si="63"/>
        <v/>
      </c>
      <c r="T1357" t="str">
        <f t="shared" si="64"/>
        <v/>
      </c>
    </row>
    <row r="1358" spans="1:20" ht="100" customHeight="1">
      <c r="A1358" s="26"/>
      <c r="B1358" s="39" t="str">
        <f t="shared" si="62"/>
        <v/>
      </c>
      <c r="C1358" s="43"/>
      <c r="D1358" s="51" t="str" cm="1">
        <f t="array" ref="D1358">IFERROR(INDEX(DB!G$2:G$2576,T1358),"")</f>
        <v/>
      </c>
      <c r="E1358" s="43"/>
      <c r="F1358" s="52" t="str" cm="1">
        <f t="array" ref="F1358">IFERROR(INDEX(DB!O$2:O$2576,T1358),"")</f>
        <v/>
      </c>
      <c r="G1358" s="43"/>
      <c r="H1358" s="40" t="str" cm="1">
        <f t="array" ref="H1358">IFERROR(INDEX(DB!P$2:P$2576,T1358),"")</f>
        <v/>
      </c>
      <c r="I1358" s="43"/>
      <c r="J1358" s="53" t="str" cm="1">
        <f t="array" ref="J1358">IFERROR(INDEX(DB!Q$2:Q$2576,T1358),"")</f>
        <v/>
      </c>
      <c r="K1358" s="43"/>
      <c r="L1358" s="41" t="str" cm="1">
        <f t="array" ref="L1358">IFERROR(INDEX(DB!R$2:R$2576,T1358),"")</f>
        <v/>
      </c>
      <c r="M1358" s="43"/>
      <c r="P1358" t="str" cm="1">
        <f t="array" ref="P1358">IFERROR(_xlfn.AGGREGATE(15,6,ROW(DB!A$2:A$2576)/((($D$3&lt;&gt;"YES")+($D$3="YES")*(DB!E$2:E$2576="YES"))*(($D$4="")+($D$4&lt;&gt;"")*( DB!B$2:B$2576=$D$4))*(($D$5="")+($D$5&lt;&gt;"")*( DB!C$2:C$2576=$D$5))*(($D$6="")+($D$6&lt;&gt;"")*( DB!D$2:D$2576=$D$6))*(($D$7="")+($D$7&lt;&gt;"")*(ISNUMBER(SEARCH($D$7,DB!G$2:G$2576))))*(($F$7="전체")+($F$7&lt;&gt;"전체")*(DB!H$2:H$2576=$F$7))),ROW()-13)-1,"")</f>
        <v/>
      </c>
      <c r="Q1358" t="str" cm="1">
        <f t="array" ref="Q1358">IFERROR(INDEX(DB!G$2:G$2576,P1358),"")</f>
        <v/>
      </c>
      <c r="R1358" t="str" cm="1">
        <f t="array" ref="R1358">IFERROR(INDEX(DB!O$2:O$2576,P1358),"")</f>
        <v/>
      </c>
      <c r="S1358" t="str">
        <f t="shared" si="63"/>
        <v/>
      </c>
      <c r="T1358" t="str">
        <f t="shared" si="64"/>
        <v/>
      </c>
    </row>
    <row r="1359" spans="1:20" ht="100" customHeight="1">
      <c r="A1359" s="26"/>
      <c r="B1359" s="42" t="str">
        <f t="shared" ref="B1359:B1422" si="65">IFERROR(IF(T1359="","",ROW()-13),"")</f>
        <v/>
      </c>
      <c r="C1359" s="43"/>
      <c r="D1359" s="51" t="str" cm="1">
        <f t="array" ref="D1359">IFERROR(INDEX(DB!G$2:G$2576,T1359),"")</f>
        <v/>
      </c>
      <c r="E1359" s="43"/>
      <c r="F1359" s="52" t="str" cm="1">
        <f t="array" ref="F1359">IFERROR(INDEX(DB!O$2:O$2576,T1359),"")</f>
        <v/>
      </c>
      <c r="G1359" s="43"/>
      <c r="H1359" s="40" t="str" cm="1">
        <f t="array" ref="H1359">IFERROR(INDEX(DB!P$2:P$2576,T1359),"")</f>
        <v/>
      </c>
      <c r="I1359" s="43"/>
      <c r="J1359" s="53" t="str" cm="1">
        <f t="array" ref="J1359">IFERROR(INDEX(DB!Q$2:Q$2576,T1359),"")</f>
        <v/>
      </c>
      <c r="K1359" s="43"/>
      <c r="L1359" s="41" t="str" cm="1">
        <f t="array" ref="L1359">IFERROR(INDEX(DB!R$2:R$2576,T1359),"")</f>
        <v/>
      </c>
      <c r="M1359" s="43"/>
      <c r="P1359" t="str" cm="1">
        <f t="array" ref="P1359">IFERROR(_xlfn.AGGREGATE(15,6,ROW(DB!A$2:A$2576)/((($D$3&lt;&gt;"YES")+($D$3="YES")*(DB!E$2:E$2576="YES"))*(($D$4="")+($D$4&lt;&gt;"")*( DB!B$2:B$2576=$D$4))*(($D$5="")+($D$5&lt;&gt;"")*( DB!C$2:C$2576=$D$5))*(($D$6="")+($D$6&lt;&gt;"")*( DB!D$2:D$2576=$D$6))*(($D$7="")+($D$7&lt;&gt;"")*(ISNUMBER(SEARCH($D$7,DB!G$2:G$2576))))*(($F$7="전체")+($F$7&lt;&gt;"전체")*(DB!H$2:H$2576=$F$7))),ROW()-13)-1,"")</f>
        <v/>
      </c>
      <c r="Q1359" t="str" cm="1">
        <f t="array" ref="Q1359">IFERROR(INDEX(DB!G$2:G$2576,P1359),"")</f>
        <v/>
      </c>
      <c r="R1359" t="str" cm="1">
        <f t="array" ref="R1359">IFERROR(INDEX(DB!O$2:O$2576,P1359),"")</f>
        <v/>
      </c>
      <c r="S1359" t="str">
        <f t="shared" ref="S1359:S1422" si="66">IF(P1359="","",COUNTIF($Q$14:$Q$2587,"&lt;"&amp;Q1359)*100+COUNTIF($R$14:$R$2587,"&lt;"&amp;R1359)+(ROW()-13)*0.001)</f>
        <v/>
      </c>
      <c r="T1359" t="str">
        <f t="shared" ref="T1359:T1422" si="67">IFERROR(INDEX($P$14:$P$2587,MATCH(SMALL($S$14:$S$2587,ROW()-13),$S$14:$S$2587,0)),"")</f>
        <v/>
      </c>
    </row>
    <row r="1360" spans="1:20" ht="100" customHeight="1">
      <c r="A1360" s="26"/>
      <c r="B1360" s="39" t="str">
        <f t="shared" si="65"/>
        <v/>
      </c>
      <c r="C1360" s="43"/>
      <c r="D1360" s="51" t="str" cm="1">
        <f t="array" ref="D1360">IFERROR(INDEX(DB!G$2:G$2576,T1360),"")</f>
        <v/>
      </c>
      <c r="E1360" s="43"/>
      <c r="F1360" s="52" t="str" cm="1">
        <f t="array" ref="F1360">IFERROR(INDEX(DB!O$2:O$2576,T1360),"")</f>
        <v/>
      </c>
      <c r="G1360" s="43"/>
      <c r="H1360" s="40" t="str" cm="1">
        <f t="array" ref="H1360">IFERROR(INDEX(DB!P$2:P$2576,T1360),"")</f>
        <v/>
      </c>
      <c r="I1360" s="43"/>
      <c r="J1360" s="53" t="str" cm="1">
        <f t="array" ref="J1360">IFERROR(INDEX(DB!Q$2:Q$2576,T1360),"")</f>
        <v/>
      </c>
      <c r="K1360" s="43"/>
      <c r="L1360" s="41" t="str" cm="1">
        <f t="array" ref="L1360">IFERROR(INDEX(DB!R$2:R$2576,T1360),"")</f>
        <v/>
      </c>
      <c r="M1360" s="43"/>
      <c r="P1360" t="str" cm="1">
        <f t="array" ref="P1360">IFERROR(_xlfn.AGGREGATE(15,6,ROW(DB!A$2:A$2576)/((($D$3&lt;&gt;"YES")+($D$3="YES")*(DB!E$2:E$2576="YES"))*(($D$4="")+($D$4&lt;&gt;"")*( DB!B$2:B$2576=$D$4))*(($D$5="")+($D$5&lt;&gt;"")*( DB!C$2:C$2576=$D$5))*(($D$6="")+($D$6&lt;&gt;"")*( DB!D$2:D$2576=$D$6))*(($D$7="")+($D$7&lt;&gt;"")*(ISNUMBER(SEARCH($D$7,DB!G$2:G$2576))))*(($F$7="전체")+($F$7&lt;&gt;"전체")*(DB!H$2:H$2576=$F$7))),ROW()-13)-1,"")</f>
        <v/>
      </c>
      <c r="Q1360" t="str" cm="1">
        <f t="array" ref="Q1360">IFERROR(INDEX(DB!G$2:G$2576,P1360),"")</f>
        <v/>
      </c>
      <c r="R1360" t="str" cm="1">
        <f t="array" ref="R1360">IFERROR(INDEX(DB!O$2:O$2576,P1360),"")</f>
        <v/>
      </c>
      <c r="S1360" t="str">
        <f t="shared" si="66"/>
        <v/>
      </c>
      <c r="T1360" t="str">
        <f t="shared" si="67"/>
        <v/>
      </c>
    </row>
    <row r="1361" spans="1:20" ht="100" customHeight="1">
      <c r="A1361" s="26"/>
      <c r="B1361" s="42" t="str">
        <f t="shared" si="65"/>
        <v/>
      </c>
      <c r="C1361" s="43"/>
      <c r="D1361" s="51" t="str" cm="1">
        <f t="array" ref="D1361">IFERROR(INDEX(DB!G$2:G$2576,T1361),"")</f>
        <v/>
      </c>
      <c r="E1361" s="43"/>
      <c r="F1361" s="52" t="str" cm="1">
        <f t="array" ref="F1361">IFERROR(INDEX(DB!O$2:O$2576,T1361),"")</f>
        <v/>
      </c>
      <c r="G1361" s="43"/>
      <c r="H1361" s="40" t="str" cm="1">
        <f t="array" ref="H1361">IFERROR(INDEX(DB!P$2:P$2576,T1361),"")</f>
        <v/>
      </c>
      <c r="I1361" s="43"/>
      <c r="J1361" s="53" t="str" cm="1">
        <f t="array" ref="J1361">IFERROR(INDEX(DB!Q$2:Q$2576,T1361),"")</f>
        <v/>
      </c>
      <c r="K1361" s="43"/>
      <c r="L1361" s="41" t="str" cm="1">
        <f t="array" ref="L1361">IFERROR(INDEX(DB!R$2:R$2576,T1361),"")</f>
        <v/>
      </c>
      <c r="M1361" s="43"/>
      <c r="P1361" t="str" cm="1">
        <f t="array" ref="P1361">IFERROR(_xlfn.AGGREGATE(15,6,ROW(DB!A$2:A$2576)/((($D$3&lt;&gt;"YES")+($D$3="YES")*(DB!E$2:E$2576="YES"))*(($D$4="")+($D$4&lt;&gt;"")*( DB!B$2:B$2576=$D$4))*(($D$5="")+($D$5&lt;&gt;"")*( DB!C$2:C$2576=$D$5))*(($D$6="")+($D$6&lt;&gt;"")*( DB!D$2:D$2576=$D$6))*(($D$7="")+($D$7&lt;&gt;"")*(ISNUMBER(SEARCH($D$7,DB!G$2:G$2576))))*(($F$7="전체")+($F$7&lt;&gt;"전체")*(DB!H$2:H$2576=$F$7))),ROW()-13)-1,"")</f>
        <v/>
      </c>
      <c r="Q1361" t="str" cm="1">
        <f t="array" ref="Q1361">IFERROR(INDEX(DB!G$2:G$2576,P1361),"")</f>
        <v/>
      </c>
      <c r="R1361" t="str" cm="1">
        <f t="array" ref="R1361">IFERROR(INDEX(DB!O$2:O$2576,P1361),"")</f>
        <v/>
      </c>
      <c r="S1361" t="str">
        <f t="shared" si="66"/>
        <v/>
      </c>
      <c r="T1361" t="str">
        <f t="shared" si="67"/>
        <v/>
      </c>
    </row>
    <row r="1362" spans="1:20" ht="100" customHeight="1">
      <c r="A1362" s="26"/>
      <c r="B1362" s="39" t="str">
        <f t="shared" si="65"/>
        <v/>
      </c>
      <c r="C1362" s="43"/>
      <c r="D1362" s="51" t="str" cm="1">
        <f t="array" ref="D1362">IFERROR(INDEX(DB!G$2:G$2576,T1362),"")</f>
        <v/>
      </c>
      <c r="E1362" s="43"/>
      <c r="F1362" s="52" t="str" cm="1">
        <f t="array" ref="F1362">IFERROR(INDEX(DB!O$2:O$2576,T1362),"")</f>
        <v/>
      </c>
      <c r="G1362" s="43"/>
      <c r="H1362" s="40" t="str" cm="1">
        <f t="array" ref="H1362">IFERROR(INDEX(DB!P$2:P$2576,T1362),"")</f>
        <v/>
      </c>
      <c r="I1362" s="43"/>
      <c r="J1362" s="53" t="str" cm="1">
        <f t="array" ref="J1362">IFERROR(INDEX(DB!Q$2:Q$2576,T1362),"")</f>
        <v/>
      </c>
      <c r="K1362" s="43"/>
      <c r="L1362" s="41" t="str" cm="1">
        <f t="array" ref="L1362">IFERROR(INDEX(DB!R$2:R$2576,T1362),"")</f>
        <v/>
      </c>
      <c r="M1362" s="43"/>
      <c r="P1362" t="str" cm="1">
        <f t="array" ref="P1362">IFERROR(_xlfn.AGGREGATE(15,6,ROW(DB!A$2:A$2576)/((($D$3&lt;&gt;"YES")+($D$3="YES")*(DB!E$2:E$2576="YES"))*(($D$4="")+($D$4&lt;&gt;"")*( DB!B$2:B$2576=$D$4))*(($D$5="")+($D$5&lt;&gt;"")*( DB!C$2:C$2576=$D$5))*(($D$6="")+($D$6&lt;&gt;"")*( DB!D$2:D$2576=$D$6))*(($D$7="")+($D$7&lt;&gt;"")*(ISNUMBER(SEARCH($D$7,DB!G$2:G$2576))))*(($F$7="전체")+($F$7&lt;&gt;"전체")*(DB!H$2:H$2576=$F$7))),ROW()-13)-1,"")</f>
        <v/>
      </c>
      <c r="Q1362" t="str" cm="1">
        <f t="array" ref="Q1362">IFERROR(INDEX(DB!G$2:G$2576,P1362),"")</f>
        <v/>
      </c>
      <c r="R1362" t="str" cm="1">
        <f t="array" ref="R1362">IFERROR(INDEX(DB!O$2:O$2576,P1362),"")</f>
        <v/>
      </c>
      <c r="S1362" t="str">
        <f t="shared" si="66"/>
        <v/>
      </c>
      <c r="T1362" t="str">
        <f t="shared" si="67"/>
        <v/>
      </c>
    </row>
    <row r="1363" spans="1:20" ht="100" customHeight="1">
      <c r="A1363" s="26"/>
      <c r="B1363" s="42" t="str">
        <f t="shared" si="65"/>
        <v/>
      </c>
      <c r="C1363" s="43"/>
      <c r="D1363" s="51" t="str" cm="1">
        <f t="array" ref="D1363">IFERROR(INDEX(DB!G$2:G$2576,T1363),"")</f>
        <v/>
      </c>
      <c r="E1363" s="43"/>
      <c r="F1363" s="52" t="str" cm="1">
        <f t="array" ref="F1363">IFERROR(INDEX(DB!O$2:O$2576,T1363),"")</f>
        <v/>
      </c>
      <c r="G1363" s="43"/>
      <c r="H1363" s="40" t="str" cm="1">
        <f t="array" ref="H1363">IFERROR(INDEX(DB!P$2:P$2576,T1363),"")</f>
        <v/>
      </c>
      <c r="I1363" s="43"/>
      <c r="J1363" s="53" t="str" cm="1">
        <f t="array" ref="J1363">IFERROR(INDEX(DB!Q$2:Q$2576,T1363),"")</f>
        <v/>
      </c>
      <c r="K1363" s="43"/>
      <c r="L1363" s="41" t="str" cm="1">
        <f t="array" ref="L1363">IFERROR(INDEX(DB!R$2:R$2576,T1363),"")</f>
        <v/>
      </c>
      <c r="M1363" s="43"/>
      <c r="P1363" t="str" cm="1">
        <f t="array" ref="P1363">IFERROR(_xlfn.AGGREGATE(15,6,ROW(DB!A$2:A$2576)/((($D$3&lt;&gt;"YES")+($D$3="YES")*(DB!E$2:E$2576="YES"))*(($D$4="")+($D$4&lt;&gt;"")*( DB!B$2:B$2576=$D$4))*(($D$5="")+($D$5&lt;&gt;"")*( DB!C$2:C$2576=$D$5))*(($D$6="")+($D$6&lt;&gt;"")*( DB!D$2:D$2576=$D$6))*(($D$7="")+($D$7&lt;&gt;"")*(ISNUMBER(SEARCH($D$7,DB!G$2:G$2576))))*(($F$7="전체")+($F$7&lt;&gt;"전체")*(DB!H$2:H$2576=$F$7))),ROW()-13)-1,"")</f>
        <v/>
      </c>
      <c r="Q1363" t="str" cm="1">
        <f t="array" ref="Q1363">IFERROR(INDEX(DB!G$2:G$2576,P1363),"")</f>
        <v/>
      </c>
      <c r="R1363" t="str" cm="1">
        <f t="array" ref="R1363">IFERROR(INDEX(DB!O$2:O$2576,P1363),"")</f>
        <v/>
      </c>
      <c r="S1363" t="str">
        <f t="shared" si="66"/>
        <v/>
      </c>
      <c r="T1363" t="str">
        <f t="shared" si="67"/>
        <v/>
      </c>
    </row>
    <row r="1364" spans="1:20" ht="100" customHeight="1">
      <c r="A1364" s="26"/>
      <c r="B1364" s="39" t="str">
        <f t="shared" si="65"/>
        <v/>
      </c>
      <c r="C1364" s="43"/>
      <c r="D1364" s="51" t="str" cm="1">
        <f t="array" ref="D1364">IFERROR(INDEX(DB!G$2:G$2576,T1364),"")</f>
        <v/>
      </c>
      <c r="E1364" s="43"/>
      <c r="F1364" s="52" t="str" cm="1">
        <f t="array" ref="F1364">IFERROR(INDEX(DB!O$2:O$2576,T1364),"")</f>
        <v/>
      </c>
      <c r="G1364" s="43"/>
      <c r="H1364" s="40" t="str" cm="1">
        <f t="array" ref="H1364">IFERROR(INDEX(DB!P$2:P$2576,T1364),"")</f>
        <v/>
      </c>
      <c r="I1364" s="43"/>
      <c r="J1364" s="53" t="str" cm="1">
        <f t="array" ref="J1364">IFERROR(INDEX(DB!Q$2:Q$2576,T1364),"")</f>
        <v/>
      </c>
      <c r="K1364" s="43"/>
      <c r="L1364" s="41" t="str" cm="1">
        <f t="array" ref="L1364">IFERROR(INDEX(DB!R$2:R$2576,T1364),"")</f>
        <v/>
      </c>
      <c r="M1364" s="43"/>
      <c r="P1364" t="str" cm="1">
        <f t="array" ref="P1364">IFERROR(_xlfn.AGGREGATE(15,6,ROW(DB!A$2:A$2576)/((($D$3&lt;&gt;"YES")+($D$3="YES")*(DB!E$2:E$2576="YES"))*(($D$4="")+($D$4&lt;&gt;"")*( DB!B$2:B$2576=$D$4))*(($D$5="")+($D$5&lt;&gt;"")*( DB!C$2:C$2576=$D$5))*(($D$6="")+($D$6&lt;&gt;"")*( DB!D$2:D$2576=$D$6))*(($D$7="")+($D$7&lt;&gt;"")*(ISNUMBER(SEARCH($D$7,DB!G$2:G$2576))))*(($F$7="전체")+($F$7&lt;&gt;"전체")*(DB!H$2:H$2576=$F$7))),ROW()-13)-1,"")</f>
        <v/>
      </c>
      <c r="Q1364" t="str" cm="1">
        <f t="array" ref="Q1364">IFERROR(INDEX(DB!G$2:G$2576,P1364),"")</f>
        <v/>
      </c>
      <c r="R1364" t="str" cm="1">
        <f t="array" ref="R1364">IFERROR(INDEX(DB!O$2:O$2576,P1364),"")</f>
        <v/>
      </c>
      <c r="S1364" t="str">
        <f t="shared" si="66"/>
        <v/>
      </c>
      <c r="T1364" t="str">
        <f t="shared" si="67"/>
        <v/>
      </c>
    </row>
    <row r="1365" spans="1:20" ht="100" customHeight="1">
      <c r="A1365" s="26"/>
      <c r="B1365" s="42" t="str">
        <f t="shared" si="65"/>
        <v/>
      </c>
      <c r="C1365" s="43"/>
      <c r="D1365" s="51" t="str" cm="1">
        <f t="array" ref="D1365">IFERROR(INDEX(DB!G$2:G$2576,T1365),"")</f>
        <v/>
      </c>
      <c r="E1365" s="43"/>
      <c r="F1365" s="52" t="str" cm="1">
        <f t="array" ref="F1365">IFERROR(INDEX(DB!O$2:O$2576,T1365),"")</f>
        <v/>
      </c>
      <c r="G1365" s="43"/>
      <c r="H1365" s="40" t="str" cm="1">
        <f t="array" ref="H1365">IFERROR(INDEX(DB!P$2:P$2576,T1365),"")</f>
        <v/>
      </c>
      <c r="I1365" s="43"/>
      <c r="J1365" s="53" t="str" cm="1">
        <f t="array" ref="J1365">IFERROR(INDEX(DB!Q$2:Q$2576,T1365),"")</f>
        <v/>
      </c>
      <c r="K1365" s="43"/>
      <c r="L1365" s="41" t="str" cm="1">
        <f t="array" ref="L1365">IFERROR(INDEX(DB!R$2:R$2576,T1365),"")</f>
        <v/>
      </c>
      <c r="M1365" s="43"/>
      <c r="P1365" t="str" cm="1">
        <f t="array" ref="P1365">IFERROR(_xlfn.AGGREGATE(15,6,ROW(DB!A$2:A$2576)/((($D$3&lt;&gt;"YES")+($D$3="YES")*(DB!E$2:E$2576="YES"))*(($D$4="")+($D$4&lt;&gt;"")*( DB!B$2:B$2576=$D$4))*(($D$5="")+($D$5&lt;&gt;"")*( DB!C$2:C$2576=$D$5))*(($D$6="")+($D$6&lt;&gt;"")*( DB!D$2:D$2576=$D$6))*(($D$7="")+($D$7&lt;&gt;"")*(ISNUMBER(SEARCH($D$7,DB!G$2:G$2576))))*(($F$7="전체")+($F$7&lt;&gt;"전체")*(DB!H$2:H$2576=$F$7))),ROW()-13)-1,"")</f>
        <v/>
      </c>
      <c r="Q1365" t="str" cm="1">
        <f t="array" ref="Q1365">IFERROR(INDEX(DB!G$2:G$2576,P1365),"")</f>
        <v/>
      </c>
      <c r="R1365" t="str" cm="1">
        <f t="array" ref="R1365">IFERROR(INDEX(DB!O$2:O$2576,P1365),"")</f>
        <v/>
      </c>
      <c r="S1365" t="str">
        <f t="shared" si="66"/>
        <v/>
      </c>
      <c r="T1365" t="str">
        <f t="shared" si="67"/>
        <v/>
      </c>
    </row>
    <row r="1366" spans="1:20" ht="100" customHeight="1">
      <c r="A1366" s="26"/>
      <c r="B1366" s="39" t="str">
        <f t="shared" si="65"/>
        <v/>
      </c>
      <c r="C1366" s="43"/>
      <c r="D1366" s="51" t="str" cm="1">
        <f t="array" ref="D1366">IFERROR(INDEX(DB!G$2:G$2576,T1366),"")</f>
        <v/>
      </c>
      <c r="E1366" s="43"/>
      <c r="F1366" s="52" t="str" cm="1">
        <f t="array" ref="F1366">IFERROR(INDEX(DB!O$2:O$2576,T1366),"")</f>
        <v/>
      </c>
      <c r="G1366" s="43"/>
      <c r="H1366" s="40" t="str" cm="1">
        <f t="array" ref="H1366">IFERROR(INDEX(DB!P$2:P$2576,T1366),"")</f>
        <v/>
      </c>
      <c r="I1366" s="43"/>
      <c r="J1366" s="53" t="str" cm="1">
        <f t="array" ref="J1366">IFERROR(INDEX(DB!Q$2:Q$2576,T1366),"")</f>
        <v/>
      </c>
      <c r="K1366" s="43"/>
      <c r="L1366" s="41" t="str" cm="1">
        <f t="array" ref="L1366">IFERROR(INDEX(DB!R$2:R$2576,T1366),"")</f>
        <v/>
      </c>
      <c r="M1366" s="43"/>
      <c r="P1366" t="str" cm="1">
        <f t="array" ref="P1366">IFERROR(_xlfn.AGGREGATE(15,6,ROW(DB!A$2:A$2576)/((($D$3&lt;&gt;"YES")+($D$3="YES")*(DB!E$2:E$2576="YES"))*(($D$4="")+($D$4&lt;&gt;"")*( DB!B$2:B$2576=$D$4))*(($D$5="")+($D$5&lt;&gt;"")*( DB!C$2:C$2576=$D$5))*(($D$6="")+($D$6&lt;&gt;"")*( DB!D$2:D$2576=$D$6))*(($D$7="")+($D$7&lt;&gt;"")*(ISNUMBER(SEARCH($D$7,DB!G$2:G$2576))))*(($F$7="전체")+($F$7&lt;&gt;"전체")*(DB!H$2:H$2576=$F$7))),ROW()-13)-1,"")</f>
        <v/>
      </c>
      <c r="Q1366" t="str" cm="1">
        <f t="array" ref="Q1366">IFERROR(INDEX(DB!G$2:G$2576,P1366),"")</f>
        <v/>
      </c>
      <c r="R1366" t="str" cm="1">
        <f t="array" ref="R1366">IFERROR(INDEX(DB!O$2:O$2576,P1366),"")</f>
        <v/>
      </c>
      <c r="S1366" t="str">
        <f t="shared" si="66"/>
        <v/>
      </c>
      <c r="T1366" t="str">
        <f t="shared" si="67"/>
        <v/>
      </c>
    </row>
    <row r="1367" spans="1:20" ht="100" customHeight="1">
      <c r="A1367" s="26"/>
      <c r="B1367" s="42" t="str">
        <f t="shared" si="65"/>
        <v/>
      </c>
      <c r="C1367" s="43"/>
      <c r="D1367" s="51" t="str" cm="1">
        <f t="array" ref="D1367">IFERROR(INDEX(DB!G$2:G$2576,T1367),"")</f>
        <v/>
      </c>
      <c r="E1367" s="43"/>
      <c r="F1367" s="52" t="str" cm="1">
        <f t="array" ref="F1367">IFERROR(INDEX(DB!O$2:O$2576,T1367),"")</f>
        <v/>
      </c>
      <c r="G1367" s="43"/>
      <c r="H1367" s="40" t="str" cm="1">
        <f t="array" ref="H1367">IFERROR(INDEX(DB!P$2:P$2576,T1367),"")</f>
        <v/>
      </c>
      <c r="I1367" s="43"/>
      <c r="J1367" s="53" t="str" cm="1">
        <f t="array" ref="J1367">IFERROR(INDEX(DB!Q$2:Q$2576,T1367),"")</f>
        <v/>
      </c>
      <c r="K1367" s="43"/>
      <c r="L1367" s="41" t="str" cm="1">
        <f t="array" ref="L1367">IFERROR(INDEX(DB!R$2:R$2576,T1367),"")</f>
        <v/>
      </c>
      <c r="M1367" s="43"/>
      <c r="P1367" t="str" cm="1">
        <f t="array" ref="P1367">IFERROR(_xlfn.AGGREGATE(15,6,ROW(DB!A$2:A$2576)/((($D$3&lt;&gt;"YES")+($D$3="YES")*(DB!E$2:E$2576="YES"))*(($D$4="")+($D$4&lt;&gt;"")*( DB!B$2:B$2576=$D$4))*(($D$5="")+($D$5&lt;&gt;"")*( DB!C$2:C$2576=$D$5))*(($D$6="")+($D$6&lt;&gt;"")*( DB!D$2:D$2576=$D$6))*(($D$7="")+($D$7&lt;&gt;"")*(ISNUMBER(SEARCH($D$7,DB!G$2:G$2576))))*(($F$7="전체")+($F$7&lt;&gt;"전체")*(DB!H$2:H$2576=$F$7))),ROW()-13)-1,"")</f>
        <v/>
      </c>
      <c r="Q1367" t="str" cm="1">
        <f t="array" ref="Q1367">IFERROR(INDEX(DB!G$2:G$2576,P1367),"")</f>
        <v/>
      </c>
      <c r="R1367" t="str" cm="1">
        <f t="array" ref="R1367">IFERROR(INDEX(DB!O$2:O$2576,P1367),"")</f>
        <v/>
      </c>
      <c r="S1367" t="str">
        <f t="shared" si="66"/>
        <v/>
      </c>
      <c r="T1367" t="str">
        <f t="shared" si="67"/>
        <v/>
      </c>
    </row>
    <row r="1368" spans="1:20" ht="100" customHeight="1">
      <c r="A1368" s="26"/>
      <c r="B1368" s="39" t="str">
        <f t="shared" si="65"/>
        <v/>
      </c>
      <c r="C1368" s="43"/>
      <c r="D1368" s="51" t="str" cm="1">
        <f t="array" ref="D1368">IFERROR(INDEX(DB!G$2:G$2576,T1368),"")</f>
        <v/>
      </c>
      <c r="E1368" s="43"/>
      <c r="F1368" s="52" t="str" cm="1">
        <f t="array" ref="F1368">IFERROR(INDEX(DB!O$2:O$2576,T1368),"")</f>
        <v/>
      </c>
      <c r="G1368" s="43"/>
      <c r="H1368" s="40" t="str" cm="1">
        <f t="array" ref="H1368">IFERROR(INDEX(DB!P$2:P$2576,T1368),"")</f>
        <v/>
      </c>
      <c r="I1368" s="43"/>
      <c r="J1368" s="53" t="str" cm="1">
        <f t="array" ref="J1368">IFERROR(INDEX(DB!Q$2:Q$2576,T1368),"")</f>
        <v/>
      </c>
      <c r="K1368" s="43"/>
      <c r="L1368" s="41" t="str" cm="1">
        <f t="array" ref="L1368">IFERROR(INDEX(DB!R$2:R$2576,T1368),"")</f>
        <v/>
      </c>
      <c r="M1368" s="43"/>
      <c r="P1368" t="str" cm="1">
        <f t="array" ref="P1368">IFERROR(_xlfn.AGGREGATE(15,6,ROW(DB!A$2:A$2576)/((($D$3&lt;&gt;"YES")+($D$3="YES")*(DB!E$2:E$2576="YES"))*(($D$4="")+($D$4&lt;&gt;"")*( DB!B$2:B$2576=$D$4))*(($D$5="")+($D$5&lt;&gt;"")*( DB!C$2:C$2576=$D$5))*(($D$6="")+($D$6&lt;&gt;"")*( DB!D$2:D$2576=$D$6))*(($D$7="")+($D$7&lt;&gt;"")*(ISNUMBER(SEARCH($D$7,DB!G$2:G$2576))))*(($F$7="전체")+($F$7&lt;&gt;"전체")*(DB!H$2:H$2576=$F$7))),ROW()-13)-1,"")</f>
        <v/>
      </c>
      <c r="Q1368" t="str" cm="1">
        <f t="array" ref="Q1368">IFERROR(INDEX(DB!G$2:G$2576,P1368),"")</f>
        <v/>
      </c>
      <c r="R1368" t="str" cm="1">
        <f t="array" ref="R1368">IFERROR(INDEX(DB!O$2:O$2576,P1368),"")</f>
        <v/>
      </c>
      <c r="S1368" t="str">
        <f t="shared" si="66"/>
        <v/>
      </c>
      <c r="T1368" t="str">
        <f t="shared" si="67"/>
        <v/>
      </c>
    </row>
    <row r="1369" spans="1:20" ht="100" customHeight="1">
      <c r="A1369" s="26"/>
      <c r="B1369" s="42" t="str">
        <f t="shared" si="65"/>
        <v/>
      </c>
      <c r="C1369" s="43"/>
      <c r="D1369" s="51" t="str" cm="1">
        <f t="array" ref="D1369">IFERROR(INDEX(DB!G$2:G$2576,T1369),"")</f>
        <v/>
      </c>
      <c r="E1369" s="43"/>
      <c r="F1369" s="52" t="str" cm="1">
        <f t="array" ref="F1369">IFERROR(INDEX(DB!O$2:O$2576,T1369),"")</f>
        <v/>
      </c>
      <c r="G1369" s="43"/>
      <c r="H1369" s="40" t="str" cm="1">
        <f t="array" ref="H1369">IFERROR(INDEX(DB!P$2:P$2576,T1369),"")</f>
        <v/>
      </c>
      <c r="I1369" s="43"/>
      <c r="J1369" s="53" t="str" cm="1">
        <f t="array" ref="J1369">IFERROR(INDEX(DB!Q$2:Q$2576,T1369),"")</f>
        <v/>
      </c>
      <c r="K1369" s="43"/>
      <c r="L1369" s="41" t="str" cm="1">
        <f t="array" ref="L1369">IFERROR(INDEX(DB!R$2:R$2576,T1369),"")</f>
        <v/>
      </c>
      <c r="M1369" s="43"/>
      <c r="P1369" t="str" cm="1">
        <f t="array" ref="P1369">IFERROR(_xlfn.AGGREGATE(15,6,ROW(DB!A$2:A$2576)/((($D$3&lt;&gt;"YES")+($D$3="YES")*(DB!E$2:E$2576="YES"))*(($D$4="")+($D$4&lt;&gt;"")*( DB!B$2:B$2576=$D$4))*(($D$5="")+($D$5&lt;&gt;"")*( DB!C$2:C$2576=$D$5))*(($D$6="")+($D$6&lt;&gt;"")*( DB!D$2:D$2576=$D$6))*(($D$7="")+($D$7&lt;&gt;"")*(ISNUMBER(SEARCH($D$7,DB!G$2:G$2576))))*(($F$7="전체")+($F$7&lt;&gt;"전체")*(DB!H$2:H$2576=$F$7))),ROW()-13)-1,"")</f>
        <v/>
      </c>
      <c r="Q1369" t="str" cm="1">
        <f t="array" ref="Q1369">IFERROR(INDEX(DB!G$2:G$2576,P1369),"")</f>
        <v/>
      </c>
      <c r="R1369" t="str" cm="1">
        <f t="array" ref="R1369">IFERROR(INDEX(DB!O$2:O$2576,P1369),"")</f>
        <v/>
      </c>
      <c r="S1369" t="str">
        <f t="shared" si="66"/>
        <v/>
      </c>
      <c r="T1369" t="str">
        <f t="shared" si="67"/>
        <v/>
      </c>
    </row>
    <row r="1370" spans="1:20" ht="100" customHeight="1">
      <c r="A1370" s="26"/>
      <c r="B1370" s="39" t="str">
        <f t="shared" si="65"/>
        <v/>
      </c>
      <c r="C1370" s="43"/>
      <c r="D1370" s="51" t="str" cm="1">
        <f t="array" ref="D1370">IFERROR(INDEX(DB!G$2:G$2576,T1370),"")</f>
        <v/>
      </c>
      <c r="E1370" s="43"/>
      <c r="F1370" s="52" t="str" cm="1">
        <f t="array" ref="F1370">IFERROR(INDEX(DB!O$2:O$2576,T1370),"")</f>
        <v/>
      </c>
      <c r="G1370" s="43"/>
      <c r="H1370" s="40" t="str" cm="1">
        <f t="array" ref="H1370">IFERROR(INDEX(DB!P$2:P$2576,T1370),"")</f>
        <v/>
      </c>
      <c r="I1370" s="43"/>
      <c r="J1370" s="53" t="str" cm="1">
        <f t="array" ref="J1370">IFERROR(INDEX(DB!Q$2:Q$2576,T1370),"")</f>
        <v/>
      </c>
      <c r="K1370" s="43"/>
      <c r="L1370" s="41" t="str" cm="1">
        <f t="array" ref="L1370">IFERROR(INDEX(DB!R$2:R$2576,T1370),"")</f>
        <v/>
      </c>
      <c r="M1370" s="43"/>
      <c r="P1370" t="str" cm="1">
        <f t="array" ref="P1370">IFERROR(_xlfn.AGGREGATE(15,6,ROW(DB!A$2:A$2576)/((($D$3&lt;&gt;"YES")+($D$3="YES")*(DB!E$2:E$2576="YES"))*(($D$4="")+($D$4&lt;&gt;"")*( DB!B$2:B$2576=$D$4))*(($D$5="")+($D$5&lt;&gt;"")*( DB!C$2:C$2576=$D$5))*(($D$6="")+($D$6&lt;&gt;"")*( DB!D$2:D$2576=$D$6))*(($D$7="")+($D$7&lt;&gt;"")*(ISNUMBER(SEARCH($D$7,DB!G$2:G$2576))))*(($F$7="전체")+($F$7&lt;&gt;"전체")*(DB!H$2:H$2576=$F$7))),ROW()-13)-1,"")</f>
        <v/>
      </c>
      <c r="Q1370" t="str" cm="1">
        <f t="array" ref="Q1370">IFERROR(INDEX(DB!G$2:G$2576,P1370),"")</f>
        <v/>
      </c>
      <c r="R1370" t="str" cm="1">
        <f t="array" ref="R1370">IFERROR(INDEX(DB!O$2:O$2576,P1370),"")</f>
        <v/>
      </c>
      <c r="S1370" t="str">
        <f t="shared" si="66"/>
        <v/>
      </c>
      <c r="T1370" t="str">
        <f t="shared" si="67"/>
        <v/>
      </c>
    </row>
    <row r="1371" spans="1:20" ht="100" customHeight="1">
      <c r="A1371" s="26"/>
      <c r="B1371" s="42" t="str">
        <f t="shared" si="65"/>
        <v/>
      </c>
      <c r="C1371" s="43"/>
      <c r="D1371" s="51" t="str" cm="1">
        <f t="array" ref="D1371">IFERROR(INDEX(DB!G$2:G$2576,T1371),"")</f>
        <v/>
      </c>
      <c r="E1371" s="43"/>
      <c r="F1371" s="52" t="str" cm="1">
        <f t="array" ref="F1371">IFERROR(INDEX(DB!O$2:O$2576,T1371),"")</f>
        <v/>
      </c>
      <c r="G1371" s="43"/>
      <c r="H1371" s="40" t="str" cm="1">
        <f t="array" ref="H1371">IFERROR(INDEX(DB!P$2:P$2576,T1371),"")</f>
        <v/>
      </c>
      <c r="I1371" s="43"/>
      <c r="J1371" s="53" t="str" cm="1">
        <f t="array" ref="J1371">IFERROR(INDEX(DB!Q$2:Q$2576,T1371),"")</f>
        <v/>
      </c>
      <c r="K1371" s="43"/>
      <c r="L1371" s="41" t="str" cm="1">
        <f t="array" ref="L1371">IFERROR(INDEX(DB!R$2:R$2576,T1371),"")</f>
        <v/>
      </c>
      <c r="M1371" s="43"/>
      <c r="P1371" t="str" cm="1">
        <f t="array" ref="P1371">IFERROR(_xlfn.AGGREGATE(15,6,ROW(DB!A$2:A$2576)/((($D$3&lt;&gt;"YES")+($D$3="YES")*(DB!E$2:E$2576="YES"))*(($D$4="")+($D$4&lt;&gt;"")*( DB!B$2:B$2576=$D$4))*(($D$5="")+($D$5&lt;&gt;"")*( DB!C$2:C$2576=$D$5))*(($D$6="")+($D$6&lt;&gt;"")*( DB!D$2:D$2576=$D$6))*(($D$7="")+($D$7&lt;&gt;"")*(ISNUMBER(SEARCH($D$7,DB!G$2:G$2576))))*(($F$7="전체")+($F$7&lt;&gt;"전체")*(DB!H$2:H$2576=$F$7))),ROW()-13)-1,"")</f>
        <v/>
      </c>
      <c r="Q1371" t="str" cm="1">
        <f t="array" ref="Q1371">IFERROR(INDEX(DB!G$2:G$2576,P1371),"")</f>
        <v/>
      </c>
      <c r="R1371" t="str" cm="1">
        <f t="array" ref="R1371">IFERROR(INDEX(DB!O$2:O$2576,P1371),"")</f>
        <v/>
      </c>
      <c r="S1371" t="str">
        <f t="shared" si="66"/>
        <v/>
      </c>
      <c r="T1371" t="str">
        <f t="shared" si="67"/>
        <v/>
      </c>
    </row>
    <row r="1372" spans="1:20" ht="100" customHeight="1">
      <c r="A1372" s="26"/>
      <c r="B1372" s="39" t="str">
        <f t="shared" si="65"/>
        <v/>
      </c>
      <c r="C1372" s="43"/>
      <c r="D1372" s="51" t="str" cm="1">
        <f t="array" ref="D1372">IFERROR(INDEX(DB!G$2:G$2576,T1372),"")</f>
        <v/>
      </c>
      <c r="E1372" s="43"/>
      <c r="F1372" s="52" t="str" cm="1">
        <f t="array" ref="F1372">IFERROR(INDEX(DB!O$2:O$2576,T1372),"")</f>
        <v/>
      </c>
      <c r="G1372" s="43"/>
      <c r="H1372" s="40" t="str" cm="1">
        <f t="array" ref="H1372">IFERROR(INDEX(DB!P$2:P$2576,T1372),"")</f>
        <v/>
      </c>
      <c r="I1372" s="43"/>
      <c r="J1372" s="53" t="str" cm="1">
        <f t="array" ref="J1372">IFERROR(INDEX(DB!Q$2:Q$2576,T1372),"")</f>
        <v/>
      </c>
      <c r="K1372" s="43"/>
      <c r="L1372" s="41" t="str" cm="1">
        <f t="array" ref="L1372">IFERROR(INDEX(DB!R$2:R$2576,T1372),"")</f>
        <v/>
      </c>
      <c r="M1372" s="43"/>
      <c r="P1372" t="str" cm="1">
        <f t="array" ref="P1372">IFERROR(_xlfn.AGGREGATE(15,6,ROW(DB!A$2:A$2576)/((($D$3&lt;&gt;"YES")+($D$3="YES")*(DB!E$2:E$2576="YES"))*(($D$4="")+($D$4&lt;&gt;"")*( DB!B$2:B$2576=$D$4))*(($D$5="")+($D$5&lt;&gt;"")*( DB!C$2:C$2576=$D$5))*(($D$6="")+($D$6&lt;&gt;"")*( DB!D$2:D$2576=$D$6))*(($D$7="")+($D$7&lt;&gt;"")*(ISNUMBER(SEARCH($D$7,DB!G$2:G$2576))))*(($F$7="전체")+($F$7&lt;&gt;"전체")*(DB!H$2:H$2576=$F$7))),ROW()-13)-1,"")</f>
        <v/>
      </c>
      <c r="Q1372" t="str" cm="1">
        <f t="array" ref="Q1372">IFERROR(INDEX(DB!G$2:G$2576,P1372),"")</f>
        <v/>
      </c>
      <c r="R1372" t="str" cm="1">
        <f t="array" ref="R1372">IFERROR(INDEX(DB!O$2:O$2576,P1372),"")</f>
        <v/>
      </c>
      <c r="S1372" t="str">
        <f t="shared" si="66"/>
        <v/>
      </c>
      <c r="T1372" t="str">
        <f t="shared" si="67"/>
        <v/>
      </c>
    </row>
    <row r="1373" spans="1:20" ht="100" customHeight="1">
      <c r="A1373" s="26"/>
      <c r="B1373" s="42" t="str">
        <f t="shared" si="65"/>
        <v/>
      </c>
      <c r="C1373" s="43"/>
      <c r="D1373" s="51" t="str" cm="1">
        <f t="array" ref="D1373">IFERROR(INDEX(DB!G$2:G$2576,T1373),"")</f>
        <v/>
      </c>
      <c r="E1373" s="43"/>
      <c r="F1373" s="52" t="str" cm="1">
        <f t="array" ref="F1373">IFERROR(INDEX(DB!O$2:O$2576,T1373),"")</f>
        <v/>
      </c>
      <c r="G1373" s="43"/>
      <c r="H1373" s="40" t="str" cm="1">
        <f t="array" ref="H1373">IFERROR(INDEX(DB!P$2:P$2576,T1373),"")</f>
        <v/>
      </c>
      <c r="I1373" s="43"/>
      <c r="J1373" s="53" t="str" cm="1">
        <f t="array" ref="J1373">IFERROR(INDEX(DB!Q$2:Q$2576,T1373),"")</f>
        <v/>
      </c>
      <c r="K1373" s="43"/>
      <c r="L1373" s="41" t="str" cm="1">
        <f t="array" ref="L1373">IFERROR(INDEX(DB!R$2:R$2576,T1373),"")</f>
        <v/>
      </c>
      <c r="M1373" s="43"/>
      <c r="P1373" t="str" cm="1">
        <f t="array" ref="P1373">IFERROR(_xlfn.AGGREGATE(15,6,ROW(DB!A$2:A$2576)/((($D$3&lt;&gt;"YES")+($D$3="YES")*(DB!E$2:E$2576="YES"))*(($D$4="")+($D$4&lt;&gt;"")*( DB!B$2:B$2576=$D$4))*(($D$5="")+($D$5&lt;&gt;"")*( DB!C$2:C$2576=$D$5))*(($D$6="")+($D$6&lt;&gt;"")*( DB!D$2:D$2576=$D$6))*(($D$7="")+($D$7&lt;&gt;"")*(ISNUMBER(SEARCH($D$7,DB!G$2:G$2576))))*(($F$7="전체")+($F$7&lt;&gt;"전체")*(DB!H$2:H$2576=$F$7))),ROW()-13)-1,"")</f>
        <v/>
      </c>
      <c r="Q1373" t="str" cm="1">
        <f t="array" ref="Q1373">IFERROR(INDEX(DB!G$2:G$2576,P1373),"")</f>
        <v/>
      </c>
      <c r="R1373" t="str" cm="1">
        <f t="array" ref="R1373">IFERROR(INDEX(DB!O$2:O$2576,P1373),"")</f>
        <v/>
      </c>
      <c r="S1373" t="str">
        <f t="shared" si="66"/>
        <v/>
      </c>
      <c r="T1373" t="str">
        <f t="shared" si="67"/>
        <v/>
      </c>
    </row>
    <row r="1374" spans="1:20" ht="100" customHeight="1">
      <c r="A1374" s="26"/>
      <c r="B1374" s="39" t="str">
        <f t="shared" si="65"/>
        <v/>
      </c>
      <c r="C1374" s="43"/>
      <c r="D1374" s="51" t="str" cm="1">
        <f t="array" ref="D1374">IFERROR(INDEX(DB!G$2:G$2576,T1374),"")</f>
        <v/>
      </c>
      <c r="E1374" s="43"/>
      <c r="F1374" s="52" t="str" cm="1">
        <f t="array" ref="F1374">IFERROR(INDEX(DB!O$2:O$2576,T1374),"")</f>
        <v/>
      </c>
      <c r="G1374" s="43"/>
      <c r="H1374" s="40" t="str" cm="1">
        <f t="array" ref="H1374">IFERROR(INDEX(DB!P$2:P$2576,T1374),"")</f>
        <v/>
      </c>
      <c r="I1374" s="43"/>
      <c r="J1374" s="53" t="str" cm="1">
        <f t="array" ref="J1374">IFERROR(INDEX(DB!Q$2:Q$2576,T1374),"")</f>
        <v/>
      </c>
      <c r="K1374" s="43"/>
      <c r="L1374" s="41" t="str" cm="1">
        <f t="array" ref="L1374">IFERROR(INDEX(DB!R$2:R$2576,T1374),"")</f>
        <v/>
      </c>
      <c r="M1374" s="43"/>
      <c r="P1374" t="str" cm="1">
        <f t="array" ref="P1374">IFERROR(_xlfn.AGGREGATE(15,6,ROW(DB!A$2:A$2576)/((($D$3&lt;&gt;"YES")+($D$3="YES")*(DB!E$2:E$2576="YES"))*(($D$4="")+($D$4&lt;&gt;"")*( DB!B$2:B$2576=$D$4))*(($D$5="")+($D$5&lt;&gt;"")*( DB!C$2:C$2576=$D$5))*(($D$6="")+($D$6&lt;&gt;"")*( DB!D$2:D$2576=$D$6))*(($D$7="")+($D$7&lt;&gt;"")*(ISNUMBER(SEARCH($D$7,DB!G$2:G$2576))))*(($F$7="전체")+($F$7&lt;&gt;"전체")*(DB!H$2:H$2576=$F$7))),ROW()-13)-1,"")</f>
        <v/>
      </c>
      <c r="Q1374" t="str" cm="1">
        <f t="array" ref="Q1374">IFERROR(INDEX(DB!G$2:G$2576,P1374),"")</f>
        <v/>
      </c>
      <c r="R1374" t="str" cm="1">
        <f t="array" ref="R1374">IFERROR(INDEX(DB!O$2:O$2576,P1374),"")</f>
        <v/>
      </c>
      <c r="S1374" t="str">
        <f t="shared" si="66"/>
        <v/>
      </c>
      <c r="T1374" t="str">
        <f t="shared" si="67"/>
        <v/>
      </c>
    </row>
    <row r="1375" spans="1:20" ht="100" customHeight="1">
      <c r="A1375" s="26"/>
      <c r="B1375" s="42" t="str">
        <f t="shared" si="65"/>
        <v/>
      </c>
      <c r="C1375" s="43"/>
      <c r="D1375" s="51" t="str" cm="1">
        <f t="array" ref="D1375">IFERROR(INDEX(DB!G$2:G$2576,T1375),"")</f>
        <v/>
      </c>
      <c r="E1375" s="43"/>
      <c r="F1375" s="52" t="str" cm="1">
        <f t="array" ref="F1375">IFERROR(INDEX(DB!O$2:O$2576,T1375),"")</f>
        <v/>
      </c>
      <c r="G1375" s="43"/>
      <c r="H1375" s="40" t="str" cm="1">
        <f t="array" ref="H1375">IFERROR(INDEX(DB!P$2:P$2576,T1375),"")</f>
        <v/>
      </c>
      <c r="I1375" s="43"/>
      <c r="J1375" s="53" t="str" cm="1">
        <f t="array" ref="J1375">IFERROR(INDEX(DB!Q$2:Q$2576,T1375),"")</f>
        <v/>
      </c>
      <c r="K1375" s="43"/>
      <c r="L1375" s="41" t="str" cm="1">
        <f t="array" ref="L1375">IFERROR(INDEX(DB!R$2:R$2576,T1375),"")</f>
        <v/>
      </c>
      <c r="M1375" s="43"/>
      <c r="P1375" t="str" cm="1">
        <f t="array" ref="P1375">IFERROR(_xlfn.AGGREGATE(15,6,ROW(DB!A$2:A$2576)/((($D$3&lt;&gt;"YES")+($D$3="YES")*(DB!E$2:E$2576="YES"))*(($D$4="")+($D$4&lt;&gt;"")*( DB!B$2:B$2576=$D$4))*(($D$5="")+($D$5&lt;&gt;"")*( DB!C$2:C$2576=$D$5))*(($D$6="")+($D$6&lt;&gt;"")*( DB!D$2:D$2576=$D$6))*(($D$7="")+($D$7&lt;&gt;"")*(ISNUMBER(SEARCH($D$7,DB!G$2:G$2576))))*(($F$7="전체")+($F$7&lt;&gt;"전체")*(DB!H$2:H$2576=$F$7))),ROW()-13)-1,"")</f>
        <v/>
      </c>
      <c r="Q1375" t="str" cm="1">
        <f t="array" ref="Q1375">IFERROR(INDEX(DB!G$2:G$2576,P1375),"")</f>
        <v/>
      </c>
      <c r="R1375" t="str" cm="1">
        <f t="array" ref="R1375">IFERROR(INDEX(DB!O$2:O$2576,P1375),"")</f>
        <v/>
      </c>
      <c r="S1375" t="str">
        <f t="shared" si="66"/>
        <v/>
      </c>
      <c r="T1375" t="str">
        <f t="shared" si="67"/>
        <v/>
      </c>
    </row>
    <row r="1376" spans="1:20" ht="100" customHeight="1">
      <c r="A1376" s="26"/>
      <c r="B1376" s="39" t="str">
        <f t="shared" si="65"/>
        <v/>
      </c>
      <c r="C1376" s="43"/>
      <c r="D1376" s="51" t="str" cm="1">
        <f t="array" ref="D1376">IFERROR(INDEX(DB!G$2:G$2576,T1376),"")</f>
        <v/>
      </c>
      <c r="E1376" s="43"/>
      <c r="F1376" s="52" t="str" cm="1">
        <f t="array" ref="F1376">IFERROR(INDEX(DB!O$2:O$2576,T1376),"")</f>
        <v/>
      </c>
      <c r="G1376" s="43"/>
      <c r="H1376" s="40" t="str" cm="1">
        <f t="array" ref="H1376">IFERROR(INDEX(DB!P$2:P$2576,T1376),"")</f>
        <v/>
      </c>
      <c r="I1376" s="43"/>
      <c r="J1376" s="53" t="str" cm="1">
        <f t="array" ref="J1376">IFERROR(INDEX(DB!Q$2:Q$2576,T1376),"")</f>
        <v/>
      </c>
      <c r="K1376" s="43"/>
      <c r="L1376" s="41" t="str" cm="1">
        <f t="array" ref="L1376">IFERROR(INDEX(DB!R$2:R$2576,T1376),"")</f>
        <v/>
      </c>
      <c r="M1376" s="43"/>
      <c r="P1376" t="str" cm="1">
        <f t="array" ref="P1376">IFERROR(_xlfn.AGGREGATE(15,6,ROW(DB!A$2:A$2576)/((($D$3&lt;&gt;"YES")+($D$3="YES")*(DB!E$2:E$2576="YES"))*(($D$4="")+($D$4&lt;&gt;"")*( DB!B$2:B$2576=$D$4))*(($D$5="")+($D$5&lt;&gt;"")*( DB!C$2:C$2576=$D$5))*(($D$6="")+($D$6&lt;&gt;"")*( DB!D$2:D$2576=$D$6))*(($D$7="")+($D$7&lt;&gt;"")*(ISNUMBER(SEARCH($D$7,DB!G$2:G$2576))))*(($F$7="전체")+($F$7&lt;&gt;"전체")*(DB!H$2:H$2576=$F$7))),ROW()-13)-1,"")</f>
        <v/>
      </c>
      <c r="Q1376" t="str" cm="1">
        <f t="array" ref="Q1376">IFERROR(INDEX(DB!G$2:G$2576,P1376),"")</f>
        <v/>
      </c>
      <c r="R1376" t="str" cm="1">
        <f t="array" ref="R1376">IFERROR(INDEX(DB!O$2:O$2576,P1376),"")</f>
        <v/>
      </c>
      <c r="S1376" t="str">
        <f t="shared" si="66"/>
        <v/>
      </c>
      <c r="T1376" t="str">
        <f t="shared" si="67"/>
        <v/>
      </c>
    </row>
    <row r="1377" spans="1:20" ht="100" customHeight="1">
      <c r="A1377" s="26"/>
      <c r="B1377" s="42" t="str">
        <f t="shared" si="65"/>
        <v/>
      </c>
      <c r="C1377" s="43"/>
      <c r="D1377" s="51" t="str" cm="1">
        <f t="array" ref="D1377">IFERROR(INDEX(DB!G$2:G$2576,T1377),"")</f>
        <v/>
      </c>
      <c r="E1377" s="43"/>
      <c r="F1377" s="52" t="str" cm="1">
        <f t="array" ref="F1377">IFERROR(INDEX(DB!O$2:O$2576,T1377),"")</f>
        <v/>
      </c>
      <c r="G1377" s="43"/>
      <c r="H1377" s="40" t="str" cm="1">
        <f t="array" ref="H1377">IFERROR(INDEX(DB!P$2:P$2576,T1377),"")</f>
        <v/>
      </c>
      <c r="I1377" s="43"/>
      <c r="J1377" s="53" t="str" cm="1">
        <f t="array" ref="J1377">IFERROR(INDEX(DB!Q$2:Q$2576,T1377),"")</f>
        <v/>
      </c>
      <c r="K1377" s="43"/>
      <c r="L1377" s="41" t="str" cm="1">
        <f t="array" ref="L1377">IFERROR(INDEX(DB!R$2:R$2576,T1377),"")</f>
        <v/>
      </c>
      <c r="M1377" s="43"/>
      <c r="P1377" t="str" cm="1">
        <f t="array" ref="P1377">IFERROR(_xlfn.AGGREGATE(15,6,ROW(DB!A$2:A$2576)/((($D$3&lt;&gt;"YES")+($D$3="YES")*(DB!E$2:E$2576="YES"))*(($D$4="")+($D$4&lt;&gt;"")*( DB!B$2:B$2576=$D$4))*(($D$5="")+($D$5&lt;&gt;"")*( DB!C$2:C$2576=$D$5))*(($D$6="")+($D$6&lt;&gt;"")*( DB!D$2:D$2576=$D$6))*(($D$7="")+($D$7&lt;&gt;"")*(ISNUMBER(SEARCH($D$7,DB!G$2:G$2576))))*(($F$7="전체")+($F$7&lt;&gt;"전체")*(DB!H$2:H$2576=$F$7))),ROW()-13)-1,"")</f>
        <v/>
      </c>
      <c r="Q1377" t="str" cm="1">
        <f t="array" ref="Q1377">IFERROR(INDEX(DB!G$2:G$2576,P1377),"")</f>
        <v/>
      </c>
      <c r="R1377" t="str" cm="1">
        <f t="array" ref="R1377">IFERROR(INDEX(DB!O$2:O$2576,P1377),"")</f>
        <v/>
      </c>
      <c r="S1377" t="str">
        <f t="shared" si="66"/>
        <v/>
      </c>
      <c r="T1377" t="str">
        <f t="shared" si="67"/>
        <v/>
      </c>
    </row>
    <row r="1378" spans="1:20" ht="100" customHeight="1">
      <c r="A1378" s="26"/>
      <c r="B1378" s="39" t="str">
        <f t="shared" si="65"/>
        <v/>
      </c>
      <c r="C1378" s="43"/>
      <c r="D1378" s="51" t="str" cm="1">
        <f t="array" ref="D1378">IFERROR(INDEX(DB!G$2:G$2576,T1378),"")</f>
        <v/>
      </c>
      <c r="E1378" s="43"/>
      <c r="F1378" s="52" t="str" cm="1">
        <f t="array" ref="F1378">IFERROR(INDEX(DB!O$2:O$2576,T1378),"")</f>
        <v/>
      </c>
      <c r="G1378" s="43"/>
      <c r="H1378" s="40" t="str" cm="1">
        <f t="array" ref="H1378">IFERROR(INDEX(DB!P$2:P$2576,T1378),"")</f>
        <v/>
      </c>
      <c r="I1378" s="43"/>
      <c r="J1378" s="53" t="str" cm="1">
        <f t="array" ref="J1378">IFERROR(INDEX(DB!Q$2:Q$2576,T1378),"")</f>
        <v/>
      </c>
      <c r="K1378" s="43"/>
      <c r="L1378" s="41" t="str" cm="1">
        <f t="array" ref="L1378">IFERROR(INDEX(DB!R$2:R$2576,T1378),"")</f>
        <v/>
      </c>
      <c r="M1378" s="43"/>
      <c r="P1378" t="str" cm="1">
        <f t="array" ref="P1378">IFERROR(_xlfn.AGGREGATE(15,6,ROW(DB!A$2:A$2576)/((($D$3&lt;&gt;"YES")+($D$3="YES")*(DB!E$2:E$2576="YES"))*(($D$4="")+($D$4&lt;&gt;"")*( DB!B$2:B$2576=$D$4))*(($D$5="")+($D$5&lt;&gt;"")*( DB!C$2:C$2576=$D$5))*(($D$6="")+($D$6&lt;&gt;"")*( DB!D$2:D$2576=$D$6))*(($D$7="")+($D$7&lt;&gt;"")*(ISNUMBER(SEARCH($D$7,DB!G$2:G$2576))))*(($F$7="전체")+($F$7&lt;&gt;"전체")*(DB!H$2:H$2576=$F$7))),ROW()-13)-1,"")</f>
        <v/>
      </c>
      <c r="Q1378" t="str" cm="1">
        <f t="array" ref="Q1378">IFERROR(INDEX(DB!G$2:G$2576,P1378),"")</f>
        <v/>
      </c>
      <c r="R1378" t="str" cm="1">
        <f t="array" ref="R1378">IFERROR(INDEX(DB!O$2:O$2576,P1378),"")</f>
        <v/>
      </c>
      <c r="S1378" t="str">
        <f t="shared" si="66"/>
        <v/>
      </c>
      <c r="T1378" t="str">
        <f t="shared" si="67"/>
        <v/>
      </c>
    </row>
    <row r="1379" spans="1:20" ht="100" customHeight="1">
      <c r="A1379" s="26"/>
      <c r="B1379" s="42" t="str">
        <f t="shared" si="65"/>
        <v/>
      </c>
      <c r="C1379" s="43"/>
      <c r="D1379" s="51" t="str" cm="1">
        <f t="array" ref="D1379">IFERROR(INDEX(DB!G$2:G$2576,T1379),"")</f>
        <v/>
      </c>
      <c r="E1379" s="43"/>
      <c r="F1379" s="52" t="str" cm="1">
        <f t="array" ref="F1379">IFERROR(INDEX(DB!O$2:O$2576,T1379),"")</f>
        <v/>
      </c>
      <c r="G1379" s="43"/>
      <c r="H1379" s="40" t="str" cm="1">
        <f t="array" ref="H1379">IFERROR(INDEX(DB!P$2:P$2576,T1379),"")</f>
        <v/>
      </c>
      <c r="I1379" s="43"/>
      <c r="J1379" s="53" t="str" cm="1">
        <f t="array" ref="J1379">IFERROR(INDEX(DB!Q$2:Q$2576,T1379),"")</f>
        <v/>
      </c>
      <c r="K1379" s="43"/>
      <c r="L1379" s="41" t="str" cm="1">
        <f t="array" ref="L1379">IFERROR(INDEX(DB!R$2:R$2576,T1379),"")</f>
        <v/>
      </c>
      <c r="M1379" s="43"/>
      <c r="P1379" t="str" cm="1">
        <f t="array" ref="P1379">IFERROR(_xlfn.AGGREGATE(15,6,ROW(DB!A$2:A$2576)/((($D$3&lt;&gt;"YES")+($D$3="YES")*(DB!E$2:E$2576="YES"))*(($D$4="")+($D$4&lt;&gt;"")*( DB!B$2:B$2576=$D$4))*(($D$5="")+($D$5&lt;&gt;"")*( DB!C$2:C$2576=$D$5))*(($D$6="")+($D$6&lt;&gt;"")*( DB!D$2:D$2576=$D$6))*(($D$7="")+($D$7&lt;&gt;"")*(ISNUMBER(SEARCH($D$7,DB!G$2:G$2576))))*(($F$7="전체")+($F$7&lt;&gt;"전체")*(DB!H$2:H$2576=$F$7))),ROW()-13)-1,"")</f>
        <v/>
      </c>
      <c r="Q1379" t="str" cm="1">
        <f t="array" ref="Q1379">IFERROR(INDEX(DB!G$2:G$2576,P1379),"")</f>
        <v/>
      </c>
      <c r="R1379" t="str" cm="1">
        <f t="array" ref="R1379">IFERROR(INDEX(DB!O$2:O$2576,P1379),"")</f>
        <v/>
      </c>
      <c r="S1379" t="str">
        <f t="shared" si="66"/>
        <v/>
      </c>
      <c r="T1379" t="str">
        <f t="shared" si="67"/>
        <v/>
      </c>
    </row>
    <row r="1380" spans="1:20" ht="100" customHeight="1">
      <c r="A1380" s="26"/>
      <c r="B1380" s="39" t="str">
        <f t="shared" si="65"/>
        <v/>
      </c>
      <c r="C1380" s="43"/>
      <c r="D1380" s="51" t="str" cm="1">
        <f t="array" ref="D1380">IFERROR(INDEX(DB!G$2:G$2576,T1380),"")</f>
        <v/>
      </c>
      <c r="E1380" s="43"/>
      <c r="F1380" s="52" t="str" cm="1">
        <f t="array" ref="F1380">IFERROR(INDEX(DB!O$2:O$2576,T1380),"")</f>
        <v/>
      </c>
      <c r="G1380" s="43"/>
      <c r="H1380" s="40" t="str" cm="1">
        <f t="array" ref="H1380">IFERROR(INDEX(DB!P$2:P$2576,T1380),"")</f>
        <v/>
      </c>
      <c r="I1380" s="43"/>
      <c r="J1380" s="53" t="str" cm="1">
        <f t="array" ref="J1380">IFERROR(INDEX(DB!Q$2:Q$2576,T1380),"")</f>
        <v/>
      </c>
      <c r="K1380" s="43"/>
      <c r="L1380" s="41" t="str" cm="1">
        <f t="array" ref="L1380">IFERROR(INDEX(DB!R$2:R$2576,T1380),"")</f>
        <v/>
      </c>
      <c r="M1380" s="43"/>
      <c r="P1380" t="str" cm="1">
        <f t="array" ref="P1380">IFERROR(_xlfn.AGGREGATE(15,6,ROW(DB!A$2:A$2576)/((($D$3&lt;&gt;"YES")+($D$3="YES")*(DB!E$2:E$2576="YES"))*(($D$4="")+($D$4&lt;&gt;"")*( DB!B$2:B$2576=$D$4))*(($D$5="")+($D$5&lt;&gt;"")*( DB!C$2:C$2576=$D$5))*(($D$6="")+($D$6&lt;&gt;"")*( DB!D$2:D$2576=$D$6))*(($D$7="")+($D$7&lt;&gt;"")*(ISNUMBER(SEARCH($D$7,DB!G$2:G$2576))))*(($F$7="전체")+($F$7&lt;&gt;"전체")*(DB!H$2:H$2576=$F$7))),ROW()-13)-1,"")</f>
        <v/>
      </c>
      <c r="Q1380" t="str" cm="1">
        <f t="array" ref="Q1380">IFERROR(INDEX(DB!G$2:G$2576,P1380),"")</f>
        <v/>
      </c>
      <c r="R1380" t="str" cm="1">
        <f t="array" ref="R1380">IFERROR(INDEX(DB!O$2:O$2576,P1380),"")</f>
        <v/>
      </c>
      <c r="S1380" t="str">
        <f t="shared" si="66"/>
        <v/>
      </c>
      <c r="T1380" t="str">
        <f t="shared" si="67"/>
        <v/>
      </c>
    </row>
    <row r="1381" spans="1:20" ht="100" customHeight="1">
      <c r="A1381" s="26"/>
      <c r="B1381" s="42" t="str">
        <f t="shared" si="65"/>
        <v/>
      </c>
      <c r="C1381" s="43"/>
      <c r="D1381" s="51" t="str" cm="1">
        <f t="array" ref="D1381">IFERROR(INDEX(DB!G$2:G$2576,T1381),"")</f>
        <v/>
      </c>
      <c r="E1381" s="43"/>
      <c r="F1381" s="52" t="str" cm="1">
        <f t="array" ref="F1381">IFERROR(INDEX(DB!O$2:O$2576,T1381),"")</f>
        <v/>
      </c>
      <c r="G1381" s="43"/>
      <c r="H1381" s="40" t="str" cm="1">
        <f t="array" ref="H1381">IFERROR(INDEX(DB!P$2:P$2576,T1381),"")</f>
        <v/>
      </c>
      <c r="I1381" s="43"/>
      <c r="J1381" s="53" t="str" cm="1">
        <f t="array" ref="J1381">IFERROR(INDEX(DB!Q$2:Q$2576,T1381),"")</f>
        <v/>
      </c>
      <c r="K1381" s="43"/>
      <c r="L1381" s="41" t="str" cm="1">
        <f t="array" ref="L1381">IFERROR(INDEX(DB!R$2:R$2576,T1381),"")</f>
        <v/>
      </c>
      <c r="M1381" s="43"/>
      <c r="P1381" t="str" cm="1">
        <f t="array" ref="P1381">IFERROR(_xlfn.AGGREGATE(15,6,ROW(DB!A$2:A$2576)/((($D$3&lt;&gt;"YES")+($D$3="YES")*(DB!E$2:E$2576="YES"))*(($D$4="")+($D$4&lt;&gt;"")*( DB!B$2:B$2576=$D$4))*(($D$5="")+($D$5&lt;&gt;"")*( DB!C$2:C$2576=$D$5))*(($D$6="")+($D$6&lt;&gt;"")*( DB!D$2:D$2576=$D$6))*(($D$7="")+($D$7&lt;&gt;"")*(ISNUMBER(SEARCH($D$7,DB!G$2:G$2576))))*(($F$7="전체")+($F$7&lt;&gt;"전체")*(DB!H$2:H$2576=$F$7))),ROW()-13)-1,"")</f>
        <v/>
      </c>
      <c r="Q1381" t="str" cm="1">
        <f t="array" ref="Q1381">IFERROR(INDEX(DB!G$2:G$2576,P1381),"")</f>
        <v/>
      </c>
      <c r="R1381" t="str" cm="1">
        <f t="array" ref="R1381">IFERROR(INDEX(DB!O$2:O$2576,P1381),"")</f>
        <v/>
      </c>
      <c r="S1381" t="str">
        <f t="shared" si="66"/>
        <v/>
      </c>
      <c r="T1381" t="str">
        <f t="shared" si="67"/>
        <v/>
      </c>
    </row>
    <row r="1382" spans="1:20" ht="100" customHeight="1">
      <c r="A1382" s="26"/>
      <c r="B1382" s="39" t="str">
        <f t="shared" si="65"/>
        <v/>
      </c>
      <c r="C1382" s="43"/>
      <c r="D1382" s="51" t="str" cm="1">
        <f t="array" ref="D1382">IFERROR(INDEX(DB!G$2:G$2576,T1382),"")</f>
        <v/>
      </c>
      <c r="E1382" s="43"/>
      <c r="F1382" s="52" t="str" cm="1">
        <f t="array" ref="F1382">IFERROR(INDEX(DB!O$2:O$2576,T1382),"")</f>
        <v/>
      </c>
      <c r="G1382" s="43"/>
      <c r="H1382" s="40" t="str" cm="1">
        <f t="array" ref="H1382">IFERROR(INDEX(DB!P$2:P$2576,T1382),"")</f>
        <v/>
      </c>
      <c r="I1382" s="43"/>
      <c r="J1382" s="53" t="str" cm="1">
        <f t="array" ref="J1382">IFERROR(INDEX(DB!Q$2:Q$2576,T1382),"")</f>
        <v/>
      </c>
      <c r="K1382" s="43"/>
      <c r="L1382" s="41" t="str" cm="1">
        <f t="array" ref="L1382">IFERROR(INDEX(DB!R$2:R$2576,T1382),"")</f>
        <v/>
      </c>
      <c r="M1382" s="43"/>
      <c r="P1382" t="str" cm="1">
        <f t="array" ref="P1382">IFERROR(_xlfn.AGGREGATE(15,6,ROW(DB!A$2:A$2576)/((($D$3&lt;&gt;"YES")+($D$3="YES")*(DB!E$2:E$2576="YES"))*(($D$4="")+($D$4&lt;&gt;"")*( DB!B$2:B$2576=$D$4))*(($D$5="")+($D$5&lt;&gt;"")*( DB!C$2:C$2576=$D$5))*(($D$6="")+($D$6&lt;&gt;"")*( DB!D$2:D$2576=$D$6))*(($D$7="")+($D$7&lt;&gt;"")*(ISNUMBER(SEARCH($D$7,DB!G$2:G$2576))))*(($F$7="전체")+($F$7&lt;&gt;"전체")*(DB!H$2:H$2576=$F$7))),ROW()-13)-1,"")</f>
        <v/>
      </c>
      <c r="Q1382" t="str" cm="1">
        <f t="array" ref="Q1382">IFERROR(INDEX(DB!G$2:G$2576,P1382),"")</f>
        <v/>
      </c>
      <c r="R1382" t="str" cm="1">
        <f t="array" ref="R1382">IFERROR(INDEX(DB!O$2:O$2576,P1382),"")</f>
        <v/>
      </c>
      <c r="S1382" t="str">
        <f t="shared" si="66"/>
        <v/>
      </c>
      <c r="T1382" t="str">
        <f t="shared" si="67"/>
        <v/>
      </c>
    </row>
    <row r="1383" spans="1:20" ht="100" customHeight="1">
      <c r="A1383" s="26"/>
      <c r="B1383" s="42" t="str">
        <f t="shared" si="65"/>
        <v/>
      </c>
      <c r="C1383" s="43"/>
      <c r="D1383" s="51" t="str" cm="1">
        <f t="array" ref="D1383">IFERROR(INDEX(DB!G$2:G$2576,T1383),"")</f>
        <v/>
      </c>
      <c r="E1383" s="43"/>
      <c r="F1383" s="52" t="str" cm="1">
        <f t="array" ref="F1383">IFERROR(INDEX(DB!O$2:O$2576,T1383),"")</f>
        <v/>
      </c>
      <c r="G1383" s="43"/>
      <c r="H1383" s="40" t="str" cm="1">
        <f t="array" ref="H1383">IFERROR(INDEX(DB!P$2:P$2576,T1383),"")</f>
        <v/>
      </c>
      <c r="I1383" s="43"/>
      <c r="J1383" s="53" t="str" cm="1">
        <f t="array" ref="J1383">IFERROR(INDEX(DB!Q$2:Q$2576,T1383),"")</f>
        <v/>
      </c>
      <c r="K1383" s="43"/>
      <c r="L1383" s="41" t="str" cm="1">
        <f t="array" ref="L1383">IFERROR(INDEX(DB!R$2:R$2576,T1383),"")</f>
        <v/>
      </c>
      <c r="M1383" s="43"/>
      <c r="P1383" t="str" cm="1">
        <f t="array" ref="P1383">IFERROR(_xlfn.AGGREGATE(15,6,ROW(DB!A$2:A$2576)/((($D$3&lt;&gt;"YES")+($D$3="YES")*(DB!E$2:E$2576="YES"))*(($D$4="")+($D$4&lt;&gt;"")*( DB!B$2:B$2576=$D$4))*(($D$5="")+($D$5&lt;&gt;"")*( DB!C$2:C$2576=$D$5))*(($D$6="")+($D$6&lt;&gt;"")*( DB!D$2:D$2576=$D$6))*(($D$7="")+($D$7&lt;&gt;"")*(ISNUMBER(SEARCH($D$7,DB!G$2:G$2576))))*(($F$7="전체")+($F$7&lt;&gt;"전체")*(DB!H$2:H$2576=$F$7))),ROW()-13)-1,"")</f>
        <v/>
      </c>
      <c r="Q1383" t="str" cm="1">
        <f t="array" ref="Q1383">IFERROR(INDEX(DB!G$2:G$2576,P1383),"")</f>
        <v/>
      </c>
      <c r="R1383" t="str" cm="1">
        <f t="array" ref="R1383">IFERROR(INDEX(DB!O$2:O$2576,P1383),"")</f>
        <v/>
      </c>
      <c r="S1383" t="str">
        <f t="shared" si="66"/>
        <v/>
      </c>
      <c r="T1383" t="str">
        <f t="shared" si="67"/>
        <v/>
      </c>
    </row>
    <row r="1384" spans="1:20" ht="100" customHeight="1">
      <c r="A1384" s="26"/>
      <c r="B1384" s="39" t="str">
        <f t="shared" si="65"/>
        <v/>
      </c>
      <c r="C1384" s="43"/>
      <c r="D1384" s="51" t="str" cm="1">
        <f t="array" ref="D1384">IFERROR(INDEX(DB!G$2:G$2576,T1384),"")</f>
        <v/>
      </c>
      <c r="E1384" s="43"/>
      <c r="F1384" s="52" t="str" cm="1">
        <f t="array" ref="F1384">IFERROR(INDEX(DB!O$2:O$2576,T1384),"")</f>
        <v/>
      </c>
      <c r="G1384" s="43"/>
      <c r="H1384" s="40" t="str" cm="1">
        <f t="array" ref="H1384">IFERROR(INDEX(DB!P$2:P$2576,T1384),"")</f>
        <v/>
      </c>
      <c r="I1384" s="43"/>
      <c r="J1384" s="53" t="str" cm="1">
        <f t="array" ref="J1384">IFERROR(INDEX(DB!Q$2:Q$2576,T1384),"")</f>
        <v/>
      </c>
      <c r="K1384" s="43"/>
      <c r="L1384" s="41" t="str" cm="1">
        <f t="array" ref="L1384">IFERROR(INDEX(DB!R$2:R$2576,T1384),"")</f>
        <v/>
      </c>
      <c r="M1384" s="43"/>
      <c r="P1384" t="str" cm="1">
        <f t="array" ref="P1384">IFERROR(_xlfn.AGGREGATE(15,6,ROW(DB!A$2:A$2576)/((($D$3&lt;&gt;"YES")+($D$3="YES")*(DB!E$2:E$2576="YES"))*(($D$4="")+($D$4&lt;&gt;"")*( DB!B$2:B$2576=$D$4))*(($D$5="")+($D$5&lt;&gt;"")*( DB!C$2:C$2576=$D$5))*(($D$6="")+($D$6&lt;&gt;"")*( DB!D$2:D$2576=$D$6))*(($D$7="")+($D$7&lt;&gt;"")*(ISNUMBER(SEARCH($D$7,DB!G$2:G$2576))))*(($F$7="전체")+($F$7&lt;&gt;"전체")*(DB!H$2:H$2576=$F$7))),ROW()-13)-1,"")</f>
        <v/>
      </c>
      <c r="Q1384" t="str" cm="1">
        <f t="array" ref="Q1384">IFERROR(INDEX(DB!G$2:G$2576,P1384),"")</f>
        <v/>
      </c>
      <c r="R1384" t="str" cm="1">
        <f t="array" ref="R1384">IFERROR(INDEX(DB!O$2:O$2576,P1384),"")</f>
        <v/>
      </c>
      <c r="S1384" t="str">
        <f t="shared" si="66"/>
        <v/>
      </c>
      <c r="T1384" t="str">
        <f t="shared" si="67"/>
        <v/>
      </c>
    </row>
    <row r="1385" spans="1:20" ht="100" customHeight="1">
      <c r="A1385" s="26"/>
      <c r="B1385" s="42" t="str">
        <f t="shared" si="65"/>
        <v/>
      </c>
      <c r="C1385" s="43"/>
      <c r="D1385" s="51" t="str" cm="1">
        <f t="array" ref="D1385">IFERROR(INDEX(DB!G$2:G$2576,T1385),"")</f>
        <v/>
      </c>
      <c r="E1385" s="43"/>
      <c r="F1385" s="52" t="str" cm="1">
        <f t="array" ref="F1385">IFERROR(INDEX(DB!O$2:O$2576,T1385),"")</f>
        <v/>
      </c>
      <c r="G1385" s="43"/>
      <c r="H1385" s="40" t="str" cm="1">
        <f t="array" ref="H1385">IFERROR(INDEX(DB!P$2:P$2576,T1385),"")</f>
        <v/>
      </c>
      <c r="I1385" s="43"/>
      <c r="J1385" s="53" t="str" cm="1">
        <f t="array" ref="J1385">IFERROR(INDEX(DB!Q$2:Q$2576,T1385),"")</f>
        <v/>
      </c>
      <c r="K1385" s="43"/>
      <c r="L1385" s="41" t="str" cm="1">
        <f t="array" ref="L1385">IFERROR(INDEX(DB!R$2:R$2576,T1385),"")</f>
        <v/>
      </c>
      <c r="M1385" s="43"/>
      <c r="P1385" t="str" cm="1">
        <f t="array" ref="P1385">IFERROR(_xlfn.AGGREGATE(15,6,ROW(DB!A$2:A$2576)/((($D$3&lt;&gt;"YES")+($D$3="YES")*(DB!E$2:E$2576="YES"))*(($D$4="")+($D$4&lt;&gt;"")*( DB!B$2:B$2576=$D$4))*(($D$5="")+($D$5&lt;&gt;"")*( DB!C$2:C$2576=$D$5))*(($D$6="")+($D$6&lt;&gt;"")*( DB!D$2:D$2576=$D$6))*(($D$7="")+($D$7&lt;&gt;"")*(ISNUMBER(SEARCH($D$7,DB!G$2:G$2576))))*(($F$7="전체")+($F$7&lt;&gt;"전체")*(DB!H$2:H$2576=$F$7))),ROW()-13)-1,"")</f>
        <v/>
      </c>
      <c r="Q1385" t="str" cm="1">
        <f t="array" ref="Q1385">IFERROR(INDEX(DB!G$2:G$2576,P1385),"")</f>
        <v/>
      </c>
      <c r="R1385" t="str" cm="1">
        <f t="array" ref="R1385">IFERROR(INDEX(DB!O$2:O$2576,P1385),"")</f>
        <v/>
      </c>
      <c r="S1385" t="str">
        <f t="shared" si="66"/>
        <v/>
      </c>
      <c r="T1385" t="str">
        <f t="shared" si="67"/>
        <v/>
      </c>
    </row>
    <row r="1386" spans="1:20" ht="100" customHeight="1">
      <c r="A1386" s="26"/>
      <c r="B1386" s="39" t="str">
        <f t="shared" si="65"/>
        <v/>
      </c>
      <c r="C1386" s="43"/>
      <c r="D1386" s="51" t="str" cm="1">
        <f t="array" ref="D1386">IFERROR(INDEX(DB!G$2:G$2576,T1386),"")</f>
        <v/>
      </c>
      <c r="E1386" s="43"/>
      <c r="F1386" s="52" t="str" cm="1">
        <f t="array" ref="F1386">IFERROR(INDEX(DB!O$2:O$2576,T1386),"")</f>
        <v/>
      </c>
      <c r="G1386" s="43"/>
      <c r="H1386" s="40" t="str" cm="1">
        <f t="array" ref="H1386">IFERROR(INDEX(DB!P$2:P$2576,T1386),"")</f>
        <v/>
      </c>
      <c r="I1386" s="43"/>
      <c r="J1386" s="53" t="str" cm="1">
        <f t="array" ref="J1386">IFERROR(INDEX(DB!Q$2:Q$2576,T1386),"")</f>
        <v/>
      </c>
      <c r="K1386" s="43"/>
      <c r="L1386" s="41" t="str" cm="1">
        <f t="array" ref="L1386">IFERROR(INDEX(DB!R$2:R$2576,T1386),"")</f>
        <v/>
      </c>
      <c r="M1386" s="43"/>
      <c r="P1386" t="str" cm="1">
        <f t="array" ref="P1386">IFERROR(_xlfn.AGGREGATE(15,6,ROW(DB!A$2:A$2576)/((($D$3&lt;&gt;"YES")+($D$3="YES")*(DB!E$2:E$2576="YES"))*(($D$4="")+($D$4&lt;&gt;"")*( DB!B$2:B$2576=$D$4))*(($D$5="")+($D$5&lt;&gt;"")*( DB!C$2:C$2576=$D$5))*(($D$6="")+($D$6&lt;&gt;"")*( DB!D$2:D$2576=$D$6))*(($D$7="")+($D$7&lt;&gt;"")*(ISNUMBER(SEARCH($D$7,DB!G$2:G$2576))))*(($F$7="전체")+($F$7&lt;&gt;"전체")*(DB!H$2:H$2576=$F$7))),ROW()-13)-1,"")</f>
        <v/>
      </c>
      <c r="Q1386" t="str" cm="1">
        <f t="array" ref="Q1386">IFERROR(INDEX(DB!G$2:G$2576,P1386),"")</f>
        <v/>
      </c>
      <c r="R1386" t="str" cm="1">
        <f t="array" ref="R1386">IFERROR(INDEX(DB!O$2:O$2576,P1386),"")</f>
        <v/>
      </c>
      <c r="S1386" t="str">
        <f t="shared" si="66"/>
        <v/>
      </c>
      <c r="T1386" t="str">
        <f t="shared" si="67"/>
        <v/>
      </c>
    </row>
    <row r="1387" spans="1:20" ht="100" customHeight="1">
      <c r="A1387" s="26"/>
      <c r="B1387" s="42" t="str">
        <f t="shared" si="65"/>
        <v/>
      </c>
      <c r="C1387" s="43"/>
      <c r="D1387" s="51" t="str" cm="1">
        <f t="array" ref="D1387">IFERROR(INDEX(DB!G$2:G$2576,T1387),"")</f>
        <v/>
      </c>
      <c r="E1387" s="43"/>
      <c r="F1387" s="52" t="str" cm="1">
        <f t="array" ref="F1387">IFERROR(INDEX(DB!O$2:O$2576,T1387),"")</f>
        <v/>
      </c>
      <c r="G1387" s="43"/>
      <c r="H1387" s="40" t="str" cm="1">
        <f t="array" ref="H1387">IFERROR(INDEX(DB!P$2:P$2576,T1387),"")</f>
        <v/>
      </c>
      <c r="I1387" s="43"/>
      <c r="J1387" s="53" t="str" cm="1">
        <f t="array" ref="J1387">IFERROR(INDEX(DB!Q$2:Q$2576,T1387),"")</f>
        <v/>
      </c>
      <c r="K1387" s="43"/>
      <c r="L1387" s="41" t="str" cm="1">
        <f t="array" ref="L1387">IFERROR(INDEX(DB!R$2:R$2576,T1387),"")</f>
        <v/>
      </c>
      <c r="M1387" s="43"/>
      <c r="P1387" t="str" cm="1">
        <f t="array" ref="P1387">IFERROR(_xlfn.AGGREGATE(15,6,ROW(DB!A$2:A$2576)/((($D$3&lt;&gt;"YES")+($D$3="YES")*(DB!E$2:E$2576="YES"))*(($D$4="")+($D$4&lt;&gt;"")*( DB!B$2:B$2576=$D$4))*(($D$5="")+($D$5&lt;&gt;"")*( DB!C$2:C$2576=$D$5))*(($D$6="")+($D$6&lt;&gt;"")*( DB!D$2:D$2576=$D$6))*(($D$7="")+($D$7&lt;&gt;"")*(ISNUMBER(SEARCH($D$7,DB!G$2:G$2576))))*(($F$7="전체")+($F$7&lt;&gt;"전체")*(DB!H$2:H$2576=$F$7))),ROW()-13)-1,"")</f>
        <v/>
      </c>
      <c r="Q1387" t="str" cm="1">
        <f t="array" ref="Q1387">IFERROR(INDEX(DB!G$2:G$2576,P1387),"")</f>
        <v/>
      </c>
      <c r="R1387" t="str" cm="1">
        <f t="array" ref="R1387">IFERROR(INDEX(DB!O$2:O$2576,P1387),"")</f>
        <v/>
      </c>
      <c r="S1387" t="str">
        <f t="shared" si="66"/>
        <v/>
      </c>
      <c r="T1387" t="str">
        <f t="shared" si="67"/>
        <v/>
      </c>
    </row>
    <row r="1388" spans="1:20" ht="100" customHeight="1">
      <c r="A1388" s="26"/>
      <c r="B1388" s="39" t="str">
        <f t="shared" si="65"/>
        <v/>
      </c>
      <c r="C1388" s="43"/>
      <c r="D1388" s="51" t="str" cm="1">
        <f t="array" ref="D1388">IFERROR(INDEX(DB!G$2:G$2576,T1388),"")</f>
        <v/>
      </c>
      <c r="E1388" s="43"/>
      <c r="F1388" s="52" t="str" cm="1">
        <f t="array" ref="F1388">IFERROR(INDEX(DB!O$2:O$2576,T1388),"")</f>
        <v/>
      </c>
      <c r="G1388" s="43"/>
      <c r="H1388" s="40" t="str" cm="1">
        <f t="array" ref="H1388">IFERROR(INDEX(DB!P$2:P$2576,T1388),"")</f>
        <v/>
      </c>
      <c r="I1388" s="43"/>
      <c r="J1388" s="53" t="str" cm="1">
        <f t="array" ref="J1388">IFERROR(INDEX(DB!Q$2:Q$2576,T1388),"")</f>
        <v/>
      </c>
      <c r="K1388" s="43"/>
      <c r="L1388" s="41" t="str" cm="1">
        <f t="array" ref="L1388">IFERROR(INDEX(DB!R$2:R$2576,T1388),"")</f>
        <v/>
      </c>
      <c r="M1388" s="43"/>
      <c r="P1388" t="str" cm="1">
        <f t="array" ref="P1388">IFERROR(_xlfn.AGGREGATE(15,6,ROW(DB!A$2:A$2576)/((($D$3&lt;&gt;"YES")+($D$3="YES")*(DB!E$2:E$2576="YES"))*(($D$4="")+($D$4&lt;&gt;"")*( DB!B$2:B$2576=$D$4))*(($D$5="")+($D$5&lt;&gt;"")*( DB!C$2:C$2576=$D$5))*(($D$6="")+($D$6&lt;&gt;"")*( DB!D$2:D$2576=$D$6))*(($D$7="")+($D$7&lt;&gt;"")*(ISNUMBER(SEARCH($D$7,DB!G$2:G$2576))))*(($F$7="전체")+($F$7&lt;&gt;"전체")*(DB!H$2:H$2576=$F$7))),ROW()-13)-1,"")</f>
        <v/>
      </c>
      <c r="Q1388" t="str" cm="1">
        <f t="array" ref="Q1388">IFERROR(INDEX(DB!G$2:G$2576,P1388),"")</f>
        <v/>
      </c>
      <c r="R1388" t="str" cm="1">
        <f t="array" ref="R1388">IFERROR(INDEX(DB!O$2:O$2576,P1388),"")</f>
        <v/>
      </c>
      <c r="S1388" t="str">
        <f t="shared" si="66"/>
        <v/>
      </c>
      <c r="T1388" t="str">
        <f t="shared" si="67"/>
        <v/>
      </c>
    </row>
    <row r="1389" spans="1:20" ht="100" customHeight="1">
      <c r="A1389" s="26"/>
      <c r="B1389" s="42" t="str">
        <f t="shared" si="65"/>
        <v/>
      </c>
      <c r="C1389" s="43"/>
      <c r="D1389" s="51" t="str" cm="1">
        <f t="array" ref="D1389">IFERROR(INDEX(DB!G$2:G$2576,T1389),"")</f>
        <v/>
      </c>
      <c r="E1389" s="43"/>
      <c r="F1389" s="52" t="str" cm="1">
        <f t="array" ref="F1389">IFERROR(INDEX(DB!O$2:O$2576,T1389),"")</f>
        <v/>
      </c>
      <c r="G1389" s="43"/>
      <c r="H1389" s="40" t="str" cm="1">
        <f t="array" ref="H1389">IFERROR(INDEX(DB!P$2:P$2576,T1389),"")</f>
        <v/>
      </c>
      <c r="I1389" s="43"/>
      <c r="J1389" s="53" t="str" cm="1">
        <f t="array" ref="J1389">IFERROR(INDEX(DB!Q$2:Q$2576,T1389),"")</f>
        <v/>
      </c>
      <c r="K1389" s="43"/>
      <c r="L1389" s="41" t="str" cm="1">
        <f t="array" ref="L1389">IFERROR(INDEX(DB!R$2:R$2576,T1389),"")</f>
        <v/>
      </c>
      <c r="M1389" s="43"/>
      <c r="P1389" t="str" cm="1">
        <f t="array" ref="P1389">IFERROR(_xlfn.AGGREGATE(15,6,ROW(DB!A$2:A$2576)/((($D$3&lt;&gt;"YES")+($D$3="YES")*(DB!E$2:E$2576="YES"))*(($D$4="")+($D$4&lt;&gt;"")*( DB!B$2:B$2576=$D$4))*(($D$5="")+($D$5&lt;&gt;"")*( DB!C$2:C$2576=$D$5))*(($D$6="")+($D$6&lt;&gt;"")*( DB!D$2:D$2576=$D$6))*(($D$7="")+($D$7&lt;&gt;"")*(ISNUMBER(SEARCH($D$7,DB!G$2:G$2576))))*(($F$7="전체")+($F$7&lt;&gt;"전체")*(DB!H$2:H$2576=$F$7))),ROW()-13)-1,"")</f>
        <v/>
      </c>
      <c r="Q1389" t="str" cm="1">
        <f t="array" ref="Q1389">IFERROR(INDEX(DB!G$2:G$2576,P1389),"")</f>
        <v/>
      </c>
      <c r="R1389" t="str" cm="1">
        <f t="array" ref="R1389">IFERROR(INDEX(DB!O$2:O$2576,P1389),"")</f>
        <v/>
      </c>
      <c r="S1389" t="str">
        <f t="shared" si="66"/>
        <v/>
      </c>
      <c r="T1389" t="str">
        <f t="shared" si="67"/>
        <v/>
      </c>
    </row>
    <row r="1390" spans="1:20" ht="100" customHeight="1">
      <c r="A1390" s="26"/>
      <c r="B1390" s="39" t="str">
        <f t="shared" si="65"/>
        <v/>
      </c>
      <c r="C1390" s="43"/>
      <c r="D1390" s="51" t="str" cm="1">
        <f t="array" ref="D1390">IFERROR(INDEX(DB!G$2:G$2576,T1390),"")</f>
        <v/>
      </c>
      <c r="E1390" s="43"/>
      <c r="F1390" s="52" t="str" cm="1">
        <f t="array" ref="F1390">IFERROR(INDEX(DB!O$2:O$2576,T1390),"")</f>
        <v/>
      </c>
      <c r="G1390" s="43"/>
      <c r="H1390" s="40" t="str" cm="1">
        <f t="array" ref="H1390">IFERROR(INDEX(DB!P$2:P$2576,T1390),"")</f>
        <v/>
      </c>
      <c r="I1390" s="43"/>
      <c r="J1390" s="53" t="str" cm="1">
        <f t="array" ref="J1390">IFERROR(INDEX(DB!Q$2:Q$2576,T1390),"")</f>
        <v/>
      </c>
      <c r="K1390" s="43"/>
      <c r="L1390" s="41" t="str" cm="1">
        <f t="array" ref="L1390">IFERROR(INDEX(DB!R$2:R$2576,T1390),"")</f>
        <v/>
      </c>
      <c r="M1390" s="43"/>
      <c r="P1390" t="str" cm="1">
        <f t="array" ref="P1390">IFERROR(_xlfn.AGGREGATE(15,6,ROW(DB!A$2:A$2576)/((($D$3&lt;&gt;"YES")+($D$3="YES")*(DB!E$2:E$2576="YES"))*(($D$4="")+($D$4&lt;&gt;"")*( DB!B$2:B$2576=$D$4))*(($D$5="")+($D$5&lt;&gt;"")*( DB!C$2:C$2576=$D$5))*(($D$6="")+($D$6&lt;&gt;"")*( DB!D$2:D$2576=$D$6))*(($D$7="")+($D$7&lt;&gt;"")*(ISNUMBER(SEARCH($D$7,DB!G$2:G$2576))))*(($F$7="전체")+($F$7&lt;&gt;"전체")*(DB!H$2:H$2576=$F$7))),ROW()-13)-1,"")</f>
        <v/>
      </c>
      <c r="Q1390" t="str" cm="1">
        <f t="array" ref="Q1390">IFERROR(INDEX(DB!G$2:G$2576,P1390),"")</f>
        <v/>
      </c>
      <c r="R1390" t="str" cm="1">
        <f t="array" ref="R1390">IFERROR(INDEX(DB!O$2:O$2576,P1390),"")</f>
        <v/>
      </c>
      <c r="S1390" t="str">
        <f t="shared" si="66"/>
        <v/>
      </c>
      <c r="T1390" t="str">
        <f t="shared" si="67"/>
        <v/>
      </c>
    </row>
    <row r="1391" spans="1:20" ht="100" customHeight="1">
      <c r="A1391" s="26"/>
      <c r="B1391" s="42" t="str">
        <f t="shared" si="65"/>
        <v/>
      </c>
      <c r="C1391" s="43"/>
      <c r="D1391" s="51" t="str" cm="1">
        <f t="array" ref="D1391">IFERROR(INDEX(DB!G$2:G$2576,T1391),"")</f>
        <v/>
      </c>
      <c r="E1391" s="43"/>
      <c r="F1391" s="52" t="str" cm="1">
        <f t="array" ref="F1391">IFERROR(INDEX(DB!O$2:O$2576,T1391),"")</f>
        <v/>
      </c>
      <c r="G1391" s="43"/>
      <c r="H1391" s="40" t="str" cm="1">
        <f t="array" ref="H1391">IFERROR(INDEX(DB!P$2:P$2576,T1391),"")</f>
        <v/>
      </c>
      <c r="I1391" s="43"/>
      <c r="J1391" s="53" t="str" cm="1">
        <f t="array" ref="J1391">IFERROR(INDEX(DB!Q$2:Q$2576,T1391),"")</f>
        <v/>
      </c>
      <c r="K1391" s="43"/>
      <c r="L1391" s="41" t="str" cm="1">
        <f t="array" ref="L1391">IFERROR(INDEX(DB!R$2:R$2576,T1391),"")</f>
        <v/>
      </c>
      <c r="M1391" s="43"/>
      <c r="P1391" t="str" cm="1">
        <f t="array" ref="P1391">IFERROR(_xlfn.AGGREGATE(15,6,ROW(DB!A$2:A$2576)/((($D$3&lt;&gt;"YES")+($D$3="YES")*(DB!E$2:E$2576="YES"))*(($D$4="")+($D$4&lt;&gt;"")*( DB!B$2:B$2576=$D$4))*(($D$5="")+($D$5&lt;&gt;"")*( DB!C$2:C$2576=$D$5))*(($D$6="")+($D$6&lt;&gt;"")*( DB!D$2:D$2576=$D$6))*(($D$7="")+($D$7&lt;&gt;"")*(ISNUMBER(SEARCH($D$7,DB!G$2:G$2576))))*(($F$7="전체")+($F$7&lt;&gt;"전체")*(DB!H$2:H$2576=$F$7))),ROW()-13)-1,"")</f>
        <v/>
      </c>
      <c r="Q1391" t="str" cm="1">
        <f t="array" ref="Q1391">IFERROR(INDEX(DB!G$2:G$2576,P1391),"")</f>
        <v/>
      </c>
      <c r="R1391" t="str" cm="1">
        <f t="array" ref="R1391">IFERROR(INDEX(DB!O$2:O$2576,P1391),"")</f>
        <v/>
      </c>
      <c r="S1391" t="str">
        <f t="shared" si="66"/>
        <v/>
      </c>
      <c r="T1391" t="str">
        <f t="shared" si="67"/>
        <v/>
      </c>
    </row>
    <row r="1392" spans="1:20" ht="100" customHeight="1">
      <c r="A1392" s="26"/>
      <c r="B1392" s="39" t="str">
        <f t="shared" si="65"/>
        <v/>
      </c>
      <c r="C1392" s="43"/>
      <c r="D1392" s="51" t="str" cm="1">
        <f t="array" ref="D1392">IFERROR(INDEX(DB!G$2:G$2576,T1392),"")</f>
        <v/>
      </c>
      <c r="E1392" s="43"/>
      <c r="F1392" s="52" t="str" cm="1">
        <f t="array" ref="F1392">IFERROR(INDEX(DB!O$2:O$2576,T1392),"")</f>
        <v/>
      </c>
      <c r="G1392" s="43"/>
      <c r="H1392" s="40" t="str" cm="1">
        <f t="array" ref="H1392">IFERROR(INDEX(DB!P$2:P$2576,T1392),"")</f>
        <v/>
      </c>
      <c r="I1392" s="43"/>
      <c r="J1392" s="53" t="str" cm="1">
        <f t="array" ref="J1392">IFERROR(INDEX(DB!Q$2:Q$2576,T1392),"")</f>
        <v/>
      </c>
      <c r="K1392" s="43"/>
      <c r="L1392" s="41" t="str" cm="1">
        <f t="array" ref="L1392">IFERROR(INDEX(DB!R$2:R$2576,T1392),"")</f>
        <v/>
      </c>
      <c r="M1392" s="43"/>
      <c r="P1392" t="str" cm="1">
        <f t="array" ref="P1392">IFERROR(_xlfn.AGGREGATE(15,6,ROW(DB!A$2:A$2576)/((($D$3&lt;&gt;"YES")+($D$3="YES")*(DB!E$2:E$2576="YES"))*(($D$4="")+($D$4&lt;&gt;"")*( DB!B$2:B$2576=$D$4))*(($D$5="")+($D$5&lt;&gt;"")*( DB!C$2:C$2576=$D$5))*(($D$6="")+($D$6&lt;&gt;"")*( DB!D$2:D$2576=$D$6))*(($D$7="")+($D$7&lt;&gt;"")*(ISNUMBER(SEARCH($D$7,DB!G$2:G$2576))))*(($F$7="전체")+($F$7&lt;&gt;"전체")*(DB!H$2:H$2576=$F$7))),ROW()-13)-1,"")</f>
        <v/>
      </c>
      <c r="Q1392" t="str" cm="1">
        <f t="array" ref="Q1392">IFERROR(INDEX(DB!G$2:G$2576,P1392),"")</f>
        <v/>
      </c>
      <c r="R1392" t="str" cm="1">
        <f t="array" ref="R1392">IFERROR(INDEX(DB!O$2:O$2576,P1392),"")</f>
        <v/>
      </c>
      <c r="S1392" t="str">
        <f t="shared" si="66"/>
        <v/>
      </c>
      <c r="T1392" t="str">
        <f t="shared" si="67"/>
        <v/>
      </c>
    </row>
    <row r="1393" spans="1:20" ht="100" customHeight="1">
      <c r="A1393" s="26"/>
      <c r="B1393" s="42" t="str">
        <f t="shared" si="65"/>
        <v/>
      </c>
      <c r="C1393" s="43"/>
      <c r="D1393" s="51" t="str" cm="1">
        <f t="array" ref="D1393">IFERROR(INDEX(DB!G$2:G$2576,T1393),"")</f>
        <v/>
      </c>
      <c r="E1393" s="43"/>
      <c r="F1393" s="52" t="str" cm="1">
        <f t="array" ref="F1393">IFERROR(INDEX(DB!O$2:O$2576,T1393),"")</f>
        <v/>
      </c>
      <c r="G1393" s="43"/>
      <c r="H1393" s="40" t="str" cm="1">
        <f t="array" ref="H1393">IFERROR(INDEX(DB!P$2:P$2576,T1393),"")</f>
        <v/>
      </c>
      <c r="I1393" s="43"/>
      <c r="J1393" s="53" t="str" cm="1">
        <f t="array" ref="J1393">IFERROR(INDEX(DB!Q$2:Q$2576,T1393),"")</f>
        <v/>
      </c>
      <c r="K1393" s="43"/>
      <c r="L1393" s="41" t="str" cm="1">
        <f t="array" ref="L1393">IFERROR(INDEX(DB!R$2:R$2576,T1393),"")</f>
        <v/>
      </c>
      <c r="M1393" s="43"/>
      <c r="P1393" t="str" cm="1">
        <f t="array" ref="P1393">IFERROR(_xlfn.AGGREGATE(15,6,ROW(DB!A$2:A$2576)/((($D$3&lt;&gt;"YES")+($D$3="YES")*(DB!E$2:E$2576="YES"))*(($D$4="")+($D$4&lt;&gt;"")*( DB!B$2:B$2576=$D$4))*(($D$5="")+($D$5&lt;&gt;"")*( DB!C$2:C$2576=$D$5))*(($D$6="")+($D$6&lt;&gt;"")*( DB!D$2:D$2576=$D$6))*(($D$7="")+($D$7&lt;&gt;"")*(ISNUMBER(SEARCH($D$7,DB!G$2:G$2576))))*(($F$7="전체")+($F$7&lt;&gt;"전체")*(DB!H$2:H$2576=$F$7))),ROW()-13)-1,"")</f>
        <v/>
      </c>
      <c r="Q1393" t="str" cm="1">
        <f t="array" ref="Q1393">IFERROR(INDEX(DB!G$2:G$2576,P1393),"")</f>
        <v/>
      </c>
      <c r="R1393" t="str" cm="1">
        <f t="array" ref="R1393">IFERROR(INDEX(DB!O$2:O$2576,P1393),"")</f>
        <v/>
      </c>
      <c r="S1393" t="str">
        <f t="shared" si="66"/>
        <v/>
      </c>
      <c r="T1393" t="str">
        <f t="shared" si="67"/>
        <v/>
      </c>
    </row>
    <row r="1394" spans="1:20" ht="100" customHeight="1">
      <c r="A1394" s="26"/>
      <c r="B1394" s="39" t="str">
        <f t="shared" si="65"/>
        <v/>
      </c>
      <c r="C1394" s="43"/>
      <c r="D1394" s="51" t="str" cm="1">
        <f t="array" ref="D1394">IFERROR(INDEX(DB!G$2:G$2576,T1394),"")</f>
        <v/>
      </c>
      <c r="E1394" s="43"/>
      <c r="F1394" s="52" t="str" cm="1">
        <f t="array" ref="F1394">IFERROR(INDEX(DB!O$2:O$2576,T1394),"")</f>
        <v/>
      </c>
      <c r="G1394" s="43"/>
      <c r="H1394" s="40" t="str" cm="1">
        <f t="array" ref="H1394">IFERROR(INDEX(DB!P$2:P$2576,T1394),"")</f>
        <v/>
      </c>
      <c r="I1394" s="43"/>
      <c r="J1394" s="53" t="str" cm="1">
        <f t="array" ref="J1394">IFERROR(INDEX(DB!Q$2:Q$2576,T1394),"")</f>
        <v/>
      </c>
      <c r="K1394" s="43"/>
      <c r="L1394" s="41" t="str" cm="1">
        <f t="array" ref="L1394">IFERROR(INDEX(DB!R$2:R$2576,T1394),"")</f>
        <v/>
      </c>
      <c r="M1394" s="43"/>
      <c r="P1394" t="str" cm="1">
        <f t="array" ref="P1394">IFERROR(_xlfn.AGGREGATE(15,6,ROW(DB!A$2:A$2576)/((($D$3&lt;&gt;"YES")+($D$3="YES")*(DB!E$2:E$2576="YES"))*(($D$4="")+($D$4&lt;&gt;"")*( DB!B$2:B$2576=$D$4))*(($D$5="")+($D$5&lt;&gt;"")*( DB!C$2:C$2576=$D$5))*(($D$6="")+($D$6&lt;&gt;"")*( DB!D$2:D$2576=$D$6))*(($D$7="")+($D$7&lt;&gt;"")*(ISNUMBER(SEARCH($D$7,DB!G$2:G$2576))))*(($F$7="전체")+($F$7&lt;&gt;"전체")*(DB!H$2:H$2576=$F$7))),ROW()-13)-1,"")</f>
        <v/>
      </c>
      <c r="Q1394" t="str" cm="1">
        <f t="array" ref="Q1394">IFERROR(INDEX(DB!G$2:G$2576,P1394),"")</f>
        <v/>
      </c>
      <c r="R1394" t="str" cm="1">
        <f t="array" ref="R1394">IFERROR(INDEX(DB!O$2:O$2576,P1394),"")</f>
        <v/>
      </c>
      <c r="S1394" t="str">
        <f t="shared" si="66"/>
        <v/>
      </c>
      <c r="T1394" t="str">
        <f t="shared" si="67"/>
        <v/>
      </c>
    </row>
    <row r="1395" spans="1:20" ht="100" customHeight="1">
      <c r="A1395" s="26"/>
      <c r="B1395" s="42" t="str">
        <f t="shared" si="65"/>
        <v/>
      </c>
      <c r="C1395" s="43"/>
      <c r="D1395" s="51" t="str" cm="1">
        <f t="array" ref="D1395">IFERROR(INDEX(DB!G$2:G$2576,T1395),"")</f>
        <v/>
      </c>
      <c r="E1395" s="43"/>
      <c r="F1395" s="52" t="str" cm="1">
        <f t="array" ref="F1395">IFERROR(INDEX(DB!O$2:O$2576,T1395),"")</f>
        <v/>
      </c>
      <c r="G1395" s="43"/>
      <c r="H1395" s="40" t="str" cm="1">
        <f t="array" ref="H1395">IFERROR(INDEX(DB!P$2:P$2576,T1395),"")</f>
        <v/>
      </c>
      <c r="I1395" s="43"/>
      <c r="J1395" s="53" t="str" cm="1">
        <f t="array" ref="J1395">IFERROR(INDEX(DB!Q$2:Q$2576,T1395),"")</f>
        <v/>
      </c>
      <c r="K1395" s="43"/>
      <c r="L1395" s="41" t="str" cm="1">
        <f t="array" ref="L1395">IFERROR(INDEX(DB!R$2:R$2576,T1395),"")</f>
        <v/>
      </c>
      <c r="M1395" s="43"/>
      <c r="P1395" t="str" cm="1">
        <f t="array" ref="P1395">IFERROR(_xlfn.AGGREGATE(15,6,ROW(DB!A$2:A$2576)/((($D$3&lt;&gt;"YES")+($D$3="YES")*(DB!E$2:E$2576="YES"))*(($D$4="")+($D$4&lt;&gt;"")*( DB!B$2:B$2576=$D$4))*(($D$5="")+($D$5&lt;&gt;"")*( DB!C$2:C$2576=$D$5))*(($D$6="")+($D$6&lt;&gt;"")*( DB!D$2:D$2576=$D$6))*(($D$7="")+($D$7&lt;&gt;"")*(ISNUMBER(SEARCH($D$7,DB!G$2:G$2576))))*(($F$7="전체")+($F$7&lt;&gt;"전체")*(DB!H$2:H$2576=$F$7))),ROW()-13)-1,"")</f>
        <v/>
      </c>
      <c r="Q1395" t="str" cm="1">
        <f t="array" ref="Q1395">IFERROR(INDEX(DB!G$2:G$2576,P1395),"")</f>
        <v/>
      </c>
      <c r="R1395" t="str" cm="1">
        <f t="array" ref="R1395">IFERROR(INDEX(DB!O$2:O$2576,P1395),"")</f>
        <v/>
      </c>
      <c r="S1395" t="str">
        <f t="shared" si="66"/>
        <v/>
      </c>
      <c r="T1395" t="str">
        <f t="shared" si="67"/>
        <v/>
      </c>
    </row>
    <row r="1396" spans="1:20" ht="100" customHeight="1">
      <c r="A1396" s="26"/>
      <c r="B1396" s="39" t="str">
        <f t="shared" si="65"/>
        <v/>
      </c>
      <c r="C1396" s="43"/>
      <c r="D1396" s="51" t="str" cm="1">
        <f t="array" ref="D1396">IFERROR(INDEX(DB!G$2:G$2576,T1396),"")</f>
        <v/>
      </c>
      <c r="E1396" s="43"/>
      <c r="F1396" s="52" t="str" cm="1">
        <f t="array" ref="F1396">IFERROR(INDEX(DB!O$2:O$2576,T1396),"")</f>
        <v/>
      </c>
      <c r="G1396" s="43"/>
      <c r="H1396" s="40" t="str" cm="1">
        <f t="array" ref="H1396">IFERROR(INDEX(DB!P$2:P$2576,T1396),"")</f>
        <v/>
      </c>
      <c r="I1396" s="43"/>
      <c r="J1396" s="53" t="str" cm="1">
        <f t="array" ref="J1396">IFERROR(INDEX(DB!Q$2:Q$2576,T1396),"")</f>
        <v/>
      </c>
      <c r="K1396" s="43"/>
      <c r="L1396" s="41" t="str" cm="1">
        <f t="array" ref="L1396">IFERROR(INDEX(DB!R$2:R$2576,T1396),"")</f>
        <v/>
      </c>
      <c r="M1396" s="43"/>
      <c r="P1396" t="str" cm="1">
        <f t="array" ref="P1396">IFERROR(_xlfn.AGGREGATE(15,6,ROW(DB!A$2:A$2576)/((($D$3&lt;&gt;"YES")+($D$3="YES")*(DB!E$2:E$2576="YES"))*(($D$4="")+($D$4&lt;&gt;"")*( DB!B$2:B$2576=$D$4))*(($D$5="")+($D$5&lt;&gt;"")*( DB!C$2:C$2576=$D$5))*(($D$6="")+($D$6&lt;&gt;"")*( DB!D$2:D$2576=$D$6))*(($D$7="")+($D$7&lt;&gt;"")*(ISNUMBER(SEARCH($D$7,DB!G$2:G$2576))))*(($F$7="전체")+($F$7&lt;&gt;"전체")*(DB!H$2:H$2576=$F$7))),ROW()-13)-1,"")</f>
        <v/>
      </c>
      <c r="Q1396" t="str" cm="1">
        <f t="array" ref="Q1396">IFERROR(INDEX(DB!G$2:G$2576,P1396),"")</f>
        <v/>
      </c>
      <c r="R1396" t="str" cm="1">
        <f t="array" ref="R1396">IFERROR(INDEX(DB!O$2:O$2576,P1396),"")</f>
        <v/>
      </c>
      <c r="S1396" t="str">
        <f t="shared" si="66"/>
        <v/>
      </c>
      <c r="T1396" t="str">
        <f t="shared" si="67"/>
        <v/>
      </c>
    </row>
    <row r="1397" spans="1:20" ht="100" customHeight="1">
      <c r="A1397" s="26"/>
      <c r="B1397" s="42" t="str">
        <f t="shared" si="65"/>
        <v/>
      </c>
      <c r="C1397" s="43"/>
      <c r="D1397" s="51" t="str" cm="1">
        <f t="array" ref="D1397">IFERROR(INDEX(DB!G$2:G$2576,T1397),"")</f>
        <v/>
      </c>
      <c r="E1397" s="43"/>
      <c r="F1397" s="52" t="str" cm="1">
        <f t="array" ref="F1397">IFERROR(INDEX(DB!O$2:O$2576,T1397),"")</f>
        <v/>
      </c>
      <c r="G1397" s="43"/>
      <c r="H1397" s="40" t="str" cm="1">
        <f t="array" ref="H1397">IFERROR(INDEX(DB!P$2:P$2576,T1397),"")</f>
        <v/>
      </c>
      <c r="I1397" s="43"/>
      <c r="J1397" s="53" t="str" cm="1">
        <f t="array" ref="J1397">IFERROR(INDEX(DB!Q$2:Q$2576,T1397),"")</f>
        <v/>
      </c>
      <c r="K1397" s="43"/>
      <c r="L1397" s="41" t="str" cm="1">
        <f t="array" ref="L1397">IFERROR(INDEX(DB!R$2:R$2576,T1397),"")</f>
        <v/>
      </c>
      <c r="M1397" s="43"/>
      <c r="P1397" t="str" cm="1">
        <f t="array" ref="P1397">IFERROR(_xlfn.AGGREGATE(15,6,ROW(DB!A$2:A$2576)/((($D$3&lt;&gt;"YES")+($D$3="YES")*(DB!E$2:E$2576="YES"))*(($D$4="")+($D$4&lt;&gt;"")*( DB!B$2:B$2576=$D$4))*(($D$5="")+($D$5&lt;&gt;"")*( DB!C$2:C$2576=$D$5))*(($D$6="")+($D$6&lt;&gt;"")*( DB!D$2:D$2576=$D$6))*(($D$7="")+($D$7&lt;&gt;"")*(ISNUMBER(SEARCH($D$7,DB!G$2:G$2576))))*(($F$7="전체")+($F$7&lt;&gt;"전체")*(DB!H$2:H$2576=$F$7))),ROW()-13)-1,"")</f>
        <v/>
      </c>
      <c r="Q1397" t="str" cm="1">
        <f t="array" ref="Q1397">IFERROR(INDEX(DB!G$2:G$2576,P1397),"")</f>
        <v/>
      </c>
      <c r="R1397" t="str" cm="1">
        <f t="array" ref="R1397">IFERROR(INDEX(DB!O$2:O$2576,P1397),"")</f>
        <v/>
      </c>
      <c r="S1397" t="str">
        <f t="shared" si="66"/>
        <v/>
      </c>
      <c r="T1397" t="str">
        <f t="shared" si="67"/>
        <v/>
      </c>
    </row>
    <row r="1398" spans="1:20" ht="100" customHeight="1">
      <c r="A1398" s="26"/>
      <c r="B1398" s="39" t="str">
        <f t="shared" si="65"/>
        <v/>
      </c>
      <c r="C1398" s="43"/>
      <c r="D1398" s="51" t="str" cm="1">
        <f t="array" ref="D1398">IFERROR(INDEX(DB!G$2:G$2576,T1398),"")</f>
        <v/>
      </c>
      <c r="E1398" s="43"/>
      <c r="F1398" s="52" t="str" cm="1">
        <f t="array" ref="F1398">IFERROR(INDEX(DB!O$2:O$2576,T1398),"")</f>
        <v/>
      </c>
      <c r="G1398" s="43"/>
      <c r="H1398" s="40" t="str" cm="1">
        <f t="array" ref="H1398">IFERROR(INDEX(DB!P$2:P$2576,T1398),"")</f>
        <v/>
      </c>
      <c r="I1398" s="43"/>
      <c r="J1398" s="53" t="str" cm="1">
        <f t="array" ref="J1398">IFERROR(INDEX(DB!Q$2:Q$2576,T1398),"")</f>
        <v/>
      </c>
      <c r="K1398" s="43"/>
      <c r="L1398" s="41" t="str" cm="1">
        <f t="array" ref="L1398">IFERROR(INDEX(DB!R$2:R$2576,T1398),"")</f>
        <v/>
      </c>
      <c r="M1398" s="43"/>
      <c r="P1398" t="str" cm="1">
        <f t="array" ref="P1398">IFERROR(_xlfn.AGGREGATE(15,6,ROW(DB!A$2:A$2576)/((($D$3&lt;&gt;"YES")+($D$3="YES")*(DB!E$2:E$2576="YES"))*(($D$4="")+($D$4&lt;&gt;"")*( DB!B$2:B$2576=$D$4))*(($D$5="")+($D$5&lt;&gt;"")*( DB!C$2:C$2576=$D$5))*(($D$6="")+($D$6&lt;&gt;"")*( DB!D$2:D$2576=$D$6))*(($D$7="")+($D$7&lt;&gt;"")*(ISNUMBER(SEARCH($D$7,DB!G$2:G$2576))))*(($F$7="전체")+($F$7&lt;&gt;"전체")*(DB!H$2:H$2576=$F$7))),ROW()-13)-1,"")</f>
        <v/>
      </c>
      <c r="Q1398" t="str" cm="1">
        <f t="array" ref="Q1398">IFERROR(INDEX(DB!G$2:G$2576,P1398),"")</f>
        <v/>
      </c>
      <c r="R1398" t="str" cm="1">
        <f t="array" ref="R1398">IFERROR(INDEX(DB!O$2:O$2576,P1398),"")</f>
        <v/>
      </c>
      <c r="S1398" t="str">
        <f t="shared" si="66"/>
        <v/>
      </c>
      <c r="T1398" t="str">
        <f t="shared" si="67"/>
        <v/>
      </c>
    </row>
    <row r="1399" spans="1:20" ht="100" customHeight="1">
      <c r="A1399" s="26"/>
      <c r="B1399" s="42" t="str">
        <f t="shared" si="65"/>
        <v/>
      </c>
      <c r="C1399" s="43"/>
      <c r="D1399" s="51" t="str" cm="1">
        <f t="array" ref="D1399">IFERROR(INDEX(DB!G$2:G$2576,T1399),"")</f>
        <v/>
      </c>
      <c r="E1399" s="43"/>
      <c r="F1399" s="52" t="str" cm="1">
        <f t="array" ref="F1399">IFERROR(INDEX(DB!O$2:O$2576,T1399),"")</f>
        <v/>
      </c>
      <c r="G1399" s="43"/>
      <c r="H1399" s="40" t="str" cm="1">
        <f t="array" ref="H1399">IFERROR(INDEX(DB!P$2:P$2576,T1399),"")</f>
        <v/>
      </c>
      <c r="I1399" s="43"/>
      <c r="J1399" s="53" t="str" cm="1">
        <f t="array" ref="J1399">IFERROR(INDEX(DB!Q$2:Q$2576,T1399),"")</f>
        <v/>
      </c>
      <c r="K1399" s="43"/>
      <c r="L1399" s="41" t="str" cm="1">
        <f t="array" ref="L1399">IFERROR(INDEX(DB!R$2:R$2576,T1399),"")</f>
        <v/>
      </c>
      <c r="M1399" s="43"/>
      <c r="P1399" t="str" cm="1">
        <f t="array" ref="P1399">IFERROR(_xlfn.AGGREGATE(15,6,ROW(DB!A$2:A$2576)/((($D$3&lt;&gt;"YES")+($D$3="YES")*(DB!E$2:E$2576="YES"))*(($D$4="")+($D$4&lt;&gt;"")*( DB!B$2:B$2576=$D$4))*(($D$5="")+($D$5&lt;&gt;"")*( DB!C$2:C$2576=$D$5))*(($D$6="")+($D$6&lt;&gt;"")*( DB!D$2:D$2576=$D$6))*(($D$7="")+($D$7&lt;&gt;"")*(ISNUMBER(SEARCH($D$7,DB!G$2:G$2576))))*(($F$7="전체")+($F$7&lt;&gt;"전체")*(DB!H$2:H$2576=$F$7))),ROW()-13)-1,"")</f>
        <v/>
      </c>
      <c r="Q1399" t="str" cm="1">
        <f t="array" ref="Q1399">IFERROR(INDEX(DB!G$2:G$2576,P1399),"")</f>
        <v/>
      </c>
      <c r="R1399" t="str" cm="1">
        <f t="array" ref="R1399">IFERROR(INDEX(DB!O$2:O$2576,P1399),"")</f>
        <v/>
      </c>
      <c r="S1399" t="str">
        <f t="shared" si="66"/>
        <v/>
      </c>
      <c r="T1399" t="str">
        <f t="shared" si="67"/>
        <v/>
      </c>
    </row>
    <row r="1400" spans="1:20" ht="100" customHeight="1">
      <c r="A1400" s="26"/>
      <c r="B1400" s="39" t="str">
        <f t="shared" si="65"/>
        <v/>
      </c>
      <c r="C1400" s="43"/>
      <c r="D1400" s="51" t="str" cm="1">
        <f t="array" ref="D1400">IFERROR(INDEX(DB!G$2:G$2576,T1400),"")</f>
        <v/>
      </c>
      <c r="E1400" s="43"/>
      <c r="F1400" s="52" t="str" cm="1">
        <f t="array" ref="F1400">IFERROR(INDEX(DB!O$2:O$2576,T1400),"")</f>
        <v/>
      </c>
      <c r="G1400" s="43"/>
      <c r="H1400" s="40" t="str" cm="1">
        <f t="array" ref="H1400">IFERROR(INDEX(DB!P$2:P$2576,T1400),"")</f>
        <v/>
      </c>
      <c r="I1400" s="43"/>
      <c r="J1400" s="53" t="str" cm="1">
        <f t="array" ref="J1400">IFERROR(INDEX(DB!Q$2:Q$2576,T1400),"")</f>
        <v/>
      </c>
      <c r="K1400" s="43"/>
      <c r="L1400" s="41" t="str" cm="1">
        <f t="array" ref="L1400">IFERROR(INDEX(DB!R$2:R$2576,T1400),"")</f>
        <v/>
      </c>
      <c r="M1400" s="43"/>
      <c r="P1400" t="str" cm="1">
        <f t="array" ref="P1400">IFERROR(_xlfn.AGGREGATE(15,6,ROW(DB!A$2:A$2576)/((($D$3&lt;&gt;"YES")+($D$3="YES")*(DB!E$2:E$2576="YES"))*(($D$4="")+($D$4&lt;&gt;"")*( DB!B$2:B$2576=$D$4))*(($D$5="")+($D$5&lt;&gt;"")*( DB!C$2:C$2576=$D$5))*(($D$6="")+($D$6&lt;&gt;"")*( DB!D$2:D$2576=$D$6))*(($D$7="")+($D$7&lt;&gt;"")*(ISNUMBER(SEARCH($D$7,DB!G$2:G$2576))))*(($F$7="전체")+($F$7&lt;&gt;"전체")*(DB!H$2:H$2576=$F$7))),ROW()-13)-1,"")</f>
        <v/>
      </c>
      <c r="Q1400" t="str" cm="1">
        <f t="array" ref="Q1400">IFERROR(INDEX(DB!G$2:G$2576,P1400),"")</f>
        <v/>
      </c>
      <c r="R1400" t="str" cm="1">
        <f t="array" ref="R1400">IFERROR(INDEX(DB!O$2:O$2576,P1400),"")</f>
        <v/>
      </c>
      <c r="S1400" t="str">
        <f t="shared" si="66"/>
        <v/>
      </c>
      <c r="T1400" t="str">
        <f t="shared" si="67"/>
        <v/>
      </c>
    </row>
    <row r="1401" spans="1:20" ht="100" customHeight="1">
      <c r="A1401" s="26"/>
      <c r="B1401" s="42" t="str">
        <f t="shared" si="65"/>
        <v/>
      </c>
      <c r="C1401" s="43"/>
      <c r="D1401" s="51" t="str" cm="1">
        <f t="array" ref="D1401">IFERROR(INDEX(DB!G$2:G$2576,T1401),"")</f>
        <v/>
      </c>
      <c r="E1401" s="43"/>
      <c r="F1401" s="52" t="str" cm="1">
        <f t="array" ref="F1401">IFERROR(INDEX(DB!O$2:O$2576,T1401),"")</f>
        <v/>
      </c>
      <c r="G1401" s="43"/>
      <c r="H1401" s="40" t="str" cm="1">
        <f t="array" ref="H1401">IFERROR(INDEX(DB!P$2:P$2576,T1401),"")</f>
        <v/>
      </c>
      <c r="I1401" s="43"/>
      <c r="J1401" s="53" t="str" cm="1">
        <f t="array" ref="J1401">IFERROR(INDEX(DB!Q$2:Q$2576,T1401),"")</f>
        <v/>
      </c>
      <c r="K1401" s="43"/>
      <c r="L1401" s="41" t="str" cm="1">
        <f t="array" ref="L1401">IFERROR(INDEX(DB!R$2:R$2576,T1401),"")</f>
        <v/>
      </c>
      <c r="M1401" s="43"/>
      <c r="P1401" t="str" cm="1">
        <f t="array" ref="P1401">IFERROR(_xlfn.AGGREGATE(15,6,ROW(DB!A$2:A$2576)/((($D$3&lt;&gt;"YES")+($D$3="YES")*(DB!E$2:E$2576="YES"))*(($D$4="")+($D$4&lt;&gt;"")*( DB!B$2:B$2576=$D$4))*(($D$5="")+($D$5&lt;&gt;"")*( DB!C$2:C$2576=$D$5))*(($D$6="")+($D$6&lt;&gt;"")*( DB!D$2:D$2576=$D$6))*(($D$7="")+($D$7&lt;&gt;"")*(ISNUMBER(SEARCH($D$7,DB!G$2:G$2576))))*(($F$7="전체")+($F$7&lt;&gt;"전체")*(DB!H$2:H$2576=$F$7))),ROW()-13)-1,"")</f>
        <v/>
      </c>
      <c r="Q1401" t="str" cm="1">
        <f t="array" ref="Q1401">IFERROR(INDEX(DB!G$2:G$2576,P1401),"")</f>
        <v/>
      </c>
      <c r="R1401" t="str" cm="1">
        <f t="array" ref="R1401">IFERROR(INDEX(DB!O$2:O$2576,P1401),"")</f>
        <v/>
      </c>
      <c r="S1401" t="str">
        <f t="shared" si="66"/>
        <v/>
      </c>
      <c r="T1401" t="str">
        <f t="shared" si="67"/>
        <v/>
      </c>
    </row>
    <row r="1402" spans="1:20" ht="100" customHeight="1">
      <c r="A1402" s="26"/>
      <c r="B1402" s="39" t="str">
        <f t="shared" si="65"/>
        <v/>
      </c>
      <c r="C1402" s="43"/>
      <c r="D1402" s="51" t="str" cm="1">
        <f t="array" ref="D1402">IFERROR(INDEX(DB!G$2:G$2576,T1402),"")</f>
        <v/>
      </c>
      <c r="E1402" s="43"/>
      <c r="F1402" s="52" t="str" cm="1">
        <f t="array" ref="F1402">IFERROR(INDEX(DB!O$2:O$2576,T1402),"")</f>
        <v/>
      </c>
      <c r="G1402" s="43"/>
      <c r="H1402" s="40" t="str" cm="1">
        <f t="array" ref="H1402">IFERROR(INDEX(DB!P$2:P$2576,T1402),"")</f>
        <v/>
      </c>
      <c r="I1402" s="43"/>
      <c r="J1402" s="53" t="str" cm="1">
        <f t="array" ref="J1402">IFERROR(INDEX(DB!Q$2:Q$2576,T1402),"")</f>
        <v/>
      </c>
      <c r="K1402" s="43"/>
      <c r="L1402" s="41" t="str" cm="1">
        <f t="array" ref="L1402">IFERROR(INDEX(DB!R$2:R$2576,T1402),"")</f>
        <v/>
      </c>
      <c r="M1402" s="43"/>
      <c r="P1402" t="str" cm="1">
        <f t="array" ref="P1402">IFERROR(_xlfn.AGGREGATE(15,6,ROW(DB!A$2:A$2576)/((($D$3&lt;&gt;"YES")+($D$3="YES")*(DB!E$2:E$2576="YES"))*(($D$4="")+($D$4&lt;&gt;"")*( DB!B$2:B$2576=$D$4))*(($D$5="")+($D$5&lt;&gt;"")*( DB!C$2:C$2576=$D$5))*(($D$6="")+($D$6&lt;&gt;"")*( DB!D$2:D$2576=$D$6))*(($D$7="")+($D$7&lt;&gt;"")*(ISNUMBER(SEARCH($D$7,DB!G$2:G$2576))))*(($F$7="전체")+($F$7&lt;&gt;"전체")*(DB!H$2:H$2576=$F$7))),ROW()-13)-1,"")</f>
        <v/>
      </c>
      <c r="Q1402" t="str" cm="1">
        <f t="array" ref="Q1402">IFERROR(INDEX(DB!G$2:G$2576,P1402),"")</f>
        <v/>
      </c>
      <c r="R1402" t="str" cm="1">
        <f t="array" ref="R1402">IFERROR(INDEX(DB!O$2:O$2576,P1402),"")</f>
        <v/>
      </c>
      <c r="S1402" t="str">
        <f t="shared" si="66"/>
        <v/>
      </c>
      <c r="T1402" t="str">
        <f t="shared" si="67"/>
        <v/>
      </c>
    </row>
    <row r="1403" spans="1:20" ht="100" customHeight="1">
      <c r="A1403" s="26"/>
      <c r="B1403" s="42" t="str">
        <f t="shared" si="65"/>
        <v/>
      </c>
      <c r="C1403" s="43"/>
      <c r="D1403" s="51" t="str" cm="1">
        <f t="array" ref="D1403">IFERROR(INDEX(DB!G$2:G$2576,T1403),"")</f>
        <v/>
      </c>
      <c r="E1403" s="43"/>
      <c r="F1403" s="52" t="str" cm="1">
        <f t="array" ref="F1403">IFERROR(INDEX(DB!O$2:O$2576,T1403),"")</f>
        <v/>
      </c>
      <c r="G1403" s="43"/>
      <c r="H1403" s="40" t="str" cm="1">
        <f t="array" ref="H1403">IFERROR(INDEX(DB!P$2:P$2576,T1403),"")</f>
        <v/>
      </c>
      <c r="I1403" s="43"/>
      <c r="J1403" s="53" t="str" cm="1">
        <f t="array" ref="J1403">IFERROR(INDEX(DB!Q$2:Q$2576,T1403),"")</f>
        <v/>
      </c>
      <c r="K1403" s="43"/>
      <c r="L1403" s="41" t="str" cm="1">
        <f t="array" ref="L1403">IFERROR(INDEX(DB!R$2:R$2576,T1403),"")</f>
        <v/>
      </c>
      <c r="M1403" s="43"/>
      <c r="P1403" t="str" cm="1">
        <f t="array" ref="P1403">IFERROR(_xlfn.AGGREGATE(15,6,ROW(DB!A$2:A$2576)/((($D$3&lt;&gt;"YES")+($D$3="YES")*(DB!E$2:E$2576="YES"))*(($D$4="")+($D$4&lt;&gt;"")*( DB!B$2:B$2576=$D$4))*(($D$5="")+($D$5&lt;&gt;"")*( DB!C$2:C$2576=$D$5))*(($D$6="")+($D$6&lt;&gt;"")*( DB!D$2:D$2576=$D$6))*(($D$7="")+($D$7&lt;&gt;"")*(ISNUMBER(SEARCH($D$7,DB!G$2:G$2576))))*(($F$7="전체")+($F$7&lt;&gt;"전체")*(DB!H$2:H$2576=$F$7))),ROW()-13)-1,"")</f>
        <v/>
      </c>
      <c r="Q1403" t="str" cm="1">
        <f t="array" ref="Q1403">IFERROR(INDEX(DB!G$2:G$2576,P1403),"")</f>
        <v/>
      </c>
      <c r="R1403" t="str" cm="1">
        <f t="array" ref="R1403">IFERROR(INDEX(DB!O$2:O$2576,P1403),"")</f>
        <v/>
      </c>
      <c r="S1403" t="str">
        <f t="shared" si="66"/>
        <v/>
      </c>
      <c r="T1403" t="str">
        <f t="shared" si="67"/>
        <v/>
      </c>
    </row>
    <row r="1404" spans="1:20" ht="100" customHeight="1">
      <c r="A1404" s="26"/>
      <c r="B1404" s="39" t="str">
        <f t="shared" si="65"/>
        <v/>
      </c>
      <c r="C1404" s="43"/>
      <c r="D1404" s="51" t="str" cm="1">
        <f t="array" ref="D1404">IFERROR(INDEX(DB!G$2:G$2576,T1404),"")</f>
        <v/>
      </c>
      <c r="E1404" s="43"/>
      <c r="F1404" s="52" t="str" cm="1">
        <f t="array" ref="F1404">IFERROR(INDEX(DB!O$2:O$2576,T1404),"")</f>
        <v/>
      </c>
      <c r="G1404" s="43"/>
      <c r="H1404" s="40" t="str" cm="1">
        <f t="array" ref="H1404">IFERROR(INDEX(DB!P$2:P$2576,T1404),"")</f>
        <v/>
      </c>
      <c r="I1404" s="43"/>
      <c r="J1404" s="53" t="str" cm="1">
        <f t="array" ref="J1404">IFERROR(INDEX(DB!Q$2:Q$2576,T1404),"")</f>
        <v/>
      </c>
      <c r="K1404" s="43"/>
      <c r="L1404" s="41" t="str" cm="1">
        <f t="array" ref="L1404">IFERROR(INDEX(DB!R$2:R$2576,T1404),"")</f>
        <v/>
      </c>
      <c r="M1404" s="43"/>
      <c r="P1404" t="str" cm="1">
        <f t="array" ref="P1404">IFERROR(_xlfn.AGGREGATE(15,6,ROW(DB!A$2:A$2576)/((($D$3&lt;&gt;"YES")+($D$3="YES")*(DB!E$2:E$2576="YES"))*(($D$4="")+($D$4&lt;&gt;"")*( DB!B$2:B$2576=$D$4))*(($D$5="")+($D$5&lt;&gt;"")*( DB!C$2:C$2576=$D$5))*(($D$6="")+($D$6&lt;&gt;"")*( DB!D$2:D$2576=$D$6))*(($D$7="")+($D$7&lt;&gt;"")*(ISNUMBER(SEARCH($D$7,DB!G$2:G$2576))))*(($F$7="전체")+($F$7&lt;&gt;"전체")*(DB!H$2:H$2576=$F$7))),ROW()-13)-1,"")</f>
        <v/>
      </c>
      <c r="Q1404" t="str" cm="1">
        <f t="array" ref="Q1404">IFERROR(INDEX(DB!G$2:G$2576,P1404),"")</f>
        <v/>
      </c>
      <c r="R1404" t="str" cm="1">
        <f t="array" ref="R1404">IFERROR(INDEX(DB!O$2:O$2576,P1404),"")</f>
        <v/>
      </c>
      <c r="S1404" t="str">
        <f t="shared" si="66"/>
        <v/>
      </c>
      <c r="T1404" t="str">
        <f t="shared" si="67"/>
        <v/>
      </c>
    </row>
    <row r="1405" spans="1:20" ht="100" customHeight="1">
      <c r="A1405" s="26"/>
      <c r="B1405" s="42" t="str">
        <f t="shared" si="65"/>
        <v/>
      </c>
      <c r="C1405" s="43"/>
      <c r="D1405" s="51" t="str" cm="1">
        <f t="array" ref="D1405">IFERROR(INDEX(DB!G$2:G$2576,T1405),"")</f>
        <v/>
      </c>
      <c r="E1405" s="43"/>
      <c r="F1405" s="52" t="str" cm="1">
        <f t="array" ref="F1405">IFERROR(INDEX(DB!O$2:O$2576,T1405),"")</f>
        <v/>
      </c>
      <c r="G1405" s="43"/>
      <c r="H1405" s="40" t="str" cm="1">
        <f t="array" ref="H1405">IFERROR(INDEX(DB!P$2:P$2576,T1405),"")</f>
        <v/>
      </c>
      <c r="I1405" s="43"/>
      <c r="J1405" s="53" t="str" cm="1">
        <f t="array" ref="J1405">IFERROR(INDEX(DB!Q$2:Q$2576,T1405),"")</f>
        <v/>
      </c>
      <c r="K1405" s="43"/>
      <c r="L1405" s="41" t="str" cm="1">
        <f t="array" ref="L1405">IFERROR(INDEX(DB!R$2:R$2576,T1405),"")</f>
        <v/>
      </c>
      <c r="M1405" s="43"/>
      <c r="P1405" t="str" cm="1">
        <f t="array" ref="P1405">IFERROR(_xlfn.AGGREGATE(15,6,ROW(DB!A$2:A$2576)/((($D$3&lt;&gt;"YES")+($D$3="YES")*(DB!E$2:E$2576="YES"))*(($D$4="")+($D$4&lt;&gt;"")*( DB!B$2:B$2576=$D$4))*(($D$5="")+($D$5&lt;&gt;"")*( DB!C$2:C$2576=$D$5))*(($D$6="")+($D$6&lt;&gt;"")*( DB!D$2:D$2576=$D$6))*(($D$7="")+($D$7&lt;&gt;"")*(ISNUMBER(SEARCH($D$7,DB!G$2:G$2576))))*(($F$7="전체")+($F$7&lt;&gt;"전체")*(DB!H$2:H$2576=$F$7))),ROW()-13)-1,"")</f>
        <v/>
      </c>
      <c r="Q1405" t="str" cm="1">
        <f t="array" ref="Q1405">IFERROR(INDEX(DB!G$2:G$2576,P1405),"")</f>
        <v/>
      </c>
      <c r="R1405" t="str" cm="1">
        <f t="array" ref="R1405">IFERROR(INDEX(DB!O$2:O$2576,P1405),"")</f>
        <v/>
      </c>
      <c r="S1405" t="str">
        <f t="shared" si="66"/>
        <v/>
      </c>
      <c r="T1405" t="str">
        <f t="shared" si="67"/>
        <v/>
      </c>
    </row>
    <row r="1406" spans="1:20" ht="100" customHeight="1">
      <c r="A1406" s="26"/>
      <c r="B1406" s="39" t="str">
        <f t="shared" si="65"/>
        <v/>
      </c>
      <c r="C1406" s="43"/>
      <c r="D1406" s="51" t="str" cm="1">
        <f t="array" ref="D1406">IFERROR(INDEX(DB!G$2:G$2576,T1406),"")</f>
        <v/>
      </c>
      <c r="E1406" s="43"/>
      <c r="F1406" s="52" t="str" cm="1">
        <f t="array" ref="F1406">IFERROR(INDEX(DB!O$2:O$2576,T1406),"")</f>
        <v/>
      </c>
      <c r="G1406" s="43"/>
      <c r="H1406" s="40" t="str" cm="1">
        <f t="array" ref="H1406">IFERROR(INDEX(DB!P$2:P$2576,T1406),"")</f>
        <v/>
      </c>
      <c r="I1406" s="43"/>
      <c r="J1406" s="53" t="str" cm="1">
        <f t="array" ref="J1406">IFERROR(INDEX(DB!Q$2:Q$2576,T1406),"")</f>
        <v/>
      </c>
      <c r="K1406" s="43"/>
      <c r="L1406" s="41" t="str" cm="1">
        <f t="array" ref="L1406">IFERROR(INDEX(DB!R$2:R$2576,T1406),"")</f>
        <v/>
      </c>
      <c r="M1406" s="43"/>
      <c r="P1406" t="str" cm="1">
        <f t="array" ref="P1406">IFERROR(_xlfn.AGGREGATE(15,6,ROW(DB!A$2:A$2576)/((($D$3&lt;&gt;"YES")+($D$3="YES")*(DB!E$2:E$2576="YES"))*(($D$4="")+($D$4&lt;&gt;"")*( DB!B$2:B$2576=$D$4))*(($D$5="")+($D$5&lt;&gt;"")*( DB!C$2:C$2576=$D$5))*(($D$6="")+($D$6&lt;&gt;"")*( DB!D$2:D$2576=$D$6))*(($D$7="")+($D$7&lt;&gt;"")*(ISNUMBER(SEARCH($D$7,DB!G$2:G$2576))))*(($F$7="전체")+($F$7&lt;&gt;"전체")*(DB!H$2:H$2576=$F$7))),ROW()-13)-1,"")</f>
        <v/>
      </c>
      <c r="Q1406" t="str" cm="1">
        <f t="array" ref="Q1406">IFERROR(INDEX(DB!G$2:G$2576,P1406),"")</f>
        <v/>
      </c>
      <c r="R1406" t="str" cm="1">
        <f t="array" ref="R1406">IFERROR(INDEX(DB!O$2:O$2576,P1406),"")</f>
        <v/>
      </c>
      <c r="S1406" t="str">
        <f t="shared" si="66"/>
        <v/>
      </c>
      <c r="T1406" t="str">
        <f t="shared" si="67"/>
        <v/>
      </c>
    </row>
    <row r="1407" spans="1:20" ht="100" customHeight="1">
      <c r="A1407" s="26"/>
      <c r="B1407" s="42" t="str">
        <f t="shared" si="65"/>
        <v/>
      </c>
      <c r="C1407" s="43"/>
      <c r="D1407" s="51" t="str" cm="1">
        <f t="array" ref="D1407">IFERROR(INDEX(DB!G$2:G$2576,T1407),"")</f>
        <v/>
      </c>
      <c r="E1407" s="43"/>
      <c r="F1407" s="52" t="str" cm="1">
        <f t="array" ref="F1407">IFERROR(INDEX(DB!O$2:O$2576,T1407),"")</f>
        <v/>
      </c>
      <c r="G1407" s="43"/>
      <c r="H1407" s="40" t="str" cm="1">
        <f t="array" ref="H1407">IFERROR(INDEX(DB!P$2:P$2576,T1407),"")</f>
        <v/>
      </c>
      <c r="I1407" s="43"/>
      <c r="J1407" s="53" t="str" cm="1">
        <f t="array" ref="J1407">IFERROR(INDEX(DB!Q$2:Q$2576,T1407),"")</f>
        <v/>
      </c>
      <c r="K1407" s="43"/>
      <c r="L1407" s="41" t="str" cm="1">
        <f t="array" ref="L1407">IFERROR(INDEX(DB!R$2:R$2576,T1407),"")</f>
        <v/>
      </c>
      <c r="M1407" s="43"/>
      <c r="P1407" t="str" cm="1">
        <f t="array" ref="P1407">IFERROR(_xlfn.AGGREGATE(15,6,ROW(DB!A$2:A$2576)/((($D$3&lt;&gt;"YES")+($D$3="YES")*(DB!E$2:E$2576="YES"))*(($D$4="")+($D$4&lt;&gt;"")*( DB!B$2:B$2576=$D$4))*(($D$5="")+($D$5&lt;&gt;"")*( DB!C$2:C$2576=$D$5))*(($D$6="")+($D$6&lt;&gt;"")*( DB!D$2:D$2576=$D$6))*(($D$7="")+($D$7&lt;&gt;"")*(ISNUMBER(SEARCH($D$7,DB!G$2:G$2576))))*(($F$7="전체")+($F$7&lt;&gt;"전체")*(DB!H$2:H$2576=$F$7))),ROW()-13)-1,"")</f>
        <v/>
      </c>
      <c r="Q1407" t="str" cm="1">
        <f t="array" ref="Q1407">IFERROR(INDEX(DB!G$2:G$2576,P1407),"")</f>
        <v/>
      </c>
      <c r="R1407" t="str" cm="1">
        <f t="array" ref="R1407">IFERROR(INDEX(DB!O$2:O$2576,P1407),"")</f>
        <v/>
      </c>
      <c r="S1407" t="str">
        <f t="shared" si="66"/>
        <v/>
      </c>
      <c r="T1407" t="str">
        <f t="shared" si="67"/>
        <v/>
      </c>
    </row>
    <row r="1408" spans="1:20" ht="100" customHeight="1">
      <c r="A1408" s="26"/>
      <c r="B1408" s="39" t="str">
        <f t="shared" si="65"/>
        <v/>
      </c>
      <c r="C1408" s="43"/>
      <c r="D1408" s="51" t="str" cm="1">
        <f t="array" ref="D1408">IFERROR(INDEX(DB!G$2:G$2576,T1408),"")</f>
        <v/>
      </c>
      <c r="E1408" s="43"/>
      <c r="F1408" s="52" t="str" cm="1">
        <f t="array" ref="F1408">IFERROR(INDEX(DB!O$2:O$2576,T1408),"")</f>
        <v/>
      </c>
      <c r="G1408" s="43"/>
      <c r="H1408" s="40" t="str" cm="1">
        <f t="array" ref="H1408">IFERROR(INDEX(DB!P$2:P$2576,T1408),"")</f>
        <v/>
      </c>
      <c r="I1408" s="43"/>
      <c r="J1408" s="53" t="str" cm="1">
        <f t="array" ref="J1408">IFERROR(INDEX(DB!Q$2:Q$2576,T1408),"")</f>
        <v/>
      </c>
      <c r="K1408" s="43"/>
      <c r="L1408" s="41" t="str" cm="1">
        <f t="array" ref="L1408">IFERROR(INDEX(DB!R$2:R$2576,T1408),"")</f>
        <v/>
      </c>
      <c r="M1408" s="43"/>
      <c r="P1408" t="str" cm="1">
        <f t="array" ref="P1408">IFERROR(_xlfn.AGGREGATE(15,6,ROW(DB!A$2:A$2576)/((($D$3&lt;&gt;"YES")+($D$3="YES")*(DB!E$2:E$2576="YES"))*(($D$4="")+($D$4&lt;&gt;"")*( DB!B$2:B$2576=$D$4))*(($D$5="")+($D$5&lt;&gt;"")*( DB!C$2:C$2576=$D$5))*(($D$6="")+($D$6&lt;&gt;"")*( DB!D$2:D$2576=$D$6))*(($D$7="")+($D$7&lt;&gt;"")*(ISNUMBER(SEARCH($D$7,DB!G$2:G$2576))))*(($F$7="전체")+($F$7&lt;&gt;"전체")*(DB!H$2:H$2576=$F$7))),ROW()-13)-1,"")</f>
        <v/>
      </c>
      <c r="Q1408" t="str" cm="1">
        <f t="array" ref="Q1408">IFERROR(INDEX(DB!G$2:G$2576,P1408),"")</f>
        <v/>
      </c>
      <c r="R1408" t="str" cm="1">
        <f t="array" ref="R1408">IFERROR(INDEX(DB!O$2:O$2576,P1408),"")</f>
        <v/>
      </c>
      <c r="S1408" t="str">
        <f t="shared" si="66"/>
        <v/>
      </c>
      <c r="T1408" t="str">
        <f t="shared" si="67"/>
        <v/>
      </c>
    </row>
    <row r="1409" spans="1:20" ht="100" customHeight="1">
      <c r="A1409" s="26"/>
      <c r="B1409" s="42" t="str">
        <f t="shared" si="65"/>
        <v/>
      </c>
      <c r="C1409" s="43"/>
      <c r="D1409" s="51" t="str" cm="1">
        <f t="array" ref="D1409">IFERROR(INDEX(DB!G$2:G$2576,T1409),"")</f>
        <v/>
      </c>
      <c r="E1409" s="43"/>
      <c r="F1409" s="52" t="str" cm="1">
        <f t="array" ref="F1409">IFERROR(INDEX(DB!O$2:O$2576,T1409),"")</f>
        <v/>
      </c>
      <c r="G1409" s="43"/>
      <c r="H1409" s="40" t="str" cm="1">
        <f t="array" ref="H1409">IFERROR(INDEX(DB!P$2:P$2576,T1409),"")</f>
        <v/>
      </c>
      <c r="I1409" s="43"/>
      <c r="J1409" s="53" t="str" cm="1">
        <f t="array" ref="J1409">IFERROR(INDEX(DB!Q$2:Q$2576,T1409),"")</f>
        <v/>
      </c>
      <c r="K1409" s="43"/>
      <c r="L1409" s="41" t="str" cm="1">
        <f t="array" ref="L1409">IFERROR(INDEX(DB!R$2:R$2576,T1409),"")</f>
        <v/>
      </c>
      <c r="M1409" s="43"/>
      <c r="P1409" t="str" cm="1">
        <f t="array" ref="P1409">IFERROR(_xlfn.AGGREGATE(15,6,ROW(DB!A$2:A$2576)/((($D$3&lt;&gt;"YES")+($D$3="YES")*(DB!E$2:E$2576="YES"))*(($D$4="")+($D$4&lt;&gt;"")*( DB!B$2:B$2576=$D$4))*(($D$5="")+($D$5&lt;&gt;"")*( DB!C$2:C$2576=$D$5))*(($D$6="")+($D$6&lt;&gt;"")*( DB!D$2:D$2576=$D$6))*(($D$7="")+($D$7&lt;&gt;"")*(ISNUMBER(SEARCH($D$7,DB!G$2:G$2576))))*(($F$7="전체")+($F$7&lt;&gt;"전체")*(DB!H$2:H$2576=$F$7))),ROW()-13)-1,"")</f>
        <v/>
      </c>
      <c r="Q1409" t="str" cm="1">
        <f t="array" ref="Q1409">IFERROR(INDEX(DB!G$2:G$2576,P1409),"")</f>
        <v/>
      </c>
      <c r="R1409" t="str" cm="1">
        <f t="array" ref="R1409">IFERROR(INDEX(DB!O$2:O$2576,P1409),"")</f>
        <v/>
      </c>
      <c r="S1409" t="str">
        <f t="shared" si="66"/>
        <v/>
      </c>
      <c r="T1409" t="str">
        <f t="shared" si="67"/>
        <v/>
      </c>
    </row>
    <row r="1410" spans="1:20" ht="100" customHeight="1">
      <c r="A1410" s="26"/>
      <c r="B1410" s="39" t="str">
        <f t="shared" si="65"/>
        <v/>
      </c>
      <c r="C1410" s="43"/>
      <c r="D1410" s="51" t="str" cm="1">
        <f t="array" ref="D1410">IFERROR(INDEX(DB!G$2:G$2576,T1410),"")</f>
        <v/>
      </c>
      <c r="E1410" s="43"/>
      <c r="F1410" s="52" t="str" cm="1">
        <f t="array" ref="F1410">IFERROR(INDEX(DB!O$2:O$2576,T1410),"")</f>
        <v/>
      </c>
      <c r="G1410" s="43"/>
      <c r="H1410" s="40" t="str" cm="1">
        <f t="array" ref="H1410">IFERROR(INDEX(DB!P$2:P$2576,T1410),"")</f>
        <v/>
      </c>
      <c r="I1410" s="43"/>
      <c r="J1410" s="53" t="str" cm="1">
        <f t="array" ref="J1410">IFERROR(INDEX(DB!Q$2:Q$2576,T1410),"")</f>
        <v/>
      </c>
      <c r="K1410" s="43"/>
      <c r="L1410" s="41" t="str" cm="1">
        <f t="array" ref="L1410">IFERROR(INDEX(DB!R$2:R$2576,T1410),"")</f>
        <v/>
      </c>
      <c r="M1410" s="43"/>
      <c r="P1410" t="str" cm="1">
        <f t="array" ref="P1410">IFERROR(_xlfn.AGGREGATE(15,6,ROW(DB!A$2:A$2576)/((($D$3&lt;&gt;"YES")+($D$3="YES")*(DB!E$2:E$2576="YES"))*(($D$4="")+($D$4&lt;&gt;"")*( DB!B$2:B$2576=$D$4))*(($D$5="")+($D$5&lt;&gt;"")*( DB!C$2:C$2576=$D$5))*(($D$6="")+($D$6&lt;&gt;"")*( DB!D$2:D$2576=$D$6))*(($D$7="")+($D$7&lt;&gt;"")*(ISNUMBER(SEARCH($D$7,DB!G$2:G$2576))))*(($F$7="전체")+($F$7&lt;&gt;"전체")*(DB!H$2:H$2576=$F$7))),ROW()-13)-1,"")</f>
        <v/>
      </c>
      <c r="Q1410" t="str" cm="1">
        <f t="array" ref="Q1410">IFERROR(INDEX(DB!G$2:G$2576,P1410),"")</f>
        <v/>
      </c>
      <c r="R1410" t="str" cm="1">
        <f t="array" ref="R1410">IFERROR(INDEX(DB!O$2:O$2576,P1410),"")</f>
        <v/>
      </c>
      <c r="S1410" t="str">
        <f t="shared" si="66"/>
        <v/>
      </c>
      <c r="T1410" t="str">
        <f t="shared" si="67"/>
        <v/>
      </c>
    </row>
    <row r="1411" spans="1:20" ht="100" customHeight="1">
      <c r="A1411" s="26"/>
      <c r="B1411" s="42" t="str">
        <f t="shared" si="65"/>
        <v/>
      </c>
      <c r="C1411" s="43"/>
      <c r="D1411" s="51" t="str" cm="1">
        <f t="array" ref="D1411">IFERROR(INDEX(DB!G$2:G$2576,T1411),"")</f>
        <v/>
      </c>
      <c r="E1411" s="43"/>
      <c r="F1411" s="52" t="str" cm="1">
        <f t="array" ref="F1411">IFERROR(INDEX(DB!O$2:O$2576,T1411),"")</f>
        <v/>
      </c>
      <c r="G1411" s="43"/>
      <c r="H1411" s="40" t="str" cm="1">
        <f t="array" ref="H1411">IFERROR(INDEX(DB!P$2:P$2576,T1411),"")</f>
        <v/>
      </c>
      <c r="I1411" s="43"/>
      <c r="J1411" s="53" t="str" cm="1">
        <f t="array" ref="J1411">IFERROR(INDEX(DB!Q$2:Q$2576,T1411),"")</f>
        <v/>
      </c>
      <c r="K1411" s="43"/>
      <c r="L1411" s="41" t="str" cm="1">
        <f t="array" ref="L1411">IFERROR(INDEX(DB!R$2:R$2576,T1411),"")</f>
        <v/>
      </c>
      <c r="M1411" s="43"/>
      <c r="P1411" t="str" cm="1">
        <f t="array" ref="P1411">IFERROR(_xlfn.AGGREGATE(15,6,ROW(DB!A$2:A$2576)/((($D$3&lt;&gt;"YES")+($D$3="YES")*(DB!E$2:E$2576="YES"))*(($D$4="")+($D$4&lt;&gt;"")*( DB!B$2:B$2576=$D$4))*(($D$5="")+($D$5&lt;&gt;"")*( DB!C$2:C$2576=$D$5))*(($D$6="")+($D$6&lt;&gt;"")*( DB!D$2:D$2576=$D$6))*(($D$7="")+($D$7&lt;&gt;"")*(ISNUMBER(SEARCH($D$7,DB!G$2:G$2576))))*(($F$7="전체")+($F$7&lt;&gt;"전체")*(DB!H$2:H$2576=$F$7))),ROW()-13)-1,"")</f>
        <v/>
      </c>
      <c r="Q1411" t="str" cm="1">
        <f t="array" ref="Q1411">IFERROR(INDEX(DB!G$2:G$2576,P1411),"")</f>
        <v/>
      </c>
      <c r="R1411" t="str" cm="1">
        <f t="array" ref="R1411">IFERROR(INDEX(DB!O$2:O$2576,P1411),"")</f>
        <v/>
      </c>
      <c r="S1411" t="str">
        <f t="shared" si="66"/>
        <v/>
      </c>
      <c r="T1411" t="str">
        <f t="shared" si="67"/>
        <v/>
      </c>
    </row>
    <row r="1412" spans="1:20" ht="100" customHeight="1">
      <c r="A1412" s="26"/>
      <c r="B1412" s="39" t="str">
        <f t="shared" si="65"/>
        <v/>
      </c>
      <c r="C1412" s="43"/>
      <c r="D1412" s="51" t="str" cm="1">
        <f t="array" ref="D1412">IFERROR(INDEX(DB!G$2:G$2576,T1412),"")</f>
        <v/>
      </c>
      <c r="E1412" s="43"/>
      <c r="F1412" s="52" t="str" cm="1">
        <f t="array" ref="F1412">IFERROR(INDEX(DB!O$2:O$2576,T1412),"")</f>
        <v/>
      </c>
      <c r="G1412" s="43"/>
      <c r="H1412" s="40" t="str" cm="1">
        <f t="array" ref="H1412">IFERROR(INDEX(DB!P$2:P$2576,T1412),"")</f>
        <v/>
      </c>
      <c r="I1412" s="43"/>
      <c r="J1412" s="53" t="str" cm="1">
        <f t="array" ref="J1412">IFERROR(INDEX(DB!Q$2:Q$2576,T1412),"")</f>
        <v/>
      </c>
      <c r="K1412" s="43"/>
      <c r="L1412" s="41" t="str" cm="1">
        <f t="array" ref="L1412">IFERROR(INDEX(DB!R$2:R$2576,T1412),"")</f>
        <v/>
      </c>
      <c r="M1412" s="43"/>
      <c r="P1412" t="str" cm="1">
        <f t="array" ref="P1412">IFERROR(_xlfn.AGGREGATE(15,6,ROW(DB!A$2:A$2576)/((($D$3&lt;&gt;"YES")+($D$3="YES")*(DB!E$2:E$2576="YES"))*(($D$4="")+($D$4&lt;&gt;"")*( DB!B$2:B$2576=$D$4))*(($D$5="")+($D$5&lt;&gt;"")*( DB!C$2:C$2576=$D$5))*(($D$6="")+($D$6&lt;&gt;"")*( DB!D$2:D$2576=$D$6))*(($D$7="")+($D$7&lt;&gt;"")*(ISNUMBER(SEARCH($D$7,DB!G$2:G$2576))))*(($F$7="전체")+($F$7&lt;&gt;"전체")*(DB!H$2:H$2576=$F$7))),ROW()-13)-1,"")</f>
        <v/>
      </c>
      <c r="Q1412" t="str" cm="1">
        <f t="array" ref="Q1412">IFERROR(INDEX(DB!G$2:G$2576,P1412),"")</f>
        <v/>
      </c>
      <c r="R1412" t="str" cm="1">
        <f t="array" ref="R1412">IFERROR(INDEX(DB!O$2:O$2576,P1412),"")</f>
        <v/>
      </c>
      <c r="S1412" t="str">
        <f t="shared" si="66"/>
        <v/>
      </c>
      <c r="T1412" t="str">
        <f t="shared" si="67"/>
        <v/>
      </c>
    </row>
    <row r="1413" spans="1:20" ht="100" customHeight="1">
      <c r="A1413" s="26"/>
      <c r="B1413" s="42" t="str">
        <f t="shared" si="65"/>
        <v/>
      </c>
      <c r="C1413" s="43"/>
      <c r="D1413" s="51" t="str" cm="1">
        <f t="array" ref="D1413">IFERROR(INDEX(DB!G$2:G$2576,T1413),"")</f>
        <v/>
      </c>
      <c r="E1413" s="43"/>
      <c r="F1413" s="52" t="str" cm="1">
        <f t="array" ref="F1413">IFERROR(INDEX(DB!O$2:O$2576,T1413),"")</f>
        <v/>
      </c>
      <c r="G1413" s="43"/>
      <c r="H1413" s="40" t="str" cm="1">
        <f t="array" ref="H1413">IFERROR(INDEX(DB!P$2:P$2576,T1413),"")</f>
        <v/>
      </c>
      <c r="I1413" s="43"/>
      <c r="J1413" s="53" t="str" cm="1">
        <f t="array" ref="J1413">IFERROR(INDEX(DB!Q$2:Q$2576,T1413),"")</f>
        <v/>
      </c>
      <c r="K1413" s="43"/>
      <c r="L1413" s="41" t="str" cm="1">
        <f t="array" ref="L1413">IFERROR(INDEX(DB!R$2:R$2576,T1413),"")</f>
        <v/>
      </c>
      <c r="M1413" s="43"/>
      <c r="P1413" t="str" cm="1">
        <f t="array" ref="P1413">IFERROR(_xlfn.AGGREGATE(15,6,ROW(DB!A$2:A$2576)/((($D$3&lt;&gt;"YES")+($D$3="YES")*(DB!E$2:E$2576="YES"))*(($D$4="")+($D$4&lt;&gt;"")*( DB!B$2:B$2576=$D$4))*(($D$5="")+($D$5&lt;&gt;"")*( DB!C$2:C$2576=$D$5))*(($D$6="")+($D$6&lt;&gt;"")*( DB!D$2:D$2576=$D$6))*(($D$7="")+($D$7&lt;&gt;"")*(ISNUMBER(SEARCH($D$7,DB!G$2:G$2576))))*(($F$7="전체")+($F$7&lt;&gt;"전체")*(DB!H$2:H$2576=$F$7))),ROW()-13)-1,"")</f>
        <v/>
      </c>
      <c r="Q1413" t="str" cm="1">
        <f t="array" ref="Q1413">IFERROR(INDEX(DB!G$2:G$2576,P1413),"")</f>
        <v/>
      </c>
      <c r="R1413" t="str" cm="1">
        <f t="array" ref="R1413">IFERROR(INDEX(DB!O$2:O$2576,P1413),"")</f>
        <v/>
      </c>
      <c r="S1413" t="str">
        <f t="shared" si="66"/>
        <v/>
      </c>
      <c r="T1413" t="str">
        <f t="shared" si="67"/>
        <v/>
      </c>
    </row>
    <row r="1414" spans="1:20" ht="100" customHeight="1">
      <c r="A1414" s="26"/>
      <c r="B1414" s="39" t="str">
        <f t="shared" si="65"/>
        <v/>
      </c>
      <c r="C1414" s="43"/>
      <c r="D1414" s="51" t="str" cm="1">
        <f t="array" ref="D1414">IFERROR(INDEX(DB!G$2:G$2576,T1414),"")</f>
        <v/>
      </c>
      <c r="E1414" s="43"/>
      <c r="F1414" s="52" t="str" cm="1">
        <f t="array" ref="F1414">IFERROR(INDEX(DB!O$2:O$2576,T1414),"")</f>
        <v/>
      </c>
      <c r="G1414" s="43"/>
      <c r="H1414" s="40" t="str" cm="1">
        <f t="array" ref="H1414">IFERROR(INDEX(DB!P$2:P$2576,T1414),"")</f>
        <v/>
      </c>
      <c r="I1414" s="43"/>
      <c r="J1414" s="53" t="str" cm="1">
        <f t="array" ref="J1414">IFERROR(INDEX(DB!Q$2:Q$2576,T1414),"")</f>
        <v/>
      </c>
      <c r="K1414" s="43"/>
      <c r="L1414" s="41" t="str" cm="1">
        <f t="array" ref="L1414">IFERROR(INDEX(DB!R$2:R$2576,T1414),"")</f>
        <v/>
      </c>
      <c r="M1414" s="43"/>
      <c r="P1414" t="str" cm="1">
        <f t="array" ref="P1414">IFERROR(_xlfn.AGGREGATE(15,6,ROW(DB!A$2:A$2576)/((($D$3&lt;&gt;"YES")+($D$3="YES")*(DB!E$2:E$2576="YES"))*(($D$4="")+($D$4&lt;&gt;"")*( DB!B$2:B$2576=$D$4))*(($D$5="")+($D$5&lt;&gt;"")*( DB!C$2:C$2576=$D$5))*(($D$6="")+($D$6&lt;&gt;"")*( DB!D$2:D$2576=$D$6))*(($D$7="")+($D$7&lt;&gt;"")*(ISNUMBER(SEARCH($D$7,DB!G$2:G$2576))))*(($F$7="전체")+($F$7&lt;&gt;"전체")*(DB!H$2:H$2576=$F$7))),ROW()-13)-1,"")</f>
        <v/>
      </c>
      <c r="Q1414" t="str" cm="1">
        <f t="array" ref="Q1414">IFERROR(INDEX(DB!G$2:G$2576,P1414),"")</f>
        <v/>
      </c>
      <c r="R1414" t="str" cm="1">
        <f t="array" ref="R1414">IFERROR(INDEX(DB!O$2:O$2576,P1414),"")</f>
        <v/>
      </c>
      <c r="S1414" t="str">
        <f t="shared" si="66"/>
        <v/>
      </c>
      <c r="T1414" t="str">
        <f t="shared" si="67"/>
        <v/>
      </c>
    </row>
    <row r="1415" spans="1:20" ht="100" customHeight="1">
      <c r="A1415" s="26"/>
      <c r="B1415" s="42" t="str">
        <f t="shared" si="65"/>
        <v/>
      </c>
      <c r="C1415" s="43"/>
      <c r="D1415" s="51" t="str" cm="1">
        <f t="array" ref="D1415">IFERROR(INDEX(DB!G$2:G$2576,T1415),"")</f>
        <v/>
      </c>
      <c r="E1415" s="43"/>
      <c r="F1415" s="52" t="str" cm="1">
        <f t="array" ref="F1415">IFERROR(INDEX(DB!O$2:O$2576,T1415),"")</f>
        <v/>
      </c>
      <c r="G1415" s="43"/>
      <c r="H1415" s="40" t="str" cm="1">
        <f t="array" ref="H1415">IFERROR(INDEX(DB!P$2:P$2576,T1415),"")</f>
        <v/>
      </c>
      <c r="I1415" s="43"/>
      <c r="J1415" s="53" t="str" cm="1">
        <f t="array" ref="J1415">IFERROR(INDEX(DB!Q$2:Q$2576,T1415),"")</f>
        <v/>
      </c>
      <c r="K1415" s="43"/>
      <c r="L1415" s="41" t="str" cm="1">
        <f t="array" ref="L1415">IFERROR(INDEX(DB!R$2:R$2576,T1415),"")</f>
        <v/>
      </c>
      <c r="M1415" s="43"/>
      <c r="P1415" t="str" cm="1">
        <f t="array" ref="P1415">IFERROR(_xlfn.AGGREGATE(15,6,ROW(DB!A$2:A$2576)/((($D$3&lt;&gt;"YES")+($D$3="YES")*(DB!E$2:E$2576="YES"))*(($D$4="")+($D$4&lt;&gt;"")*( DB!B$2:B$2576=$D$4))*(($D$5="")+($D$5&lt;&gt;"")*( DB!C$2:C$2576=$D$5))*(($D$6="")+($D$6&lt;&gt;"")*( DB!D$2:D$2576=$D$6))*(($D$7="")+($D$7&lt;&gt;"")*(ISNUMBER(SEARCH($D$7,DB!G$2:G$2576))))*(($F$7="전체")+($F$7&lt;&gt;"전체")*(DB!H$2:H$2576=$F$7))),ROW()-13)-1,"")</f>
        <v/>
      </c>
      <c r="Q1415" t="str" cm="1">
        <f t="array" ref="Q1415">IFERROR(INDEX(DB!G$2:G$2576,P1415),"")</f>
        <v/>
      </c>
      <c r="R1415" t="str" cm="1">
        <f t="array" ref="R1415">IFERROR(INDEX(DB!O$2:O$2576,P1415),"")</f>
        <v/>
      </c>
      <c r="S1415" t="str">
        <f t="shared" si="66"/>
        <v/>
      </c>
      <c r="T1415" t="str">
        <f t="shared" si="67"/>
        <v/>
      </c>
    </row>
    <row r="1416" spans="1:20" ht="100" customHeight="1">
      <c r="A1416" s="26"/>
      <c r="B1416" s="39" t="str">
        <f t="shared" si="65"/>
        <v/>
      </c>
      <c r="C1416" s="43"/>
      <c r="D1416" s="51" t="str" cm="1">
        <f t="array" ref="D1416">IFERROR(INDEX(DB!G$2:G$2576,T1416),"")</f>
        <v/>
      </c>
      <c r="E1416" s="43"/>
      <c r="F1416" s="52" t="str" cm="1">
        <f t="array" ref="F1416">IFERROR(INDEX(DB!O$2:O$2576,T1416),"")</f>
        <v/>
      </c>
      <c r="G1416" s="43"/>
      <c r="H1416" s="40" t="str" cm="1">
        <f t="array" ref="H1416">IFERROR(INDEX(DB!P$2:P$2576,T1416),"")</f>
        <v/>
      </c>
      <c r="I1416" s="43"/>
      <c r="J1416" s="53" t="str" cm="1">
        <f t="array" ref="J1416">IFERROR(INDEX(DB!Q$2:Q$2576,T1416),"")</f>
        <v/>
      </c>
      <c r="K1416" s="43"/>
      <c r="L1416" s="41" t="str" cm="1">
        <f t="array" ref="L1416">IFERROR(INDEX(DB!R$2:R$2576,T1416),"")</f>
        <v/>
      </c>
      <c r="M1416" s="43"/>
      <c r="P1416" t="str" cm="1">
        <f t="array" ref="P1416">IFERROR(_xlfn.AGGREGATE(15,6,ROW(DB!A$2:A$2576)/((($D$3&lt;&gt;"YES")+($D$3="YES")*(DB!E$2:E$2576="YES"))*(($D$4="")+($D$4&lt;&gt;"")*( DB!B$2:B$2576=$D$4))*(($D$5="")+($D$5&lt;&gt;"")*( DB!C$2:C$2576=$D$5))*(($D$6="")+($D$6&lt;&gt;"")*( DB!D$2:D$2576=$D$6))*(($D$7="")+($D$7&lt;&gt;"")*(ISNUMBER(SEARCH($D$7,DB!G$2:G$2576))))*(($F$7="전체")+($F$7&lt;&gt;"전체")*(DB!H$2:H$2576=$F$7))),ROW()-13)-1,"")</f>
        <v/>
      </c>
      <c r="Q1416" t="str" cm="1">
        <f t="array" ref="Q1416">IFERROR(INDEX(DB!G$2:G$2576,P1416),"")</f>
        <v/>
      </c>
      <c r="R1416" t="str" cm="1">
        <f t="array" ref="R1416">IFERROR(INDEX(DB!O$2:O$2576,P1416),"")</f>
        <v/>
      </c>
      <c r="S1416" t="str">
        <f t="shared" si="66"/>
        <v/>
      </c>
      <c r="T1416" t="str">
        <f t="shared" si="67"/>
        <v/>
      </c>
    </row>
    <row r="1417" spans="1:20" ht="100" customHeight="1">
      <c r="A1417" s="26"/>
      <c r="B1417" s="42" t="str">
        <f t="shared" si="65"/>
        <v/>
      </c>
      <c r="C1417" s="43"/>
      <c r="D1417" s="51" t="str" cm="1">
        <f t="array" ref="D1417">IFERROR(INDEX(DB!G$2:G$2576,T1417),"")</f>
        <v/>
      </c>
      <c r="E1417" s="43"/>
      <c r="F1417" s="52" t="str" cm="1">
        <f t="array" ref="F1417">IFERROR(INDEX(DB!O$2:O$2576,T1417),"")</f>
        <v/>
      </c>
      <c r="G1417" s="43"/>
      <c r="H1417" s="40" t="str" cm="1">
        <f t="array" ref="H1417">IFERROR(INDEX(DB!P$2:P$2576,T1417),"")</f>
        <v/>
      </c>
      <c r="I1417" s="43"/>
      <c r="J1417" s="53" t="str" cm="1">
        <f t="array" ref="J1417">IFERROR(INDEX(DB!Q$2:Q$2576,T1417),"")</f>
        <v/>
      </c>
      <c r="K1417" s="43"/>
      <c r="L1417" s="41" t="str" cm="1">
        <f t="array" ref="L1417">IFERROR(INDEX(DB!R$2:R$2576,T1417),"")</f>
        <v/>
      </c>
      <c r="M1417" s="43"/>
      <c r="P1417" t="str" cm="1">
        <f t="array" ref="P1417">IFERROR(_xlfn.AGGREGATE(15,6,ROW(DB!A$2:A$2576)/((($D$3&lt;&gt;"YES")+($D$3="YES")*(DB!E$2:E$2576="YES"))*(($D$4="")+($D$4&lt;&gt;"")*( DB!B$2:B$2576=$D$4))*(($D$5="")+($D$5&lt;&gt;"")*( DB!C$2:C$2576=$D$5))*(($D$6="")+($D$6&lt;&gt;"")*( DB!D$2:D$2576=$D$6))*(($D$7="")+($D$7&lt;&gt;"")*(ISNUMBER(SEARCH($D$7,DB!G$2:G$2576))))*(($F$7="전체")+($F$7&lt;&gt;"전체")*(DB!H$2:H$2576=$F$7))),ROW()-13)-1,"")</f>
        <v/>
      </c>
      <c r="Q1417" t="str" cm="1">
        <f t="array" ref="Q1417">IFERROR(INDEX(DB!G$2:G$2576,P1417),"")</f>
        <v/>
      </c>
      <c r="R1417" t="str" cm="1">
        <f t="array" ref="R1417">IFERROR(INDEX(DB!O$2:O$2576,P1417),"")</f>
        <v/>
      </c>
      <c r="S1417" t="str">
        <f t="shared" si="66"/>
        <v/>
      </c>
      <c r="T1417" t="str">
        <f t="shared" si="67"/>
        <v/>
      </c>
    </row>
    <row r="1418" spans="1:20" ht="100" customHeight="1">
      <c r="A1418" s="26"/>
      <c r="B1418" s="39" t="str">
        <f t="shared" si="65"/>
        <v/>
      </c>
      <c r="C1418" s="43"/>
      <c r="D1418" s="51" t="str" cm="1">
        <f t="array" ref="D1418">IFERROR(INDEX(DB!G$2:G$2576,T1418),"")</f>
        <v/>
      </c>
      <c r="E1418" s="43"/>
      <c r="F1418" s="52" t="str" cm="1">
        <f t="array" ref="F1418">IFERROR(INDEX(DB!O$2:O$2576,T1418),"")</f>
        <v/>
      </c>
      <c r="G1418" s="43"/>
      <c r="H1418" s="40" t="str" cm="1">
        <f t="array" ref="H1418">IFERROR(INDEX(DB!P$2:P$2576,T1418),"")</f>
        <v/>
      </c>
      <c r="I1418" s="43"/>
      <c r="J1418" s="53" t="str" cm="1">
        <f t="array" ref="J1418">IFERROR(INDEX(DB!Q$2:Q$2576,T1418),"")</f>
        <v/>
      </c>
      <c r="K1418" s="43"/>
      <c r="L1418" s="41" t="str" cm="1">
        <f t="array" ref="L1418">IFERROR(INDEX(DB!R$2:R$2576,T1418),"")</f>
        <v/>
      </c>
      <c r="M1418" s="43"/>
      <c r="P1418" t="str" cm="1">
        <f t="array" ref="P1418">IFERROR(_xlfn.AGGREGATE(15,6,ROW(DB!A$2:A$2576)/((($D$3&lt;&gt;"YES")+($D$3="YES")*(DB!E$2:E$2576="YES"))*(($D$4="")+($D$4&lt;&gt;"")*( DB!B$2:B$2576=$D$4))*(($D$5="")+($D$5&lt;&gt;"")*( DB!C$2:C$2576=$D$5))*(($D$6="")+($D$6&lt;&gt;"")*( DB!D$2:D$2576=$D$6))*(($D$7="")+($D$7&lt;&gt;"")*(ISNUMBER(SEARCH($D$7,DB!G$2:G$2576))))*(($F$7="전체")+($F$7&lt;&gt;"전체")*(DB!H$2:H$2576=$F$7))),ROW()-13)-1,"")</f>
        <v/>
      </c>
      <c r="Q1418" t="str" cm="1">
        <f t="array" ref="Q1418">IFERROR(INDEX(DB!G$2:G$2576,P1418),"")</f>
        <v/>
      </c>
      <c r="R1418" t="str" cm="1">
        <f t="array" ref="R1418">IFERROR(INDEX(DB!O$2:O$2576,P1418),"")</f>
        <v/>
      </c>
      <c r="S1418" t="str">
        <f t="shared" si="66"/>
        <v/>
      </c>
      <c r="T1418" t="str">
        <f t="shared" si="67"/>
        <v/>
      </c>
    </row>
    <row r="1419" spans="1:20" ht="100" customHeight="1">
      <c r="A1419" s="26"/>
      <c r="B1419" s="42" t="str">
        <f t="shared" si="65"/>
        <v/>
      </c>
      <c r="C1419" s="43"/>
      <c r="D1419" s="51" t="str" cm="1">
        <f t="array" ref="D1419">IFERROR(INDEX(DB!G$2:G$2576,T1419),"")</f>
        <v/>
      </c>
      <c r="E1419" s="43"/>
      <c r="F1419" s="52" t="str" cm="1">
        <f t="array" ref="F1419">IFERROR(INDEX(DB!O$2:O$2576,T1419),"")</f>
        <v/>
      </c>
      <c r="G1419" s="43"/>
      <c r="H1419" s="40" t="str" cm="1">
        <f t="array" ref="H1419">IFERROR(INDEX(DB!P$2:P$2576,T1419),"")</f>
        <v/>
      </c>
      <c r="I1419" s="43"/>
      <c r="J1419" s="53" t="str" cm="1">
        <f t="array" ref="J1419">IFERROR(INDEX(DB!Q$2:Q$2576,T1419),"")</f>
        <v/>
      </c>
      <c r="K1419" s="43"/>
      <c r="L1419" s="41" t="str" cm="1">
        <f t="array" ref="L1419">IFERROR(INDEX(DB!R$2:R$2576,T1419),"")</f>
        <v/>
      </c>
      <c r="M1419" s="43"/>
      <c r="P1419" t="str" cm="1">
        <f t="array" ref="P1419">IFERROR(_xlfn.AGGREGATE(15,6,ROW(DB!A$2:A$2576)/((($D$3&lt;&gt;"YES")+($D$3="YES")*(DB!E$2:E$2576="YES"))*(($D$4="")+($D$4&lt;&gt;"")*( DB!B$2:B$2576=$D$4))*(($D$5="")+($D$5&lt;&gt;"")*( DB!C$2:C$2576=$D$5))*(($D$6="")+($D$6&lt;&gt;"")*( DB!D$2:D$2576=$D$6))*(($D$7="")+($D$7&lt;&gt;"")*(ISNUMBER(SEARCH($D$7,DB!G$2:G$2576))))*(($F$7="전체")+($F$7&lt;&gt;"전체")*(DB!H$2:H$2576=$F$7))),ROW()-13)-1,"")</f>
        <v/>
      </c>
      <c r="Q1419" t="str" cm="1">
        <f t="array" ref="Q1419">IFERROR(INDEX(DB!G$2:G$2576,P1419),"")</f>
        <v/>
      </c>
      <c r="R1419" t="str" cm="1">
        <f t="array" ref="R1419">IFERROR(INDEX(DB!O$2:O$2576,P1419),"")</f>
        <v/>
      </c>
      <c r="S1419" t="str">
        <f t="shared" si="66"/>
        <v/>
      </c>
      <c r="T1419" t="str">
        <f t="shared" si="67"/>
        <v/>
      </c>
    </row>
    <row r="1420" spans="1:20" ht="100" customHeight="1">
      <c r="A1420" s="26"/>
      <c r="B1420" s="39" t="str">
        <f t="shared" si="65"/>
        <v/>
      </c>
      <c r="C1420" s="43"/>
      <c r="D1420" s="51" t="str" cm="1">
        <f t="array" ref="D1420">IFERROR(INDEX(DB!G$2:G$2576,T1420),"")</f>
        <v/>
      </c>
      <c r="E1420" s="43"/>
      <c r="F1420" s="52" t="str" cm="1">
        <f t="array" ref="F1420">IFERROR(INDEX(DB!O$2:O$2576,T1420),"")</f>
        <v/>
      </c>
      <c r="G1420" s="43"/>
      <c r="H1420" s="40" t="str" cm="1">
        <f t="array" ref="H1420">IFERROR(INDEX(DB!P$2:P$2576,T1420),"")</f>
        <v/>
      </c>
      <c r="I1420" s="43"/>
      <c r="J1420" s="53" t="str" cm="1">
        <f t="array" ref="J1420">IFERROR(INDEX(DB!Q$2:Q$2576,T1420),"")</f>
        <v/>
      </c>
      <c r="K1420" s="43"/>
      <c r="L1420" s="41" t="str" cm="1">
        <f t="array" ref="L1420">IFERROR(INDEX(DB!R$2:R$2576,T1420),"")</f>
        <v/>
      </c>
      <c r="M1420" s="43"/>
      <c r="P1420" t="str" cm="1">
        <f t="array" ref="P1420">IFERROR(_xlfn.AGGREGATE(15,6,ROW(DB!A$2:A$2576)/((($D$3&lt;&gt;"YES")+($D$3="YES")*(DB!E$2:E$2576="YES"))*(($D$4="")+($D$4&lt;&gt;"")*( DB!B$2:B$2576=$D$4))*(($D$5="")+($D$5&lt;&gt;"")*( DB!C$2:C$2576=$D$5))*(($D$6="")+($D$6&lt;&gt;"")*( DB!D$2:D$2576=$D$6))*(($D$7="")+($D$7&lt;&gt;"")*(ISNUMBER(SEARCH($D$7,DB!G$2:G$2576))))*(($F$7="전체")+($F$7&lt;&gt;"전체")*(DB!H$2:H$2576=$F$7))),ROW()-13)-1,"")</f>
        <v/>
      </c>
      <c r="Q1420" t="str" cm="1">
        <f t="array" ref="Q1420">IFERROR(INDEX(DB!G$2:G$2576,P1420),"")</f>
        <v/>
      </c>
      <c r="R1420" t="str" cm="1">
        <f t="array" ref="R1420">IFERROR(INDEX(DB!O$2:O$2576,P1420),"")</f>
        <v/>
      </c>
      <c r="S1420" t="str">
        <f t="shared" si="66"/>
        <v/>
      </c>
      <c r="T1420" t="str">
        <f t="shared" si="67"/>
        <v/>
      </c>
    </row>
    <row r="1421" spans="1:20" ht="100" customHeight="1">
      <c r="A1421" s="26"/>
      <c r="B1421" s="42" t="str">
        <f t="shared" si="65"/>
        <v/>
      </c>
      <c r="C1421" s="43"/>
      <c r="D1421" s="51" t="str" cm="1">
        <f t="array" ref="D1421">IFERROR(INDEX(DB!G$2:G$2576,T1421),"")</f>
        <v/>
      </c>
      <c r="E1421" s="43"/>
      <c r="F1421" s="52" t="str" cm="1">
        <f t="array" ref="F1421">IFERROR(INDEX(DB!O$2:O$2576,T1421),"")</f>
        <v/>
      </c>
      <c r="G1421" s="43"/>
      <c r="H1421" s="40" t="str" cm="1">
        <f t="array" ref="H1421">IFERROR(INDEX(DB!P$2:P$2576,T1421),"")</f>
        <v/>
      </c>
      <c r="I1421" s="43"/>
      <c r="J1421" s="53" t="str" cm="1">
        <f t="array" ref="J1421">IFERROR(INDEX(DB!Q$2:Q$2576,T1421),"")</f>
        <v/>
      </c>
      <c r="K1421" s="43"/>
      <c r="L1421" s="41" t="str" cm="1">
        <f t="array" ref="L1421">IFERROR(INDEX(DB!R$2:R$2576,T1421),"")</f>
        <v/>
      </c>
      <c r="M1421" s="43"/>
      <c r="P1421" t="str" cm="1">
        <f t="array" ref="P1421">IFERROR(_xlfn.AGGREGATE(15,6,ROW(DB!A$2:A$2576)/((($D$3&lt;&gt;"YES")+($D$3="YES")*(DB!E$2:E$2576="YES"))*(($D$4="")+($D$4&lt;&gt;"")*( DB!B$2:B$2576=$D$4))*(($D$5="")+($D$5&lt;&gt;"")*( DB!C$2:C$2576=$D$5))*(($D$6="")+($D$6&lt;&gt;"")*( DB!D$2:D$2576=$D$6))*(($D$7="")+($D$7&lt;&gt;"")*(ISNUMBER(SEARCH($D$7,DB!G$2:G$2576))))*(($F$7="전체")+($F$7&lt;&gt;"전체")*(DB!H$2:H$2576=$F$7))),ROW()-13)-1,"")</f>
        <v/>
      </c>
      <c r="Q1421" t="str" cm="1">
        <f t="array" ref="Q1421">IFERROR(INDEX(DB!G$2:G$2576,P1421),"")</f>
        <v/>
      </c>
      <c r="R1421" t="str" cm="1">
        <f t="array" ref="R1421">IFERROR(INDEX(DB!O$2:O$2576,P1421),"")</f>
        <v/>
      </c>
      <c r="S1421" t="str">
        <f t="shared" si="66"/>
        <v/>
      </c>
      <c r="T1421" t="str">
        <f t="shared" si="67"/>
        <v/>
      </c>
    </row>
    <row r="1422" spans="1:20" ht="100" customHeight="1">
      <c r="A1422" s="26"/>
      <c r="B1422" s="39" t="str">
        <f t="shared" si="65"/>
        <v/>
      </c>
      <c r="C1422" s="43"/>
      <c r="D1422" s="51" t="str" cm="1">
        <f t="array" ref="D1422">IFERROR(INDEX(DB!G$2:G$2576,T1422),"")</f>
        <v/>
      </c>
      <c r="E1422" s="43"/>
      <c r="F1422" s="52" t="str" cm="1">
        <f t="array" ref="F1422">IFERROR(INDEX(DB!O$2:O$2576,T1422),"")</f>
        <v/>
      </c>
      <c r="G1422" s="43"/>
      <c r="H1422" s="40" t="str" cm="1">
        <f t="array" ref="H1422">IFERROR(INDEX(DB!P$2:P$2576,T1422),"")</f>
        <v/>
      </c>
      <c r="I1422" s="43"/>
      <c r="J1422" s="53" t="str" cm="1">
        <f t="array" ref="J1422">IFERROR(INDEX(DB!Q$2:Q$2576,T1422),"")</f>
        <v/>
      </c>
      <c r="K1422" s="43"/>
      <c r="L1422" s="41" t="str" cm="1">
        <f t="array" ref="L1422">IFERROR(INDEX(DB!R$2:R$2576,T1422),"")</f>
        <v/>
      </c>
      <c r="M1422" s="43"/>
      <c r="P1422" t="str" cm="1">
        <f t="array" ref="P1422">IFERROR(_xlfn.AGGREGATE(15,6,ROW(DB!A$2:A$2576)/((($D$3&lt;&gt;"YES")+($D$3="YES")*(DB!E$2:E$2576="YES"))*(($D$4="")+($D$4&lt;&gt;"")*( DB!B$2:B$2576=$D$4))*(($D$5="")+($D$5&lt;&gt;"")*( DB!C$2:C$2576=$D$5))*(($D$6="")+($D$6&lt;&gt;"")*( DB!D$2:D$2576=$D$6))*(($D$7="")+($D$7&lt;&gt;"")*(ISNUMBER(SEARCH($D$7,DB!G$2:G$2576))))*(($F$7="전체")+($F$7&lt;&gt;"전체")*(DB!H$2:H$2576=$F$7))),ROW()-13)-1,"")</f>
        <v/>
      </c>
      <c r="Q1422" t="str" cm="1">
        <f t="array" ref="Q1422">IFERROR(INDEX(DB!G$2:G$2576,P1422),"")</f>
        <v/>
      </c>
      <c r="R1422" t="str" cm="1">
        <f t="array" ref="R1422">IFERROR(INDEX(DB!O$2:O$2576,P1422),"")</f>
        <v/>
      </c>
      <c r="S1422" t="str">
        <f t="shared" si="66"/>
        <v/>
      </c>
      <c r="T1422" t="str">
        <f t="shared" si="67"/>
        <v/>
      </c>
    </row>
    <row r="1423" spans="1:20" ht="100" customHeight="1">
      <c r="A1423" s="26"/>
      <c r="B1423" s="42" t="str">
        <f t="shared" ref="B1423:B1486" si="68">IFERROR(IF(T1423="","",ROW()-13),"")</f>
        <v/>
      </c>
      <c r="C1423" s="43"/>
      <c r="D1423" s="51" t="str" cm="1">
        <f t="array" ref="D1423">IFERROR(INDEX(DB!G$2:G$2576,T1423),"")</f>
        <v/>
      </c>
      <c r="E1423" s="43"/>
      <c r="F1423" s="52" t="str" cm="1">
        <f t="array" ref="F1423">IFERROR(INDEX(DB!O$2:O$2576,T1423),"")</f>
        <v/>
      </c>
      <c r="G1423" s="43"/>
      <c r="H1423" s="40" t="str" cm="1">
        <f t="array" ref="H1423">IFERROR(INDEX(DB!P$2:P$2576,T1423),"")</f>
        <v/>
      </c>
      <c r="I1423" s="43"/>
      <c r="J1423" s="53" t="str" cm="1">
        <f t="array" ref="J1423">IFERROR(INDEX(DB!Q$2:Q$2576,T1423),"")</f>
        <v/>
      </c>
      <c r="K1423" s="43"/>
      <c r="L1423" s="41" t="str" cm="1">
        <f t="array" ref="L1423">IFERROR(INDEX(DB!R$2:R$2576,T1423),"")</f>
        <v/>
      </c>
      <c r="M1423" s="43"/>
      <c r="P1423" t="str" cm="1">
        <f t="array" ref="P1423">IFERROR(_xlfn.AGGREGATE(15,6,ROW(DB!A$2:A$2576)/((($D$3&lt;&gt;"YES")+($D$3="YES")*(DB!E$2:E$2576="YES"))*(($D$4="")+($D$4&lt;&gt;"")*( DB!B$2:B$2576=$D$4))*(($D$5="")+($D$5&lt;&gt;"")*( DB!C$2:C$2576=$D$5))*(($D$6="")+($D$6&lt;&gt;"")*( DB!D$2:D$2576=$D$6))*(($D$7="")+($D$7&lt;&gt;"")*(ISNUMBER(SEARCH($D$7,DB!G$2:G$2576))))*(($F$7="전체")+($F$7&lt;&gt;"전체")*(DB!H$2:H$2576=$F$7))),ROW()-13)-1,"")</f>
        <v/>
      </c>
      <c r="Q1423" t="str" cm="1">
        <f t="array" ref="Q1423">IFERROR(INDEX(DB!G$2:G$2576,P1423),"")</f>
        <v/>
      </c>
      <c r="R1423" t="str" cm="1">
        <f t="array" ref="R1423">IFERROR(INDEX(DB!O$2:O$2576,P1423),"")</f>
        <v/>
      </c>
      <c r="S1423" t="str">
        <f t="shared" ref="S1423:S1486" si="69">IF(P1423="","",COUNTIF($Q$14:$Q$2587,"&lt;"&amp;Q1423)*100+COUNTIF($R$14:$R$2587,"&lt;"&amp;R1423)+(ROW()-13)*0.001)</f>
        <v/>
      </c>
      <c r="T1423" t="str">
        <f t="shared" ref="T1423:T1486" si="70">IFERROR(INDEX($P$14:$P$2587,MATCH(SMALL($S$14:$S$2587,ROW()-13),$S$14:$S$2587,0)),"")</f>
        <v/>
      </c>
    </row>
    <row r="1424" spans="1:20" ht="100" customHeight="1">
      <c r="A1424" s="26"/>
      <c r="B1424" s="39" t="str">
        <f t="shared" si="68"/>
        <v/>
      </c>
      <c r="C1424" s="43"/>
      <c r="D1424" s="51" t="str" cm="1">
        <f t="array" ref="D1424">IFERROR(INDEX(DB!G$2:G$2576,T1424),"")</f>
        <v/>
      </c>
      <c r="E1424" s="43"/>
      <c r="F1424" s="52" t="str" cm="1">
        <f t="array" ref="F1424">IFERROR(INDEX(DB!O$2:O$2576,T1424),"")</f>
        <v/>
      </c>
      <c r="G1424" s="43"/>
      <c r="H1424" s="40" t="str" cm="1">
        <f t="array" ref="H1424">IFERROR(INDEX(DB!P$2:P$2576,T1424),"")</f>
        <v/>
      </c>
      <c r="I1424" s="43"/>
      <c r="J1424" s="53" t="str" cm="1">
        <f t="array" ref="J1424">IFERROR(INDEX(DB!Q$2:Q$2576,T1424),"")</f>
        <v/>
      </c>
      <c r="K1424" s="43"/>
      <c r="L1424" s="41" t="str" cm="1">
        <f t="array" ref="L1424">IFERROR(INDEX(DB!R$2:R$2576,T1424),"")</f>
        <v/>
      </c>
      <c r="M1424" s="43"/>
      <c r="P1424" t="str" cm="1">
        <f t="array" ref="P1424">IFERROR(_xlfn.AGGREGATE(15,6,ROW(DB!A$2:A$2576)/((($D$3&lt;&gt;"YES")+($D$3="YES")*(DB!E$2:E$2576="YES"))*(($D$4="")+($D$4&lt;&gt;"")*( DB!B$2:B$2576=$D$4))*(($D$5="")+($D$5&lt;&gt;"")*( DB!C$2:C$2576=$D$5))*(($D$6="")+($D$6&lt;&gt;"")*( DB!D$2:D$2576=$D$6))*(($D$7="")+($D$7&lt;&gt;"")*(ISNUMBER(SEARCH($D$7,DB!G$2:G$2576))))*(($F$7="전체")+($F$7&lt;&gt;"전체")*(DB!H$2:H$2576=$F$7))),ROW()-13)-1,"")</f>
        <v/>
      </c>
      <c r="Q1424" t="str" cm="1">
        <f t="array" ref="Q1424">IFERROR(INDEX(DB!G$2:G$2576,P1424),"")</f>
        <v/>
      </c>
      <c r="R1424" t="str" cm="1">
        <f t="array" ref="R1424">IFERROR(INDEX(DB!O$2:O$2576,P1424),"")</f>
        <v/>
      </c>
      <c r="S1424" t="str">
        <f t="shared" si="69"/>
        <v/>
      </c>
      <c r="T1424" t="str">
        <f t="shared" si="70"/>
        <v/>
      </c>
    </row>
    <row r="1425" spans="1:20" ht="100" customHeight="1">
      <c r="A1425" s="26"/>
      <c r="B1425" s="42" t="str">
        <f t="shared" si="68"/>
        <v/>
      </c>
      <c r="C1425" s="43"/>
      <c r="D1425" s="51" t="str" cm="1">
        <f t="array" ref="D1425">IFERROR(INDEX(DB!G$2:G$2576,T1425),"")</f>
        <v/>
      </c>
      <c r="E1425" s="43"/>
      <c r="F1425" s="52" t="str" cm="1">
        <f t="array" ref="F1425">IFERROR(INDEX(DB!O$2:O$2576,T1425),"")</f>
        <v/>
      </c>
      <c r="G1425" s="43"/>
      <c r="H1425" s="40" t="str" cm="1">
        <f t="array" ref="H1425">IFERROR(INDEX(DB!P$2:P$2576,T1425),"")</f>
        <v/>
      </c>
      <c r="I1425" s="43"/>
      <c r="J1425" s="53" t="str" cm="1">
        <f t="array" ref="J1425">IFERROR(INDEX(DB!Q$2:Q$2576,T1425),"")</f>
        <v/>
      </c>
      <c r="K1425" s="43"/>
      <c r="L1425" s="41" t="str" cm="1">
        <f t="array" ref="L1425">IFERROR(INDEX(DB!R$2:R$2576,T1425),"")</f>
        <v/>
      </c>
      <c r="M1425" s="43"/>
      <c r="P1425" t="str" cm="1">
        <f t="array" ref="P1425">IFERROR(_xlfn.AGGREGATE(15,6,ROW(DB!A$2:A$2576)/((($D$3&lt;&gt;"YES")+($D$3="YES")*(DB!E$2:E$2576="YES"))*(($D$4="")+($D$4&lt;&gt;"")*( DB!B$2:B$2576=$D$4))*(($D$5="")+($D$5&lt;&gt;"")*( DB!C$2:C$2576=$D$5))*(($D$6="")+($D$6&lt;&gt;"")*( DB!D$2:D$2576=$D$6))*(($D$7="")+($D$7&lt;&gt;"")*(ISNUMBER(SEARCH($D$7,DB!G$2:G$2576))))*(($F$7="전체")+($F$7&lt;&gt;"전체")*(DB!H$2:H$2576=$F$7))),ROW()-13)-1,"")</f>
        <v/>
      </c>
      <c r="Q1425" t="str" cm="1">
        <f t="array" ref="Q1425">IFERROR(INDEX(DB!G$2:G$2576,P1425),"")</f>
        <v/>
      </c>
      <c r="R1425" t="str" cm="1">
        <f t="array" ref="R1425">IFERROR(INDEX(DB!O$2:O$2576,P1425),"")</f>
        <v/>
      </c>
      <c r="S1425" t="str">
        <f t="shared" si="69"/>
        <v/>
      </c>
      <c r="T1425" t="str">
        <f t="shared" si="70"/>
        <v/>
      </c>
    </row>
    <row r="1426" spans="1:20" ht="100" customHeight="1">
      <c r="A1426" s="26"/>
      <c r="B1426" s="39" t="str">
        <f t="shared" si="68"/>
        <v/>
      </c>
      <c r="C1426" s="43"/>
      <c r="D1426" s="51" t="str" cm="1">
        <f t="array" ref="D1426">IFERROR(INDEX(DB!G$2:G$2576,T1426),"")</f>
        <v/>
      </c>
      <c r="E1426" s="43"/>
      <c r="F1426" s="52" t="str" cm="1">
        <f t="array" ref="F1426">IFERROR(INDEX(DB!O$2:O$2576,T1426),"")</f>
        <v/>
      </c>
      <c r="G1426" s="43"/>
      <c r="H1426" s="40" t="str" cm="1">
        <f t="array" ref="H1426">IFERROR(INDEX(DB!P$2:P$2576,T1426),"")</f>
        <v/>
      </c>
      <c r="I1426" s="43"/>
      <c r="J1426" s="53" t="str" cm="1">
        <f t="array" ref="J1426">IFERROR(INDEX(DB!Q$2:Q$2576,T1426),"")</f>
        <v/>
      </c>
      <c r="K1426" s="43"/>
      <c r="L1426" s="41" t="str" cm="1">
        <f t="array" ref="L1426">IFERROR(INDEX(DB!R$2:R$2576,T1426),"")</f>
        <v/>
      </c>
      <c r="M1426" s="43"/>
      <c r="P1426" t="str" cm="1">
        <f t="array" ref="P1426">IFERROR(_xlfn.AGGREGATE(15,6,ROW(DB!A$2:A$2576)/((($D$3&lt;&gt;"YES")+($D$3="YES")*(DB!E$2:E$2576="YES"))*(($D$4="")+($D$4&lt;&gt;"")*( DB!B$2:B$2576=$D$4))*(($D$5="")+($D$5&lt;&gt;"")*( DB!C$2:C$2576=$D$5))*(($D$6="")+($D$6&lt;&gt;"")*( DB!D$2:D$2576=$D$6))*(($D$7="")+($D$7&lt;&gt;"")*(ISNUMBER(SEARCH($D$7,DB!G$2:G$2576))))*(($F$7="전체")+($F$7&lt;&gt;"전체")*(DB!H$2:H$2576=$F$7))),ROW()-13)-1,"")</f>
        <v/>
      </c>
      <c r="Q1426" t="str" cm="1">
        <f t="array" ref="Q1426">IFERROR(INDEX(DB!G$2:G$2576,P1426),"")</f>
        <v/>
      </c>
      <c r="R1426" t="str" cm="1">
        <f t="array" ref="R1426">IFERROR(INDEX(DB!O$2:O$2576,P1426),"")</f>
        <v/>
      </c>
      <c r="S1426" t="str">
        <f t="shared" si="69"/>
        <v/>
      </c>
      <c r="T1426" t="str">
        <f t="shared" si="70"/>
        <v/>
      </c>
    </row>
    <row r="1427" spans="1:20" ht="100" customHeight="1">
      <c r="A1427" s="26"/>
      <c r="B1427" s="42" t="str">
        <f t="shared" si="68"/>
        <v/>
      </c>
      <c r="C1427" s="43"/>
      <c r="D1427" s="51" t="str" cm="1">
        <f t="array" ref="D1427">IFERROR(INDEX(DB!G$2:G$2576,T1427),"")</f>
        <v/>
      </c>
      <c r="E1427" s="43"/>
      <c r="F1427" s="52" t="str" cm="1">
        <f t="array" ref="F1427">IFERROR(INDEX(DB!O$2:O$2576,T1427),"")</f>
        <v/>
      </c>
      <c r="G1427" s="43"/>
      <c r="H1427" s="40" t="str" cm="1">
        <f t="array" ref="H1427">IFERROR(INDEX(DB!P$2:P$2576,T1427),"")</f>
        <v/>
      </c>
      <c r="I1427" s="43"/>
      <c r="J1427" s="53" t="str" cm="1">
        <f t="array" ref="J1427">IFERROR(INDEX(DB!Q$2:Q$2576,T1427),"")</f>
        <v/>
      </c>
      <c r="K1427" s="43"/>
      <c r="L1427" s="41" t="str" cm="1">
        <f t="array" ref="L1427">IFERROR(INDEX(DB!R$2:R$2576,T1427),"")</f>
        <v/>
      </c>
      <c r="M1427" s="43"/>
      <c r="P1427" t="str" cm="1">
        <f t="array" ref="P1427">IFERROR(_xlfn.AGGREGATE(15,6,ROW(DB!A$2:A$2576)/((($D$3&lt;&gt;"YES")+($D$3="YES")*(DB!E$2:E$2576="YES"))*(($D$4="")+($D$4&lt;&gt;"")*( DB!B$2:B$2576=$D$4))*(($D$5="")+($D$5&lt;&gt;"")*( DB!C$2:C$2576=$D$5))*(($D$6="")+($D$6&lt;&gt;"")*( DB!D$2:D$2576=$D$6))*(($D$7="")+($D$7&lt;&gt;"")*(ISNUMBER(SEARCH($D$7,DB!G$2:G$2576))))*(($F$7="전체")+($F$7&lt;&gt;"전체")*(DB!H$2:H$2576=$F$7))),ROW()-13)-1,"")</f>
        <v/>
      </c>
      <c r="Q1427" t="str" cm="1">
        <f t="array" ref="Q1427">IFERROR(INDEX(DB!G$2:G$2576,P1427),"")</f>
        <v/>
      </c>
      <c r="R1427" t="str" cm="1">
        <f t="array" ref="R1427">IFERROR(INDEX(DB!O$2:O$2576,P1427),"")</f>
        <v/>
      </c>
      <c r="S1427" t="str">
        <f t="shared" si="69"/>
        <v/>
      </c>
      <c r="T1427" t="str">
        <f t="shared" si="70"/>
        <v/>
      </c>
    </row>
    <row r="1428" spans="1:20" ht="100" customHeight="1">
      <c r="A1428" s="26"/>
      <c r="B1428" s="39" t="str">
        <f t="shared" si="68"/>
        <v/>
      </c>
      <c r="C1428" s="43"/>
      <c r="D1428" s="51" t="str" cm="1">
        <f t="array" ref="D1428">IFERROR(INDEX(DB!G$2:G$2576,T1428),"")</f>
        <v/>
      </c>
      <c r="E1428" s="43"/>
      <c r="F1428" s="52" t="str" cm="1">
        <f t="array" ref="F1428">IFERROR(INDEX(DB!O$2:O$2576,T1428),"")</f>
        <v/>
      </c>
      <c r="G1428" s="43"/>
      <c r="H1428" s="40" t="str" cm="1">
        <f t="array" ref="H1428">IFERROR(INDEX(DB!P$2:P$2576,T1428),"")</f>
        <v/>
      </c>
      <c r="I1428" s="43"/>
      <c r="J1428" s="53" t="str" cm="1">
        <f t="array" ref="J1428">IFERROR(INDEX(DB!Q$2:Q$2576,T1428),"")</f>
        <v/>
      </c>
      <c r="K1428" s="43"/>
      <c r="L1428" s="41" t="str" cm="1">
        <f t="array" ref="L1428">IFERROR(INDEX(DB!R$2:R$2576,T1428),"")</f>
        <v/>
      </c>
      <c r="M1428" s="43"/>
      <c r="P1428" t="str" cm="1">
        <f t="array" ref="P1428">IFERROR(_xlfn.AGGREGATE(15,6,ROW(DB!A$2:A$2576)/((($D$3&lt;&gt;"YES")+($D$3="YES")*(DB!E$2:E$2576="YES"))*(($D$4="")+($D$4&lt;&gt;"")*( DB!B$2:B$2576=$D$4))*(($D$5="")+($D$5&lt;&gt;"")*( DB!C$2:C$2576=$D$5))*(($D$6="")+($D$6&lt;&gt;"")*( DB!D$2:D$2576=$D$6))*(($D$7="")+($D$7&lt;&gt;"")*(ISNUMBER(SEARCH($D$7,DB!G$2:G$2576))))*(($F$7="전체")+($F$7&lt;&gt;"전체")*(DB!H$2:H$2576=$F$7))),ROW()-13)-1,"")</f>
        <v/>
      </c>
      <c r="Q1428" t="str" cm="1">
        <f t="array" ref="Q1428">IFERROR(INDEX(DB!G$2:G$2576,P1428),"")</f>
        <v/>
      </c>
      <c r="R1428" t="str" cm="1">
        <f t="array" ref="R1428">IFERROR(INDEX(DB!O$2:O$2576,P1428),"")</f>
        <v/>
      </c>
      <c r="S1428" t="str">
        <f t="shared" si="69"/>
        <v/>
      </c>
      <c r="T1428" t="str">
        <f t="shared" si="70"/>
        <v/>
      </c>
    </row>
    <row r="1429" spans="1:20" ht="100" customHeight="1">
      <c r="A1429" s="26"/>
      <c r="B1429" s="42" t="str">
        <f t="shared" si="68"/>
        <v/>
      </c>
      <c r="C1429" s="43"/>
      <c r="D1429" s="51" t="str" cm="1">
        <f t="array" ref="D1429">IFERROR(INDEX(DB!G$2:G$2576,T1429),"")</f>
        <v/>
      </c>
      <c r="E1429" s="43"/>
      <c r="F1429" s="52" t="str" cm="1">
        <f t="array" ref="F1429">IFERROR(INDEX(DB!O$2:O$2576,T1429),"")</f>
        <v/>
      </c>
      <c r="G1429" s="43"/>
      <c r="H1429" s="40" t="str" cm="1">
        <f t="array" ref="H1429">IFERROR(INDEX(DB!P$2:P$2576,T1429),"")</f>
        <v/>
      </c>
      <c r="I1429" s="43"/>
      <c r="J1429" s="53" t="str" cm="1">
        <f t="array" ref="J1429">IFERROR(INDEX(DB!Q$2:Q$2576,T1429),"")</f>
        <v/>
      </c>
      <c r="K1429" s="43"/>
      <c r="L1429" s="41" t="str" cm="1">
        <f t="array" ref="L1429">IFERROR(INDEX(DB!R$2:R$2576,T1429),"")</f>
        <v/>
      </c>
      <c r="M1429" s="43"/>
      <c r="P1429" t="str" cm="1">
        <f t="array" ref="P1429">IFERROR(_xlfn.AGGREGATE(15,6,ROW(DB!A$2:A$2576)/((($D$3&lt;&gt;"YES")+($D$3="YES")*(DB!E$2:E$2576="YES"))*(($D$4="")+($D$4&lt;&gt;"")*( DB!B$2:B$2576=$D$4))*(($D$5="")+($D$5&lt;&gt;"")*( DB!C$2:C$2576=$D$5))*(($D$6="")+($D$6&lt;&gt;"")*( DB!D$2:D$2576=$D$6))*(($D$7="")+($D$7&lt;&gt;"")*(ISNUMBER(SEARCH($D$7,DB!G$2:G$2576))))*(($F$7="전체")+($F$7&lt;&gt;"전체")*(DB!H$2:H$2576=$F$7))),ROW()-13)-1,"")</f>
        <v/>
      </c>
      <c r="Q1429" t="str" cm="1">
        <f t="array" ref="Q1429">IFERROR(INDEX(DB!G$2:G$2576,P1429),"")</f>
        <v/>
      </c>
      <c r="R1429" t="str" cm="1">
        <f t="array" ref="R1429">IFERROR(INDEX(DB!O$2:O$2576,P1429),"")</f>
        <v/>
      </c>
      <c r="S1429" t="str">
        <f t="shared" si="69"/>
        <v/>
      </c>
      <c r="T1429" t="str">
        <f t="shared" si="70"/>
        <v/>
      </c>
    </row>
    <row r="1430" spans="1:20" ht="100" customHeight="1">
      <c r="A1430" s="26"/>
      <c r="B1430" s="39" t="str">
        <f t="shared" si="68"/>
        <v/>
      </c>
      <c r="C1430" s="43"/>
      <c r="D1430" s="51" t="str" cm="1">
        <f t="array" ref="D1430">IFERROR(INDEX(DB!G$2:G$2576,T1430),"")</f>
        <v/>
      </c>
      <c r="E1430" s="43"/>
      <c r="F1430" s="52" t="str" cm="1">
        <f t="array" ref="F1430">IFERROR(INDEX(DB!O$2:O$2576,T1430),"")</f>
        <v/>
      </c>
      <c r="G1430" s="43"/>
      <c r="H1430" s="40" t="str" cm="1">
        <f t="array" ref="H1430">IFERROR(INDEX(DB!P$2:P$2576,T1430),"")</f>
        <v/>
      </c>
      <c r="I1430" s="43"/>
      <c r="J1430" s="53" t="str" cm="1">
        <f t="array" ref="J1430">IFERROR(INDEX(DB!Q$2:Q$2576,T1430),"")</f>
        <v/>
      </c>
      <c r="K1430" s="43"/>
      <c r="L1430" s="41" t="str" cm="1">
        <f t="array" ref="L1430">IFERROR(INDEX(DB!R$2:R$2576,T1430),"")</f>
        <v/>
      </c>
      <c r="M1430" s="43"/>
      <c r="P1430" t="str" cm="1">
        <f t="array" ref="P1430">IFERROR(_xlfn.AGGREGATE(15,6,ROW(DB!A$2:A$2576)/((($D$3&lt;&gt;"YES")+($D$3="YES")*(DB!E$2:E$2576="YES"))*(($D$4="")+($D$4&lt;&gt;"")*( DB!B$2:B$2576=$D$4))*(($D$5="")+($D$5&lt;&gt;"")*( DB!C$2:C$2576=$D$5))*(($D$6="")+($D$6&lt;&gt;"")*( DB!D$2:D$2576=$D$6))*(($D$7="")+($D$7&lt;&gt;"")*(ISNUMBER(SEARCH($D$7,DB!G$2:G$2576))))*(($F$7="전체")+($F$7&lt;&gt;"전체")*(DB!H$2:H$2576=$F$7))),ROW()-13)-1,"")</f>
        <v/>
      </c>
      <c r="Q1430" t="str" cm="1">
        <f t="array" ref="Q1430">IFERROR(INDEX(DB!G$2:G$2576,P1430),"")</f>
        <v/>
      </c>
      <c r="R1430" t="str" cm="1">
        <f t="array" ref="R1430">IFERROR(INDEX(DB!O$2:O$2576,P1430),"")</f>
        <v/>
      </c>
      <c r="S1430" t="str">
        <f t="shared" si="69"/>
        <v/>
      </c>
      <c r="T1430" t="str">
        <f t="shared" si="70"/>
        <v/>
      </c>
    </row>
    <row r="1431" spans="1:20" ht="100" customHeight="1">
      <c r="A1431" s="26"/>
      <c r="B1431" s="42" t="str">
        <f t="shared" si="68"/>
        <v/>
      </c>
      <c r="C1431" s="43"/>
      <c r="D1431" s="51" t="str" cm="1">
        <f t="array" ref="D1431">IFERROR(INDEX(DB!G$2:G$2576,T1431),"")</f>
        <v/>
      </c>
      <c r="E1431" s="43"/>
      <c r="F1431" s="52" t="str" cm="1">
        <f t="array" ref="F1431">IFERROR(INDEX(DB!O$2:O$2576,T1431),"")</f>
        <v/>
      </c>
      <c r="G1431" s="43"/>
      <c r="H1431" s="40" t="str" cm="1">
        <f t="array" ref="H1431">IFERROR(INDEX(DB!P$2:P$2576,T1431),"")</f>
        <v/>
      </c>
      <c r="I1431" s="43"/>
      <c r="J1431" s="53" t="str" cm="1">
        <f t="array" ref="J1431">IFERROR(INDEX(DB!Q$2:Q$2576,T1431),"")</f>
        <v/>
      </c>
      <c r="K1431" s="43"/>
      <c r="L1431" s="41" t="str" cm="1">
        <f t="array" ref="L1431">IFERROR(INDEX(DB!R$2:R$2576,T1431),"")</f>
        <v/>
      </c>
      <c r="M1431" s="43"/>
      <c r="P1431" t="str" cm="1">
        <f t="array" ref="P1431">IFERROR(_xlfn.AGGREGATE(15,6,ROW(DB!A$2:A$2576)/((($D$3&lt;&gt;"YES")+($D$3="YES")*(DB!E$2:E$2576="YES"))*(($D$4="")+($D$4&lt;&gt;"")*( DB!B$2:B$2576=$D$4))*(($D$5="")+($D$5&lt;&gt;"")*( DB!C$2:C$2576=$D$5))*(($D$6="")+($D$6&lt;&gt;"")*( DB!D$2:D$2576=$D$6))*(($D$7="")+($D$7&lt;&gt;"")*(ISNUMBER(SEARCH($D$7,DB!G$2:G$2576))))*(($F$7="전체")+($F$7&lt;&gt;"전체")*(DB!H$2:H$2576=$F$7))),ROW()-13)-1,"")</f>
        <v/>
      </c>
      <c r="Q1431" t="str" cm="1">
        <f t="array" ref="Q1431">IFERROR(INDEX(DB!G$2:G$2576,P1431),"")</f>
        <v/>
      </c>
      <c r="R1431" t="str" cm="1">
        <f t="array" ref="R1431">IFERROR(INDEX(DB!O$2:O$2576,P1431),"")</f>
        <v/>
      </c>
      <c r="S1431" t="str">
        <f t="shared" si="69"/>
        <v/>
      </c>
      <c r="T1431" t="str">
        <f t="shared" si="70"/>
        <v/>
      </c>
    </row>
    <row r="1432" spans="1:20" ht="100" customHeight="1">
      <c r="A1432" s="26"/>
      <c r="B1432" s="39" t="str">
        <f t="shared" si="68"/>
        <v/>
      </c>
      <c r="C1432" s="43"/>
      <c r="D1432" s="51" t="str" cm="1">
        <f t="array" ref="D1432">IFERROR(INDEX(DB!G$2:G$2576,T1432),"")</f>
        <v/>
      </c>
      <c r="E1432" s="43"/>
      <c r="F1432" s="52" t="str" cm="1">
        <f t="array" ref="F1432">IFERROR(INDEX(DB!O$2:O$2576,T1432),"")</f>
        <v/>
      </c>
      <c r="G1432" s="43"/>
      <c r="H1432" s="40" t="str" cm="1">
        <f t="array" ref="H1432">IFERROR(INDEX(DB!P$2:P$2576,T1432),"")</f>
        <v/>
      </c>
      <c r="I1432" s="43"/>
      <c r="J1432" s="53" t="str" cm="1">
        <f t="array" ref="J1432">IFERROR(INDEX(DB!Q$2:Q$2576,T1432),"")</f>
        <v/>
      </c>
      <c r="K1432" s="43"/>
      <c r="L1432" s="41" t="str" cm="1">
        <f t="array" ref="L1432">IFERROR(INDEX(DB!R$2:R$2576,T1432),"")</f>
        <v/>
      </c>
      <c r="M1432" s="43"/>
      <c r="P1432" t="str" cm="1">
        <f t="array" ref="P1432">IFERROR(_xlfn.AGGREGATE(15,6,ROW(DB!A$2:A$2576)/((($D$3&lt;&gt;"YES")+($D$3="YES")*(DB!E$2:E$2576="YES"))*(($D$4="")+($D$4&lt;&gt;"")*( DB!B$2:B$2576=$D$4))*(($D$5="")+($D$5&lt;&gt;"")*( DB!C$2:C$2576=$D$5))*(($D$6="")+($D$6&lt;&gt;"")*( DB!D$2:D$2576=$D$6))*(($D$7="")+($D$7&lt;&gt;"")*(ISNUMBER(SEARCH($D$7,DB!G$2:G$2576))))*(($F$7="전체")+($F$7&lt;&gt;"전체")*(DB!H$2:H$2576=$F$7))),ROW()-13)-1,"")</f>
        <v/>
      </c>
      <c r="Q1432" t="str" cm="1">
        <f t="array" ref="Q1432">IFERROR(INDEX(DB!G$2:G$2576,P1432),"")</f>
        <v/>
      </c>
      <c r="R1432" t="str" cm="1">
        <f t="array" ref="R1432">IFERROR(INDEX(DB!O$2:O$2576,P1432),"")</f>
        <v/>
      </c>
      <c r="S1432" t="str">
        <f t="shared" si="69"/>
        <v/>
      </c>
      <c r="T1432" t="str">
        <f t="shared" si="70"/>
        <v/>
      </c>
    </row>
    <row r="1433" spans="1:20" ht="100" customHeight="1">
      <c r="A1433" s="26"/>
      <c r="B1433" s="42" t="str">
        <f t="shared" si="68"/>
        <v/>
      </c>
      <c r="C1433" s="43"/>
      <c r="D1433" s="51" t="str" cm="1">
        <f t="array" ref="D1433">IFERROR(INDEX(DB!G$2:G$2576,T1433),"")</f>
        <v/>
      </c>
      <c r="E1433" s="43"/>
      <c r="F1433" s="52" t="str" cm="1">
        <f t="array" ref="F1433">IFERROR(INDEX(DB!O$2:O$2576,T1433),"")</f>
        <v/>
      </c>
      <c r="G1433" s="43"/>
      <c r="H1433" s="40" t="str" cm="1">
        <f t="array" ref="H1433">IFERROR(INDEX(DB!P$2:P$2576,T1433),"")</f>
        <v/>
      </c>
      <c r="I1433" s="43"/>
      <c r="J1433" s="53" t="str" cm="1">
        <f t="array" ref="J1433">IFERROR(INDEX(DB!Q$2:Q$2576,T1433),"")</f>
        <v/>
      </c>
      <c r="K1433" s="43"/>
      <c r="L1433" s="41" t="str" cm="1">
        <f t="array" ref="L1433">IFERROR(INDEX(DB!R$2:R$2576,T1433),"")</f>
        <v/>
      </c>
      <c r="M1433" s="43"/>
      <c r="P1433" t="str" cm="1">
        <f t="array" ref="P1433">IFERROR(_xlfn.AGGREGATE(15,6,ROW(DB!A$2:A$2576)/((($D$3&lt;&gt;"YES")+($D$3="YES")*(DB!E$2:E$2576="YES"))*(($D$4="")+($D$4&lt;&gt;"")*( DB!B$2:B$2576=$D$4))*(($D$5="")+($D$5&lt;&gt;"")*( DB!C$2:C$2576=$D$5))*(($D$6="")+($D$6&lt;&gt;"")*( DB!D$2:D$2576=$D$6))*(($D$7="")+($D$7&lt;&gt;"")*(ISNUMBER(SEARCH($D$7,DB!G$2:G$2576))))*(($F$7="전체")+($F$7&lt;&gt;"전체")*(DB!H$2:H$2576=$F$7))),ROW()-13)-1,"")</f>
        <v/>
      </c>
      <c r="Q1433" t="str" cm="1">
        <f t="array" ref="Q1433">IFERROR(INDEX(DB!G$2:G$2576,P1433),"")</f>
        <v/>
      </c>
      <c r="R1433" t="str" cm="1">
        <f t="array" ref="R1433">IFERROR(INDEX(DB!O$2:O$2576,P1433),"")</f>
        <v/>
      </c>
      <c r="S1433" t="str">
        <f t="shared" si="69"/>
        <v/>
      </c>
      <c r="T1433" t="str">
        <f t="shared" si="70"/>
        <v/>
      </c>
    </row>
    <row r="1434" spans="1:20" ht="100" customHeight="1">
      <c r="A1434" s="26"/>
      <c r="B1434" s="39" t="str">
        <f t="shared" si="68"/>
        <v/>
      </c>
      <c r="C1434" s="43"/>
      <c r="D1434" s="51" t="str" cm="1">
        <f t="array" ref="D1434">IFERROR(INDEX(DB!G$2:G$2576,T1434),"")</f>
        <v/>
      </c>
      <c r="E1434" s="43"/>
      <c r="F1434" s="52" t="str" cm="1">
        <f t="array" ref="F1434">IFERROR(INDEX(DB!O$2:O$2576,T1434),"")</f>
        <v/>
      </c>
      <c r="G1434" s="43"/>
      <c r="H1434" s="40" t="str" cm="1">
        <f t="array" ref="H1434">IFERROR(INDEX(DB!P$2:P$2576,T1434),"")</f>
        <v/>
      </c>
      <c r="I1434" s="43"/>
      <c r="J1434" s="53" t="str" cm="1">
        <f t="array" ref="J1434">IFERROR(INDEX(DB!Q$2:Q$2576,T1434),"")</f>
        <v/>
      </c>
      <c r="K1434" s="43"/>
      <c r="L1434" s="41" t="str" cm="1">
        <f t="array" ref="L1434">IFERROR(INDEX(DB!R$2:R$2576,T1434),"")</f>
        <v/>
      </c>
      <c r="M1434" s="43"/>
      <c r="P1434" t="str" cm="1">
        <f t="array" ref="P1434">IFERROR(_xlfn.AGGREGATE(15,6,ROW(DB!A$2:A$2576)/((($D$3&lt;&gt;"YES")+($D$3="YES")*(DB!E$2:E$2576="YES"))*(($D$4="")+($D$4&lt;&gt;"")*( DB!B$2:B$2576=$D$4))*(($D$5="")+($D$5&lt;&gt;"")*( DB!C$2:C$2576=$D$5))*(($D$6="")+($D$6&lt;&gt;"")*( DB!D$2:D$2576=$D$6))*(($D$7="")+($D$7&lt;&gt;"")*(ISNUMBER(SEARCH($D$7,DB!G$2:G$2576))))*(($F$7="전체")+($F$7&lt;&gt;"전체")*(DB!H$2:H$2576=$F$7))),ROW()-13)-1,"")</f>
        <v/>
      </c>
      <c r="Q1434" t="str" cm="1">
        <f t="array" ref="Q1434">IFERROR(INDEX(DB!G$2:G$2576,P1434),"")</f>
        <v/>
      </c>
      <c r="R1434" t="str" cm="1">
        <f t="array" ref="R1434">IFERROR(INDEX(DB!O$2:O$2576,P1434),"")</f>
        <v/>
      </c>
      <c r="S1434" t="str">
        <f t="shared" si="69"/>
        <v/>
      </c>
      <c r="T1434" t="str">
        <f t="shared" si="70"/>
        <v/>
      </c>
    </row>
    <row r="1435" spans="1:20" ht="100" customHeight="1">
      <c r="A1435" s="26"/>
      <c r="B1435" s="42" t="str">
        <f t="shared" si="68"/>
        <v/>
      </c>
      <c r="C1435" s="43"/>
      <c r="D1435" s="51" t="str" cm="1">
        <f t="array" ref="D1435">IFERROR(INDEX(DB!G$2:G$2576,T1435),"")</f>
        <v/>
      </c>
      <c r="E1435" s="43"/>
      <c r="F1435" s="52" t="str" cm="1">
        <f t="array" ref="F1435">IFERROR(INDEX(DB!O$2:O$2576,T1435),"")</f>
        <v/>
      </c>
      <c r="G1435" s="43"/>
      <c r="H1435" s="40" t="str" cm="1">
        <f t="array" ref="H1435">IFERROR(INDEX(DB!P$2:P$2576,T1435),"")</f>
        <v/>
      </c>
      <c r="I1435" s="43"/>
      <c r="J1435" s="53" t="str" cm="1">
        <f t="array" ref="J1435">IFERROR(INDEX(DB!Q$2:Q$2576,T1435),"")</f>
        <v/>
      </c>
      <c r="K1435" s="43"/>
      <c r="L1435" s="41" t="str" cm="1">
        <f t="array" ref="L1435">IFERROR(INDEX(DB!R$2:R$2576,T1435),"")</f>
        <v/>
      </c>
      <c r="M1435" s="43"/>
      <c r="P1435" t="str" cm="1">
        <f t="array" ref="P1435">IFERROR(_xlfn.AGGREGATE(15,6,ROW(DB!A$2:A$2576)/((($D$3&lt;&gt;"YES")+($D$3="YES")*(DB!E$2:E$2576="YES"))*(($D$4="")+($D$4&lt;&gt;"")*( DB!B$2:B$2576=$D$4))*(($D$5="")+($D$5&lt;&gt;"")*( DB!C$2:C$2576=$D$5))*(($D$6="")+($D$6&lt;&gt;"")*( DB!D$2:D$2576=$D$6))*(($D$7="")+($D$7&lt;&gt;"")*(ISNUMBER(SEARCH($D$7,DB!G$2:G$2576))))*(($F$7="전체")+($F$7&lt;&gt;"전체")*(DB!H$2:H$2576=$F$7))),ROW()-13)-1,"")</f>
        <v/>
      </c>
      <c r="Q1435" t="str" cm="1">
        <f t="array" ref="Q1435">IFERROR(INDEX(DB!G$2:G$2576,P1435),"")</f>
        <v/>
      </c>
      <c r="R1435" t="str" cm="1">
        <f t="array" ref="R1435">IFERROR(INDEX(DB!O$2:O$2576,P1435),"")</f>
        <v/>
      </c>
      <c r="S1435" t="str">
        <f t="shared" si="69"/>
        <v/>
      </c>
      <c r="T1435" t="str">
        <f t="shared" si="70"/>
        <v/>
      </c>
    </row>
    <row r="1436" spans="1:20" ht="100" customHeight="1">
      <c r="A1436" s="26"/>
      <c r="B1436" s="39" t="str">
        <f t="shared" si="68"/>
        <v/>
      </c>
      <c r="C1436" s="43"/>
      <c r="D1436" s="51" t="str" cm="1">
        <f t="array" ref="D1436">IFERROR(INDEX(DB!G$2:G$2576,T1436),"")</f>
        <v/>
      </c>
      <c r="E1436" s="43"/>
      <c r="F1436" s="52" t="str" cm="1">
        <f t="array" ref="F1436">IFERROR(INDEX(DB!O$2:O$2576,T1436),"")</f>
        <v/>
      </c>
      <c r="G1436" s="43"/>
      <c r="H1436" s="40" t="str" cm="1">
        <f t="array" ref="H1436">IFERROR(INDEX(DB!P$2:P$2576,T1436),"")</f>
        <v/>
      </c>
      <c r="I1436" s="43"/>
      <c r="J1436" s="53" t="str" cm="1">
        <f t="array" ref="J1436">IFERROR(INDEX(DB!Q$2:Q$2576,T1436),"")</f>
        <v/>
      </c>
      <c r="K1436" s="43"/>
      <c r="L1436" s="41" t="str" cm="1">
        <f t="array" ref="L1436">IFERROR(INDEX(DB!R$2:R$2576,T1436),"")</f>
        <v/>
      </c>
      <c r="M1436" s="43"/>
      <c r="P1436" t="str" cm="1">
        <f t="array" ref="P1436">IFERROR(_xlfn.AGGREGATE(15,6,ROW(DB!A$2:A$2576)/((($D$3&lt;&gt;"YES")+($D$3="YES")*(DB!E$2:E$2576="YES"))*(($D$4="")+($D$4&lt;&gt;"")*( DB!B$2:B$2576=$D$4))*(($D$5="")+($D$5&lt;&gt;"")*( DB!C$2:C$2576=$D$5))*(($D$6="")+($D$6&lt;&gt;"")*( DB!D$2:D$2576=$D$6))*(($D$7="")+($D$7&lt;&gt;"")*(ISNUMBER(SEARCH($D$7,DB!G$2:G$2576))))*(($F$7="전체")+($F$7&lt;&gt;"전체")*(DB!H$2:H$2576=$F$7))),ROW()-13)-1,"")</f>
        <v/>
      </c>
      <c r="Q1436" t="str" cm="1">
        <f t="array" ref="Q1436">IFERROR(INDEX(DB!G$2:G$2576,P1436),"")</f>
        <v/>
      </c>
      <c r="R1436" t="str" cm="1">
        <f t="array" ref="R1436">IFERROR(INDEX(DB!O$2:O$2576,P1436),"")</f>
        <v/>
      </c>
      <c r="S1436" t="str">
        <f t="shared" si="69"/>
        <v/>
      </c>
      <c r="T1436" t="str">
        <f t="shared" si="70"/>
        <v/>
      </c>
    </row>
    <row r="1437" spans="1:20" ht="100" customHeight="1">
      <c r="A1437" s="26"/>
      <c r="B1437" s="42" t="str">
        <f t="shared" si="68"/>
        <v/>
      </c>
      <c r="C1437" s="43"/>
      <c r="D1437" s="51" t="str" cm="1">
        <f t="array" ref="D1437">IFERROR(INDEX(DB!G$2:G$2576,T1437),"")</f>
        <v/>
      </c>
      <c r="E1437" s="43"/>
      <c r="F1437" s="52" t="str" cm="1">
        <f t="array" ref="F1437">IFERROR(INDEX(DB!O$2:O$2576,T1437),"")</f>
        <v/>
      </c>
      <c r="G1437" s="43"/>
      <c r="H1437" s="40" t="str" cm="1">
        <f t="array" ref="H1437">IFERROR(INDEX(DB!P$2:P$2576,T1437),"")</f>
        <v/>
      </c>
      <c r="I1437" s="43"/>
      <c r="J1437" s="53" t="str" cm="1">
        <f t="array" ref="J1437">IFERROR(INDEX(DB!Q$2:Q$2576,T1437),"")</f>
        <v/>
      </c>
      <c r="K1437" s="43"/>
      <c r="L1437" s="41" t="str" cm="1">
        <f t="array" ref="L1437">IFERROR(INDEX(DB!R$2:R$2576,T1437),"")</f>
        <v/>
      </c>
      <c r="M1437" s="43"/>
      <c r="P1437" t="str" cm="1">
        <f t="array" ref="P1437">IFERROR(_xlfn.AGGREGATE(15,6,ROW(DB!A$2:A$2576)/((($D$3&lt;&gt;"YES")+($D$3="YES")*(DB!E$2:E$2576="YES"))*(($D$4="")+($D$4&lt;&gt;"")*( DB!B$2:B$2576=$D$4))*(($D$5="")+($D$5&lt;&gt;"")*( DB!C$2:C$2576=$D$5))*(($D$6="")+($D$6&lt;&gt;"")*( DB!D$2:D$2576=$D$6))*(($D$7="")+($D$7&lt;&gt;"")*(ISNUMBER(SEARCH($D$7,DB!G$2:G$2576))))*(($F$7="전체")+($F$7&lt;&gt;"전체")*(DB!H$2:H$2576=$F$7))),ROW()-13)-1,"")</f>
        <v/>
      </c>
      <c r="Q1437" t="str" cm="1">
        <f t="array" ref="Q1437">IFERROR(INDEX(DB!G$2:G$2576,P1437),"")</f>
        <v/>
      </c>
      <c r="R1437" t="str" cm="1">
        <f t="array" ref="R1437">IFERROR(INDEX(DB!O$2:O$2576,P1437),"")</f>
        <v/>
      </c>
      <c r="S1437" t="str">
        <f t="shared" si="69"/>
        <v/>
      </c>
      <c r="T1437" t="str">
        <f t="shared" si="70"/>
        <v/>
      </c>
    </row>
    <row r="1438" spans="1:20" ht="100" customHeight="1">
      <c r="A1438" s="26"/>
      <c r="B1438" s="39" t="str">
        <f t="shared" si="68"/>
        <v/>
      </c>
      <c r="C1438" s="43"/>
      <c r="D1438" s="51" t="str" cm="1">
        <f t="array" ref="D1438">IFERROR(INDEX(DB!G$2:G$2576,T1438),"")</f>
        <v/>
      </c>
      <c r="E1438" s="43"/>
      <c r="F1438" s="52" t="str" cm="1">
        <f t="array" ref="F1438">IFERROR(INDEX(DB!O$2:O$2576,T1438),"")</f>
        <v/>
      </c>
      <c r="G1438" s="43"/>
      <c r="H1438" s="40" t="str" cm="1">
        <f t="array" ref="H1438">IFERROR(INDEX(DB!P$2:P$2576,T1438),"")</f>
        <v/>
      </c>
      <c r="I1438" s="43"/>
      <c r="J1438" s="53" t="str" cm="1">
        <f t="array" ref="J1438">IFERROR(INDEX(DB!Q$2:Q$2576,T1438),"")</f>
        <v/>
      </c>
      <c r="K1438" s="43"/>
      <c r="L1438" s="41" t="str" cm="1">
        <f t="array" ref="L1438">IFERROR(INDEX(DB!R$2:R$2576,T1438),"")</f>
        <v/>
      </c>
      <c r="M1438" s="43"/>
      <c r="P1438" t="str" cm="1">
        <f t="array" ref="P1438">IFERROR(_xlfn.AGGREGATE(15,6,ROW(DB!A$2:A$2576)/((($D$3&lt;&gt;"YES")+($D$3="YES")*(DB!E$2:E$2576="YES"))*(($D$4="")+($D$4&lt;&gt;"")*( DB!B$2:B$2576=$D$4))*(($D$5="")+($D$5&lt;&gt;"")*( DB!C$2:C$2576=$D$5))*(($D$6="")+($D$6&lt;&gt;"")*( DB!D$2:D$2576=$D$6))*(($D$7="")+($D$7&lt;&gt;"")*(ISNUMBER(SEARCH($D$7,DB!G$2:G$2576))))*(($F$7="전체")+($F$7&lt;&gt;"전체")*(DB!H$2:H$2576=$F$7))),ROW()-13)-1,"")</f>
        <v/>
      </c>
      <c r="Q1438" t="str" cm="1">
        <f t="array" ref="Q1438">IFERROR(INDEX(DB!G$2:G$2576,P1438),"")</f>
        <v/>
      </c>
      <c r="R1438" t="str" cm="1">
        <f t="array" ref="R1438">IFERROR(INDEX(DB!O$2:O$2576,P1438),"")</f>
        <v/>
      </c>
      <c r="S1438" t="str">
        <f t="shared" si="69"/>
        <v/>
      </c>
      <c r="T1438" t="str">
        <f t="shared" si="70"/>
        <v/>
      </c>
    </row>
    <row r="1439" spans="1:20" ht="100" customHeight="1">
      <c r="A1439" s="26"/>
      <c r="B1439" s="42" t="str">
        <f t="shared" si="68"/>
        <v/>
      </c>
      <c r="C1439" s="43"/>
      <c r="D1439" s="51" t="str" cm="1">
        <f t="array" ref="D1439">IFERROR(INDEX(DB!G$2:G$2576,T1439),"")</f>
        <v/>
      </c>
      <c r="E1439" s="43"/>
      <c r="F1439" s="52" t="str" cm="1">
        <f t="array" ref="F1439">IFERROR(INDEX(DB!O$2:O$2576,T1439),"")</f>
        <v/>
      </c>
      <c r="G1439" s="43"/>
      <c r="H1439" s="40" t="str" cm="1">
        <f t="array" ref="H1439">IFERROR(INDEX(DB!P$2:P$2576,T1439),"")</f>
        <v/>
      </c>
      <c r="I1439" s="43"/>
      <c r="J1439" s="53" t="str" cm="1">
        <f t="array" ref="J1439">IFERROR(INDEX(DB!Q$2:Q$2576,T1439),"")</f>
        <v/>
      </c>
      <c r="K1439" s="43"/>
      <c r="L1439" s="41" t="str" cm="1">
        <f t="array" ref="L1439">IFERROR(INDEX(DB!R$2:R$2576,T1439),"")</f>
        <v/>
      </c>
      <c r="M1439" s="43"/>
      <c r="P1439" t="str" cm="1">
        <f t="array" ref="P1439">IFERROR(_xlfn.AGGREGATE(15,6,ROW(DB!A$2:A$2576)/((($D$3&lt;&gt;"YES")+($D$3="YES")*(DB!E$2:E$2576="YES"))*(($D$4="")+($D$4&lt;&gt;"")*( DB!B$2:B$2576=$D$4))*(($D$5="")+($D$5&lt;&gt;"")*( DB!C$2:C$2576=$D$5))*(($D$6="")+($D$6&lt;&gt;"")*( DB!D$2:D$2576=$D$6))*(($D$7="")+($D$7&lt;&gt;"")*(ISNUMBER(SEARCH($D$7,DB!G$2:G$2576))))*(($F$7="전체")+($F$7&lt;&gt;"전체")*(DB!H$2:H$2576=$F$7))),ROW()-13)-1,"")</f>
        <v/>
      </c>
      <c r="Q1439" t="str" cm="1">
        <f t="array" ref="Q1439">IFERROR(INDEX(DB!G$2:G$2576,P1439),"")</f>
        <v/>
      </c>
      <c r="R1439" t="str" cm="1">
        <f t="array" ref="R1439">IFERROR(INDEX(DB!O$2:O$2576,P1439),"")</f>
        <v/>
      </c>
      <c r="S1439" t="str">
        <f t="shared" si="69"/>
        <v/>
      </c>
      <c r="T1439" t="str">
        <f t="shared" si="70"/>
        <v/>
      </c>
    </row>
    <row r="1440" spans="1:20" ht="100" customHeight="1">
      <c r="A1440" s="26"/>
      <c r="B1440" s="39" t="str">
        <f t="shared" si="68"/>
        <v/>
      </c>
      <c r="C1440" s="43"/>
      <c r="D1440" s="51" t="str" cm="1">
        <f t="array" ref="D1440">IFERROR(INDEX(DB!G$2:G$2576,T1440),"")</f>
        <v/>
      </c>
      <c r="E1440" s="43"/>
      <c r="F1440" s="52" t="str" cm="1">
        <f t="array" ref="F1440">IFERROR(INDEX(DB!O$2:O$2576,T1440),"")</f>
        <v/>
      </c>
      <c r="G1440" s="43"/>
      <c r="H1440" s="40" t="str" cm="1">
        <f t="array" ref="H1440">IFERROR(INDEX(DB!P$2:P$2576,T1440),"")</f>
        <v/>
      </c>
      <c r="I1440" s="43"/>
      <c r="J1440" s="53" t="str" cm="1">
        <f t="array" ref="J1440">IFERROR(INDEX(DB!Q$2:Q$2576,T1440),"")</f>
        <v/>
      </c>
      <c r="K1440" s="43"/>
      <c r="L1440" s="41" t="str" cm="1">
        <f t="array" ref="L1440">IFERROR(INDEX(DB!R$2:R$2576,T1440),"")</f>
        <v/>
      </c>
      <c r="M1440" s="43"/>
      <c r="P1440" t="str" cm="1">
        <f t="array" ref="P1440">IFERROR(_xlfn.AGGREGATE(15,6,ROW(DB!A$2:A$2576)/((($D$3&lt;&gt;"YES")+($D$3="YES")*(DB!E$2:E$2576="YES"))*(($D$4="")+($D$4&lt;&gt;"")*( DB!B$2:B$2576=$D$4))*(($D$5="")+($D$5&lt;&gt;"")*( DB!C$2:C$2576=$D$5))*(($D$6="")+($D$6&lt;&gt;"")*( DB!D$2:D$2576=$D$6))*(($D$7="")+($D$7&lt;&gt;"")*(ISNUMBER(SEARCH($D$7,DB!G$2:G$2576))))*(($F$7="전체")+($F$7&lt;&gt;"전체")*(DB!H$2:H$2576=$F$7))),ROW()-13)-1,"")</f>
        <v/>
      </c>
      <c r="Q1440" t="str" cm="1">
        <f t="array" ref="Q1440">IFERROR(INDEX(DB!G$2:G$2576,P1440),"")</f>
        <v/>
      </c>
      <c r="R1440" t="str" cm="1">
        <f t="array" ref="R1440">IFERROR(INDEX(DB!O$2:O$2576,P1440),"")</f>
        <v/>
      </c>
      <c r="S1440" t="str">
        <f t="shared" si="69"/>
        <v/>
      </c>
      <c r="T1440" t="str">
        <f t="shared" si="70"/>
        <v/>
      </c>
    </row>
    <row r="1441" spans="1:20" ht="100" customHeight="1">
      <c r="A1441" s="26"/>
      <c r="B1441" s="42" t="str">
        <f t="shared" si="68"/>
        <v/>
      </c>
      <c r="C1441" s="43"/>
      <c r="D1441" s="51" t="str" cm="1">
        <f t="array" ref="D1441">IFERROR(INDEX(DB!G$2:G$2576,T1441),"")</f>
        <v/>
      </c>
      <c r="E1441" s="43"/>
      <c r="F1441" s="52" t="str" cm="1">
        <f t="array" ref="F1441">IFERROR(INDEX(DB!O$2:O$2576,T1441),"")</f>
        <v/>
      </c>
      <c r="G1441" s="43"/>
      <c r="H1441" s="40" t="str" cm="1">
        <f t="array" ref="H1441">IFERROR(INDEX(DB!P$2:P$2576,T1441),"")</f>
        <v/>
      </c>
      <c r="I1441" s="43"/>
      <c r="J1441" s="53" t="str" cm="1">
        <f t="array" ref="J1441">IFERROR(INDEX(DB!Q$2:Q$2576,T1441),"")</f>
        <v/>
      </c>
      <c r="K1441" s="43"/>
      <c r="L1441" s="41" t="str" cm="1">
        <f t="array" ref="L1441">IFERROR(INDEX(DB!R$2:R$2576,T1441),"")</f>
        <v/>
      </c>
      <c r="M1441" s="43"/>
      <c r="P1441" t="str" cm="1">
        <f t="array" ref="P1441">IFERROR(_xlfn.AGGREGATE(15,6,ROW(DB!A$2:A$2576)/((($D$3&lt;&gt;"YES")+($D$3="YES")*(DB!E$2:E$2576="YES"))*(($D$4="")+($D$4&lt;&gt;"")*( DB!B$2:B$2576=$D$4))*(($D$5="")+($D$5&lt;&gt;"")*( DB!C$2:C$2576=$D$5))*(($D$6="")+($D$6&lt;&gt;"")*( DB!D$2:D$2576=$D$6))*(($D$7="")+($D$7&lt;&gt;"")*(ISNUMBER(SEARCH($D$7,DB!G$2:G$2576))))*(($F$7="전체")+($F$7&lt;&gt;"전체")*(DB!H$2:H$2576=$F$7))),ROW()-13)-1,"")</f>
        <v/>
      </c>
      <c r="Q1441" t="str" cm="1">
        <f t="array" ref="Q1441">IFERROR(INDEX(DB!G$2:G$2576,P1441),"")</f>
        <v/>
      </c>
      <c r="R1441" t="str" cm="1">
        <f t="array" ref="R1441">IFERROR(INDEX(DB!O$2:O$2576,P1441),"")</f>
        <v/>
      </c>
      <c r="S1441" t="str">
        <f t="shared" si="69"/>
        <v/>
      </c>
      <c r="T1441" t="str">
        <f t="shared" si="70"/>
        <v/>
      </c>
    </row>
    <row r="1442" spans="1:20" ht="100" customHeight="1">
      <c r="A1442" s="26"/>
      <c r="B1442" s="39" t="str">
        <f t="shared" si="68"/>
        <v/>
      </c>
      <c r="C1442" s="43"/>
      <c r="D1442" s="51" t="str" cm="1">
        <f t="array" ref="D1442">IFERROR(INDEX(DB!G$2:G$2576,T1442),"")</f>
        <v/>
      </c>
      <c r="E1442" s="43"/>
      <c r="F1442" s="52" t="str" cm="1">
        <f t="array" ref="F1442">IFERROR(INDEX(DB!O$2:O$2576,T1442),"")</f>
        <v/>
      </c>
      <c r="G1442" s="43"/>
      <c r="H1442" s="40" t="str" cm="1">
        <f t="array" ref="H1442">IFERROR(INDEX(DB!P$2:P$2576,T1442),"")</f>
        <v/>
      </c>
      <c r="I1442" s="43"/>
      <c r="J1442" s="53" t="str" cm="1">
        <f t="array" ref="J1442">IFERROR(INDEX(DB!Q$2:Q$2576,T1442),"")</f>
        <v/>
      </c>
      <c r="K1442" s="43"/>
      <c r="L1442" s="41" t="str" cm="1">
        <f t="array" ref="L1442">IFERROR(INDEX(DB!R$2:R$2576,T1442),"")</f>
        <v/>
      </c>
      <c r="M1442" s="43"/>
      <c r="P1442" t="str" cm="1">
        <f t="array" ref="P1442">IFERROR(_xlfn.AGGREGATE(15,6,ROW(DB!A$2:A$2576)/((($D$3&lt;&gt;"YES")+($D$3="YES")*(DB!E$2:E$2576="YES"))*(($D$4="")+($D$4&lt;&gt;"")*( DB!B$2:B$2576=$D$4))*(($D$5="")+($D$5&lt;&gt;"")*( DB!C$2:C$2576=$D$5))*(($D$6="")+($D$6&lt;&gt;"")*( DB!D$2:D$2576=$D$6))*(($D$7="")+($D$7&lt;&gt;"")*(ISNUMBER(SEARCH($D$7,DB!G$2:G$2576))))*(($F$7="전체")+($F$7&lt;&gt;"전체")*(DB!H$2:H$2576=$F$7))),ROW()-13)-1,"")</f>
        <v/>
      </c>
      <c r="Q1442" t="str" cm="1">
        <f t="array" ref="Q1442">IFERROR(INDEX(DB!G$2:G$2576,P1442),"")</f>
        <v/>
      </c>
      <c r="R1442" t="str" cm="1">
        <f t="array" ref="R1442">IFERROR(INDEX(DB!O$2:O$2576,P1442),"")</f>
        <v/>
      </c>
      <c r="S1442" t="str">
        <f t="shared" si="69"/>
        <v/>
      </c>
      <c r="T1442" t="str">
        <f t="shared" si="70"/>
        <v/>
      </c>
    </row>
    <row r="1443" spans="1:20" ht="100" customHeight="1">
      <c r="A1443" s="26"/>
      <c r="B1443" s="42" t="str">
        <f t="shared" si="68"/>
        <v/>
      </c>
      <c r="C1443" s="43"/>
      <c r="D1443" s="51" t="str" cm="1">
        <f t="array" ref="D1443">IFERROR(INDEX(DB!G$2:G$2576,T1443),"")</f>
        <v/>
      </c>
      <c r="E1443" s="43"/>
      <c r="F1443" s="52" t="str" cm="1">
        <f t="array" ref="F1443">IFERROR(INDEX(DB!O$2:O$2576,T1443),"")</f>
        <v/>
      </c>
      <c r="G1443" s="43"/>
      <c r="H1443" s="40" t="str" cm="1">
        <f t="array" ref="H1443">IFERROR(INDEX(DB!P$2:P$2576,T1443),"")</f>
        <v/>
      </c>
      <c r="I1443" s="43"/>
      <c r="J1443" s="53" t="str" cm="1">
        <f t="array" ref="J1443">IFERROR(INDEX(DB!Q$2:Q$2576,T1443),"")</f>
        <v/>
      </c>
      <c r="K1443" s="43"/>
      <c r="L1443" s="41" t="str" cm="1">
        <f t="array" ref="L1443">IFERROR(INDEX(DB!R$2:R$2576,T1443),"")</f>
        <v/>
      </c>
      <c r="M1443" s="43"/>
      <c r="P1443" t="str" cm="1">
        <f t="array" ref="P1443">IFERROR(_xlfn.AGGREGATE(15,6,ROW(DB!A$2:A$2576)/((($D$3&lt;&gt;"YES")+($D$3="YES")*(DB!E$2:E$2576="YES"))*(($D$4="")+($D$4&lt;&gt;"")*( DB!B$2:B$2576=$D$4))*(($D$5="")+($D$5&lt;&gt;"")*( DB!C$2:C$2576=$D$5))*(($D$6="")+($D$6&lt;&gt;"")*( DB!D$2:D$2576=$D$6))*(($D$7="")+($D$7&lt;&gt;"")*(ISNUMBER(SEARCH($D$7,DB!G$2:G$2576))))*(($F$7="전체")+($F$7&lt;&gt;"전체")*(DB!H$2:H$2576=$F$7))),ROW()-13)-1,"")</f>
        <v/>
      </c>
      <c r="Q1443" t="str" cm="1">
        <f t="array" ref="Q1443">IFERROR(INDEX(DB!G$2:G$2576,P1443),"")</f>
        <v/>
      </c>
      <c r="R1443" t="str" cm="1">
        <f t="array" ref="R1443">IFERROR(INDEX(DB!O$2:O$2576,P1443),"")</f>
        <v/>
      </c>
      <c r="S1443" t="str">
        <f t="shared" si="69"/>
        <v/>
      </c>
      <c r="T1443" t="str">
        <f t="shared" si="70"/>
        <v/>
      </c>
    </row>
    <row r="1444" spans="1:20" ht="100" customHeight="1">
      <c r="A1444" s="26"/>
      <c r="B1444" s="39" t="str">
        <f t="shared" si="68"/>
        <v/>
      </c>
      <c r="C1444" s="43"/>
      <c r="D1444" s="51" t="str" cm="1">
        <f t="array" ref="D1444">IFERROR(INDEX(DB!G$2:G$2576,T1444),"")</f>
        <v/>
      </c>
      <c r="E1444" s="43"/>
      <c r="F1444" s="52" t="str" cm="1">
        <f t="array" ref="F1444">IFERROR(INDEX(DB!O$2:O$2576,T1444),"")</f>
        <v/>
      </c>
      <c r="G1444" s="43"/>
      <c r="H1444" s="40" t="str" cm="1">
        <f t="array" ref="H1444">IFERROR(INDEX(DB!P$2:P$2576,T1444),"")</f>
        <v/>
      </c>
      <c r="I1444" s="43"/>
      <c r="J1444" s="53" t="str" cm="1">
        <f t="array" ref="J1444">IFERROR(INDEX(DB!Q$2:Q$2576,T1444),"")</f>
        <v/>
      </c>
      <c r="K1444" s="43"/>
      <c r="L1444" s="41" t="str" cm="1">
        <f t="array" ref="L1444">IFERROR(INDEX(DB!R$2:R$2576,T1444),"")</f>
        <v/>
      </c>
      <c r="M1444" s="43"/>
      <c r="P1444" t="str" cm="1">
        <f t="array" ref="P1444">IFERROR(_xlfn.AGGREGATE(15,6,ROW(DB!A$2:A$2576)/((($D$3&lt;&gt;"YES")+($D$3="YES")*(DB!E$2:E$2576="YES"))*(($D$4="")+($D$4&lt;&gt;"")*( DB!B$2:B$2576=$D$4))*(($D$5="")+($D$5&lt;&gt;"")*( DB!C$2:C$2576=$D$5))*(($D$6="")+($D$6&lt;&gt;"")*( DB!D$2:D$2576=$D$6))*(($D$7="")+($D$7&lt;&gt;"")*(ISNUMBER(SEARCH($D$7,DB!G$2:G$2576))))*(($F$7="전체")+($F$7&lt;&gt;"전체")*(DB!H$2:H$2576=$F$7))),ROW()-13)-1,"")</f>
        <v/>
      </c>
      <c r="Q1444" t="str" cm="1">
        <f t="array" ref="Q1444">IFERROR(INDEX(DB!G$2:G$2576,P1444),"")</f>
        <v/>
      </c>
      <c r="R1444" t="str" cm="1">
        <f t="array" ref="R1444">IFERROR(INDEX(DB!O$2:O$2576,P1444),"")</f>
        <v/>
      </c>
      <c r="S1444" t="str">
        <f t="shared" si="69"/>
        <v/>
      </c>
      <c r="T1444" t="str">
        <f t="shared" si="70"/>
        <v/>
      </c>
    </row>
    <row r="1445" spans="1:20" ht="100" customHeight="1">
      <c r="A1445" s="26"/>
      <c r="B1445" s="42" t="str">
        <f t="shared" si="68"/>
        <v/>
      </c>
      <c r="C1445" s="43"/>
      <c r="D1445" s="51" t="str" cm="1">
        <f t="array" ref="D1445">IFERROR(INDEX(DB!G$2:G$2576,T1445),"")</f>
        <v/>
      </c>
      <c r="E1445" s="43"/>
      <c r="F1445" s="52" t="str" cm="1">
        <f t="array" ref="F1445">IFERROR(INDEX(DB!O$2:O$2576,T1445),"")</f>
        <v/>
      </c>
      <c r="G1445" s="43"/>
      <c r="H1445" s="40" t="str" cm="1">
        <f t="array" ref="H1445">IFERROR(INDEX(DB!P$2:P$2576,T1445),"")</f>
        <v/>
      </c>
      <c r="I1445" s="43"/>
      <c r="J1445" s="53" t="str" cm="1">
        <f t="array" ref="J1445">IFERROR(INDEX(DB!Q$2:Q$2576,T1445),"")</f>
        <v/>
      </c>
      <c r="K1445" s="43"/>
      <c r="L1445" s="41" t="str" cm="1">
        <f t="array" ref="L1445">IFERROR(INDEX(DB!R$2:R$2576,T1445),"")</f>
        <v/>
      </c>
      <c r="M1445" s="43"/>
      <c r="P1445" t="str" cm="1">
        <f t="array" ref="P1445">IFERROR(_xlfn.AGGREGATE(15,6,ROW(DB!A$2:A$2576)/((($D$3&lt;&gt;"YES")+($D$3="YES")*(DB!E$2:E$2576="YES"))*(($D$4="")+($D$4&lt;&gt;"")*( DB!B$2:B$2576=$D$4))*(($D$5="")+($D$5&lt;&gt;"")*( DB!C$2:C$2576=$D$5))*(($D$6="")+($D$6&lt;&gt;"")*( DB!D$2:D$2576=$D$6))*(($D$7="")+($D$7&lt;&gt;"")*(ISNUMBER(SEARCH($D$7,DB!G$2:G$2576))))*(($F$7="전체")+($F$7&lt;&gt;"전체")*(DB!H$2:H$2576=$F$7))),ROW()-13)-1,"")</f>
        <v/>
      </c>
      <c r="Q1445" t="str" cm="1">
        <f t="array" ref="Q1445">IFERROR(INDEX(DB!G$2:G$2576,P1445),"")</f>
        <v/>
      </c>
      <c r="R1445" t="str" cm="1">
        <f t="array" ref="R1445">IFERROR(INDEX(DB!O$2:O$2576,P1445),"")</f>
        <v/>
      </c>
      <c r="S1445" t="str">
        <f t="shared" si="69"/>
        <v/>
      </c>
      <c r="T1445" t="str">
        <f t="shared" si="70"/>
        <v/>
      </c>
    </row>
    <row r="1446" spans="1:20" ht="100" customHeight="1">
      <c r="A1446" s="26"/>
      <c r="B1446" s="39" t="str">
        <f t="shared" si="68"/>
        <v/>
      </c>
      <c r="C1446" s="43"/>
      <c r="D1446" s="51" t="str" cm="1">
        <f t="array" ref="D1446">IFERROR(INDEX(DB!G$2:G$2576,T1446),"")</f>
        <v/>
      </c>
      <c r="E1446" s="43"/>
      <c r="F1446" s="52" t="str" cm="1">
        <f t="array" ref="F1446">IFERROR(INDEX(DB!O$2:O$2576,T1446),"")</f>
        <v/>
      </c>
      <c r="G1446" s="43"/>
      <c r="H1446" s="40" t="str" cm="1">
        <f t="array" ref="H1446">IFERROR(INDEX(DB!P$2:P$2576,T1446),"")</f>
        <v/>
      </c>
      <c r="I1446" s="43"/>
      <c r="J1446" s="53" t="str" cm="1">
        <f t="array" ref="J1446">IFERROR(INDEX(DB!Q$2:Q$2576,T1446),"")</f>
        <v/>
      </c>
      <c r="K1446" s="43"/>
      <c r="L1446" s="41" t="str" cm="1">
        <f t="array" ref="L1446">IFERROR(INDEX(DB!R$2:R$2576,T1446),"")</f>
        <v/>
      </c>
      <c r="M1446" s="43"/>
      <c r="P1446" t="str" cm="1">
        <f t="array" ref="P1446">IFERROR(_xlfn.AGGREGATE(15,6,ROW(DB!A$2:A$2576)/((($D$3&lt;&gt;"YES")+($D$3="YES")*(DB!E$2:E$2576="YES"))*(($D$4="")+($D$4&lt;&gt;"")*( DB!B$2:B$2576=$D$4))*(($D$5="")+($D$5&lt;&gt;"")*( DB!C$2:C$2576=$D$5))*(($D$6="")+($D$6&lt;&gt;"")*( DB!D$2:D$2576=$D$6))*(($D$7="")+($D$7&lt;&gt;"")*(ISNUMBER(SEARCH($D$7,DB!G$2:G$2576))))*(($F$7="전체")+($F$7&lt;&gt;"전체")*(DB!H$2:H$2576=$F$7))),ROW()-13)-1,"")</f>
        <v/>
      </c>
      <c r="Q1446" t="str" cm="1">
        <f t="array" ref="Q1446">IFERROR(INDEX(DB!G$2:G$2576,P1446),"")</f>
        <v/>
      </c>
      <c r="R1446" t="str" cm="1">
        <f t="array" ref="R1446">IFERROR(INDEX(DB!O$2:O$2576,P1446),"")</f>
        <v/>
      </c>
      <c r="S1446" t="str">
        <f t="shared" si="69"/>
        <v/>
      </c>
      <c r="T1446" t="str">
        <f t="shared" si="70"/>
        <v/>
      </c>
    </row>
    <row r="1447" spans="1:20" ht="100" customHeight="1">
      <c r="A1447" s="26"/>
      <c r="B1447" s="42" t="str">
        <f t="shared" si="68"/>
        <v/>
      </c>
      <c r="C1447" s="43"/>
      <c r="D1447" s="51" t="str" cm="1">
        <f t="array" ref="D1447">IFERROR(INDEX(DB!G$2:G$2576,T1447),"")</f>
        <v/>
      </c>
      <c r="E1447" s="43"/>
      <c r="F1447" s="52" t="str" cm="1">
        <f t="array" ref="F1447">IFERROR(INDEX(DB!O$2:O$2576,T1447),"")</f>
        <v/>
      </c>
      <c r="G1447" s="43"/>
      <c r="H1447" s="40" t="str" cm="1">
        <f t="array" ref="H1447">IFERROR(INDEX(DB!P$2:P$2576,T1447),"")</f>
        <v/>
      </c>
      <c r="I1447" s="43"/>
      <c r="J1447" s="53" t="str" cm="1">
        <f t="array" ref="J1447">IFERROR(INDEX(DB!Q$2:Q$2576,T1447),"")</f>
        <v/>
      </c>
      <c r="K1447" s="43"/>
      <c r="L1447" s="41" t="str" cm="1">
        <f t="array" ref="L1447">IFERROR(INDEX(DB!R$2:R$2576,T1447),"")</f>
        <v/>
      </c>
      <c r="M1447" s="43"/>
      <c r="P1447" t="str" cm="1">
        <f t="array" ref="P1447">IFERROR(_xlfn.AGGREGATE(15,6,ROW(DB!A$2:A$2576)/((($D$3&lt;&gt;"YES")+($D$3="YES")*(DB!E$2:E$2576="YES"))*(($D$4="")+($D$4&lt;&gt;"")*( DB!B$2:B$2576=$D$4))*(($D$5="")+($D$5&lt;&gt;"")*( DB!C$2:C$2576=$D$5))*(($D$6="")+($D$6&lt;&gt;"")*( DB!D$2:D$2576=$D$6))*(($D$7="")+($D$7&lt;&gt;"")*(ISNUMBER(SEARCH($D$7,DB!G$2:G$2576))))*(($F$7="전체")+($F$7&lt;&gt;"전체")*(DB!H$2:H$2576=$F$7))),ROW()-13)-1,"")</f>
        <v/>
      </c>
      <c r="Q1447" t="str" cm="1">
        <f t="array" ref="Q1447">IFERROR(INDEX(DB!G$2:G$2576,P1447),"")</f>
        <v/>
      </c>
      <c r="R1447" t="str" cm="1">
        <f t="array" ref="R1447">IFERROR(INDEX(DB!O$2:O$2576,P1447),"")</f>
        <v/>
      </c>
      <c r="S1447" t="str">
        <f t="shared" si="69"/>
        <v/>
      </c>
      <c r="T1447" t="str">
        <f t="shared" si="70"/>
        <v/>
      </c>
    </row>
    <row r="1448" spans="1:20" ht="100" customHeight="1">
      <c r="A1448" s="26"/>
      <c r="B1448" s="39" t="str">
        <f t="shared" si="68"/>
        <v/>
      </c>
      <c r="C1448" s="43"/>
      <c r="D1448" s="51" t="str" cm="1">
        <f t="array" ref="D1448">IFERROR(INDEX(DB!G$2:G$2576,T1448),"")</f>
        <v/>
      </c>
      <c r="E1448" s="43"/>
      <c r="F1448" s="52" t="str" cm="1">
        <f t="array" ref="F1448">IFERROR(INDEX(DB!O$2:O$2576,T1448),"")</f>
        <v/>
      </c>
      <c r="G1448" s="43"/>
      <c r="H1448" s="40" t="str" cm="1">
        <f t="array" ref="H1448">IFERROR(INDEX(DB!P$2:P$2576,T1448),"")</f>
        <v/>
      </c>
      <c r="I1448" s="43"/>
      <c r="J1448" s="53" t="str" cm="1">
        <f t="array" ref="J1448">IFERROR(INDEX(DB!Q$2:Q$2576,T1448),"")</f>
        <v/>
      </c>
      <c r="K1448" s="43"/>
      <c r="L1448" s="41" t="str" cm="1">
        <f t="array" ref="L1448">IFERROR(INDEX(DB!R$2:R$2576,T1448),"")</f>
        <v/>
      </c>
      <c r="M1448" s="43"/>
      <c r="P1448" t="str" cm="1">
        <f t="array" ref="P1448">IFERROR(_xlfn.AGGREGATE(15,6,ROW(DB!A$2:A$2576)/((($D$3&lt;&gt;"YES")+($D$3="YES")*(DB!E$2:E$2576="YES"))*(($D$4="")+($D$4&lt;&gt;"")*( DB!B$2:B$2576=$D$4))*(($D$5="")+($D$5&lt;&gt;"")*( DB!C$2:C$2576=$D$5))*(($D$6="")+($D$6&lt;&gt;"")*( DB!D$2:D$2576=$D$6))*(($D$7="")+($D$7&lt;&gt;"")*(ISNUMBER(SEARCH($D$7,DB!G$2:G$2576))))*(($F$7="전체")+($F$7&lt;&gt;"전체")*(DB!H$2:H$2576=$F$7))),ROW()-13)-1,"")</f>
        <v/>
      </c>
      <c r="Q1448" t="str" cm="1">
        <f t="array" ref="Q1448">IFERROR(INDEX(DB!G$2:G$2576,P1448),"")</f>
        <v/>
      </c>
      <c r="R1448" t="str" cm="1">
        <f t="array" ref="R1448">IFERROR(INDEX(DB!O$2:O$2576,P1448),"")</f>
        <v/>
      </c>
      <c r="S1448" t="str">
        <f t="shared" si="69"/>
        <v/>
      </c>
      <c r="T1448" t="str">
        <f t="shared" si="70"/>
        <v/>
      </c>
    </row>
    <row r="1449" spans="1:20" ht="100" customHeight="1">
      <c r="A1449" s="26"/>
      <c r="B1449" s="42" t="str">
        <f t="shared" si="68"/>
        <v/>
      </c>
      <c r="C1449" s="43"/>
      <c r="D1449" s="51" t="str" cm="1">
        <f t="array" ref="D1449">IFERROR(INDEX(DB!G$2:G$2576,T1449),"")</f>
        <v/>
      </c>
      <c r="E1449" s="43"/>
      <c r="F1449" s="52" t="str" cm="1">
        <f t="array" ref="F1449">IFERROR(INDEX(DB!O$2:O$2576,T1449),"")</f>
        <v/>
      </c>
      <c r="G1449" s="43"/>
      <c r="H1449" s="40" t="str" cm="1">
        <f t="array" ref="H1449">IFERROR(INDEX(DB!P$2:P$2576,T1449),"")</f>
        <v/>
      </c>
      <c r="I1449" s="43"/>
      <c r="J1449" s="53" t="str" cm="1">
        <f t="array" ref="J1449">IFERROR(INDEX(DB!Q$2:Q$2576,T1449),"")</f>
        <v/>
      </c>
      <c r="K1449" s="43"/>
      <c r="L1449" s="41" t="str" cm="1">
        <f t="array" ref="L1449">IFERROR(INDEX(DB!R$2:R$2576,T1449),"")</f>
        <v/>
      </c>
      <c r="M1449" s="43"/>
      <c r="P1449" t="str" cm="1">
        <f t="array" ref="P1449">IFERROR(_xlfn.AGGREGATE(15,6,ROW(DB!A$2:A$2576)/((($D$3&lt;&gt;"YES")+($D$3="YES")*(DB!E$2:E$2576="YES"))*(($D$4="")+($D$4&lt;&gt;"")*( DB!B$2:B$2576=$D$4))*(($D$5="")+($D$5&lt;&gt;"")*( DB!C$2:C$2576=$D$5))*(($D$6="")+($D$6&lt;&gt;"")*( DB!D$2:D$2576=$D$6))*(($D$7="")+($D$7&lt;&gt;"")*(ISNUMBER(SEARCH($D$7,DB!G$2:G$2576))))*(($F$7="전체")+($F$7&lt;&gt;"전체")*(DB!H$2:H$2576=$F$7))),ROW()-13)-1,"")</f>
        <v/>
      </c>
      <c r="Q1449" t="str" cm="1">
        <f t="array" ref="Q1449">IFERROR(INDEX(DB!G$2:G$2576,P1449),"")</f>
        <v/>
      </c>
      <c r="R1449" t="str" cm="1">
        <f t="array" ref="R1449">IFERROR(INDEX(DB!O$2:O$2576,P1449),"")</f>
        <v/>
      </c>
      <c r="S1449" t="str">
        <f t="shared" si="69"/>
        <v/>
      </c>
      <c r="T1449" t="str">
        <f t="shared" si="70"/>
        <v/>
      </c>
    </row>
    <row r="1450" spans="1:20" ht="100" customHeight="1">
      <c r="A1450" s="26"/>
      <c r="B1450" s="39" t="str">
        <f t="shared" si="68"/>
        <v/>
      </c>
      <c r="C1450" s="43"/>
      <c r="D1450" s="51" t="str" cm="1">
        <f t="array" ref="D1450">IFERROR(INDEX(DB!G$2:G$2576,T1450),"")</f>
        <v/>
      </c>
      <c r="E1450" s="43"/>
      <c r="F1450" s="52" t="str" cm="1">
        <f t="array" ref="F1450">IFERROR(INDEX(DB!O$2:O$2576,T1450),"")</f>
        <v/>
      </c>
      <c r="G1450" s="43"/>
      <c r="H1450" s="40" t="str" cm="1">
        <f t="array" ref="H1450">IFERROR(INDEX(DB!P$2:P$2576,T1450),"")</f>
        <v/>
      </c>
      <c r="I1450" s="43"/>
      <c r="J1450" s="53" t="str" cm="1">
        <f t="array" ref="J1450">IFERROR(INDEX(DB!Q$2:Q$2576,T1450),"")</f>
        <v/>
      </c>
      <c r="K1450" s="43"/>
      <c r="L1450" s="41" t="str" cm="1">
        <f t="array" ref="L1450">IFERROR(INDEX(DB!R$2:R$2576,T1450),"")</f>
        <v/>
      </c>
      <c r="M1450" s="43"/>
      <c r="P1450" t="str" cm="1">
        <f t="array" ref="P1450">IFERROR(_xlfn.AGGREGATE(15,6,ROW(DB!A$2:A$2576)/((($D$3&lt;&gt;"YES")+($D$3="YES")*(DB!E$2:E$2576="YES"))*(($D$4="")+($D$4&lt;&gt;"")*( DB!B$2:B$2576=$D$4))*(($D$5="")+($D$5&lt;&gt;"")*( DB!C$2:C$2576=$D$5))*(($D$6="")+($D$6&lt;&gt;"")*( DB!D$2:D$2576=$D$6))*(($D$7="")+($D$7&lt;&gt;"")*(ISNUMBER(SEARCH($D$7,DB!G$2:G$2576))))*(($F$7="전체")+($F$7&lt;&gt;"전체")*(DB!H$2:H$2576=$F$7))),ROW()-13)-1,"")</f>
        <v/>
      </c>
      <c r="Q1450" t="str" cm="1">
        <f t="array" ref="Q1450">IFERROR(INDEX(DB!G$2:G$2576,P1450),"")</f>
        <v/>
      </c>
      <c r="R1450" t="str" cm="1">
        <f t="array" ref="R1450">IFERROR(INDEX(DB!O$2:O$2576,P1450),"")</f>
        <v/>
      </c>
      <c r="S1450" t="str">
        <f t="shared" si="69"/>
        <v/>
      </c>
      <c r="T1450" t="str">
        <f t="shared" si="70"/>
        <v/>
      </c>
    </row>
    <row r="1451" spans="1:20" ht="100" customHeight="1">
      <c r="A1451" s="26"/>
      <c r="B1451" s="42" t="str">
        <f t="shared" si="68"/>
        <v/>
      </c>
      <c r="C1451" s="43"/>
      <c r="D1451" s="51" t="str" cm="1">
        <f t="array" ref="D1451">IFERROR(INDEX(DB!G$2:G$2576,T1451),"")</f>
        <v/>
      </c>
      <c r="E1451" s="43"/>
      <c r="F1451" s="52" t="str" cm="1">
        <f t="array" ref="F1451">IFERROR(INDEX(DB!O$2:O$2576,T1451),"")</f>
        <v/>
      </c>
      <c r="G1451" s="43"/>
      <c r="H1451" s="40" t="str" cm="1">
        <f t="array" ref="H1451">IFERROR(INDEX(DB!P$2:P$2576,T1451),"")</f>
        <v/>
      </c>
      <c r="I1451" s="43"/>
      <c r="J1451" s="53" t="str" cm="1">
        <f t="array" ref="J1451">IFERROR(INDEX(DB!Q$2:Q$2576,T1451),"")</f>
        <v/>
      </c>
      <c r="K1451" s="43"/>
      <c r="L1451" s="41" t="str" cm="1">
        <f t="array" ref="L1451">IFERROR(INDEX(DB!R$2:R$2576,T1451),"")</f>
        <v/>
      </c>
      <c r="M1451" s="43"/>
      <c r="P1451" t="str" cm="1">
        <f t="array" ref="P1451">IFERROR(_xlfn.AGGREGATE(15,6,ROW(DB!A$2:A$2576)/((($D$3&lt;&gt;"YES")+($D$3="YES")*(DB!E$2:E$2576="YES"))*(($D$4="")+($D$4&lt;&gt;"")*( DB!B$2:B$2576=$D$4))*(($D$5="")+($D$5&lt;&gt;"")*( DB!C$2:C$2576=$D$5))*(($D$6="")+($D$6&lt;&gt;"")*( DB!D$2:D$2576=$D$6))*(($D$7="")+($D$7&lt;&gt;"")*(ISNUMBER(SEARCH($D$7,DB!G$2:G$2576))))*(($F$7="전체")+($F$7&lt;&gt;"전체")*(DB!H$2:H$2576=$F$7))),ROW()-13)-1,"")</f>
        <v/>
      </c>
      <c r="Q1451" t="str" cm="1">
        <f t="array" ref="Q1451">IFERROR(INDEX(DB!G$2:G$2576,P1451),"")</f>
        <v/>
      </c>
      <c r="R1451" t="str" cm="1">
        <f t="array" ref="R1451">IFERROR(INDEX(DB!O$2:O$2576,P1451),"")</f>
        <v/>
      </c>
      <c r="S1451" t="str">
        <f t="shared" si="69"/>
        <v/>
      </c>
      <c r="T1451" t="str">
        <f t="shared" si="70"/>
        <v/>
      </c>
    </row>
    <row r="1452" spans="1:20" ht="100" customHeight="1">
      <c r="A1452" s="26"/>
      <c r="B1452" s="39" t="str">
        <f t="shared" si="68"/>
        <v/>
      </c>
      <c r="C1452" s="43"/>
      <c r="D1452" s="51" t="str" cm="1">
        <f t="array" ref="D1452">IFERROR(INDEX(DB!G$2:G$2576,T1452),"")</f>
        <v/>
      </c>
      <c r="E1452" s="43"/>
      <c r="F1452" s="52" t="str" cm="1">
        <f t="array" ref="F1452">IFERROR(INDEX(DB!O$2:O$2576,T1452),"")</f>
        <v/>
      </c>
      <c r="G1452" s="43"/>
      <c r="H1452" s="40" t="str" cm="1">
        <f t="array" ref="H1452">IFERROR(INDEX(DB!P$2:P$2576,T1452),"")</f>
        <v/>
      </c>
      <c r="I1452" s="43"/>
      <c r="J1452" s="53" t="str" cm="1">
        <f t="array" ref="J1452">IFERROR(INDEX(DB!Q$2:Q$2576,T1452),"")</f>
        <v/>
      </c>
      <c r="K1452" s="43"/>
      <c r="L1452" s="41" t="str" cm="1">
        <f t="array" ref="L1452">IFERROR(INDEX(DB!R$2:R$2576,T1452),"")</f>
        <v/>
      </c>
      <c r="M1452" s="43"/>
      <c r="P1452" t="str" cm="1">
        <f t="array" ref="P1452">IFERROR(_xlfn.AGGREGATE(15,6,ROW(DB!A$2:A$2576)/((($D$3&lt;&gt;"YES")+($D$3="YES")*(DB!E$2:E$2576="YES"))*(($D$4="")+($D$4&lt;&gt;"")*( DB!B$2:B$2576=$D$4))*(($D$5="")+($D$5&lt;&gt;"")*( DB!C$2:C$2576=$D$5))*(($D$6="")+($D$6&lt;&gt;"")*( DB!D$2:D$2576=$D$6))*(($D$7="")+($D$7&lt;&gt;"")*(ISNUMBER(SEARCH($D$7,DB!G$2:G$2576))))*(($F$7="전체")+($F$7&lt;&gt;"전체")*(DB!H$2:H$2576=$F$7))),ROW()-13)-1,"")</f>
        <v/>
      </c>
      <c r="Q1452" t="str" cm="1">
        <f t="array" ref="Q1452">IFERROR(INDEX(DB!G$2:G$2576,P1452),"")</f>
        <v/>
      </c>
      <c r="R1452" t="str" cm="1">
        <f t="array" ref="R1452">IFERROR(INDEX(DB!O$2:O$2576,P1452),"")</f>
        <v/>
      </c>
      <c r="S1452" t="str">
        <f t="shared" si="69"/>
        <v/>
      </c>
      <c r="T1452" t="str">
        <f t="shared" si="70"/>
        <v/>
      </c>
    </row>
    <row r="1453" spans="1:20" ht="100" customHeight="1">
      <c r="A1453" s="26"/>
      <c r="B1453" s="42" t="str">
        <f t="shared" si="68"/>
        <v/>
      </c>
      <c r="C1453" s="43"/>
      <c r="D1453" s="51" t="str" cm="1">
        <f t="array" ref="D1453">IFERROR(INDEX(DB!G$2:G$2576,T1453),"")</f>
        <v/>
      </c>
      <c r="E1453" s="43"/>
      <c r="F1453" s="52" t="str" cm="1">
        <f t="array" ref="F1453">IFERROR(INDEX(DB!O$2:O$2576,T1453),"")</f>
        <v/>
      </c>
      <c r="G1453" s="43"/>
      <c r="H1453" s="40" t="str" cm="1">
        <f t="array" ref="H1453">IFERROR(INDEX(DB!P$2:P$2576,T1453),"")</f>
        <v/>
      </c>
      <c r="I1453" s="43"/>
      <c r="J1453" s="53" t="str" cm="1">
        <f t="array" ref="J1453">IFERROR(INDEX(DB!Q$2:Q$2576,T1453),"")</f>
        <v/>
      </c>
      <c r="K1453" s="43"/>
      <c r="L1453" s="41" t="str" cm="1">
        <f t="array" ref="L1453">IFERROR(INDEX(DB!R$2:R$2576,T1453),"")</f>
        <v/>
      </c>
      <c r="M1453" s="43"/>
      <c r="P1453" t="str" cm="1">
        <f t="array" ref="P1453">IFERROR(_xlfn.AGGREGATE(15,6,ROW(DB!A$2:A$2576)/((($D$3&lt;&gt;"YES")+($D$3="YES")*(DB!E$2:E$2576="YES"))*(($D$4="")+($D$4&lt;&gt;"")*( DB!B$2:B$2576=$D$4))*(($D$5="")+($D$5&lt;&gt;"")*( DB!C$2:C$2576=$D$5))*(($D$6="")+($D$6&lt;&gt;"")*( DB!D$2:D$2576=$D$6))*(($D$7="")+($D$7&lt;&gt;"")*(ISNUMBER(SEARCH($D$7,DB!G$2:G$2576))))*(($F$7="전체")+($F$7&lt;&gt;"전체")*(DB!H$2:H$2576=$F$7))),ROW()-13)-1,"")</f>
        <v/>
      </c>
      <c r="Q1453" t="str" cm="1">
        <f t="array" ref="Q1453">IFERROR(INDEX(DB!G$2:G$2576,P1453),"")</f>
        <v/>
      </c>
      <c r="R1453" t="str" cm="1">
        <f t="array" ref="R1453">IFERROR(INDEX(DB!O$2:O$2576,P1453),"")</f>
        <v/>
      </c>
      <c r="S1453" t="str">
        <f t="shared" si="69"/>
        <v/>
      </c>
      <c r="T1453" t="str">
        <f t="shared" si="70"/>
        <v/>
      </c>
    </row>
    <row r="1454" spans="1:20" ht="100" customHeight="1">
      <c r="A1454" s="26"/>
      <c r="B1454" s="39" t="str">
        <f t="shared" si="68"/>
        <v/>
      </c>
      <c r="C1454" s="43"/>
      <c r="D1454" s="51" t="str" cm="1">
        <f t="array" ref="D1454">IFERROR(INDEX(DB!G$2:G$2576,T1454),"")</f>
        <v/>
      </c>
      <c r="E1454" s="43"/>
      <c r="F1454" s="52" t="str" cm="1">
        <f t="array" ref="F1454">IFERROR(INDEX(DB!O$2:O$2576,T1454),"")</f>
        <v/>
      </c>
      <c r="G1454" s="43"/>
      <c r="H1454" s="40" t="str" cm="1">
        <f t="array" ref="H1454">IFERROR(INDEX(DB!P$2:P$2576,T1454),"")</f>
        <v/>
      </c>
      <c r="I1454" s="43"/>
      <c r="J1454" s="53" t="str" cm="1">
        <f t="array" ref="J1454">IFERROR(INDEX(DB!Q$2:Q$2576,T1454),"")</f>
        <v/>
      </c>
      <c r="K1454" s="43"/>
      <c r="L1454" s="41" t="str" cm="1">
        <f t="array" ref="L1454">IFERROR(INDEX(DB!R$2:R$2576,T1454),"")</f>
        <v/>
      </c>
      <c r="M1454" s="43"/>
      <c r="P1454" t="str" cm="1">
        <f t="array" ref="P1454">IFERROR(_xlfn.AGGREGATE(15,6,ROW(DB!A$2:A$2576)/((($D$3&lt;&gt;"YES")+($D$3="YES")*(DB!E$2:E$2576="YES"))*(($D$4="")+($D$4&lt;&gt;"")*( DB!B$2:B$2576=$D$4))*(($D$5="")+($D$5&lt;&gt;"")*( DB!C$2:C$2576=$D$5))*(($D$6="")+($D$6&lt;&gt;"")*( DB!D$2:D$2576=$D$6))*(($D$7="")+($D$7&lt;&gt;"")*(ISNUMBER(SEARCH($D$7,DB!G$2:G$2576))))*(($F$7="전체")+($F$7&lt;&gt;"전체")*(DB!H$2:H$2576=$F$7))),ROW()-13)-1,"")</f>
        <v/>
      </c>
      <c r="Q1454" t="str" cm="1">
        <f t="array" ref="Q1454">IFERROR(INDEX(DB!G$2:G$2576,P1454),"")</f>
        <v/>
      </c>
      <c r="R1454" t="str" cm="1">
        <f t="array" ref="R1454">IFERROR(INDEX(DB!O$2:O$2576,P1454),"")</f>
        <v/>
      </c>
      <c r="S1454" t="str">
        <f t="shared" si="69"/>
        <v/>
      </c>
      <c r="T1454" t="str">
        <f t="shared" si="70"/>
        <v/>
      </c>
    </row>
    <row r="1455" spans="1:20" ht="100" customHeight="1">
      <c r="A1455" s="26"/>
      <c r="B1455" s="42" t="str">
        <f t="shared" si="68"/>
        <v/>
      </c>
      <c r="C1455" s="43"/>
      <c r="D1455" s="51" t="str" cm="1">
        <f t="array" ref="D1455">IFERROR(INDEX(DB!G$2:G$2576,T1455),"")</f>
        <v/>
      </c>
      <c r="E1455" s="43"/>
      <c r="F1455" s="52" t="str" cm="1">
        <f t="array" ref="F1455">IFERROR(INDEX(DB!O$2:O$2576,T1455),"")</f>
        <v/>
      </c>
      <c r="G1455" s="43"/>
      <c r="H1455" s="40" t="str" cm="1">
        <f t="array" ref="H1455">IFERROR(INDEX(DB!P$2:P$2576,T1455),"")</f>
        <v/>
      </c>
      <c r="I1455" s="43"/>
      <c r="J1455" s="53" t="str" cm="1">
        <f t="array" ref="J1455">IFERROR(INDEX(DB!Q$2:Q$2576,T1455),"")</f>
        <v/>
      </c>
      <c r="K1455" s="43"/>
      <c r="L1455" s="41" t="str" cm="1">
        <f t="array" ref="L1455">IFERROR(INDEX(DB!R$2:R$2576,T1455),"")</f>
        <v/>
      </c>
      <c r="M1455" s="43"/>
      <c r="P1455" t="str" cm="1">
        <f t="array" ref="P1455">IFERROR(_xlfn.AGGREGATE(15,6,ROW(DB!A$2:A$2576)/((($D$3&lt;&gt;"YES")+($D$3="YES")*(DB!E$2:E$2576="YES"))*(($D$4="")+($D$4&lt;&gt;"")*( DB!B$2:B$2576=$D$4))*(($D$5="")+($D$5&lt;&gt;"")*( DB!C$2:C$2576=$D$5))*(($D$6="")+($D$6&lt;&gt;"")*( DB!D$2:D$2576=$D$6))*(($D$7="")+($D$7&lt;&gt;"")*(ISNUMBER(SEARCH($D$7,DB!G$2:G$2576))))*(($F$7="전체")+($F$7&lt;&gt;"전체")*(DB!H$2:H$2576=$F$7))),ROW()-13)-1,"")</f>
        <v/>
      </c>
      <c r="Q1455" t="str" cm="1">
        <f t="array" ref="Q1455">IFERROR(INDEX(DB!G$2:G$2576,P1455),"")</f>
        <v/>
      </c>
      <c r="R1455" t="str" cm="1">
        <f t="array" ref="R1455">IFERROR(INDEX(DB!O$2:O$2576,P1455),"")</f>
        <v/>
      </c>
      <c r="S1455" t="str">
        <f t="shared" si="69"/>
        <v/>
      </c>
      <c r="T1455" t="str">
        <f t="shared" si="70"/>
        <v/>
      </c>
    </row>
    <row r="1456" spans="1:20" ht="100" customHeight="1">
      <c r="A1456" s="26"/>
      <c r="B1456" s="39" t="str">
        <f t="shared" si="68"/>
        <v/>
      </c>
      <c r="C1456" s="43"/>
      <c r="D1456" s="51" t="str" cm="1">
        <f t="array" ref="D1456">IFERROR(INDEX(DB!G$2:G$2576,T1456),"")</f>
        <v/>
      </c>
      <c r="E1456" s="43"/>
      <c r="F1456" s="52" t="str" cm="1">
        <f t="array" ref="F1456">IFERROR(INDEX(DB!O$2:O$2576,T1456),"")</f>
        <v/>
      </c>
      <c r="G1456" s="43"/>
      <c r="H1456" s="40" t="str" cm="1">
        <f t="array" ref="H1456">IFERROR(INDEX(DB!P$2:P$2576,T1456),"")</f>
        <v/>
      </c>
      <c r="I1456" s="43"/>
      <c r="J1456" s="53" t="str" cm="1">
        <f t="array" ref="J1456">IFERROR(INDEX(DB!Q$2:Q$2576,T1456),"")</f>
        <v/>
      </c>
      <c r="K1456" s="43"/>
      <c r="L1456" s="41" t="str" cm="1">
        <f t="array" ref="L1456">IFERROR(INDEX(DB!R$2:R$2576,T1456),"")</f>
        <v/>
      </c>
      <c r="M1456" s="43"/>
      <c r="P1456" t="str" cm="1">
        <f t="array" ref="P1456">IFERROR(_xlfn.AGGREGATE(15,6,ROW(DB!A$2:A$2576)/((($D$3&lt;&gt;"YES")+($D$3="YES")*(DB!E$2:E$2576="YES"))*(($D$4="")+($D$4&lt;&gt;"")*( DB!B$2:B$2576=$D$4))*(($D$5="")+($D$5&lt;&gt;"")*( DB!C$2:C$2576=$D$5))*(($D$6="")+($D$6&lt;&gt;"")*( DB!D$2:D$2576=$D$6))*(($D$7="")+($D$7&lt;&gt;"")*(ISNUMBER(SEARCH($D$7,DB!G$2:G$2576))))*(($F$7="전체")+($F$7&lt;&gt;"전체")*(DB!H$2:H$2576=$F$7))),ROW()-13)-1,"")</f>
        <v/>
      </c>
      <c r="Q1456" t="str" cm="1">
        <f t="array" ref="Q1456">IFERROR(INDEX(DB!G$2:G$2576,P1456),"")</f>
        <v/>
      </c>
      <c r="R1456" t="str" cm="1">
        <f t="array" ref="R1456">IFERROR(INDEX(DB!O$2:O$2576,P1456),"")</f>
        <v/>
      </c>
      <c r="S1456" t="str">
        <f t="shared" si="69"/>
        <v/>
      </c>
      <c r="T1456" t="str">
        <f t="shared" si="70"/>
        <v/>
      </c>
    </row>
    <row r="1457" spans="1:20" ht="100" customHeight="1">
      <c r="A1457" s="26"/>
      <c r="B1457" s="42" t="str">
        <f t="shared" si="68"/>
        <v/>
      </c>
      <c r="C1457" s="43"/>
      <c r="D1457" s="51" t="str" cm="1">
        <f t="array" ref="D1457">IFERROR(INDEX(DB!G$2:G$2576,T1457),"")</f>
        <v/>
      </c>
      <c r="E1457" s="43"/>
      <c r="F1457" s="52" t="str" cm="1">
        <f t="array" ref="F1457">IFERROR(INDEX(DB!O$2:O$2576,T1457),"")</f>
        <v/>
      </c>
      <c r="G1457" s="43"/>
      <c r="H1457" s="40" t="str" cm="1">
        <f t="array" ref="H1457">IFERROR(INDEX(DB!P$2:P$2576,T1457),"")</f>
        <v/>
      </c>
      <c r="I1457" s="43"/>
      <c r="J1457" s="53" t="str" cm="1">
        <f t="array" ref="J1457">IFERROR(INDEX(DB!Q$2:Q$2576,T1457),"")</f>
        <v/>
      </c>
      <c r="K1457" s="43"/>
      <c r="L1457" s="41" t="str" cm="1">
        <f t="array" ref="L1457">IFERROR(INDEX(DB!R$2:R$2576,T1457),"")</f>
        <v/>
      </c>
      <c r="M1457" s="43"/>
      <c r="P1457" t="str" cm="1">
        <f t="array" ref="P1457">IFERROR(_xlfn.AGGREGATE(15,6,ROW(DB!A$2:A$2576)/((($D$3&lt;&gt;"YES")+($D$3="YES")*(DB!E$2:E$2576="YES"))*(($D$4="")+($D$4&lt;&gt;"")*( DB!B$2:B$2576=$D$4))*(($D$5="")+($D$5&lt;&gt;"")*( DB!C$2:C$2576=$D$5))*(($D$6="")+($D$6&lt;&gt;"")*( DB!D$2:D$2576=$D$6))*(($D$7="")+($D$7&lt;&gt;"")*(ISNUMBER(SEARCH($D$7,DB!G$2:G$2576))))*(($F$7="전체")+($F$7&lt;&gt;"전체")*(DB!H$2:H$2576=$F$7))),ROW()-13)-1,"")</f>
        <v/>
      </c>
      <c r="Q1457" t="str" cm="1">
        <f t="array" ref="Q1457">IFERROR(INDEX(DB!G$2:G$2576,P1457),"")</f>
        <v/>
      </c>
      <c r="R1457" t="str" cm="1">
        <f t="array" ref="R1457">IFERROR(INDEX(DB!O$2:O$2576,P1457),"")</f>
        <v/>
      </c>
      <c r="S1457" t="str">
        <f t="shared" si="69"/>
        <v/>
      </c>
      <c r="T1457" t="str">
        <f t="shared" si="70"/>
        <v/>
      </c>
    </row>
    <row r="1458" spans="1:20" ht="100" customHeight="1">
      <c r="A1458" s="26"/>
      <c r="B1458" s="39" t="str">
        <f t="shared" si="68"/>
        <v/>
      </c>
      <c r="C1458" s="43"/>
      <c r="D1458" s="51" t="str" cm="1">
        <f t="array" ref="D1458">IFERROR(INDEX(DB!G$2:G$2576,T1458),"")</f>
        <v/>
      </c>
      <c r="E1458" s="43"/>
      <c r="F1458" s="52" t="str" cm="1">
        <f t="array" ref="F1458">IFERROR(INDEX(DB!O$2:O$2576,T1458),"")</f>
        <v/>
      </c>
      <c r="G1458" s="43"/>
      <c r="H1458" s="40" t="str" cm="1">
        <f t="array" ref="H1458">IFERROR(INDEX(DB!P$2:P$2576,T1458),"")</f>
        <v/>
      </c>
      <c r="I1458" s="43"/>
      <c r="J1458" s="53" t="str" cm="1">
        <f t="array" ref="J1458">IFERROR(INDEX(DB!Q$2:Q$2576,T1458),"")</f>
        <v/>
      </c>
      <c r="K1458" s="43"/>
      <c r="L1458" s="41" t="str" cm="1">
        <f t="array" ref="L1458">IFERROR(INDEX(DB!R$2:R$2576,T1458),"")</f>
        <v/>
      </c>
      <c r="M1458" s="43"/>
      <c r="P1458" t="str" cm="1">
        <f t="array" ref="P1458">IFERROR(_xlfn.AGGREGATE(15,6,ROW(DB!A$2:A$2576)/((($D$3&lt;&gt;"YES")+($D$3="YES")*(DB!E$2:E$2576="YES"))*(($D$4="")+($D$4&lt;&gt;"")*( DB!B$2:B$2576=$D$4))*(($D$5="")+($D$5&lt;&gt;"")*( DB!C$2:C$2576=$D$5))*(($D$6="")+($D$6&lt;&gt;"")*( DB!D$2:D$2576=$D$6))*(($D$7="")+($D$7&lt;&gt;"")*(ISNUMBER(SEARCH($D$7,DB!G$2:G$2576))))*(($F$7="전체")+($F$7&lt;&gt;"전체")*(DB!H$2:H$2576=$F$7))),ROW()-13)-1,"")</f>
        <v/>
      </c>
      <c r="Q1458" t="str" cm="1">
        <f t="array" ref="Q1458">IFERROR(INDEX(DB!G$2:G$2576,P1458),"")</f>
        <v/>
      </c>
      <c r="R1458" t="str" cm="1">
        <f t="array" ref="R1458">IFERROR(INDEX(DB!O$2:O$2576,P1458),"")</f>
        <v/>
      </c>
      <c r="S1458" t="str">
        <f t="shared" si="69"/>
        <v/>
      </c>
      <c r="T1458" t="str">
        <f t="shared" si="70"/>
        <v/>
      </c>
    </row>
    <row r="1459" spans="1:20" ht="100" customHeight="1">
      <c r="A1459" s="26"/>
      <c r="B1459" s="42" t="str">
        <f t="shared" si="68"/>
        <v/>
      </c>
      <c r="C1459" s="43"/>
      <c r="D1459" s="51" t="str" cm="1">
        <f t="array" ref="D1459">IFERROR(INDEX(DB!G$2:G$2576,T1459),"")</f>
        <v/>
      </c>
      <c r="E1459" s="43"/>
      <c r="F1459" s="52" t="str" cm="1">
        <f t="array" ref="F1459">IFERROR(INDEX(DB!O$2:O$2576,T1459),"")</f>
        <v/>
      </c>
      <c r="G1459" s="43"/>
      <c r="H1459" s="40" t="str" cm="1">
        <f t="array" ref="H1459">IFERROR(INDEX(DB!P$2:P$2576,T1459),"")</f>
        <v/>
      </c>
      <c r="I1459" s="43"/>
      <c r="J1459" s="53" t="str" cm="1">
        <f t="array" ref="J1459">IFERROR(INDEX(DB!Q$2:Q$2576,T1459),"")</f>
        <v/>
      </c>
      <c r="K1459" s="43"/>
      <c r="L1459" s="41" t="str" cm="1">
        <f t="array" ref="L1459">IFERROR(INDEX(DB!R$2:R$2576,T1459),"")</f>
        <v/>
      </c>
      <c r="M1459" s="43"/>
      <c r="P1459" t="str" cm="1">
        <f t="array" ref="P1459">IFERROR(_xlfn.AGGREGATE(15,6,ROW(DB!A$2:A$2576)/((($D$3&lt;&gt;"YES")+($D$3="YES")*(DB!E$2:E$2576="YES"))*(($D$4="")+($D$4&lt;&gt;"")*( DB!B$2:B$2576=$D$4))*(($D$5="")+($D$5&lt;&gt;"")*( DB!C$2:C$2576=$D$5))*(($D$6="")+($D$6&lt;&gt;"")*( DB!D$2:D$2576=$D$6))*(($D$7="")+($D$7&lt;&gt;"")*(ISNUMBER(SEARCH($D$7,DB!G$2:G$2576))))*(($F$7="전체")+($F$7&lt;&gt;"전체")*(DB!H$2:H$2576=$F$7))),ROW()-13)-1,"")</f>
        <v/>
      </c>
      <c r="Q1459" t="str" cm="1">
        <f t="array" ref="Q1459">IFERROR(INDEX(DB!G$2:G$2576,P1459),"")</f>
        <v/>
      </c>
      <c r="R1459" t="str" cm="1">
        <f t="array" ref="R1459">IFERROR(INDEX(DB!O$2:O$2576,P1459),"")</f>
        <v/>
      </c>
      <c r="S1459" t="str">
        <f t="shared" si="69"/>
        <v/>
      </c>
      <c r="T1459" t="str">
        <f t="shared" si="70"/>
        <v/>
      </c>
    </row>
    <row r="1460" spans="1:20" ht="100" customHeight="1">
      <c r="A1460" s="26"/>
      <c r="B1460" s="39" t="str">
        <f t="shared" si="68"/>
        <v/>
      </c>
      <c r="C1460" s="43"/>
      <c r="D1460" s="51" t="str" cm="1">
        <f t="array" ref="D1460">IFERROR(INDEX(DB!G$2:G$2576,T1460),"")</f>
        <v/>
      </c>
      <c r="E1460" s="43"/>
      <c r="F1460" s="52" t="str" cm="1">
        <f t="array" ref="F1460">IFERROR(INDEX(DB!O$2:O$2576,T1460),"")</f>
        <v/>
      </c>
      <c r="G1460" s="43"/>
      <c r="H1460" s="40" t="str" cm="1">
        <f t="array" ref="H1460">IFERROR(INDEX(DB!P$2:P$2576,T1460),"")</f>
        <v/>
      </c>
      <c r="I1460" s="43"/>
      <c r="J1460" s="53" t="str" cm="1">
        <f t="array" ref="J1460">IFERROR(INDEX(DB!Q$2:Q$2576,T1460),"")</f>
        <v/>
      </c>
      <c r="K1460" s="43"/>
      <c r="L1460" s="41" t="str" cm="1">
        <f t="array" ref="L1460">IFERROR(INDEX(DB!R$2:R$2576,T1460),"")</f>
        <v/>
      </c>
      <c r="M1460" s="43"/>
      <c r="P1460" t="str" cm="1">
        <f t="array" ref="P1460">IFERROR(_xlfn.AGGREGATE(15,6,ROW(DB!A$2:A$2576)/((($D$3&lt;&gt;"YES")+($D$3="YES")*(DB!E$2:E$2576="YES"))*(($D$4="")+($D$4&lt;&gt;"")*( DB!B$2:B$2576=$D$4))*(($D$5="")+($D$5&lt;&gt;"")*( DB!C$2:C$2576=$D$5))*(($D$6="")+($D$6&lt;&gt;"")*( DB!D$2:D$2576=$D$6))*(($D$7="")+($D$7&lt;&gt;"")*(ISNUMBER(SEARCH($D$7,DB!G$2:G$2576))))*(($F$7="전체")+($F$7&lt;&gt;"전체")*(DB!H$2:H$2576=$F$7))),ROW()-13)-1,"")</f>
        <v/>
      </c>
      <c r="Q1460" t="str" cm="1">
        <f t="array" ref="Q1460">IFERROR(INDEX(DB!G$2:G$2576,P1460),"")</f>
        <v/>
      </c>
      <c r="R1460" t="str" cm="1">
        <f t="array" ref="R1460">IFERROR(INDEX(DB!O$2:O$2576,P1460),"")</f>
        <v/>
      </c>
      <c r="S1460" t="str">
        <f t="shared" si="69"/>
        <v/>
      </c>
      <c r="T1460" t="str">
        <f t="shared" si="70"/>
        <v/>
      </c>
    </row>
    <row r="1461" spans="1:20" ht="100" customHeight="1">
      <c r="A1461" s="26"/>
      <c r="B1461" s="42" t="str">
        <f t="shared" si="68"/>
        <v/>
      </c>
      <c r="C1461" s="43"/>
      <c r="D1461" s="51" t="str" cm="1">
        <f t="array" ref="D1461">IFERROR(INDEX(DB!G$2:G$2576,T1461),"")</f>
        <v/>
      </c>
      <c r="E1461" s="43"/>
      <c r="F1461" s="52" t="str" cm="1">
        <f t="array" ref="F1461">IFERROR(INDEX(DB!O$2:O$2576,T1461),"")</f>
        <v/>
      </c>
      <c r="G1461" s="43"/>
      <c r="H1461" s="40" t="str" cm="1">
        <f t="array" ref="H1461">IFERROR(INDEX(DB!P$2:P$2576,T1461),"")</f>
        <v/>
      </c>
      <c r="I1461" s="43"/>
      <c r="J1461" s="53" t="str" cm="1">
        <f t="array" ref="J1461">IFERROR(INDEX(DB!Q$2:Q$2576,T1461),"")</f>
        <v/>
      </c>
      <c r="K1461" s="43"/>
      <c r="L1461" s="41" t="str" cm="1">
        <f t="array" ref="L1461">IFERROR(INDEX(DB!R$2:R$2576,T1461),"")</f>
        <v/>
      </c>
      <c r="M1461" s="43"/>
      <c r="P1461" t="str" cm="1">
        <f t="array" ref="P1461">IFERROR(_xlfn.AGGREGATE(15,6,ROW(DB!A$2:A$2576)/((($D$3&lt;&gt;"YES")+($D$3="YES")*(DB!E$2:E$2576="YES"))*(($D$4="")+($D$4&lt;&gt;"")*( DB!B$2:B$2576=$D$4))*(($D$5="")+($D$5&lt;&gt;"")*( DB!C$2:C$2576=$D$5))*(($D$6="")+($D$6&lt;&gt;"")*( DB!D$2:D$2576=$D$6))*(($D$7="")+($D$7&lt;&gt;"")*(ISNUMBER(SEARCH($D$7,DB!G$2:G$2576))))*(($F$7="전체")+($F$7&lt;&gt;"전체")*(DB!H$2:H$2576=$F$7))),ROW()-13)-1,"")</f>
        <v/>
      </c>
      <c r="Q1461" t="str" cm="1">
        <f t="array" ref="Q1461">IFERROR(INDEX(DB!G$2:G$2576,P1461),"")</f>
        <v/>
      </c>
      <c r="R1461" t="str" cm="1">
        <f t="array" ref="R1461">IFERROR(INDEX(DB!O$2:O$2576,P1461),"")</f>
        <v/>
      </c>
      <c r="S1461" t="str">
        <f t="shared" si="69"/>
        <v/>
      </c>
      <c r="T1461" t="str">
        <f t="shared" si="70"/>
        <v/>
      </c>
    </row>
    <row r="1462" spans="1:20" ht="100" customHeight="1">
      <c r="A1462" s="26"/>
      <c r="B1462" s="39" t="str">
        <f t="shared" si="68"/>
        <v/>
      </c>
      <c r="C1462" s="43"/>
      <c r="D1462" s="51" t="str" cm="1">
        <f t="array" ref="D1462">IFERROR(INDEX(DB!G$2:G$2576,T1462),"")</f>
        <v/>
      </c>
      <c r="E1462" s="43"/>
      <c r="F1462" s="52" t="str" cm="1">
        <f t="array" ref="F1462">IFERROR(INDEX(DB!O$2:O$2576,T1462),"")</f>
        <v/>
      </c>
      <c r="G1462" s="43"/>
      <c r="H1462" s="40" t="str" cm="1">
        <f t="array" ref="H1462">IFERROR(INDEX(DB!P$2:P$2576,T1462),"")</f>
        <v/>
      </c>
      <c r="I1462" s="43"/>
      <c r="J1462" s="53" t="str" cm="1">
        <f t="array" ref="J1462">IFERROR(INDEX(DB!Q$2:Q$2576,T1462),"")</f>
        <v/>
      </c>
      <c r="K1462" s="43"/>
      <c r="L1462" s="41" t="str" cm="1">
        <f t="array" ref="L1462">IFERROR(INDEX(DB!R$2:R$2576,T1462),"")</f>
        <v/>
      </c>
      <c r="M1462" s="43"/>
      <c r="P1462" t="str" cm="1">
        <f t="array" ref="P1462">IFERROR(_xlfn.AGGREGATE(15,6,ROW(DB!A$2:A$2576)/((($D$3&lt;&gt;"YES")+($D$3="YES")*(DB!E$2:E$2576="YES"))*(($D$4="")+($D$4&lt;&gt;"")*( DB!B$2:B$2576=$D$4))*(($D$5="")+($D$5&lt;&gt;"")*( DB!C$2:C$2576=$D$5))*(($D$6="")+($D$6&lt;&gt;"")*( DB!D$2:D$2576=$D$6))*(($D$7="")+($D$7&lt;&gt;"")*(ISNUMBER(SEARCH($D$7,DB!G$2:G$2576))))*(($F$7="전체")+($F$7&lt;&gt;"전체")*(DB!H$2:H$2576=$F$7))),ROW()-13)-1,"")</f>
        <v/>
      </c>
      <c r="Q1462" t="str" cm="1">
        <f t="array" ref="Q1462">IFERROR(INDEX(DB!G$2:G$2576,P1462),"")</f>
        <v/>
      </c>
      <c r="R1462" t="str" cm="1">
        <f t="array" ref="R1462">IFERROR(INDEX(DB!O$2:O$2576,P1462),"")</f>
        <v/>
      </c>
      <c r="S1462" t="str">
        <f t="shared" si="69"/>
        <v/>
      </c>
      <c r="T1462" t="str">
        <f t="shared" si="70"/>
        <v/>
      </c>
    </row>
    <row r="1463" spans="1:20" ht="100" customHeight="1">
      <c r="A1463" s="26"/>
      <c r="B1463" s="42" t="str">
        <f t="shared" si="68"/>
        <v/>
      </c>
      <c r="C1463" s="43"/>
      <c r="D1463" s="51" t="str" cm="1">
        <f t="array" ref="D1463">IFERROR(INDEX(DB!G$2:G$2576,T1463),"")</f>
        <v/>
      </c>
      <c r="E1463" s="43"/>
      <c r="F1463" s="52" t="str" cm="1">
        <f t="array" ref="F1463">IFERROR(INDEX(DB!O$2:O$2576,T1463),"")</f>
        <v/>
      </c>
      <c r="G1463" s="43"/>
      <c r="H1463" s="40" t="str" cm="1">
        <f t="array" ref="H1463">IFERROR(INDEX(DB!P$2:P$2576,T1463),"")</f>
        <v/>
      </c>
      <c r="I1463" s="43"/>
      <c r="J1463" s="53" t="str" cm="1">
        <f t="array" ref="J1463">IFERROR(INDEX(DB!Q$2:Q$2576,T1463),"")</f>
        <v/>
      </c>
      <c r="K1463" s="43"/>
      <c r="L1463" s="41" t="str" cm="1">
        <f t="array" ref="L1463">IFERROR(INDEX(DB!R$2:R$2576,T1463),"")</f>
        <v/>
      </c>
      <c r="M1463" s="43"/>
      <c r="P1463" t="str" cm="1">
        <f t="array" ref="P1463">IFERROR(_xlfn.AGGREGATE(15,6,ROW(DB!A$2:A$2576)/((($D$3&lt;&gt;"YES")+($D$3="YES")*(DB!E$2:E$2576="YES"))*(($D$4="")+($D$4&lt;&gt;"")*( DB!B$2:B$2576=$D$4))*(($D$5="")+($D$5&lt;&gt;"")*( DB!C$2:C$2576=$D$5))*(($D$6="")+($D$6&lt;&gt;"")*( DB!D$2:D$2576=$D$6))*(($D$7="")+($D$7&lt;&gt;"")*(ISNUMBER(SEARCH($D$7,DB!G$2:G$2576))))*(($F$7="전체")+($F$7&lt;&gt;"전체")*(DB!H$2:H$2576=$F$7))),ROW()-13)-1,"")</f>
        <v/>
      </c>
      <c r="Q1463" t="str" cm="1">
        <f t="array" ref="Q1463">IFERROR(INDEX(DB!G$2:G$2576,P1463),"")</f>
        <v/>
      </c>
      <c r="R1463" t="str" cm="1">
        <f t="array" ref="R1463">IFERROR(INDEX(DB!O$2:O$2576,P1463),"")</f>
        <v/>
      </c>
      <c r="S1463" t="str">
        <f t="shared" si="69"/>
        <v/>
      </c>
      <c r="T1463" t="str">
        <f t="shared" si="70"/>
        <v/>
      </c>
    </row>
    <row r="1464" spans="1:20" ht="100" customHeight="1">
      <c r="A1464" s="26"/>
      <c r="B1464" s="39" t="str">
        <f t="shared" si="68"/>
        <v/>
      </c>
      <c r="C1464" s="43"/>
      <c r="D1464" s="51" t="str" cm="1">
        <f t="array" ref="D1464">IFERROR(INDEX(DB!G$2:G$2576,T1464),"")</f>
        <v/>
      </c>
      <c r="E1464" s="43"/>
      <c r="F1464" s="52" t="str" cm="1">
        <f t="array" ref="F1464">IFERROR(INDEX(DB!O$2:O$2576,T1464),"")</f>
        <v/>
      </c>
      <c r="G1464" s="43"/>
      <c r="H1464" s="40" t="str" cm="1">
        <f t="array" ref="H1464">IFERROR(INDEX(DB!P$2:P$2576,T1464),"")</f>
        <v/>
      </c>
      <c r="I1464" s="43"/>
      <c r="J1464" s="53" t="str" cm="1">
        <f t="array" ref="J1464">IFERROR(INDEX(DB!Q$2:Q$2576,T1464),"")</f>
        <v/>
      </c>
      <c r="K1464" s="43"/>
      <c r="L1464" s="41" t="str" cm="1">
        <f t="array" ref="L1464">IFERROR(INDEX(DB!R$2:R$2576,T1464),"")</f>
        <v/>
      </c>
      <c r="M1464" s="43"/>
      <c r="P1464" t="str" cm="1">
        <f t="array" ref="P1464">IFERROR(_xlfn.AGGREGATE(15,6,ROW(DB!A$2:A$2576)/((($D$3&lt;&gt;"YES")+($D$3="YES")*(DB!E$2:E$2576="YES"))*(($D$4="")+($D$4&lt;&gt;"")*( DB!B$2:B$2576=$D$4))*(($D$5="")+($D$5&lt;&gt;"")*( DB!C$2:C$2576=$D$5))*(($D$6="")+($D$6&lt;&gt;"")*( DB!D$2:D$2576=$D$6))*(($D$7="")+($D$7&lt;&gt;"")*(ISNUMBER(SEARCH($D$7,DB!G$2:G$2576))))*(($F$7="전체")+($F$7&lt;&gt;"전체")*(DB!H$2:H$2576=$F$7))),ROW()-13)-1,"")</f>
        <v/>
      </c>
      <c r="Q1464" t="str" cm="1">
        <f t="array" ref="Q1464">IFERROR(INDEX(DB!G$2:G$2576,P1464),"")</f>
        <v/>
      </c>
      <c r="R1464" t="str" cm="1">
        <f t="array" ref="R1464">IFERROR(INDEX(DB!O$2:O$2576,P1464),"")</f>
        <v/>
      </c>
      <c r="S1464" t="str">
        <f t="shared" si="69"/>
        <v/>
      </c>
      <c r="T1464" t="str">
        <f t="shared" si="70"/>
        <v/>
      </c>
    </row>
    <row r="1465" spans="1:20" ht="100" customHeight="1">
      <c r="A1465" s="26"/>
      <c r="B1465" s="42" t="str">
        <f t="shared" si="68"/>
        <v/>
      </c>
      <c r="C1465" s="43"/>
      <c r="D1465" s="51" t="str" cm="1">
        <f t="array" ref="D1465">IFERROR(INDEX(DB!G$2:G$2576,T1465),"")</f>
        <v/>
      </c>
      <c r="E1465" s="43"/>
      <c r="F1465" s="52" t="str" cm="1">
        <f t="array" ref="F1465">IFERROR(INDEX(DB!O$2:O$2576,T1465),"")</f>
        <v/>
      </c>
      <c r="G1465" s="43"/>
      <c r="H1465" s="40" t="str" cm="1">
        <f t="array" ref="H1465">IFERROR(INDEX(DB!P$2:P$2576,T1465),"")</f>
        <v/>
      </c>
      <c r="I1465" s="43"/>
      <c r="J1465" s="53" t="str" cm="1">
        <f t="array" ref="J1465">IFERROR(INDEX(DB!Q$2:Q$2576,T1465),"")</f>
        <v/>
      </c>
      <c r="K1465" s="43"/>
      <c r="L1465" s="41" t="str" cm="1">
        <f t="array" ref="L1465">IFERROR(INDEX(DB!R$2:R$2576,T1465),"")</f>
        <v/>
      </c>
      <c r="M1465" s="43"/>
      <c r="P1465" t="str" cm="1">
        <f t="array" ref="P1465">IFERROR(_xlfn.AGGREGATE(15,6,ROW(DB!A$2:A$2576)/((($D$3&lt;&gt;"YES")+($D$3="YES")*(DB!E$2:E$2576="YES"))*(($D$4="")+($D$4&lt;&gt;"")*( DB!B$2:B$2576=$D$4))*(($D$5="")+($D$5&lt;&gt;"")*( DB!C$2:C$2576=$D$5))*(($D$6="")+($D$6&lt;&gt;"")*( DB!D$2:D$2576=$D$6))*(($D$7="")+($D$7&lt;&gt;"")*(ISNUMBER(SEARCH($D$7,DB!G$2:G$2576))))*(($F$7="전체")+($F$7&lt;&gt;"전체")*(DB!H$2:H$2576=$F$7))),ROW()-13)-1,"")</f>
        <v/>
      </c>
      <c r="Q1465" t="str" cm="1">
        <f t="array" ref="Q1465">IFERROR(INDEX(DB!G$2:G$2576,P1465),"")</f>
        <v/>
      </c>
      <c r="R1465" t="str" cm="1">
        <f t="array" ref="R1465">IFERROR(INDEX(DB!O$2:O$2576,P1465),"")</f>
        <v/>
      </c>
      <c r="S1465" t="str">
        <f t="shared" si="69"/>
        <v/>
      </c>
      <c r="T1465" t="str">
        <f t="shared" si="70"/>
        <v/>
      </c>
    </row>
    <row r="1466" spans="1:20" ht="100" customHeight="1">
      <c r="A1466" s="26"/>
      <c r="B1466" s="39" t="str">
        <f t="shared" si="68"/>
        <v/>
      </c>
      <c r="C1466" s="43"/>
      <c r="D1466" s="51" t="str" cm="1">
        <f t="array" ref="D1466">IFERROR(INDEX(DB!G$2:G$2576,T1466),"")</f>
        <v/>
      </c>
      <c r="E1466" s="43"/>
      <c r="F1466" s="52" t="str" cm="1">
        <f t="array" ref="F1466">IFERROR(INDEX(DB!O$2:O$2576,T1466),"")</f>
        <v/>
      </c>
      <c r="G1466" s="43"/>
      <c r="H1466" s="40" t="str" cm="1">
        <f t="array" ref="H1466">IFERROR(INDEX(DB!P$2:P$2576,T1466),"")</f>
        <v/>
      </c>
      <c r="I1466" s="43"/>
      <c r="J1466" s="53" t="str" cm="1">
        <f t="array" ref="J1466">IFERROR(INDEX(DB!Q$2:Q$2576,T1466),"")</f>
        <v/>
      </c>
      <c r="K1466" s="43"/>
      <c r="L1466" s="41" t="str" cm="1">
        <f t="array" ref="L1466">IFERROR(INDEX(DB!R$2:R$2576,T1466),"")</f>
        <v/>
      </c>
      <c r="M1466" s="43"/>
      <c r="P1466" t="str" cm="1">
        <f t="array" ref="P1466">IFERROR(_xlfn.AGGREGATE(15,6,ROW(DB!A$2:A$2576)/((($D$3&lt;&gt;"YES")+($D$3="YES")*(DB!E$2:E$2576="YES"))*(($D$4="")+($D$4&lt;&gt;"")*( DB!B$2:B$2576=$D$4))*(($D$5="")+($D$5&lt;&gt;"")*( DB!C$2:C$2576=$D$5))*(($D$6="")+($D$6&lt;&gt;"")*( DB!D$2:D$2576=$D$6))*(($D$7="")+($D$7&lt;&gt;"")*(ISNUMBER(SEARCH($D$7,DB!G$2:G$2576))))*(($F$7="전체")+($F$7&lt;&gt;"전체")*(DB!H$2:H$2576=$F$7))),ROW()-13)-1,"")</f>
        <v/>
      </c>
      <c r="Q1466" t="str" cm="1">
        <f t="array" ref="Q1466">IFERROR(INDEX(DB!G$2:G$2576,P1466),"")</f>
        <v/>
      </c>
      <c r="R1466" t="str" cm="1">
        <f t="array" ref="R1466">IFERROR(INDEX(DB!O$2:O$2576,P1466),"")</f>
        <v/>
      </c>
      <c r="S1466" t="str">
        <f t="shared" si="69"/>
        <v/>
      </c>
      <c r="T1466" t="str">
        <f t="shared" si="70"/>
        <v/>
      </c>
    </row>
    <row r="1467" spans="1:20" ht="100" customHeight="1">
      <c r="A1467" s="26"/>
      <c r="B1467" s="42" t="str">
        <f t="shared" si="68"/>
        <v/>
      </c>
      <c r="C1467" s="43"/>
      <c r="D1467" s="51" t="str" cm="1">
        <f t="array" ref="D1467">IFERROR(INDEX(DB!G$2:G$2576,T1467),"")</f>
        <v/>
      </c>
      <c r="E1467" s="43"/>
      <c r="F1467" s="52" t="str" cm="1">
        <f t="array" ref="F1467">IFERROR(INDEX(DB!O$2:O$2576,T1467),"")</f>
        <v/>
      </c>
      <c r="G1467" s="43"/>
      <c r="H1467" s="40" t="str" cm="1">
        <f t="array" ref="H1467">IFERROR(INDEX(DB!P$2:P$2576,T1467),"")</f>
        <v/>
      </c>
      <c r="I1467" s="43"/>
      <c r="J1467" s="53" t="str" cm="1">
        <f t="array" ref="J1467">IFERROR(INDEX(DB!Q$2:Q$2576,T1467),"")</f>
        <v/>
      </c>
      <c r="K1467" s="43"/>
      <c r="L1467" s="41" t="str" cm="1">
        <f t="array" ref="L1467">IFERROR(INDEX(DB!R$2:R$2576,T1467),"")</f>
        <v/>
      </c>
      <c r="M1467" s="43"/>
      <c r="P1467" t="str" cm="1">
        <f t="array" ref="P1467">IFERROR(_xlfn.AGGREGATE(15,6,ROW(DB!A$2:A$2576)/((($D$3&lt;&gt;"YES")+($D$3="YES")*(DB!E$2:E$2576="YES"))*(($D$4="")+($D$4&lt;&gt;"")*( DB!B$2:B$2576=$D$4))*(($D$5="")+($D$5&lt;&gt;"")*( DB!C$2:C$2576=$D$5))*(($D$6="")+($D$6&lt;&gt;"")*( DB!D$2:D$2576=$D$6))*(($D$7="")+($D$7&lt;&gt;"")*(ISNUMBER(SEARCH($D$7,DB!G$2:G$2576))))*(($F$7="전체")+($F$7&lt;&gt;"전체")*(DB!H$2:H$2576=$F$7))),ROW()-13)-1,"")</f>
        <v/>
      </c>
      <c r="Q1467" t="str" cm="1">
        <f t="array" ref="Q1467">IFERROR(INDEX(DB!G$2:G$2576,P1467),"")</f>
        <v/>
      </c>
      <c r="R1467" t="str" cm="1">
        <f t="array" ref="R1467">IFERROR(INDEX(DB!O$2:O$2576,P1467),"")</f>
        <v/>
      </c>
      <c r="S1467" t="str">
        <f t="shared" si="69"/>
        <v/>
      </c>
      <c r="T1467" t="str">
        <f t="shared" si="70"/>
        <v/>
      </c>
    </row>
    <row r="1468" spans="1:20" ht="100" customHeight="1">
      <c r="A1468" s="26"/>
      <c r="B1468" s="39" t="str">
        <f t="shared" si="68"/>
        <v/>
      </c>
      <c r="C1468" s="43"/>
      <c r="D1468" s="51" t="str" cm="1">
        <f t="array" ref="D1468">IFERROR(INDEX(DB!G$2:G$2576,T1468),"")</f>
        <v/>
      </c>
      <c r="E1468" s="43"/>
      <c r="F1468" s="52" t="str" cm="1">
        <f t="array" ref="F1468">IFERROR(INDEX(DB!O$2:O$2576,T1468),"")</f>
        <v/>
      </c>
      <c r="G1468" s="43"/>
      <c r="H1468" s="40" t="str" cm="1">
        <f t="array" ref="H1468">IFERROR(INDEX(DB!P$2:P$2576,T1468),"")</f>
        <v/>
      </c>
      <c r="I1468" s="43"/>
      <c r="J1468" s="53" t="str" cm="1">
        <f t="array" ref="J1468">IFERROR(INDEX(DB!Q$2:Q$2576,T1468),"")</f>
        <v/>
      </c>
      <c r="K1468" s="43"/>
      <c r="L1468" s="41" t="str" cm="1">
        <f t="array" ref="L1468">IFERROR(INDEX(DB!R$2:R$2576,T1468),"")</f>
        <v/>
      </c>
      <c r="M1468" s="43"/>
      <c r="P1468" t="str" cm="1">
        <f t="array" ref="P1468">IFERROR(_xlfn.AGGREGATE(15,6,ROW(DB!A$2:A$2576)/((($D$3&lt;&gt;"YES")+($D$3="YES")*(DB!E$2:E$2576="YES"))*(($D$4="")+($D$4&lt;&gt;"")*( DB!B$2:B$2576=$D$4))*(($D$5="")+($D$5&lt;&gt;"")*( DB!C$2:C$2576=$D$5))*(($D$6="")+($D$6&lt;&gt;"")*( DB!D$2:D$2576=$D$6))*(($D$7="")+($D$7&lt;&gt;"")*(ISNUMBER(SEARCH($D$7,DB!G$2:G$2576))))*(($F$7="전체")+($F$7&lt;&gt;"전체")*(DB!H$2:H$2576=$F$7))),ROW()-13)-1,"")</f>
        <v/>
      </c>
      <c r="Q1468" t="str" cm="1">
        <f t="array" ref="Q1468">IFERROR(INDEX(DB!G$2:G$2576,P1468),"")</f>
        <v/>
      </c>
      <c r="R1468" t="str" cm="1">
        <f t="array" ref="R1468">IFERROR(INDEX(DB!O$2:O$2576,P1468),"")</f>
        <v/>
      </c>
      <c r="S1468" t="str">
        <f t="shared" si="69"/>
        <v/>
      </c>
      <c r="T1468" t="str">
        <f t="shared" si="70"/>
        <v/>
      </c>
    </row>
    <row r="1469" spans="1:20" ht="100" customHeight="1">
      <c r="A1469" s="26"/>
      <c r="B1469" s="42" t="str">
        <f t="shared" si="68"/>
        <v/>
      </c>
      <c r="C1469" s="43"/>
      <c r="D1469" s="51" t="str" cm="1">
        <f t="array" ref="D1469">IFERROR(INDEX(DB!G$2:G$2576,T1469),"")</f>
        <v/>
      </c>
      <c r="E1469" s="43"/>
      <c r="F1469" s="52" t="str" cm="1">
        <f t="array" ref="F1469">IFERROR(INDEX(DB!O$2:O$2576,T1469),"")</f>
        <v/>
      </c>
      <c r="G1469" s="43"/>
      <c r="H1469" s="40" t="str" cm="1">
        <f t="array" ref="H1469">IFERROR(INDEX(DB!P$2:P$2576,T1469),"")</f>
        <v/>
      </c>
      <c r="I1469" s="43"/>
      <c r="J1469" s="53" t="str" cm="1">
        <f t="array" ref="J1469">IFERROR(INDEX(DB!Q$2:Q$2576,T1469),"")</f>
        <v/>
      </c>
      <c r="K1469" s="43"/>
      <c r="L1469" s="41" t="str" cm="1">
        <f t="array" ref="L1469">IFERROR(INDEX(DB!R$2:R$2576,T1469),"")</f>
        <v/>
      </c>
      <c r="M1469" s="43"/>
      <c r="P1469" t="str" cm="1">
        <f t="array" ref="P1469">IFERROR(_xlfn.AGGREGATE(15,6,ROW(DB!A$2:A$2576)/((($D$3&lt;&gt;"YES")+($D$3="YES")*(DB!E$2:E$2576="YES"))*(($D$4="")+($D$4&lt;&gt;"")*( DB!B$2:B$2576=$D$4))*(($D$5="")+($D$5&lt;&gt;"")*( DB!C$2:C$2576=$D$5))*(($D$6="")+($D$6&lt;&gt;"")*( DB!D$2:D$2576=$D$6))*(($D$7="")+($D$7&lt;&gt;"")*(ISNUMBER(SEARCH($D$7,DB!G$2:G$2576))))*(($F$7="전체")+($F$7&lt;&gt;"전체")*(DB!H$2:H$2576=$F$7))),ROW()-13)-1,"")</f>
        <v/>
      </c>
      <c r="Q1469" t="str" cm="1">
        <f t="array" ref="Q1469">IFERROR(INDEX(DB!G$2:G$2576,P1469),"")</f>
        <v/>
      </c>
      <c r="R1469" t="str" cm="1">
        <f t="array" ref="R1469">IFERROR(INDEX(DB!O$2:O$2576,P1469),"")</f>
        <v/>
      </c>
      <c r="S1469" t="str">
        <f t="shared" si="69"/>
        <v/>
      </c>
      <c r="T1469" t="str">
        <f t="shared" si="70"/>
        <v/>
      </c>
    </row>
    <row r="1470" spans="1:20" ht="100" customHeight="1">
      <c r="A1470" s="26"/>
      <c r="B1470" s="39" t="str">
        <f t="shared" si="68"/>
        <v/>
      </c>
      <c r="C1470" s="43"/>
      <c r="D1470" s="51" t="str" cm="1">
        <f t="array" ref="D1470">IFERROR(INDEX(DB!G$2:G$2576,T1470),"")</f>
        <v/>
      </c>
      <c r="E1470" s="43"/>
      <c r="F1470" s="52" t="str" cm="1">
        <f t="array" ref="F1470">IFERROR(INDEX(DB!O$2:O$2576,T1470),"")</f>
        <v/>
      </c>
      <c r="G1470" s="43"/>
      <c r="H1470" s="40" t="str" cm="1">
        <f t="array" ref="H1470">IFERROR(INDEX(DB!P$2:P$2576,T1470),"")</f>
        <v/>
      </c>
      <c r="I1470" s="43"/>
      <c r="J1470" s="53" t="str" cm="1">
        <f t="array" ref="J1470">IFERROR(INDEX(DB!Q$2:Q$2576,T1470),"")</f>
        <v/>
      </c>
      <c r="K1470" s="43"/>
      <c r="L1470" s="41" t="str" cm="1">
        <f t="array" ref="L1470">IFERROR(INDEX(DB!R$2:R$2576,T1470),"")</f>
        <v/>
      </c>
      <c r="M1470" s="43"/>
      <c r="P1470" t="str" cm="1">
        <f t="array" ref="P1470">IFERROR(_xlfn.AGGREGATE(15,6,ROW(DB!A$2:A$2576)/((($D$3&lt;&gt;"YES")+($D$3="YES")*(DB!E$2:E$2576="YES"))*(($D$4="")+($D$4&lt;&gt;"")*( DB!B$2:B$2576=$D$4))*(($D$5="")+($D$5&lt;&gt;"")*( DB!C$2:C$2576=$D$5))*(($D$6="")+($D$6&lt;&gt;"")*( DB!D$2:D$2576=$D$6))*(($D$7="")+($D$7&lt;&gt;"")*(ISNUMBER(SEARCH($D$7,DB!G$2:G$2576))))*(($F$7="전체")+($F$7&lt;&gt;"전체")*(DB!H$2:H$2576=$F$7))),ROW()-13)-1,"")</f>
        <v/>
      </c>
      <c r="Q1470" t="str" cm="1">
        <f t="array" ref="Q1470">IFERROR(INDEX(DB!G$2:G$2576,P1470),"")</f>
        <v/>
      </c>
      <c r="R1470" t="str" cm="1">
        <f t="array" ref="R1470">IFERROR(INDEX(DB!O$2:O$2576,P1470),"")</f>
        <v/>
      </c>
      <c r="S1470" t="str">
        <f t="shared" si="69"/>
        <v/>
      </c>
      <c r="T1470" t="str">
        <f t="shared" si="70"/>
        <v/>
      </c>
    </row>
    <row r="1471" spans="1:20" ht="100" customHeight="1">
      <c r="A1471" s="26"/>
      <c r="B1471" s="42" t="str">
        <f t="shared" si="68"/>
        <v/>
      </c>
      <c r="C1471" s="43"/>
      <c r="D1471" s="51" t="str" cm="1">
        <f t="array" ref="D1471">IFERROR(INDEX(DB!G$2:G$2576,T1471),"")</f>
        <v/>
      </c>
      <c r="E1471" s="43"/>
      <c r="F1471" s="52" t="str" cm="1">
        <f t="array" ref="F1471">IFERROR(INDEX(DB!O$2:O$2576,T1471),"")</f>
        <v/>
      </c>
      <c r="G1471" s="43"/>
      <c r="H1471" s="40" t="str" cm="1">
        <f t="array" ref="H1471">IFERROR(INDEX(DB!P$2:P$2576,T1471),"")</f>
        <v/>
      </c>
      <c r="I1471" s="43"/>
      <c r="J1471" s="53" t="str" cm="1">
        <f t="array" ref="J1471">IFERROR(INDEX(DB!Q$2:Q$2576,T1471),"")</f>
        <v/>
      </c>
      <c r="K1471" s="43"/>
      <c r="L1471" s="41" t="str" cm="1">
        <f t="array" ref="L1471">IFERROR(INDEX(DB!R$2:R$2576,T1471),"")</f>
        <v/>
      </c>
      <c r="M1471" s="43"/>
      <c r="P1471" t="str" cm="1">
        <f t="array" ref="P1471">IFERROR(_xlfn.AGGREGATE(15,6,ROW(DB!A$2:A$2576)/((($D$3&lt;&gt;"YES")+($D$3="YES")*(DB!E$2:E$2576="YES"))*(($D$4="")+($D$4&lt;&gt;"")*( DB!B$2:B$2576=$D$4))*(($D$5="")+($D$5&lt;&gt;"")*( DB!C$2:C$2576=$D$5))*(($D$6="")+($D$6&lt;&gt;"")*( DB!D$2:D$2576=$D$6))*(($D$7="")+($D$7&lt;&gt;"")*(ISNUMBER(SEARCH($D$7,DB!G$2:G$2576))))*(($F$7="전체")+($F$7&lt;&gt;"전체")*(DB!H$2:H$2576=$F$7))),ROW()-13)-1,"")</f>
        <v/>
      </c>
      <c r="Q1471" t="str" cm="1">
        <f t="array" ref="Q1471">IFERROR(INDEX(DB!G$2:G$2576,P1471),"")</f>
        <v/>
      </c>
      <c r="R1471" t="str" cm="1">
        <f t="array" ref="R1471">IFERROR(INDEX(DB!O$2:O$2576,P1471),"")</f>
        <v/>
      </c>
      <c r="S1471" t="str">
        <f t="shared" si="69"/>
        <v/>
      </c>
      <c r="T1471" t="str">
        <f t="shared" si="70"/>
        <v/>
      </c>
    </row>
    <row r="1472" spans="1:20" ht="100" customHeight="1">
      <c r="A1472" s="26"/>
      <c r="B1472" s="39" t="str">
        <f t="shared" si="68"/>
        <v/>
      </c>
      <c r="C1472" s="43"/>
      <c r="D1472" s="51" t="str" cm="1">
        <f t="array" ref="D1472">IFERROR(INDEX(DB!G$2:G$2576,T1472),"")</f>
        <v/>
      </c>
      <c r="E1472" s="43"/>
      <c r="F1472" s="52" t="str" cm="1">
        <f t="array" ref="F1472">IFERROR(INDEX(DB!O$2:O$2576,T1472),"")</f>
        <v/>
      </c>
      <c r="G1472" s="43"/>
      <c r="H1472" s="40" t="str" cm="1">
        <f t="array" ref="H1472">IFERROR(INDEX(DB!P$2:P$2576,T1472),"")</f>
        <v/>
      </c>
      <c r="I1472" s="43"/>
      <c r="J1472" s="53" t="str" cm="1">
        <f t="array" ref="J1472">IFERROR(INDEX(DB!Q$2:Q$2576,T1472),"")</f>
        <v/>
      </c>
      <c r="K1472" s="43"/>
      <c r="L1472" s="41" t="str" cm="1">
        <f t="array" ref="L1472">IFERROR(INDEX(DB!R$2:R$2576,T1472),"")</f>
        <v/>
      </c>
      <c r="M1472" s="43"/>
      <c r="P1472" t="str" cm="1">
        <f t="array" ref="P1472">IFERROR(_xlfn.AGGREGATE(15,6,ROW(DB!A$2:A$2576)/((($D$3&lt;&gt;"YES")+($D$3="YES")*(DB!E$2:E$2576="YES"))*(($D$4="")+($D$4&lt;&gt;"")*( DB!B$2:B$2576=$D$4))*(($D$5="")+($D$5&lt;&gt;"")*( DB!C$2:C$2576=$D$5))*(($D$6="")+($D$6&lt;&gt;"")*( DB!D$2:D$2576=$D$6))*(($D$7="")+($D$7&lt;&gt;"")*(ISNUMBER(SEARCH($D$7,DB!G$2:G$2576))))*(($F$7="전체")+($F$7&lt;&gt;"전체")*(DB!H$2:H$2576=$F$7))),ROW()-13)-1,"")</f>
        <v/>
      </c>
      <c r="Q1472" t="str" cm="1">
        <f t="array" ref="Q1472">IFERROR(INDEX(DB!G$2:G$2576,P1472),"")</f>
        <v/>
      </c>
      <c r="R1472" t="str" cm="1">
        <f t="array" ref="R1472">IFERROR(INDEX(DB!O$2:O$2576,P1472),"")</f>
        <v/>
      </c>
      <c r="S1472" t="str">
        <f t="shared" si="69"/>
        <v/>
      </c>
      <c r="T1472" t="str">
        <f t="shared" si="70"/>
        <v/>
      </c>
    </row>
    <row r="1473" spans="1:20" ht="100" customHeight="1">
      <c r="A1473" s="26"/>
      <c r="B1473" s="42" t="str">
        <f t="shared" si="68"/>
        <v/>
      </c>
      <c r="C1473" s="43"/>
      <c r="D1473" s="51" t="str" cm="1">
        <f t="array" ref="D1473">IFERROR(INDEX(DB!G$2:G$2576,T1473),"")</f>
        <v/>
      </c>
      <c r="E1473" s="43"/>
      <c r="F1473" s="52" t="str" cm="1">
        <f t="array" ref="F1473">IFERROR(INDEX(DB!O$2:O$2576,T1473),"")</f>
        <v/>
      </c>
      <c r="G1473" s="43"/>
      <c r="H1473" s="40" t="str" cm="1">
        <f t="array" ref="H1473">IFERROR(INDEX(DB!P$2:P$2576,T1473),"")</f>
        <v/>
      </c>
      <c r="I1473" s="43"/>
      <c r="J1473" s="53" t="str" cm="1">
        <f t="array" ref="J1473">IFERROR(INDEX(DB!Q$2:Q$2576,T1473),"")</f>
        <v/>
      </c>
      <c r="K1473" s="43"/>
      <c r="L1473" s="41" t="str" cm="1">
        <f t="array" ref="L1473">IFERROR(INDEX(DB!R$2:R$2576,T1473),"")</f>
        <v/>
      </c>
      <c r="M1473" s="43"/>
      <c r="P1473" t="str" cm="1">
        <f t="array" ref="P1473">IFERROR(_xlfn.AGGREGATE(15,6,ROW(DB!A$2:A$2576)/((($D$3&lt;&gt;"YES")+($D$3="YES")*(DB!E$2:E$2576="YES"))*(($D$4="")+($D$4&lt;&gt;"")*( DB!B$2:B$2576=$D$4))*(($D$5="")+($D$5&lt;&gt;"")*( DB!C$2:C$2576=$D$5))*(($D$6="")+($D$6&lt;&gt;"")*( DB!D$2:D$2576=$D$6))*(($D$7="")+($D$7&lt;&gt;"")*(ISNUMBER(SEARCH($D$7,DB!G$2:G$2576))))*(($F$7="전체")+($F$7&lt;&gt;"전체")*(DB!H$2:H$2576=$F$7))),ROW()-13)-1,"")</f>
        <v/>
      </c>
      <c r="Q1473" t="str" cm="1">
        <f t="array" ref="Q1473">IFERROR(INDEX(DB!G$2:G$2576,P1473),"")</f>
        <v/>
      </c>
      <c r="R1473" t="str" cm="1">
        <f t="array" ref="R1473">IFERROR(INDEX(DB!O$2:O$2576,P1473),"")</f>
        <v/>
      </c>
      <c r="S1473" t="str">
        <f t="shared" si="69"/>
        <v/>
      </c>
      <c r="T1473" t="str">
        <f t="shared" si="70"/>
        <v/>
      </c>
    </row>
    <row r="1474" spans="1:20" ht="100" customHeight="1">
      <c r="A1474" s="26"/>
      <c r="B1474" s="39" t="str">
        <f t="shared" si="68"/>
        <v/>
      </c>
      <c r="C1474" s="43"/>
      <c r="D1474" s="51" t="str" cm="1">
        <f t="array" ref="D1474">IFERROR(INDEX(DB!G$2:G$2576,T1474),"")</f>
        <v/>
      </c>
      <c r="E1474" s="43"/>
      <c r="F1474" s="52" t="str" cm="1">
        <f t="array" ref="F1474">IFERROR(INDEX(DB!O$2:O$2576,T1474),"")</f>
        <v/>
      </c>
      <c r="G1474" s="43"/>
      <c r="H1474" s="40" t="str" cm="1">
        <f t="array" ref="H1474">IFERROR(INDEX(DB!P$2:P$2576,T1474),"")</f>
        <v/>
      </c>
      <c r="I1474" s="43"/>
      <c r="J1474" s="53" t="str" cm="1">
        <f t="array" ref="J1474">IFERROR(INDEX(DB!Q$2:Q$2576,T1474),"")</f>
        <v/>
      </c>
      <c r="K1474" s="43"/>
      <c r="L1474" s="41" t="str" cm="1">
        <f t="array" ref="L1474">IFERROR(INDEX(DB!R$2:R$2576,T1474),"")</f>
        <v/>
      </c>
      <c r="M1474" s="43"/>
      <c r="P1474" t="str" cm="1">
        <f t="array" ref="P1474">IFERROR(_xlfn.AGGREGATE(15,6,ROW(DB!A$2:A$2576)/((($D$3&lt;&gt;"YES")+($D$3="YES")*(DB!E$2:E$2576="YES"))*(($D$4="")+($D$4&lt;&gt;"")*( DB!B$2:B$2576=$D$4))*(($D$5="")+($D$5&lt;&gt;"")*( DB!C$2:C$2576=$D$5))*(($D$6="")+($D$6&lt;&gt;"")*( DB!D$2:D$2576=$D$6))*(($D$7="")+($D$7&lt;&gt;"")*(ISNUMBER(SEARCH($D$7,DB!G$2:G$2576))))*(($F$7="전체")+($F$7&lt;&gt;"전체")*(DB!H$2:H$2576=$F$7))),ROW()-13)-1,"")</f>
        <v/>
      </c>
      <c r="Q1474" t="str" cm="1">
        <f t="array" ref="Q1474">IFERROR(INDEX(DB!G$2:G$2576,P1474),"")</f>
        <v/>
      </c>
      <c r="R1474" t="str" cm="1">
        <f t="array" ref="R1474">IFERROR(INDEX(DB!O$2:O$2576,P1474),"")</f>
        <v/>
      </c>
      <c r="S1474" t="str">
        <f t="shared" si="69"/>
        <v/>
      </c>
      <c r="T1474" t="str">
        <f t="shared" si="70"/>
        <v/>
      </c>
    </row>
    <row r="1475" spans="1:20" ht="100" customHeight="1">
      <c r="A1475" s="26"/>
      <c r="B1475" s="42" t="str">
        <f t="shared" si="68"/>
        <v/>
      </c>
      <c r="C1475" s="43"/>
      <c r="D1475" s="51" t="str" cm="1">
        <f t="array" ref="D1475">IFERROR(INDEX(DB!G$2:G$2576,T1475),"")</f>
        <v/>
      </c>
      <c r="E1475" s="43"/>
      <c r="F1475" s="52" t="str" cm="1">
        <f t="array" ref="F1475">IFERROR(INDEX(DB!O$2:O$2576,T1475),"")</f>
        <v/>
      </c>
      <c r="G1475" s="43"/>
      <c r="H1475" s="40" t="str" cm="1">
        <f t="array" ref="H1475">IFERROR(INDEX(DB!P$2:P$2576,T1475),"")</f>
        <v/>
      </c>
      <c r="I1475" s="43"/>
      <c r="J1475" s="53" t="str" cm="1">
        <f t="array" ref="J1475">IFERROR(INDEX(DB!Q$2:Q$2576,T1475),"")</f>
        <v/>
      </c>
      <c r="K1475" s="43"/>
      <c r="L1475" s="41" t="str" cm="1">
        <f t="array" ref="L1475">IFERROR(INDEX(DB!R$2:R$2576,T1475),"")</f>
        <v/>
      </c>
      <c r="M1475" s="43"/>
      <c r="P1475" t="str" cm="1">
        <f t="array" ref="P1475">IFERROR(_xlfn.AGGREGATE(15,6,ROW(DB!A$2:A$2576)/((($D$3&lt;&gt;"YES")+($D$3="YES")*(DB!E$2:E$2576="YES"))*(($D$4="")+($D$4&lt;&gt;"")*( DB!B$2:B$2576=$D$4))*(($D$5="")+($D$5&lt;&gt;"")*( DB!C$2:C$2576=$D$5))*(($D$6="")+($D$6&lt;&gt;"")*( DB!D$2:D$2576=$D$6))*(($D$7="")+($D$7&lt;&gt;"")*(ISNUMBER(SEARCH($D$7,DB!G$2:G$2576))))*(($F$7="전체")+($F$7&lt;&gt;"전체")*(DB!H$2:H$2576=$F$7))),ROW()-13)-1,"")</f>
        <v/>
      </c>
      <c r="Q1475" t="str" cm="1">
        <f t="array" ref="Q1475">IFERROR(INDEX(DB!G$2:G$2576,P1475),"")</f>
        <v/>
      </c>
      <c r="R1475" t="str" cm="1">
        <f t="array" ref="R1475">IFERROR(INDEX(DB!O$2:O$2576,P1475),"")</f>
        <v/>
      </c>
      <c r="S1475" t="str">
        <f t="shared" si="69"/>
        <v/>
      </c>
      <c r="T1475" t="str">
        <f t="shared" si="70"/>
        <v/>
      </c>
    </row>
    <row r="1476" spans="1:20" ht="100" customHeight="1">
      <c r="A1476" s="26"/>
      <c r="B1476" s="39" t="str">
        <f t="shared" si="68"/>
        <v/>
      </c>
      <c r="C1476" s="43"/>
      <c r="D1476" s="51" t="str" cm="1">
        <f t="array" ref="D1476">IFERROR(INDEX(DB!G$2:G$2576,T1476),"")</f>
        <v/>
      </c>
      <c r="E1476" s="43"/>
      <c r="F1476" s="52" t="str" cm="1">
        <f t="array" ref="F1476">IFERROR(INDEX(DB!O$2:O$2576,T1476),"")</f>
        <v/>
      </c>
      <c r="G1476" s="43"/>
      <c r="H1476" s="40" t="str" cm="1">
        <f t="array" ref="H1476">IFERROR(INDEX(DB!P$2:P$2576,T1476),"")</f>
        <v/>
      </c>
      <c r="I1476" s="43"/>
      <c r="J1476" s="53" t="str" cm="1">
        <f t="array" ref="J1476">IFERROR(INDEX(DB!Q$2:Q$2576,T1476),"")</f>
        <v/>
      </c>
      <c r="K1476" s="43"/>
      <c r="L1476" s="41" t="str" cm="1">
        <f t="array" ref="L1476">IFERROR(INDEX(DB!R$2:R$2576,T1476),"")</f>
        <v/>
      </c>
      <c r="M1476" s="43"/>
      <c r="P1476" t="str" cm="1">
        <f t="array" ref="P1476">IFERROR(_xlfn.AGGREGATE(15,6,ROW(DB!A$2:A$2576)/((($D$3&lt;&gt;"YES")+($D$3="YES")*(DB!E$2:E$2576="YES"))*(($D$4="")+($D$4&lt;&gt;"")*( DB!B$2:B$2576=$D$4))*(($D$5="")+($D$5&lt;&gt;"")*( DB!C$2:C$2576=$D$5))*(($D$6="")+($D$6&lt;&gt;"")*( DB!D$2:D$2576=$D$6))*(($D$7="")+($D$7&lt;&gt;"")*(ISNUMBER(SEARCH($D$7,DB!G$2:G$2576))))*(($F$7="전체")+($F$7&lt;&gt;"전체")*(DB!H$2:H$2576=$F$7))),ROW()-13)-1,"")</f>
        <v/>
      </c>
      <c r="Q1476" t="str" cm="1">
        <f t="array" ref="Q1476">IFERROR(INDEX(DB!G$2:G$2576,P1476),"")</f>
        <v/>
      </c>
      <c r="R1476" t="str" cm="1">
        <f t="array" ref="R1476">IFERROR(INDEX(DB!O$2:O$2576,P1476),"")</f>
        <v/>
      </c>
      <c r="S1476" t="str">
        <f t="shared" si="69"/>
        <v/>
      </c>
      <c r="T1476" t="str">
        <f t="shared" si="70"/>
        <v/>
      </c>
    </row>
    <row r="1477" spans="1:20" ht="100" customHeight="1">
      <c r="A1477" s="26"/>
      <c r="B1477" s="42" t="str">
        <f t="shared" si="68"/>
        <v/>
      </c>
      <c r="C1477" s="43"/>
      <c r="D1477" s="51" t="str" cm="1">
        <f t="array" ref="D1477">IFERROR(INDEX(DB!G$2:G$2576,T1477),"")</f>
        <v/>
      </c>
      <c r="E1477" s="43"/>
      <c r="F1477" s="52" t="str" cm="1">
        <f t="array" ref="F1477">IFERROR(INDEX(DB!O$2:O$2576,T1477),"")</f>
        <v/>
      </c>
      <c r="G1477" s="43"/>
      <c r="H1477" s="40" t="str" cm="1">
        <f t="array" ref="H1477">IFERROR(INDEX(DB!P$2:P$2576,T1477),"")</f>
        <v/>
      </c>
      <c r="I1477" s="43"/>
      <c r="J1477" s="53" t="str" cm="1">
        <f t="array" ref="J1477">IFERROR(INDEX(DB!Q$2:Q$2576,T1477),"")</f>
        <v/>
      </c>
      <c r="K1477" s="43"/>
      <c r="L1477" s="41" t="str" cm="1">
        <f t="array" ref="L1477">IFERROR(INDEX(DB!R$2:R$2576,T1477),"")</f>
        <v/>
      </c>
      <c r="M1477" s="43"/>
      <c r="P1477" t="str" cm="1">
        <f t="array" ref="P1477">IFERROR(_xlfn.AGGREGATE(15,6,ROW(DB!A$2:A$2576)/((($D$3&lt;&gt;"YES")+($D$3="YES")*(DB!E$2:E$2576="YES"))*(($D$4="")+($D$4&lt;&gt;"")*( DB!B$2:B$2576=$D$4))*(($D$5="")+($D$5&lt;&gt;"")*( DB!C$2:C$2576=$D$5))*(($D$6="")+($D$6&lt;&gt;"")*( DB!D$2:D$2576=$D$6))*(($D$7="")+($D$7&lt;&gt;"")*(ISNUMBER(SEARCH($D$7,DB!G$2:G$2576))))*(($F$7="전체")+($F$7&lt;&gt;"전체")*(DB!H$2:H$2576=$F$7))),ROW()-13)-1,"")</f>
        <v/>
      </c>
      <c r="Q1477" t="str" cm="1">
        <f t="array" ref="Q1477">IFERROR(INDEX(DB!G$2:G$2576,P1477),"")</f>
        <v/>
      </c>
      <c r="R1477" t="str" cm="1">
        <f t="array" ref="R1477">IFERROR(INDEX(DB!O$2:O$2576,P1477),"")</f>
        <v/>
      </c>
      <c r="S1477" t="str">
        <f t="shared" si="69"/>
        <v/>
      </c>
      <c r="T1477" t="str">
        <f t="shared" si="70"/>
        <v/>
      </c>
    </row>
    <row r="1478" spans="1:20" ht="100" customHeight="1">
      <c r="A1478" s="26"/>
      <c r="B1478" s="39" t="str">
        <f t="shared" si="68"/>
        <v/>
      </c>
      <c r="C1478" s="43"/>
      <c r="D1478" s="51" t="str" cm="1">
        <f t="array" ref="D1478">IFERROR(INDEX(DB!G$2:G$2576,T1478),"")</f>
        <v/>
      </c>
      <c r="E1478" s="43"/>
      <c r="F1478" s="52" t="str" cm="1">
        <f t="array" ref="F1478">IFERROR(INDEX(DB!O$2:O$2576,T1478),"")</f>
        <v/>
      </c>
      <c r="G1478" s="43"/>
      <c r="H1478" s="40" t="str" cm="1">
        <f t="array" ref="H1478">IFERROR(INDEX(DB!P$2:P$2576,T1478),"")</f>
        <v/>
      </c>
      <c r="I1478" s="43"/>
      <c r="J1478" s="53" t="str" cm="1">
        <f t="array" ref="J1478">IFERROR(INDEX(DB!Q$2:Q$2576,T1478),"")</f>
        <v/>
      </c>
      <c r="K1478" s="43"/>
      <c r="L1478" s="41" t="str" cm="1">
        <f t="array" ref="L1478">IFERROR(INDEX(DB!R$2:R$2576,T1478),"")</f>
        <v/>
      </c>
      <c r="M1478" s="43"/>
      <c r="P1478" t="str" cm="1">
        <f t="array" ref="P1478">IFERROR(_xlfn.AGGREGATE(15,6,ROW(DB!A$2:A$2576)/((($D$3&lt;&gt;"YES")+($D$3="YES")*(DB!E$2:E$2576="YES"))*(($D$4="")+($D$4&lt;&gt;"")*( DB!B$2:B$2576=$D$4))*(($D$5="")+($D$5&lt;&gt;"")*( DB!C$2:C$2576=$D$5))*(($D$6="")+($D$6&lt;&gt;"")*( DB!D$2:D$2576=$D$6))*(($D$7="")+($D$7&lt;&gt;"")*(ISNUMBER(SEARCH($D$7,DB!G$2:G$2576))))*(($F$7="전체")+($F$7&lt;&gt;"전체")*(DB!H$2:H$2576=$F$7))),ROW()-13)-1,"")</f>
        <v/>
      </c>
      <c r="Q1478" t="str" cm="1">
        <f t="array" ref="Q1478">IFERROR(INDEX(DB!G$2:G$2576,P1478),"")</f>
        <v/>
      </c>
      <c r="R1478" t="str" cm="1">
        <f t="array" ref="R1478">IFERROR(INDEX(DB!O$2:O$2576,P1478),"")</f>
        <v/>
      </c>
      <c r="S1478" t="str">
        <f t="shared" si="69"/>
        <v/>
      </c>
      <c r="T1478" t="str">
        <f t="shared" si="70"/>
        <v/>
      </c>
    </row>
    <row r="1479" spans="1:20" ht="100" customHeight="1">
      <c r="A1479" s="26"/>
      <c r="B1479" s="42" t="str">
        <f t="shared" si="68"/>
        <v/>
      </c>
      <c r="C1479" s="43"/>
      <c r="D1479" s="51" t="str" cm="1">
        <f t="array" ref="D1479">IFERROR(INDEX(DB!G$2:G$2576,T1479),"")</f>
        <v/>
      </c>
      <c r="E1479" s="43"/>
      <c r="F1479" s="52" t="str" cm="1">
        <f t="array" ref="F1479">IFERROR(INDEX(DB!O$2:O$2576,T1479),"")</f>
        <v/>
      </c>
      <c r="G1479" s="43"/>
      <c r="H1479" s="40" t="str" cm="1">
        <f t="array" ref="H1479">IFERROR(INDEX(DB!P$2:P$2576,T1479),"")</f>
        <v/>
      </c>
      <c r="I1479" s="43"/>
      <c r="J1479" s="53" t="str" cm="1">
        <f t="array" ref="J1479">IFERROR(INDEX(DB!Q$2:Q$2576,T1479),"")</f>
        <v/>
      </c>
      <c r="K1479" s="43"/>
      <c r="L1479" s="41" t="str" cm="1">
        <f t="array" ref="L1479">IFERROR(INDEX(DB!R$2:R$2576,T1479),"")</f>
        <v/>
      </c>
      <c r="M1479" s="43"/>
      <c r="P1479" t="str" cm="1">
        <f t="array" ref="P1479">IFERROR(_xlfn.AGGREGATE(15,6,ROW(DB!A$2:A$2576)/((($D$3&lt;&gt;"YES")+($D$3="YES")*(DB!E$2:E$2576="YES"))*(($D$4="")+($D$4&lt;&gt;"")*( DB!B$2:B$2576=$D$4))*(($D$5="")+($D$5&lt;&gt;"")*( DB!C$2:C$2576=$D$5))*(($D$6="")+($D$6&lt;&gt;"")*( DB!D$2:D$2576=$D$6))*(($D$7="")+($D$7&lt;&gt;"")*(ISNUMBER(SEARCH($D$7,DB!G$2:G$2576))))*(($F$7="전체")+($F$7&lt;&gt;"전체")*(DB!H$2:H$2576=$F$7))),ROW()-13)-1,"")</f>
        <v/>
      </c>
      <c r="Q1479" t="str" cm="1">
        <f t="array" ref="Q1479">IFERROR(INDEX(DB!G$2:G$2576,P1479),"")</f>
        <v/>
      </c>
      <c r="R1479" t="str" cm="1">
        <f t="array" ref="R1479">IFERROR(INDEX(DB!O$2:O$2576,P1479),"")</f>
        <v/>
      </c>
      <c r="S1479" t="str">
        <f t="shared" si="69"/>
        <v/>
      </c>
      <c r="T1479" t="str">
        <f t="shared" si="70"/>
        <v/>
      </c>
    </row>
    <row r="1480" spans="1:20" ht="100" customHeight="1">
      <c r="A1480" s="26"/>
      <c r="B1480" s="39" t="str">
        <f t="shared" si="68"/>
        <v/>
      </c>
      <c r="C1480" s="43"/>
      <c r="D1480" s="51" t="str" cm="1">
        <f t="array" ref="D1480">IFERROR(INDEX(DB!G$2:G$2576,T1480),"")</f>
        <v/>
      </c>
      <c r="E1480" s="43"/>
      <c r="F1480" s="52" t="str" cm="1">
        <f t="array" ref="F1480">IFERROR(INDEX(DB!O$2:O$2576,T1480),"")</f>
        <v/>
      </c>
      <c r="G1480" s="43"/>
      <c r="H1480" s="40" t="str" cm="1">
        <f t="array" ref="H1480">IFERROR(INDEX(DB!P$2:P$2576,T1480),"")</f>
        <v/>
      </c>
      <c r="I1480" s="43"/>
      <c r="J1480" s="53" t="str" cm="1">
        <f t="array" ref="J1480">IFERROR(INDEX(DB!Q$2:Q$2576,T1480),"")</f>
        <v/>
      </c>
      <c r="K1480" s="43"/>
      <c r="L1480" s="41" t="str" cm="1">
        <f t="array" ref="L1480">IFERROR(INDEX(DB!R$2:R$2576,T1480),"")</f>
        <v/>
      </c>
      <c r="M1480" s="43"/>
      <c r="P1480" t="str" cm="1">
        <f t="array" ref="P1480">IFERROR(_xlfn.AGGREGATE(15,6,ROW(DB!A$2:A$2576)/((($D$3&lt;&gt;"YES")+($D$3="YES")*(DB!E$2:E$2576="YES"))*(($D$4="")+($D$4&lt;&gt;"")*( DB!B$2:B$2576=$D$4))*(($D$5="")+($D$5&lt;&gt;"")*( DB!C$2:C$2576=$D$5))*(($D$6="")+($D$6&lt;&gt;"")*( DB!D$2:D$2576=$D$6))*(($D$7="")+($D$7&lt;&gt;"")*(ISNUMBER(SEARCH($D$7,DB!G$2:G$2576))))*(($F$7="전체")+($F$7&lt;&gt;"전체")*(DB!H$2:H$2576=$F$7))),ROW()-13)-1,"")</f>
        <v/>
      </c>
      <c r="Q1480" t="str" cm="1">
        <f t="array" ref="Q1480">IFERROR(INDEX(DB!G$2:G$2576,P1480),"")</f>
        <v/>
      </c>
      <c r="R1480" t="str" cm="1">
        <f t="array" ref="R1480">IFERROR(INDEX(DB!O$2:O$2576,P1480),"")</f>
        <v/>
      </c>
      <c r="S1480" t="str">
        <f t="shared" si="69"/>
        <v/>
      </c>
      <c r="T1480" t="str">
        <f t="shared" si="70"/>
        <v/>
      </c>
    </row>
    <row r="1481" spans="1:20" ht="100" customHeight="1">
      <c r="A1481" s="26"/>
      <c r="B1481" s="42" t="str">
        <f t="shared" si="68"/>
        <v/>
      </c>
      <c r="C1481" s="43"/>
      <c r="D1481" s="51" t="str" cm="1">
        <f t="array" ref="D1481">IFERROR(INDEX(DB!G$2:G$2576,T1481),"")</f>
        <v/>
      </c>
      <c r="E1481" s="43"/>
      <c r="F1481" s="52" t="str" cm="1">
        <f t="array" ref="F1481">IFERROR(INDEX(DB!O$2:O$2576,T1481),"")</f>
        <v/>
      </c>
      <c r="G1481" s="43"/>
      <c r="H1481" s="40" t="str" cm="1">
        <f t="array" ref="H1481">IFERROR(INDEX(DB!P$2:P$2576,T1481),"")</f>
        <v/>
      </c>
      <c r="I1481" s="43"/>
      <c r="J1481" s="53" t="str" cm="1">
        <f t="array" ref="J1481">IFERROR(INDEX(DB!Q$2:Q$2576,T1481),"")</f>
        <v/>
      </c>
      <c r="K1481" s="43"/>
      <c r="L1481" s="41" t="str" cm="1">
        <f t="array" ref="L1481">IFERROR(INDEX(DB!R$2:R$2576,T1481),"")</f>
        <v/>
      </c>
      <c r="M1481" s="43"/>
      <c r="P1481" t="str" cm="1">
        <f t="array" ref="P1481">IFERROR(_xlfn.AGGREGATE(15,6,ROW(DB!A$2:A$2576)/((($D$3&lt;&gt;"YES")+($D$3="YES")*(DB!E$2:E$2576="YES"))*(($D$4="")+($D$4&lt;&gt;"")*( DB!B$2:B$2576=$D$4))*(($D$5="")+($D$5&lt;&gt;"")*( DB!C$2:C$2576=$D$5))*(($D$6="")+($D$6&lt;&gt;"")*( DB!D$2:D$2576=$D$6))*(($D$7="")+($D$7&lt;&gt;"")*(ISNUMBER(SEARCH($D$7,DB!G$2:G$2576))))*(($F$7="전체")+($F$7&lt;&gt;"전체")*(DB!H$2:H$2576=$F$7))),ROW()-13)-1,"")</f>
        <v/>
      </c>
      <c r="Q1481" t="str" cm="1">
        <f t="array" ref="Q1481">IFERROR(INDEX(DB!G$2:G$2576,P1481),"")</f>
        <v/>
      </c>
      <c r="R1481" t="str" cm="1">
        <f t="array" ref="R1481">IFERROR(INDEX(DB!O$2:O$2576,P1481),"")</f>
        <v/>
      </c>
      <c r="S1481" t="str">
        <f t="shared" si="69"/>
        <v/>
      </c>
      <c r="T1481" t="str">
        <f t="shared" si="70"/>
        <v/>
      </c>
    </row>
    <row r="1482" spans="1:20" ht="100" customHeight="1">
      <c r="A1482" s="26"/>
      <c r="B1482" s="39" t="str">
        <f t="shared" si="68"/>
        <v/>
      </c>
      <c r="C1482" s="43"/>
      <c r="D1482" s="51" t="str" cm="1">
        <f t="array" ref="D1482">IFERROR(INDEX(DB!G$2:G$2576,T1482),"")</f>
        <v/>
      </c>
      <c r="E1482" s="43"/>
      <c r="F1482" s="52" t="str" cm="1">
        <f t="array" ref="F1482">IFERROR(INDEX(DB!O$2:O$2576,T1482),"")</f>
        <v/>
      </c>
      <c r="G1482" s="43"/>
      <c r="H1482" s="40" t="str" cm="1">
        <f t="array" ref="H1482">IFERROR(INDEX(DB!P$2:P$2576,T1482),"")</f>
        <v/>
      </c>
      <c r="I1482" s="43"/>
      <c r="J1482" s="53" t="str" cm="1">
        <f t="array" ref="J1482">IFERROR(INDEX(DB!Q$2:Q$2576,T1482),"")</f>
        <v/>
      </c>
      <c r="K1482" s="43"/>
      <c r="L1482" s="41" t="str" cm="1">
        <f t="array" ref="L1482">IFERROR(INDEX(DB!R$2:R$2576,T1482),"")</f>
        <v/>
      </c>
      <c r="M1482" s="43"/>
      <c r="P1482" t="str" cm="1">
        <f t="array" ref="P1482">IFERROR(_xlfn.AGGREGATE(15,6,ROW(DB!A$2:A$2576)/((($D$3&lt;&gt;"YES")+($D$3="YES")*(DB!E$2:E$2576="YES"))*(($D$4="")+($D$4&lt;&gt;"")*( DB!B$2:B$2576=$D$4))*(($D$5="")+($D$5&lt;&gt;"")*( DB!C$2:C$2576=$D$5))*(($D$6="")+($D$6&lt;&gt;"")*( DB!D$2:D$2576=$D$6))*(($D$7="")+($D$7&lt;&gt;"")*(ISNUMBER(SEARCH($D$7,DB!G$2:G$2576))))*(($F$7="전체")+($F$7&lt;&gt;"전체")*(DB!H$2:H$2576=$F$7))),ROW()-13)-1,"")</f>
        <v/>
      </c>
      <c r="Q1482" t="str" cm="1">
        <f t="array" ref="Q1482">IFERROR(INDEX(DB!G$2:G$2576,P1482),"")</f>
        <v/>
      </c>
      <c r="R1482" t="str" cm="1">
        <f t="array" ref="R1482">IFERROR(INDEX(DB!O$2:O$2576,P1482),"")</f>
        <v/>
      </c>
      <c r="S1482" t="str">
        <f t="shared" si="69"/>
        <v/>
      </c>
      <c r="T1482" t="str">
        <f t="shared" si="70"/>
        <v/>
      </c>
    </row>
    <row r="1483" spans="1:20" ht="100" customHeight="1">
      <c r="A1483" s="26"/>
      <c r="B1483" s="42" t="str">
        <f t="shared" si="68"/>
        <v/>
      </c>
      <c r="C1483" s="43"/>
      <c r="D1483" s="51" t="str" cm="1">
        <f t="array" ref="D1483">IFERROR(INDEX(DB!G$2:G$2576,T1483),"")</f>
        <v/>
      </c>
      <c r="E1483" s="43"/>
      <c r="F1483" s="52" t="str" cm="1">
        <f t="array" ref="F1483">IFERROR(INDEX(DB!O$2:O$2576,T1483),"")</f>
        <v/>
      </c>
      <c r="G1483" s="43"/>
      <c r="H1483" s="40" t="str" cm="1">
        <f t="array" ref="H1483">IFERROR(INDEX(DB!P$2:P$2576,T1483),"")</f>
        <v/>
      </c>
      <c r="I1483" s="43"/>
      <c r="J1483" s="53" t="str" cm="1">
        <f t="array" ref="J1483">IFERROR(INDEX(DB!Q$2:Q$2576,T1483),"")</f>
        <v/>
      </c>
      <c r="K1483" s="43"/>
      <c r="L1483" s="41" t="str" cm="1">
        <f t="array" ref="L1483">IFERROR(INDEX(DB!R$2:R$2576,T1483),"")</f>
        <v/>
      </c>
      <c r="M1483" s="43"/>
      <c r="P1483" t="str" cm="1">
        <f t="array" ref="P1483">IFERROR(_xlfn.AGGREGATE(15,6,ROW(DB!A$2:A$2576)/((($D$3&lt;&gt;"YES")+($D$3="YES")*(DB!E$2:E$2576="YES"))*(($D$4="")+($D$4&lt;&gt;"")*( DB!B$2:B$2576=$D$4))*(($D$5="")+($D$5&lt;&gt;"")*( DB!C$2:C$2576=$D$5))*(($D$6="")+($D$6&lt;&gt;"")*( DB!D$2:D$2576=$D$6))*(($D$7="")+($D$7&lt;&gt;"")*(ISNUMBER(SEARCH($D$7,DB!G$2:G$2576))))*(($F$7="전체")+($F$7&lt;&gt;"전체")*(DB!H$2:H$2576=$F$7))),ROW()-13)-1,"")</f>
        <v/>
      </c>
      <c r="Q1483" t="str" cm="1">
        <f t="array" ref="Q1483">IFERROR(INDEX(DB!G$2:G$2576,P1483),"")</f>
        <v/>
      </c>
      <c r="R1483" t="str" cm="1">
        <f t="array" ref="R1483">IFERROR(INDEX(DB!O$2:O$2576,P1483),"")</f>
        <v/>
      </c>
      <c r="S1483" t="str">
        <f t="shared" si="69"/>
        <v/>
      </c>
      <c r="T1483" t="str">
        <f t="shared" si="70"/>
        <v/>
      </c>
    </row>
    <row r="1484" spans="1:20" ht="100" customHeight="1">
      <c r="A1484" s="26"/>
      <c r="B1484" s="39" t="str">
        <f t="shared" si="68"/>
        <v/>
      </c>
      <c r="C1484" s="43"/>
      <c r="D1484" s="51" t="str" cm="1">
        <f t="array" ref="D1484">IFERROR(INDEX(DB!G$2:G$2576,T1484),"")</f>
        <v/>
      </c>
      <c r="E1484" s="43"/>
      <c r="F1484" s="52" t="str" cm="1">
        <f t="array" ref="F1484">IFERROR(INDEX(DB!O$2:O$2576,T1484),"")</f>
        <v/>
      </c>
      <c r="G1484" s="43"/>
      <c r="H1484" s="40" t="str" cm="1">
        <f t="array" ref="H1484">IFERROR(INDEX(DB!P$2:P$2576,T1484),"")</f>
        <v/>
      </c>
      <c r="I1484" s="43"/>
      <c r="J1484" s="53" t="str" cm="1">
        <f t="array" ref="J1484">IFERROR(INDEX(DB!Q$2:Q$2576,T1484),"")</f>
        <v/>
      </c>
      <c r="K1484" s="43"/>
      <c r="L1484" s="41" t="str" cm="1">
        <f t="array" ref="L1484">IFERROR(INDEX(DB!R$2:R$2576,T1484),"")</f>
        <v/>
      </c>
      <c r="M1484" s="43"/>
      <c r="P1484" t="str" cm="1">
        <f t="array" ref="P1484">IFERROR(_xlfn.AGGREGATE(15,6,ROW(DB!A$2:A$2576)/((($D$3&lt;&gt;"YES")+($D$3="YES")*(DB!E$2:E$2576="YES"))*(($D$4="")+($D$4&lt;&gt;"")*( DB!B$2:B$2576=$D$4))*(($D$5="")+($D$5&lt;&gt;"")*( DB!C$2:C$2576=$D$5))*(($D$6="")+($D$6&lt;&gt;"")*( DB!D$2:D$2576=$D$6))*(($D$7="")+($D$7&lt;&gt;"")*(ISNUMBER(SEARCH($D$7,DB!G$2:G$2576))))*(($F$7="전체")+($F$7&lt;&gt;"전체")*(DB!H$2:H$2576=$F$7))),ROW()-13)-1,"")</f>
        <v/>
      </c>
      <c r="Q1484" t="str" cm="1">
        <f t="array" ref="Q1484">IFERROR(INDEX(DB!G$2:G$2576,P1484),"")</f>
        <v/>
      </c>
      <c r="R1484" t="str" cm="1">
        <f t="array" ref="R1484">IFERROR(INDEX(DB!O$2:O$2576,P1484),"")</f>
        <v/>
      </c>
      <c r="S1484" t="str">
        <f t="shared" si="69"/>
        <v/>
      </c>
      <c r="T1484" t="str">
        <f t="shared" si="70"/>
        <v/>
      </c>
    </row>
    <row r="1485" spans="1:20" ht="100" customHeight="1">
      <c r="A1485" s="26"/>
      <c r="B1485" s="42" t="str">
        <f t="shared" si="68"/>
        <v/>
      </c>
      <c r="C1485" s="43"/>
      <c r="D1485" s="51" t="str" cm="1">
        <f t="array" ref="D1485">IFERROR(INDEX(DB!G$2:G$2576,T1485),"")</f>
        <v/>
      </c>
      <c r="E1485" s="43"/>
      <c r="F1485" s="52" t="str" cm="1">
        <f t="array" ref="F1485">IFERROR(INDEX(DB!O$2:O$2576,T1485),"")</f>
        <v/>
      </c>
      <c r="G1485" s="43"/>
      <c r="H1485" s="40" t="str" cm="1">
        <f t="array" ref="H1485">IFERROR(INDEX(DB!P$2:P$2576,T1485),"")</f>
        <v/>
      </c>
      <c r="I1485" s="43"/>
      <c r="J1485" s="53" t="str" cm="1">
        <f t="array" ref="J1485">IFERROR(INDEX(DB!Q$2:Q$2576,T1485),"")</f>
        <v/>
      </c>
      <c r="K1485" s="43"/>
      <c r="L1485" s="41" t="str" cm="1">
        <f t="array" ref="L1485">IFERROR(INDEX(DB!R$2:R$2576,T1485),"")</f>
        <v/>
      </c>
      <c r="M1485" s="43"/>
      <c r="P1485" t="str" cm="1">
        <f t="array" ref="P1485">IFERROR(_xlfn.AGGREGATE(15,6,ROW(DB!A$2:A$2576)/((($D$3&lt;&gt;"YES")+($D$3="YES")*(DB!E$2:E$2576="YES"))*(($D$4="")+($D$4&lt;&gt;"")*( DB!B$2:B$2576=$D$4))*(($D$5="")+($D$5&lt;&gt;"")*( DB!C$2:C$2576=$D$5))*(($D$6="")+($D$6&lt;&gt;"")*( DB!D$2:D$2576=$D$6))*(($D$7="")+($D$7&lt;&gt;"")*(ISNUMBER(SEARCH($D$7,DB!G$2:G$2576))))*(($F$7="전체")+($F$7&lt;&gt;"전체")*(DB!H$2:H$2576=$F$7))),ROW()-13)-1,"")</f>
        <v/>
      </c>
      <c r="Q1485" t="str" cm="1">
        <f t="array" ref="Q1485">IFERROR(INDEX(DB!G$2:G$2576,P1485),"")</f>
        <v/>
      </c>
      <c r="R1485" t="str" cm="1">
        <f t="array" ref="R1485">IFERROR(INDEX(DB!O$2:O$2576,P1485),"")</f>
        <v/>
      </c>
      <c r="S1485" t="str">
        <f t="shared" si="69"/>
        <v/>
      </c>
      <c r="T1485" t="str">
        <f t="shared" si="70"/>
        <v/>
      </c>
    </row>
    <row r="1486" spans="1:20" ht="100" customHeight="1">
      <c r="A1486" s="26"/>
      <c r="B1486" s="39" t="str">
        <f t="shared" si="68"/>
        <v/>
      </c>
      <c r="C1486" s="43"/>
      <c r="D1486" s="51" t="str" cm="1">
        <f t="array" ref="D1486">IFERROR(INDEX(DB!G$2:G$2576,T1486),"")</f>
        <v/>
      </c>
      <c r="E1486" s="43"/>
      <c r="F1486" s="52" t="str" cm="1">
        <f t="array" ref="F1486">IFERROR(INDEX(DB!O$2:O$2576,T1486),"")</f>
        <v/>
      </c>
      <c r="G1486" s="43"/>
      <c r="H1486" s="40" t="str" cm="1">
        <f t="array" ref="H1486">IFERROR(INDEX(DB!P$2:P$2576,T1486),"")</f>
        <v/>
      </c>
      <c r="I1486" s="43"/>
      <c r="J1486" s="53" t="str" cm="1">
        <f t="array" ref="J1486">IFERROR(INDEX(DB!Q$2:Q$2576,T1486),"")</f>
        <v/>
      </c>
      <c r="K1486" s="43"/>
      <c r="L1486" s="41" t="str" cm="1">
        <f t="array" ref="L1486">IFERROR(INDEX(DB!R$2:R$2576,T1486),"")</f>
        <v/>
      </c>
      <c r="M1486" s="43"/>
      <c r="P1486" t="str" cm="1">
        <f t="array" ref="P1486">IFERROR(_xlfn.AGGREGATE(15,6,ROW(DB!A$2:A$2576)/((($D$3&lt;&gt;"YES")+($D$3="YES")*(DB!E$2:E$2576="YES"))*(($D$4="")+($D$4&lt;&gt;"")*( DB!B$2:B$2576=$D$4))*(($D$5="")+($D$5&lt;&gt;"")*( DB!C$2:C$2576=$D$5))*(($D$6="")+($D$6&lt;&gt;"")*( DB!D$2:D$2576=$D$6))*(($D$7="")+($D$7&lt;&gt;"")*(ISNUMBER(SEARCH($D$7,DB!G$2:G$2576))))*(($F$7="전체")+($F$7&lt;&gt;"전체")*(DB!H$2:H$2576=$F$7))),ROW()-13)-1,"")</f>
        <v/>
      </c>
      <c r="Q1486" t="str" cm="1">
        <f t="array" ref="Q1486">IFERROR(INDEX(DB!G$2:G$2576,P1486),"")</f>
        <v/>
      </c>
      <c r="R1486" t="str" cm="1">
        <f t="array" ref="R1486">IFERROR(INDEX(DB!O$2:O$2576,P1486),"")</f>
        <v/>
      </c>
      <c r="S1486" t="str">
        <f t="shared" si="69"/>
        <v/>
      </c>
      <c r="T1486" t="str">
        <f t="shared" si="70"/>
        <v/>
      </c>
    </row>
    <row r="1487" spans="1:20" ht="100" customHeight="1">
      <c r="A1487" s="26"/>
      <c r="B1487" s="42" t="str">
        <f t="shared" ref="B1487:B1550" si="71">IFERROR(IF(T1487="","",ROW()-13),"")</f>
        <v/>
      </c>
      <c r="C1487" s="43"/>
      <c r="D1487" s="51" t="str" cm="1">
        <f t="array" ref="D1487">IFERROR(INDEX(DB!G$2:G$2576,T1487),"")</f>
        <v/>
      </c>
      <c r="E1487" s="43"/>
      <c r="F1487" s="52" t="str" cm="1">
        <f t="array" ref="F1487">IFERROR(INDEX(DB!O$2:O$2576,T1487),"")</f>
        <v/>
      </c>
      <c r="G1487" s="43"/>
      <c r="H1487" s="40" t="str" cm="1">
        <f t="array" ref="H1487">IFERROR(INDEX(DB!P$2:P$2576,T1487),"")</f>
        <v/>
      </c>
      <c r="I1487" s="43"/>
      <c r="J1487" s="53" t="str" cm="1">
        <f t="array" ref="J1487">IFERROR(INDEX(DB!Q$2:Q$2576,T1487),"")</f>
        <v/>
      </c>
      <c r="K1487" s="43"/>
      <c r="L1487" s="41" t="str" cm="1">
        <f t="array" ref="L1487">IFERROR(INDEX(DB!R$2:R$2576,T1487),"")</f>
        <v/>
      </c>
      <c r="M1487" s="43"/>
      <c r="P1487" t="str" cm="1">
        <f t="array" ref="P1487">IFERROR(_xlfn.AGGREGATE(15,6,ROW(DB!A$2:A$2576)/((($D$3&lt;&gt;"YES")+($D$3="YES")*(DB!E$2:E$2576="YES"))*(($D$4="")+($D$4&lt;&gt;"")*( DB!B$2:B$2576=$D$4))*(($D$5="")+($D$5&lt;&gt;"")*( DB!C$2:C$2576=$D$5))*(($D$6="")+($D$6&lt;&gt;"")*( DB!D$2:D$2576=$D$6))*(($D$7="")+($D$7&lt;&gt;"")*(ISNUMBER(SEARCH($D$7,DB!G$2:G$2576))))*(($F$7="전체")+($F$7&lt;&gt;"전체")*(DB!H$2:H$2576=$F$7))),ROW()-13)-1,"")</f>
        <v/>
      </c>
      <c r="Q1487" t="str" cm="1">
        <f t="array" ref="Q1487">IFERROR(INDEX(DB!G$2:G$2576,P1487),"")</f>
        <v/>
      </c>
      <c r="R1487" t="str" cm="1">
        <f t="array" ref="R1487">IFERROR(INDEX(DB!O$2:O$2576,P1487),"")</f>
        <v/>
      </c>
      <c r="S1487" t="str">
        <f t="shared" ref="S1487:S1550" si="72">IF(P1487="","",COUNTIF($Q$14:$Q$2587,"&lt;"&amp;Q1487)*100+COUNTIF($R$14:$R$2587,"&lt;"&amp;R1487)+(ROW()-13)*0.001)</f>
        <v/>
      </c>
      <c r="T1487" t="str">
        <f t="shared" ref="T1487:T1550" si="73">IFERROR(INDEX($P$14:$P$2587,MATCH(SMALL($S$14:$S$2587,ROW()-13),$S$14:$S$2587,0)),"")</f>
        <v/>
      </c>
    </row>
    <row r="1488" spans="1:20" ht="100" customHeight="1">
      <c r="A1488" s="26"/>
      <c r="B1488" s="39" t="str">
        <f t="shared" si="71"/>
        <v/>
      </c>
      <c r="C1488" s="43"/>
      <c r="D1488" s="51" t="str" cm="1">
        <f t="array" ref="D1488">IFERROR(INDEX(DB!G$2:G$2576,T1488),"")</f>
        <v/>
      </c>
      <c r="E1488" s="43"/>
      <c r="F1488" s="52" t="str" cm="1">
        <f t="array" ref="F1488">IFERROR(INDEX(DB!O$2:O$2576,T1488),"")</f>
        <v/>
      </c>
      <c r="G1488" s="43"/>
      <c r="H1488" s="40" t="str" cm="1">
        <f t="array" ref="H1488">IFERROR(INDEX(DB!P$2:P$2576,T1488),"")</f>
        <v/>
      </c>
      <c r="I1488" s="43"/>
      <c r="J1488" s="53" t="str" cm="1">
        <f t="array" ref="J1488">IFERROR(INDEX(DB!Q$2:Q$2576,T1488),"")</f>
        <v/>
      </c>
      <c r="K1488" s="43"/>
      <c r="L1488" s="41" t="str" cm="1">
        <f t="array" ref="L1488">IFERROR(INDEX(DB!R$2:R$2576,T1488),"")</f>
        <v/>
      </c>
      <c r="M1488" s="43"/>
      <c r="P1488" t="str" cm="1">
        <f t="array" ref="P1488">IFERROR(_xlfn.AGGREGATE(15,6,ROW(DB!A$2:A$2576)/((($D$3&lt;&gt;"YES")+($D$3="YES")*(DB!E$2:E$2576="YES"))*(($D$4="")+($D$4&lt;&gt;"")*( DB!B$2:B$2576=$D$4))*(($D$5="")+($D$5&lt;&gt;"")*( DB!C$2:C$2576=$D$5))*(($D$6="")+($D$6&lt;&gt;"")*( DB!D$2:D$2576=$D$6))*(($D$7="")+($D$7&lt;&gt;"")*(ISNUMBER(SEARCH($D$7,DB!G$2:G$2576))))*(($F$7="전체")+($F$7&lt;&gt;"전체")*(DB!H$2:H$2576=$F$7))),ROW()-13)-1,"")</f>
        <v/>
      </c>
      <c r="Q1488" t="str" cm="1">
        <f t="array" ref="Q1488">IFERROR(INDEX(DB!G$2:G$2576,P1488),"")</f>
        <v/>
      </c>
      <c r="R1488" t="str" cm="1">
        <f t="array" ref="R1488">IFERROR(INDEX(DB!O$2:O$2576,P1488),"")</f>
        <v/>
      </c>
      <c r="S1488" t="str">
        <f t="shared" si="72"/>
        <v/>
      </c>
      <c r="T1488" t="str">
        <f t="shared" si="73"/>
        <v/>
      </c>
    </row>
    <row r="1489" spans="1:20" ht="100" customHeight="1">
      <c r="A1489" s="26"/>
      <c r="B1489" s="42" t="str">
        <f t="shared" si="71"/>
        <v/>
      </c>
      <c r="C1489" s="43"/>
      <c r="D1489" s="51" t="str" cm="1">
        <f t="array" ref="D1489">IFERROR(INDEX(DB!G$2:G$2576,T1489),"")</f>
        <v/>
      </c>
      <c r="E1489" s="43"/>
      <c r="F1489" s="52" t="str" cm="1">
        <f t="array" ref="F1489">IFERROR(INDEX(DB!O$2:O$2576,T1489),"")</f>
        <v/>
      </c>
      <c r="G1489" s="43"/>
      <c r="H1489" s="40" t="str" cm="1">
        <f t="array" ref="H1489">IFERROR(INDEX(DB!P$2:P$2576,T1489),"")</f>
        <v/>
      </c>
      <c r="I1489" s="43"/>
      <c r="J1489" s="53" t="str" cm="1">
        <f t="array" ref="J1489">IFERROR(INDEX(DB!Q$2:Q$2576,T1489),"")</f>
        <v/>
      </c>
      <c r="K1489" s="43"/>
      <c r="L1489" s="41" t="str" cm="1">
        <f t="array" ref="L1489">IFERROR(INDEX(DB!R$2:R$2576,T1489),"")</f>
        <v/>
      </c>
      <c r="M1489" s="43"/>
      <c r="P1489" t="str" cm="1">
        <f t="array" ref="P1489">IFERROR(_xlfn.AGGREGATE(15,6,ROW(DB!A$2:A$2576)/((($D$3&lt;&gt;"YES")+($D$3="YES")*(DB!E$2:E$2576="YES"))*(($D$4="")+($D$4&lt;&gt;"")*( DB!B$2:B$2576=$D$4))*(($D$5="")+($D$5&lt;&gt;"")*( DB!C$2:C$2576=$D$5))*(($D$6="")+($D$6&lt;&gt;"")*( DB!D$2:D$2576=$D$6))*(($D$7="")+($D$7&lt;&gt;"")*(ISNUMBER(SEARCH($D$7,DB!G$2:G$2576))))*(($F$7="전체")+($F$7&lt;&gt;"전체")*(DB!H$2:H$2576=$F$7))),ROW()-13)-1,"")</f>
        <v/>
      </c>
      <c r="Q1489" t="str" cm="1">
        <f t="array" ref="Q1489">IFERROR(INDEX(DB!G$2:G$2576,P1489),"")</f>
        <v/>
      </c>
      <c r="R1489" t="str" cm="1">
        <f t="array" ref="R1489">IFERROR(INDEX(DB!O$2:O$2576,P1489),"")</f>
        <v/>
      </c>
      <c r="S1489" t="str">
        <f t="shared" si="72"/>
        <v/>
      </c>
      <c r="T1489" t="str">
        <f t="shared" si="73"/>
        <v/>
      </c>
    </row>
    <row r="1490" spans="1:20" ht="100" customHeight="1">
      <c r="A1490" s="26"/>
      <c r="B1490" s="39" t="str">
        <f t="shared" si="71"/>
        <v/>
      </c>
      <c r="C1490" s="43"/>
      <c r="D1490" s="51" t="str" cm="1">
        <f t="array" ref="D1490">IFERROR(INDEX(DB!G$2:G$2576,T1490),"")</f>
        <v/>
      </c>
      <c r="E1490" s="43"/>
      <c r="F1490" s="52" t="str" cm="1">
        <f t="array" ref="F1490">IFERROR(INDEX(DB!O$2:O$2576,T1490),"")</f>
        <v/>
      </c>
      <c r="G1490" s="43"/>
      <c r="H1490" s="40" t="str" cm="1">
        <f t="array" ref="H1490">IFERROR(INDEX(DB!P$2:P$2576,T1490),"")</f>
        <v/>
      </c>
      <c r="I1490" s="43"/>
      <c r="J1490" s="53" t="str" cm="1">
        <f t="array" ref="J1490">IFERROR(INDEX(DB!Q$2:Q$2576,T1490),"")</f>
        <v/>
      </c>
      <c r="K1490" s="43"/>
      <c r="L1490" s="41" t="str" cm="1">
        <f t="array" ref="L1490">IFERROR(INDEX(DB!R$2:R$2576,T1490),"")</f>
        <v/>
      </c>
      <c r="M1490" s="43"/>
      <c r="P1490" t="str" cm="1">
        <f t="array" ref="P1490">IFERROR(_xlfn.AGGREGATE(15,6,ROW(DB!A$2:A$2576)/((($D$3&lt;&gt;"YES")+($D$3="YES")*(DB!E$2:E$2576="YES"))*(($D$4="")+($D$4&lt;&gt;"")*( DB!B$2:B$2576=$D$4))*(($D$5="")+($D$5&lt;&gt;"")*( DB!C$2:C$2576=$D$5))*(($D$6="")+($D$6&lt;&gt;"")*( DB!D$2:D$2576=$D$6))*(($D$7="")+($D$7&lt;&gt;"")*(ISNUMBER(SEARCH($D$7,DB!G$2:G$2576))))*(($F$7="전체")+($F$7&lt;&gt;"전체")*(DB!H$2:H$2576=$F$7))),ROW()-13)-1,"")</f>
        <v/>
      </c>
      <c r="Q1490" t="str" cm="1">
        <f t="array" ref="Q1490">IFERROR(INDEX(DB!G$2:G$2576,P1490),"")</f>
        <v/>
      </c>
      <c r="R1490" t="str" cm="1">
        <f t="array" ref="R1490">IFERROR(INDEX(DB!O$2:O$2576,P1490),"")</f>
        <v/>
      </c>
      <c r="S1490" t="str">
        <f t="shared" si="72"/>
        <v/>
      </c>
      <c r="T1490" t="str">
        <f t="shared" si="73"/>
        <v/>
      </c>
    </row>
    <row r="1491" spans="1:20" ht="100" customHeight="1">
      <c r="A1491" s="26"/>
      <c r="B1491" s="42" t="str">
        <f t="shared" si="71"/>
        <v/>
      </c>
      <c r="C1491" s="43"/>
      <c r="D1491" s="51" t="str" cm="1">
        <f t="array" ref="D1491">IFERROR(INDEX(DB!G$2:G$2576,T1491),"")</f>
        <v/>
      </c>
      <c r="E1491" s="43"/>
      <c r="F1491" s="52" t="str" cm="1">
        <f t="array" ref="F1491">IFERROR(INDEX(DB!O$2:O$2576,T1491),"")</f>
        <v/>
      </c>
      <c r="G1491" s="43"/>
      <c r="H1491" s="40" t="str" cm="1">
        <f t="array" ref="H1491">IFERROR(INDEX(DB!P$2:P$2576,T1491),"")</f>
        <v/>
      </c>
      <c r="I1491" s="43"/>
      <c r="J1491" s="53" t="str" cm="1">
        <f t="array" ref="J1491">IFERROR(INDEX(DB!Q$2:Q$2576,T1491),"")</f>
        <v/>
      </c>
      <c r="K1491" s="43"/>
      <c r="L1491" s="41" t="str" cm="1">
        <f t="array" ref="L1491">IFERROR(INDEX(DB!R$2:R$2576,T1491),"")</f>
        <v/>
      </c>
      <c r="M1491" s="43"/>
      <c r="P1491" t="str" cm="1">
        <f t="array" ref="P1491">IFERROR(_xlfn.AGGREGATE(15,6,ROW(DB!A$2:A$2576)/((($D$3&lt;&gt;"YES")+($D$3="YES")*(DB!E$2:E$2576="YES"))*(($D$4="")+($D$4&lt;&gt;"")*( DB!B$2:B$2576=$D$4))*(($D$5="")+($D$5&lt;&gt;"")*( DB!C$2:C$2576=$D$5))*(($D$6="")+($D$6&lt;&gt;"")*( DB!D$2:D$2576=$D$6))*(($D$7="")+($D$7&lt;&gt;"")*(ISNUMBER(SEARCH($D$7,DB!G$2:G$2576))))*(($F$7="전체")+($F$7&lt;&gt;"전체")*(DB!H$2:H$2576=$F$7))),ROW()-13)-1,"")</f>
        <v/>
      </c>
      <c r="Q1491" t="str" cm="1">
        <f t="array" ref="Q1491">IFERROR(INDEX(DB!G$2:G$2576,P1491),"")</f>
        <v/>
      </c>
      <c r="R1491" t="str" cm="1">
        <f t="array" ref="R1491">IFERROR(INDEX(DB!O$2:O$2576,P1491),"")</f>
        <v/>
      </c>
      <c r="S1491" t="str">
        <f t="shared" si="72"/>
        <v/>
      </c>
      <c r="T1491" t="str">
        <f t="shared" si="73"/>
        <v/>
      </c>
    </row>
    <row r="1492" spans="1:20" ht="100" customHeight="1">
      <c r="A1492" s="26"/>
      <c r="B1492" s="39" t="str">
        <f t="shared" si="71"/>
        <v/>
      </c>
      <c r="C1492" s="43"/>
      <c r="D1492" s="51" t="str" cm="1">
        <f t="array" ref="D1492">IFERROR(INDEX(DB!G$2:G$2576,T1492),"")</f>
        <v/>
      </c>
      <c r="E1492" s="43"/>
      <c r="F1492" s="52" t="str" cm="1">
        <f t="array" ref="F1492">IFERROR(INDEX(DB!O$2:O$2576,T1492),"")</f>
        <v/>
      </c>
      <c r="G1492" s="43"/>
      <c r="H1492" s="40" t="str" cm="1">
        <f t="array" ref="H1492">IFERROR(INDEX(DB!P$2:P$2576,T1492),"")</f>
        <v/>
      </c>
      <c r="I1492" s="43"/>
      <c r="J1492" s="53" t="str" cm="1">
        <f t="array" ref="J1492">IFERROR(INDEX(DB!Q$2:Q$2576,T1492),"")</f>
        <v/>
      </c>
      <c r="K1492" s="43"/>
      <c r="L1492" s="41" t="str" cm="1">
        <f t="array" ref="L1492">IFERROR(INDEX(DB!R$2:R$2576,T1492),"")</f>
        <v/>
      </c>
      <c r="M1492" s="43"/>
      <c r="P1492" t="str" cm="1">
        <f t="array" ref="P1492">IFERROR(_xlfn.AGGREGATE(15,6,ROW(DB!A$2:A$2576)/((($D$3&lt;&gt;"YES")+($D$3="YES")*(DB!E$2:E$2576="YES"))*(($D$4="")+($D$4&lt;&gt;"")*( DB!B$2:B$2576=$D$4))*(($D$5="")+($D$5&lt;&gt;"")*( DB!C$2:C$2576=$D$5))*(($D$6="")+($D$6&lt;&gt;"")*( DB!D$2:D$2576=$D$6))*(($D$7="")+($D$7&lt;&gt;"")*(ISNUMBER(SEARCH($D$7,DB!G$2:G$2576))))*(($F$7="전체")+($F$7&lt;&gt;"전체")*(DB!H$2:H$2576=$F$7))),ROW()-13)-1,"")</f>
        <v/>
      </c>
      <c r="Q1492" t="str" cm="1">
        <f t="array" ref="Q1492">IFERROR(INDEX(DB!G$2:G$2576,P1492),"")</f>
        <v/>
      </c>
      <c r="R1492" t="str" cm="1">
        <f t="array" ref="R1492">IFERROR(INDEX(DB!O$2:O$2576,P1492),"")</f>
        <v/>
      </c>
      <c r="S1492" t="str">
        <f t="shared" si="72"/>
        <v/>
      </c>
      <c r="T1492" t="str">
        <f t="shared" si="73"/>
        <v/>
      </c>
    </row>
    <row r="1493" spans="1:20" ht="100" customHeight="1">
      <c r="A1493" s="26"/>
      <c r="B1493" s="42" t="str">
        <f t="shared" si="71"/>
        <v/>
      </c>
      <c r="C1493" s="43"/>
      <c r="D1493" s="51" t="str" cm="1">
        <f t="array" ref="D1493">IFERROR(INDEX(DB!G$2:G$2576,T1493),"")</f>
        <v/>
      </c>
      <c r="E1493" s="43"/>
      <c r="F1493" s="52" t="str" cm="1">
        <f t="array" ref="F1493">IFERROR(INDEX(DB!O$2:O$2576,T1493),"")</f>
        <v/>
      </c>
      <c r="G1493" s="43"/>
      <c r="H1493" s="40" t="str" cm="1">
        <f t="array" ref="H1493">IFERROR(INDEX(DB!P$2:P$2576,T1493),"")</f>
        <v/>
      </c>
      <c r="I1493" s="43"/>
      <c r="J1493" s="53" t="str" cm="1">
        <f t="array" ref="J1493">IFERROR(INDEX(DB!Q$2:Q$2576,T1493),"")</f>
        <v/>
      </c>
      <c r="K1493" s="43"/>
      <c r="L1493" s="41" t="str" cm="1">
        <f t="array" ref="L1493">IFERROR(INDEX(DB!R$2:R$2576,T1493),"")</f>
        <v/>
      </c>
      <c r="M1493" s="43"/>
      <c r="P1493" t="str" cm="1">
        <f t="array" ref="P1493">IFERROR(_xlfn.AGGREGATE(15,6,ROW(DB!A$2:A$2576)/((($D$3&lt;&gt;"YES")+($D$3="YES")*(DB!E$2:E$2576="YES"))*(($D$4="")+($D$4&lt;&gt;"")*( DB!B$2:B$2576=$D$4))*(($D$5="")+($D$5&lt;&gt;"")*( DB!C$2:C$2576=$D$5))*(($D$6="")+($D$6&lt;&gt;"")*( DB!D$2:D$2576=$D$6))*(($D$7="")+($D$7&lt;&gt;"")*(ISNUMBER(SEARCH($D$7,DB!G$2:G$2576))))*(($F$7="전체")+($F$7&lt;&gt;"전체")*(DB!H$2:H$2576=$F$7))),ROW()-13)-1,"")</f>
        <v/>
      </c>
      <c r="Q1493" t="str" cm="1">
        <f t="array" ref="Q1493">IFERROR(INDEX(DB!G$2:G$2576,P1493),"")</f>
        <v/>
      </c>
      <c r="R1493" t="str" cm="1">
        <f t="array" ref="R1493">IFERROR(INDEX(DB!O$2:O$2576,P1493),"")</f>
        <v/>
      </c>
      <c r="S1493" t="str">
        <f t="shared" si="72"/>
        <v/>
      </c>
      <c r="T1493" t="str">
        <f t="shared" si="73"/>
        <v/>
      </c>
    </row>
    <row r="1494" spans="1:20" ht="100" customHeight="1">
      <c r="A1494" s="26"/>
      <c r="B1494" s="39" t="str">
        <f t="shared" si="71"/>
        <v/>
      </c>
      <c r="C1494" s="43"/>
      <c r="D1494" s="51" t="str" cm="1">
        <f t="array" ref="D1494">IFERROR(INDEX(DB!G$2:G$2576,T1494),"")</f>
        <v/>
      </c>
      <c r="E1494" s="43"/>
      <c r="F1494" s="52" t="str" cm="1">
        <f t="array" ref="F1494">IFERROR(INDEX(DB!O$2:O$2576,T1494),"")</f>
        <v/>
      </c>
      <c r="G1494" s="43"/>
      <c r="H1494" s="40" t="str" cm="1">
        <f t="array" ref="H1494">IFERROR(INDEX(DB!P$2:P$2576,T1494),"")</f>
        <v/>
      </c>
      <c r="I1494" s="43"/>
      <c r="J1494" s="53" t="str" cm="1">
        <f t="array" ref="J1494">IFERROR(INDEX(DB!Q$2:Q$2576,T1494),"")</f>
        <v/>
      </c>
      <c r="K1494" s="43"/>
      <c r="L1494" s="41" t="str" cm="1">
        <f t="array" ref="L1494">IFERROR(INDEX(DB!R$2:R$2576,T1494),"")</f>
        <v/>
      </c>
      <c r="M1494" s="43"/>
      <c r="P1494" t="str" cm="1">
        <f t="array" ref="P1494">IFERROR(_xlfn.AGGREGATE(15,6,ROW(DB!A$2:A$2576)/((($D$3&lt;&gt;"YES")+($D$3="YES")*(DB!E$2:E$2576="YES"))*(($D$4="")+($D$4&lt;&gt;"")*( DB!B$2:B$2576=$D$4))*(($D$5="")+($D$5&lt;&gt;"")*( DB!C$2:C$2576=$D$5))*(($D$6="")+($D$6&lt;&gt;"")*( DB!D$2:D$2576=$D$6))*(($D$7="")+($D$7&lt;&gt;"")*(ISNUMBER(SEARCH($D$7,DB!G$2:G$2576))))*(($F$7="전체")+($F$7&lt;&gt;"전체")*(DB!H$2:H$2576=$F$7))),ROW()-13)-1,"")</f>
        <v/>
      </c>
      <c r="Q1494" t="str" cm="1">
        <f t="array" ref="Q1494">IFERROR(INDEX(DB!G$2:G$2576,P1494),"")</f>
        <v/>
      </c>
      <c r="R1494" t="str" cm="1">
        <f t="array" ref="R1494">IFERROR(INDEX(DB!O$2:O$2576,P1494),"")</f>
        <v/>
      </c>
      <c r="S1494" t="str">
        <f t="shared" si="72"/>
        <v/>
      </c>
      <c r="T1494" t="str">
        <f t="shared" si="73"/>
        <v/>
      </c>
    </row>
    <row r="1495" spans="1:20" ht="100" customHeight="1">
      <c r="A1495" s="26"/>
      <c r="B1495" s="42" t="str">
        <f t="shared" si="71"/>
        <v/>
      </c>
      <c r="C1495" s="43"/>
      <c r="D1495" s="51" t="str" cm="1">
        <f t="array" ref="D1495">IFERROR(INDEX(DB!G$2:G$2576,T1495),"")</f>
        <v/>
      </c>
      <c r="E1495" s="43"/>
      <c r="F1495" s="52" t="str" cm="1">
        <f t="array" ref="F1495">IFERROR(INDEX(DB!O$2:O$2576,T1495),"")</f>
        <v/>
      </c>
      <c r="G1495" s="43"/>
      <c r="H1495" s="40" t="str" cm="1">
        <f t="array" ref="H1495">IFERROR(INDEX(DB!P$2:P$2576,T1495),"")</f>
        <v/>
      </c>
      <c r="I1495" s="43"/>
      <c r="J1495" s="53" t="str" cm="1">
        <f t="array" ref="J1495">IFERROR(INDEX(DB!Q$2:Q$2576,T1495),"")</f>
        <v/>
      </c>
      <c r="K1495" s="43"/>
      <c r="L1495" s="41" t="str" cm="1">
        <f t="array" ref="L1495">IFERROR(INDEX(DB!R$2:R$2576,T1495),"")</f>
        <v/>
      </c>
      <c r="M1495" s="43"/>
      <c r="P1495" t="str" cm="1">
        <f t="array" ref="P1495">IFERROR(_xlfn.AGGREGATE(15,6,ROW(DB!A$2:A$2576)/((($D$3&lt;&gt;"YES")+($D$3="YES")*(DB!E$2:E$2576="YES"))*(($D$4="")+($D$4&lt;&gt;"")*( DB!B$2:B$2576=$D$4))*(($D$5="")+($D$5&lt;&gt;"")*( DB!C$2:C$2576=$D$5))*(($D$6="")+($D$6&lt;&gt;"")*( DB!D$2:D$2576=$D$6))*(($D$7="")+($D$7&lt;&gt;"")*(ISNUMBER(SEARCH($D$7,DB!G$2:G$2576))))*(($F$7="전체")+($F$7&lt;&gt;"전체")*(DB!H$2:H$2576=$F$7))),ROW()-13)-1,"")</f>
        <v/>
      </c>
      <c r="Q1495" t="str" cm="1">
        <f t="array" ref="Q1495">IFERROR(INDEX(DB!G$2:G$2576,P1495),"")</f>
        <v/>
      </c>
      <c r="R1495" t="str" cm="1">
        <f t="array" ref="R1495">IFERROR(INDEX(DB!O$2:O$2576,P1495),"")</f>
        <v/>
      </c>
      <c r="S1495" t="str">
        <f t="shared" si="72"/>
        <v/>
      </c>
      <c r="T1495" t="str">
        <f t="shared" si="73"/>
        <v/>
      </c>
    </row>
    <row r="1496" spans="1:20" ht="100" customHeight="1">
      <c r="A1496" s="26"/>
      <c r="B1496" s="39" t="str">
        <f t="shared" si="71"/>
        <v/>
      </c>
      <c r="C1496" s="43"/>
      <c r="D1496" s="51" t="str" cm="1">
        <f t="array" ref="D1496">IFERROR(INDEX(DB!G$2:G$2576,T1496),"")</f>
        <v/>
      </c>
      <c r="E1496" s="43"/>
      <c r="F1496" s="52" t="str" cm="1">
        <f t="array" ref="F1496">IFERROR(INDEX(DB!O$2:O$2576,T1496),"")</f>
        <v/>
      </c>
      <c r="G1496" s="43"/>
      <c r="H1496" s="40" t="str" cm="1">
        <f t="array" ref="H1496">IFERROR(INDEX(DB!P$2:P$2576,T1496),"")</f>
        <v/>
      </c>
      <c r="I1496" s="43"/>
      <c r="J1496" s="53" t="str" cm="1">
        <f t="array" ref="J1496">IFERROR(INDEX(DB!Q$2:Q$2576,T1496),"")</f>
        <v/>
      </c>
      <c r="K1496" s="43"/>
      <c r="L1496" s="41" t="str" cm="1">
        <f t="array" ref="L1496">IFERROR(INDEX(DB!R$2:R$2576,T1496),"")</f>
        <v/>
      </c>
      <c r="M1496" s="43"/>
      <c r="P1496" t="str" cm="1">
        <f t="array" ref="P1496">IFERROR(_xlfn.AGGREGATE(15,6,ROW(DB!A$2:A$2576)/((($D$3&lt;&gt;"YES")+($D$3="YES")*(DB!E$2:E$2576="YES"))*(($D$4="")+($D$4&lt;&gt;"")*( DB!B$2:B$2576=$D$4))*(($D$5="")+($D$5&lt;&gt;"")*( DB!C$2:C$2576=$D$5))*(($D$6="")+($D$6&lt;&gt;"")*( DB!D$2:D$2576=$D$6))*(($D$7="")+($D$7&lt;&gt;"")*(ISNUMBER(SEARCH($D$7,DB!G$2:G$2576))))*(($F$7="전체")+($F$7&lt;&gt;"전체")*(DB!H$2:H$2576=$F$7))),ROW()-13)-1,"")</f>
        <v/>
      </c>
      <c r="Q1496" t="str" cm="1">
        <f t="array" ref="Q1496">IFERROR(INDEX(DB!G$2:G$2576,P1496),"")</f>
        <v/>
      </c>
      <c r="R1496" t="str" cm="1">
        <f t="array" ref="R1496">IFERROR(INDEX(DB!O$2:O$2576,P1496),"")</f>
        <v/>
      </c>
      <c r="S1496" t="str">
        <f t="shared" si="72"/>
        <v/>
      </c>
      <c r="T1496" t="str">
        <f t="shared" si="73"/>
        <v/>
      </c>
    </row>
    <row r="1497" spans="1:20" ht="100" customHeight="1">
      <c r="A1497" s="26"/>
      <c r="B1497" s="42" t="str">
        <f t="shared" si="71"/>
        <v/>
      </c>
      <c r="C1497" s="43"/>
      <c r="D1497" s="51" t="str" cm="1">
        <f t="array" ref="D1497">IFERROR(INDEX(DB!G$2:G$2576,T1497),"")</f>
        <v/>
      </c>
      <c r="E1497" s="43"/>
      <c r="F1497" s="52" t="str" cm="1">
        <f t="array" ref="F1497">IFERROR(INDEX(DB!O$2:O$2576,T1497),"")</f>
        <v/>
      </c>
      <c r="G1497" s="43"/>
      <c r="H1497" s="40" t="str" cm="1">
        <f t="array" ref="H1497">IFERROR(INDEX(DB!P$2:P$2576,T1497),"")</f>
        <v/>
      </c>
      <c r="I1497" s="43"/>
      <c r="J1497" s="53" t="str" cm="1">
        <f t="array" ref="J1497">IFERROR(INDEX(DB!Q$2:Q$2576,T1497),"")</f>
        <v/>
      </c>
      <c r="K1497" s="43"/>
      <c r="L1497" s="41" t="str" cm="1">
        <f t="array" ref="L1497">IFERROR(INDEX(DB!R$2:R$2576,T1497),"")</f>
        <v/>
      </c>
      <c r="M1497" s="43"/>
      <c r="P1497" t="str" cm="1">
        <f t="array" ref="P1497">IFERROR(_xlfn.AGGREGATE(15,6,ROW(DB!A$2:A$2576)/((($D$3&lt;&gt;"YES")+($D$3="YES")*(DB!E$2:E$2576="YES"))*(($D$4="")+($D$4&lt;&gt;"")*( DB!B$2:B$2576=$D$4))*(($D$5="")+($D$5&lt;&gt;"")*( DB!C$2:C$2576=$D$5))*(($D$6="")+($D$6&lt;&gt;"")*( DB!D$2:D$2576=$D$6))*(($D$7="")+($D$7&lt;&gt;"")*(ISNUMBER(SEARCH($D$7,DB!G$2:G$2576))))*(($F$7="전체")+($F$7&lt;&gt;"전체")*(DB!H$2:H$2576=$F$7))),ROW()-13)-1,"")</f>
        <v/>
      </c>
      <c r="Q1497" t="str" cm="1">
        <f t="array" ref="Q1497">IFERROR(INDEX(DB!G$2:G$2576,P1497),"")</f>
        <v/>
      </c>
      <c r="R1497" t="str" cm="1">
        <f t="array" ref="R1497">IFERROR(INDEX(DB!O$2:O$2576,P1497),"")</f>
        <v/>
      </c>
      <c r="S1497" t="str">
        <f t="shared" si="72"/>
        <v/>
      </c>
      <c r="T1497" t="str">
        <f t="shared" si="73"/>
        <v/>
      </c>
    </row>
    <row r="1498" spans="1:20" ht="100" customHeight="1">
      <c r="A1498" s="26"/>
      <c r="B1498" s="39" t="str">
        <f t="shared" si="71"/>
        <v/>
      </c>
      <c r="C1498" s="43"/>
      <c r="D1498" s="51" t="str" cm="1">
        <f t="array" ref="D1498">IFERROR(INDEX(DB!G$2:G$2576,T1498),"")</f>
        <v/>
      </c>
      <c r="E1498" s="43"/>
      <c r="F1498" s="52" t="str" cm="1">
        <f t="array" ref="F1498">IFERROR(INDEX(DB!O$2:O$2576,T1498),"")</f>
        <v/>
      </c>
      <c r="G1498" s="43"/>
      <c r="H1498" s="40" t="str" cm="1">
        <f t="array" ref="H1498">IFERROR(INDEX(DB!P$2:P$2576,T1498),"")</f>
        <v/>
      </c>
      <c r="I1498" s="43"/>
      <c r="J1498" s="53" t="str" cm="1">
        <f t="array" ref="J1498">IFERROR(INDEX(DB!Q$2:Q$2576,T1498),"")</f>
        <v/>
      </c>
      <c r="K1498" s="43"/>
      <c r="L1498" s="41" t="str" cm="1">
        <f t="array" ref="L1498">IFERROR(INDEX(DB!R$2:R$2576,T1498),"")</f>
        <v/>
      </c>
      <c r="M1498" s="43"/>
      <c r="P1498" t="str" cm="1">
        <f t="array" ref="P1498">IFERROR(_xlfn.AGGREGATE(15,6,ROW(DB!A$2:A$2576)/((($D$3&lt;&gt;"YES")+($D$3="YES")*(DB!E$2:E$2576="YES"))*(($D$4="")+($D$4&lt;&gt;"")*( DB!B$2:B$2576=$D$4))*(($D$5="")+($D$5&lt;&gt;"")*( DB!C$2:C$2576=$D$5))*(($D$6="")+($D$6&lt;&gt;"")*( DB!D$2:D$2576=$D$6))*(($D$7="")+($D$7&lt;&gt;"")*(ISNUMBER(SEARCH($D$7,DB!G$2:G$2576))))*(($F$7="전체")+($F$7&lt;&gt;"전체")*(DB!H$2:H$2576=$F$7))),ROW()-13)-1,"")</f>
        <v/>
      </c>
      <c r="Q1498" t="str" cm="1">
        <f t="array" ref="Q1498">IFERROR(INDEX(DB!G$2:G$2576,P1498),"")</f>
        <v/>
      </c>
      <c r="R1498" t="str" cm="1">
        <f t="array" ref="R1498">IFERROR(INDEX(DB!O$2:O$2576,P1498),"")</f>
        <v/>
      </c>
      <c r="S1498" t="str">
        <f t="shared" si="72"/>
        <v/>
      </c>
      <c r="T1498" t="str">
        <f t="shared" si="73"/>
        <v/>
      </c>
    </row>
    <row r="1499" spans="1:20" ht="100" customHeight="1">
      <c r="A1499" s="26"/>
      <c r="B1499" s="42" t="str">
        <f t="shared" si="71"/>
        <v/>
      </c>
      <c r="C1499" s="43"/>
      <c r="D1499" s="51" t="str" cm="1">
        <f t="array" ref="D1499">IFERROR(INDEX(DB!G$2:G$2576,T1499),"")</f>
        <v/>
      </c>
      <c r="E1499" s="43"/>
      <c r="F1499" s="52" t="str" cm="1">
        <f t="array" ref="F1499">IFERROR(INDEX(DB!O$2:O$2576,T1499),"")</f>
        <v/>
      </c>
      <c r="G1499" s="43"/>
      <c r="H1499" s="40" t="str" cm="1">
        <f t="array" ref="H1499">IFERROR(INDEX(DB!P$2:P$2576,T1499),"")</f>
        <v/>
      </c>
      <c r="I1499" s="43"/>
      <c r="J1499" s="53" t="str" cm="1">
        <f t="array" ref="J1499">IFERROR(INDEX(DB!Q$2:Q$2576,T1499),"")</f>
        <v/>
      </c>
      <c r="K1499" s="43"/>
      <c r="L1499" s="41" t="str" cm="1">
        <f t="array" ref="L1499">IFERROR(INDEX(DB!R$2:R$2576,T1499),"")</f>
        <v/>
      </c>
      <c r="M1499" s="43"/>
      <c r="P1499" t="str" cm="1">
        <f t="array" ref="P1499">IFERROR(_xlfn.AGGREGATE(15,6,ROW(DB!A$2:A$2576)/((($D$3&lt;&gt;"YES")+($D$3="YES")*(DB!E$2:E$2576="YES"))*(($D$4="")+($D$4&lt;&gt;"")*( DB!B$2:B$2576=$D$4))*(($D$5="")+($D$5&lt;&gt;"")*( DB!C$2:C$2576=$D$5))*(($D$6="")+($D$6&lt;&gt;"")*( DB!D$2:D$2576=$D$6))*(($D$7="")+($D$7&lt;&gt;"")*(ISNUMBER(SEARCH($D$7,DB!G$2:G$2576))))*(($F$7="전체")+($F$7&lt;&gt;"전체")*(DB!H$2:H$2576=$F$7))),ROW()-13)-1,"")</f>
        <v/>
      </c>
      <c r="Q1499" t="str" cm="1">
        <f t="array" ref="Q1499">IFERROR(INDEX(DB!G$2:G$2576,P1499),"")</f>
        <v/>
      </c>
      <c r="R1499" t="str" cm="1">
        <f t="array" ref="R1499">IFERROR(INDEX(DB!O$2:O$2576,P1499),"")</f>
        <v/>
      </c>
      <c r="S1499" t="str">
        <f t="shared" si="72"/>
        <v/>
      </c>
      <c r="T1499" t="str">
        <f t="shared" si="73"/>
        <v/>
      </c>
    </row>
    <row r="1500" spans="1:20" ht="100" customHeight="1">
      <c r="A1500" s="26"/>
      <c r="B1500" s="39" t="str">
        <f t="shared" si="71"/>
        <v/>
      </c>
      <c r="C1500" s="43"/>
      <c r="D1500" s="51" t="str" cm="1">
        <f t="array" ref="D1500">IFERROR(INDEX(DB!G$2:G$2576,T1500),"")</f>
        <v/>
      </c>
      <c r="E1500" s="43"/>
      <c r="F1500" s="52" t="str" cm="1">
        <f t="array" ref="F1500">IFERROR(INDEX(DB!O$2:O$2576,T1500),"")</f>
        <v/>
      </c>
      <c r="G1500" s="43"/>
      <c r="H1500" s="40" t="str" cm="1">
        <f t="array" ref="H1500">IFERROR(INDEX(DB!P$2:P$2576,T1500),"")</f>
        <v/>
      </c>
      <c r="I1500" s="43"/>
      <c r="J1500" s="53" t="str" cm="1">
        <f t="array" ref="J1500">IFERROR(INDEX(DB!Q$2:Q$2576,T1500),"")</f>
        <v/>
      </c>
      <c r="K1500" s="43"/>
      <c r="L1500" s="41" t="str" cm="1">
        <f t="array" ref="L1500">IFERROR(INDEX(DB!R$2:R$2576,T1500),"")</f>
        <v/>
      </c>
      <c r="M1500" s="43"/>
      <c r="P1500" t="str" cm="1">
        <f t="array" ref="P1500">IFERROR(_xlfn.AGGREGATE(15,6,ROW(DB!A$2:A$2576)/((($D$3&lt;&gt;"YES")+($D$3="YES")*(DB!E$2:E$2576="YES"))*(($D$4="")+($D$4&lt;&gt;"")*( DB!B$2:B$2576=$D$4))*(($D$5="")+($D$5&lt;&gt;"")*( DB!C$2:C$2576=$D$5))*(($D$6="")+($D$6&lt;&gt;"")*( DB!D$2:D$2576=$D$6))*(($D$7="")+($D$7&lt;&gt;"")*(ISNUMBER(SEARCH($D$7,DB!G$2:G$2576))))*(($F$7="전체")+($F$7&lt;&gt;"전체")*(DB!H$2:H$2576=$F$7))),ROW()-13)-1,"")</f>
        <v/>
      </c>
      <c r="Q1500" t="str" cm="1">
        <f t="array" ref="Q1500">IFERROR(INDEX(DB!G$2:G$2576,P1500),"")</f>
        <v/>
      </c>
      <c r="R1500" t="str" cm="1">
        <f t="array" ref="R1500">IFERROR(INDEX(DB!O$2:O$2576,P1500),"")</f>
        <v/>
      </c>
      <c r="S1500" t="str">
        <f t="shared" si="72"/>
        <v/>
      </c>
      <c r="T1500" t="str">
        <f t="shared" si="73"/>
        <v/>
      </c>
    </row>
    <row r="1501" spans="1:20" ht="100" customHeight="1">
      <c r="A1501" s="26"/>
      <c r="B1501" s="42" t="str">
        <f t="shared" si="71"/>
        <v/>
      </c>
      <c r="C1501" s="43"/>
      <c r="D1501" s="51" t="str" cm="1">
        <f t="array" ref="D1501">IFERROR(INDEX(DB!G$2:G$2576,T1501),"")</f>
        <v/>
      </c>
      <c r="E1501" s="43"/>
      <c r="F1501" s="52" t="str" cm="1">
        <f t="array" ref="F1501">IFERROR(INDEX(DB!O$2:O$2576,T1501),"")</f>
        <v/>
      </c>
      <c r="G1501" s="43"/>
      <c r="H1501" s="40" t="str" cm="1">
        <f t="array" ref="H1501">IFERROR(INDEX(DB!P$2:P$2576,T1501),"")</f>
        <v/>
      </c>
      <c r="I1501" s="43"/>
      <c r="J1501" s="53" t="str" cm="1">
        <f t="array" ref="J1501">IFERROR(INDEX(DB!Q$2:Q$2576,T1501),"")</f>
        <v/>
      </c>
      <c r="K1501" s="43"/>
      <c r="L1501" s="41" t="str" cm="1">
        <f t="array" ref="L1501">IFERROR(INDEX(DB!R$2:R$2576,T1501),"")</f>
        <v/>
      </c>
      <c r="M1501" s="43"/>
      <c r="P1501" t="str" cm="1">
        <f t="array" ref="P1501">IFERROR(_xlfn.AGGREGATE(15,6,ROW(DB!A$2:A$2576)/((($D$3&lt;&gt;"YES")+($D$3="YES")*(DB!E$2:E$2576="YES"))*(($D$4="")+($D$4&lt;&gt;"")*( DB!B$2:B$2576=$D$4))*(($D$5="")+($D$5&lt;&gt;"")*( DB!C$2:C$2576=$D$5))*(($D$6="")+($D$6&lt;&gt;"")*( DB!D$2:D$2576=$D$6))*(($D$7="")+($D$7&lt;&gt;"")*(ISNUMBER(SEARCH($D$7,DB!G$2:G$2576))))*(($F$7="전체")+($F$7&lt;&gt;"전체")*(DB!H$2:H$2576=$F$7))),ROW()-13)-1,"")</f>
        <v/>
      </c>
      <c r="Q1501" t="str" cm="1">
        <f t="array" ref="Q1501">IFERROR(INDEX(DB!G$2:G$2576,P1501),"")</f>
        <v/>
      </c>
      <c r="R1501" t="str" cm="1">
        <f t="array" ref="R1501">IFERROR(INDEX(DB!O$2:O$2576,P1501),"")</f>
        <v/>
      </c>
      <c r="S1501" t="str">
        <f t="shared" si="72"/>
        <v/>
      </c>
      <c r="T1501" t="str">
        <f t="shared" si="73"/>
        <v/>
      </c>
    </row>
    <row r="1502" spans="1:20" ht="100" customHeight="1">
      <c r="A1502" s="26"/>
      <c r="B1502" s="39" t="str">
        <f t="shared" si="71"/>
        <v/>
      </c>
      <c r="C1502" s="43"/>
      <c r="D1502" s="51" t="str" cm="1">
        <f t="array" ref="D1502">IFERROR(INDEX(DB!G$2:G$2576,T1502),"")</f>
        <v/>
      </c>
      <c r="E1502" s="43"/>
      <c r="F1502" s="52" t="str" cm="1">
        <f t="array" ref="F1502">IFERROR(INDEX(DB!O$2:O$2576,T1502),"")</f>
        <v/>
      </c>
      <c r="G1502" s="43"/>
      <c r="H1502" s="40" t="str" cm="1">
        <f t="array" ref="H1502">IFERROR(INDEX(DB!P$2:P$2576,T1502),"")</f>
        <v/>
      </c>
      <c r="I1502" s="43"/>
      <c r="J1502" s="53" t="str" cm="1">
        <f t="array" ref="J1502">IFERROR(INDEX(DB!Q$2:Q$2576,T1502),"")</f>
        <v/>
      </c>
      <c r="K1502" s="43"/>
      <c r="L1502" s="41" t="str" cm="1">
        <f t="array" ref="L1502">IFERROR(INDEX(DB!R$2:R$2576,T1502),"")</f>
        <v/>
      </c>
      <c r="M1502" s="43"/>
      <c r="P1502" t="str" cm="1">
        <f t="array" ref="P1502">IFERROR(_xlfn.AGGREGATE(15,6,ROW(DB!A$2:A$2576)/((($D$3&lt;&gt;"YES")+($D$3="YES")*(DB!E$2:E$2576="YES"))*(($D$4="")+($D$4&lt;&gt;"")*( DB!B$2:B$2576=$D$4))*(($D$5="")+($D$5&lt;&gt;"")*( DB!C$2:C$2576=$D$5))*(($D$6="")+($D$6&lt;&gt;"")*( DB!D$2:D$2576=$D$6))*(($D$7="")+($D$7&lt;&gt;"")*(ISNUMBER(SEARCH($D$7,DB!G$2:G$2576))))*(($F$7="전체")+($F$7&lt;&gt;"전체")*(DB!H$2:H$2576=$F$7))),ROW()-13)-1,"")</f>
        <v/>
      </c>
      <c r="Q1502" t="str" cm="1">
        <f t="array" ref="Q1502">IFERROR(INDEX(DB!G$2:G$2576,P1502),"")</f>
        <v/>
      </c>
      <c r="R1502" t="str" cm="1">
        <f t="array" ref="R1502">IFERROR(INDEX(DB!O$2:O$2576,P1502),"")</f>
        <v/>
      </c>
      <c r="S1502" t="str">
        <f t="shared" si="72"/>
        <v/>
      </c>
      <c r="T1502" t="str">
        <f t="shared" si="73"/>
        <v/>
      </c>
    </row>
    <row r="1503" spans="1:20" ht="100" customHeight="1">
      <c r="A1503" s="26"/>
      <c r="B1503" s="42" t="str">
        <f t="shared" si="71"/>
        <v/>
      </c>
      <c r="C1503" s="43"/>
      <c r="D1503" s="51" t="str" cm="1">
        <f t="array" ref="D1503">IFERROR(INDEX(DB!G$2:G$2576,T1503),"")</f>
        <v/>
      </c>
      <c r="E1503" s="43"/>
      <c r="F1503" s="52" t="str" cm="1">
        <f t="array" ref="F1503">IFERROR(INDEX(DB!O$2:O$2576,T1503),"")</f>
        <v/>
      </c>
      <c r="G1503" s="43"/>
      <c r="H1503" s="40" t="str" cm="1">
        <f t="array" ref="H1503">IFERROR(INDEX(DB!P$2:P$2576,T1503),"")</f>
        <v/>
      </c>
      <c r="I1503" s="43"/>
      <c r="J1503" s="53" t="str" cm="1">
        <f t="array" ref="J1503">IFERROR(INDEX(DB!Q$2:Q$2576,T1503),"")</f>
        <v/>
      </c>
      <c r="K1503" s="43"/>
      <c r="L1503" s="41" t="str" cm="1">
        <f t="array" ref="L1503">IFERROR(INDEX(DB!R$2:R$2576,T1503),"")</f>
        <v/>
      </c>
      <c r="M1503" s="43"/>
      <c r="P1503" t="str" cm="1">
        <f t="array" ref="P1503">IFERROR(_xlfn.AGGREGATE(15,6,ROW(DB!A$2:A$2576)/((($D$3&lt;&gt;"YES")+($D$3="YES")*(DB!E$2:E$2576="YES"))*(($D$4="")+($D$4&lt;&gt;"")*( DB!B$2:B$2576=$D$4))*(($D$5="")+($D$5&lt;&gt;"")*( DB!C$2:C$2576=$D$5))*(($D$6="")+($D$6&lt;&gt;"")*( DB!D$2:D$2576=$D$6))*(($D$7="")+($D$7&lt;&gt;"")*(ISNUMBER(SEARCH($D$7,DB!G$2:G$2576))))*(($F$7="전체")+($F$7&lt;&gt;"전체")*(DB!H$2:H$2576=$F$7))),ROW()-13)-1,"")</f>
        <v/>
      </c>
      <c r="Q1503" t="str" cm="1">
        <f t="array" ref="Q1503">IFERROR(INDEX(DB!G$2:G$2576,P1503),"")</f>
        <v/>
      </c>
      <c r="R1503" t="str" cm="1">
        <f t="array" ref="R1503">IFERROR(INDEX(DB!O$2:O$2576,P1503),"")</f>
        <v/>
      </c>
      <c r="S1503" t="str">
        <f t="shared" si="72"/>
        <v/>
      </c>
      <c r="T1503" t="str">
        <f t="shared" si="73"/>
        <v/>
      </c>
    </row>
    <row r="1504" spans="1:20" ht="100" customHeight="1">
      <c r="A1504" s="26"/>
      <c r="B1504" s="39" t="str">
        <f t="shared" si="71"/>
        <v/>
      </c>
      <c r="C1504" s="43"/>
      <c r="D1504" s="51" t="str" cm="1">
        <f t="array" ref="D1504">IFERROR(INDEX(DB!G$2:G$2576,T1504),"")</f>
        <v/>
      </c>
      <c r="E1504" s="43"/>
      <c r="F1504" s="52" t="str" cm="1">
        <f t="array" ref="F1504">IFERROR(INDEX(DB!O$2:O$2576,T1504),"")</f>
        <v/>
      </c>
      <c r="G1504" s="43"/>
      <c r="H1504" s="40" t="str" cm="1">
        <f t="array" ref="H1504">IFERROR(INDEX(DB!P$2:P$2576,T1504),"")</f>
        <v/>
      </c>
      <c r="I1504" s="43"/>
      <c r="J1504" s="53" t="str" cm="1">
        <f t="array" ref="J1504">IFERROR(INDEX(DB!Q$2:Q$2576,T1504),"")</f>
        <v/>
      </c>
      <c r="K1504" s="43"/>
      <c r="L1504" s="41" t="str" cm="1">
        <f t="array" ref="L1504">IFERROR(INDEX(DB!R$2:R$2576,T1504),"")</f>
        <v/>
      </c>
      <c r="M1504" s="43"/>
      <c r="P1504" t="str" cm="1">
        <f t="array" ref="P1504">IFERROR(_xlfn.AGGREGATE(15,6,ROW(DB!A$2:A$2576)/((($D$3&lt;&gt;"YES")+($D$3="YES")*(DB!E$2:E$2576="YES"))*(($D$4="")+($D$4&lt;&gt;"")*( DB!B$2:B$2576=$D$4))*(($D$5="")+($D$5&lt;&gt;"")*( DB!C$2:C$2576=$D$5))*(($D$6="")+($D$6&lt;&gt;"")*( DB!D$2:D$2576=$D$6))*(($D$7="")+($D$7&lt;&gt;"")*(ISNUMBER(SEARCH($D$7,DB!G$2:G$2576))))*(($F$7="전체")+($F$7&lt;&gt;"전체")*(DB!H$2:H$2576=$F$7))),ROW()-13)-1,"")</f>
        <v/>
      </c>
      <c r="Q1504" t="str" cm="1">
        <f t="array" ref="Q1504">IFERROR(INDEX(DB!G$2:G$2576,P1504),"")</f>
        <v/>
      </c>
      <c r="R1504" t="str" cm="1">
        <f t="array" ref="R1504">IFERROR(INDEX(DB!O$2:O$2576,P1504),"")</f>
        <v/>
      </c>
      <c r="S1504" t="str">
        <f t="shared" si="72"/>
        <v/>
      </c>
      <c r="T1504" t="str">
        <f t="shared" si="73"/>
        <v/>
      </c>
    </row>
    <row r="1505" spans="1:20" ht="100" customHeight="1">
      <c r="A1505" s="26"/>
      <c r="B1505" s="42" t="str">
        <f t="shared" si="71"/>
        <v/>
      </c>
      <c r="C1505" s="43"/>
      <c r="D1505" s="51" t="str" cm="1">
        <f t="array" ref="D1505">IFERROR(INDEX(DB!G$2:G$2576,T1505),"")</f>
        <v/>
      </c>
      <c r="E1505" s="43"/>
      <c r="F1505" s="52" t="str" cm="1">
        <f t="array" ref="F1505">IFERROR(INDEX(DB!O$2:O$2576,T1505),"")</f>
        <v/>
      </c>
      <c r="G1505" s="43"/>
      <c r="H1505" s="40" t="str" cm="1">
        <f t="array" ref="H1505">IFERROR(INDEX(DB!P$2:P$2576,T1505),"")</f>
        <v/>
      </c>
      <c r="I1505" s="43"/>
      <c r="J1505" s="53" t="str" cm="1">
        <f t="array" ref="J1505">IFERROR(INDEX(DB!Q$2:Q$2576,T1505),"")</f>
        <v/>
      </c>
      <c r="K1505" s="43"/>
      <c r="L1505" s="41" t="str" cm="1">
        <f t="array" ref="L1505">IFERROR(INDEX(DB!R$2:R$2576,T1505),"")</f>
        <v/>
      </c>
      <c r="M1505" s="43"/>
      <c r="P1505" t="str" cm="1">
        <f t="array" ref="P1505">IFERROR(_xlfn.AGGREGATE(15,6,ROW(DB!A$2:A$2576)/((($D$3&lt;&gt;"YES")+($D$3="YES")*(DB!E$2:E$2576="YES"))*(($D$4="")+($D$4&lt;&gt;"")*( DB!B$2:B$2576=$D$4))*(($D$5="")+($D$5&lt;&gt;"")*( DB!C$2:C$2576=$D$5))*(($D$6="")+($D$6&lt;&gt;"")*( DB!D$2:D$2576=$D$6))*(($D$7="")+($D$7&lt;&gt;"")*(ISNUMBER(SEARCH($D$7,DB!G$2:G$2576))))*(($F$7="전체")+($F$7&lt;&gt;"전체")*(DB!H$2:H$2576=$F$7))),ROW()-13)-1,"")</f>
        <v/>
      </c>
      <c r="Q1505" t="str" cm="1">
        <f t="array" ref="Q1505">IFERROR(INDEX(DB!G$2:G$2576,P1505),"")</f>
        <v/>
      </c>
      <c r="R1505" t="str" cm="1">
        <f t="array" ref="R1505">IFERROR(INDEX(DB!O$2:O$2576,P1505),"")</f>
        <v/>
      </c>
      <c r="S1505" t="str">
        <f t="shared" si="72"/>
        <v/>
      </c>
      <c r="T1505" t="str">
        <f t="shared" si="73"/>
        <v/>
      </c>
    </row>
    <row r="1506" spans="1:20" ht="100" customHeight="1">
      <c r="A1506" s="26"/>
      <c r="B1506" s="39" t="str">
        <f t="shared" si="71"/>
        <v/>
      </c>
      <c r="C1506" s="43"/>
      <c r="D1506" s="51" t="str" cm="1">
        <f t="array" ref="D1506">IFERROR(INDEX(DB!G$2:G$2576,T1506),"")</f>
        <v/>
      </c>
      <c r="E1506" s="43"/>
      <c r="F1506" s="52" t="str" cm="1">
        <f t="array" ref="F1506">IFERROR(INDEX(DB!O$2:O$2576,T1506),"")</f>
        <v/>
      </c>
      <c r="G1506" s="43"/>
      <c r="H1506" s="40" t="str" cm="1">
        <f t="array" ref="H1506">IFERROR(INDEX(DB!P$2:P$2576,T1506),"")</f>
        <v/>
      </c>
      <c r="I1506" s="43"/>
      <c r="J1506" s="53" t="str" cm="1">
        <f t="array" ref="J1506">IFERROR(INDEX(DB!Q$2:Q$2576,T1506),"")</f>
        <v/>
      </c>
      <c r="K1506" s="43"/>
      <c r="L1506" s="41" t="str" cm="1">
        <f t="array" ref="L1506">IFERROR(INDEX(DB!R$2:R$2576,T1506),"")</f>
        <v/>
      </c>
      <c r="M1506" s="43"/>
      <c r="P1506" t="str" cm="1">
        <f t="array" ref="P1506">IFERROR(_xlfn.AGGREGATE(15,6,ROW(DB!A$2:A$2576)/((($D$3&lt;&gt;"YES")+($D$3="YES")*(DB!E$2:E$2576="YES"))*(($D$4="")+($D$4&lt;&gt;"")*( DB!B$2:B$2576=$D$4))*(($D$5="")+($D$5&lt;&gt;"")*( DB!C$2:C$2576=$D$5))*(($D$6="")+($D$6&lt;&gt;"")*( DB!D$2:D$2576=$D$6))*(($D$7="")+($D$7&lt;&gt;"")*(ISNUMBER(SEARCH($D$7,DB!G$2:G$2576))))*(($F$7="전체")+($F$7&lt;&gt;"전체")*(DB!H$2:H$2576=$F$7))),ROW()-13)-1,"")</f>
        <v/>
      </c>
      <c r="Q1506" t="str" cm="1">
        <f t="array" ref="Q1506">IFERROR(INDEX(DB!G$2:G$2576,P1506),"")</f>
        <v/>
      </c>
      <c r="R1506" t="str" cm="1">
        <f t="array" ref="R1506">IFERROR(INDEX(DB!O$2:O$2576,P1506),"")</f>
        <v/>
      </c>
      <c r="S1506" t="str">
        <f t="shared" si="72"/>
        <v/>
      </c>
      <c r="T1506" t="str">
        <f t="shared" si="73"/>
        <v/>
      </c>
    </row>
    <row r="1507" spans="1:20" ht="100" customHeight="1">
      <c r="A1507" s="26"/>
      <c r="B1507" s="42" t="str">
        <f t="shared" si="71"/>
        <v/>
      </c>
      <c r="C1507" s="43"/>
      <c r="D1507" s="51" t="str" cm="1">
        <f t="array" ref="D1507">IFERROR(INDEX(DB!G$2:G$2576,T1507),"")</f>
        <v/>
      </c>
      <c r="E1507" s="43"/>
      <c r="F1507" s="52" t="str" cm="1">
        <f t="array" ref="F1507">IFERROR(INDEX(DB!O$2:O$2576,T1507),"")</f>
        <v/>
      </c>
      <c r="G1507" s="43"/>
      <c r="H1507" s="40" t="str" cm="1">
        <f t="array" ref="H1507">IFERROR(INDEX(DB!P$2:P$2576,T1507),"")</f>
        <v/>
      </c>
      <c r="I1507" s="43"/>
      <c r="J1507" s="53" t="str" cm="1">
        <f t="array" ref="J1507">IFERROR(INDEX(DB!Q$2:Q$2576,T1507),"")</f>
        <v/>
      </c>
      <c r="K1507" s="43"/>
      <c r="L1507" s="41" t="str" cm="1">
        <f t="array" ref="L1507">IFERROR(INDEX(DB!R$2:R$2576,T1507),"")</f>
        <v/>
      </c>
      <c r="M1507" s="43"/>
      <c r="P1507" t="str" cm="1">
        <f t="array" ref="P1507">IFERROR(_xlfn.AGGREGATE(15,6,ROW(DB!A$2:A$2576)/((($D$3&lt;&gt;"YES")+($D$3="YES")*(DB!E$2:E$2576="YES"))*(($D$4="")+($D$4&lt;&gt;"")*( DB!B$2:B$2576=$D$4))*(($D$5="")+($D$5&lt;&gt;"")*( DB!C$2:C$2576=$D$5))*(($D$6="")+($D$6&lt;&gt;"")*( DB!D$2:D$2576=$D$6))*(($D$7="")+($D$7&lt;&gt;"")*(ISNUMBER(SEARCH($D$7,DB!G$2:G$2576))))*(($F$7="전체")+($F$7&lt;&gt;"전체")*(DB!H$2:H$2576=$F$7))),ROW()-13)-1,"")</f>
        <v/>
      </c>
      <c r="Q1507" t="str" cm="1">
        <f t="array" ref="Q1507">IFERROR(INDEX(DB!G$2:G$2576,P1507),"")</f>
        <v/>
      </c>
      <c r="R1507" t="str" cm="1">
        <f t="array" ref="R1507">IFERROR(INDEX(DB!O$2:O$2576,P1507),"")</f>
        <v/>
      </c>
      <c r="S1507" t="str">
        <f t="shared" si="72"/>
        <v/>
      </c>
      <c r="T1507" t="str">
        <f t="shared" si="73"/>
        <v/>
      </c>
    </row>
    <row r="1508" spans="1:20" ht="100" customHeight="1">
      <c r="A1508" s="26"/>
      <c r="B1508" s="39" t="str">
        <f t="shared" si="71"/>
        <v/>
      </c>
      <c r="C1508" s="43"/>
      <c r="D1508" s="51" t="str" cm="1">
        <f t="array" ref="D1508">IFERROR(INDEX(DB!G$2:G$2576,T1508),"")</f>
        <v/>
      </c>
      <c r="E1508" s="43"/>
      <c r="F1508" s="52" t="str" cm="1">
        <f t="array" ref="F1508">IFERROR(INDEX(DB!O$2:O$2576,T1508),"")</f>
        <v/>
      </c>
      <c r="G1508" s="43"/>
      <c r="H1508" s="40" t="str" cm="1">
        <f t="array" ref="H1508">IFERROR(INDEX(DB!P$2:P$2576,T1508),"")</f>
        <v/>
      </c>
      <c r="I1508" s="43"/>
      <c r="J1508" s="53" t="str" cm="1">
        <f t="array" ref="J1508">IFERROR(INDEX(DB!Q$2:Q$2576,T1508),"")</f>
        <v/>
      </c>
      <c r="K1508" s="43"/>
      <c r="L1508" s="41" t="str" cm="1">
        <f t="array" ref="L1508">IFERROR(INDEX(DB!R$2:R$2576,T1508),"")</f>
        <v/>
      </c>
      <c r="M1508" s="43"/>
      <c r="P1508" t="str" cm="1">
        <f t="array" ref="P1508">IFERROR(_xlfn.AGGREGATE(15,6,ROW(DB!A$2:A$2576)/((($D$3&lt;&gt;"YES")+($D$3="YES")*(DB!E$2:E$2576="YES"))*(($D$4="")+($D$4&lt;&gt;"")*( DB!B$2:B$2576=$D$4))*(($D$5="")+($D$5&lt;&gt;"")*( DB!C$2:C$2576=$D$5))*(($D$6="")+($D$6&lt;&gt;"")*( DB!D$2:D$2576=$D$6))*(($D$7="")+($D$7&lt;&gt;"")*(ISNUMBER(SEARCH($D$7,DB!G$2:G$2576))))*(($F$7="전체")+($F$7&lt;&gt;"전체")*(DB!H$2:H$2576=$F$7))),ROW()-13)-1,"")</f>
        <v/>
      </c>
      <c r="Q1508" t="str" cm="1">
        <f t="array" ref="Q1508">IFERROR(INDEX(DB!G$2:G$2576,P1508),"")</f>
        <v/>
      </c>
      <c r="R1508" t="str" cm="1">
        <f t="array" ref="R1508">IFERROR(INDEX(DB!O$2:O$2576,P1508),"")</f>
        <v/>
      </c>
      <c r="S1508" t="str">
        <f t="shared" si="72"/>
        <v/>
      </c>
      <c r="T1508" t="str">
        <f t="shared" si="73"/>
        <v/>
      </c>
    </row>
    <row r="1509" spans="1:20" ht="100" customHeight="1">
      <c r="A1509" s="26"/>
      <c r="B1509" s="42" t="str">
        <f t="shared" si="71"/>
        <v/>
      </c>
      <c r="C1509" s="43"/>
      <c r="D1509" s="51" t="str" cm="1">
        <f t="array" ref="D1509">IFERROR(INDEX(DB!G$2:G$2576,T1509),"")</f>
        <v/>
      </c>
      <c r="E1509" s="43"/>
      <c r="F1509" s="52" t="str" cm="1">
        <f t="array" ref="F1509">IFERROR(INDEX(DB!O$2:O$2576,T1509),"")</f>
        <v/>
      </c>
      <c r="G1509" s="43"/>
      <c r="H1509" s="40" t="str" cm="1">
        <f t="array" ref="H1509">IFERROR(INDEX(DB!P$2:P$2576,T1509),"")</f>
        <v/>
      </c>
      <c r="I1509" s="43"/>
      <c r="J1509" s="53" t="str" cm="1">
        <f t="array" ref="J1509">IFERROR(INDEX(DB!Q$2:Q$2576,T1509),"")</f>
        <v/>
      </c>
      <c r="K1509" s="43"/>
      <c r="L1509" s="41" t="str" cm="1">
        <f t="array" ref="L1509">IFERROR(INDEX(DB!R$2:R$2576,T1509),"")</f>
        <v/>
      </c>
      <c r="M1509" s="43"/>
      <c r="P1509" t="str" cm="1">
        <f t="array" ref="P1509">IFERROR(_xlfn.AGGREGATE(15,6,ROW(DB!A$2:A$2576)/((($D$3&lt;&gt;"YES")+($D$3="YES")*(DB!E$2:E$2576="YES"))*(($D$4="")+($D$4&lt;&gt;"")*( DB!B$2:B$2576=$D$4))*(($D$5="")+($D$5&lt;&gt;"")*( DB!C$2:C$2576=$D$5))*(($D$6="")+($D$6&lt;&gt;"")*( DB!D$2:D$2576=$D$6))*(($D$7="")+($D$7&lt;&gt;"")*(ISNUMBER(SEARCH($D$7,DB!G$2:G$2576))))*(($F$7="전체")+($F$7&lt;&gt;"전체")*(DB!H$2:H$2576=$F$7))),ROW()-13)-1,"")</f>
        <v/>
      </c>
      <c r="Q1509" t="str" cm="1">
        <f t="array" ref="Q1509">IFERROR(INDEX(DB!G$2:G$2576,P1509),"")</f>
        <v/>
      </c>
      <c r="R1509" t="str" cm="1">
        <f t="array" ref="R1509">IFERROR(INDEX(DB!O$2:O$2576,P1509),"")</f>
        <v/>
      </c>
      <c r="S1509" t="str">
        <f t="shared" si="72"/>
        <v/>
      </c>
      <c r="T1509" t="str">
        <f t="shared" si="73"/>
        <v/>
      </c>
    </row>
    <row r="1510" spans="1:20" ht="100" customHeight="1">
      <c r="A1510" s="26"/>
      <c r="B1510" s="39" t="str">
        <f t="shared" si="71"/>
        <v/>
      </c>
      <c r="C1510" s="43"/>
      <c r="D1510" s="51" t="str" cm="1">
        <f t="array" ref="D1510">IFERROR(INDEX(DB!G$2:G$2576,T1510),"")</f>
        <v/>
      </c>
      <c r="E1510" s="43"/>
      <c r="F1510" s="52" t="str" cm="1">
        <f t="array" ref="F1510">IFERROR(INDEX(DB!O$2:O$2576,T1510),"")</f>
        <v/>
      </c>
      <c r="G1510" s="43"/>
      <c r="H1510" s="40" t="str" cm="1">
        <f t="array" ref="H1510">IFERROR(INDEX(DB!P$2:P$2576,T1510),"")</f>
        <v/>
      </c>
      <c r="I1510" s="43"/>
      <c r="J1510" s="53" t="str" cm="1">
        <f t="array" ref="J1510">IFERROR(INDEX(DB!Q$2:Q$2576,T1510),"")</f>
        <v/>
      </c>
      <c r="K1510" s="43"/>
      <c r="L1510" s="41" t="str" cm="1">
        <f t="array" ref="L1510">IFERROR(INDEX(DB!R$2:R$2576,T1510),"")</f>
        <v/>
      </c>
      <c r="M1510" s="43"/>
      <c r="P1510" t="str" cm="1">
        <f t="array" ref="P1510">IFERROR(_xlfn.AGGREGATE(15,6,ROW(DB!A$2:A$2576)/((($D$3&lt;&gt;"YES")+($D$3="YES")*(DB!E$2:E$2576="YES"))*(($D$4="")+($D$4&lt;&gt;"")*( DB!B$2:B$2576=$D$4))*(($D$5="")+($D$5&lt;&gt;"")*( DB!C$2:C$2576=$D$5))*(($D$6="")+($D$6&lt;&gt;"")*( DB!D$2:D$2576=$D$6))*(($D$7="")+($D$7&lt;&gt;"")*(ISNUMBER(SEARCH($D$7,DB!G$2:G$2576))))*(($F$7="전체")+($F$7&lt;&gt;"전체")*(DB!H$2:H$2576=$F$7))),ROW()-13)-1,"")</f>
        <v/>
      </c>
      <c r="Q1510" t="str" cm="1">
        <f t="array" ref="Q1510">IFERROR(INDEX(DB!G$2:G$2576,P1510),"")</f>
        <v/>
      </c>
      <c r="R1510" t="str" cm="1">
        <f t="array" ref="R1510">IFERROR(INDEX(DB!O$2:O$2576,P1510),"")</f>
        <v/>
      </c>
      <c r="S1510" t="str">
        <f t="shared" si="72"/>
        <v/>
      </c>
      <c r="T1510" t="str">
        <f t="shared" si="73"/>
        <v/>
      </c>
    </row>
    <row r="1511" spans="1:20" ht="100" customHeight="1">
      <c r="A1511" s="26"/>
      <c r="B1511" s="42" t="str">
        <f t="shared" si="71"/>
        <v/>
      </c>
      <c r="C1511" s="43"/>
      <c r="D1511" s="51" t="str" cm="1">
        <f t="array" ref="D1511">IFERROR(INDEX(DB!G$2:G$2576,T1511),"")</f>
        <v/>
      </c>
      <c r="E1511" s="43"/>
      <c r="F1511" s="52" t="str" cm="1">
        <f t="array" ref="F1511">IFERROR(INDEX(DB!O$2:O$2576,T1511),"")</f>
        <v/>
      </c>
      <c r="G1511" s="43"/>
      <c r="H1511" s="40" t="str" cm="1">
        <f t="array" ref="H1511">IFERROR(INDEX(DB!P$2:P$2576,T1511),"")</f>
        <v/>
      </c>
      <c r="I1511" s="43"/>
      <c r="J1511" s="53" t="str" cm="1">
        <f t="array" ref="J1511">IFERROR(INDEX(DB!Q$2:Q$2576,T1511),"")</f>
        <v/>
      </c>
      <c r="K1511" s="43"/>
      <c r="L1511" s="41" t="str" cm="1">
        <f t="array" ref="L1511">IFERROR(INDEX(DB!R$2:R$2576,T1511),"")</f>
        <v/>
      </c>
      <c r="M1511" s="43"/>
      <c r="P1511" t="str" cm="1">
        <f t="array" ref="P1511">IFERROR(_xlfn.AGGREGATE(15,6,ROW(DB!A$2:A$2576)/((($D$3&lt;&gt;"YES")+($D$3="YES")*(DB!E$2:E$2576="YES"))*(($D$4="")+($D$4&lt;&gt;"")*( DB!B$2:B$2576=$D$4))*(($D$5="")+($D$5&lt;&gt;"")*( DB!C$2:C$2576=$D$5))*(($D$6="")+($D$6&lt;&gt;"")*( DB!D$2:D$2576=$D$6))*(($D$7="")+($D$7&lt;&gt;"")*(ISNUMBER(SEARCH($D$7,DB!G$2:G$2576))))*(($F$7="전체")+($F$7&lt;&gt;"전체")*(DB!H$2:H$2576=$F$7))),ROW()-13)-1,"")</f>
        <v/>
      </c>
      <c r="Q1511" t="str" cm="1">
        <f t="array" ref="Q1511">IFERROR(INDEX(DB!G$2:G$2576,P1511),"")</f>
        <v/>
      </c>
      <c r="R1511" t="str" cm="1">
        <f t="array" ref="R1511">IFERROR(INDEX(DB!O$2:O$2576,P1511),"")</f>
        <v/>
      </c>
      <c r="S1511" t="str">
        <f t="shared" si="72"/>
        <v/>
      </c>
      <c r="T1511" t="str">
        <f t="shared" si="73"/>
        <v/>
      </c>
    </row>
    <row r="1512" spans="1:20" ht="100" customHeight="1">
      <c r="A1512" s="26"/>
      <c r="B1512" s="39" t="str">
        <f t="shared" si="71"/>
        <v/>
      </c>
      <c r="C1512" s="43"/>
      <c r="D1512" s="51" t="str" cm="1">
        <f t="array" ref="D1512">IFERROR(INDEX(DB!G$2:G$2576,T1512),"")</f>
        <v/>
      </c>
      <c r="E1512" s="43"/>
      <c r="F1512" s="52" t="str" cm="1">
        <f t="array" ref="F1512">IFERROR(INDEX(DB!O$2:O$2576,T1512),"")</f>
        <v/>
      </c>
      <c r="G1512" s="43"/>
      <c r="H1512" s="40" t="str" cm="1">
        <f t="array" ref="H1512">IFERROR(INDEX(DB!P$2:P$2576,T1512),"")</f>
        <v/>
      </c>
      <c r="I1512" s="43"/>
      <c r="J1512" s="53" t="str" cm="1">
        <f t="array" ref="J1512">IFERROR(INDEX(DB!Q$2:Q$2576,T1512),"")</f>
        <v/>
      </c>
      <c r="K1512" s="43"/>
      <c r="L1512" s="41" t="str" cm="1">
        <f t="array" ref="L1512">IFERROR(INDEX(DB!R$2:R$2576,T1512),"")</f>
        <v/>
      </c>
      <c r="M1512" s="43"/>
      <c r="P1512" t="str" cm="1">
        <f t="array" ref="P1512">IFERROR(_xlfn.AGGREGATE(15,6,ROW(DB!A$2:A$2576)/((($D$3&lt;&gt;"YES")+($D$3="YES")*(DB!E$2:E$2576="YES"))*(($D$4="")+($D$4&lt;&gt;"")*( DB!B$2:B$2576=$D$4))*(($D$5="")+($D$5&lt;&gt;"")*( DB!C$2:C$2576=$D$5))*(($D$6="")+($D$6&lt;&gt;"")*( DB!D$2:D$2576=$D$6))*(($D$7="")+($D$7&lt;&gt;"")*(ISNUMBER(SEARCH($D$7,DB!G$2:G$2576))))*(($F$7="전체")+($F$7&lt;&gt;"전체")*(DB!H$2:H$2576=$F$7))),ROW()-13)-1,"")</f>
        <v/>
      </c>
      <c r="Q1512" t="str" cm="1">
        <f t="array" ref="Q1512">IFERROR(INDEX(DB!G$2:G$2576,P1512),"")</f>
        <v/>
      </c>
      <c r="R1512" t="str" cm="1">
        <f t="array" ref="R1512">IFERROR(INDEX(DB!O$2:O$2576,P1512),"")</f>
        <v/>
      </c>
      <c r="S1512" t="str">
        <f t="shared" si="72"/>
        <v/>
      </c>
      <c r="T1512" t="str">
        <f t="shared" si="73"/>
        <v/>
      </c>
    </row>
    <row r="1513" spans="1:20" ht="100" customHeight="1">
      <c r="A1513" s="26"/>
      <c r="B1513" s="42" t="str">
        <f t="shared" si="71"/>
        <v/>
      </c>
      <c r="C1513" s="43"/>
      <c r="D1513" s="51" t="str" cm="1">
        <f t="array" ref="D1513">IFERROR(INDEX(DB!G$2:G$2576,T1513),"")</f>
        <v/>
      </c>
      <c r="E1513" s="43"/>
      <c r="F1513" s="52" t="str" cm="1">
        <f t="array" ref="F1513">IFERROR(INDEX(DB!O$2:O$2576,T1513),"")</f>
        <v/>
      </c>
      <c r="G1513" s="43"/>
      <c r="H1513" s="40" t="str" cm="1">
        <f t="array" ref="H1513">IFERROR(INDEX(DB!P$2:P$2576,T1513),"")</f>
        <v/>
      </c>
      <c r="I1513" s="43"/>
      <c r="J1513" s="53" t="str" cm="1">
        <f t="array" ref="J1513">IFERROR(INDEX(DB!Q$2:Q$2576,T1513),"")</f>
        <v/>
      </c>
      <c r="K1513" s="43"/>
      <c r="L1513" s="41" t="str" cm="1">
        <f t="array" ref="L1513">IFERROR(INDEX(DB!R$2:R$2576,T1513),"")</f>
        <v/>
      </c>
      <c r="M1513" s="43"/>
      <c r="P1513" t="str" cm="1">
        <f t="array" ref="P1513">IFERROR(_xlfn.AGGREGATE(15,6,ROW(DB!A$2:A$2576)/((($D$3&lt;&gt;"YES")+($D$3="YES")*(DB!E$2:E$2576="YES"))*(($D$4="")+($D$4&lt;&gt;"")*( DB!B$2:B$2576=$D$4))*(($D$5="")+($D$5&lt;&gt;"")*( DB!C$2:C$2576=$D$5))*(($D$6="")+($D$6&lt;&gt;"")*( DB!D$2:D$2576=$D$6))*(($D$7="")+($D$7&lt;&gt;"")*(ISNUMBER(SEARCH($D$7,DB!G$2:G$2576))))*(($F$7="전체")+($F$7&lt;&gt;"전체")*(DB!H$2:H$2576=$F$7))),ROW()-13)-1,"")</f>
        <v/>
      </c>
      <c r="Q1513" t="str" cm="1">
        <f t="array" ref="Q1513">IFERROR(INDEX(DB!G$2:G$2576,P1513),"")</f>
        <v/>
      </c>
      <c r="R1513" t="str" cm="1">
        <f t="array" ref="R1513">IFERROR(INDEX(DB!O$2:O$2576,P1513),"")</f>
        <v/>
      </c>
      <c r="S1513" t="str">
        <f t="shared" si="72"/>
        <v/>
      </c>
      <c r="T1513" t="str">
        <f t="shared" si="73"/>
        <v/>
      </c>
    </row>
    <row r="1514" spans="1:20" ht="100" customHeight="1">
      <c r="A1514" s="26"/>
      <c r="B1514" s="39" t="str">
        <f t="shared" si="71"/>
        <v/>
      </c>
      <c r="C1514" s="43"/>
      <c r="D1514" s="51" t="str" cm="1">
        <f t="array" ref="D1514">IFERROR(INDEX(DB!G$2:G$2576,T1514),"")</f>
        <v/>
      </c>
      <c r="E1514" s="43"/>
      <c r="F1514" s="52" t="str" cm="1">
        <f t="array" ref="F1514">IFERROR(INDEX(DB!O$2:O$2576,T1514),"")</f>
        <v/>
      </c>
      <c r="G1514" s="43"/>
      <c r="H1514" s="40" t="str" cm="1">
        <f t="array" ref="H1514">IFERROR(INDEX(DB!P$2:P$2576,T1514),"")</f>
        <v/>
      </c>
      <c r="I1514" s="43"/>
      <c r="J1514" s="53" t="str" cm="1">
        <f t="array" ref="J1514">IFERROR(INDEX(DB!Q$2:Q$2576,T1514),"")</f>
        <v/>
      </c>
      <c r="K1514" s="43"/>
      <c r="L1514" s="41" t="str" cm="1">
        <f t="array" ref="L1514">IFERROR(INDEX(DB!R$2:R$2576,T1514),"")</f>
        <v/>
      </c>
      <c r="M1514" s="43"/>
      <c r="P1514" t="str" cm="1">
        <f t="array" ref="P1514">IFERROR(_xlfn.AGGREGATE(15,6,ROW(DB!A$2:A$2576)/((($D$3&lt;&gt;"YES")+($D$3="YES")*(DB!E$2:E$2576="YES"))*(($D$4="")+($D$4&lt;&gt;"")*( DB!B$2:B$2576=$D$4))*(($D$5="")+($D$5&lt;&gt;"")*( DB!C$2:C$2576=$D$5))*(($D$6="")+($D$6&lt;&gt;"")*( DB!D$2:D$2576=$D$6))*(($D$7="")+($D$7&lt;&gt;"")*(ISNUMBER(SEARCH($D$7,DB!G$2:G$2576))))*(($F$7="전체")+($F$7&lt;&gt;"전체")*(DB!H$2:H$2576=$F$7))),ROW()-13)-1,"")</f>
        <v/>
      </c>
      <c r="Q1514" t="str" cm="1">
        <f t="array" ref="Q1514">IFERROR(INDEX(DB!G$2:G$2576,P1514),"")</f>
        <v/>
      </c>
      <c r="R1514" t="str" cm="1">
        <f t="array" ref="R1514">IFERROR(INDEX(DB!O$2:O$2576,P1514),"")</f>
        <v/>
      </c>
      <c r="S1514" t="str">
        <f t="shared" si="72"/>
        <v/>
      </c>
      <c r="T1514" t="str">
        <f t="shared" si="73"/>
        <v/>
      </c>
    </row>
    <row r="1515" spans="1:20" ht="100" customHeight="1">
      <c r="A1515" s="26"/>
      <c r="B1515" s="42" t="str">
        <f t="shared" si="71"/>
        <v/>
      </c>
      <c r="C1515" s="43"/>
      <c r="D1515" s="51" t="str" cm="1">
        <f t="array" ref="D1515">IFERROR(INDEX(DB!G$2:G$2576,T1515),"")</f>
        <v/>
      </c>
      <c r="E1515" s="43"/>
      <c r="F1515" s="52" t="str" cm="1">
        <f t="array" ref="F1515">IFERROR(INDEX(DB!O$2:O$2576,T1515),"")</f>
        <v/>
      </c>
      <c r="G1515" s="43"/>
      <c r="H1515" s="40" t="str" cm="1">
        <f t="array" ref="H1515">IFERROR(INDEX(DB!P$2:P$2576,T1515),"")</f>
        <v/>
      </c>
      <c r="I1515" s="43"/>
      <c r="J1515" s="53" t="str" cm="1">
        <f t="array" ref="J1515">IFERROR(INDEX(DB!Q$2:Q$2576,T1515),"")</f>
        <v/>
      </c>
      <c r="K1515" s="43"/>
      <c r="L1515" s="41" t="str" cm="1">
        <f t="array" ref="L1515">IFERROR(INDEX(DB!R$2:R$2576,T1515),"")</f>
        <v/>
      </c>
      <c r="M1515" s="43"/>
      <c r="P1515" t="str" cm="1">
        <f t="array" ref="P1515">IFERROR(_xlfn.AGGREGATE(15,6,ROW(DB!A$2:A$2576)/((($D$3&lt;&gt;"YES")+($D$3="YES")*(DB!E$2:E$2576="YES"))*(($D$4="")+($D$4&lt;&gt;"")*( DB!B$2:B$2576=$D$4))*(($D$5="")+($D$5&lt;&gt;"")*( DB!C$2:C$2576=$D$5))*(($D$6="")+($D$6&lt;&gt;"")*( DB!D$2:D$2576=$D$6))*(($D$7="")+($D$7&lt;&gt;"")*(ISNUMBER(SEARCH($D$7,DB!G$2:G$2576))))*(($F$7="전체")+($F$7&lt;&gt;"전체")*(DB!H$2:H$2576=$F$7))),ROW()-13)-1,"")</f>
        <v/>
      </c>
      <c r="Q1515" t="str" cm="1">
        <f t="array" ref="Q1515">IFERROR(INDEX(DB!G$2:G$2576,P1515),"")</f>
        <v/>
      </c>
      <c r="R1515" t="str" cm="1">
        <f t="array" ref="R1515">IFERROR(INDEX(DB!O$2:O$2576,P1515),"")</f>
        <v/>
      </c>
      <c r="S1515" t="str">
        <f t="shared" si="72"/>
        <v/>
      </c>
      <c r="T1515" t="str">
        <f t="shared" si="73"/>
        <v/>
      </c>
    </row>
    <row r="1516" spans="1:20" ht="100" customHeight="1">
      <c r="A1516" s="26"/>
      <c r="B1516" s="39" t="str">
        <f t="shared" si="71"/>
        <v/>
      </c>
      <c r="C1516" s="43"/>
      <c r="D1516" s="51" t="str" cm="1">
        <f t="array" ref="D1516">IFERROR(INDEX(DB!G$2:G$2576,T1516),"")</f>
        <v/>
      </c>
      <c r="E1516" s="43"/>
      <c r="F1516" s="52" t="str" cm="1">
        <f t="array" ref="F1516">IFERROR(INDEX(DB!O$2:O$2576,T1516),"")</f>
        <v/>
      </c>
      <c r="G1516" s="43"/>
      <c r="H1516" s="40" t="str" cm="1">
        <f t="array" ref="H1516">IFERROR(INDEX(DB!P$2:P$2576,T1516),"")</f>
        <v/>
      </c>
      <c r="I1516" s="43"/>
      <c r="J1516" s="53" t="str" cm="1">
        <f t="array" ref="J1516">IFERROR(INDEX(DB!Q$2:Q$2576,T1516),"")</f>
        <v/>
      </c>
      <c r="K1516" s="43"/>
      <c r="L1516" s="41" t="str" cm="1">
        <f t="array" ref="L1516">IFERROR(INDEX(DB!R$2:R$2576,T1516),"")</f>
        <v/>
      </c>
      <c r="M1516" s="43"/>
      <c r="P1516" t="str" cm="1">
        <f t="array" ref="P1516">IFERROR(_xlfn.AGGREGATE(15,6,ROW(DB!A$2:A$2576)/((($D$3&lt;&gt;"YES")+($D$3="YES")*(DB!E$2:E$2576="YES"))*(($D$4="")+($D$4&lt;&gt;"")*( DB!B$2:B$2576=$D$4))*(($D$5="")+($D$5&lt;&gt;"")*( DB!C$2:C$2576=$D$5))*(($D$6="")+($D$6&lt;&gt;"")*( DB!D$2:D$2576=$D$6))*(($D$7="")+($D$7&lt;&gt;"")*(ISNUMBER(SEARCH($D$7,DB!G$2:G$2576))))*(($F$7="전체")+($F$7&lt;&gt;"전체")*(DB!H$2:H$2576=$F$7))),ROW()-13)-1,"")</f>
        <v/>
      </c>
      <c r="Q1516" t="str" cm="1">
        <f t="array" ref="Q1516">IFERROR(INDEX(DB!G$2:G$2576,P1516),"")</f>
        <v/>
      </c>
      <c r="R1516" t="str" cm="1">
        <f t="array" ref="R1516">IFERROR(INDEX(DB!O$2:O$2576,P1516),"")</f>
        <v/>
      </c>
      <c r="S1516" t="str">
        <f t="shared" si="72"/>
        <v/>
      </c>
      <c r="T1516" t="str">
        <f t="shared" si="73"/>
        <v/>
      </c>
    </row>
    <row r="1517" spans="1:20" ht="100" customHeight="1">
      <c r="A1517" s="26"/>
      <c r="B1517" s="42" t="str">
        <f t="shared" si="71"/>
        <v/>
      </c>
      <c r="C1517" s="43"/>
      <c r="D1517" s="51" t="str" cm="1">
        <f t="array" ref="D1517">IFERROR(INDEX(DB!G$2:G$2576,T1517),"")</f>
        <v/>
      </c>
      <c r="E1517" s="43"/>
      <c r="F1517" s="52" t="str" cm="1">
        <f t="array" ref="F1517">IFERROR(INDEX(DB!O$2:O$2576,T1517),"")</f>
        <v/>
      </c>
      <c r="G1517" s="43"/>
      <c r="H1517" s="40" t="str" cm="1">
        <f t="array" ref="H1517">IFERROR(INDEX(DB!P$2:P$2576,T1517),"")</f>
        <v/>
      </c>
      <c r="I1517" s="43"/>
      <c r="J1517" s="53" t="str" cm="1">
        <f t="array" ref="J1517">IFERROR(INDEX(DB!Q$2:Q$2576,T1517),"")</f>
        <v/>
      </c>
      <c r="K1517" s="43"/>
      <c r="L1517" s="41" t="str" cm="1">
        <f t="array" ref="L1517">IFERROR(INDEX(DB!R$2:R$2576,T1517),"")</f>
        <v/>
      </c>
      <c r="M1517" s="43"/>
      <c r="P1517" t="str" cm="1">
        <f t="array" ref="P1517">IFERROR(_xlfn.AGGREGATE(15,6,ROW(DB!A$2:A$2576)/((($D$3&lt;&gt;"YES")+($D$3="YES")*(DB!E$2:E$2576="YES"))*(($D$4="")+($D$4&lt;&gt;"")*( DB!B$2:B$2576=$D$4))*(($D$5="")+($D$5&lt;&gt;"")*( DB!C$2:C$2576=$D$5))*(($D$6="")+($D$6&lt;&gt;"")*( DB!D$2:D$2576=$D$6))*(($D$7="")+($D$7&lt;&gt;"")*(ISNUMBER(SEARCH($D$7,DB!G$2:G$2576))))*(($F$7="전체")+($F$7&lt;&gt;"전체")*(DB!H$2:H$2576=$F$7))),ROW()-13)-1,"")</f>
        <v/>
      </c>
      <c r="Q1517" t="str" cm="1">
        <f t="array" ref="Q1517">IFERROR(INDEX(DB!G$2:G$2576,P1517),"")</f>
        <v/>
      </c>
      <c r="R1517" t="str" cm="1">
        <f t="array" ref="R1517">IFERROR(INDEX(DB!O$2:O$2576,P1517),"")</f>
        <v/>
      </c>
      <c r="S1517" t="str">
        <f t="shared" si="72"/>
        <v/>
      </c>
      <c r="T1517" t="str">
        <f t="shared" si="73"/>
        <v/>
      </c>
    </row>
    <row r="1518" spans="1:20" ht="100" customHeight="1">
      <c r="A1518" s="26"/>
      <c r="B1518" s="39" t="str">
        <f t="shared" si="71"/>
        <v/>
      </c>
      <c r="C1518" s="43"/>
      <c r="D1518" s="51" t="str" cm="1">
        <f t="array" ref="D1518">IFERROR(INDEX(DB!G$2:G$2576,T1518),"")</f>
        <v/>
      </c>
      <c r="E1518" s="43"/>
      <c r="F1518" s="52" t="str" cm="1">
        <f t="array" ref="F1518">IFERROR(INDEX(DB!O$2:O$2576,T1518),"")</f>
        <v/>
      </c>
      <c r="G1518" s="43"/>
      <c r="H1518" s="40" t="str" cm="1">
        <f t="array" ref="H1518">IFERROR(INDEX(DB!P$2:P$2576,T1518),"")</f>
        <v/>
      </c>
      <c r="I1518" s="43"/>
      <c r="J1518" s="53" t="str" cm="1">
        <f t="array" ref="J1518">IFERROR(INDEX(DB!Q$2:Q$2576,T1518),"")</f>
        <v/>
      </c>
      <c r="K1518" s="43"/>
      <c r="L1518" s="41" t="str" cm="1">
        <f t="array" ref="L1518">IFERROR(INDEX(DB!R$2:R$2576,T1518),"")</f>
        <v/>
      </c>
      <c r="M1518" s="43"/>
      <c r="P1518" t="str" cm="1">
        <f t="array" ref="P1518">IFERROR(_xlfn.AGGREGATE(15,6,ROW(DB!A$2:A$2576)/((($D$3&lt;&gt;"YES")+($D$3="YES")*(DB!E$2:E$2576="YES"))*(($D$4="")+($D$4&lt;&gt;"")*( DB!B$2:B$2576=$D$4))*(($D$5="")+($D$5&lt;&gt;"")*( DB!C$2:C$2576=$D$5))*(($D$6="")+($D$6&lt;&gt;"")*( DB!D$2:D$2576=$D$6))*(($D$7="")+($D$7&lt;&gt;"")*(ISNUMBER(SEARCH($D$7,DB!G$2:G$2576))))*(($F$7="전체")+($F$7&lt;&gt;"전체")*(DB!H$2:H$2576=$F$7))),ROW()-13)-1,"")</f>
        <v/>
      </c>
      <c r="Q1518" t="str" cm="1">
        <f t="array" ref="Q1518">IFERROR(INDEX(DB!G$2:G$2576,P1518),"")</f>
        <v/>
      </c>
      <c r="R1518" t="str" cm="1">
        <f t="array" ref="R1518">IFERROR(INDEX(DB!O$2:O$2576,P1518),"")</f>
        <v/>
      </c>
      <c r="S1518" t="str">
        <f t="shared" si="72"/>
        <v/>
      </c>
      <c r="T1518" t="str">
        <f t="shared" si="73"/>
        <v/>
      </c>
    </row>
    <row r="1519" spans="1:20" ht="100" customHeight="1">
      <c r="A1519" s="26"/>
      <c r="B1519" s="42" t="str">
        <f t="shared" si="71"/>
        <v/>
      </c>
      <c r="C1519" s="43"/>
      <c r="D1519" s="51" t="str" cm="1">
        <f t="array" ref="D1519">IFERROR(INDEX(DB!G$2:G$2576,T1519),"")</f>
        <v/>
      </c>
      <c r="E1519" s="43"/>
      <c r="F1519" s="52" t="str" cm="1">
        <f t="array" ref="F1519">IFERROR(INDEX(DB!O$2:O$2576,T1519),"")</f>
        <v/>
      </c>
      <c r="G1519" s="43"/>
      <c r="H1519" s="40" t="str" cm="1">
        <f t="array" ref="H1519">IFERROR(INDEX(DB!P$2:P$2576,T1519),"")</f>
        <v/>
      </c>
      <c r="I1519" s="43"/>
      <c r="J1519" s="53" t="str" cm="1">
        <f t="array" ref="J1519">IFERROR(INDEX(DB!Q$2:Q$2576,T1519),"")</f>
        <v/>
      </c>
      <c r="K1519" s="43"/>
      <c r="L1519" s="41" t="str" cm="1">
        <f t="array" ref="L1519">IFERROR(INDEX(DB!R$2:R$2576,T1519),"")</f>
        <v/>
      </c>
      <c r="M1519" s="43"/>
      <c r="P1519" t="str" cm="1">
        <f t="array" ref="P1519">IFERROR(_xlfn.AGGREGATE(15,6,ROW(DB!A$2:A$2576)/((($D$3&lt;&gt;"YES")+($D$3="YES")*(DB!E$2:E$2576="YES"))*(($D$4="")+($D$4&lt;&gt;"")*( DB!B$2:B$2576=$D$4))*(($D$5="")+($D$5&lt;&gt;"")*( DB!C$2:C$2576=$D$5))*(($D$6="")+($D$6&lt;&gt;"")*( DB!D$2:D$2576=$D$6))*(($D$7="")+($D$7&lt;&gt;"")*(ISNUMBER(SEARCH($D$7,DB!G$2:G$2576))))*(($F$7="전체")+($F$7&lt;&gt;"전체")*(DB!H$2:H$2576=$F$7))),ROW()-13)-1,"")</f>
        <v/>
      </c>
      <c r="Q1519" t="str" cm="1">
        <f t="array" ref="Q1519">IFERROR(INDEX(DB!G$2:G$2576,P1519),"")</f>
        <v/>
      </c>
      <c r="R1519" t="str" cm="1">
        <f t="array" ref="R1519">IFERROR(INDEX(DB!O$2:O$2576,P1519),"")</f>
        <v/>
      </c>
      <c r="S1519" t="str">
        <f t="shared" si="72"/>
        <v/>
      </c>
      <c r="T1519" t="str">
        <f t="shared" si="73"/>
        <v/>
      </c>
    </row>
    <row r="1520" spans="1:20" ht="100" customHeight="1">
      <c r="A1520" s="26"/>
      <c r="B1520" s="39" t="str">
        <f t="shared" si="71"/>
        <v/>
      </c>
      <c r="C1520" s="43"/>
      <c r="D1520" s="51" t="str" cm="1">
        <f t="array" ref="D1520">IFERROR(INDEX(DB!G$2:G$2576,T1520),"")</f>
        <v/>
      </c>
      <c r="E1520" s="43"/>
      <c r="F1520" s="52" t="str" cm="1">
        <f t="array" ref="F1520">IFERROR(INDEX(DB!O$2:O$2576,T1520),"")</f>
        <v/>
      </c>
      <c r="G1520" s="43"/>
      <c r="H1520" s="40" t="str" cm="1">
        <f t="array" ref="H1520">IFERROR(INDEX(DB!P$2:P$2576,T1520),"")</f>
        <v/>
      </c>
      <c r="I1520" s="43"/>
      <c r="J1520" s="53" t="str" cm="1">
        <f t="array" ref="J1520">IFERROR(INDEX(DB!Q$2:Q$2576,T1520),"")</f>
        <v/>
      </c>
      <c r="K1520" s="43"/>
      <c r="L1520" s="41" t="str" cm="1">
        <f t="array" ref="L1520">IFERROR(INDEX(DB!R$2:R$2576,T1520),"")</f>
        <v/>
      </c>
      <c r="M1520" s="43"/>
      <c r="P1520" t="str" cm="1">
        <f t="array" ref="P1520">IFERROR(_xlfn.AGGREGATE(15,6,ROW(DB!A$2:A$2576)/((($D$3&lt;&gt;"YES")+($D$3="YES")*(DB!E$2:E$2576="YES"))*(($D$4="")+($D$4&lt;&gt;"")*( DB!B$2:B$2576=$D$4))*(($D$5="")+($D$5&lt;&gt;"")*( DB!C$2:C$2576=$D$5))*(($D$6="")+($D$6&lt;&gt;"")*( DB!D$2:D$2576=$D$6))*(($D$7="")+($D$7&lt;&gt;"")*(ISNUMBER(SEARCH($D$7,DB!G$2:G$2576))))*(($F$7="전체")+($F$7&lt;&gt;"전체")*(DB!H$2:H$2576=$F$7))),ROW()-13)-1,"")</f>
        <v/>
      </c>
      <c r="Q1520" t="str" cm="1">
        <f t="array" ref="Q1520">IFERROR(INDEX(DB!G$2:G$2576,P1520),"")</f>
        <v/>
      </c>
      <c r="R1520" t="str" cm="1">
        <f t="array" ref="R1520">IFERROR(INDEX(DB!O$2:O$2576,P1520),"")</f>
        <v/>
      </c>
      <c r="S1520" t="str">
        <f t="shared" si="72"/>
        <v/>
      </c>
      <c r="T1520" t="str">
        <f t="shared" si="73"/>
        <v/>
      </c>
    </row>
    <row r="1521" spans="1:20" ht="100" customHeight="1">
      <c r="A1521" s="26"/>
      <c r="B1521" s="42" t="str">
        <f t="shared" si="71"/>
        <v/>
      </c>
      <c r="C1521" s="43"/>
      <c r="D1521" s="51" t="str" cm="1">
        <f t="array" ref="D1521">IFERROR(INDEX(DB!G$2:G$2576,T1521),"")</f>
        <v/>
      </c>
      <c r="E1521" s="43"/>
      <c r="F1521" s="52" t="str" cm="1">
        <f t="array" ref="F1521">IFERROR(INDEX(DB!O$2:O$2576,T1521),"")</f>
        <v/>
      </c>
      <c r="G1521" s="43"/>
      <c r="H1521" s="40" t="str" cm="1">
        <f t="array" ref="H1521">IFERROR(INDEX(DB!P$2:P$2576,T1521),"")</f>
        <v/>
      </c>
      <c r="I1521" s="43"/>
      <c r="J1521" s="53" t="str" cm="1">
        <f t="array" ref="J1521">IFERROR(INDEX(DB!Q$2:Q$2576,T1521),"")</f>
        <v/>
      </c>
      <c r="K1521" s="43"/>
      <c r="L1521" s="41" t="str" cm="1">
        <f t="array" ref="L1521">IFERROR(INDEX(DB!R$2:R$2576,T1521),"")</f>
        <v/>
      </c>
      <c r="M1521" s="43"/>
      <c r="P1521" t="str" cm="1">
        <f t="array" ref="P1521">IFERROR(_xlfn.AGGREGATE(15,6,ROW(DB!A$2:A$2576)/((($D$3&lt;&gt;"YES")+($D$3="YES")*(DB!E$2:E$2576="YES"))*(($D$4="")+($D$4&lt;&gt;"")*( DB!B$2:B$2576=$D$4))*(($D$5="")+($D$5&lt;&gt;"")*( DB!C$2:C$2576=$D$5))*(($D$6="")+($D$6&lt;&gt;"")*( DB!D$2:D$2576=$D$6))*(($D$7="")+($D$7&lt;&gt;"")*(ISNUMBER(SEARCH($D$7,DB!G$2:G$2576))))*(($F$7="전체")+($F$7&lt;&gt;"전체")*(DB!H$2:H$2576=$F$7))),ROW()-13)-1,"")</f>
        <v/>
      </c>
      <c r="Q1521" t="str" cm="1">
        <f t="array" ref="Q1521">IFERROR(INDEX(DB!G$2:G$2576,P1521),"")</f>
        <v/>
      </c>
      <c r="R1521" t="str" cm="1">
        <f t="array" ref="R1521">IFERROR(INDEX(DB!O$2:O$2576,P1521),"")</f>
        <v/>
      </c>
      <c r="S1521" t="str">
        <f t="shared" si="72"/>
        <v/>
      </c>
      <c r="T1521" t="str">
        <f t="shared" si="73"/>
        <v/>
      </c>
    </row>
    <row r="1522" spans="1:20" ht="100" customHeight="1">
      <c r="A1522" s="26"/>
      <c r="B1522" s="39" t="str">
        <f t="shared" si="71"/>
        <v/>
      </c>
      <c r="C1522" s="43"/>
      <c r="D1522" s="51" t="str" cm="1">
        <f t="array" ref="D1522">IFERROR(INDEX(DB!G$2:G$2576,T1522),"")</f>
        <v/>
      </c>
      <c r="E1522" s="43"/>
      <c r="F1522" s="52" t="str" cm="1">
        <f t="array" ref="F1522">IFERROR(INDEX(DB!O$2:O$2576,T1522),"")</f>
        <v/>
      </c>
      <c r="G1522" s="43"/>
      <c r="H1522" s="40" t="str" cm="1">
        <f t="array" ref="H1522">IFERROR(INDEX(DB!P$2:P$2576,T1522),"")</f>
        <v/>
      </c>
      <c r="I1522" s="43"/>
      <c r="J1522" s="53" t="str" cm="1">
        <f t="array" ref="J1522">IFERROR(INDEX(DB!Q$2:Q$2576,T1522),"")</f>
        <v/>
      </c>
      <c r="K1522" s="43"/>
      <c r="L1522" s="41" t="str" cm="1">
        <f t="array" ref="L1522">IFERROR(INDEX(DB!R$2:R$2576,T1522),"")</f>
        <v/>
      </c>
      <c r="M1522" s="43"/>
      <c r="P1522" t="str" cm="1">
        <f t="array" ref="P1522">IFERROR(_xlfn.AGGREGATE(15,6,ROW(DB!A$2:A$2576)/((($D$3&lt;&gt;"YES")+($D$3="YES")*(DB!E$2:E$2576="YES"))*(($D$4="")+($D$4&lt;&gt;"")*( DB!B$2:B$2576=$D$4))*(($D$5="")+($D$5&lt;&gt;"")*( DB!C$2:C$2576=$D$5))*(($D$6="")+($D$6&lt;&gt;"")*( DB!D$2:D$2576=$D$6))*(($D$7="")+($D$7&lt;&gt;"")*(ISNUMBER(SEARCH($D$7,DB!G$2:G$2576))))*(($F$7="전체")+($F$7&lt;&gt;"전체")*(DB!H$2:H$2576=$F$7))),ROW()-13)-1,"")</f>
        <v/>
      </c>
      <c r="Q1522" t="str" cm="1">
        <f t="array" ref="Q1522">IFERROR(INDEX(DB!G$2:G$2576,P1522),"")</f>
        <v/>
      </c>
      <c r="R1522" t="str" cm="1">
        <f t="array" ref="R1522">IFERROR(INDEX(DB!O$2:O$2576,P1522),"")</f>
        <v/>
      </c>
      <c r="S1522" t="str">
        <f t="shared" si="72"/>
        <v/>
      </c>
      <c r="T1522" t="str">
        <f t="shared" si="73"/>
        <v/>
      </c>
    </row>
    <row r="1523" spans="1:20" ht="100" customHeight="1">
      <c r="A1523" s="26"/>
      <c r="B1523" s="42" t="str">
        <f t="shared" si="71"/>
        <v/>
      </c>
      <c r="C1523" s="43"/>
      <c r="D1523" s="51" t="str" cm="1">
        <f t="array" ref="D1523">IFERROR(INDEX(DB!G$2:G$2576,T1523),"")</f>
        <v/>
      </c>
      <c r="E1523" s="43"/>
      <c r="F1523" s="52" t="str" cm="1">
        <f t="array" ref="F1523">IFERROR(INDEX(DB!O$2:O$2576,T1523),"")</f>
        <v/>
      </c>
      <c r="G1523" s="43"/>
      <c r="H1523" s="40" t="str" cm="1">
        <f t="array" ref="H1523">IFERROR(INDEX(DB!P$2:P$2576,T1523),"")</f>
        <v/>
      </c>
      <c r="I1523" s="43"/>
      <c r="J1523" s="53" t="str" cm="1">
        <f t="array" ref="J1523">IFERROR(INDEX(DB!Q$2:Q$2576,T1523),"")</f>
        <v/>
      </c>
      <c r="K1523" s="43"/>
      <c r="L1523" s="41" t="str" cm="1">
        <f t="array" ref="L1523">IFERROR(INDEX(DB!R$2:R$2576,T1523),"")</f>
        <v/>
      </c>
      <c r="M1523" s="43"/>
      <c r="P1523" t="str" cm="1">
        <f t="array" ref="P1523">IFERROR(_xlfn.AGGREGATE(15,6,ROW(DB!A$2:A$2576)/((($D$3&lt;&gt;"YES")+($D$3="YES")*(DB!E$2:E$2576="YES"))*(($D$4="")+($D$4&lt;&gt;"")*( DB!B$2:B$2576=$D$4))*(($D$5="")+($D$5&lt;&gt;"")*( DB!C$2:C$2576=$D$5))*(($D$6="")+($D$6&lt;&gt;"")*( DB!D$2:D$2576=$D$6))*(($D$7="")+($D$7&lt;&gt;"")*(ISNUMBER(SEARCH($D$7,DB!G$2:G$2576))))*(($F$7="전체")+($F$7&lt;&gt;"전체")*(DB!H$2:H$2576=$F$7))),ROW()-13)-1,"")</f>
        <v/>
      </c>
      <c r="Q1523" t="str" cm="1">
        <f t="array" ref="Q1523">IFERROR(INDEX(DB!G$2:G$2576,P1523),"")</f>
        <v/>
      </c>
      <c r="R1523" t="str" cm="1">
        <f t="array" ref="R1523">IFERROR(INDEX(DB!O$2:O$2576,P1523),"")</f>
        <v/>
      </c>
      <c r="S1523" t="str">
        <f t="shared" si="72"/>
        <v/>
      </c>
      <c r="T1523" t="str">
        <f t="shared" si="73"/>
        <v/>
      </c>
    </row>
    <row r="1524" spans="1:20" ht="100" customHeight="1">
      <c r="A1524" s="26"/>
      <c r="B1524" s="39" t="str">
        <f t="shared" si="71"/>
        <v/>
      </c>
      <c r="C1524" s="43"/>
      <c r="D1524" s="51" t="str" cm="1">
        <f t="array" ref="D1524">IFERROR(INDEX(DB!G$2:G$2576,T1524),"")</f>
        <v/>
      </c>
      <c r="E1524" s="43"/>
      <c r="F1524" s="52" t="str" cm="1">
        <f t="array" ref="F1524">IFERROR(INDEX(DB!O$2:O$2576,T1524),"")</f>
        <v/>
      </c>
      <c r="G1524" s="43"/>
      <c r="H1524" s="40" t="str" cm="1">
        <f t="array" ref="H1524">IFERROR(INDEX(DB!P$2:P$2576,T1524),"")</f>
        <v/>
      </c>
      <c r="I1524" s="43"/>
      <c r="J1524" s="53" t="str" cm="1">
        <f t="array" ref="J1524">IFERROR(INDEX(DB!Q$2:Q$2576,T1524),"")</f>
        <v/>
      </c>
      <c r="K1524" s="43"/>
      <c r="L1524" s="41" t="str" cm="1">
        <f t="array" ref="L1524">IFERROR(INDEX(DB!R$2:R$2576,T1524),"")</f>
        <v/>
      </c>
      <c r="M1524" s="43"/>
      <c r="P1524" t="str" cm="1">
        <f t="array" ref="P1524">IFERROR(_xlfn.AGGREGATE(15,6,ROW(DB!A$2:A$2576)/((($D$3&lt;&gt;"YES")+($D$3="YES")*(DB!E$2:E$2576="YES"))*(($D$4="")+($D$4&lt;&gt;"")*( DB!B$2:B$2576=$D$4))*(($D$5="")+($D$5&lt;&gt;"")*( DB!C$2:C$2576=$D$5))*(($D$6="")+($D$6&lt;&gt;"")*( DB!D$2:D$2576=$D$6))*(($D$7="")+($D$7&lt;&gt;"")*(ISNUMBER(SEARCH($D$7,DB!G$2:G$2576))))*(($F$7="전체")+($F$7&lt;&gt;"전체")*(DB!H$2:H$2576=$F$7))),ROW()-13)-1,"")</f>
        <v/>
      </c>
      <c r="Q1524" t="str" cm="1">
        <f t="array" ref="Q1524">IFERROR(INDEX(DB!G$2:G$2576,P1524),"")</f>
        <v/>
      </c>
      <c r="R1524" t="str" cm="1">
        <f t="array" ref="R1524">IFERROR(INDEX(DB!O$2:O$2576,P1524),"")</f>
        <v/>
      </c>
      <c r="S1524" t="str">
        <f t="shared" si="72"/>
        <v/>
      </c>
      <c r="T1524" t="str">
        <f t="shared" si="73"/>
        <v/>
      </c>
    </row>
    <row r="1525" spans="1:20" ht="100" customHeight="1">
      <c r="A1525" s="26"/>
      <c r="B1525" s="42" t="str">
        <f t="shared" si="71"/>
        <v/>
      </c>
      <c r="C1525" s="43"/>
      <c r="D1525" s="51" t="str" cm="1">
        <f t="array" ref="D1525">IFERROR(INDEX(DB!G$2:G$2576,T1525),"")</f>
        <v/>
      </c>
      <c r="E1525" s="43"/>
      <c r="F1525" s="52" t="str" cm="1">
        <f t="array" ref="F1525">IFERROR(INDEX(DB!O$2:O$2576,T1525),"")</f>
        <v/>
      </c>
      <c r="G1525" s="43"/>
      <c r="H1525" s="40" t="str" cm="1">
        <f t="array" ref="H1525">IFERROR(INDEX(DB!P$2:P$2576,T1525),"")</f>
        <v/>
      </c>
      <c r="I1525" s="43"/>
      <c r="J1525" s="53" t="str" cm="1">
        <f t="array" ref="J1525">IFERROR(INDEX(DB!Q$2:Q$2576,T1525),"")</f>
        <v/>
      </c>
      <c r="K1525" s="43"/>
      <c r="L1525" s="41" t="str" cm="1">
        <f t="array" ref="L1525">IFERROR(INDEX(DB!R$2:R$2576,T1525),"")</f>
        <v/>
      </c>
      <c r="M1525" s="43"/>
      <c r="P1525" t="str" cm="1">
        <f t="array" ref="P1525">IFERROR(_xlfn.AGGREGATE(15,6,ROW(DB!A$2:A$2576)/((($D$3&lt;&gt;"YES")+($D$3="YES")*(DB!E$2:E$2576="YES"))*(($D$4="")+($D$4&lt;&gt;"")*( DB!B$2:B$2576=$D$4))*(($D$5="")+($D$5&lt;&gt;"")*( DB!C$2:C$2576=$D$5))*(($D$6="")+($D$6&lt;&gt;"")*( DB!D$2:D$2576=$D$6))*(($D$7="")+($D$7&lt;&gt;"")*(ISNUMBER(SEARCH($D$7,DB!G$2:G$2576))))*(($F$7="전체")+($F$7&lt;&gt;"전체")*(DB!H$2:H$2576=$F$7))),ROW()-13)-1,"")</f>
        <v/>
      </c>
      <c r="Q1525" t="str" cm="1">
        <f t="array" ref="Q1525">IFERROR(INDEX(DB!G$2:G$2576,P1525),"")</f>
        <v/>
      </c>
      <c r="R1525" t="str" cm="1">
        <f t="array" ref="R1525">IFERROR(INDEX(DB!O$2:O$2576,P1525),"")</f>
        <v/>
      </c>
      <c r="S1525" t="str">
        <f t="shared" si="72"/>
        <v/>
      </c>
      <c r="T1525" t="str">
        <f t="shared" si="73"/>
        <v/>
      </c>
    </row>
    <row r="1526" spans="1:20" ht="100" customHeight="1">
      <c r="A1526" s="26"/>
      <c r="B1526" s="39" t="str">
        <f t="shared" si="71"/>
        <v/>
      </c>
      <c r="C1526" s="43"/>
      <c r="D1526" s="51" t="str" cm="1">
        <f t="array" ref="D1526">IFERROR(INDEX(DB!G$2:G$2576,T1526),"")</f>
        <v/>
      </c>
      <c r="E1526" s="43"/>
      <c r="F1526" s="52" t="str" cm="1">
        <f t="array" ref="F1526">IFERROR(INDEX(DB!O$2:O$2576,T1526),"")</f>
        <v/>
      </c>
      <c r="G1526" s="43"/>
      <c r="H1526" s="40" t="str" cm="1">
        <f t="array" ref="H1526">IFERROR(INDEX(DB!P$2:P$2576,T1526),"")</f>
        <v/>
      </c>
      <c r="I1526" s="43"/>
      <c r="J1526" s="53" t="str" cm="1">
        <f t="array" ref="J1526">IFERROR(INDEX(DB!Q$2:Q$2576,T1526),"")</f>
        <v/>
      </c>
      <c r="K1526" s="43"/>
      <c r="L1526" s="41" t="str" cm="1">
        <f t="array" ref="L1526">IFERROR(INDEX(DB!R$2:R$2576,T1526),"")</f>
        <v/>
      </c>
      <c r="M1526" s="43"/>
      <c r="P1526" t="str" cm="1">
        <f t="array" ref="P1526">IFERROR(_xlfn.AGGREGATE(15,6,ROW(DB!A$2:A$2576)/((($D$3&lt;&gt;"YES")+($D$3="YES")*(DB!E$2:E$2576="YES"))*(($D$4="")+($D$4&lt;&gt;"")*( DB!B$2:B$2576=$D$4))*(($D$5="")+($D$5&lt;&gt;"")*( DB!C$2:C$2576=$D$5))*(($D$6="")+($D$6&lt;&gt;"")*( DB!D$2:D$2576=$D$6))*(($D$7="")+($D$7&lt;&gt;"")*(ISNUMBER(SEARCH($D$7,DB!G$2:G$2576))))*(($F$7="전체")+($F$7&lt;&gt;"전체")*(DB!H$2:H$2576=$F$7))),ROW()-13)-1,"")</f>
        <v/>
      </c>
      <c r="Q1526" t="str" cm="1">
        <f t="array" ref="Q1526">IFERROR(INDEX(DB!G$2:G$2576,P1526),"")</f>
        <v/>
      </c>
      <c r="R1526" t="str" cm="1">
        <f t="array" ref="R1526">IFERROR(INDEX(DB!O$2:O$2576,P1526),"")</f>
        <v/>
      </c>
      <c r="S1526" t="str">
        <f t="shared" si="72"/>
        <v/>
      </c>
      <c r="T1526" t="str">
        <f t="shared" si="73"/>
        <v/>
      </c>
    </row>
    <row r="1527" spans="1:20" ht="100" customHeight="1">
      <c r="A1527" s="26"/>
      <c r="B1527" s="42" t="str">
        <f t="shared" si="71"/>
        <v/>
      </c>
      <c r="C1527" s="43"/>
      <c r="D1527" s="51" t="str" cm="1">
        <f t="array" ref="D1527">IFERROR(INDEX(DB!G$2:G$2576,T1527),"")</f>
        <v/>
      </c>
      <c r="E1527" s="43"/>
      <c r="F1527" s="52" t="str" cm="1">
        <f t="array" ref="F1527">IFERROR(INDEX(DB!O$2:O$2576,T1527),"")</f>
        <v/>
      </c>
      <c r="G1527" s="43"/>
      <c r="H1527" s="40" t="str" cm="1">
        <f t="array" ref="H1527">IFERROR(INDEX(DB!P$2:P$2576,T1527),"")</f>
        <v/>
      </c>
      <c r="I1527" s="43"/>
      <c r="J1527" s="53" t="str" cm="1">
        <f t="array" ref="J1527">IFERROR(INDEX(DB!Q$2:Q$2576,T1527),"")</f>
        <v/>
      </c>
      <c r="K1527" s="43"/>
      <c r="L1527" s="41" t="str" cm="1">
        <f t="array" ref="L1527">IFERROR(INDEX(DB!R$2:R$2576,T1527),"")</f>
        <v/>
      </c>
      <c r="M1527" s="43"/>
      <c r="P1527" t="str" cm="1">
        <f t="array" ref="P1527">IFERROR(_xlfn.AGGREGATE(15,6,ROW(DB!A$2:A$2576)/((($D$3&lt;&gt;"YES")+($D$3="YES")*(DB!E$2:E$2576="YES"))*(($D$4="")+($D$4&lt;&gt;"")*( DB!B$2:B$2576=$D$4))*(($D$5="")+($D$5&lt;&gt;"")*( DB!C$2:C$2576=$D$5))*(($D$6="")+($D$6&lt;&gt;"")*( DB!D$2:D$2576=$D$6))*(($D$7="")+($D$7&lt;&gt;"")*(ISNUMBER(SEARCH($D$7,DB!G$2:G$2576))))*(($F$7="전체")+($F$7&lt;&gt;"전체")*(DB!H$2:H$2576=$F$7))),ROW()-13)-1,"")</f>
        <v/>
      </c>
      <c r="Q1527" t="str" cm="1">
        <f t="array" ref="Q1527">IFERROR(INDEX(DB!G$2:G$2576,P1527),"")</f>
        <v/>
      </c>
      <c r="R1527" t="str" cm="1">
        <f t="array" ref="R1527">IFERROR(INDEX(DB!O$2:O$2576,P1527),"")</f>
        <v/>
      </c>
      <c r="S1527" t="str">
        <f t="shared" si="72"/>
        <v/>
      </c>
      <c r="T1527" t="str">
        <f t="shared" si="73"/>
        <v/>
      </c>
    </row>
    <row r="1528" spans="1:20" ht="100" customHeight="1">
      <c r="A1528" s="26"/>
      <c r="B1528" s="39" t="str">
        <f t="shared" si="71"/>
        <v/>
      </c>
      <c r="C1528" s="43"/>
      <c r="D1528" s="51" t="str" cm="1">
        <f t="array" ref="D1528">IFERROR(INDEX(DB!G$2:G$2576,T1528),"")</f>
        <v/>
      </c>
      <c r="E1528" s="43"/>
      <c r="F1528" s="52" t="str" cm="1">
        <f t="array" ref="F1528">IFERROR(INDEX(DB!O$2:O$2576,T1528),"")</f>
        <v/>
      </c>
      <c r="G1528" s="43"/>
      <c r="H1528" s="40" t="str" cm="1">
        <f t="array" ref="H1528">IFERROR(INDEX(DB!P$2:P$2576,T1528),"")</f>
        <v/>
      </c>
      <c r="I1528" s="43"/>
      <c r="J1528" s="53" t="str" cm="1">
        <f t="array" ref="J1528">IFERROR(INDEX(DB!Q$2:Q$2576,T1528),"")</f>
        <v/>
      </c>
      <c r="K1528" s="43"/>
      <c r="L1528" s="41" t="str" cm="1">
        <f t="array" ref="L1528">IFERROR(INDEX(DB!R$2:R$2576,T1528),"")</f>
        <v/>
      </c>
      <c r="M1528" s="43"/>
      <c r="P1528" t="str" cm="1">
        <f t="array" ref="P1528">IFERROR(_xlfn.AGGREGATE(15,6,ROW(DB!A$2:A$2576)/((($D$3&lt;&gt;"YES")+($D$3="YES")*(DB!E$2:E$2576="YES"))*(($D$4="")+($D$4&lt;&gt;"")*( DB!B$2:B$2576=$D$4))*(($D$5="")+($D$5&lt;&gt;"")*( DB!C$2:C$2576=$D$5))*(($D$6="")+($D$6&lt;&gt;"")*( DB!D$2:D$2576=$D$6))*(($D$7="")+($D$7&lt;&gt;"")*(ISNUMBER(SEARCH($D$7,DB!G$2:G$2576))))*(($F$7="전체")+($F$7&lt;&gt;"전체")*(DB!H$2:H$2576=$F$7))),ROW()-13)-1,"")</f>
        <v/>
      </c>
      <c r="Q1528" t="str" cm="1">
        <f t="array" ref="Q1528">IFERROR(INDEX(DB!G$2:G$2576,P1528),"")</f>
        <v/>
      </c>
      <c r="R1528" t="str" cm="1">
        <f t="array" ref="R1528">IFERROR(INDEX(DB!O$2:O$2576,P1528),"")</f>
        <v/>
      </c>
      <c r="S1528" t="str">
        <f t="shared" si="72"/>
        <v/>
      </c>
      <c r="T1528" t="str">
        <f t="shared" si="73"/>
        <v/>
      </c>
    </row>
    <row r="1529" spans="1:20" ht="100" customHeight="1">
      <c r="A1529" s="26"/>
      <c r="B1529" s="42" t="str">
        <f t="shared" si="71"/>
        <v/>
      </c>
      <c r="C1529" s="43"/>
      <c r="D1529" s="51" t="str" cm="1">
        <f t="array" ref="D1529">IFERROR(INDEX(DB!G$2:G$2576,T1529),"")</f>
        <v/>
      </c>
      <c r="E1529" s="43"/>
      <c r="F1529" s="52" t="str" cm="1">
        <f t="array" ref="F1529">IFERROR(INDEX(DB!O$2:O$2576,T1529),"")</f>
        <v/>
      </c>
      <c r="G1529" s="43"/>
      <c r="H1529" s="40" t="str" cm="1">
        <f t="array" ref="H1529">IFERROR(INDEX(DB!P$2:P$2576,T1529),"")</f>
        <v/>
      </c>
      <c r="I1529" s="43"/>
      <c r="J1529" s="53" t="str" cm="1">
        <f t="array" ref="J1529">IFERROR(INDEX(DB!Q$2:Q$2576,T1529),"")</f>
        <v/>
      </c>
      <c r="K1529" s="43"/>
      <c r="L1529" s="41" t="str" cm="1">
        <f t="array" ref="L1529">IFERROR(INDEX(DB!R$2:R$2576,T1529),"")</f>
        <v/>
      </c>
      <c r="M1529" s="43"/>
      <c r="P1529" t="str" cm="1">
        <f t="array" ref="P1529">IFERROR(_xlfn.AGGREGATE(15,6,ROW(DB!A$2:A$2576)/((($D$3&lt;&gt;"YES")+($D$3="YES")*(DB!E$2:E$2576="YES"))*(($D$4="")+($D$4&lt;&gt;"")*( DB!B$2:B$2576=$D$4))*(($D$5="")+($D$5&lt;&gt;"")*( DB!C$2:C$2576=$D$5))*(($D$6="")+($D$6&lt;&gt;"")*( DB!D$2:D$2576=$D$6))*(($D$7="")+($D$7&lt;&gt;"")*(ISNUMBER(SEARCH($D$7,DB!G$2:G$2576))))*(($F$7="전체")+($F$7&lt;&gt;"전체")*(DB!H$2:H$2576=$F$7))),ROW()-13)-1,"")</f>
        <v/>
      </c>
      <c r="Q1529" t="str" cm="1">
        <f t="array" ref="Q1529">IFERROR(INDEX(DB!G$2:G$2576,P1529),"")</f>
        <v/>
      </c>
      <c r="R1529" t="str" cm="1">
        <f t="array" ref="R1529">IFERROR(INDEX(DB!O$2:O$2576,P1529),"")</f>
        <v/>
      </c>
      <c r="S1529" t="str">
        <f t="shared" si="72"/>
        <v/>
      </c>
      <c r="T1529" t="str">
        <f t="shared" si="73"/>
        <v/>
      </c>
    </row>
    <row r="1530" spans="1:20" ht="100" customHeight="1">
      <c r="A1530" s="26"/>
      <c r="B1530" s="39" t="str">
        <f t="shared" si="71"/>
        <v/>
      </c>
      <c r="C1530" s="43"/>
      <c r="D1530" s="51" t="str" cm="1">
        <f t="array" ref="D1530">IFERROR(INDEX(DB!G$2:G$2576,T1530),"")</f>
        <v/>
      </c>
      <c r="E1530" s="43"/>
      <c r="F1530" s="52" t="str" cm="1">
        <f t="array" ref="F1530">IFERROR(INDEX(DB!O$2:O$2576,T1530),"")</f>
        <v/>
      </c>
      <c r="G1530" s="43"/>
      <c r="H1530" s="40" t="str" cm="1">
        <f t="array" ref="H1530">IFERROR(INDEX(DB!P$2:P$2576,T1530),"")</f>
        <v/>
      </c>
      <c r="I1530" s="43"/>
      <c r="J1530" s="53" t="str" cm="1">
        <f t="array" ref="J1530">IFERROR(INDEX(DB!Q$2:Q$2576,T1530),"")</f>
        <v/>
      </c>
      <c r="K1530" s="43"/>
      <c r="L1530" s="41" t="str" cm="1">
        <f t="array" ref="L1530">IFERROR(INDEX(DB!R$2:R$2576,T1530),"")</f>
        <v/>
      </c>
      <c r="M1530" s="43"/>
      <c r="P1530" t="str" cm="1">
        <f t="array" ref="P1530">IFERROR(_xlfn.AGGREGATE(15,6,ROW(DB!A$2:A$2576)/((($D$3&lt;&gt;"YES")+($D$3="YES")*(DB!E$2:E$2576="YES"))*(($D$4="")+($D$4&lt;&gt;"")*( DB!B$2:B$2576=$D$4))*(($D$5="")+($D$5&lt;&gt;"")*( DB!C$2:C$2576=$D$5))*(($D$6="")+($D$6&lt;&gt;"")*( DB!D$2:D$2576=$D$6))*(($D$7="")+($D$7&lt;&gt;"")*(ISNUMBER(SEARCH($D$7,DB!G$2:G$2576))))*(($F$7="전체")+($F$7&lt;&gt;"전체")*(DB!H$2:H$2576=$F$7))),ROW()-13)-1,"")</f>
        <v/>
      </c>
      <c r="Q1530" t="str" cm="1">
        <f t="array" ref="Q1530">IFERROR(INDEX(DB!G$2:G$2576,P1530),"")</f>
        <v/>
      </c>
      <c r="R1530" t="str" cm="1">
        <f t="array" ref="R1530">IFERROR(INDEX(DB!O$2:O$2576,P1530),"")</f>
        <v/>
      </c>
      <c r="S1530" t="str">
        <f t="shared" si="72"/>
        <v/>
      </c>
      <c r="T1530" t="str">
        <f t="shared" si="73"/>
        <v/>
      </c>
    </row>
    <row r="1531" spans="1:20" ht="100" customHeight="1">
      <c r="A1531" s="26"/>
      <c r="B1531" s="42" t="str">
        <f t="shared" si="71"/>
        <v/>
      </c>
      <c r="C1531" s="43"/>
      <c r="D1531" s="51" t="str" cm="1">
        <f t="array" ref="D1531">IFERROR(INDEX(DB!G$2:G$2576,T1531),"")</f>
        <v/>
      </c>
      <c r="E1531" s="43"/>
      <c r="F1531" s="52" t="str" cm="1">
        <f t="array" ref="F1531">IFERROR(INDEX(DB!O$2:O$2576,T1531),"")</f>
        <v/>
      </c>
      <c r="G1531" s="43"/>
      <c r="H1531" s="40" t="str" cm="1">
        <f t="array" ref="H1531">IFERROR(INDEX(DB!P$2:P$2576,T1531),"")</f>
        <v/>
      </c>
      <c r="I1531" s="43"/>
      <c r="J1531" s="53" t="str" cm="1">
        <f t="array" ref="J1531">IFERROR(INDEX(DB!Q$2:Q$2576,T1531),"")</f>
        <v/>
      </c>
      <c r="K1531" s="43"/>
      <c r="L1531" s="41" t="str" cm="1">
        <f t="array" ref="L1531">IFERROR(INDEX(DB!R$2:R$2576,T1531),"")</f>
        <v/>
      </c>
      <c r="M1531" s="43"/>
      <c r="P1531" t="str" cm="1">
        <f t="array" ref="P1531">IFERROR(_xlfn.AGGREGATE(15,6,ROW(DB!A$2:A$2576)/((($D$3&lt;&gt;"YES")+($D$3="YES")*(DB!E$2:E$2576="YES"))*(($D$4="")+($D$4&lt;&gt;"")*( DB!B$2:B$2576=$D$4))*(($D$5="")+($D$5&lt;&gt;"")*( DB!C$2:C$2576=$D$5))*(($D$6="")+($D$6&lt;&gt;"")*( DB!D$2:D$2576=$D$6))*(($D$7="")+($D$7&lt;&gt;"")*(ISNUMBER(SEARCH($D$7,DB!G$2:G$2576))))*(($F$7="전체")+($F$7&lt;&gt;"전체")*(DB!H$2:H$2576=$F$7))),ROW()-13)-1,"")</f>
        <v/>
      </c>
      <c r="Q1531" t="str" cm="1">
        <f t="array" ref="Q1531">IFERROR(INDEX(DB!G$2:G$2576,P1531),"")</f>
        <v/>
      </c>
      <c r="R1531" t="str" cm="1">
        <f t="array" ref="R1531">IFERROR(INDEX(DB!O$2:O$2576,P1531),"")</f>
        <v/>
      </c>
      <c r="S1531" t="str">
        <f t="shared" si="72"/>
        <v/>
      </c>
      <c r="T1531" t="str">
        <f t="shared" si="73"/>
        <v/>
      </c>
    </row>
    <row r="1532" spans="1:20" ht="100" customHeight="1">
      <c r="A1532" s="26"/>
      <c r="B1532" s="39" t="str">
        <f t="shared" si="71"/>
        <v/>
      </c>
      <c r="C1532" s="43"/>
      <c r="D1532" s="51" t="str" cm="1">
        <f t="array" ref="D1532">IFERROR(INDEX(DB!G$2:G$2576,T1532),"")</f>
        <v/>
      </c>
      <c r="E1532" s="43"/>
      <c r="F1532" s="52" t="str" cm="1">
        <f t="array" ref="F1532">IFERROR(INDEX(DB!O$2:O$2576,T1532),"")</f>
        <v/>
      </c>
      <c r="G1532" s="43"/>
      <c r="H1532" s="40" t="str" cm="1">
        <f t="array" ref="H1532">IFERROR(INDEX(DB!P$2:P$2576,T1532),"")</f>
        <v/>
      </c>
      <c r="I1532" s="43"/>
      <c r="J1532" s="53" t="str" cm="1">
        <f t="array" ref="J1532">IFERROR(INDEX(DB!Q$2:Q$2576,T1532),"")</f>
        <v/>
      </c>
      <c r="K1532" s="43"/>
      <c r="L1532" s="41" t="str" cm="1">
        <f t="array" ref="L1532">IFERROR(INDEX(DB!R$2:R$2576,T1532),"")</f>
        <v/>
      </c>
      <c r="M1532" s="43"/>
      <c r="P1532" t="str" cm="1">
        <f t="array" ref="P1532">IFERROR(_xlfn.AGGREGATE(15,6,ROW(DB!A$2:A$2576)/((($D$3&lt;&gt;"YES")+($D$3="YES")*(DB!E$2:E$2576="YES"))*(($D$4="")+($D$4&lt;&gt;"")*( DB!B$2:B$2576=$D$4))*(($D$5="")+($D$5&lt;&gt;"")*( DB!C$2:C$2576=$D$5))*(($D$6="")+($D$6&lt;&gt;"")*( DB!D$2:D$2576=$D$6))*(($D$7="")+($D$7&lt;&gt;"")*(ISNUMBER(SEARCH($D$7,DB!G$2:G$2576))))*(($F$7="전체")+($F$7&lt;&gt;"전체")*(DB!H$2:H$2576=$F$7))),ROW()-13)-1,"")</f>
        <v/>
      </c>
      <c r="Q1532" t="str" cm="1">
        <f t="array" ref="Q1532">IFERROR(INDEX(DB!G$2:G$2576,P1532),"")</f>
        <v/>
      </c>
      <c r="R1532" t="str" cm="1">
        <f t="array" ref="R1532">IFERROR(INDEX(DB!O$2:O$2576,P1532),"")</f>
        <v/>
      </c>
      <c r="S1532" t="str">
        <f t="shared" si="72"/>
        <v/>
      </c>
      <c r="T1532" t="str">
        <f t="shared" si="73"/>
        <v/>
      </c>
    </row>
    <row r="1533" spans="1:20" ht="100" customHeight="1">
      <c r="A1533" s="26"/>
      <c r="B1533" s="42" t="str">
        <f t="shared" si="71"/>
        <v/>
      </c>
      <c r="C1533" s="43"/>
      <c r="D1533" s="51" t="str" cm="1">
        <f t="array" ref="D1533">IFERROR(INDEX(DB!G$2:G$2576,T1533),"")</f>
        <v/>
      </c>
      <c r="E1533" s="43"/>
      <c r="F1533" s="52" t="str" cm="1">
        <f t="array" ref="F1533">IFERROR(INDEX(DB!O$2:O$2576,T1533),"")</f>
        <v/>
      </c>
      <c r="G1533" s="43"/>
      <c r="H1533" s="40" t="str" cm="1">
        <f t="array" ref="H1533">IFERROR(INDEX(DB!P$2:P$2576,T1533),"")</f>
        <v/>
      </c>
      <c r="I1533" s="43"/>
      <c r="J1533" s="53" t="str" cm="1">
        <f t="array" ref="J1533">IFERROR(INDEX(DB!Q$2:Q$2576,T1533),"")</f>
        <v/>
      </c>
      <c r="K1533" s="43"/>
      <c r="L1533" s="41" t="str" cm="1">
        <f t="array" ref="L1533">IFERROR(INDEX(DB!R$2:R$2576,T1533),"")</f>
        <v/>
      </c>
      <c r="M1533" s="43"/>
      <c r="P1533" t="str" cm="1">
        <f t="array" ref="P1533">IFERROR(_xlfn.AGGREGATE(15,6,ROW(DB!A$2:A$2576)/((($D$3&lt;&gt;"YES")+($D$3="YES")*(DB!E$2:E$2576="YES"))*(($D$4="")+($D$4&lt;&gt;"")*( DB!B$2:B$2576=$D$4))*(($D$5="")+($D$5&lt;&gt;"")*( DB!C$2:C$2576=$D$5))*(($D$6="")+($D$6&lt;&gt;"")*( DB!D$2:D$2576=$D$6))*(($D$7="")+($D$7&lt;&gt;"")*(ISNUMBER(SEARCH($D$7,DB!G$2:G$2576))))*(($F$7="전체")+($F$7&lt;&gt;"전체")*(DB!H$2:H$2576=$F$7))),ROW()-13)-1,"")</f>
        <v/>
      </c>
      <c r="Q1533" t="str" cm="1">
        <f t="array" ref="Q1533">IFERROR(INDEX(DB!G$2:G$2576,P1533),"")</f>
        <v/>
      </c>
      <c r="R1533" t="str" cm="1">
        <f t="array" ref="R1533">IFERROR(INDEX(DB!O$2:O$2576,P1533),"")</f>
        <v/>
      </c>
      <c r="S1533" t="str">
        <f t="shared" si="72"/>
        <v/>
      </c>
      <c r="T1533" t="str">
        <f t="shared" si="73"/>
        <v/>
      </c>
    </row>
    <row r="1534" spans="1:20" ht="100" customHeight="1">
      <c r="A1534" s="26"/>
      <c r="B1534" s="39" t="str">
        <f t="shared" si="71"/>
        <v/>
      </c>
      <c r="C1534" s="43"/>
      <c r="D1534" s="51" t="str" cm="1">
        <f t="array" ref="D1534">IFERROR(INDEX(DB!G$2:G$2576,T1534),"")</f>
        <v/>
      </c>
      <c r="E1534" s="43"/>
      <c r="F1534" s="52" t="str" cm="1">
        <f t="array" ref="F1534">IFERROR(INDEX(DB!O$2:O$2576,T1534),"")</f>
        <v/>
      </c>
      <c r="G1534" s="43"/>
      <c r="H1534" s="40" t="str" cm="1">
        <f t="array" ref="H1534">IFERROR(INDEX(DB!P$2:P$2576,T1534),"")</f>
        <v/>
      </c>
      <c r="I1534" s="43"/>
      <c r="J1534" s="53" t="str" cm="1">
        <f t="array" ref="J1534">IFERROR(INDEX(DB!Q$2:Q$2576,T1534),"")</f>
        <v/>
      </c>
      <c r="K1534" s="43"/>
      <c r="L1534" s="41" t="str" cm="1">
        <f t="array" ref="L1534">IFERROR(INDEX(DB!R$2:R$2576,T1534),"")</f>
        <v/>
      </c>
      <c r="M1534" s="43"/>
      <c r="P1534" t="str" cm="1">
        <f t="array" ref="P1534">IFERROR(_xlfn.AGGREGATE(15,6,ROW(DB!A$2:A$2576)/((($D$3&lt;&gt;"YES")+($D$3="YES")*(DB!E$2:E$2576="YES"))*(($D$4="")+($D$4&lt;&gt;"")*( DB!B$2:B$2576=$D$4))*(($D$5="")+($D$5&lt;&gt;"")*( DB!C$2:C$2576=$D$5))*(($D$6="")+($D$6&lt;&gt;"")*( DB!D$2:D$2576=$D$6))*(($D$7="")+($D$7&lt;&gt;"")*(ISNUMBER(SEARCH($D$7,DB!G$2:G$2576))))*(($F$7="전체")+($F$7&lt;&gt;"전체")*(DB!H$2:H$2576=$F$7))),ROW()-13)-1,"")</f>
        <v/>
      </c>
      <c r="Q1534" t="str" cm="1">
        <f t="array" ref="Q1534">IFERROR(INDEX(DB!G$2:G$2576,P1534),"")</f>
        <v/>
      </c>
      <c r="R1534" t="str" cm="1">
        <f t="array" ref="R1534">IFERROR(INDEX(DB!O$2:O$2576,P1534),"")</f>
        <v/>
      </c>
      <c r="S1534" t="str">
        <f t="shared" si="72"/>
        <v/>
      </c>
      <c r="T1534" t="str">
        <f t="shared" si="73"/>
        <v/>
      </c>
    </row>
    <row r="1535" spans="1:20" ht="100" customHeight="1">
      <c r="A1535" s="26"/>
      <c r="B1535" s="42" t="str">
        <f t="shared" si="71"/>
        <v/>
      </c>
      <c r="C1535" s="43"/>
      <c r="D1535" s="51" t="str" cm="1">
        <f t="array" ref="D1535">IFERROR(INDEX(DB!G$2:G$2576,T1535),"")</f>
        <v/>
      </c>
      <c r="E1535" s="43"/>
      <c r="F1535" s="52" t="str" cm="1">
        <f t="array" ref="F1535">IFERROR(INDEX(DB!O$2:O$2576,T1535),"")</f>
        <v/>
      </c>
      <c r="G1535" s="43"/>
      <c r="H1535" s="40" t="str" cm="1">
        <f t="array" ref="H1535">IFERROR(INDEX(DB!P$2:P$2576,T1535),"")</f>
        <v/>
      </c>
      <c r="I1535" s="43"/>
      <c r="J1535" s="53" t="str" cm="1">
        <f t="array" ref="J1535">IFERROR(INDEX(DB!Q$2:Q$2576,T1535),"")</f>
        <v/>
      </c>
      <c r="K1535" s="43"/>
      <c r="L1535" s="41" t="str" cm="1">
        <f t="array" ref="L1535">IFERROR(INDEX(DB!R$2:R$2576,T1535),"")</f>
        <v/>
      </c>
      <c r="M1535" s="43"/>
      <c r="P1535" t="str" cm="1">
        <f t="array" ref="P1535">IFERROR(_xlfn.AGGREGATE(15,6,ROW(DB!A$2:A$2576)/((($D$3&lt;&gt;"YES")+($D$3="YES")*(DB!E$2:E$2576="YES"))*(($D$4="")+($D$4&lt;&gt;"")*( DB!B$2:B$2576=$D$4))*(($D$5="")+($D$5&lt;&gt;"")*( DB!C$2:C$2576=$D$5))*(($D$6="")+($D$6&lt;&gt;"")*( DB!D$2:D$2576=$D$6))*(($D$7="")+($D$7&lt;&gt;"")*(ISNUMBER(SEARCH($D$7,DB!G$2:G$2576))))*(($F$7="전체")+($F$7&lt;&gt;"전체")*(DB!H$2:H$2576=$F$7))),ROW()-13)-1,"")</f>
        <v/>
      </c>
      <c r="Q1535" t="str" cm="1">
        <f t="array" ref="Q1535">IFERROR(INDEX(DB!G$2:G$2576,P1535),"")</f>
        <v/>
      </c>
      <c r="R1535" t="str" cm="1">
        <f t="array" ref="R1535">IFERROR(INDEX(DB!O$2:O$2576,P1535),"")</f>
        <v/>
      </c>
      <c r="S1535" t="str">
        <f t="shared" si="72"/>
        <v/>
      </c>
      <c r="T1535" t="str">
        <f t="shared" si="73"/>
        <v/>
      </c>
    </row>
    <row r="1536" spans="1:20" ht="100" customHeight="1">
      <c r="A1536" s="26"/>
      <c r="B1536" s="39" t="str">
        <f t="shared" si="71"/>
        <v/>
      </c>
      <c r="C1536" s="43"/>
      <c r="D1536" s="51" t="str" cm="1">
        <f t="array" ref="D1536">IFERROR(INDEX(DB!G$2:G$2576,T1536),"")</f>
        <v/>
      </c>
      <c r="E1536" s="43"/>
      <c r="F1536" s="52" t="str" cm="1">
        <f t="array" ref="F1536">IFERROR(INDEX(DB!O$2:O$2576,T1536),"")</f>
        <v/>
      </c>
      <c r="G1536" s="43"/>
      <c r="H1536" s="40" t="str" cm="1">
        <f t="array" ref="H1536">IFERROR(INDEX(DB!P$2:P$2576,T1536),"")</f>
        <v/>
      </c>
      <c r="I1536" s="43"/>
      <c r="J1536" s="53" t="str" cm="1">
        <f t="array" ref="J1536">IFERROR(INDEX(DB!Q$2:Q$2576,T1536),"")</f>
        <v/>
      </c>
      <c r="K1536" s="43"/>
      <c r="L1536" s="41" t="str" cm="1">
        <f t="array" ref="L1536">IFERROR(INDEX(DB!R$2:R$2576,T1536),"")</f>
        <v/>
      </c>
      <c r="M1536" s="43"/>
      <c r="P1536" t="str" cm="1">
        <f t="array" ref="P1536">IFERROR(_xlfn.AGGREGATE(15,6,ROW(DB!A$2:A$2576)/((($D$3&lt;&gt;"YES")+($D$3="YES")*(DB!E$2:E$2576="YES"))*(($D$4="")+($D$4&lt;&gt;"")*( DB!B$2:B$2576=$D$4))*(($D$5="")+($D$5&lt;&gt;"")*( DB!C$2:C$2576=$D$5))*(($D$6="")+($D$6&lt;&gt;"")*( DB!D$2:D$2576=$D$6))*(($D$7="")+($D$7&lt;&gt;"")*(ISNUMBER(SEARCH($D$7,DB!G$2:G$2576))))*(($F$7="전체")+($F$7&lt;&gt;"전체")*(DB!H$2:H$2576=$F$7))),ROW()-13)-1,"")</f>
        <v/>
      </c>
      <c r="Q1536" t="str" cm="1">
        <f t="array" ref="Q1536">IFERROR(INDEX(DB!G$2:G$2576,P1536),"")</f>
        <v/>
      </c>
      <c r="R1536" t="str" cm="1">
        <f t="array" ref="R1536">IFERROR(INDEX(DB!O$2:O$2576,P1536),"")</f>
        <v/>
      </c>
      <c r="S1536" t="str">
        <f t="shared" si="72"/>
        <v/>
      </c>
      <c r="T1536" t="str">
        <f t="shared" si="73"/>
        <v/>
      </c>
    </row>
    <row r="1537" spans="1:20" ht="100" customHeight="1">
      <c r="A1537" s="26"/>
      <c r="B1537" s="42" t="str">
        <f t="shared" si="71"/>
        <v/>
      </c>
      <c r="C1537" s="43"/>
      <c r="D1537" s="51" t="str" cm="1">
        <f t="array" ref="D1537">IFERROR(INDEX(DB!G$2:G$2576,T1537),"")</f>
        <v/>
      </c>
      <c r="E1537" s="43"/>
      <c r="F1537" s="52" t="str" cm="1">
        <f t="array" ref="F1537">IFERROR(INDEX(DB!O$2:O$2576,T1537),"")</f>
        <v/>
      </c>
      <c r="G1537" s="43"/>
      <c r="H1537" s="40" t="str" cm="1">
        <f t="array" ref="H1537">IFERROR(INDEX(DB!P$2:P$2576,T1537),"")</f>
        <v/>
      </c>
      <c r="I1537" s="43"/>
      <c r="J1537" s="53" t="str" cm="1">
        <f t="array" ref="J1537">IFERROR(INDEX(DB!Q$2:Q$2576,T1537),"")</f>
        <v/>
      </c>
      <c r="K1537" s="43"/>
      <c r="L1537" s="41" t="str" cm="1">
        <f t="array" ref="L1537">IFERROR(INDEX(DB!R$2:R$2576,T1537),"")</f>
        <v/>
      </c>
      <c r="M1537" s="43"/>
      <c r="P1537" t="str" cm="1">
        <f t="array" ref="P1537">IFERROR(_xlfn.AGGREGATE(15,6,ROW(DB!A$2:A$2576)/((($D$3&lt;&gt;"YES")+($D$3="YES")*(DB!E$2:E$2576="YES"))*(($D$4="")+($D$4&lt;&gt;"")*( DB!B$2:B$2576=$D$4))*(($D$5="")+($D$5&lt;&gt;"")*( DB!C$2:C$2576=$D$5))*(($D$6="")+($D$6&lt;&gt;"")*( DB!D$2:D$2576=$D$6))*(($D$7="")+($D$7&lt;&gt;"")*(ISNUMBER(SEARCH($D$7,DB!G$2:G$2576))))*(($F$7="전체")+($F$7&lt;&gt;"전체")*(DB!H$2:H$2576=$F$7))),ROW()-13)-1,"")</f>
        <v/>
      </c>
      <c r="Q1537" t="str" cm="1">
        <f t="array" ref="Q1537">IFERROR(INDEX(DB!G$2:G$2576,P1537),"")</f>
        <v/>
      </c>
      <c r="R1537" t="str" cm="1">
        <f t="array" ref="R1537">IFERROR(INDEX(DB!O$2:O$2576,P1537),"")</f>
        <v/>
      </c>
      <c r="S1537" t="str">
        <f t="shared" si="72"/>
        <v/>
      </c>
      <c r="T1537" t="str">
        <f t="shared" si="73"/>
        <v/>
      </c>
    </row>
    <row r="1538" spans="1:20" ht="100" customHeight="1">
      <c r="A1538" s="26"/>
      <c r="B1538" s="39" t="str">
        <f t="shared" si="71"/>
        <v/>
      </c>
      <c r="C1538" s="43"/>
      <c r="D1538" s="51" t="str" cm="1">
        <f t="array" ref="D1538">IFERROR(INDEX(DB!G$2:G$2576,T1538),"")</f>
        <v/>
      </c>
      <c r="E1538" s="43"/>
      <c r="F1538" s="52" t="str" cm="1">
        <f t="array" ref="F1538">IFERROR(INDEX(DB!O$2:O$2576,T1538),"")</f>
        <v/>
      </c>
      <c r="G1538" s="43"/>
      <c r="H1538" s="40" t="str" cm="1">
        <f t="array" ref="H1538">IFERROR(INDEX(DB!P$2:P$2576,T1538),"")</f>
        <v/>
      </c>
      <c r="I1538" s="43"/>
      <c r="J1538" s="53" t="str" cm="1">
        <f t="array" ref="J1538">IFERROR(INDEX(DB!Q$2:Q$2576,T1538),"")</f>
        <v/>
      </c>
      <c r="K1538" s="43"/>
      <c r="L1538" s="41" t="str" cm="1">
        <f t="array" ref="L1538">IFERROR(INDEX(DB!R$2:R$2576,T1538),"")</f>
        <v/>
      </c>
      <c r="M1538" s="43"/>
      <c r="P1538" t="str" cm="1">
        <f t="array" ref="P1538">IFERROR(_xlfn.AGGREGATE(15,6,ROW(DB!A$2:A$2576)/((($D$3&lt;&gt;"YES")+($D$3="YES")*(DB!E$2:E$2576="YES"))*(($D$4="")+($D$4&lt;&gt;"")*( DB!B$2:B$2576=$D$4))*(($D$5="")+($D$5&lt;&gt;"")*( DB!C$2:C$2576=$D$5))*(($D$6="")+($D$6&lt;&gt;"")*( DB!D$2:D$2576=$D$6))*(($D$7="")+($D$7&lt;&gt;"")*(ISNUMBER(SEARCH($D$7,DB!G$2:G$2576))))*(($F$7="전체")+($F$7&lt;&gt;"전체")*(DB!H$2:H$2576=$F$7))),ROW()-13)-1,"")</f>
        <v/>
      </c>
      <c r="Q1538" t="str" cm="1">
        <f t="array" ref="Q1538">IFERROR(INDEX(DB!G$2:G$2576,P1538),"")</f>
        <v/>
      </c>
      <c r="R1538" t="str" cm="1">
        <f t="array" ref="R1538">IFERROR(INDEX(DB!O$2:O$2576,P1538),"")</f>
        <v/>
      </c>
      <c r="S1538" t="str">
        <f t="shared" si="72"/>
        <v/>
      </c>
      <c r="T1538" t="str">
        <f t="shared" si="73"/>
        <v/>
      </c>
    </row>
    <row r="1539" spans="1:20" ht="100" customHeight="1">
      <c r="A1539" s="26"/>
      <c r="B1539" s="42" t="str">
        <f t="shared" si="71"/>
        <v/>
      </c>
      <c r="C1539" s="43"/>
      <c r="D1539" s="51" t="str" cm="1">
        <f t="array" ref="D1539">IFERROR(INDEX(DB!G$2:G$2576,T1539),"")</f>
        <v/>
      </c>
      <c r="E1539" s="43"/>
      <c r="F1539" s="52" t="str" cm="1">
        <f t="array" ref="F1539">IFERROR(INDEX(DB!O$2:O$2576,T1539),"")</f>
        <v/>
      </c>
      <c r="G1539" s="43"/>
      <c r="H1539" s="40" t="str" cm="1">
        <f t="array" ref="H1539">IFERROR(INDEX(DB!P$2:P$2576,T1539),"")</f>
        <v/>
      </c>
      <c r="I1539" s="43"/>
      <c r="J1539" s="53" t="str" cm="1">
        <f t="array" ref="J1539">IFERROR(INDEX(DB!Q$2:Q$2576,T1539),"")</f>
        <v/>
      </c>
      <c r="K1539" s="43"/>
      <c r="L1539" s="41" t="str" cm="1">
        <f t="array" ref="L1539">IFERROR(INDEX(DB!R$2:R$2576,T1539),"")</f>
        <v/>
      </c>
      <c r="M1539" s="43"/>
      <c r="P1539" t="str" cm="1">
        <f t="array" ref="P1539">IFERROR(_xlfn.AGGREGATE(15,6,ROW(DB!A$2:A$2576)/((($D$3&lt;&gt;"YES")+($D$3="YES")*(DB!E$2:E$2576="YES"))*(($D$4="")+($D$4&lt;&gt;"")*( DB!B$2:B$2576=$D$4))*(($D$5="")+($D$5&lt;&gt;"")*( DB!C$2:C$2576=$D$5))*(($D$6="")+($D$6&lt;&gt;"")*( DB!D$2:D$2576=$D$6))*(($D$7="")+($D$7&lt;&gt;"")*(ISNUMBER(SEARCH($D$7,DB!G$2:G$2576))))*(($F$7="전체")+($F$7&lt;&gt;"전체")*(DB!H$2:H$2576=$F$7))),ROW()-13)-1,"")</f>
        <v/>
      </c>
      <c r="Q1539" t="str" cm="1">
        <f t="array" ref="Q1539">IFERROR(INDEX(DB!G$2:G$2576,P1539),"")</f>
        <v/>
      </c>
      <c r="R1539" t="str" cm="1">
        <f t="array" ref="R1539">IFERROR(INDEX(DB!O$2:O$2576,P1539),"")</f>
        <v/>
      </c>
      <c r="S1539" t="str">
        <f t="shared" si="72"/>
        <v/>
      </c>
      <c r="T1539" t="str">
        <f t="shared" si="73"/>
        <v/>
      </c>
    </row>
    <row r="1540" spans="1:20" ht="100" customHeight="1">
      <c r="A1540" s="26"/>
      <c r="B1540" s="39" t="str">
        <f t="shared" si="71"/>
        <v/>
      </c>
      <c r="C1540" s="43"/>
      <c r="D1540" s="51" t="str" cm="1">
        <f t="array" ref="D1540">IFERROR(INDEX(DB!G$2:G$2576,T1540),"")</f>
        <v/>
      </c>
      <c r="E1540" s="43"/>
      <c r="F1540" s="52" t="str" cm="1">
        <f t="array" ref="F1540">IFERROR(INDEX(DB!O$2:O$2576,T1540),"")</f>
        <v/>
      </c>
      <c r="G1540" s="43"/>
      <c r="H1540" s="40" t="str" cm="1">
        <f t="array" ref="H1540">IFERROR(INDEX(DB!P$2:P$2576,T1540),"")</f>
        <v/>
      </c>
      <c r="I1540" s="43"/>
      <c r="J1540" s="53" t="str" cm="1">
        <f t="array" ref="J1540">IFERROR(INDEX(DB!Q$2:Q$2576,T1540),"")</f>
        <v/>
      </c>
      <c r="K1540" s="43"/>
      <c r="L1540" s="41" t="str" cm="1">
        <f t="array" ref="L1540">IFERROR(INDEX(DB!R$2:R$2576,T1540),"")</f>
        <v/>
      </c>
      <c r="M1540" s="43"/>
      <c r="P1540" t="str" cm="1">
        <f t="array" ref="P1540">IFERROR(_xlfn.AGGREGATE(15,6,ROW(DB!A$2:A$2576)/((($D$3&lt;&gt;"YES")+($D$3="YES")*(DB!E$2:E$2576="YES"))*(($D$4="")+($D$4&lt;&gt;"")*( DB!B$2:B$2576=$D$4))*(($D$5="")+($D$5&lt;&gt;"")*( DB!C$2:C$2576=$D$5))*(($D$6="")+($D$6&lt;&gt;"")*( DB!D$2:D$2576=$D$6))*(($D$7="")+($D$7&lt;&gt;"")*(ISNUMBER(SEARCH($D$7,DB!G$2:G$2576))))*(($F$7="전체")+($F$7&lt;&gt;"전체")*(DB!H$2:H$2576=$F$7))),ROW()-13)-1,"")</f>
        <v/>
      </c>
      <c r="Q1540" t="str" cm="1">
        <f t="array" ref="Q1540">IFERROR(INDEX(DB!G$2:G$2576,P1540),"")</f>
        <v/>
      </c>
      <c r="R1540" t="str" cm="1">
        <f t="array" ref="R1540">IFERROR(INDEX(DB!O$2:O$2576,P1540),"")</f>
        <v/>
      </c>
      <c r="S1540" t="str">
        <f t="shared" si="72"/>
        <v/>
      </c>
      <c r="T1540" t="str">
        <f t="shared" si="73"/>
        <v/>
      </c>
    </row>
    <row r="1541" spans="1:20" ht="100" customHeight="1">
      <c r="A1541" s="26"/>
      <c r="B1541" s="42" t="str">
        <f t="shared" si="71"/>
        <v/>
      </c>
      <c r="C1541" s="43"/>
      <c r="D1541" s="51" t="str" cm="1">
        <f t="array" ref="D1541">IFERROR(INDEX(DB!G$2:G$2576,T1541),"")</f>
        <v/>
      </c>
      <c r="E1541" s="43"/>
      <c r="F1541" s="52" t="str" cm="1">
        <f t="array" ref="F1541">IFERROR(INDEX(DB!O$2:O$2576,T1541),"")</f>
        <v/>
      </c>
      <c r="G1541" s="43"/>
      <c r="H1541" s="40" t="str" cm="1">
        <f t="array" ref="H1541">IFERROR(INDEX(DB!P$2:P$2576,T1541),"")</f>
        <v/>
      </c>
      <c r="I1541" s="43"/>
      <c r="J1541" s="53" t="str" cm="1">
        <f t="array" ref="J1541">IFERROR(INDEX(DB!Q$2:Q$2576,T1541),"")</f>
        <v/>
      </c>
      <c r="K1541" s="43"/>
      <c r="L1541" s="41" t="str" cm="1">
        <f t="array" ref="L1541">IFERROR(INDEX(DB!R$2:R$2576,T1541),"")</f>
        <v/>
      </c>
      <c r="M1541" s="43"/>
      <c r="P1541" t="str" cm="1">
        <f t="array" ref="P1541">IFERROR(_xlfn.AGGREGATE(15,6,ROW(DB!A$2:A$2576)/((($D$3&lt;&gt;"YES")+($D$3="YES")*(DB!E$2:E$2576="YES"))*(($D$4="")+($D$4&lt;&gt;"")*( DB!B$2:B$2576=$D$4))*(($D$5="")+($D$5&lt;&gt;"")*( DB!C$2:C$2576=$D$5))*(($D$6="")+($D$6&lt;&gt;"")*( DB!D$2:D$2576=$D$6))*(($D$7="")+($D$7&lt;&gt;"")*(ISNUMBER(SEARCH($D$7,DB!G$2:G$2576))))*(($F$7="전체")+($F$7&lt;&gt;"전체")*(DB!H$2:H$2576=$F$7))),ROW()-13)-1,"")</f>
        <v/>
      </c>
      <c r="Q1541" t="str" cm="1">
        <f t="array" ref="Q1541">IFERROR(INDEX(DB!G$2:G$2576,P1541),"")</f>
        <v/>
      </c>
      <c r="R1541" t="str" cm="1">
        <f t="array" ref="R1541">IFERROR(INDEX(DB!O$2:O$2576,P1541),"")</f>
        <v/>
      </c>
      <c r="S1541" t="str">
        <f t="shared" si="72"/>
        <v/>
      </c>
      <c r="T1541" t="str">
        <f t="shared" si="73"/>
        <v/>
      </c>
    </row>
    <row r="1542" spans="1:20" ht="100" customHeight="1">
      <c r="A1542" s="26"/>
      <c r="B1542" s="39" t="str">
        <f t="shared" si="71"/>
        <v/>
      </c>
      <c r="C1542" s="43"/>
      <c r="D1542" s="51" t="str" cm="1">
        <f t="array" ref="D1542">IFERROR(INDEX(DB!G$2:G$2576,T1542),"")</f>
        <v/>
      </c>
      <c r="E1542" s="43"/>
      <c r="F1542" s="52" t="str" cm="1">
        <f t="array" ref="F1542">IFERROR(INDEX(DB!O$2:O$2576,T1542),"")</f>
        <v/>
      </c>
      <c r="G1542" s="43"/>
      <c r="H1542" s="40" t="str" cm="1">
        <f t="array" ref="H1542">IFERROR(INDEX(DB!P$2:P$2576,T1542),"")</f>
        <v/>
      </c>
      <c r="I1542" s="43"/>
      <c r="J1542" s="53" t="str" cm="1">
        <f t="array" ref="J1542">IFERROR(INDEX(DB!Q$2:Q$2576,T1542),"")</f>
        <v/>
      </c>
      <c r="K1542" s="43"/>
      <c r="L1542" s="41" t="str" cm="1">
        <f t="array" ref="L1542">IFERROR(INDEX(DB!R$2:R$2576,T1542),"")</f>
        <v/>
      </c>
      <c r="M1542" s="43"/>
      <c r="P1542" t="str" cm="1">
        <f t="array" ref="P1542">IFERROR(_xlfn.AGGREGATE(15,6,ROW(DB!A$2:A$2576)/((($D$3&lt;&gt;"YES")+($D$3="YES")*(DB!E$2:E$2576="YES"))*(($D$4="")+($D$4&lt;&gt;"")*( DB!B$2:B$2576=$D$4))*(($D$5="")+($D$5&lt;&gt;"")*( DB!C$2:C$2576=$D$5))*(($D$6="")+($D$6&lt;&gt;"")*( DB!D$2:D$2576=$D$6))*(($D$7="")+($D$7&lt;&gt;"")*(ISNUMBER(SEARCH($D$7,DB!G$2:G$2576))))*(($F$7="전체")+($F$7&lt;&gt;"전체")*(DB!H$2:H$2576=$F$7))),ROW()-13)-1,"")</f>
        <v/>
      </c>
      <c r="Q1542" t="str" cm="1">
        <f t="array" ref="Q1542">IFERROR(INDEX(DB!G$2:G$2576,P1542),"")</f>
        <v/>
      </c>
      <c r="R1542" t="str" cm="1">
        <f t="array" ref="R1542">IFERROR(INDEX(DB!O$2:O$2576,P1542),"")</f>
        <v/>
      </c>
      <c r="S1542" t="str">
        <f t="shared" si="72"/>
        <v/>
      </c>
      <c r="T1542" t="str">
        <f t="shared" si="73"/>
        <v/>
      </c>
    </row>
    <row r="1543" spans="1:20" ht="100" customHeight="1">
      <c r="A1543" s="26"/>
      <c r="B1543" s="42" t="str">
        <f t="shared" si="71"/>
        <v/>
      </c>
      <c r="C1543" s="43"/>
      <c r="D1543" s="51" t="str" cm="1">
        <f t="array" ref="D1543">IFERROR(INDEX(DB!G$2:G$2576,T1543),"")</f>
        <v/>
      </c>
      <c r="E1543" s="43"/>
      <c r="F1543" s="52" t="str" cm="1">
        <f t="array" ref="F1543">IFERROR(INDEX(DB!O$2:O$2576,T1543),"")</f>
        <v/>
      </c>
      <c r="G1543" s="43"/>
      <c r="H1543" s="40" t="str" cm="1">
        <f t="array" ref="H1543">IFERROR(INDEX(DB!P$2:P$2576,T1543),"")</f>
        <v/>
      </c>
      <c r="I1543" s="43"/>
      <c r="J1543" s="53" t="str" cm="1">
        <f t="array" ref="J1543">IFERROR(INDEX(DB!Q$2:Q$2576,T1543),"")</f>
        <v/>
      </c>
      <c r="K1543" s="43"/>
      <c r="L1543" s="41" t="str" cm="1">
        <f t="array" ref="L1543">IFERROR(INDEX(DB!R$2:R$2576,T1543),"")</f>
        <v/>
      </c>
      <c r="M1543" s="43"/>
      <c r="P1543" t="str" cm="1">
        <f t="array" ref="P1543">IFERROR(_xlfn.AGGREGATE(15,6,ROW(DB!A$2:A$2576)/((($D$3&lt;&gt;"YES")+($D$3="YES")*(DB!E$2:E$2576="YES"))*(($D$4="")+($D$4&lt;&gt;"")*( DB!B$2:B$2576=$D$4))*(($D$5="")+($D$5&lt;&gt;"")*( DB!C$2:C$2576=$D$5))*(($D$6="")+($D$6&lt;&gt;"")*( DB!D$2:D$2576=$D$6))*(($D$7="")+($D$7&lt;&gt;"")*(ISNUMBER(SEARCH($D$7,DB!G$2:G$2576))))*(($F$7="전체")+($F$7&lt;&gt;"전체")*(DB!H$2:H$2576=$F$7))),ROW()-13)-1,"")</f>
        <v/>
      </c>
      <c r="Q1543" t="str" cm="1">
        <f t="array" ref="Q1543">IFERROR(INDEX(DB!G$2:G$2576,P1543),"")</f>
        <v/>
      </c>
      <c r="R1543" t="str" cm="1">
        <f t="array" ref="R1543">IFERROR(INDEX(DB!O$2:O$2576,P1543),"")</f>
        <v/>
      </c>
      <c r="S1543" t="str">
        <f t="shared" si="72"/>
        <v/>
      </c>
      <c r="T1543" t="str">
        <f t="shared" si="73"/>
        <v/>
      </c>
    </row>
    <row r="1544" spans="1:20" ht="100" customHeight="1">
      <c r="A1544" s="26"/>
      <c r="B1544" s="39" t="str">
        <f t="shared" si="71"/>
        <v/>
      </c>
      <c r="C1544" s="43"/>
      <c r="D1544" s="51" t="str" cm="1">
        <f t="array" ref="D1544">IFERROR(INDEX(DB!G$2:G$2576,T1544),"")</f>
        <v/>
      </c>
      <c r="E1544" s="43"/>
      <c r="F1544" s="52" t="str" cm="1">
        <f t="array" ref="F1544">IFERROR(INDEX(DB!O$2:O$2576,T1544),"")</f>
        <v/>
      </c>
      <c r="G1544" s="43"/>
      <c r="H1544" s="40" t="str" cm="1">
        <f t="array" ref="H1544">IFERROR(INDEX(DB!P$2:P$2576,T1544),"")</f>
        <v/>
      </c>
      <c r="I1544" s="43"/>
      <c r="J1544" s="53" t="str" cm="1">
        <f t="array" ref="J1544">IFERROR(INDEX(DB!Q$2:Q$2576,T1544),"")</f>
        <v/>
      </c>
      <c r="K1544" s="43"/>
      <c r="L1544" s="41" t="str" cm="1">
        <f t="array" ref="L1544">IFERROR(INDEX(DB!R$2:R$2576,T1544),"")</f>
        <v/>
      </c>
      <c r="M1544" s="43"/>
      <c r="P1544" t="str" cm="1">
        <f t="array" ref="P1544">IFERROR(_xlfn.AGGREGATE(15,6,ROW(DB!A$2:A$2576)/((($D$3&lt;&gt;"YES")+($D$3="YES")*(DB!E$2:E$2576="YES"))*(($D$4="")+($D$4&lt;&gt;"")*( DB!B$2:B$2576=$D$4))*(($D$5="")+($D$5&lt;&gt;"")*( DB!C$2:C$2576=$D$5))*(($D$6="")+($D$6&lt;&gt;"")*( DB!D$2:D$2576=$D$6))*(($D$7="")+($D$7&lt;&gt;"")*(ISNUMBER(SEARCH($D$7,DB!G$2:G$2576))))*(($F$7="전체")+($F$7&lt;&gt;"전체")*(DB!H$2:H$2576=$F$7))),ROW()-13)-1,"")</f>
        <v/>
      </c>
      <c r="Q1544" t="str" cm="1">
        <f t="array" ref="Q1544">IFERROR(INDEX(DB!G$2:G$2576,P1544),"")</f>
        <v/>
      </c>
      <c r="R1544" t="str" cm="1">
        <f t="array" ref="R1544">IFERROR(INDEX(DB!O$2:O$2576,P1544),"")</f>
        <v/>
      </c>
      <c r="S1544" t="str">
        <f t="shared" si="72"/>
        <v/>
      </c>
      <c r="T1544" t="str">
        <f t="shared" si="73"/>
        <v/>
      </c>
    </row>
    <row r="1545" spans="1:20" ht="100" customHeight="1">
      <c r="A1545" s="26"/>
      <c r="B1545" s="42" t="str">
        <f t="shared" si="71"/>
        <v/>
      </c>
      <c r="C1545" s="43"/>
      <c r="D1545" s="51" t="str" cm="1">
        <f t="array" ref="D1545">IFERROR(INDEX(DB!G$2:G$2576,T1545),"")</f>
        <v/>
      </c>
      <c r="E1545" s="43"/>
      <c r="F1545" s="52" t="str" cm="1">
        <f t="array" ref="F1545">IFERROR(INDEX(DB!O$2:O$2576,T1545),"")</f>
        <v/>
      </c>
      <c r="G1545" s="43"/>
      <c r="H1545" s="40" t="str" cm="1">
        <f t="array" ref="H1545">IFERROR(INDEX(DB!P$2:P$2576,T1545),"")</f>
        <v/>
      </c>
      <c r="I1545" s="43"/>
      <c r="J1545" s="53" t="str" cm="1">
        <f t="array" ref="J1545">IFERROR(INDEX(DB!Q$2:Q$2576,T1545),"")</f>
        <v/>
      </c>
      <c r="K1545" s="43"/>
      <c r="L1545" s="41" t="str" cm="1">
        <f t="array" ref="L1545">IFERROR(INDEX(DB!R$2:R$2576,T1545),"")</f>
        <v/>
      </c>
      <c r="M1545" s="43"/>
      <c r="P1545" t="str" cm="1">
        <f t="array" ref="P1545">IFERROR(_xlfn.AGGREGATE(15,6,ROW(DB!A$2:A$2576)/((($D$3&lt;&gt;"YES")+($D$3="YES")*(DB!E$2:E$2576="YES"))*(($D$4="")+($D$4&lt;&gt;"")*( DB!B$2:B$2576=$D$4))*(($D$5="")+($D$5&lt;&gt;"")*( DB!C$2:C$2576=$D$5))*(($D$6="")+($D$6&lt;&gt;"")*( DB!D$2:D$2576=$D$6))*(($D$7="")+($D$7&lt;&gt;"")*(ISNUMBER(SEARCH($D$7,DB!G$2:G$2576))))*(($F$7="전체")+($F$7&lt;&gt;"전체")*(DB!H$2:H$2576=$F$7))),ROW()-13)-1,"")</f>
        <v/>
      </c>
      <c r="Q1545" t="str" cm="1">
        <f t="array" ref="Q1545">IFERROR(INDEX(DB!G$2:G$2576,P1545),"")</f>
        <v/>
      </c>
      <c r="R1545" t="str" cm="1">
        <f t="array" ref="R1545">IFERROR(INDEX(DB!O$2:O$2576,P1545),"")</f>
        <v/>
      </c>
      <c r="S1545" t="str">
        <f t="shared" si="72"/>
        <v/>
      </c>
      <c r="T1545" t="str">
        <f t="shared" si="73"/>
        <v/>
      </c>
    </row>
    <row r="1546" spans="1:20" ht="100" customHeight="1">
      <c r="A1546" s="26"/>
      <c r="B1546" s="39" t="str">
        <f t="shared" si="71"/>
        <v/>
      </c>
      <c r="C1546" s="43"/>
      <c r="D1546" s="51" t="str" cm="1">
        <f t="array" ref="D1546">IFERROR(INDEX(DB!G$2:G$2576,T1546),"")</f>
        <v/>
      </c>
      <c r="E1546" s="43"/>
      <c r="F1546" s="52" t="str" cm="1">
        <f t="array" ref="F1546">IFERROR(INDEX(DB!O$2:O$2576,T1546),"")</f>
        <v/>
      </c>
      <c r="G1546" s="43"/>
      <c r="H1546" s="40" t="str" cm="1">
        <f t="array" ref="H1546">IFERROR(INDEX(DB!P$2:P$2576,T1546),"")</f>
        <v/>
      </c>
      <c r="I1546" s="43"/>
      <c r="J1546" s="53" t="str" cm="1">
        <f t="array" ref="J1546">IFERROR(INDEX(DB!Q$2:Q$2576,T1546),"")</f>
        <v/>
      </c>
      <c r="K1546" s="43"/>
      <c r="L1546" s="41" t="str" cm="1">
        <f t="array" ref="L1546">IFERROR(INDEX(DB!R$2:R$2576,T1546),"")</f>
        <v/>
      </c>
      <c r="M1546" s="43"/>
      <c r="P1546" t="str" cm="1">
        <f t="array" ref="P1546">IFERROR(_xlfn.AGGREGATE(15,6,ROW(DB!A$2:A$2576)/((($D$3&lt;&gt;"YES")+($D$3="YES")*(DB!E$2:E$2576="YES"))*(($D$4="")+($D$4&lt;&gt;"")*( DB!B$2:B$2576=$D$4))*(($D$5="")+($D$5&lt;&gt;"")*( DB!C$2:C$2576=$D$5))*(($D$6="")+($D$6&lt;&gt;"")*( DB!D$2:D$2576=$D$6))*(($D$7="")+($D$7&lt;&gt;"")*(ISNUMBER(SEARCH($D$7,DB!G$2:G$2576))))*(($F$7="전체")+($F$7&lt;&gt;"전체")*(DB!H$2:H$2576=$F$7))),ROW()-13)-1,"")</f>
        <v/>
      </c>
      <c r="Q1546" t="str" cm="1">
        <f t="array" ref="Q1546">IFERROR(INDEX(DB!G$2:G$2576,P1546),"")</f>
        <v/>
      </c>
      <c r="R1546" t="str" cm="1">
        <f t="array" ref="R1546">IFERROR(INDEX(DB!O$2:O$2576,P1546),"")</f>
        <v/>
      </c>
      <c r="S1546" t="str">
        <f t="shared" si="72"/>
        <v/>
      </c>
      <c r="T1546" t="str">
        <f t="shared" si="73"/>
        <v/>
      </c>
    </row>
    <row r="1547" spans="1:20" ht="100" customHeight="1">
      <c r="A1547" s="26"/>
      <c r="B1547" s="42" t="str">
        <f t="shared" si="71"/>
        <v/>
      </c>
      <c r="C1547" s="43"/>
      <c r="D1547" s="51" t="str" cm="1">
        <f t="array" ref="D1547">IFERROR(INDEX(DB!G$2:G$2576,T1547),"")</f>
        <v/>
      </c>
      <c r="E1547" s="43"/>
      <c r="F1547" s="52" t="str" cm="1">
        <f t="array" ref="F1547">IFERROR(INDEX(DB!O$2:O$2576,T1547),"")</f>
        <v/>
      </c>
      <c r="G1547" s="43"/>
      <c r="H1547" s="40" t="str" cm="1">
        <f t="array" ref="H1547">IFERROR(INDEX(DB!P$2:P$2576,T1547),"")</f>
        <v/>
      </c>
      <c r="I1547" s="43"/>
      <c r="J1547" s="53" t="str" cm="1">
        <f t="array" ref="J1547">IFERROR(INDEX(DB!Q$2:Q$2576,T1547),"")</f>
        <v/>
      </c>
      <c r="K1547" s="43"/>
      <c r="L1547" s="41" t="str" cm="1">
        <f t="array" ref="L1547">IFERROR(INDEX(DB!R$2:R$2576,T1547),"")</f>
        <v/>
      </c>
      <c r="M1547" s="43"/>
      <c r="P1547" t="str" cm="1">
        <f t="array" ref="P1547">IFERROR(_xlfn.AGGREGATE(15,6,ROW(DB!A$2:A$2576)/((($D$3&lt;&gt;"YES")+($D$3="YES")*(DB!E$2:E$2576="YES"))*(($D$4="")+($D$4&lt;&gt;"")*( DB!B$2:B$2576=$D$4))*(($D$5="")+($D$5&lt;&gt;"")*( DB!C$2:C$2576=$D$5))*(($D$6="")+($D$6&lt;&gt;"")*( DB!D$2:D$2576=$D$6))*(($D$7="")+($D$7&lt;&gt;"")*(ISNUMBER(SEARCH($D$7,DB!G$2:G$2576))))*(($F$7="전체")+($F$7&lt;&gt;"전체")*(DB!H$2:H$2576=$F$7))),ROW()-13)-1,"")</f>
        <v/>
      </c>
      <c r="Q1547" t="str" cm="1">
        <f t="array" ref="Q1547">IFERROR(INDEX(DB!G$2:G$2576,P1547),"")</f>
        <v/>
      </c>
      <c r="R1547" t="str" cm="1">
        <f t="array" ref="R1547">IFERROR(INDEX(DB!O$2:O$2576,P1547),"")</f>
        <v/>
      </c>
      <c r="S1547" t="str">
        <f t="shared" si="72"/>
        <v/>
      </c>
      <c r="T1547" t="str">
        <f t="shared" si="73"/>
        <v/>
      </c>
    </row>
    <row r="1548" spans="1:20" ht="100" customHeight="1">
      <c r="A1548" s="26"/>
      <c r="B1548" s="39" t="str">
        <f t="shared" si="71"/>
        <v/>
      </c>
      <c r="C1548" s="43"/>
      <c r="D1548" s="51" t="str" cm="1">
        <f t="array" ref="D1548">IFERROR(INDEX(DB!G$2:G$2576,T1548),"")</f>
        <v/>
      </c>
      <c r="E1548" s="43"/>
      <c r="F1548" s="52" t="str" cm="1">
        <f t="array" ref="F1548">IFERROR(INDEX(DB!O$2:O$2576,T1548),"")</f>
        <v/>
      </c>
      <c r="G1548" s="43"/>
      <c r="H1548" s="40" t="str" cm="1">
        <f t="array" ref="H1548">IFERROR(INDEX(DB!P$2:P$2576,T1548),"")</f>
        <v/>
      </c>
      <c r="I1548" s="43"/>
      <c r="J1548" s="53" t="str" cm="1">
        <f t="array" ref="J1548">IFERROR(INDEX(DB!Q$2:Q$2576,T1548),"")</f>
        <v/>
      </c>
      <c r="K1548" s="43"/>
      <c r="L1548" s="41" t="str" cm="1">
        <f t="array" ref="L1548">IFERROR(INDEX(DB!R$2:R$2576,T1548),"")</f>
        <v/>
      </c>
      <c r="M1548" s="43"/>
      <c r="P1548" t="str" cm="1">
        <f t="array" ref="P1548">IFERROR(_xlfn.AGGREGATE(15,6,ROW(DB!A$2:A$2576)/((($D$3&lt;&gt;"YES")+($D$3="YES")*(DB!E$2:E$2576="YES"))*(($D$4="")+($D$4&lt;&gt;"")*( DB!B$2:B$2576=$D$4))*(($D$5="")+($D$5&lt;&gt;"")*( DB!C$2:C$2576=$D$5))*(($D$6="")+($D$6&lt;&gt;"")*( DB!D$2:D$2576=$D$6))*(($D$7="")+($D$7&lt;&gt;"")*(ISNUMBER(SEARCH($D$7,DB!G$2:G$2576))))*(($F$7="전체")+($F$7&lt;&gt;"전체")*(DB!H$2:H$2576=$F$7))),ROW()-13)-1,"")</f>
        <v/>
      </c>
      <c r="Q1548" t="str" cm="1">
        <f t="array" ref="Q1548">IFERROR(INDEX(DB!G$2:G$2576,P1548),"")</f>
        <v/>
      </c>
      <c r="R1548" t="str" cm="1">
        <f t="array" ref="R1548">IFERROR(INDEX(DB!O$2:O$2576,P1548),"")</f>
        <v/>
      </c>
      <c r="S1548" t="str">
        <f t="shared" si="72"/>
        <v/>
      </c>
      <c r="T1548" t="str">
        <f t="shared" si="73"/>
        <v/>
      </c>
    </row>
    <row r="1549" spans="1:20" ht="100" customHeight="1">
      <c r="A1549" s="26"/>
      <c r="B1549" s="42" t="str">
        <f t="shared" si="71"/>
        <v/>
      </c>
      <c r="C1549" s="43"/>
      <c r="D1549" s="51" t="str" cm="1">
        <f t="array" ref="D1549">IFERROR(INDEX(DB!G$2:G$2576,T1549),"")</f>
        <v/>
      </c>
      <c r="E1549" s="43"/>
      <c r="F1549" s="52" t="str" cm="1">
        <f t="array" ref="F1549">IFERROR(INDEX(DB!O$2:O$2576,T1549),"")</f>
        <v/>
      </c>
      <c r="G1549" s="43"/>
      <c r="H1549" s="40" t="str" cm="1">
        <f t="array" ref="H1549">IFERROR(INDEX(DB!P$2:P$2576,T1549),"")</f>
        <v/>
      </c>
      <c r="I1549" s="43"/>
      <c r="J1549" s="53" t="str" cm="1">
        <f t="array" ref="J1549">IFERROR(INDEX(DB!Q$2:Q$2576,T1549),"")</f>
        <v/>
      </c>
      <c r="K1549" s="43"/>
      <c r="L1549" s="41" t="str" cm="1">
        <f t="array" ref="L1549">IFERROR(INDEX(DB!R$2:R$2576,T1549),"")</f>
        <v/>
      </c>
      <c r="M1549" s="43"/>
      <c r="P1549" t="str" cm="1">
        <f t="array" ref="P1549">IFERROR(_xlfn.AGGREGATE(15,6,ROW(DB!A$2:A$2576)/((($D$3&lt;&gt;"YES")+($D$3="YES")*(DB!E$2:E$2576="YES"))*(($D$4="")+($D$4&lt;&gt;"")*( DB!B$2:B$2576=$D$4))*(($D$5="")+($D$5&lt;&gt;"")*( DB!C$2:C$2576=$D$5))*(($D$6="")+($D$6&lt;&gt;"")*( DB!D$2:D$2576=$D$6))*(($D$7="")+($D$7&lt;&gt;"")*(ISNUMBER(SEARCH($D$7,DB!G$2:G$2576))))*(($F$7="전체")+($F$7&lt;&gt;"전체")*(DB!H$2:H$2576=$F$7))),ROW()-13)-1,"")</f>
        <v/>
      </c>
      <c r="Q1549" t="str" cm="1">
        <f t="array" ref="Q1549">IFERROR(INDEX(DB!G$2:G$2576,P1549),"")</f>
        <v/>
      </c>
      <c r="R1549" t="str" cm="1">
        <f t="array" ref="R1549">IFERROR(INDEX(DB!O$2:O$2576,P1549),"")</f>
        <v/>
      </c>
      <c r="S1549" t="str">
        <f t="shared" si="72"/>
        <v/>
      </c>
      <c r="T1549" t="str">
        <f t="shared" si="73"/>
        <v/>
      </c>
    </row>
    <row r="1550" spans="1:20" ht="100" customHeight="1">
      <c r="A1550" s="26"/>
      <c r="B1550" s="39" t="str">
        <f t="shared" si="71"/>
        <v/>
      </c>
      <c r="C1550" s="43"/>
      <c r="D1550" s="51" t="str" cm="1">
        <f t="array" ref="D1550">IFERROR(INDEX(DB!G$2:G$2576,T1550),"")</f>
        <v/>
      </c>
      <c r="E1550" s="43"/>
      <c r="F1550" s="52" t="str" cm="1">
        <f t="array" ref="F1550">IFERROR(INDEX(DB!O$2:O$2576,T1550),"")</f>
        <v/>
      </c>
      <c r="G1550" s="43"/>
      <c r="H1550" s="40" t="str" cm="1">
        <f t="array" ref="H1550">IFERROR(INDEX(DB!P$2:P$2576,T1550),"")</f>
        <v/>
      </c>
      <c r="I1550" s="43"/>
      <c r="J1550" s="53" t="str" cm="1">
        <f t="array" ref="J1550">IFERROR(INDEX(DB!Q$2:Q$2576,T1550),"")</f>
        <v/>
      </c>
      <c r="K1550" s="43"/>
      <c r="L1550" s="41" t="str" cm="1">
        <f t="array" ref="L1550">IFERROR(INDEX(DB!R$2:R$2576,T1550),"")</f>
        <v/>
      </c>
      <c r="M1550" s="43"/>
      <c r="P1550" t="str" cm="1">
        <f t="array" ref="P1550">IFERROR(_xlfn.AGGREGATE(15,6,ROW(DB!A$2:A$2576)/((($D$3&lt;&gt;"YES")+($D$3="YES")*(DB!E$2:E$2576="YES"))*(($D$4="")+($D$4&lt;&gt;"")*( DB!B$2:B$2576=$D$4))*(($D$5="")+($D$5&lt;&gt;"")*( DB!C$2:C$2576=$D$5))*(($D$6="")+($D$6&lt;&gt;"")*( DB!D$2:D$2576=$D$6))*(($D$7="")+($D$7&lt;&gt;"")*(ISNUMBER(SEARCH($D$7,DB!G$2:G$2576))))*(($F$7="전체")+($F$7&lt;&gt;"전체")*(DB!H$2:H$2576=$F$7))),ROW()-13)-1,"")</f>
        <v/>
      </c>
      <c r="Q1550" t="str" cm="1">
        <f t="array" ref="Q1550">IFERROR(INDEX(DB!G$2:G$2576,P1550),"")</f>
        <v/>
      </c>
      <c r="R1550" t="str" cm="1">
        <f t="array" ref="R1550">IFERROR(INDEX(DB!O$2:O$2576,P1550),"")</f>
        <v/>
      </c>
      <c r="S1550" t="str">
        <f t="shared" si="72"/>
        <v/>
      </c>
      <c r="T1550" t="str">
        <f t="shared" si="73"/>
        <v/>
      </c>
    </row>
    <row r="1551" spans="1:20" ht="100" customHeight="1">
      <c r="A1551" s="26"/>
      <c r="B1551" s="42" t="str">
        <f t="shared" ref="B1551:B1614" si="74">IFERROR(IF(T1551="","",ROW()-13),"")</f>
        <v/>
      </c>
      <c r="C1551" s="43"/>
      <c r="D1551" s="51" t="str" cm="1">
        <f t="array" ref="D1551">IFERROR(INDEX(DB!G$2:G$2576,T1551),"")</f>
        <v/>
      </c>
      <c r="E1551" s="43"/>
      <c r="F1551" s="52" t="str" cm="1">
        <f t="array" ref="F1551">IFERROR(INDEX(DB!O$2:O$2576,T1551),"")</f>
        <v/>
      </c>
      <c r="G1551" s="43"/>
      <c r="H1551" s="40" t="str" cm="1">
        <f t="array" ref="H1551">IFERROR(INDEX(DB!P$2:P$2576,T1551),"")</f>
        <v/>
      </c>
      <c r="I1551" s="43"/>
      <c r="J1551" s="53" t="str" cm="1">
        <f t="array" ref="J1551">IFERROR(INDEX(DB!Q$2:Q$2576,T1551),"")</f>
        <v/>
      </c>
      <c r="K1551" s="43"/>
      <c r="L1551" s="41" t="str" cm="1">
        <f t="array" ref="L1551">IFERROR(INDEX(DB!R$2:R$2576,T1551),"")</f>
        <v/>
      </c>
      <c r="M1551" s="43"/>
      <c r="P1551" t="str" cm="1">
        <f t="array" ref="P1551">IFERROR(_xlfn.AGGREGATE(15,6,ROW(DB!A$2:A$2576)/((($D$3&lt;&gt;"YES")+($D$3="YES")*(DB!E$2:E$2576="YES"))*(($D$4="")+($D$4&lt;&gt;"")*( DB!B$2:B$2576=$D$4))*(($D$5="")+($D$5&lt;&gt;"")*( DB!C$2:C$2576=$D$5))*(($D$6="")+($D$6&lt;&gt;"")*( DB!D$2:D$2576=$D$6))*(($D$7="")+($D$7&lt;&gt;"")*(ISNUMBER(SEARCH($D$7,DB!G$2:G$2576))))*(($F$7="전체")+($F$7&lt;&gt;"전체")*(DB!H$2:H$2576=$F$7))),ROW()-13)-1,"")</f>
        <v/>
      </c>
      <c r="Q1551" t="str" cm="1">
        <f t="array" ref="Q1551">IFERROR(INDEX(DB!G$2:G$2576,P1551),"")</f>
        <v/>
      </c>
      <c r="R1551" t="str" cm="1">
        <f t="array" ref="R1551">IFERROR(INDEX(DB!O$2:O$2576,P1551),"")</f>
        <v/>
      </c>
      <c r="S1551" t="str">
        <f t="shared" ref="S1551:S1614" si="75">IF(P1551="","",COUNTIF($Q$14:$Q$2587,"&lt;"&amp;Q1551)*100+COUNTIF($R$14:$R$2587,"&lt;"&amp;R1551)+(ROW()-13)*0.001)</f>
        <v/>
      </c>
      <c r="T1551" t="str">
        <f t="shared" ref="T1551:T1614" si="76">IFERROR(INDEX($P$14:$P$2587,MATCH(SMALL($S$14:$S$2587,ROW()-13),$S$14:$S$2587,0)),"")</f>
        <v/>
      </c>
    </row>
    <row r="1552" spans="1:20" ht="100" customHeight="1">
      <c r="A1552" s="26"/>
      <c r="B1552" s="39" t="str">
        <f t="shared" si="74"/>
        <v/>
      </c>
      <c r="C1552" s="43"/>
      <c r="D1552" s="51" t="str" cm="1">
        <f t="array" ref="D1552">IFERROR(INDEX(DB!G$2:G$2576,T1552),"")</f>
        <v/>
      </c>
      <c r="E1552" s="43"/>
      <c r="F1552" s="52" t="str" cm="1">
        <f t="array" ref="F1552">IFERROR(INDEX(DB!O$2:O$2576,T1552),"")</f>
        <v/>
      </c>
      <c r="G1552" s="43"/>
      <c r="H1552" s="40" t="str" cm="1">
        <f t="array" ref="H1552">IFERROR(INDEX(DB!P$2:P$2576,T1552),"")</f>
        <v/>
      </c>
      <c r="I1552" s="43"/>
      <c r="J1552" s="53" t="str" cm="1">
        <f t="array" ref="J1552">IFERROR(INDEX(DB!Q$2:Q$2576,T1552),"")</f>
        <v/>
      </c>
      <c r="K1552" s="43"/>
      <c r="L1552" s="41" t="str" cm="1">
        <f t="array" ref="L1552">IFERROR(INDEX(DB!R$2:R$2576,T1552),"")</f>
        <v/>
      </c>
      <c r="M1552" s="43"/>
      <c r="P1552" t="str" cm="1">
        <f t="array" ref="P1552">IFERROR(_xlfn.AGGREGATE(15,6,ROW(DB!A$2:A$2576)/((($D$3&lt;&gt;"YES")+($D$3="YES")*(DB!E$2:E$2576="YES"))*(($D$4="")+($D$4&lt;&gt;"")*( DB!B$2:B$2576=$D$4))*(($D$5="")+($D$5&lt;&gt;"")*( DB!C$2:C$2576=$D$5))*(($D$6="")+($D$6&lt;&gt;"")*( DB!D$2:D$2576=$D$6))*(($D$7="")+($D$7&lt;&gt;"")*(ISNUMBER(SEARCH($D$7,DB!G$2:G$2576))))*(($F$7="전체")+($F$7&lt;&gt;"전체")*(DB!H$2:H$2576=$F$7))),ROW()-13)-1,"")</f>
        <v/>
      </c>
      <c r="Q1552" t="str" cm="1">
        <f t="array" ref="Q1552">IFERROR(INDEX(DB!G$2:G$2576,P1552),"")</f>
        <v/>
      </c>
      <c r="R1552" t="str" cm="1">
        <f t="array" ref="R1552">IFERROR(INDEX(DB!O$2:O$2576,P1552),"")</f>
        <v/>
      </c>
      <c r="S1552" t="str">
        <f t="shared" si="75"/>
        <v/>
      </c>
      <c r="T1552" t="str">
        <f t="shared" si="76"/>
        <v/>
      </c>
    </row>
    <row r="1553" spans="1:20" ht="100" customHeight="1">
      <c r="A1553" s="26"/>
      <c r="B1553" s="42" t="str">
        <f t="shared" si="74"/>
        <v/>
      </c>
      <c r="C1553" s="43"/>
      <c r="D1553" s="51" t="str" cm="1">
        <f t="array" ref="D1553">IFERROR(INDEX(DB!G$2:G$2576,T1553),"")</f>
        <v/>
      </c>
      <c r="E1553" s="43"/>
      <c r="F1553" s="52" t="str" cm="1">
        <f t="array" ref="F1553">IFERROR(INDEX(DB!O$2:O$2576,T1553),"")</f>
        <v/>
      </c>
      <c r="G1553" s="43"/>
      <c r="H1553" s="40" t="str" cm="1">
        <f t="array" ref="H1553">IFERROR(INDEX(DB!P$2:P$2576,T1553),"")</f>
        <v/>
      </c>
      <c r="I1553" s="43"/>
      <c r="J1553" s="53" t="str" cm="1">
        <f t="array" ref="J1553">IFERROR(INDEX(DB!Q$2:Q$2576,T1553),"")</f>
        <v/>
      </c>
      <c r="K1553" s="43"/>
      <c r="L1553" s="41" t="str" cm="1">
        <f t="array" ref="L1553">IFERROR(INDEX(DB!R$2:R$2576,T1553),"")</f>
        <v/>
      </c>
      <c r="M1553" s="43"/>
      <c r="P1553" t="str" cm="1">
        <f t="array" ref="P1553">IFERROR(_xlfn.AGGREGATE(15,6,ROW(DB!A$2:A$2576)/((($D$3&lt;&gt;"YES")+($D$3="YES")*(DB!E$2:E$2576="YES"))*(($D$4="")+($D$4&lt;&gt;"")*( DB!B$2:B$2576=$D$4))*(($D$5="")+($D$5&lt;&gt;"")*( DB!C$2:C$2576=$D$5))*(($D$6="")+($D$6&lt;&gt;"")*( DB!D$2:D$2576=$D$6))*(($D$7="")+($D$7&lt;&gt;"")*(ISNUMBER(SEARCH($D$7,DB!G$2:G$2576))))*(($F$7="전체")+($F$7&lt;&gt;"전체")*(DB!H$2:H$2576=$F$7))),ROW()-13)-1,"")</f>
        <v/>
      </c>
      <c r="Q1553" t="str" cm="1">
        <f t="array" ref="Q1553">IFERROR(INDEX(DB!G$2:G$2576,P1553),"")</f>
        <v/>
      </c>
      <c r="R1553" t="str" cm="1">
        <f t="array" ref="R1553">IFERROR(INDEX(DB!O$2:O$2576,P1553),"")</f>
        <v/>
      </c>
      <c r="S1553" t="str">
        <f t="shared" si="75"/>
        <v/>
      </c>
      <c r="T1553" t="str">
        <f t="shared" si="76"/>
        <v/>
      </c>
    </row>
    <row r="1554" spans="1:20" ht="100" customHeight="1">
      <c r="A1554" s="26"/>
      <c r="B1554" s="39" t="str">
        <f t="shared" si="74"/>
        <v/>
      </c>
      <c r="C1554" s="43"/>
      <c r="D1554" s="51" t="str" cm="1">
        <f t="array" ref="D1554">IFERROR(INDEX(DB!G$2:G$2576,T1554),"")</f>
        <v/>
      </c>
      <c r="E1554" s="43"/>
      <c r="F1554" s="52" t="str" cm="1">
        <f t="array" ref="F1554">IFERROR(INDEX(DB!O$2:O$2576,T1554),"")</f>
        <v/>
      </c>
      <c r="G1554" s="43"/>
      <c r="H1554" s="40" t="str" cm="1">
        <f t="array" ref="H1554">IFERROR(INDEX(DB!P$2:P$2576,T1554),"")</f>
        <v/>
      </c>
      <c r="I1554" s="43"/>
      <c r="J1554" s="53" t="str" cm="1">
        <f t="array" ref="J1554">IFERROR(INDEX(DB!Q$2:Q$2576,T1554),"")</f>
        <v/>
      </c>
      <c r="K1554" s="43"/>
      <c r="L1554" s="41" t="str" cm="1">
        <f t="array" ref="L1554">IFERROR(INDEX(DB!R$2:R$2576,T1554),"")</f>
        <v/>
      </c>
      <c r="M1554" s="43"/>
      <c r="P1554" t="str" cm="1">
        <f t="array" ref="P1554">IFERROR(_xlfn.AGGREGATE(15,6,ROW(DB!A$2:A$2576)/((($D$3&lt;&gt;"YES")+($D$3="YES")*(DB!E$2:E$2576="YES"))*(($D$4="")+($D$4&lt;&gt;"")*( DB!B$2:B$2576=$D$4))*(($D$5="")+($D$5&lt;&gt;"")*( DB!C$2:C$2576=$D$5))*(($D$6="")+($D$6&lt;&gt;"")*( DB!D$2:D$2576=$D$6))*(($D$7="")+($D$7&lt;&gt;"")*(ISNUMBER(SEARCH($D$7,DB!G$2:G$2576))))*(($F$7="전체")+($F$7&lt;&gt;"전체")*(DB!H$2:H$2576=$F$7))),ROW()-13)-1,"")</f>
        <v/>
      </c>
      <c r="Q1554" t="str" cm="1">
        <f t="array" ref="Q1554">IFERROR(INDEX(DB!G$2:G$2576,P1554),"")</f>
        <v/>
      </c>
      <c r="R1554" t="str" cm="1">
        <f t="array" ref="R1554">IFERROR(INDEX(DB!O$2:O$2576,P1554),"")</f>
        <v/>
      </c>
      <c r="S1554" t="str">
        <f t="shared" si="75"/>
        <v/>
      </c>
      <c r="T1554" t="str">
        <f t="shared" si="76"/>
        <v/>
      </c>
    </row>
    <row r="1555" spans="1:20" ht="100" customHeight="1">
      <c r="A1555" s="26"/>
      <c r="B1555" s="42" t="str">
        <f t="shared" si="74"/>
        <v/>
      </c>
      <c r="C1555" s="43"/>
      <c r="D1555" s="51" t="str" cm="1">
        <f t="array" ref="D1555">IFERROR(INDEX(DB!G$2:G$2576,T1555),"")</f>
        <v/>
      </c>
      <c r="E1555" s="43"/>
      <c r="F1555" s="52" t="str" cm="1">
        <f t="array" ref="F1555">IFERROR(INDEX(DB!O$2:O$2576,T1555),"")</f>
        <v/>
      </c>
      <c r="G1555" s="43"/>
      <c r="H1555" s="40" t="str" cm="1">
        <f t="array" ref="H1555">IFERROR(INDEX(DB!P$2:P$2576,T1555),"")</f>
        <v/>
      </c>
      <c r="I1555" s="43"/>
      <c r="J1555" s="53" t="str" cm="1">
        <f t="array" ref="J1555">IFERROR(INDEX(DB!Q$2:Q$2576,T1555),"")</f>
        <v/>
      </c>
      <c r="K1555" s="43"/>
      <c r="L1555" s="41" t="str" cm="1">
        <f t="array" ref="L1555">IFERROR(INDEX(DB!R$2:R$2576,T1555),"")</f>
        <v/>
      </c>
      <c r="M1555" s="43"/>
      <c r="P1555" t="str" cm="1">
        <f t="array" ref="P1555">IFERROR(_xlfn.AGGREGATE(15,6,ROW(DB!A$2:A$2576)/((($D$3&lt;&gt;"YES")+($D$3="YES")*(DB!E$2:E$2576="YES"))*(($D$4="")+($D$4&lt;&gt;"")*( DB!B$2:B$2576=$D$4))*(($D$5="")+($D$5&lt;&gt;"")*( DB!C$2:C$2576=$D$5))*(($D$6="")+($D$6&lt;&gt;"")*( DB!D$2:D$2576=$D$6))*(($D$7="")+($D$7&lt;&gt;"")*(ISNUMBER(SEARCH($D$7,DB!G$2:G$2576))))*(($F$7="전체")+($F$7&lt;&gt;"전체")*(DB!H$2:H$2576=$F$7))),ROW()-13)-1,"")</f>
        <v/>
      </c>
      <c r="Q1555" t="str" cm="1">
        <f t="array" ref="Q1555">IFERROR(INDEX(DB!G$2:G$2576,P1555),"")</f>
        <v/>
      </c>
      <c r="R1555" t="str" cm="1">
        <f t="array" ref="R1555">IFERROR(INDEX(DB!O$2:O$2576,P1555),"")</f>
        <v/>
      </c>
      <c r="S1555" t="str">
        <f t="shared" si="75"/>
        <v/>
      </c>
      <c r="T1555" t="str">
        <f t="shared" si="76"/>
        <v/>
      </c>
    </row>
    <row r="1556" spans="1:20" ht="100" customHeight="1">
      <c r="A1556" s="26"/>
      <c r="B1556" s="39" t="str">
        <f t="shared" si="74"/>
        <v/>
      </c>
      <c r="C1556" s="43"/>
      <c r="D1556" s="51" t="str" cm="1">
        <f t="array" ref="D1556">IFERROR(INDEX(DB!G$2:G$2576,T1556),"")</f>
        <v/>
      </c>
      <c r="E1556" s="43"/>
      <c r="F1556" s="52" t="str" cm="1">
        <f t="array" ref="F1556">IFERROR(INDEX(DB!O$2:O$2576,T1556),"")</f>
        <v/>
      </c>
      <c r="G1556" s="43"/>
      <c r="H1556" s="40" t="str" cm="1">
        <f t="array" ref="H1556">IFERROR(INDEX(DB!P$2:P$2576,T1556),"")</f>
        <v/>
      </c>
      <c r="I1556" s="43"/>
      <c r="J1556" s="53" t="str" cm="1">
        <f t="array" ref="J1556">IFERROR(INDEX(DB!Q$2:Q$2576,T1556),"")</f>
        <v/>
      </c>
      <c r="K1556" s="43"/>
      <c r="L1556" s="41" t="str" cm="1">
        <f t="array" ref="L1556">IFERROR(INDEX(DB!R$2:R$2576,T1556),"")</f>
        <v/>
      </c>
      <c r="M1556" s="43"/>
      <c r="P1556" t="str" cm="1">
        <f t="array" ref="P1556">IFERROR(_xlfn.AGGREGATE(15,6,ROW(DB!A$2:A$2576)/((($D$3&lt;&gt;"YES")+($D$3="YES")*(DB!E$2:E$2576="YES"))*(($D$4="")+($D$4&lt;&gt;"")*( DB!B$2:B$2576=$D$4))*(($D$5="")+($D$5&lt;&gt;"")*( DB!C$2:C$2576=$D$5))*(($D$6="")+($D$6&lt;&gt;"")*( DB!D$2:D$2576=$D$6))*(($D$7="")+($D$7&lt;&gt;"")*(ISNUMBER(SEARCH($D$7,DB!G$2:G$2576))))*(($F$7="전체")+($F$7&lt;&gt;"전체")*(DB!H$2:H$2576=$F$7))),ROW()-13)-1,"")</f>
        <v/>
      </c>
      <c r="Q1556" t="str" cm="1">
        <f t="array" ref="Q1556">IFERROR(INDEX(DB!G$2:G$2576,P1556),"")</f>
        <v/>
      </c>
      <c r="R1556" t="str" cm="1">
        <f t="array" ref="R1556">IFERROR(INDEX(DB!O$2:O$2576,P1556),"")</f>
        <v/>
      </c>
      <c r="S1556" t="str">
        <f t="shared" si="75"/>
        <v/>
      </c>
      <c r="T1556" t="str">
        <f t="shared" si="76"/>
        <v/>
      </c>
    </row>
    <row r="1557" spans="1:20" ht="100" customHeight="1">
      <c r="A1557" s="26"/>
      <c r="B1557" s="42" t="str">
        <f t="shared" si="74"/>
        <v/>
      </c>
      <c r="C1557" s="43"/>
      <c r="D1557" s="51" t="str" cm="1">
        <f t="array" ref="D1557">IFERROR(INDEX(DB!G$2:G$2576,T1557),"")</f>
        <v/>
      </c>
      <c r="E1557" s="43"/>
      <c r="F1557" s="52" t="str" cm="1">
        <f t="array" ref="F1557">IFERROR(INDEX(DB!O$2:O$2576,T1557),"")</f>
        <v/>
      </c>
      <c r="G1557" s="43"/>
      <c r="H1557" s="40" t="str" cm="1">
        <f t="array" ref="H1557">IFERROR(INDEX(DB!P$2:P$2576,T1557),"")</f>
        <v/>
      </c>
      <c r="I1557" s="43"/>
      <c r="J1557" s="53" t="str" cm="1">
        <f t="array" ref="J1557">IFERROR(INDEX(DB!Q$2:Q$2576,T1557),"")</f>
        <v/>
      </c>
      <c r="K1557" s="43"/>
      <c r="L1557" s="41" t="str" cm="1">
        <f t="array" ref="L1557">IFERROR(INDEX(DB!R$2:R$2576,T1557),"")</f>
        <v/>
      </c>
      <c r="M1557" s="43"/>
      <c r="P1557" t="str" cm="1">
        <f t="array" ref="P1557">IFERROR(_xlfn.AGGREGATE(15,6,ROW(DB!A$2:A$2576)/((($D$3&lt;&gt;"YES")+($D$3="YES")*(DB!E$2:E$2576="YES"))*(($D$4="")+($D$4&lt;&gt;"")*( DB!B$2:B$2576=$D$4))*(($D$5="")+($D$5&lt;&gt;"")*( DB!C$2:C$2576=$D$5))*(($D$6="")+($D$6&lt;&gt;"")*( DB!D$2:D$2576=$D$6))*(($D$7="")+($D$7&lt;&gt;"")*(ISNUMBER(SEARCH($D$7,DB!G$2:G$2576))))*(($F$7="전체")+($F$7&lt;&gt;"전체")*(DB!H$2:H$2576=$F$7))),ROW()-13)-1,"")</f>
        <v/>
      </c>
      <c r="Q1557" t="str" cm="1">
        <f t="array" ref="Q1557">IFERROR(INDEX(DB!G$2:G$2576,P1557),"")</f>
        <v/>
      </c>
      <c r="R1557" t="str" cm="1">
        <f t="array" ref="R1557">IFERROR(INDEX(DB!O$2:O$2576,P1557),"")</f>
        <v/>
      </c>
      <c r="S1557" t="str">
        <f t="shared" si="75"/>
        <v/>
      </c>
      <c r="T1557" t="str">
        <f t="shared" si="76"/>
        <v/>
      </c>
    </row>
    <row r="1558" spans="1:20" ht="100" customHeight="1">
      <c r="A1558" s="26"/>
      <c r="B1558" s="39" t="str">
        <f t="shared" si="74"/>
        <v/>
      </c>
      <c r="C1558" s="43"/>
      <c r="D1558" s="51" t="str" cm="1">
        <f t="array" ref="D1558">IFERROR(INDEX(DB!G$2:G$2576,T1558),"")</f>
        <v/>
      </c>
      <c r="E1558" s="43"/>
      <c r="F1558" s="52" t="str" cm="1">
        <f t="array" ref="F1558">IFERROR(INDEX(DB!O$2:O$2576,T1558),"")</f>
        <v/>
      </c>
      <c r="G1558" s="43"/>
      <c r="H1558" s="40" t="str" cm="1">
        <f t="array" ref="H1558">IFERROR(INDEX(DB!P$2:P$2576,T1558),"")</f>
        <v/>
      </c>
      <c r="I1558" s="43"/>
      <c r="J1558" s="53" t="str" cm="1">
        <f t="array" ref="J1558">IFERROR(INDEX(DB!Q$2:Q$2576,T1558),"")</f>
        <v/>
      </c>
      <c r="K1558" s="43"/>
      <c r="L1558" s="41" t="str" cm="1">
        <f t="array" ref="L1558">IFERROR(INDEX(DB!R$2:R$2576,T1558),"")</f>
        <v/>
      </c>
      <c r="M1558" s="43"/>
      <c r="P1558" t="str" cm="1">
        <f t="array" ref="P1558">IFERROR(_xlfn.AGGREGATE(15,6,ROW(DB!A$2:A$2576)/((($D$3&lt;&gt;"YES")+($D$3="YES")*(DB!E$2:E$2576="YES"))*(($D$4="")+($D$4&lt;&gt;"")*( DB!B$2:B$2576=$D$4))*(($D$5="")+($D$5&lt;&gt;"")*( DB!C$2:C$2576=$D$5))*(($D$6="")+($D$6&lt;&gt;"")*( DB!D$2:D$2576=$D$6))*(($D$7="")+($D$7&lt;&gt;"")*(ISNUMBER(SEARCH($D$7,DB!G$2:G$2576))))*(($F$7="전체")+($F$7&lt;&gt;"전체")*(DB!H$2:H$2576=$F$7))),ROW()-13)-1,"")</f>
        <v/>
      </c>
      <c r="Q1558" t="str" cm="1">
        <f t="array" ref="Q1558">IFERROR(INDEX(DB!G$2:G$2576,P1558),"")</f>
        <v/>
      </c>
      <c r="R1558" t="str" cm="1">
        <f t="array" ref="R1558">IFERROR(INDEX(DB!O$2:O$2576,P1558),"")</f>
        <v/>
      </c>
      <c r="S1558" t="str">
        <f t="shared" si="75"/>
        <v/>
      </c>
      <c r="T1558" t="str">
        <f t="shared" si="76"/>
        <v/>
      </c>
    </row>
    <row r="1559" spans="1:20" ht="100" customHeight="1">
      <c r="A1559" s="26"/>
      <c r="B1559" s="42" t="str">
        <f t="shared" si="74"/>
        <v/>
      </c>
      <c r="C1559" s="43"/>
      <c r="D1559" s="51" t="str" cm="1">
        <f t="array" ref="D1559">IFERROR(INDEX(DB!G$2:G$2576,T1559),"")</f>
        <v/>
      </c>
      <c r="E1559" s="43"/>
      <c r="F1559" s="52" t="str" cm="1">
        <f t="array" ref="F1559">IFERROR(INDEX(DB!O$2:O$2576,T1559),"")</f>
        <v/>
      </c>
      <c r="G1559" s="43"/>
      <c r="H1559" s="40" t="str" cm="1">
        <f t="array" ref="H1559">IFERROR(INDEX(DB!P$2:P$2576,T1559),"")</f>
        <v/>
      </c>
      <c r="I1559" s="43"/>
      <c r="J1559" s="53" t="str" cm="1">
        <f t="array" ref="J1559">IFERROR(INDEX(DB!Q$2:Q$2576,T1559),"")</f>
        <v/>
      </c>
      <c r="K1559" s="43"/>
      <c r="L1559" s="41" t="str" cm="1">
        <f t="array" ref="L1559">IFERROR(INDEX(DB!R$2:R$2576,T1559),"")</f>
        <v/>
      </c>
      <c r="M1559" s="43"/>
      <c r="P1559" t="str" cm="1">
        <f t="array" ref="P1559">IFERROR(_xlfn.AGGREGATE(15,6,ROW(DB!A$2:A$2576)/((($D$3&lt;&gt;"YES")+($D$3="YES")*(DB!E$2:E$2576="YES"))*(($D$4="")+($D$4&lt;&gt;"")*( DB!B$2:B$2576=$D$4))*(($D$5="")+($D$5&lt;&gt;"")*( DB!C$2:C$2576=$D$5))*(($D$6="")+($D$6&lt;&gt;"")*( DB!D$2:D$2576=$D$6))*(($D$7="")+($D$7&lt;&gt;"")*(ISNUMBER(SEARCH($D$7,DB!G$2:G$2576))))*(($F$7="전체")+($F$7&lt;&gt;"전체")*(DB!H$2:H$2576=$F$7))),ROW()-13)-1,"")</f>
        <v/>
      </c>
      <c r="Q1559" t="str" cm="1">
        <f t="array" ref="Q1559">IFERROR(INDEX(DB!G$2:G$2576,P1559),"")</f>
        <v/>
      </c>
      <c r="R1559" t="str" cm="1">
        <f t="array" ref="R1559">IFERROR(INDEX(DB!O$2:O$2576,P1559),"")</f>
        <v/>
      </c>
      <c r="S1559" t="str">
        <f t="shared" si="75"/>
        <v/>
      </c>
      <c r="T1559" t="str">
        <f t="shared" si="76"/>
        <v/>
      </c>
    </row>
    <row r="1560" spans="1:20" ht="100" customHeight="1">
      <c r="A1560" s="26"/>
      <c r="B1560" s="39" t="str">
        <f t="shared" si="74"/>
        <v/>
      </c>
      <c r="C1560" s="43"/>
      <c r="D1560" s="51" t="str" cm="1">
        <f t="array" ref="D1560">IFERROR(INDEX(DB!G$2:G$2576,T1560),"")</f>
        <v/>
      </c>
      <c r="E1560" s="43"/>
      <c r="F1560" s="52" t="str" cm="1">
        <f t="array" ref="F1560">IFERROR(INDEX(DB!O$2:O$2576,T1560),"")</f>
        <v/>
      </c>
      <c r="G1560" s="43"/>
      <c r="H1560" s="40" t="str" cm="1">
        <f t="array" ref="H1560">IFERROR(INDEX(DB!P$2:P$2576,T1560),"")</f>
        <v/>
      </c>
      <c r="I1560" s="43"/>
      <c r="J1560" s="53" t="str" cm="1">
        <f t="array" ref="J1560">IFERROR(INDEX(DB!Q$2:Q$2576,T1560),"")</f>
        <v/>
      </c>
      <c r="K1560" s="43"/>
      <c r="L1560" s="41" t="str" cm="1">
        <f t="array" ref="L1560">IFERROR(INDEX(DB!R$2:R$2576,T1560),"")</f>
        <v/>
      </c>
      <c r="M1560" s="43"/>
      <c r="P1560" t="str" cm="1">
        <f t="array" ref="P1560">IFERROR(_xlfn.AGGREGATE(15,6,ROW(DB!A$2:A$2576)/((($D$3&lt;&gt;"YES")+($D$3="YES")*(DB!E$2:E$2576="YES"))*(($D$4="")+($D$4&lt;&gt;"")*( DB!B$2:B$2576=$D$4))*(($D$5="")+($D$5&lt;&gt;"")*( DB!C$2:C$2576=$D$5))*(($D$6="")+($D$6&lt;&gt;"")*( DB!D$2:D$2576=$D$6))*(($D$7="")+($D$7&lt;&gt;"")*(ISNUMBER(SEARCH($D$7,DB!G$2:G$2576))))*(($F$7="전체")+($F$7&lt;&gt;"전체")*(DB!H$2:H$2576=$F$7))),ROW()-13)-1,"")</f>
        <v/>
      </c>
      <c r="Q1560" t="str" cm="1">
        <f t="array" ref="Q1560">IFERROR(INDEX(DB!G$2:G$2576,P1560),"")</f>
        <v/>
      </c>
      <c r="R1560" t="str" cm="1">
        <f t="array" ref="R1560">IFERROR(INDEX(DB!O$2:O$2576,P1560),"")</f>
        <v/>
      </c>
      <c r="S1560" t="str">
        <f t="shared" si="75"/>
        <v/>
      </c>
      <c r="T1560" t="str">
        <f t="shared" si="76"/>
        <v/>
      </c>
    </row>
    <row r="1561" spans="1:20" ht="100" customHeight="1">
      <c r="A1561" s="26"/>
      <c r="B1561" s="42" t="str">
        <f t="shared" si="74"/>
        <v/>
      </c>
      <c r="C1561" s="43"/>
      <c r="D1561" s="51" t="str" cm="1">
        <f t="array" ref="D1561">IFERROR(INDEX(DB!G$2:G$2576,T1561),"")</f>
        <v/>
      </c>
      <c r="E1561" s="43"/>
      <c r="F1561" s="52" t="str" cm="1">
        <f t="array" ref="F1561">IFERROR(INDEX(DB!O$2:O$2576,T1561),"")</f>
        <v/>
      </c>
      <c r="G1561" s="43"/>
      <c r="H1561" s="40" t="str" cm="1">
        <f t="array" ref="H1561">IFERROR(INDEX(DB!P$2:P$2576,T1561),"")</f>
        <v/>
      </c>
      <c r="I1561" s="43"/>
      <c r="J1561" s="53" t="str" cm="1">
        <f t="array" ref="J1561">IFERROR(INDEX(DB!Q$2:Q$2576,T1561),"")</f>
        <v/>
      </c>
      <c r="K1561" s="43"/>
      <c r="L1561" s="41" t="str" cm="1">
        <f t="array" ref="L1561">IFERROR(INDEX(DB!R$2:R$2576,T1561),"")</f>
        <v/>
      </c>
      <c r="M1561" s="43"/>
      <c r="P1561" t="str" cm="1">
        <f t="array" ref="P1561">IFERROR(_xlfn.AGGREGATE(15,6,ROW(DB!A$2:A$2576)/((($D$3&lt;&gt;"YES")+($D$3="YES")*(DB!E$2:E$2576="YES"))*(($D$4="")+($D$4&lt;&gt;"")*( DB!B$2:B$2576=$D$4))*(($D$5="")+($D$5&lt;&gt;"")*( DB!C$2:C$2576=$D$5))*(($D$6="")+($D$6&lt;&gt;"")*( DB!D$2:D$2576=$D$6))*(($D$7="")+($D$7&lt;&gt;"")*(ISNUMBER(SEARCH($D$7,DB!G$2:G$2576))))*(($F$7="전체")+($F$7&lt;&gt;"전체")*(DB!H$2:H$2576=$F$7))),ROW()-13)-1,"")</f>
        <v/>
      </c>
      <c r="Q1561" t="str" cm="1">
        <f t="array" ref="Q1561">IFERROR(INDEX(DB!G$2:G$2576,P1561),"")</f>
        <v/>
      </c>
      <c r="R1561" t="str" cm="1">
        <f t="array" ref="R1561">IFERROR(INDEX(DB!O$2:O$2576,P1561),"")</f>
        <v/>
      </c>
      <c r="S1561" t="str">
        <f t="shared" si="75"/>
        <v/>
      </c>
      <c r="T1561" t="str">
        <f t="shared" si="76"/>
        <v/>
      </c>
    </row>
    <row r="1562" spans="1:20" ht="100" customHeight="1">
      <c r="A1562" s="26"/>
      <c r="B1562" s="39" t="str">
        <f t="shared" si="74"/>
        <v/>
      </c>
      <c r="C1562" s="43"/>
      <c r="D1562" s="51" t="str" cm="1">
        <f t="array" ref="D1562">IFERROR(INDEX(DB!G$2:G$2576,T1562),"")</f>
        <v/>
      </c>
      <c r="E1562" s="43"/>
      <c r="F1562" s="52" t="str" cm="1">
        <f t="array" ref="F1562">IFERROR(INDEX(DB!O$2:O$2576,T1562),"")</f>
        <v/>
      </c>
      <c r="G1562" s="43"/>
      <c r="H1562" s="40" t="str" cm="1">
        <f t="array" ref="H1562">IFERROR(INDEX(DB!P$2:P$2576,T1562),"")</f>
        <v/>
      </c>
      <c r="I1562" s="43"/>
      <c r="J1562" s="53" t="str" cm="1">
        <f t="array" ref="J1562">IFERROR(INDEX(DB!Q$2:Q$2576,T1562),"")</f>
        <v/>
      </c>
      <c r="K1562" s="43"/>
      <c r="L1562" s="41" t="str" cm="1">
        <f t="array" ref="L1562">IFERROR(INDEX(DB!R$2:R$2576,T1562),"")</f>
        <v/>
      </c>
      <c r="M1562" s="43"/>
      <c r="P1562" t="str" cm="1">
        <f t="array" ref="P1562">IFERROR(_xlfn.AGGREGATE(15,6,ROW(DB!A$2:A$2576)/((($D$3&lt;&gt;"YES")+($D$3="YES")*(DB!E$2:E$2576="YES"))*(($D$4="")+($D$4&lt;&gt;"")*( DB!B$2:B$2576=$D$4))*(($D$5="")+($D$5&lt;&gt;"")*( DB!C$2:C$2576=$D$5))*(($D$6="")+($D$6&lt;&gt;"")*( DB!D$2:D$2576=$D$6))*(($D$7="")+($D$7&lt;&gt;"")*(ISNUMBER(SEARCH($D$7,DB!G$2:G$2576))))*(($F$7="전체")+($F$7&lt;&gt;"전체")*(DB!H$2:H$2576=$F$7))),ROW()-13)-1,"")</f>
        <v/>
      </c>
      <c r="Q1562" t="str" cm="1">
        <f t="array" ref="Q1562">IFERROR(INDEX(DB!G$2:G$2576,P1562),"")</f>
        <v/>
      </c>
      <c r="R1562" t="str" cm="1">
        <f t="array" ref="R1562">IFERROR(INDEX(DB!O$2:O$2576,P1562),"")</f>
        <v/>
      </c>
      <c r="S1562" t="str">
        <f t="shared" si="75"/>
        <v/>
      </c>
      <c r="T1562" t="str">
        <f t="shared" si="76"/>
        <v/>
      </c>
    </row>
    <row r="1563" spans="1:20" ht="100" customHeight="1">
      <c r="A1563" s="26"/>
      <c r="B1563" s="42" t="str">
        <f t="shared" si="74"/>
        <v/>
      </c>
      <c r="C1563" s="43"/>
      <c r="D1563" s="51" t="str" cm="1">
        <f t="array" ref="D1563">IFERROR(INDEX(DB!G$2:G$2576,T1563),"")</f>
        <v/>
      </c>
      <c r="E1563" s="43"/>
      <c r="F1563" s="52" t="str" cm="1">
        <f t="array" ref="F1563">IFERROR(INDEX(DB!O$2:O$2576,T1563),"")</f>
        <v/>
      </c>
      <c r="G1563" s="43"/>
      <c r="H1563" s="40" t="str" cm="1">
        <f t="array" ref="H1563">IFERROR(INDEX(DB!P$2:P$2576,T1563),"")</f>
        <v/>
      </c>
      <c r="I1563" s="43"/>
      <c r="J1563" s="53" t="str" cm="1">
        <f t="array" ref="J1563">IFERROR(INDEX(DB!Q$2:Q$2576,T1563),"")</f>
        <v/>
      </c>
      <c r="K1563" s="43"/>
      <c r="L1563" s="41" t="str" cm="1">
        <f t="array" ref="L1563">IFERROR(INDEX(DB!R$2:R$2576,T1563),"")</f>
        <v/>
      </c>
      <c r="M1563" s="43"/>
      <c r="P1563" t="str" cm="1">
        <f t="array" ref="P1563">IFERROR(_xlfn.AGGREGATE(15,6,ROW(DB!A$2:A$2576)/((($D$3&lt;&gt;"YES")+($D$3="YES")*(DB!E$2:E$2576="YES"))*(($D$4="")+($D$4&lt;&gt;"")*( DB!B$2:B$2576=$D$4))*(($D$5="")+($D$5&lt;&gt;"")*( DB!C$2:C$2576=$D$5))*(($D$6="")+($D$6&lt;&gt;"")*( DB!D$2:D$2576=$D$6))*(($D$7="")+($D$7&lt;&gt;"")*(ISNUMBER(SEARCH($D$7,DB!G$2:G$2576))))*(($F$7="전체")+($F$7&lt;&gt;"전체")*(DB!H$2:H$2576=$F$7))),ROW()-13)-1,"")</f>
        <v/>
      </c>
      <c r="Q1563" t="str" cm="1">
        <f t="array" ref="Q1563">IFERROR(INDEX(DB!G$2:G$2576,P1563),"")</f>
        <v/>
      </c>
      <c r="R1563" t="str" cm="1">
        <f t="array" ref="R1563">IFERROR(INDEX(DB!O$2:O$2576,P1563),"")</f>
        <v/>
      </c>
      <c r="S1563" t="str">
        <f t="shared" si="75"/>
        <v/>
      </c>
      <c r="T1563" t="str">
        <f t="shared" si="76"/>
        <v/>
      </c>
    </row>
    <row r="1564" spans="1:20" ht="100" customHeight="1">
      <c r="A1564" s="26"/>
      <c r="B1564" s="39" t="str">
        <f t="shared" si="74"/>
        <v/>
      </c>
      <c r="C1564" s="43"/>
      <c r="D1564" s="51" t="str" cm="1">
        <f t="array" ref="D1564">IFERROR(INDEX(DB!G$2:G$2576,T1564),"")</f>
        <v/>
      </c>
      <c r="E1564" s="43"/>
      <c r="F1564" s="52" t="str" cm="1">
        <f t="array" ref="F1564">IFERROR(INDEX(DB!O$2:O$2576,T1564),"")</f>
        <v/>
      </c>
      <c r="G1564" s="43"/>
      <c r="H1564" s="40" t="str" cm="1">
        <f t="array" ref="H1564">IFERROR(INDEX(DB!P$2:P$2576,T1564),"")</f>
        <v/>
      </c>
      <c r="I1564" s="43"/>
      <c r="J1564" s="53" t="str" cm="1">
        <f t="array" ref="J1564">IFERROR(INDEX(DB!Q$2:Q$2576,T1564),"")</f>
        <v/>
      </c>
      <c r="K1564" s="43"/>
      <c r="L1564" s="41" t="str" cm="1">
        <f t="array" ref="L1564">IFERROR(INDEX(DB!R$2:R$2576,T1564),"")</f>
        <v/>
      </c>
      <c r="M1564" s="43"/>
      <c r="P1564" t="str" cm="1">
        <f t="array" ref="P1564">IFERROR(_xlfn.AGGREGATE(15,6,ROW(DB!A$2:A$2576)/((($D$3&lt;&gt;"YES")+($D$3="YES")*(DB!E$2:E$2576="YES"))*(($D$4="")+($D$4&lt;&gt;"")*( DB!B$2:B$2576=$D$4))*(($D$5="")+($D$5&lt;&gt;"")*( DB!C$2:C$2576=$D$5))*(($D$6="")+($D$6&lt;&gt;"")*( DB!D$2:D$2576=$D$6))*(($D$7="")+($D$7&lt;&gt;"")*(ISNUMBER(SEARCH($D$7,DB!G$2:G$2576))))*(($F$7="전체")+($F$7&lt;&gt;"전체")*(DB!H$2:H$2576=$F$7))),ROW()-13)-1,"")</f>
        <v/>
      </c>
      <c r="Q1564" t="str" cm="1">
        <f t="array" ref="Q1564">IFERROR(INDEX(DB!G$2:G$2576,P1564),"")</f>
        <v/>
      </c>
      <c r="R1564" t="str" cm="1">
        <f t="array" ref="R1564">IFERROR(INDEX(DB!O$2:O$2576,P1564),"")</f>
        <v/>
      </c>
      <c r="S1564" t="str">
        <f t="shared" si="75"/>
        <v/>
      </c>
      <c r="T1564" t="str">
        <f t="shared" si="76"/>
        <v/>
      </c>
    </row>
    <row r="1565" spans="1:20" ht="100" customHeight="1">
      <c r="A1565" s="26"/>
      <c r="B1565" s="42" t="str">
        <f t="shared" si="74"/>
        <v/>
      </c>
      <c r="C1565" s="43"/>
      <c r="D1565" s="51" t="str" cm="1">
        <f t="array" ref="D1565">IFERROR(INDEX(DB!G$2:G$2576,T1565),"")</f>
        <v/>
      </c>
      <c r="E1565" s="43"/>
      <c r="F1565" s="52" t="str" cm="1">
        <f t="array" ref="F1565">IFERROR(INDEX(DB!O$2:O$2576,T1565),"")</f>
        <v/>
      </c>
      <c r="G1565" s="43"/>
      <c r="H1565" s="40" t="str" cm="1">
        <f t="array" ref="H1565">IFERROR(INDEX(DB!P$2:P$2576,T1565),"")</f>
        <v/>
      </c>
      <c r="I1565" s="43"/>
      <c r="J1565" s="53" t="str" cm="1">
        <f t="array" ref="J1565">IFERROR(INDEX(DB!Q$2:Q$2576,T1565),"")</f>
        <v/>
      </c>
      <c r="K1565" s="43"/>
      <c r="L1565" s="41" t="str" cm="1">
        <f t="array" ref="L1565">IFERROR(INDEX(DB!R$2:R$2576,T1565),"")</f>
        <v/>
      </c>
      <c r="M1565" s="43"/>
      <c r="P1565" t="str" cm="1">
        <f t="array" ref="P1565">IFERROR(_xlfn.AGGREGATE(15,6,ROW(DB!A$2:A$2576)/((($D$3&lt;&gt;"YES")+($D$3="YES")*(DB!E$2:E$2576="YES"))*(($D$4="")+($D$4&lt;&gt;"")*( DB!B$2:B$2576=$D$4))*(($D$5="")+($D$5&lt;&gt;"")*( DB!C$2:C$2576=$D$5))*(($D$6="")+($D$6&lt;&gt;"")*( DB!D$2:D$2576=$D$6))*(($D$7="")+($D$7&lt;&gt;"")*(ISNUMBER(SEARCH($D$7,DB!G$2:G$2576))))*(($F$7="전체")+($F$7&lt;&gt;"전체")*(DB!H$2:H$2576=$F$7))),ROW()-13)-1,"")</f>
        <v/>
      </c>
      <c r="Q1565" t="str" cm="1">
        <f t="array" ref="Q1565">IFERROR(INDEX(DB!G$2:G$2576,P1565),"")</f>
        <v/>
      </c>
      <c r="R1565" t="str" cm="1">
        <f t="array" ref="R1565">IFERROR(INDEX(DB!O$2:O$2576,P1565),"")</f>
        <v/>
      </c>
      <c r="S1565" t="str">
        <f t="shared" si="75"/>
        <v/>
      </c>
      <c r="T1565" t="str">
        <f t="shared" si="76"/>
        <v/>
      </c>
    </row>
    <row r="1566" spans="1:20" ht="100" customHeight="1">
      <c r="A1566" s="26"/>
      <c r="B1566" s="39" t="str">
        <f t="shared" si="74"/>
        <v/>
      </c>
      <c r="C1566" s="43"/>
      <c r="D1566" s="51" t="str" cm="1">
        <f t="array" ref="D1566">IFERROR(INDEX(DB!G$2:G$2576,T1566),"")</f>
        <v/>
      </c>
      <c r="E1566" s="43"/>
      <c r="F1566" s="52" t="str" cm="1">
        <f t="array" ref="F1566">IFERROR(INDEX(DB!O$2:O$2576,T1566),"")</f>
        <v/>
      </c>
      <c r="G1566" s="43"/>
      <c r="H1566" s="40" t="str" cm="1">
        <f t="array" ref="H1566">IFERROR(INDEX(DB!P$2:P$2576,T1566),"")</f>
        <v/>
      </c>
      <c r="I1566" s="43"/>
      <c r="J1566" s="53" t="str" cm="1">
        <f t="array" ref="J1566">IFERROR(INDEX(DB!Q$2:Q$2576,T1566),"")</f>
        <v/>
      </c>
      <c r="K1566" s="43"/>
      <c r="L1566" s="41" t="str" cm="1">
        <f t="array" ref="L1566">IFERROR(INDEX(DB!R$2:R$2576,T1566),"")</f>
        <v/>
      </c>
      <c r="M1566" s="43"/>
      <c r="P1566" t="str" cm="1">
        <f t="array" ref="P1566">IFERROR(_xlfn.AGGREGATE(15,6,ROW(DB!A$2:A$2576)/((($D$3&lt;&gt;"YES")+($D$3="YES")*(DB!E$2:E$2576="YES"))*(($D$4="")+($D$4&lt;&gt;"")*( DB!B$2:B$2576=$D$4))*(($D$5="")+($D$5&lt;&gt;"")*( DB!C$2:C$2576=$D$5))*(($D$6="")+($D$6&lt;&gt;"")*( DB!D$2:D$2576=$D$6))*(($D$7="")+($D$7&lt;&gt;"")*(ISNUMBER(SEARCH($D$7,DB!G$2:G$2576))))*(($F$7="전체")+($F$7&lt;&gt;"전체")*(DB!H$2:H$2576=$F$7))),ROW()-13)-1,"")</f>
        <v/>
      </c>
      <c r="Q1566" t="str" cm="1">
        <f t="array" ref="Q1566">IFERROR(INDEX(DB!G$2:G$2576,P1566),"")</f>
        <v/>
      </c>
      <c r="R1566" t="str" cm="1">
        <f t="array" ref="R1566">IFERROR(INDEX(DB!O$2:O$2576,P1566),"")</f>
        <v/>
      </c>
      <c r="S1566" t="str">
        <f t="shared" si="75"/>
        <v/>
      </c>
      <c r="T1566" t="str">
        <f t="shared" si="76"/>
        <v/>
      </c>
    </row>
    <row r="1567" spans="1:20" ht="100" customHeight="1">
      <c r="A1567" s="26"/>
      <c r="B1567" s="42" t="str">
        <f t="shared" si="74"/>
        <v/>
      </c>
      <c r="C1567" s="43"/>
      <c r="D1567" s="51" t="str" cm="1">
        <f t="array" ref="D1567">IFERROR(INDEX(DB!G$2:G$2576,T1567),"")</f>
        <v/>
      </c>
      <c r="E1567" s="43"/>
      <c r="F1567" s="52" t="str" cm="1">
        <f t="array" ref="F1567">IFERROR(INDEX(DB!O$2:O$2576,T1567),"")</f>
        <v/>
      </c>
      <c r="G1567" s="43"/>
      <c r="H1567" s="40" t="str" cm="1">
        <f t="array" ref="H1567">IFERROR(INDEX(DB!P$2:P$2576,T1567),"")</f>
        <v/>
      </c>
      <c r="I1567" s="43"/>
      <c r="J1567" s="53" t="str" cm="1">
        <f t="array" ref="J1567">IFERROR(INDEX(DB!Q$2:Q$2576,T1567),"")</f>
        <v/>
      </c>
      <c r="K1567" s="43"/>
      <c r="L1567" s="41" t="str" cm="1">
        <f t="array" ref="L1567">IFERROR(INDEX(DB!R$2:R$2576,T1567),"")</f>
        <v/>
      </c>
      <c r="M1567" s="43"/>
      <c r="P1567" t="str" cm="1">
        <f t="array" ref="P1567">IFERROR(_xlfn.AGGREGATE(15,6,ROW(DB!A$2:A$2576)/((($D$3&lt;&gt;"YES")+($D$3="YES")*(DB!E$2:E$2576="YES"))*(($D$4="")+($D$4&lt;&gt;"")*( DB!B$2:B$2576=$D$4))*(($D$5="")+($D$5&lt;&gt;"")*( DB!C$2:C$2576=$D$5))*(($D$6="")+($D$6&lt;&gt;"")*( DB!D$2:D$2576=$D$6))*(($D$7="")+($D$7&lt;&gt;"")*(ISNUMBER(SEARCH($D$7,DB!G$2:G$2576))))*(($F$7="전체")+($F$7&lt;&gt;"전체")*(DB!H$2:H$2576=$F$7))),ROW()-13)-1,"")</f>
        <v/>
      </c>
      <c r="Q1567" t="str" cm="1">
        <f t="array" ref="Q1567">IFERROR(INDEX(DB!G$2:G$2576,P1567),"")</f>
        <v/>
      </c>
      <c r="R1567" t="str" cm="1">
        <f t="array" ref="R1567">IFERROR(INDEX(DB!O$2:O$2576,P1567),"")</f>
        <v/>
      </c>
      <c r="S1567" t="str">
        <f t="shared" si="75"/>
        <v/>
      </c>
      <c r="T1567" t="str">
        <f t="shared" si="76"/>
        <v/>
      </c>
    </row>
    <row r="1568" spans="1:20" ht="100" customHeight="1">
      <c r="A1568" s="26"/>
      <c r="B1568" s="39" t="str">
        <f t="shared" si="74"/>
        <v/>
      </c>
      <c r="C1568" s="43"/>
      <c r="D1568" s="51" t="str" cm="1">
        <f t="array" ref="D1568">IFERROR(INDEX(DB!G$2:G$2576,T1568),"")</f>
        <v/>
      </c>
      <c r="E1568" s="43"/>
      <c r="F1568" s="52" t="str" cm="1">
        <f t="array" ref="F1568">IFERROR(INDEX(DB!O$2:O$2576,T1568),"")</f>
        <v/>
      </c>
      <c r="G1568" s="43"/>
      <c r="H1568" s="40" t="str" cm="1">
        <f t="array" ref="H1568">IFERROR(INDEX(DB!P$2:P$2576,T1568),"")</f>
        <v/>
      </c>
      <c r="I1568" s="43"/>
      <c r="J1568" s="53" t="str" cm="1">
        <f t="array" ref="J1568">IFERROR(INDEX(DB!Q$2:Q$2576,T1568),"")</f>
        <v/>
      </c>
      <c r="K1568" s="43"/>
      <c r="L1568" s="41" t="str" cm="1">
        <f t="array" ref="L1568">IFERROR(INDEX(DB!R$2:R$2576,T1568),"")</f>
        <v/>
      </c>
      <c r="M1568" s="43"/>
      <c r="P1568" t="str" cm="1">
        <f t="array" ref="P1568">IFERROR(_xlfn.AGGREGATE(15,6,ROW(DB!A$2:A$2576)/((($D$3&lt;&gt;"YES")+($D$3="YES")*(DB!E$2:E$2576="YES"))*(($D$4="")+($D$4&lt;&gt;"")*( DB!B$2:B$2576=$D$4))*(($D$5="")+($D$5&lt;&gt;"")*( DB!C$2:C$2576=$D$5))*(($D$6="")+($D$6&lt;&gt;"")*( DB!D$2:D$2576=$D$6))*(($D$7="")+($D$7&lt;&gt;"")*(ISNUMBER(SEARCH($D$7,DB!G$2:G$2576))))*(($F$7="전체")+($F$7&lt;&gt;"전체")*(DB!H$2:H$2576=$F$7))),ROW()-13)-1,"")</f>
        <v/>
      </c>
      <c r="Q1568" t="str" cm="1">
        <f t="array" ref="Q1568">IFERROR(INDEX(DB!G$2:G$2576,P1568),"")</f>
        <v/>
      </c>
      <c r="R1568" t="str" cm="1">
        <f t="array" ref="R1568">IFERROR(INDEX(DB!O$2:O$2576,P1568),"")</f>
        <v/>
      </c>
      <c r="S1568" t="str">
        <f t="shared" si="75"/>
        <v/>
      </c>
      <c r="T1568" t="str">
        <f t="shared" si="76"/>
        <v/>
      </c>
    </row>
    <row r="1569" spans="1:20" ht="100" customHeight="1">
      <c r="A1569" s="26"/>
      <c r="B1569" s="42" t="str">
        <f t="shared" si="74"/>
        <v/>
      </c>
      <c r="C1569" s="43"/>
      <c r="D1569" s="51" t="str" cm="1">
        <f t="array" ref="D1569">IFERROR(INDEX(DB!G$2:G$2576,T1569),"")</f>
        <v/>
      </c>
      <c r="E1569" s="43"/>
      <c r="F1569" s="52" t="str" cm="1">
        <f t="array" ref="F1569">IFERROR(INDEX(DB!O$2:O$2576,T1569),"")</f>
        <v/>
      </c>
      <c r="G1569" s="43"/>
      <c r="H1569" s="40" t="str" cm="1">
        <f t="array" ref="H1569">IFERROR(INDEX(DB!P$2:P$2576,T1569),"")</f>
        <v/>
      </c>
      <c r="I1569" s="43"/>
      <c r="J1569" s="53" t="str" cm="1">
        <f t="array" ref="J1569">IFERROR(INDEX(DB!Q$2:Q$2576,T1569),"")</f>
        <v/>
      </c>
      <c r="K1569" s="43"/>
      <c r="L1569" s="41" t="str" cm="1">
        <f t="array" ref="L1569">IFERROR(INDEX(DB!R$2:R$2576,T1569),"")</f>
        <v/>
      </c>
      <c r="M1569" s="43"/>
      <c r="P1569" t="str" cm="1">
        <f t="array" ref="P1569">IFERROR(_xlfn.AGGREGATE(15,6,ROW(DB!A$2:A$2576)/((($D$3&lt;&gt;"YES")+($D$3="YES")*(DB!E$2:E$2576="YES"))*(($D$4="")+($D$4&lt;&gt;"")*( DB!B$2:B$2576=$D$4))*(($D$5="")+($D$5&lt;&gt;"")*( DB!C$2:C$2576=$D$5))*(($D$6="")+($D$6&lt;&gt;"")*( DB!D$2:D$2576=$D$6))*(($D$7="")+($D$7&lt;&gt;"")*(ISNUMBER(SEARCH($D$7,DB!G$2:G$2576))))*(($F$7="전체")+($F$7&lt;&gt;"전체")*(DB!H$2:H$2576=$F$7))),ROW()-13)-1,"")</f>
        <v/>
      </c>
      <c r="Q1569" t="str" cm="1">
        <f t="array" ref="Q1569">IFERROR(INDEX(DB!G$2:G$2576,P1569),"")</f>
        <v/>
      </c>
      <c r="R1569" t="str" cm="1">
        <f t="array" ref="R1569">IFERROR(INDEX(DB!O$2:O$2576,P1569),"")</f>
        <v/>
      </c>
      <c r="S1569" t="str">
        <f t="shared" si="75"/>
        <v/>
      </c>
      <c r="T1569" t="str">
        <f t="shared" si="76"/>
        <v/>
      </c>
    </row>
    <row r="1570" spans="1:20" ht="100" customHeight="1">
      <c r="A1570" s="26"/>
      <c r="B1570" s="39" t="str">
        <f t="shared" si="74"/>
        <v/>
      </c>
      <c r="C1570" s="43"/>
      <c r="D1570" s="51" t="str" cm="1">
        <f t="array" ref="D1570">IFERROR(INDEX(DB!G$2:G$2576,T1570),"")</f>
        <v/>
      </c>
      <c r="E1570" s="43"/>
      <c r="F1570" s="52" t="str" cm="1">
        <f t="array" ref="F1570">IFERROR(INDEX(DB!O$2:O$2576,T1570),"")</f>
        <v/>
      </c>
      <c r="G1570" s="43"/>
      <c r="H1570" s="40" t="str" cm="1">
        <f t="array" ref="H1570">IFERROR(INDEX(DB!P$2:P$2576,T1570),"")</f>
        <v/>
      </c>
      <c r="I1570" s="43"/>
      <c r="J1570" s="53" t="str" cm="1">
        <f t="array" ref="J1570">IFERROR(INDEX(DB!Q$2:Q$2576,T1570),"")</f>
        <v/>
      </c>
      <c r="K1570" s="43"/>
      <c r="L1570" s="41" t="str" cm="1">
        <f t="array" ref="L1570">IFERROR(INDEX(DB!R$2:R$2576,T1570),"")</f>
        <v/>
      </c>
      <c r="M1570" s="43"/>
      <c r="P1570" t="str" cm="1">
        <f t="array" ref="P1570">IFERROR(_xlfn.AGGREGATE(15,6,ROW(DB!A$2:A$2576)/((($D$3&lt;&gt;"YES")+($D$3="YES")*(DB!E$2:E$2576="YES"))*(($D$4="")+($D$4&lt;&gt;"")*( DB!B$2:B$2576=$D$4))*(($D$5="")+($D$5&lt;&gt;"")*( DB!C$2:C$2576=$D$5))*(($D$6="")+($D$6&lt;&gt;"")*( DB!D$2:D$2576=$D$6))*(($D$7="")+($D$7&lt;&gt;"")*(ISNUMBER(SEARCH($D$7,DB!G$2:G$2576))))*(($F$7="전체")+($F$7&lt;&gt;"전체")*(DB!H$2:H$2576=$F$7))),ROW()-13)-1,"")</f>
        <v/>
      </c>
      <c r="Q1570" t="str" cm="1">
        <f t="array" ref="Q1570">IFERROR(INDEX(DB!G$2:G$2576,P1570),"")</f>
        <v/>
      </c>
      <c r="R1570" t="str" cm="1">
        <f t="array" ref="R1570">IFERROR(INDEX(DB!O$2:O$2576,P1570),"")</f>
        <v/>
      </c>
      <c r="S1570" t="str">
        <f t="shared" si="75"/>
        <v/>
      </c>
      <c r="T1570" t="str">
        <f t="shared" si="76"/>
        <v/>
      </c>
    </row>
    <row r="1571" spans="1:20" ht="100" customHeight="1">
      <c r="A1571" s="26"/>
      <c r="B1571" s="42" t="str">
        <f t="shared" si="74"/>
        <v/>
      </c>
      <c r="C1571" s="43"/>
      <c r="D1571" s="51" t="str" cm="1">
        <f t="array" ref="D1571">IFERROR(INDEX(DB!G$2:G$2576,T1571),"")</f>
        <v/>
      </c>
      <c r="E1571" s="43"/>
      <c r="F1571" s="52" t="str" cm="1">
        <f t="array" ref="F1571">IFERROR(INDEX(DB!O$2:O$2576,T1571),"")</f>
        <v/>
      </c>
      <c r="G1571" s="43"/>
      <c r="H1571" s="40" t="str" cm="1">
        <f t="array" ref="H1571">IFERROR(INDEX(DB!P$2:P$2576,T1571),"")</f>
        <v/>
      </c>
      <c r="I1571" s="43"/>
      <c r="J1571" s="53" t="str" cm="1">
        <f t="array" ref="J1571">IFERROR(INDEX(DB!Q$2:Q$2576,T1571),"")</f>
        <v/>
      </c>
      <c r="K1571" s="43"/>
      <c r="L1571" s="41" t="str" cm="1">
        <f t="array" ref="L1571">IFERROR(INDEX(DB!R$2:R$2576,T1571),"")</f>
        <v/>
      </c>
      <c r="M1571" s="43"/>
      <c r="P1571" t="str" cm="1">
        <f t="array" ref="P1571">IFERROR(_xlfn.AGGREGATE(15,6,ROW(DB!A$2:A$2576)/((($D$3&lt;&gt;"YES")+($D$3="YES")*(DB!E$2:E$2576="YES"))*(($D$4="")+($D$4&lt;&gt;"")*( DB!B$2:B$2576=$D$4))*(($D$5="")+($D$5&lt;&gt;"")*( DB!C$2:C$2576=$D$5))*(($D$6="")+($D$6&lt;&gt;"")*( DB!D$2:D$2576=$D$6))*(($D$7="")+($D$7&lt;&gt;"")*(ISNUMBER(SEARCH($D$7,DB!G$2:G$2576))))*(($F$7="전체")+($F$7&lt;&gt;"전체")*(DB!H$2:H$2576=$F$7))),ROW()-13)-1,"")</f>
        <v/>
      </c>
      <c r="Q1571" t="str" cm="1">
        <f t="array" ref="Q1571">IFERROR(INDEX(DB!G$2:G$2576,P1571),"")</f>
        <v/>
      </c>
      <c r="R1571" t="str" cm="1">
        <f t="array" ref="R1571">IFERROR(INDEX(DB!O$2:O$2576,P1571),"")</f>
        <v/>
      </c>
      <c r="S1571" t="str">
        <f t="shared" si="75"/>
        <v/>
      </c>
      <c r="T1571" t="str">
        <f t="shared" si="76"/>
        <v/>
      </c>
    </row>
    <row r="1572" spans="1:20" ht="100" customHeight="1">
      <c r="A1572" s="26"/>
      <c r="B1572" s="39" t="str">
        <f t="shared" si="74"/>
        <v/>
      </c>
      <c r="C1572" s="43"/>
      <c r="D1572" s="51" t="str" cm="1">
        <f t="array" ref="D1572">IFERROR(INDEX(DB!G$2:G$2576,T1572),"")</f>
        <v/>
      </c>
      <c r="E1572" s="43"/>
      <c r="F1572" s="52" t="str" cm="1">
        <f t="array" ref="F1572">IFERROR(INDEX(DB!O$2:O$2576,T1572),"")</f>
        <v/>
      </c>
      <c r="G1572" s="43"/>
      <c r="H1572" s="40" t="str" cm="1">
        <f t="array" ref="H1572">IFERROR(INDEX(DB!P$2:P$2576,T1572),"")</f>
        <v/>
      </c>
      <c r="I1572" s="43"/>
      <c r="J1572" s="53" t="str" cm="1">
        <f t="array" ref="J1572">IFERROR(INDEX(DB!Q$2:Q$2576,T1572),"")</f>
        <v/>
      </c>
      <c r="K1572" s="43"/>
      <c r="L1572" s="41" t="str" cm="1">
        <f t="array" ref="L1572">IFERROR(INDEX(DB!R$2:R$2576,T1572),"")</f>
        <v/>
      </c>
      <c r="M1572" s="43"/>
      <c r="P1572" t="str" cm="1">
        <f t="array" ref="P1572">IFERROR(_xlfn.AGGREGATE(15,6,ROW(DB!A$2:A$2576)/((($D$3&lt;&gt;"YES")+($D$3="YES")*(DB!E$2:E$2576="YES"))*(($D$4="")+($D$4&lt;&gt;"")*( DB!B$2:B$2576=$D$4))*(($D$5="")+($D$5&lt;&gt;"")*( DB!C$2:C$2576=$D$5))*(($D$6="")+($D$6&lt;&gt;"")*( DB!D$2:D$2576=$D$6))*(($D$7="")+($D$7&lt;&gt;"")*(ISNUMBER(SEARCH($D$7,DB!G$2:G$2576))))*(($F$7="전체")+($F$7&lt;&gt;"전체")*(DB!H$2:H$2576=$F$7))),ROW()-13)-1,"")</f>
        <v/>
      </c>
      <c r="Q1572" t="str" cm="1">
        <f t="array" ref="Q1572">IFERROR(INDEX(DB!G$2:G$2576,P1572),"")</f>
        <v/>
      </c>
      <c r="R1572" t="str" cm="1">
        <f t="array" ref="R1572">IFERROR(INDEX(DB!O$2:O$2576,P1572),"")</f>
        <v/>
      </c>
      <c r="S1572" t="str">
        <f t="shared" si="75"/>
        <v/>
      </c>
      <c r="T1572" t="str">
        <f t="shared" si="76"/>
        <v/>
      </c>
    </row>
    <row r="1573" spans="1:20" ht="100" customHeight="1">
      <c r="A1573" s="26"/>
      <c r="B1573" s="42" t="str">
        <f t="shared" si="74"/>
        <v/>
      </c>
      <c r="C1573" s="43"/>
      <c r="D1573" s="51" t="str" cm="1">
        <f t="array" ref="D1573">IFERROR(INDEX(DB!G$2:G$2576,T1573),"")</f>
        <v/>
      </c>
      <c r="E1573" s="43"/>
      <c r="F1573" s="52" t="str" cm="1">
        <f t="array" ref="F1573">IFERROR(INDEX(DB!O$2:O$2576,T1573),"")</f>
        <v/>
      </c>
      <c r="G1573" s="43"/>
      <c r="H1573" s="40" t="str" cm="1">
        <f t="array" ref="H1573">IFERROR(INDEX(DB!P$2:P$2576,T1573),"")</f>
        <v/>
      </c>
      <c r="I1573" s="43"/>
      <c r="J1573" s="53" t="str" cm="1">
        <f t="array" ref="J1573">IFERROR(INDEX(DB!Q$2:Q$2576,T1573),"")</f>
        <v/>
      </c>
      <c r="K1573" s="43"/>
      <c r="L1573" s="41" t="str" cm="1">
        <f t="array" ref="L1573">IFERROR(INDEX(DB!R$2:R$2576,T1573),"")</f>
        <v/>
      </c>
      <c r="M1573" s="43"/>
      <c r="P1573" t="str" cm="1">
        <f t="array" ref="P1573">IFERROR(_xlfn.AGGREGATE(15,6,ROW(DB!A$2:A$2576)/((($D$3&lt;&gt;"YES")+($D$3="YES")*(DB!E$2:E$2576="YES"))*(($D$4="")+($D$4&lt;&gt;"")*( DB!B$2:B$2576=$D$4))*(($D$5="")+($D$5&lt;&gt;"")*( DB!C$2:C$2576=$D$5))*(($D$6="")+($D$6&lt;&gt;"")*( DB!D$2:D$2576=$D$6))*(($D$7="")+($D$7&lt;&gt;"")*(ISNUMBER(SEARCH($D$7,DB!G$2:G$2576))))*(($F$7="전체")+($F$7&lt;&gt;"전체")*(DB!H$2:H$2576=$F$7))),ROW()-13)-1,"")</f>
        <v/>
      </c>
      <c r="Q1573" t="str" cm="1">
        <f t="array" ref="Q1573">IFERROR(INDEX(DB!G$2:G$2576,P1573),"")</f>
        <v/>
      </c>
      <c r="R1573" t="str" cm="1">
        <f t="array" ref="R1573">IFERROR(INDEX(DB!O$2:O$2576,P1573),"")</f>
        <v/>
      </c>
      <c r="S1573" t="str">
        <f t="shared" si="75"/>
        <v/>
      </c>
      <c r="T1573" t="str">
        <f t="shared" si="76"/>
        <v/>
      </c>
    </row>
    <row r="1574" spans="1:20" ht="100" customHeight="1">
      <c r="A1574" s="26"/>
      <c r="B1574" s="39" t="str">
        <f t="shared" si="74"/>
        <v/>
      </c>
      <c r="C1574" s="43"/>
      <c r="D1574" s="51" t="str" cm="1">
        <f t="array" ref="D1574">IFERROR(INDEX(DB!G$2:G$2576,T1574),"")</f>
        <v/>
      </c>
      <c r="E1574" s="43"/>
      <c r="F1574" s="52" t="str" cm="1">
        <f t="array" ref="F1574">IFERROR(INDEX(DB!O$2:O$2576,T1574),"")</f>
        <v/>
      </c>
      <c r="G1574" s="43"/>
      <c r="H1574" s="40" t="str" cm="1">
        <f t="array" ref="H1574">IFERROR(INDEX(DB!P$2:P$2576,T1574),"")</f>
        <v/>
      </c>
      <c r="I1574" s="43"/>
      <c r="J1574" s="53" t="str" cm="1">
        <f t="array" ref="J1574">IFERROR(INDEX(DB!Q$2:Q$2576,T1574),"")</f>
        <v/>
      </c>
      <c r="K1574" s="43"/>
      <c r="L1574" s="41" t="str" cm="1">
        <f t="array" ref="L1574">IFERROR(INDEX(DB!R$2:R$2576,T1574),"")</f>
        <v/>
      </c>
      <c r="M1574" s="43"/>
      <c r="P1574" t="str" cm="1">
        <f t="array" ref="P1574">IFERROR(_xlfn.AGGREGATE(15,6,ROW(DB!A$2:A$2576)/((($D$3&lt;&gt;"YES")+($D$3="YES")*(DB!E$2:E$2576="YES"))*(($D$4="")+($D$4&lt;&gt;"")*( DB!B$2:B$2576=$D$4))*(($D$5="")+($D$5&lt;&gt;"")*( DB!C$2:C$2576=$D$5))*(($D$6="")+($D$6&lt;&gt;"")*( DB!D$2:D$2576=$D$6))*(($D$7="")+($D$7&lt;&gt;"")*(ISNUMBER(SEARCH($D$7,DB!G$2:G$2576))))*(($F$7="전체")+($F$7&lt;&gt;"전체")*(DB!H$2:H$2576=$F$7))),ROW()-13)-1,"")</f>
        <v/>
      </c>
      <c r="Q1574" t="str" cm="1">
        <f t="array" ref="Q1574">IFERROR(INDEX(DB!G$2:G$2576,P1574),"")</f>
        <v/>
      </c>
      <c r="R1574" t="str" cm="1">
        <f t="array" ref="R1574">IFERROR(INDEX(DB!O$2:O$2576,P1574),"")</f>
        <v/>
      </c>
      <c r="S1574" t="str">
        <f t="shared" si="75"/>
        <v/>
      </c>
      <c r="T1574" t="str">
        <f t="shared" si="76"/>
        <v/>
      </c>
    </row>
    <row r="1575" spans="1:20" ht="100" customHeight="1">
      <c r="A1575" s="26"/>
      <c r="B1575" s="42" t="str">
        <f t="shared" si="74"/>
        <v/>
      </c>
      <c r="C1575" s="43"/>
      <c r="D1575" s="51" t="str" cm="1">
        <f t="array" ref="D1575">IFERROR(INDEX(DB!G$2:G$2576,T1575),"")</f>
        <v/>
      </c>
      <c r="E1575" s="43"/>
      <c r="F1575" s="52" t="str" cm="1">
        <f t="array" ref="F1575">IFERROR(INDEX(DB!O$2:O$2576,T1575),"")</f>
        <v/>
      </c>
      <c r="G1575" s="43"/>
      <c r="H1575" s="40" t="str" cm="1">
        <f t="array" ref="H1575">IFERROR(INDEX(DB!P$2:P$2576,T1575),"")</f>
        <v/>
      </c>
      <c r="I1575" s="43"/>
      <c r="J1575" s="53" t="str" cm="1">
        <f t="array" ref="J1575">IFERROR(INDEX(DB!Q$2:Q$2576,T1575),"")</f>
        <v/>
      </c>
      <c r="K1575" s="43"/>
      <c r="L1575" s="41" t="str" cm="1">
        <f t="array" ref="L1575">IFERROR(INDEX(DB!R$2:R$2576,T1575),"")</f>
        <v/>
      </c>
      <c r="M1575" s="43"/>
      <c r="P1575" t="str" cm="1">
        <f t="array" ref="P1575">IFERROR(_xlfn.AGGREGATE(15,6,ROW(DB!A$2:A$2576)/((($D$3&lt;&gt;"YES")+($D$3="YES")*(DB!E$2:E$2576="YES"))*(($D$4="")+($D$4&lt;&gt;"")*( DB!B$2:B$2576=$D$4))*(($D$5="")+($D$5&lt;&gt;"")*( DB!C$2:C$2576=$D$5))*(($D$6="")+($D$6&lt;&gt;"")*( DB!D$2:D$2576=$D$6))*(($D$7="")+($D$7&lt;&gt;"")*(ISNUMBER(SEARCH($D$7,DB!G$2:G$2576))))*(($F$7="전체")+($F$7&lt;&gt;"전체")*(DB!H$2:H$2576=$F$7))),ROW()-13)-1,"")</f>
        <v/>
      </c>
      <c r="Q1575" t="str" cm="1">
        <f t="array" ref="Q1575">IFERROR(INDEX(DB!G$2:G$2576,P1575),"")</f>
        <v/>
      </c>
      <c r="R1575" t="str" cm="1">
        <f t="array" ref="R1575">IFERROR(INDEX(DB!O$2:O$2576,P1575),"")</f>
        <v/>
      </c>
      <c r="S1575" t="str">
        <f t="shared" si="75"/>
        <v/>
      </c>
      <c r="T1575" t="str">
        <f t="shared" si="76"/>
        <v/>
      </c>
    </row>
    <row r="1576" spans="1:20" ht="100" customHeight="1">
      <c r="A1576" s="26"/>
      <c r="B1576" s="39" t="str">
        <f t="shared" si="74"/>
        <v/>
      </c>
      <c r="C1576" s="43"/>
      <c r="D1576" s="51" t="str" cm="1">
        <f t="array" ref="D1576">IFERROR(INDEX(DB!G$2:G$2576,T1576),"")</f>
        <v/>
      </c>
      <c r="E1576" s="43"/>
      <c r="F1576" s="52" t="str" cm="1">
        <f t="array" ref="F1576">IFERROR(INDEX(DB!O$2:O$2576,T1576),"")</f>
        <v/>
      </c>
      <c r="G1576" s="43"/>
      <c r="H1576" s="40" t="str" cm="1">
        <f t="array" ref="H1576">IFERROR(INDEX(DB!P$2:P$2576,T1576),"")</f>
        <v/>
      </c>
      <c r="I1576" s="43"/>
      <c r="J1576" s="53" t="str" cm="1">
        <f t="array" ref="J1576">IFERROR(INDEX(DB!Q$2:Q$2576,T1576),"")</f>
        <v/>
      </c>
      <c r="K1576" s="43"/>
      <c r="L1576" s="41" t="str" cm="1">
        <f t="array" ref="L1576">IFERROR(INDEX(DB!R$2:R$2576,T1576),"")</f>
        <v/>
      </c>
      <c r="M1576" s="43"/>
      <c r="P1576" t="str" cm="1">
        <f t="array" ref="P1576">IFERROR(_xlfn.AGGREGATE(15,6,ROW(DB!A$2:A$2576)/((($D$3&lt;&gt;"YES")+($D$3="YES")*(DB!E$2:E$2576="YES"))*(($D$4="")+($D$4&lt;&gt;"")*( DB!B$2:B$2576=$D$4))*(($D$5="")+($D$5&lt;&gt;"")*( DB!C$2:C$2576=$D$5))*(($D$6="")+($D$6&lt;&gt;"")*( DB!D$2:D$2576=$D$6))*(($D$7="")+($D$7&lt;&gt;"")*(ISNUMBER(SEARCH($D$7,DB!G$2:G$2576))))*(($F$7="전체")+($F$7&lt;&gt;"전체")*(DB!H$2:H$2576=$F$7))),ROW()-13)-1,"")</f>
        <v/>
      </c>
      <c r="Q1576" t="str" cm="1">
        <f t="array" ref="Q1576">IFERROR(INDEX(DB!G$2:G$2576,P1576),"")</f>
        <v/>
      </c>
      <c r="R1576" t="str" cm="1">
        <f t="array" ref="R1576">IFERROR(INDEX(DB!O$2:O$2576,P1576),"")</f>
        <v/>
      </c>
      <c r="S1576" t="str">
        <f t="shared" si="75"/>
        <v/>
      </c>
      <c r="T1576" t="str">
        <f t="shared" si="76"/>
        <v/>
      </c>
    </row>
    <row r="1577" spans="1:20" ht="100" customHeight="1">
      <c r="A1577" s="26"/>
      <c r="B1577" s="42" t="str">
        <f t="shared" si="74"/>
        <v/>
      </c>
      <c r="C1577" s="43"/>
      <c r="D1577" s="51" t="str" cm="1">
        <f t="array" ref="D1577">IFERROR(INDEX(DB!G$2:G$2576,T1577),"")</f>
        <v/>
      </c>
      <c r="E1577" s="43"/>
      <c r="F1577" s="52" t="str" cm="1">
        <f t="array" ref="F1577">IFERROR(INDEX(DB!O$2:O$2576,T1577),"")</f>
        <v/>
      </c>
      <c r="G1577" s="43"/>
      <c r="H1577" s="40" t="str" cm="1">
        <f t="array" ref="H1577">IFERROR(INDEX(DB!P$2:P$2576,T1577),"")</f>
        <v/>
      </c>
      <c r="I1577" s="43"/>
      <c r="J1577" s="53" t="str" cm="1">
        <f t="array" ref="J1577">IFERROR(INDEX(DB!Q$2:Q$2576,T1577),"")</f>
        <v/>
      </c>
      <c r="K1577" s="43"/>
      <c r="L1577" s="41" t="str" cm="1">
        <f t="array" ref="L1577">IFERROR(INDEX(DB!R$2:R$2576,T1577),"")</f>
        <v/>
      </c>
      <c r="M1577" s="43"/>
      <c r="P1577" t="str" cm="1">
        <f t="array" ref="P1577">IFERROR(_xlfn.AGGREGATE(15,6,ROW(DB!A$2:A$2576)/((($D$3&lt;&gt;"YES")+($D$3="YES")*(DB!E$2:E$2576="YES"))*(($D$4="")+($D$4&lt;&gt;"")*( DB!B$2:B$2576=$D$4))*(($D$5="")+($D$5&lt;&gt;"")*( DB!C$2:C$2576=$D$5))*(($D$6="")+($D$6&lt;&gt;"")*( DB!D$2:D$2576=$D$6))*(($D$7="")+($D$7&lt;&gt;"")*(ISNUMBER(SEARCH($D$7,DB!G$2:G$2576))))*(($F$7="전체")+($F$7&lt;&gt;"전체")*(DB!H$2:H$2576=$F$7))),ROW()-13)-1,"")</f>
        <v/>
      </c>
      <c r="Q1577" t="str" cm="1">
        <f t="array" ref="Q1577">IFERROR(INDEX(DB!G$2:G$2576,P1577),"")</f>
        <v/>
      </c>
      <c r="R1577" t="str" cm="1">
        <f t="array" ref="R1577">IFERROR(INDEX(DB!O$2:O$2576,P1577),"")</f>
        <v/>
      </c>
      <c r="S1577" t="str">
        <f t="shared" si="75"/>
        <v/>
      </c>
      <c r="T1577" t="str">
        <f t="shared" si="76"/>
        <v/>
      </c>
    </row>
    <row r="1578" spans="1:20" ht="100" customHeight="1">
      <c r="A1578" s="26"/>
      <c r="B1578" s="39" t="str">
        <f t="shared" si="74"/>
        <v/>
      </c>
      <c r="C1578" s="43"/>
      <c r="D1578" s="51" t="str" cm="1">
        <f t="array" ref="D1578">IFERROR(INDEX(DB!G$2:G$2576,T1578),"")</f>
        <v/>
      </c>
      <c r="E1578" s="43"/>
      <c r="F1578" s="52" t="str" cm="1">
        <f t="array" ref="F1578">IFERROR(INDEX(DB!O$2:O$2576,T1578),"")</f>
        <v/>
      </c>
      <c r="G1578" s="43"/>
      <c r="H1578" s="40" t="str" cm="1">
        <f t="array" ref="H1578">IFERROR(INDEX(DB!P$2:P$2576,T1578),"")</f>
        <v/>
      </c>
      <c r="I1578" s="43"/>
      <c r="J1578" s="53" t="str" cm="1">
        <f t="array" ref="J1578">IFERROR(INDEX(DB!Q$2:Q$2576,T1578),"")</f>
        <v/>
      </c>
      <c r="K1578" s="43"/>
      <c r="L1578" s="41" t="str" cm="1">
        <f t="array" ref="L1578">IFERROR(INDEX(DB!R$2:R$2576,T1578),"")</f>
        <v/>
      </c>
      <c r="M1578" s="43"/>
      <c r="P1578" t="str" cm="1">
        <f t="array" ref="P1578">IFERROR(_xlfn.AGGREGATE(15,6,ROW(DB!A$2:A$2576)/((($D$3&lt;&gt;"YES")+($D$3="YES")*(DB!E$2:E$2576="YES"))*(($D$4="")+($D$4&lt;&gt;"")*( DB!B$2:B$2576=$D$4))*(($D$5="")+($D$5&lt;&gt;"")*( DB!C$2:C$2576=$D$5))*(($D$6="")+($D$6&lt;&gt;"")*( DB!D$2:D$2576=$D$6))*(($D$7="")+($D$7&lt;&gt;"")*(ISNUMBER(SEARCH($D$7,DB!G$2:G$2576))))*(($F$7="전체")+($F$7&lt;&gt;"전체")*(DB!H$2:H$2576=$F$7))),ROW()-13)-1,"")</f>
        <v/>
      </c>
      <c r="Q1578" t="str" cm="1">
        <f t="array" ref="Q1578">IFERROR(INDEX(DB!G$2:G$2576,P1578),"")</f>
        <v/>
      </c>
      <c r="R1578" t="str" cm="1">
        <f t="array" ref="R1578">IFERROR(INDEX(DB!O$2:O$2576,P1578),"")</f>
        <v/>
      </c>
      <c r="S1578" t="str">
        <f t="shared" si="75"/>
        <v/>
      </c>
      <c r="T1578" t="str">
        <f t="shared" si="76"/>
        <v/>
      </c>
    </row>
    <row r="1579" spans="1:20" ht="100" customHeight="1">
      <c r="A1579" s="26"/>
      <c r="B1579" s="42" t="str">
        <f t="shared" si="74"/>
        <v/>
      </c>
      <c r="C1579" s="43"/>
      <c r="D1579" s="51" t="str" cm="1">
        <f t="array" ref="D1579">IFERROR(INDEX(DB!G$2:G$2576,T1579),"")</f>
        <v/>
      </c>
      <c r="E1579" s="43"/>
      <c r="F1579" s="52" t="str" cm="1">
        <f t="array" ref="F1579">IFERROR(INDEX(DB!O$2:O$2576,T1579),"")</f>
        <v/>
      </c>
      <c r="G1579" s="43"/>
      <c r="H1579" s="40" t="str" cm="1">
        <f t="array" ref="H1579">IFERROR(INDEX(DB!P$2:P$2576,T1579),"")</f>
        <v/>
      </c>
      <c r="I1579" s="43"/>
      <c r="J1579" s="53" t="str" cm="1">
        <f t="array" ref="J1579">IFERROR(INDEX(DB!Q$2:Q$2576,T1579),"")</f>
        <v/>
      </c>
      <c r="K1579" s="43"/>
      <c r="L1579" s="41" t="str" cm="1">
        <f t="array" ref="L1579">IFERROR(INDEX(DB!R$2:R$2576,T1579),"")</f>
        <v/>
      </c>
      <c r="M1579" s="43"/>
      <c r="P1579" t="str" cm="1">
        <f t="array" ref="P1579">IFERROR(_xlfn.AGGREGATE(15,6,ROW(DB!A$2:A$2576)/((($D$3&lt;&gt;"YES")+($D$3="YES")*(DB!E$2:E$2576="YES"))*(($D$4="")+($D$4&lt;&gt;"")*( DB!B$2:B$2576=$D$4))*(($D$5="")+($D$5&lt;&gt;"")*( DB!C$2:C$2576=$D$5))*(($D$6="")+($D$6&lt;&gt;"")*( DB!D$2:D$2576=$D$6))*(($D$7="")+($D$7&lt;&gt;"")*(ISNUMBER(SEARCH($D$7,DB!G$2:G$2576))))*(($F$7="전체")+($F$7&lt;&gt;"전체")*(DB!H$2:H$2576=$F$7))),ROW()-13)-1,"")</f>
        <v/>
      </c>
      <c r="Q1579" t="str" cm="1">
        <f t="array" ref="Q1579">IFERROR(INDEX(DB!G$2:G$2576,P1579),"")</f>
        <v/>
      </c>
      <c r="R1579" t="str" cm="1">
        <f t="array" ref="R1579">IFERROR(INDEX(DB!O$2:O$2576,P1579),"")</f>
        <v/>
      </c>
      <c r="S1579" t="str">
        <f t="shared" si="75"/>
        <v/>
      </c>
      <c r="T1579" t="str">
        <f t="shared" si="76"/>
        <v/>
      </c>
    </row>
    <row r="1580" spans="1:20" ht="100" customHeight="1">
      <c r="A1580" s="26"/>
      <c r="B1580" s="39" t="str">
        <f t="shared" si="74"/>
        <v/>
      </c>
      <c r="C1580" s="43"/>
      <c r="D1580" s="51" t="str" cm="1">
        <f t="array" ref="D1580">IFERROR(INDEX(DB!G$2:G$2576,T1580),"")</f>
        <v/>
      </c>
      <c r="E1580" s="43"/>
      <c r="F1580" s="52" t="str" cm="1">
        <f t="array" ref="F1580">IFERROR(INDEX(DB!O$2:O$2576,T1580),"")</f>
        <v/>
      </c>
      <c r="G1580" s="43"/>
      <c r="H1580" s="40" t="str" cm="1">
        <f t="array" ref="H1580">IFERROR(INDEX(DB!P$2:P$2576,T1580),"")</f>
        <v/>
      </c>
      <c r="I1580" s="43"/>
      <c r="J1580" s="53" t="str" cm="1">
        <f t="array" ref="J1580">IFERROR(INDEX(DB!Q$2:Q$2576,T1580),"")</f>
        <v/>
      </c>
      <c r="K1580" s="43"/>
      <c r="L1580" s="41" t="str" cm="1">
        <f t="array" ref="L1580">IFERROR(INDEX(DB!R$2:R$2576,T1580),"")</f>
        <v/>
      </c>
      <c r="M1580" s="43"/>
      <c r="P1580" t="str" cm="1">
        <f t="array" ref="P1580">IFERROR(_xlfn.AGGREGATE(15,6,ROW(DB!A$2:A$2576)/((($D$3&lt;&gt;"YES")+($D$3="YES")*(DB!E$2:E$2576="YES"))*(($D$4="")+($D$4&lt;&gt;"")*( DB!B$2:B$2576=$D$4))*(($D$5="")+($D$5&lt;&gt;"")*( DB!C$2:C$2576=$D$5))*(($D$6="")+($D$6&lt;&gt;"")*( DB!D$2:D$2576=$D$6))*(($D$7="")+($D$7&lt;&gt;"")*(ISNUMBER(SEARCH($D$7,DB!G$2:G$2576))))*(($F$7="전체")+($F$7&lt;&gt;"전체")*(DB!H$2:H$2576=$F$7))),ROW()-13)-1,"")</f>
        <v/>
      </c>
      <c r="Q1580" t="str" cm="1">
        <f t="array" ref="Q1580">IFERROR(INDEX(DB!G$2:G$2576,P1580),"")</f>
        <v/>
      </c>
      <c r="R1580" t="str" cm="1">
        <f t="array" ref="R1580">IFERROR(INDEX(DB!O$2:O$2576,P1580),"")</f>
        <v/>
      </c>
      <c r="S1580" t="str">
        <f t="shared" si="75"/>
        <v/>
      </c>
      <c r="T1580" t="str">
        <f t="shared" si="76"/>
        <v/>
      </c>
    </row>
    <row r="1581" spans="1:20" ht="100" customHeight="1">
      <c r="A1581" s="26"/>
      <c r="B1581" s="42" t="str">
        <f t="shared" si="74"/>
        <v/>
      </c>
      <c r="C1581" s="43"/>
      <c r="D1581" s="51" t="str" cm="1">
        <f t="array" ref="D1581">IFERROR(INDEX(DB!G$2:G$2576,T1581),"")</f>
        <v/>
      </c>
      <c r="E1581" s="43"/>
      <c r="F1581" s="52" t="str" cm="1">
        <f t="array" ref="F1581">IFERROR(INDEX(DB!O$2:O$2576,T1581),"")</f>
        <v/>
      </c>
      <c r="G1581" s="43"/>
      <c r="H1581" s="40" t="str" cm="1">
        <f t="array" ref="H1581">IFERROR(INDEX(DB!P$2:P$2576,T1581),"")</f>
        <v/>
      </c>
      <c r="I1581" s="43"/>
      <c r="J1581" s="53" t="str" cm="1">
        <f t="array" ref="J1581">IFERROR(INDEX(DB!Q$2:Q$2576,T1581),"")</f>
        <v/>
      </c>
      <c r="K1581" s="43"/>
      <c r="L1581" s="41" t="str" cm="1">
        <f t="array" ref="L1581">IFERROR(INDEX(DB!R$2:R$2576,T1581),"")</f>
        <v/>
      </c>
      <c r="M1581" s="43"/>
      <c r="P1581" t="str" cm="1">
        <f t="array" ref="P1581">IFERROR(_xlfn.AGGREGATE(15,6,ROW(DB!A$2:A$2576)/((($D$3&lt;&gt;"YES")+($D$3="YES")*(DB!E$2:E$2576="YES"))*(($D$4="")+($D$4&lt;&gt;"")*( DB!B$2:B$2576=$D$4))*(($D$5="")+($D$5&lt;&gt;"")*( DB!C$2:C$2576=$D$5))*(($D$6="")+($D$6&lt;&gt;"")*( DB!D$2:D$2576=$D$6))*(($D$7="")+($D$7&lt;&gt;"")*(ISNUMBER(SEARCH($D$7,DB!G$2:G$2576))))*(($F$7="전체")+($F$7&lt;&gt;"전체")*(DB!H$2:H$2576=$F$7))),ROW()-13)-1,"")</f>
        <v/>
      </c>
      <c r="Q1581" t="str" cm="1">
        <f t="array" ref="Q1581">IFERROR(INDEX(DB!G$2:G$2576,P1581),"")</f>
        <v/>
      </c>
      <c r="R1581" t="str" cm="1">
        <f t="array" ref="R1581">IFERROR(INDEX(DB!O$2:O$2576,P1581),"")</f>
        <v/>
      </c>
      <c r="S1581" t="str">
        <f t="shared" si="75"/>
        <v/>
      </c>
      <c r="T1581" t="str">
        <f t="shared" si="76"/>
        <v/>
      </c>
    </row>
    <row r="1582" spans="1:20" ht="100" customHeight="1">
      <c r="A1582" s="26"/>
      <c r="B1582" s="39" t="str">
        <f t="shared" si="74"/>
        <v/>
      </c>
      <c r="C1582" s="43"/>
      <c r="D1582" s="51" t="str" cm="1">
        <f t="array" ref="D1582">IFERROR(INDEX(DB!G$2:G$2576,T1582),"")</f>
        <v/>
      </c>
      <c r="E1582" s="43"/>
      <c r="F1582" s="52" t="str" cm="1">
        <f t="array" ref="F1582">IFERROR(INDEX(DB!O$2:O$2576,T1582),"")</f>
        <v/>
      </c>
      <c r="G1582" s="43"/>
      <c r="H1582" s="40" t="str" cm="1">
        <f t="array" ref="H1582">IFERROR(INDEX(DB!P$2:P$2576,T1582),"")</f>
        <v/>
      </c>
      <c r="I1582" s="43"/>
      <c r="J1582" s="53" t="str" cm="1">
        <f t="array" ref="J1582">IFERROR(INDEX(DB!Q$2:Q$2576,T1582),"")</f>
        <v/>
      </c>
      <c r="K1582" s="43"/>
      <c r="L1582" s="41" t="str" cm="1">
        <f t="array" ref="L1582">IFERROR(INDEX(DB!R$2:R$2576,T1582),"")</f>
        <v/>
      </c>
      <c r="M1582" s="43"/>
      <c r="P1582" t="str" cm="1">
        <f t="array" ref="P1582">IFERROR(_xlfn.AGGREGATE(15,6,ROW(DB!A$2:A$2576)/((($D$3&lt;&gt;"YES")+($D$3="YES")*(DB!E$2:E$2576="YES"))*(($D$4="")+($D$4&lt;&gt;"")*( DB!B$2:B$2576=$D$4))*(($D$5="")+($D$5&lt;&gt;"")*( DB!C$2:C$2576=$D$5))*(($D$6="")+($D$6&lt;&gt;"")*( DB!D$2:D$2576=$D$6))*(($D$7="")+($D$7&lt;&gt;"")*(ISNUMBER(SEARCH($D$7,DB!G$2:G$2576))))*(($F$7="전체")+($F$7&lt;&gt;"전체")*(DB!H$2:H$2576=$F$7))),ROW()-13)-1,"")</f>
        <v/>
      </c>
      <c r="Q1582" t="str" cm="1">
        <f t="array" ref="Q1582">IFERROR(INDEX(DB!G$2:G$2576,P1582),"")</f>
        <v/>
      </c>
      <c r="R1582" t="str" cm="1">
        <f t="array" ref="R1582">IFERROR(INDEX(DB!O$2:O$2576,P1582),"")</f>
        <v/>
      </c>
      <c r="S1582" t="str">
        <f t="shared" si="75"/>
        <v/>
      </c>
      <c r="T1582" t="str">
        <f t="shared" si="76"/>
        <v/>
      </c>
    </row>
    <row r="1583" spans="1:20" ht="100" customHeight="1">
      <c r="A1583" s="26"/>
      <c r="B1583" s="42" t="str">
        <f t="shared" si="74"/>
        <v/>
      </c>
      <c r="C1583" s="43"/>
      <c r="D1583" s="51" t="str" cm="1">
        <f t="array" ref="D1583">IFERROR(INDEX(DB!G$2:G$2576,T1583),"")</f>
        <v/>
      </c>
      <c r="E1583" s="43"/>
      <c r="F1583" s="52" t="str" cm="1">
        <f t="array" ref="F1583">IFERROR(INDEX(DB!O$2:O$2576,T1583),"")</f>
        <v/>
      </c>
      <c r="G1583" s="43"/>
      <c r="H1583" s="40" t="str" cm="1">
        <f t="array" ref="H1583">IFERROR(INDEX(DB!P$2:P$2576,T1583),"")</f>
        <v/>
      </c>
      <c r="I1583" s="43"/>
      <c r="J1583" s="53" t="str" cm="1">
        <f t="array" ref="J1583">IFERROR(INDEX(DB!Q$2:Q$2576,T1583),"")</f>
        <v/>
      </c>
      <c r="K1583" s="43"/>
      <c r="L1583" s="41" t="str" cm="1">
        <f t="array" ref="L1583">IFERROR(INDEX(DB!R$2:R$2576,T1583),"")</f>
        <v/>
      </c>
      <c r="M1583" s="43"/>
      <c r="P1583" t="str" cm="1">
        <f t="array" ref="P1583">IFERROR(_xlfn.AGGREGATE(15,6,ROW(DB!A$2:A$2576)/((($D$3&lt;&gt;"YES")+($D$3="YES")*(DB!E$2:E$2576="YES"))*(($D$4="")+($D$4&lt;&gt;"")*( DB!B$2:B$2576=$D$4))*(($D$5="")+($D$5&lt;&gt;"")*( DB!C$2:C$2576=$D$5))*(($D$6="")+($D$6&lt;&gt;"")*( DB!D$2:D$2576=$D$6))*(($D$7="")+($D$7&lt;&gt;"")*(ISNUMBER(SEARCH($D$7,DB!G$2:G$2576))))*(($F$7="전체")+($F$7&lt;&gt;"전체")*(DB!H$2:H$2576=$F$7))),ROW()-13)-1,"")</f>
        <v/>
      </c>
      <c r="Q1583" t="str" cm="1">
        <f t="array" ref="Q1583">IFERROR(INDEX(DB!G$2:G$2576,P1583),"")</f>
        <v/>
      </c>
      <c r="R1583" t="str" cm="1">
        <f t="array" ref="R1583">IFERROR(INDEX(DB!O$2:O$2576,P1583),"")</f>
        <v/>
      </c>
      <c r="S1583" t="str">
        <f t="shared" si="75"/>
        <v/>
      </c>
      <c r="T1583" t="str">
        <f t="shared" si="76"/>
        <v/>
      </c>
    </row>
    <row r="1584" spans="1:20" ht="100" customHeight="1">
      <c r="A1584" s="26"/>
      <c r="B1584" s="39" t="str">
        <f t="shared" si="74"/>
        <v/>
      </c>
      <c r="C1584" s="43"/>
      <c r="D1584" s="51" t="str" cm="1">
        <f t="array" ref="D1584">IFERROR(INDEX(DB!G$2:G$2576,T1584),"")</f>
        <v/>
      </c>
      <c r="E1584" s="43"/>
      <c r="F1584" s="52" t="str" cm="1">
        <f t="array" ref="F1584">IFERROR(INDEX(DB!O$2:O$2576,T1584),"")</f>
        <v/>
      </c>
      <c r="G1584" s="43"/>
      <c r="H1584" s="40" t="str" cm="1">
        <f t="array" ref="H1584">IFERROR(INDEX(DB!P$2:P$2576,T1584),"")</f>
        <v/>
      </c>
      <c r="I1584" s="43"/>
      <c r="J1584" s="53" t="str" cm="1">
        <f t="array" ref="J1584">IFERROR(INDEX(DB!Q$2:Q$2576,T1584),"")</f>
        <v/>
      </c>
      <c r="K1584" s="43"/>
      <c r="L1584" s="41" t="str" cm="1">
        <f t="array" ref="L1584">IFERROR(INDEX(DB!R$2:R$2576,T1584),"")</f>
        <v/>
      </c>
      <c r="M1584" s="43"/>
      <c r="P1584" t="str" cm="1">
        <f t="array" ref="P1584">IFERROR(_xlfn.AGGREGATE(15,6,ROW(DB!A$2:A$2576)/((($D$3&lt;&gt;"YES")+($D$3="YES")*(DB!E$2:E$2576="YES"))*(($D$4="")+($D$4&lt;&gt;"")*( DB!B$2:B$2576=$D$4))*(($D$5="")+($D$5&lt;&gt;"")*( DB!C$2:C$2576=$D$5))*(($D$6="")+($D$6&lt;&gt;"")*( DB!D$2:D$2576=$D$6))*(($D$7="")+($D$7&lt;&gt;"")*(ISNUMBER(SEARCH($D$7,DB!G$2:G$2576))))*(($F$7="전체")+($F$7&lt;&gt;"전체")*(DB!H$2:H$2576=$F$7))),ROW()-13)-1,"")</f>
        <v/>
      </c>
      <c r="Q1584" t="str" cm="1">
        <f t="array" ref="Q1584">IFERROR(INDEX(DB!G$2:G$2576,P1584),"")</f>
        <v/>
      </c>
      <c r="R1584" t="str" cm="1">
        <f t="array" ref="R1584">IFERROR(INDEX(DB!O$2:O$2576,P1584),"")</f>
        <v/>
      </c>
      <c r="S1584" t="str">
        <f t="shared" si="75"/>
        <v/>
      </c>
      <c r="T1584" t="str">
        <f t="shared" si="76"/>
        <v/>
      </c>
    </row>
    <row r="1585" spans="1:20" ht="100" customHeight="1">
      <c r="A1585" s="26"/>
      <c r="B1585" s="42" t="str">
        <f t="shared" si="74"/>
        <v/>
      </c>
      <c r="C1585" s="43"/>
      <c r="D1585" s="51" t="str" cm="1">
        <f t="array" ref="D1585">IFERROR(INDEX(DB!G$2:G$2576,T1585),"")</f>
        <v/>
      </c>
      <c r="E1585" s="43"/>
      <c r="F1585" s="52" t="str" cm="1">
        <f t="array" ref="F1585">IFERROR(INDEX(DB!O$2:O$2576,T1585),"")</f>
        <v/>
      </c>
      <c r="G1585" s="43"/>
      <c r="H1585" s="40" t="str" cm="1">
        <f t="array" ref="H1585">IFERROR(INDEX(DB!P$2:P$2576,T1585),"")</f>
        <v/>
      </c>
      <c r="I1585" s="43"/>
      <c r="J1585" s="53" t="str" cm="1">
        <f t="array" ref="J1585">IFERROR(INDEX(DB!Q$2:Q$2576,T1585),"")</f>
        <v/>
      </c>
      <c r="K1585" s="43"/>
      <c r="L1585" s="41" t="str" cm="1">
        <f t="array" ref="L1585">IFERROR(INDEX(DB!R$2:R$2576,T1585),"")</f>
        <v/>
      </c>
      <c r="M1585" s="43"/>
      <c r="P1585" t="str" cm="1">
        <f t="array" ref="P1585">IFERROR(_xlfn.AGGREGATE(15,6,ROW(DB!A$2:A$2576)/((($D$3&lt;&gt;"YES")+($D$3="YES")*(DB!E$2:E$2576="YES"))*(($D$4="")+($D$4&lt;&gt;"")*( DB!B$2:B$2576=$D$4))*(($D$5="")+($D$5&lt;&gt;"")*( DB!C$2:C$2576=$D$5))*(($D$6="")+($D$6&lt;&gt;"")*( DB!D$2:D$2576=$D$6))*(($D$7="")+($D$7&lt;&gt;"")*(ISNUMBER(SEARCH($D$7,DB!G$2:G$2576))))*(($F$7="전체")+($F$7&lt;&gt;"전체")*(DB!H$2:H$2576=$F$7))),ROW()-13)-1,"")</f>
        <v/>
      </c>
      <c r="Q1585" t="str" cm="1">
        <f t="array" ref="Q1585">IFERROR(INDEX(DB!G$2:G$2576,P1585),"")</f>
        <v/>
      </c>
      <c r="R1585" t="str" cm="1">
        <f t="array" ref="R1585">IFERROR(INDEX(DB!O$2:O$2576,P1585),"")</f>
        <v/>
      </c>
      <c r="S1585" t="str">
        <f t="shared" si="75"/>
        <v/>
      </c>
      <c r="T1585" t="str">
        <f t="shared" si="76"/>
        <v/>
      </c>
    </row>
    <row r="1586" spans="1:20" ht="100" customHeight="1">
      <c r="A1586" s="26"/>
      <c r="B1586" s="39" t="str">
        <f t="shared" si="74"/>
        <v/>
      </c>
      <c r="C1586" s="43"/>
      <c r="D1586" s="51" t="str" cm="1">
        <f t="array" ref="D1586">IFERROR(INDEX(DB!G$2:G$2576,T1586),"")</f>
        <v/>
      </c>
      <c r="E1586" s="43"/>
      <c r="F1586" s="52" t="str" cm="1">
        <f t="array" ref="F1586">IFERROR(INDEX(DB!O$2:O$2576,T1586),"")</f>
        <v/>
      </c>
      <c r="G1586" s="43"/>
      <c r="H1586" s="40" t="str" cm="1">
        <f t="array" ref="H1586">IFERROR(INDEX(DB!P$2:P$2576,T1586),"")</f>
        <v/>
      </c>
      <c r="I1586" s="43"/>
      <c r="J1586" s="53" t="str" cm="1">
        <f t="array" ref="J1586">IFERROR(INDEX(DB!Q$2:Q$2576,T1586),"")</f>
        <v/>
      </c>
      <c r="K1586" s="43"/>
      <c r="L1586" s="41" t="str" cm="1">
        <f t="array" ref="L1586">IFERROR(INDEX(DB!R$2:R$2576,T1586),"")</f>
        <v/>
      </c>
      <c r="M1586" s="43"/>
      <c r="P1586" t="str" cm="1">
        <f t="array" ref="P1586">IFERROR(_xlfn.AGGREGATE(15,6,ROW(DB!A$2:A$2576)/((($D$3&lt;&gt;"YES")+($D$3="YES")*(DB!E$2:E$2576="YES"))*(($D$4="")+($D$4&lt;&gt;"")*( DB!B$2:B$2576=$D$4))*(($D$5="")+($D$5&lt;&gt;"")*( DB!C$2:C$2576=$D$5))*(($D$6="")+($D$6&lt;&gt;"")*( DB!D$2:D$2576=$D$6))*(($D$7="")+($D$7&lt;&gt;"")*(ISNUMBER(SEARCH($D$7,DB!G$2:G$2576))))*(($F$7="전체")+($F$7&lt;&gt;"전체")*(DB!H$2:H$2576=$F$7))),ROW()-13)-1,"")</f>
        <v/>
      </c>
      <c r="Q1586" t="str" cm="1">
        <f t="array" ref="Q1586">IFERROR(INDEX(DB!G$2:G$2576,P1586),"")</f>
        <v/>
      </c>
      <c r="R1586" t="str" cm="1">
        <f t="array" ref="R1586">IFERROR(INDEX(DB!O$2:O$2576,P1586),"")</f>
        <v/>
      </c>
      <c r="S1586" t="str">
        <f t="shared" si="75"/>
        <v/>
      </c>
      <c r="T1586" t="str">
        <f t="shared" si="76"/>
        <v/>
      </c>
    </row>
    <row r="1587" spans="1:20" ht="100" customHeight="1">
      <c r="A1587" s="26"/>
      <c r="B1587" s="42" t="str">
        <f t="shared" si="74"/>
        <v/>
      </c>
      <c r="C1587" s="43"/>
      <c r="D1587" s="51" t="str" cm="1">
        <f t="array" ref="D1587">IFERROR(INDEX(DB!G$2:G$2576,T1587),"")</f>
        <v/>
      </c>
      <c r="E1587" s="43"/>
      <c r="F1587" s="52" t="str" cm="1">
        <f t="array" ref="F1587">IFERROR(INDEX(DB!O$2:O$2576,T1587),"")</f>
        <v/>
      </c>
      <c r="G1587" s="43"/>
      <c r="H1587" s="40" t="str" cm="1">
        <f t="array" ref="H1587">IFERROR(INDEX(DB!P$2:P$2576,T1587),"")</f>
        <v/>
      </c>
      <c r="I1587" s="43"/>
      <c r="J1587" s="53" t="str" cm="1">
        <f t="array" ref="J1587">IFERROR(INDEX(DB!Q$2:Q$2576,T1587),"")</f>
        <v/>
      </c>
      <c r="K1587" s="43"/>
      <c r="L1587" s="41" t="str" cm="1">
        <f t="array" ref="L1587">IFERROR(INDEX(DB!R$2:R$2576,T1587),"")</f>
        <v/>
      </c>
      <c r="M1587" s="43"/>
      <c r="P1587" t="str" cm="1">
        <f t="array" ref="P1587">IFERROR(_xlfn.AGGREGATE(15,6,ROW(DB!A$2:A$2576)/((($D$3&lt;&gt;"YES")+($D$3="YES")*(DB!E$2:E$2576="YES"))*(($D$4="")+($D$4&lt;&gt;"")*( DB!B$2:B$2576=$D$4))*(($D$5="")+($D$5&lt;&gt;"")*( DB!C$2:C$2576=$D$5))*(($D$6="")+($D$6&lt;&gt;"")*( DB!D$2:D$2576=$D$6))*(($D$7="")+($D$7&lt;&gt;"")*(ISNUMBER(SEARCH($D$7,DB!G$2:G$2576))))*(($F$7="전체")+($F$7&lt;&gt;"전체")*(DB!H$2:H$2576=$F$7))),ROW()-13)-1,"")</f>
        <v/>
      </c>
      <c r="Q1587" t="str" cm="1">
        <f t="array" ref="Q1587">IFERROR(INDEX(DB!G$2:G$2576,P1587),"")</f>
        <v/>
      </c>
      <c r="R1587" t="str" cm="1">
        <f t="array" ref="R1587">IFERROR(INDEX(DB!O$2:O$2576,P1587),"")</f>
        <v/>
      </c>
      <c r="S1587" t="str">
        <f t="shared" si="75"/>
        <v/>
      </c>
      <c r="T1587" t="str">
        <f t="shared" si="76"/>
        <v/>
      </c>
    </row>
    <row r="1588" spans="1:20" ht="100" customHeight="1">
      <c r="A1588" s="26"/>
      <c r="B1588" s="39" t="str">
        <f t="shared" si="74"/>
        <v/>
      </c>
      <c r="C1588" s="43"/>
      <c r="D1588" s="51" t="str" cm="1">
        <f t="array" ref="D1588">IFERROR(INDEX(DB!G$2:G$2576,T1588),"")</f>
        <v/>
      </c>
      <c r="E1588" s="43"/>
      <c r="F1588" s="52" t="str" cm="1">
        <f t="array" ref="F1588">IFERROR(INDEX(DB!O$2:O$2576,T1588),"")</f>
        <v/>
      </c>
      <c r="G1588" s="43"/>
      <c r="H1588" s="40" t="str" cm="1">
        <f t="array" ref="H1588">IFERROR(INDEX(DB!P$2:P$2576,T1588),"")</f>
        <v/>
      </c>
      <c r="I1588" s="43"/>
      <c r="J1588" s="53" t="str" cm="1">
        <f t="array" ref="J1588">IFERROR(INDEX(DB!Q$2:Q$2576,T1588),"")</f>
        <v/>
      </c>
      <c r="K1588" s="43"/>
      <c r="L1588" s="41" t="str" cm="1">
        <f t="array" ref="L1588">IFERROR(INDEX(DB!R$2:R$2576,T1588),"")</f>
        <v/>
      </c>
      <c r="M1588" s="43"/>
      <c r="P1588" t="str" cm="1">
        <f t="array" ref="P1588">IFERROR(_xlfn.AGGREGATE(15,6,ROW(DB!A$2:A$2576)/((($D$3&lt;&gt;"YES")+($D$3="YES")*(DB!E$2:E$2576="YES"))*(($D$4="")+($D$4&lt;&gt;"")*( DB!B$2:B$2576=$D$4))*(($D$5="")+($D$5&lt;&gt;"")*( DB!C$2:C$2576=$D$5))*(($D$6="")+($D$6&lt;&gt;"")*( DB!D$2:D$2576=$D$6))*(($D$7="")+($D$7&lt;&gt;"")*(ISNUMBER(SEARCH($D$7,DB!G$2:G$2576))))*(($F$7="전체")+($F$7&lt;&gt;"전체")*(DB!H$2:H$2576=$F$7))),ROW()-13)-1,"")</f>
        <v/>
      </c>
      <c r="Q1588" t="str" cm="1">
        <f t="array" ref="Q1588">IFERROR(INDEX(DB!G$2:G$2576,P1588),"")</f>
        <v/>
      </c>
      <c r="R1588" t="str" cm="1">
        <f t="array" ref="R1588">IFERROR(INDEX(DB!O$2:O$2576,P1588),"")</f>
        <v/>
      </c>
      <c r="S1588" t="str">
        <f t="shared" si="75"/>
        <v/>
      </c>
      <c r="T1588" t="str">
        <f t="shared" si="76"/>
        <v/>
      </c>
    </row>
    <row r="1589" spans="1:20" ht="100" customHeight="1">
      <c r="A1589" s="26"/>
      <c r="B1589" s="42" t="str">
        <f t="shared" si="74"/>
        <v/>
      </c>
      <c r="C1589" s="43"/>
      <c r="D1589" s="51" t="str" cm="1">
        <f t="array" ref="D1589">IFERROR(INDEX(DB!G$2:G$2576,T1589),"")</f>
        <v/>
      </c>
      <c r="E1589" s="43"/>
      <c r="F1589" s="52" t="str" cm="1">
        <f t="array" ref="F1589">IFERROR(INDEX(DB!O$2:O$2576,T1589),"")</f>
        <v/>
      </c>
      <c r="G1589" s="43"/>
      <c r="H1589" s="40" t="str" cm="1">
        <f t="array" ref="H1589">IFERROR(INDEX(DB!P$2:P$2576,T1589),"")</f>
        <v/>
      </c>
      <c r="I1589" s="43"/>
      <c r="J1589" s="53" t="str" cm="1">
        <f t="array" ref="J1589">IFERROR(INDEX(DB!Q$2:Q$2576,T1589),"")</f>
        <v/>
      </c>
      <c r="K1589" s="43"/>
      <c r="L1589" s="41" t="str" cm="1">
        <f t="array" ref="L1589">IFERROR(INDEX(DB!R$2:R$2576,T1589),"")</f>
        <v/>
      </c>
      <c r="M1589" s="43"/>
      <c r="P1589" t="str" cm="1">
        <f t="array" ref="P1589">IFERROR(_xlfn.AGGREGATE(15,6,ROW(DB!A$2:A$2576)/((($D$3&lt;&gt;"YES")+($D$3="YES")*(DB!E$2:E$2576="YES"))*(($D$4="")+($D$4&lt;&gt;"")*( DB!B$2:B$2576=$D$4))*(($D$5="")+($D$5&lt;&gt;"")*( DB!C$2:C$2576=$D$5))*(($D$6="")+($D$6&lt;&gt;"")*( DB!D$2:D$2576=$D$6))*(($D$7="")+($D$7&lt;&gt;"")*(ISNUMBER(SEARCH($D$7,DB!G$2:G$2576))))*(($F$7="전체")+($F$7&lt;&gt;"전체")*(DB!H$2:H$2576=$F$7))),ROW()-13)-1,"")</f>
        <v/>
      </c>
      <c r="Q1589" t="str" cm="1">
        <f t="array" ref="Q1589">IFERROR(INDEX(DB!G$2:G$2576,P1589),"")</f>
        <v/>
      </c>
      <c r="R1589" t="str" cm="1">
        <f t="array" ref="R1589">IFERROR(INDEX(DB!O$2:O$2576,P1589),"")</f>
        <v/>
      </c>
      <c r="S1589" t="str">
        <f t="shared" si="75"/>
        <v/>
      </c>
      <c r="T1589" t="str">
        <f t="shared" si="76"/>
        <v/>
      </c>
    </row>
    <row r="1590" spans="1:20" ht="100" customHeight="1">
      <c r="A1590" s="26"/>
      <c r="B1590" s="39" t="str">
        <f t="shared" si="74"/>
        <v/>
      </c>
      <c r="C1590" s="43"/>
      <c r="D1590" s="51" t="str" cm="1">
        <f t="array" ref="D1590">IFERROR(INDEX(DB!G$2:G$2576,T1590),"")</f>
        <v/>
      </c>
      <c r="E1590" s="43"/>
      <c r="F1590" s="52" t="str" cm="1">
        <f t="array" ref="F1590">IFERROR(INDEX(DB!O$2:O$2576,T1590),"")</f>
        <v/>
      </c>
      <c r="G1590" s="43"/>
      <c r="H1590" s="40" t="str" cm="1">
        <f t="array" ref="H1590">IFERROR(INDEX(DB!P$2:P$2576,T1590),"")</f>
        <v/>
      </c>
      <c r="I1590" s="43"/>
      <c r="J1590" s="53" t="str" cm="1">
        <f t="array" ref="J1590">IFERROR(INDEX(DB!Q$2:Q$2576,T1590),"")</f>
        <v/>
      </c>
      <c r="K1590" s="43"/>
      <c r="L1590" s="41" t="str" cm="1">
        <f t="array" ref="L1590">IFERROR(INDEX(DB!R$2:R$2576,T1590),"")</f>
        <v/>
      </c>
      <c r="M1590" s="43"/>
      <c r="P1590" t="str" cm="1">
        <f t="array" ref="P1590">IFERROR(_xlfn.AGGREGATE(15,6,ROW(DB!A$2:A$2576)/((($D$3&lt;&gt;"YES")+($D$3="YES")*(DB!E$2:E$2576="YES"))*(($D$4="")+($D$4&lt;&gt;"")*( DB!B$2:B$2576=$D$4))*(($D$5="")+($D$5&lt;&gt;"")*( DB!C$2:C$2576=$D$5))*(($D$6="")+($D$6&lt;&gt;"")*( DB!D$2:D$2576=$D$6))*(($D$7="")+($D$7&lt;&gt;"")*(ISNUMBER(SEARCH($D$7,DB!G$2:G$2576))))*(($F$7="전체")+($F$7&lt;&gt;"전체")*(DB!H$2:H$2576=$F$7))),ROW()-13)-1,"")</f>
        <v/>
      </c>
      <c r="Q1590" t="str" cm="1">
        <f t="array" ref="Q1590">IFERROR(INDEX(DB!G$2:G$2576,P1590),"")</f>
        <v/>
      </c>
      <c r="R1590" t="str" cm="1">
        <f t="array" ref="R1590">IFERROR(INDEX(DB!O$2:O$2576,P1590),"")</f>
        <v/>
      </c>
      <c r="S1590" t="str">
        <f t="shared" si="75"/>
        <v/>
      </c>
      <c r="T1590" t="str">
        <f t="shared" si="76"/>
        <v/>
      </c>
    </row>
    <row r="1591" spans="1:20" ht="100" customHeight="1">
      <c r="A1591" s="26"/>
      <c r="B1591" s="42" t="str">
        <f t="shared" si="74"/>
        <v/>
      </c>
      <c r="C1591" s="43"/>
      <c r="D1591" s="51" t="str" cm="1">
        <f t="array" ref="D1591">IFERROR(INDEX(DB!G$2:G$2576,T1591),"")</f>
        <v/>
      </c>
      <c r="E1591" s="43"/>
      <c r="F1591" s="52" t="str" cm="1">
        <f t="array" ref="F1591">IFERROR(INDEX(DB!O$2:O$2576,T1591),"")</f>
        <v/>
      </c>
      <c r="G1591" s="43"/>
      <c r="H1591" s="40" t="str" cm="1">
        <f t="array" ref="H1591">IFERROR(INDEX(DB!P$2:P$2576,T1591),"")</f>
        <v/>
      </c>
      <c r="I1591" s="43"/>
      <c r="J1591" s="53" t="str" cm="1">
        <f t="array" ref="J1591">IFERROR(INDEX(DB!Q$2:Q$2576,T1591),"")</f>
        <v/>
      </c>
      <c r="K1591" s="43"/>
      <c r="L1591" s="41" t="str" cm="1">
        <f t="array" ref="L1591">IFERROR(INDEX(DB!R$2:R$2576,T1591),"")</f>
        <v/>
      </c>
      <c r="M1591" s="43"/>
      <c r="P1591" t="str" cm="1">
        <f t="array" ref="P1591">IFERROR(_xlfn.AGGREGATE(15,6,ROW(DB!A$2:A$2576)/((($D$3&lt;&gt;"YES")+($D$3="YES")*(DB!E$2:E$2576="YES"))*(($D$4="")+($D$4&lt;&gt;"")*( DB!B$2:B$2576=$D$4))*(($D$5="")+($D$5&lt;&gt;"")*( DB!C$2:C$2576=$D$5))*(($D$6="")+($D$6&lt;&gt;"")*( DB!D$2:D$2576=$D$6))*(($D$7="")+($D$7&lt;&gt;"")*(ISNUMBER(SEARCH($D$7,DB!G$2:G$2576))))*(($F$7="전체")+($F$7&lt;&gt;"전체")*(DB!H$2:H$2576=$F$7))),ROW()-13)-1,"")</f>
        <v/>
      </c>
      <c r="Q1591" t="str" cm="1">
        <f t="array" ref="Q1591">IFERROR(INDEX(DB!G$2:G$2576,P1591),"")</f>
        <v/>
      </c>
      <c r="R1591" t="str" cm="1">
        <f t="array" ref="R1591">IFERROR(INDEX(DB!O$2:O$2576,P1591),"")</f>
        <v/>
      </c>
      <c r="S1591" t="str">
        <f t="shared" si="75"/>
        <v/>
      </c>
      <c r="T1591" t="str">
        <f t="shared" si="76"/>
        <v/>
      </c>
    </row>
    <row r="1592" spans="1:20" ht="100" customHeight="1">
      <c r="A1592" s="26"/>
      <c r="B1592" s="39" t="str">
        <f t="shared" si="74"/>
        <v/>
      </c>
      <c r="C1592" s="43"/>
      <c r="D1592" s="51" t="str" cm="1">
        <f t="array" ref="D1592">IFERROR(INDEX(DB!G$2:G$2576,T1592),"")</f>
        <v/>
      </c>
      <c r="E1592" s="43"/>
      <c r="F1592" s="52" t="str" cm="1">
        <f t="array" ref="F1592">IFERROR(INDEX(DB!O$2:O$2576,T1592),"")</f>
        <v/>
      </c>
      <c r="G1592" s="43"/>
      <c r="H1592" s="40" t="str" cm="1">
        <f t="array" ref="H1592">IFERROR(INDEX(DB!P$2:P$2576,T1592),"")</f>
        <v/>
      </c>
      <c r="I1592" s="43"/>
      <c r="J1592" s="53" t="str" cm="1">
        <f t="array" ref="J1592">IFERROR(INDEX(DB!Q$2:Q$2576,T1592),"")</f>
        <v/>
      </c>
      <c r="K1592" s="43"/>
      <c r="L1592" s="41" t="str" cm="1">
        <f t="array" ref="L1592">IFERROR(INDEX(DB!R$2:R$2576,T1592),"")</f>
        <v/>
      </c>
      <c r="M1592" s="43"/>
      <c r="P1592" t="str" cm="1">
        <f t="array" ref="P1592">IFERROR(_xlfn.AGGREGATE(15,6,ROW(DB!A$2:A$2576)/((($D$3&lt;&gt;"YES")+($D$3="YES")*(DB!E$2:E$2576="YES"))*(($D$4="")+($D$4&lt;&gt;"")*( DB!B$2:B$2576=$D$4))*(($D$5="")+($D$5&lt;&gt;"")*( DB!C$2:C$2576=$D$5))*(($D$6="")+($D$6&lt;&gt;"")*( DB!D$2:D$2576=$D$6))*(($D$7="")+($D$7&lt;&gt;"")*(ISNUMBER(SEARCH($D$7,DB!G$2:G$2576))))*(($F$7="전체")+($F$7&lt;&gt;"전체")*(DB!H$2:H$2576=$F$7))),ROW()-13)-1,"")</f>
        <v/>
      </c>
      <c r="Q1592" t="str" cm="1">
        <f t="array" ref="Q1592">IFERROR(INDEX(DB!G$2:G$2576,P1592),"")</f>
        <v/>
      </c>
      <c r="R1592" t="str" cm="1">
        <f t="array" ref="R1592">IFERROR(INDEX(DB!O$2:O$2576,P1592),"")</f>
        <v/>
      </c>
      <c r="S1592" t="str">
        <f t="shared" si="75"/>
        <v/>
      </c>
      <c r="T1592" t="str">
        <f t="shared" si="76"/>
        <v/>
      </c>
    </row>
    <row r="1593" spans="1:20" ht="100" customHeight="1">
      <c r="A1593" s="26"/>
      <c r="B1593" s="42" t="str">
        <f t="shared" si="74"/>
        <v/>
      </c>
      <c r="C1593" s="43"/>
      <c r="D1593" s="51" t="str" cm="1">
        <f t="array" ref="D1593">IFERROR(INDEX(DB!G$2:G$2576,T1593),"")</f>
        <v/>
      </c>
      <c r="E1593" s="43"/>
      <c r="F1593" s="52" t="str" cm="1">
        <f t="array" ref="F1593">IFERROR(INDEX(DB!O$2:O$2576,T1593),"")</f>
        <v/>
      </c>
      <c r="G1593" s="43"/>
      <c r="H1593" s="40" t="str" cm="1">
        <f t="array" ref="H1593">IFERROR(INDEX(DB!P$2:P$2576,T1593),"")</f>
        <v/>
      </c>
      <c r="I1593" s="43"/>
      <c r="J1593" s="53" t="str" cm="1">
        <f t="array" ref="J1593">IFERROR(INDEX(DB!Q$2:Q$2576,T1593),"")</f>
        <v/>
      </c>
      <c r="K1593" s="43"/>
      <c r="L1593" s="41" t="str" cm="1">
        <f t="array" ref="L1593">IFERROR(INDEX(DB!R$2:R$2576,T1593),"")</f>
        <v/>
      </c>
      <c r="M1593" s="43"/>
      <c r="P1593" t="str" cm="1">
        <f t="array" ref="P1593">IFERROR(_xlfn.AGGREGATE(15,6,ROW(DB!A$2:A$2576)/((($D$3&lt;&gt;"YES")+($D$3="YES")*(DB!E$2:E$2576="YES"))*(($D$4="")+($D$4&lt;&gt;"")*( DB!B$2:B$2576=$D$4))*(($D$5="")+($D$5&lt;&gt;"")*( DB!C$2:C$2576=$D$5))*(($D$6="")+($D$6&lt;&gt;"")*( DB!D$2:D$2576=$D$6))*(($D$7="")+($D$7&lt;&gt;"")*(ISNUMBER(SEARCH($D$7,DB!G$2:G$2576))))*(($F$7="전체")+($F$7&lt;&gt;"전체")*(DB!H$2:H$2576=$F$7))),ROW()-13)-1,"")</f>
        <v/>
      </c>
      <c r="Q1593" t="str" cm="1">
        <f t="array" ref="Q1593">IFERROR(INDEX(DB!G$2:G$2576,P1593),"")</f>
        <v/>
      </c>
      <c r="R1593" t="str" cm="1">
        <f t="array" ref="R1593">IFERROR(INDEX(DB!O$2:O$2576,P1593),"")</f>
        <v/>
      </c>
      <c r="S1593" t="str">
        <f t="shared" si="75"/>
        <v/>
      </c>
      <c r="T1593" t="str">
        <f t="shared" si="76"/>
        <v/>
      </c>
    </row>
    <row r="1594" spans="1:20" ht="100" customHeight="1">
      <c r="A1594" s="26"/>
      <c r="B1594" s="39" t="str">
        <f t="shared" si="74"/>
        <v/>
      </c>
      <c r="C1594" s="43"/>
      <c r="D1594" s="51" t="str" cm="1">
        <f t="array" ref="D1594">IFERROR(INDEX(DB!G$2:G$2576,T1594),"")</f>
        <v/>
      </c>
      <c r="E1594" s="43"/>
      <c r="F1594" s="52" t="str" cm="1">
        <f t="array" ref="F1594">IFERROR(INDEX(DB!O$2:O$2576,T1594),"")</f>
        <v/>
      </c>
      <c r="G1594" s="43"/>
      <c r="H1594" s="40" t="str" cm="1">
        <f t="array" ref="H1594">IFERROR(INDEX(DB!P$2:P$2576,T1594),"")</f>
        <v/>
      </c>
      <c r="I1594" s="43"/>
      <c r="J1594" s="53" t="str" cm="1">
        <f t="array" ref="J1594">IFERROR(INDEX(DB!Q$2:Q$2576,T1594),"")</f>
        <v/>
      </c>
      <c r="K1594" s="43"/>
      <c r="L1594" s="41" t="str" cm="1">
        <f t="array" ref="L1594">IFERROR(INDEX(DB!R$2:R$2576,T1594),"")</f>
        <v/>
      </c>
      <c r="M1594" s="43"/>
      <c r="P1594" t="str" cm="1">
        <f t="array" ref="P1594">IFERROR(_xlfn.AGGREGATE(15,6,ROW(DB!A$2:A$2576)/((($D$3&lt;&gt;"YES")+($D$3="YES")*(DB!E$2:E$2576="YES"))*(($D$4="")+($D$4&lt;&gt;"")*( DB!B$2:B$2576=$D$4))*(($D$5="")+($D$5&lt;&gt;"")*( DB!C$2:C$2576=$D$5))*(($D$6="")+($D$6&lt;&gt;"")*( DB!D$2:D$2576=$D$6))*(($D$7="")+($D$7&lt;&gt;"")*(ISNUMBER(SEARCH($D$7,DB!G$2:G$2576))))*(($F$7="전체")+($F$7&lt;&gt;"전체")*(DB!H$2:H$2576=$F$7))),ROW()-13)-1,"")</f>
        <v/>
      </c>
      <c r="Q1594" t="str" cm="1">
        <f t="array" ref="Q1594">IFERROR(INDEX(DB!G$2:G$2576,P1594),"")</f>
        <v/>
      </c>
      <c r="R1594" t="str" cm="1">
        <f t="array" ref="R1594">IFERROR(INDEX(DB!O$2:O$2576,P1594),"")</f>
        <v/>
      </c>
      <c r="S1594" t="str">
        <f t="shared" si="75"/>
        <v/>
      </c>
      <c r="T1594" t="str">
        <f t="shared" si="76"/>
        <v/>
      </c>
    </row>
    <row r="1595" spans="1:20" ht="100" customHeight="1">
      <c r="A1595" s="26"/>
      <c r="B1595" s="42" t="str">
        <f t="shared" si="74"/>
        <v/>
      </c>
      <c r="C1595" s="43"/>
      <c r="D1595" s="51" t="str" cm="1">
        <f t="array" ref="D1595">IFERROR(INDEX(DB!G$2:G$2576,T1595),"")</f>
        <v/>
      </c>
      <c r="E1595" s="43"/>
      <c r="F1595" s="52" t="str" cm="1">
        <f t="array" ref="F1595">IFERROR(INDEX(DB!O$2:O$2576,T1595),"")</f>
        <v/>
      </c>
      <c r="G1595" s="43"/>
      <c r="H1595" s="40" t="str" cm="1">
        <f t="array" ref="H1595">IFERROR(INDEX(DB!P$2:P$2576,T1595),"")</f>
        <v/>
      </c>
      <c r="I1595" s="43"/>
      <c r="J1595" s="53" t="str" cm="1">
        <f t="array" ref="J1595">IFERROR(INDEX(DB!Q$2:Q$2576,T1595),"")</f>
        <v/>
      </c>
      <c r="K1595" s="43"/>
      <c r="L1595" s="41" t="str" cm="1">
        <f t="array" ref="L1595">IFERROR(INDEX(DB!R$2:R$2576,T1595),"")</f>
        <v/>
      </c>
      <c r="M1595" s="43"/>
      <c r="P1595" t="str" cm="1">
        <f t="array" ref="P1595">IFERROR(_xlfn.AGGREGATE(15,6,ROW(DB!A$2:A$2576)/((($D$3&lt;&gt;"YES")+($D$3="YES")*(DB!E$2:E$2576="YES"))*(($D$4="")+($D$4&lt;&gt;"")*( DB!B$2:B$2576=$D$4))*(($D$5="")+($D$5&lt;&gt;"")*( DB!C$2:C$2576=$D$5))*(($D$6="")+($D$6&lt;&gt;"")*( DB!D$2:D$2576=$D$6))*(($D$7="")+($D$7&lt;&gt;"")*(ISNUMBER(SEARCH($D$7,DB!G$2:G$2576))))*(($F$7="전체")+($F$7&lt;&gt;"전체")*(DB!H$2:H$2576=$F$7))),ROW()-13)-1,"")</f>
        <v/>
      </c>
      <c r="Q1595" t="str" cm="1">
        <f t="array" ref="Q1595">IFERROR(INDEX(DB!G$2:G$2576,P1595),"")</f>
        <v/>
      </c>
      <c r="R1595" t="str" cm="1">
        <f t="array" ref="R1595">IFERROR(INDEX(DB!O$2:O$2576,P1595),"")</f>
        <v/>
      </c>
      <c r="S1595" t="str">
        <f t="shared" si="75"/>
        <v/>
      </c>
      <c r="T1595" t="str">
        <f t="shared" si="76"/>
        <v/>
      </c>
    </row>
    <row r="1596" spans="1:20" ht="100" customHeight="1">
      <c r="A1596" s="26"/>
      <c r="B1596" s="39" t="str">
        <f t="shared" si="74"/>
        <v/>
      </c>
      <c r="C1596" s="43"/>
      <c r="D1596" s="51" t="str" cm="1">
        <f t="array" ref="D1596">IFERROR(INDEX(DB!G$2:G$2576,T1596),"")</f>
        <v/>
      </c>
      <c r="E1596" s="43"/>
      <c r="F1596" s="52" t="str" cm="1">
        <f t="array" ref="F1596">IFERROR(INDEX(DB!O$2:O$2576,T1596),"")</f>
        <v/>
      </c>
      <c r="G1596" s="43"/>
      <c r="H1596" s="40" t="str" cm="1">
        <f t="array" ref="H1596">IFERROR(INDEX(DB!P$2:P$2576,T1596),"")</f>
        <v/>
      </c>
      <c r="I1596" s="43"/>
      <c r="J1596" s="53" t="str" cm="1">
        <f t="array" ref="J1596">IFERROR(INDEX(DB!Q$2:Q$2576,T1596),"")</f>
        <v/>
      </c>
      <c r="K1596" s="43"/>
      <c r="L1596" s="41" t="str" cm="1">
        <f t="array" ref="L1596">IFERROR(INDEX(DB!R$2:R$2576,T1596),"")</f>
        <v/>
      </c>
      <c r="M1596" s="43"/>
      <c r="P1596" t="str" cm="1">
        <f t="array" ref="P1596">IFERROR(_xlfn.AGGREGATE(15,6,ROW(DB!A$2:A$2576)/((($D$3&lt;&gt;"YES")+($D$3="YES")*(DB!E$2:E$2576="YES"))*(($D$4="")+($D$4&lt;&gt;"")*( DB!B$2:B$2576=$D$4))*(($D$5="")+($D$5&lt;&gt;"")*( DB!C$2:C$2576=$D$5))*(($D$6="")+($D$6&lt;&gt;"")*( DB!D$2:D$2576=$D$6))*(($D$7="")+($D$7&lt;&gt;"")*(ISNUMBER(SEARCH($D$7,DB!G$2:G$2576))))*(($F$7="전체")+($F$7&lt;&gt;"전체")*(DB!H$2:H$2576=$F$7))),ROW()-13)-1,"")</f>
        <v/>
      </c>
      <c r="Q1596" t="str" cm="1">
        <f t="array" ref="Q1596">IFERROR(INDEX(DB!G$2:G$2576,P1596),"")</f>
        <v/>
      </c>
      <c r="R1596" t="str" cm="1">
        <f t="array" ref="R1596">IFERROR(INDEX(DB!O$2:O$2576,P1596),"")</f>
        <v/>
      </c>
      <c r="S1596" t="str">
        <f t="shared" si="75"/>
        <v/>
      </c>
      <c r="T1596" t="str">
        <f t="shared" si="76"/>
        <v/>
      </c>
    </row>
    <row r="1597" spans="1:20" ht="100" customHeight="1">
      <c r="A1597" s="26"/>
      <c r="B1597" s="42" t="str">
        <f t="shared" si="74"/>
        <v/>
      </c>
      <c r="C1597" s="43"/>
      <c r="D1597" s="51" t="str" cm="1">
        <f t="array" ref="D1597">IFERROR(INDEX(DB!G$2:G$2576,T1597),"")</f>
        <v/>
      </c>
      <c r="E1597" s="43"/>
      <c r="F1597" s="52" t="str" cm="1">
        <f t="array" ref="F1597">IFERROR(INDEX(DB!O$2:O$2576,T1597),"")</f>
        <v/>
      </c>
      <c r="G1597" s="43"/>
      <c r="H1597" s="40" t="str" cm="1">
        <f t="array" ref="H1597">IFERROR(INDEX(DB!P$2:P$2576,T1597),"")</f>
        <v/>
      </c>
      <c r="I1597" s="43"/>
      <c r="J1597" s="53" t="str" cm="1">
        <f t="array" ref="J1597">IFERROR(INDEX(DB!Q$2:Q$2576,T1597),"")</f>
        <v/>
      </c>
      <c r="K1597" s="43"/>
      <c r="L1597" s="41" t="str" cm="1">
        <f t="array" ref="L1597">IFERROR(INDEX(DB!R$2:R$2576,T1597),"")</f>
        <v/>
      </c>
      <c r="M1597" s="43"/>
      <c r="P1597" t="str" cm="1">
        <f t="array" ref="P1597">IFERROR(_xlfn.AGGREGATE(15,6,ROW(DB!A$2:A$2576)/((($D$3&lt;&gt;"YES")+($D$3="YES")*(DB!E$2:E$2576="YES"))*(($D$4="")+($D$4&lt;&gt;"")*( DB!B$2:B$2576=$D$4))*(($D$5="")+($D$5&lt;&gt;"")*( DB!C$2:C$2576=$D$5))*(($D$6="")+($D$6&lt;&gt;"")*( DB!D$2:D$2576=$D$6))*(($D$7="")+($D$7&lt;&gt;"")*(ISNUMBER(SEARCH($D$7,DB!G$2:G$2576))))*(($F$7="전체")+($F$7&lt;&gt;"전체")*(DB!H$2:H$2576=$F$7))),ROW()-13)-1,"")</f>
        <v/>
      </c>
      <c r="Q1597" t="str" cm="1">
        <f t="array" ref="Q1597">IFERROR(INDEX(DB!G$2:G$2576,P1597),"")</f>
        <v/>
      </c>
      <c r="R1597" t="str" cm="1">
        <f t="array" ref="R1597">IFERROR(INDEX(DB!O$2:O$2576,P1597),"")</f>
        <v/>
      </c>
      <c r="S1597" t="str">
        <f t="shared" si="75"/>
        <v/>
      </c>
      <c r="T1597" t="str">
        <f t="shared" si="76"/>
        <v/>
      </c>
    </row>
    <row r="1598" spans="1:20" ht="100" customHeight="1">
      <c r="A1598" s="26"/>
      <c r="B1598" s="39" t="str">
        <f t="shared" si="74"/>
        <v/>
      </c>
      <c r="C1598" s="43"/>
      <c r="D1598" s="51" t="str" cm="1">
        <f t="array" ref="D1598">IFERROR(INDEX(DB!G$2:G$2576,T1598),"")</f>
        <v/>
      </c>
      <c r="E1598" s="43"/>
      <c r="F1598" s="52" t="str" cm="1">
        <f t="array" ref="F1598">IFERROR(INDEX(DB!O$2:O$2576,T1598),"")</f>
        <v/>
      </c>
      <c r="G1598" s="43"/>
      <c r="H1598" s="40" t="str" cm="1">
        <f t="array" ref="H1598">IFERROR(INDEX(DB!P$2:P$2576,T1598),"")</f>
        <v/>
      </c>
      <c r="I1598" s="43"/>
      <c r="J1598" s="53" t="str" cm="1">
        <f t="array" ref="J1598">IFERROR(INDEX(DB!Q$2:Q$2576,T1598),"")</f>
        <v/>
      </c>
      <c r="K1598" s="43"/>
      <c r="L1598" s="41" t="str" cm="1">
        <f t="array" ref="L1598">IFERROR(INDEX(DB!R$2:R$2576,T1598),"")</f>
        <v/>
      </c>
      <c r="M1598" s="43"/>
      <c r="P1598" t="str" cm="1">
        <f t="array" ref="P1598">IFERROR(_xlfn.AGGREGATE(15,6,ROW(DB!A$2:A$2576)/((($D$3&lt;&gt;"YES")+($D$3="YES")*(DB!E$2:E$2576="YES"))*(($D$4="")+($D$4&lt;&gt;"")*( DB!B$2:B$2576=$D$4))*(($D$5="")+($D$5&lt;&gt;"")*( DB!C$2:C$2576=$D$5))*(($D$6="")+($D$6&lt;&gt;"")*( DB!D$2:D$2576=$D$6))*(($D$7="")+($D$7&lt;&gt;"")*(ISNUMBER(SEARCH($D$7,DB!G$2:G$2576))))*(($F$7="전체")+($F$7&lt;&gt;"전체")*(DB!H$2:H$2576=$F$7))),ROW()-13)-1,"")</f>
        <v/>
      </c>
      <c r="Q1598" t="str" cm="1">
        <f t="array" ref="Q1598">IFERROR(INDEX(DB!G$2:G$2576,P1598),"")</f>
        <v/>
      </c>
      <c r="R1598" t="str" cm="1">
        <f t="array" ref="R1598">IFERROR(INDEX(DB!O$2:O$2576,P1598),"")</f>
        <v/>
      </c>
      <c r="S1598" t="str">
        <f t="shared" si="75"/>
        <v/>
      </c>
      <c r="T1598" t="str">
        <f t="shared" si="76"/>
        <v/>
      </c>
    </row>
    <row r="1599" spans="1:20" ht="100" customHeight="1">
      <c r="A1599" s="26"/>
      <c r="B1599" s="42" t="str">
        <f t="shared" si="74"/>
        <v/>
      </c>
      <c r="C1599" s="43"/>
      <c r="D1599" s="51" t="str" cm="1">
        <f t="array" ref="D1599">IFERROR(INDEX(DB!G$2:G$2576,T1599),"")</f>
        <v/>
      </c>
      <c r="E1599" s="43"/>
      <c r="F1599" s="52" t="str" cm="1">
        <f t="array" ref="F1599">IFERROR(INDEX(DB!O$2:O$2576,T1599),"")</f>
        <v/>
      </c>
      <c r="G1599" s="43"/>
      <c r="H1599" s="40" t="str" cm="1">
        <f t="array" ref="H1599">IFERROR(INDEX(DB!P$2:P$2576,T1599),"")</f>
        <v/>
      </c>
      <c r="I1599" s="43"/>
      <c r="J1599" s="53" t="str" cm="1">
        <f t="array" ref="J1599">IFERROR(INDEX(DB!Q$2:Q$2576,T1599),"")</f>
        <v/>
      </c>
      <c r="K1599" s="43"/>
      <c r="L1599" s="41" t="str" cm="1">
        <f t="array" ref="L1599">IFERROR(INDEX(DB!R$2:R$2576,T1599),"")</f>
        <v/>
      </c>
      <c r="M1599" s="43"/>
      <c r="P1599" t="str" cm="1">
        <f t="array" ref="P1599">IFERROR(_xlfn.AGGREGATE(15,6,ROW(DB!A$2:A$2576)/((($D$3&lt;&gt;"YES")+($D$3="YES")*(DB!E$2:E$2576="YES"))*(($D$4="")+($D$4&lt;&gt;"")*( DB!B$2:B$2576=$D$4))*(($D$5="")+($D$5&lt;&gt;"")*( DB!C$2:C$2576=$D$5))*(($D$6="")+($D$6&lt;&gt;"")*( DB!D$2:D$2576=$D$6))*(($D$7="")+($D$7&lt;&gt;"")*(ISNUMBER(SEARCH($D$7,DB!G$2:G$2576))))*(($F$7="전체")+($F$7&lt;&gt;"전체")*(DB!H$2:H$2576=$F$7))),ROW()-13)-1,"")</f>
        <v/>
      </c>
      <c r="Q1599" t="str" cm="1">
        <f t="array" ref="Q1599">IFERROR(INDEX(DB!G$2:G$2576,P1599),"")</f>
        <v/>
      </c>
      <c r="R1599" t="str" cm="1">
        <f t="array" ref="R1599">IFERROR(INDEX(DB!O$2:O$2576,P1599),"")</f>
        <v/>
      </c>
      <c r="S1599" t="str">
        <f t="shared" si="75"/>
        <v/>
      </c>
      <c r="T1599" t="str">
        <f t="shared" si="76"/>
        <v/>
      </c>
    </row>
    <row r="1600" spans="1:20" ht="100" customHeight="1">
      <c r="A1600" s="26"/>
      <c r="B1600" s="39" t="str">
        <f t="shared" si="74"/>
        <v/>
      </c>
      <c r="C1600" s="43"/>
      <c r="D1600" s="51" t="str" cm="1">
        <f t="array" ref="D1600">IFERROR(INDEX(DB!G$2:G$2576,T1600),"")</f>
        <v/>
      </c>
      <c r="E1600" s="43"/>
      <c r="F1600" s="52" t="str" cm="1">
        <f t="array" ref="F1600">IFERROR(INDEX(DB!O$2:O$2576,T1600),"")</f>
        <v/>
      </c>
      <c r="G1600" s="43"/>
      <c r="H1600" s="40" t="str" cm="1">
        <f t="array" ref="H1600">IFERROR(INDEX(DB!P$2:P$2576,T1600),"")</f>
        <v/>
      </c>
      <c r="I1600" s="43"/>
      <c r="J1600" s="53" t="str" cm="1">
        <f t="array" ref="J1600">IFERROR(INDEX(DB!Q$2:Q$2576,T1600),"")</f>
        <v/>
      </c>
      <c r="K1600" s="43"/>
      <c r="L1600" s="41" t="str" cm="1">
        <f t="array" ref="L1600">IFERROR(INDEX(DB!R$2:R$2576,T1600),"")</f>
        <v/>
      </c>
      <c r="M1600" s="43"/>
      <c r="P1600" t="str" cm="1">
        <f t="array" ref="P1600">IFERROR(_xlfn.AGGREGATE(15,6,ROW(DB!A$2:A$2576)/((($D$3&lt;&gt;"YES")+($D$3="YES")*(DB!E$2:E$2576="YES"))*(($D$4="")+($D$4&lt;&gt;"")*( DB!B$2:B$2576=$D$4))*(($D$5="")+($D$5&lt;&gt;"")*( DB!C$2:C$2576=$D$5))*(($D$6="")+($D$6&lt;&gt;"")*( DB!D$2:D$2576=$D$6))*(($D$7="")+($D$7&lt;&gt;"")*(ISNUMBER(SEARCH($D$7,DB!G$2:G$2576))))*(($F$7="전체")+($F$7&lt;&gt;"전체")*(DB!H$2:H$2576=$F$7))),ROW()-13)-1,"")</f>
        <v/>
      </c>
      <c r="Q1600" t="str" cm="1">
        <f t="array" ref="Q1600">IFERROR(INDEX(DB!G$2:G$2576,P1600),"")</f>
        <v/>
      </c>
      <c r="R1600" t="str" cm="1">
        <f t="array" ref="R1600">IFERROR(INDEX(DB!O$2:O$2576,P1600),"")</f>
        <v/>
      </c>
      <c r="S1600" t="str">
        <f t="shared" si="75"/>
        <v/>
      </c>
      <c r="T1600" t="str">
        <f t="shared" si="76"/>
        <v/>
      </c>
    </row>
    <row r="1601" spans="1:20" ht="100" customHeight="1">
      <c r="A1601" s="26"/>
      <c r="B1601" s="42" t="str">
        <f t="shared" si="74"/>
        <v/>
      </c>
      <c r="C1601" s="43"/>
      <c r="D1601" s="51" t="str" cm="1">
        <f t="array" ref="D1601">IFERROR(INDEX(DB!G$2:G$2576,T1601),"")</f>
        <v/>
      </c>
      <c r="E1601" s="43"/>
      <c r="F1601" s="52" t="str" cm="1">
        <f t="array" ref="F1601">IFERROR(INDEX(DB!O$2:O$2576,T1601),"")</f>
        <v/>
      </c>
      <c r="G1601" s="43"/>
      <c r="H1601" s="40" t="str" cm="1">
        <f t="array" ref="H1601">IFERROR(INDEX(DB!P$2:P$2576,T1601),"")</f>
        <v/>
      </c>
      <c r="I1601" s="43"/>
      <c r="J1601" s="53" t="str" cm="1">
        <f t="array" ref="J1601">IFERROR(INDEX(DB!Q$2:Q$2576,T1601),"")</f>
        <v/>
      </c>
      <c r="K1601" s="43"/>
      <c r="L1601" s="41" t="str" cm="1">
        <f t="array" ref="L1601">IFERROR(INDEX(DB!R$2:R$2576,T1601),"")</f>
        <v/>
      </c>
      <c r="M1601" s="43"/>
      <c r="P1601" t="str" cm="1">
        <f t="array" ref="P1601">IFERROR(_xlfn.AGGREGATE(15,6,ROW(DB!A$2:A$2576)/((($D$3&lt;&gt;"YES")+($D$3="YES")*(DB!E$2:E$2576="YES"))*(($D$4="")+($D$4&lt;&gt;"")*( DB!B$2:B$2576=$D$4))*(($D$5="")+($D$5&lt;&gt;"")*( DB!C$2:C$2576=$D$5))*(($D$6="")+($D$6&lt;&gt;"")*( DB!D$2:D$2576=$D$6))*(($D$7="")+($D$7&lt;&gt;"")*(ISNUMBER(SEARCH($D$7,DB!G$2:G$2576))))*(($F$7="전체")+($F$7&lt;&gt;"전체")*(DB!H$2:H$2576=$F$7))),ROW()-13)-1,"")</f>
        <v/>
      </c>
      <c r="Q1601" t="str" cm="1">
        <f t="array" ref="Q1601">IFERROR(INDEX(DB!G$2:G$2576,P1601),"")</f>
        <v/>
      </c>
      <c r="R1601" t="str" cm="1">
        <f t="array" ref="R1601">IFERROR(INDEX(DB!O$2:O$2576,P1601),"")</f>
        <v/>
      </c>
      <c r="S1601" t="str">
        <f t="shared" si="75"/>
        <v/>
      </c>
      <c r="T1601" t="str">
        <f t="shared" si="76"/>
        <v/>
      </c>
    </row>
    <row r="1602" spans="1:20" ht="100" customHeight="1">
      <c r="A1602" s="26"/>
      <c r="B1602" s="39" t="str">
        <f t="shared" si="74"/>
        <v/>
      </c>
      <c r="C1602" s="43"/>
      <c r="D1602" s="51" t="str" cm="1">
        <f t="array" ref="D1602">IFERROR(INDEX(DB!G$2:G$2576,T1602),"")</f>
        <v/>
      </c>
      <c r="E1602" s="43"/>
      <c r="F1602" s="52" t="str" cm="1">
        <f t="array" ref="F1602">IFERROR(INDEX(DB!O$2:O$2576,T1602),"")</f>
        <v/>
      </c>
      <c r="G1602" s="43"/>
      <c r="H1602" s="40" t="str" cm="1">
        <f t="array" ref="H1602">IFERROR(INDEX(DB!P$2:P$2576,T1602),"")</f>
        <v/>
      </c>
      <c r="I1602" s="43"/>
      <c r="J1602" s="53" t="str" cm="1">
        <f t="array" ref="J1602">IFERROR(INDEX(DB!Q$2:Q$2576,T1602),"")</f>
        <v/>
      </c>
      <c r="K1602" s="43"/>
      <c r="L1602" s="41" t="str" cm="1">
        <f t="array" ref="L1602">IFERROR(INDEX(DB!R$2:R$2576,T1602),"")</f>
        <v/>
      </c>
      <c r="M1602" s="43"/>
      <c r="P1602" t="str" cm="1">
        <f t="array" ref="P1602">IFERROR(_xlfn.AGGREGATE(15,6,ROW(DB!A$2:A$2576)/((($D$3&lt;&gt;"YES")+($D$3="YES")*(DB!E$2:E$2576="YES"))*(($D$4="")+($D$4&lt;&gt;"")*( DB!B$2:B$2576=$D$4))*(($D$5="")+($D$5&lt;&gt;"")*( DB!C$2:C$2576=$D$5))*(($D$6="")+($D$6&lt;&gt;"")*( DB!D$2:D$2576=$D$6))*(($D$7="")+($D$7&lt;&gt;"")*(ISNUMBER(SEARCH($D$7,DB!G$2:G$2576))))*(($F$7="전체")+($F$7&lt;&gt;"전체")*(DB!H$2:H$2576=$F$7))),ROW()-13)-1,"")</f>
        <v/>
      </c>
      <c r="Q1602" t="str" cm="1">
        <f t="array" ref="Q1602">IFERROR(INDEX(DB!G$2:G$2576,P1602),"")</f>
        <v/>
      </c>
      <c r="R1602" t="str" cm="1">
        <f t="array" ref="R1602">IFERROR(INDEX(DB!O$2:O$2576,P1602),"")</f>
        <v/>
      </c>
      <c r="S1602" t="str">
        <f t="shared" si="75"/>
        <v/>
      </c>
      <c r="T1602" t="str">
        <f t="shared" si="76"/>
        <v/>
      </c>
    </row>
    <row r="1603" spans="1:20" ht="100" customHeight="1">
      <c r="A1603" s="26"/>
      <c r="B1603" s="42" t="str">
        <f t="shared" si="74"/>
        <v/>
      </c>
      <c r="C1603" s="43"/>
      <c r="D1603" s="51" t="str" cm="1">
        <f t="array" ref="D1603">IFERROR(INDEX(DB!G$2:G$2576,T1603),"")</f>
        <v/>
      </c>
      <c r="E1603" s="43"/>
      <c r="F1603" s="52" t="str" cm="1">
        <f t="array" ref="F1603">IFERROR(INDEX(DB!O$2:O$2576,T1603),"")</f>
        <v/>
      </c>
      <c r="G1603" s="43"/>
      <c r="H1603" s="40" t="str" cm="1">
        <f t="array" ref="H1603">IFERROR(INDEX(DB!P$2:P$2576,T1603),"")</f>
        <v/>
      </c>
      <c r="I1603" s="43"/>
      <c r="J1603" s="53" t="str" cm="1">
        <f t="array" ref="J1603">IFERROR(INDEX(DB!Q$2:Q$2576,T1603),"")</f>
        <v/>
      </c>
      <c r="K1603" s="43"/>
      <c r="L1603" s="41" t="str" cm="1">
        <f t="array" ref="L1603">IFERROR(INDEX(DB!R$2:R$2576,T1603),"")</f>
        <v/>
      </c>
      <c r="M1603" s="43"/>
      <c r="P1603" t="str" cm="1">
        <f t="array" ref="P1603">IFERROR(_xlfn.AGGREGATE(15,6,ROW(DB!A$2:A$2576)/((($D$3&lt;&gt;"YES")+($D$3="YES")*(DB!E$2:E$2576="YES"))*(($D$4="")+($D$4&lt;&gt;"")*( DB!B$2:B$2576=$D$4))*(($D$5="")+($D$5&lt;&gt;"")*( DB!C$2:C$2576=$D$5))*(($D$6="")+($D$6&lt;&gt;"")*( DB!D$2:D$2576=$D$6))*(($D$7="")+($D$7&lt;&gt;"")*(ISNUMBER(SEARCH($D$7,DB!G$2:G$2576))))*(($F$7="전체")+($F$7&lt;&gt;"전체")*(DB!H$2:H$2576=$F$7))),ROW()-13)-1,"")</f>
        <v/>
      </c>
      <c r="Q1603" t="str" cm="1">
        <f t="array" ref="Q1603">IFERROR(INDEX(DB!G$2:G$2576,P1603),"")</f>
        <v/>
      </c>
      <c r="R1603" t="str" cm="1">
        <f t="array" ref="R1603">IFERROR(INDEX(DB!O$2:O$2576,P1603),"")</f>
        <v/>
      </c>
      <c r="S1603" t="str">
        <f t="shared" si="75"/>
        <v/>
      </c>
      <c r="T1603" t="str">
        <f t="shared" si="76"/>
        <v/>
      </c>
    </row>
    <row r="1604" spans="1:20" ht="100" customHeight="1">
      <c r="A1604" s="26"/>
      <c r="B1604" s="39" t="str">
        <f t="shared" si="74"/>
        <v/>
      </c>
      <c r="C1604" s="43"/>
      <c r="D1604" s="51" t="str" cm="1">
        <f t="array" ref="D1604">IFERROR(INDEX(DB!G$2:G$2576,T1604),"")</f>
        <v/>
      </c>
      <c r="E1604" s="43"/>
      <c r="F1604" s="52" t="str" cm="1">
        <f t="array" ref="F1604">IFERROR(INDEX(DB!O$2:O$2576,T1604),"")</f>
        <v/>
      </c>
      <c r="G1604" s="43"/>
      <c r="H1604" s="40" t="str" cm="1">
        <f t="array" ref="H1604">IFERROR(INDEX(DB!P$2:P$2576,T1604),"")</f>
        <v/>
      </c>
      <c r="I1604" s="43"/>
      <c r="J1604" s="53" t="str" cm="1">
        <f t="array" ref="J1604">IFERROR(INDEX(DB!Q$2:Q$2576,T1604),"")</f>
        <v/>
      </c>
      <c r="K1604" s="43"/>
      <c r="L1604" s="41" t="str" cm="1">
        <f t="array" ref="L1604">IFERROR(INDEX(DB!R$2:R$2576,T1604),"")</f>
        <v/>
      </c>
      <c r="M1604" s="43"/>
      <c r="P1604" t="str" cm="1">
        <f t="array" ref="P1604">IFERROR(_xlfn.AGGREGATE(15,6,ROW(DB!A$2:A$2576)/((($D$3&lt;&gt;"YES")+($D$3="YES")*(DB!E$2:E$2576="YES"))*(($D$4="")+($D$4&lt;&gt;"")*( DB!B$2:B$2576=$D$4))*(($D$5="")+($D$5&lt;&gt;"")*( DB!C$2:C$2576=$D$5))*(($D$6="")+($D$6&lt;&gt;"")*( DB!D$2:D$2576=$D$6))*(($D$7="")+($D$7&lt;&gt;"")*(ISNUMBER(SEARCH($D$7,DB!G$2:G$2576))))*(($F$7="전체")+($F$7&lt;&gt;"전체")*(DB!H$2:H$2576=$F$7))),ROW()-13)-1,"")</f>
        <v/>
      </c>
      <c r="Q1604" t="str" cm="1">
        <f t="array" ref="Q1604">IFERROR(INDEX(DB!G$2:G$2576,P1604),"")</f>
        <v/>
      </c>
      <c r="R1604" t="str" cm="1">
        <f t="array" ref="R1604">IFERROR(INDEX(DB!O$2:O$2576,P1604),"")</f>
        <v/>
      </c>
      <c r="S1604" t="str">
        <f t="shared" si="75"/>
        <v/>
      </c>
      <c r="T1604" t="str">
        <f t="shared" si="76"/>
        <v/>
      </c>
    </row>
    <row r="1605" spans="1:20" ht="100" customHeight="1">
      <c r="A1605" s="26"/>
      <c r="B1605" s="42" t="str">
        <f t="shared" si="74"/>
        <v/>
      </c>
      <c r="C1605" s="43"/>
      <c r="D1605" s="51" t="str" cm="1">
        <f t="array" ref="D1605">IFERROR(INDEX(DB!G$2:G$2576,T1605),"")</f>
        <v/>
      </c>
      <c r="E1605" s="43"/>
      <c r="F1605" s="52" t="str" cm="1">
        <f t="array" ref="F1605">IFERROR(INDEX(DB!O$2:O$2576,T1605),"")</f>
        <v/>
      </c>
      <c r="G1605" s="43"/>
      <c r="H1605" s="40" t="str" cm="1">
        <f t="array" ref="H1605">IFERROR(INDEX(DB!P$2:P$2576,T1605),"")</f>
        <v/>
      </c>
      <c r="I1605" s="43"/>
      <c r="J1605" s="53" t="str" cm="1">
        <f t="array" ref="J1605">IFERROR(INDEX(DB!Q$2:Q$2576,T1605),"")</f>
        <v/>
      </c>
      <c r="K1605" s="43"/>
      <c r="L1605" s="41" t="str" cm="1">
        <f t="array" ref="L1605">IFERROR(INDEX(DB!R$2:R$2576,T1605),"")</f>
        <v/>
      </c>
      <c r="M1605" s="43"/>
      <c r="P1605" t="str" cm="1">
        <f t="array" ref="P1605">IFERROR(_xlfn.AGGREGATE(15,6,ROW(DB!A$2:A$2576)/((($D$3&lt;&gt;"YES")+($D$3="YES")*(DB!E$2:E$2576="YES"))*(($D$4="")+($D$4&lt;&gt;"")*( DB!B$2:B$2576=$D$4))*(($D$5="")+($D$5&lt;&gt;"")*( DB!C$2:C$2576=$D$5))*(($D$6="")+($D$6&lt;&gt;"")*( DB!D$2:D$2576=$D$6))*(($D$7="")+($D$7&lt;&gt;"")*(ISNUMBER(SEARCH($D$7,DB!G$2:G$2576))))*(($F$7="전체")+($F$7&lt;&gt;"전체")*(DB!H$2:H$2576=$F$7))),ROW()-13)-1,"")</f>
        <v/>
      </c>
      <c r="Q1605" t="str" cm="1">
        <f t="array" ref="Q1605">IFERROR(INDEX(DB!G$2:G$2576,P1605),"")</f>
        <v/>
      </c>
      <c r="R1605" t="str" cm="1">
        <f t="array" ref="R1605">IFERROR(INDEX(DB!O$2:O$2576,P1605),"")</f>
        <v/>
      </c>
      <c r="S1605" t="str">
        <f t="shared" si="75"/>
        <v/>
      </c>
      <c r="T1605" t="str">
        <f t="shared" si="76"/>
        <v/>
      </c>
    </row>
    <row r="1606" spans="1:20" ht="100" customHeight="1">
      <c r="A1606" s="26"/>
      <c r="B1606" s="39" t="str">
        <f t="shared" si="74"/>
        <v/>
      </c>
      <c r="C1606" s="43"/>
      <c r="D1606" s="51" t="str" cm="1">
        <f t="array" ref="D1606">IFERROR(INDEX(DB!G$2:G$2576,T1606),"")</f>
        <v/>
      </c>
      <c r="E1606" s="43"/>
      <c r="F1606" s="52" t="str" cm="1">
        <f t="array" ref="F1606">IFERROR(INDEX(DB!O$2:O$2576,T1606),"")</f>
        <v/>
      </c>
      <c r="G1606" s="43"/>
      <c r="H1606" s="40" t="str" cm="1">
        <f t="array" ref="H1606">IFERROR(INDEX(DB!P$2:P$2576,T1606),"")</f>
        <v/>
      </c>
      <c r="I1606" s="43"/>
      <c r="J1606" s="53" t="str" cm="1">
        <f t="array" ref="J1606">IFERROR(INDEX(DB!Q$2:Q$2576,T1606),"")</f>
        <v/>
      </c>
      <c r="K1606" s="43"/>
      <c r="L1606" s="41" t="str" cm="1">
        <f t="array" ref="L1606">IFERROR(INDEX(DB!R$2:R$2576,T1606),"")</f>
        <v/>
      </c>
      <c r="M1606" s="43"/>
      <c r="P1606" t="str" cm="1">
        <f t="array" ref="P1606">IFERROR(_xlfn.AGGREGATE(15,6,ROW(DB!A$2:A$2576)/((($D$3&lt;&gt;"YES")+($D$3="YES")*(DB!E$2:E$2576="YES"))*(($D$4="")+($D$4&lt;&gt;"")*( DB!B$2:B$2576=$D$4))*(($D$5="")+($D$5&lt;&gt;"")*( DB!C$2:C$2576=$D$5))*(($D$6="")+($D$6&lt;&gt;"")*( DB!D$2:D$2576=$D$6))*(($D$7="")+($D$7&lt;&gt;"")*(ISNUMBER(SEARCH($D$7,DB!G$2:G$2576))))*(($F$7="전체")+($F$7&lt;&gt;"전체")*(DB!H$2:H$2576=$F$7))),ROW()-13)-1,"")</f>
        <v/>
      </c>
      <c r="Q1606" t="str" cm="1">
        <f t="array" ref="Q1606">IFERROR(INDEX(DB!G$2:G$2576,P1606),"")</f>
        <v/>
      </c>
      <c r="R1606" t="str" cm="1">
        <f t="array" ref="R1606">IFERROR(INDEX(DB!O$2:O$2576,P1606),"")</f>
        <v/>
      </c>
      <c r="S1606" t="str">
        <f t="shared" si="75"/>
        <v/>
      </c>
      <c r="T1606" t="str">
        <f t="shared" si="76"/>
        <v/>
      </c>
    </row>
    <row r="1607" spans="1:20" ht="100" customHeight="1">
      <c r="A1607" s="26"/>
      <c r="B1607" s="42" t="str">
        <f t="shared" si="74"/>
        <v/>
      </c>
      <c r="C1607" s="43"/>
      <c r="D1607" s="51" t="str" cm="1">
        <f t="array" ref="D1607">IFERROR(INDEX(DB!G$2:G$2576,T1607),"")</f>
        <v/>
      </c>
      <c r="E1607" s="43"/>
      <c r="F1607" s="52" t="str" cm="1">
        <f t="array" ref="F1607">IFERROR(INDEX(DB!O$2:O$2576,T1607),"")</f>
        <v/>
      </c>
      <c r="G1607" s="43"/>
      <c r="H1607" s="40" t="str" cm="1">
        <f t="array" ref="H1607">IFERROR(INDEX(DB!P$2:P$2576,T1607),"")</f>
        <v/>
      </c>
      <c r="I1607" s="43"/>
      <c r="J1607" s="53" t="str" cm="1">
        <f t="array" ref="J1607">IFERROR(INDEX(DB!Q$2:Q$2576,T1607),"")</f>
        <v/>
      </c>
      <c r="K1607" s="43"/>
      <c r="L1607" s="41" t="str" cm="1">
        <f t="array" ref="L1607">IFERROR(INDEX(DB!R$2:R$2576,T1607),"")</f>
        <v/>
      </c>
      <c r="M1607" s="43"/>
      <c r="P1607" t="str" cm="1">
        <f t="array" ref="P1607">IFERROR(_xlfn.AGGREGATE(15,6,ROW(DB!A$2:A$2576)/((($D$3&lt;&gt;"YES")+($D$3="YES")*(DB!E$2:E$2576="YES"))*(($D$4="")+($D$4&lt;&gt;"")*( DB!B$2:B$2576=$D$4))*(($D$5="")+($D$5&lt;&gt;"")*( DB!C$2:C$2576=$D$5))*(($D$6="")+($D$6&lt;&gt;"")*( DB!D$2:D$2576=$D$6))*(($D$7="")+($D$7&lt;&gt;"")*(ISNUMBER(SEARCH($D$7,DB!G$2:G$2576))))*(($F$7="전체")+($F$7&lt;&gt;"전체")*(DB!H$2:H$2576=$F$7))),ROW()-13)-1,"")</f>
        <v/>
      </c>
      <c r="Q1607" t="str" cm="1">
        <f t="array" ref="Q1607">IFERROR(INDEX(DB!G$2:G$2576,P1607),"")</f>
        <v/>
      </c>
      <c r="R1607" t="str" cm="1">
        <f t="array" ref="R1607">IFERROR(INDEX(DB!O$2:O$2576,P1607),"")</f>
        <v/>
      </c>
      <c r="S1607" t="str">
        <f t="shared" si="75"/>
        <v/>
      </c>
      <c r="T1607" t="str">
        <f t="shared" si="76"/>
        <v/>
      </c>
    </row>
    <row r="1608" spans="1:20" ht="100" customHeight="1">
      <c r="A1608" s="26"/>
      <c r="B1608" s="39" t="str">
        <f t="shared" si="74"/>
        <v/>
      </c>
      <c r="C1608" s="43"/>
      <c r="D1608" s="51" t="str" cm="1">
        <f t="array" ref="D1608">IFERROR(INDEX(DB!G$2:G$2576,T1608),"")</f>
        <v/>
      </c>
      <c r="E1608" s="43"/>
      <c r="F1608" s="52" t="str" cm="1">
        <f t="array" ref="F1608">IFERROR(INDEX(DB!O$2:O$2576,T1608),"")</f>
        <v/>
      </c>
      <c r="G1608" s="43"/>
      <c r="H1608" s="40" t="str" cm="1">
        <f t="array" ref="H1608">IFERROR(INDEX(DB!P$2:P$2576,T1608),"")</f>
        <v/>
      </c>
      <c r="I1608" s="43"/>
      <c r="J1608" s="53" t="str" cm="1">
        <f t="array" ref="J1608">IFERROR(INDEX(DB!Q$2:Q$2576,T1608),"")</f>
        <v/>
      </c>
      <c r="K1608" s="43"/>
      <c r="L1608" s="41" t="str" cm="1">
        <f t="array" ref="L1608">IFERROR(INDEX(DB!R$2:R$2576,T1608),"")</f>
        <v/>
      </c>
      <c r="M1608" s="43"/>
      <c r="P1608" t="str" cm="1">
        <f t="array" ref="P1608">IFERROR(_xlfn.AGGREGATE(15,6,ROW(DB!A$2:A$2576)/((($D$3&lt;&gt;"YES")+($D$3="YES")*(DB!E$2:E$2576="YES"))*(($D$4="")+($D$4&lt;&gt;"")*( DB!B$2:B$2576=$D$4))*(($D$5="")+($D$5&lt;&gt;"")*( DB!C$2:C$2576=$D$5))*(($D$6="")+($D$6&lt;&gt;"")*( DB!D$2:D$2576=$D$6))*(($D$7="")+($D$7&lt;&gt;"")*(ISNUMBER(SEARCH($D$7,DB!G$2:G$2576))))*(($F$7="전체")+($F$7&lt;&gt;"전체")*(DB!H$2:H$2576=$F$7))),ROW()-13)-1,"")</f>
        <v/>
      </c>
      <c r="Q1608" t="str" cm="1">
        <f t="array" ref="Q1608">IFERROR(INDEX(DB!G$2:G$2576,P1608),"")</f>
        <v/>
      </c>
      <c r="R1608" t="str" cm="1">
        <f t="array" ref="R1608">IFERROR(INDEX(DB!O$2:O$2576,P1608),"")</f>
        <v/>
      </c>
      <c r="S1608" t="str">
        <f t="shared" si="75"/>
        <v/>
      </c>
      <c r="T1608" t="str">
        <f t="shared" si="76"/>
        <v/>
      </c>
    </row>
    <row r="1609" spans="1:20" ht="100" customHeight="1">
      <c r="A1609" s="26"/>
      <c r="B1609" s="42" t="str">
        <f t="shared" si="74"/>
        <v/>
      </c>
      <c r="C1609" s="43"/>
      <c r="D1609" s="51" t="str" cm="1">
        <f t="array" ref="D1609">IFERROR(INDEX(DB!G$2:G$2576,T1609),"")</f>
        <v/>
      </c>
      <c r="E1609" s="43"/>
      <c r="F1609" s="52" t="str" cm="1">
        <f t="array" ref="F1609">IFERROR(INDEX(DB!O$2:O$2576,T1609),"")</f>
        <v/>
      </c>
      <c r="G1609" s="43"/>
      <c r="H1609" s="40" t="str" cm="1">
        <f t="array" ref="H1609">IFERROR(INDEX(DB!P$2:P$2576,T1609),"")</f>
        <v/>
      </c>
      <c r="I1609" s="43"/>
      <c r="J1609" s="53" t="str" cm="1">
        <f t="array" ref="J1609">IFERROR(INDEX(DB!Q$2:Q$2576,T1609),"")</f>
        <v/>
      </c>
      <c r="K1609" s="43"/>
      <c r="L1609" s="41" t="str" cm="1">
        <f t="array" ref="L1609">IFERROR(INDEX(DB!R$2:R$2576,T1609),"")</f>
        <v/>
      </c>
      <c r="M1609" s="43"/>
      <c r="P1609" t="str" cm="1">
        <f t="array" ref="P1609">IFERROR(_xlfn.AGGREGATE(15,6,ROW(DB!A$2:A$2576)/((($D$3&lt;&gt;"YES")+($D$3="YES")*(DB!E$2:E$2576="YES"))*(($D$4="")+($D$4&lt;&gt;"")*( DB!B$2:B$2576=$D$4))*(($D$5="")+($D$5&lt;&gt;"")*( DB!C$2:C$2576=$D$5))*(($D$6="")+($D$6&lt;&gt;"")*( DB!D$2:D$2576=$D$6))*(($D$7="")+($D$7&lt;&gt;"")*(ISNUMBER(SEARCH($D$7,DB!G$2:G$2576))))*(($F$7="전체")+($F$7&lt;&gt;"전체")*(DB!H$2:H$2576=$F$7))),ROW()-13)-1,"")</f>
        <v/>
      </c>
      <c r="Q1609" t="str" cm="1">
        <f t="array" ref="Q1609">IFERROR(INDEX(DB!G$2:G$2576,P1609),"")</f>
        <v/>
      </c>
      <c r="R1609" t="str" cm="1">
        <f t="array" ref="R1609">IFERROR(INDEX(DB!O$2:O$2576,P1609),"")</f>
        <v/>
      </c>
      <c r="S1609" t="str">
        <f t="shared" si="75"/>
        <v/>
      </c>
      <c r="T1609" t="str">
        <f t="shared" si="76"/>
        <v/>
      </c>
    </row>
    <row r="1610" spans="1:20" ht="100" customHeight="1">
      <c r="A1610" s="26"/>
      <c r="B1610" s="39" t="str">
        <f t="shared" si="74"/>
        <v/>
      </c>
      <c r="C1610" s="43"/>
      <c r="D1610" s="51" t="str" cm="1">
        <f t="array" ref="D1610">IFERROR(INDEX(DB!G$2:G$2576,T1610),"")</f>
        <v/>
      </c>
      <c r="E1610" s="43"/>
      <c r="F1610" s="52" t="str" cm="1">
        <f t="array" ref="F1610">IFERROR(INDEX(DB!O$2:O$2576,T1610),"")</f>
        <v/>
      </c>
      <c r="G1610" s="43"/>
      <c r="H1610" s="40" t="str" cm="1">
        <f t="array" ref="H1610">IFERROR(INDEX(DB!P$2:P$2576,T1610),"")</f>
        <v/>
      </c>
      <c r="I1610" s="43"/>
      <c r="J1610" s="53" t="str" cm="1">
        <f t="array" ref="J1610">IFERROR(INDEX(DB!Q$2:Q$2576,T1610),"")</f>
        <v/>
      </c>
      <c r="K1610" s="43"/>
      <c r="L1610" s="41" t="str" cm="1">
        <f t="array" ref="L1610">IFERROR(INDEX(DB!R$2:R$2576,T1610),"")</f>
        <v/>
      </c>
      <c r="M1610" s="43"/>
      <c r="P1610" t="str" cm="1">
        <f t="array" ref="P1610">IFERROR(_xlfn.AGGREGATE(15,6,ROW(DB!A$2:A$2576)/((($D$3&lt;&gt;"YES")+($D$3="YES")*(DB!E$2:E$2576="YES"))*(($D$4="")+($D$4&lt;&gt;"")*( DB!B$2:B$2576=$D$4))*(($D$5="")+($D$5&lt;&gt;"")*( DB!C$2:C$2576=$D$5))*(($D$6="")+($D$6&lt;&gt;"")*( DB!D$2:D$2576=$D$6))*(($D$7="")+($D$7&lt;&gt;"")*(ISNUMBER(SEARCH($D$7,DB!G$2:G$2576))))*(($F$7="전체")+($F$7&lt;&gt;"전체")*(DB!H$2:H$2576=$F$7))),ROW()-13)-1,"")</f>
        <v/>
      </c>
      <c r="Q1610" t="str" cm="1">
        <f t="array" ref="Q1610">IFERROR(INDEX(DB!G$2:G$2576,P1610),"")</f>
        <v/>
      </c>
      <c r="R1610" t="str" cm="1">
        <f t="array" ref="R1610">IFERROR(INDEX(DB!O$2:O$2576,P1610),"")</f>
        <v/>
      </c>
      <c r="S1610" t="str">
        <f t="shared" si="75"/>
        <v/>
      </c>
      <c r="T1610" t="str">
        <f t="shared" si="76"/>
        <v/>
      </c>
    </row>
    <row r="1611" spans="1:20" ht="100" customHeight="1">
      <c r="A1611" s="26"/>
      <c r="B1611" s="42" t="str">
        <f t="shared" si="74"/>
        <v/>
      </c>
      <c r="C1611" s="43"/>
      <c r="D1611" s="51" t="str" cm="1">
        <f t="array" ref="D1611">IFERROR(INDEX(DB!G$2:G$2576,T1611),"")</f>
        <v/>
      </c>
      <c r="E1611" s="43"/>
      <c r="F1611" s="52" t="str" cm="1">
        <f t="array" ref="F1611">IFERROR(INDEX(DB!O$2:O$2576,T1611),"")</f>
        <v/>
      </c>
      <c r="G1611" s="43"/>
      <c r="H1611" s="40" t="str" cm="1">
        <f t="array" ref="H1611">IFERROR(INDEX(DB!P$2:P$2576,T1611),"")</f>
        <v/>
      </c>
      <c r="I1611" s="43"/>
      <c r="J1611" s="53" t="str" cm="1">
        <f t="array" ref="J1611">IFERROR(INDEX(DB!Q$2:Q$2576,T1611),"")</f>
        <v/>
      </c>
      <c r="K1611" s="43"/>
      <c r="L1611" s="41" t="str" cm="1">
        <f t="array" ref="L1611">IFERROR(INDEX(DB!R$2:R$2576,T1611),"")</f>
        <v/>
      </c>
      <c r="M1611" s="43"/>
      <c r="P1611" t="str" cm="1">
        <f t="array" ref="P1611">IFERROR(_xlfn.AGGREGATE(15,6,ROW(DB!A$2:A$2576)/((($D$3&lt;&gt;"YES")+($D$3="YES")*(DB!E$2:E$2576="YES"))*(($D$4="")+($D$4&lt;&gt;"")*( DB!B$2:B$2576=$D$4))*(($D$5="")+($D$5&lt;&gt;"")*( DB!C$2:C$2576=$D$5))*(($D$6="")+($D$6&lt;&gt;"")*( DB!D$2:D$2576=$D$6))*(($D$7="")+($D$7&lt;&gt;"")*(ISNUMBER(SEARCH($D$7,DB!G$2:G$2576))))*(($F$7="전체")+($F$7&lt;&gt;"전체")*(DB!H$2:H$2576=$F$7))),ROW()-13)-1,"")</f>
        <v/>
      </c>
      <c r="Q1611" t="str" cm="1">
        <f t="array" ref="Q1611">IFERROR(INDEX(DB!G$2:G$2576,P1611),"")</f>
        <v/>
      </c>
      <c r="R1611" t="str" cm="1">
        <f t="array" ref="R1611">IFERROR(INDEX(DB!O$2:O$2576,P1611),"")</f>
        <v/>
      </c>
      <c r="S1611" t="str">
        <f t="shared" si="75"/>
        <v/>
      </c>
      <c r="T1611" t="str">
        <f t="shared" si="76"/>
        <v/>
      </c>
    </row>
    <row r="1612" spans="1:20" ht="100" customHeight="1">
      <c r="A1612" s="26"/>
      <c r="B1612" s="39" t="str">
        <f t="shared" si="74"/>
        <v/>
      </c>
      <c r="C1612" s="43"/>
      <c r="D1612" s="51" t="str" cm="1">
        <f t="array" ref="D1612">IFERROR(INDEX(DB!G$2:G$2576,T1612),"")</f>
        <v/>
      </c>
      <c r="E1612" s="43"/>
      <c r="F1612" s="52" t="str" cm="1">
        <f t="array" ref="F1612">IFERROR(INDEX(DB!O$2:O$2576,T1612),"")</f>
        <v/>
      </c>
      <c r="G1612" s="43"/>
      <c r="H1612" s="40" t="str" cm="1">
        <f t="array" ref="H1612">IFERROR(INDEX(DB!P$2:P$2576,T1612),"")</f>
        <v/>
      </c>
      <c r="I1612" s="43"/>
      <c r="J1612" s="53" t="str" cm="1">
        <f t="array" ref="J1612">IFERROR(INDEX(DB!Q$2:Q$2576,T1612),"")</f>
        <v/>
      </c>
      <c r="K1612" s="43"/>
      <c r="L1612" s="41" t="str" cm="1">
        <f t="array" ref="L1612">IFERROR(INDEX(DB!R$2:R$2576,T1612),"")</f>
        <v/>
      </c>
      <c r="M1612" s="43"/>
      <c r="P1612" t="str" cm="1">
        <f t="array" ref="P1612">IFERROR(_xlfn.AGGREGATE(15,6,ROW(DB!A$2:A$2576)/((($D$3&lt;&gt;"YES")+($D$3="YES")*(DB!E$2:E$2576="YES"))*(($D$4="")+($D$4&lt;&gt;"")*( DB!B$2:B$2576=$D$4))*(($D$5="")+($D$5&lt;&gt;"")*( DB!C$2:C$2576=$D$5))*(($D$6="")+($D$6&lt;&gt;"")*( DB!D$2:D$2576=$D$6))*(($D$7="")+($D$7&lt;&gt;"")*(ISNUMBER(SEARCH($D$7,DB!G$2:G$2576))))*(($F$7="전체")+($F$7&lt;&gt;"전체")*(DB!H$2:H$2576=$F$7))),ROW()-13)-1,"")</f>
        <v/>
      </c>
      <c r="Q1612" t="str" cm="1">
        <f t="array" ref="Q1612">IFERROR(INDEX(DB!G$2:G$2576,P1612),"")</f>
        <v/>
      </c>
      <c r="R1612" t="str" cm="1">
        <f t="array" ref="R1612">IFERROR(INDEX(DB!O$2:O$2576,P1612),"")</f>
        <v/>
      </c>
      <c r="S1612" t="str">
        <f t="shared" si="75"/>
        <v/>
      </c>
      <c r="T1612" t="str">
        <f t="shared" si="76"/>
        <v/>
      </c>
    </row>
    <row r="1613" spans="1:20" ht="100" customHeight="1">
      <c r="A1613" s="26"/>
      <c r="B1613" s="42" t="str">
        <f t="shared" si="74"/>
        <v/>
      </c>
      <c r="C1613" s="43"/>
      <c r="D1613" s="51" t="str" cm="1">
        <f t="array" ref="D1613">IFERROR(INDEX(DB!G$2:G$2576,T1613),"")</f>
        <v/>
      </c>
      <c r="E1613" s="43"/>
      <c r="F1613" s="52" t="str" cm="1">
        <f t="array" ref="F1613">IFERROR(INDEX(DB!O$2:O$2576,T1613),"")</f>
        <v/>
      </c>
      <c r="G1613" s="43"/>
      <c r="H1613" s="40" t="str" cm="1">
        <f t="array" ref="H1613">IFERROR(INDEX(DB!P$2:P$2576,T1613),"")</f>
        <v/>
      </c>
      <c r="I1613" s="43"/>
      <c r="J1613" s="53" t="str" cm="1">
        <f t="array" ref="J1613">IFERROR(INDEX(DB!Q$2:Q$2576,T1613),"")</f>
        <v/>
      </c>
      <c r="K1613" s="43"/>
      <c r="L1613" s="41" t="str" cm="1">
        <f t="array" ref="L1613">IFERROR(INDEX(DB!R$2:R$2576,T1613),"")</f>
        <v/>
      </c>
      <c r="M1613" s="43"/>
      <c r="P1613" t="str" cm="1">
        <f t="array" ref="P1613">IFERROR(_xlfn.AGGREGATE(15,6,ROW(DB!A$2:A$2576)/((($D$3&lt;&gt;"YES")+($D$3="YES")*(DB!E$2:E$2576="YES"))*(($D$4="")+($D$4&lt;&gt;"")*( DB!B$2:B$2576=$D$4))*(($D$5="")+($D$5&lt;&gt;"")*( DB!C$2:C$2576=$D$5))*(($D$6="")+($D$6&lt;&gt;"")*( DB!D$2:D$2576=$D$6))*(($D$7="")+($D$7&lt;&gt;"")*(ISNUMBER(SEARCH($D$7,DB!G$2:G$2576))))*(($F$7="전체")+($F$7&lt;&gt;"전체")*(DB!H$2:H$2576=$F$7))),ROW()-13)-1,"")</f>
        <v/>
      </c>
      <c r="Q1613" t="str" cm="1">
        <f t="array" ref="Q1613">IFERROR(INDEX(DB!G$2:G$2576,P1613),"")</f>
        <v/>
      </c>
      <c r="R1613" t="str" cm="1">
        <f t="array" ref="R1613">IFERROR(INDEX(DB!O$2:O$2576,P1613),"")</f>
        <v/>
      </c>
      <c r="S1613" t="str">
        <f t="shared" si="75"/>
        <v/>
      </c>
      <c r="T1613" t="str">
        <f t="shared" si="76"/>
        <v/>
      </c>
    </row>
    <row r="1614" spans="1:20" ht="100" customHeight="1">
      <c r="A1614" s="26"/>
      <c r="B1614" s="39" t="str">
        <f t="shared" si="74"/>
        <v/>
      </c>
      <c r="C1614" s="43"/>
      <c r="D1614" s="51" t="str" cm="1">
        <f t="array" ref="D1614">IFERROR(INDEX(DB!G$2:G$2576,T1614),"")</f>
        <v/>
      </c>
      <c r="E1614" s="43"/>
      <c r="F1614" s="52" t="str" cm="1">
        <f t="array" ref="F1614">IFERROR(INDEX(DB!O$2:O$2576,T1614),"")</f>
        <v/>
      </c>
      <c r="G1614" s="43"/>
      <c r="H1614" s="40" t="str" cm="1">
        <f t="array" ref="H1614">IFERROR(INDEX(DB!P$2:P$2576,T1614),"")</f>
        <v/>
      </c>
      <c r="I1614" s="43"/>
      <c r="J1614" s="53" t="str" cm="1">
        <f t="array" ref="J1614">IFERROR(INDEX(DB!Q$2:Q$2576,T1614),"")</f>
        <v/>
      </c>
      <c r="K1614" s="43"/>
      <c r="L1614" s="41" t="str" cm="1">
        <f t="array" ref="L1614">IFERROR(INDEX(DB!R$2:R$2576,T1614),"")</f>
        <v/>
      </c>
      <c r="M1614" s="43"/>
      <c r="P1614" t="str" cm="1">
        <f t="array" ref="P1614">IFERROR(_xlfn.AGGREGATE(15,6,ROW(DB!A$2:A$2576)/((($D$3&lt;&gt;"YES")+($D$3="YES")*(DB!E$2:E$2576="YES"))*(($D$4="")+($D$4&lt;&gt;"")*( DB!B$2:B$2576=$D$4))*(($D$5="")+($D$5&lt;&gt;"")*( DB!C$2:C$2576=$D$5))*(($D$6="")+($D$6&lt;&gt;"")*( DB!D$2:D$2576=$D$6))*(($D$7="")+($D$7&lt;&gt;"")*(ISNUMBER(SEARCH($D$7,DB!G$2:G$2576))))*(($F$7="전체")+($F$7&lt;&gt;"전체")*(DB!H$2:H$2576=$F$7))),ROW()-13)-1,"")</f>
        <v/>
      </c>
      <c r="Q1614" t="str" cm="1">
        <f t="array" ref="Q1614">IFERROR(INDEX(DB!G$2:G$2576,P1614),"")</f>
        <v/>
      </c>
      <c r="R1614" t="str" cm="1">
        <f t="array" ref="R1614">IFERROR(INDEX(DB!O$2:O$2576,P1614),"")</f>
        <v/>
      </c>
      <c r="S1614" t="str">
        <f t="shared" si="75"/>
        <v/>
      </c>
      <c r="T1614" t="str">
        <f t="shared" si="76"/>
        <v/>
      </c>
    </row>
    <row r="1615" spans="1:20" ht="100" customHeight="1">
      <c r="A1615" s="26"/>
      <c r="B1615" s="42" t="str">
        <f t="shared" ref="B1615:B1678" si="77">IFERROR(IF(T1615="","",ROW()-13),"")</f>
        <v/>
      </c>
      <c r="C1615" s="43"/>
      <c r="D1615" s="51" t="str" cm="1">
        <f t="array" ref="D1615">IFERROR(INDEX(DB!G$2:G$2576,T1615),"")</f>
        <v/>
      </c>
      <c r="E1615" s="43"/>
      <c r="F1615" s="52" t="str" cm="1">
        <f t="array" ref="F1615">IFERROR(INDEX(DB!O$2:O$2576,T1615),"")</f>
        <v/>
      </c>
      <c r="G1615" s="43"/>
      <c r="H1615" s="40" t="str" cm="1">
        <f t="array" ref="H1615">IFERROR(INDEX(DB!P$2:P$2576,T1615),"")</f>
        <v/>
      </c>
      <c r="I1615" s="43"/>
      <c r="J1615" s="53" t="str" cm="1">
        <f t="array" ref="J1615">IFERROR(INDEX(DB!Q$2:Q$2576,T1615),"")</f>
        <v/>
      </c>
      <c r="K1615" s="43"/>
      <c r="L1615" s="41" t="str" cm="1">
        <f t="array" ref="L1615">IFERROR(INDEX(DB!R$2:R$2576,T1615),"")</f>
        <v/>
      </c>
      <c r="M1615" s="43"/>
      <c r="P1615" t="str" cm="1">
        <f t="array" ref="P1615">IFERROR(_xlfn.AGGREGATE(15,6,ROW(DB!A$2:A$2576)/((($D$3&lt;&gt;"YES")+($D$3="YES")*(DB!E$2:E$2576="YES"))*(($D$4="")+($D$4&lt;&gt;"")*( DB!B$2:B$2576=$D$4))*(($D$5="")+($D$5&lt;&gt;"")*( DB!C$2:C$2576=$D$5))*(($D$6="")+($D$6&lt;&gt;"")*( DB!D$2:D$2576=$D$6))*(($D$7="")+($D$7&lt;&gt;"")*(ISNUMBER(SEARCH($D$7,DB!G$2:G$2576))))*(($F$7="전체")+($F$7&lt;&gt;"전체")*(DB!H$2:H$2576=$F$7))),ROW()-13)-1,"")</f>
        <v/>
      </c>
      <c r="Q1615" t="str" cm="1">
        <f t="array" ref="Q1615">IFERROR(INDEX(DB!G$2:G$2576,P1615),"")</f>
        <v/>
      </c>
      <c r="R1615" t="str" cm="1">
        <f t="array" ref="R1615">IFERROR(INDEX(DB!O$2:O$2576,P1615),"")</f>
        <v/>
      </c>
      <c r="S1615" t="str">
        <f t="shared" ref="S1615:S1678" si="78">IF(P1615="","",COUNTIF($Q$14:$Q$2587,"&lt;"&amp;Q1615)*100+COUNTIF($R$14:$R$2587,"&lt;"&amp;R1615)+(ROW()-13)*0.001)</f>
        <v/>
      </c>
      <c r="T1615" t="str">
        <f t="shared" ref="T1615:T1678" si="79">IFERROR(INDEX($P$14:$P$2587,MATCH(SMALL($S$14:$S$2587,ROW()-13),$S$14:$S$2587,0)),"")</f>
        <v/>
      </c>
    </row>
    <row r="1616" spans="1:20" ht="100" customHeight="1">
      <c r="A1616" s="26"/>
      <c r="B1616" s="39" t="str">
        <f t="shared" si="77"/>
        <v/>
      </c>
      <c r="C1616" s="43"/>
      <c r="D1616" s="51" t="str" cm="1">
        <f t="array" ref="D1616">IFERROR(INDEX(DB!G$2:G$2576,T1616),"")</f>
        <v/>
      </c>
      <c r="E1616" s="43"/>
      <c r="F1616" s="52" t="str" cm="1">
        <f t="array" ref="F1616">IFERROR(INDEX(DB!O$2:O$2576,T1616),"")</f>
        <v/>
      </c>
      <c r="G1616" s="43"/>
      <c r="H1616" s="40" t="str" cm="1">
        <f t="array" ref="H1616">IFERROR(INDEX(DB!P$2:P$2576,T1616),"")</f>
        <v/>
      </c>
      <c r="I1616" s="43"/>
      <c r="J1616" s="53" t="str" cm="1">
        <f t="array" ref="J1616">IFERROR(INDEX(DB!Q$2:Q$2576,T1616),"")</f>
        <v/>
      </c>
      <c r="K1616" s="43"/>
      <c r="L1616" s="41" t="str" cm="1">
        <f t="array" ref="L1616">IFERROR(INDEX(DB!R$2:R$2576,T1616),"")</f>
        <v/>
      </c>
      <c r="M1616" s="43"/>
      <c r="P1616" t="str" cm="1">
        <f t="array" ref="P1616">IFERROR(_xlfn.AGGREGATE(15,6,ROW(DB!A$2:A$2576)/((($D$3&lt;&gt;"YES")+($D$3="YES")*(DB!E$2:E$2576="YES"))*(($D$4="")+($D$4&lt;&gt;"")*( DB!B$2:B$2576=$D$4))*(($D$5="")+($D$5&lt;&gt;"")*( DB!C$2:C$2576=$D$5))*(($D$6="")+($D$6&lt;&gt;"")*( DB!D$2:D$2576=$D$6))*(($D$7="")+($D$7&lt;&gt;"")*(ISNUMBER(SEARCH($D$7,DB!G$2:G$2576))))*(($F$7="전체")+($F$7&lt;&gt;"전체")*(DB!H$2:H$2576=$F$7))),ROW()-13)-1,"")</f>
        <v/>
      </c>
      <c r="Q1616" t="str" cm="1">
        <f t="array" ref="Q1616">IFERROR(INDEX(DB!G$2:G$2576,P1616),"")</f>
        <v/>
      </c>
      <c r="R1616" t="str" cm="1">
        <f t="array" ref="R1616">IFERROR(INDEX(DB!O$2:O$2576,P1616),"")</f>
        <v/>
      </c>
      <c r="S1616" t="str">
        <f t="shared" si="78"/>
        <v/>
      </c>
      <c r="T1616" t="str">
        <f t="shared" si="79"/>
        <v/>
      </c>
    </row>
    <row r="1617" spans="1:20" ht="100" customHeight="1">
      <c r="A1617" s="26"/>
      <c r="B1617" s="42" t="str">
        <f t="shared" si="77"/>
        <v/>
      </c>
      <c r="C1617" s="43"/>
      <c r="D1617" s="51" t="str" cm="1">
        <f t="array" ref="D1617">IFERROR(INDEX(DB!G$2:G$2576,T1617),"")</f>
        <v/>
      </c>
      <c r="E1617" s="43"/>
      <c r="F1617" s="52" t="str" cm="1">
        <f t="array" ref="F1617">IFERROR(INDEX(DB!O$2:O$2576,T1617),"")</f>
        <v/>
      </c>
      <c r="G1617" s="43"/>
      <c r="H1617" s="40" t="str" cm="1">
        <f t="array" ref="H1617">IFERROR(INDEX(DB!P$2:P$2576,T1617),"")</f>
        <v/>
      </c>
      <c r="I1617" s="43"/>
      <c r="J1617" s="53" t="str" cm="1">
        <f t="array" ref="J1617">IFERROR(INDEX(DB!Q$2:Q$2576,T1617),"")</f>
        <v/>
      </c>
      <c r="K1617" s="43"/>
      <c r="L1617" s="41" t="str" cm="1">
        <f t="array" ref="L1617">IFERROR(INDEX(DB!R$2:R$2576,T1617),"")</f>
        <v/>
      </c>
      <c r="M1617" s="43"/>
      <c r="P1617" t="str" cm="1">
        <f t="array" ref="P1617">IFERROR(_xlfn.AGGREGATE(15,6,ROW(DB!A$2:A$2576)/((($D$3&lt;&gt;"YES")+($D$3="YES")*(DB!E$2:E$2576="YES"))*(($D$4="")+($D$4&lt;&gt;"")*( DB!B$2:B$2576=$D$4))*(($D$5="")+($D$5&lt;&gt;"")*( DB!C$2:C$2576=$D$5))*(($D$6="")+($D$6&lt;&gt;"")*( DB!D$2:D$2576=$D$6))*(($D$7="")+($D$7&lt;&gt;"")*(ISNUMBER(SEARCH($D$7,DB!G$2:G$2576))))*(($F$7="전체")+($F$7&lt;&gt;"전체")*(DB!H$2:H$2576=$F$7))),ROW()-13)-1,"")</f>
        <v/>
      </c>
      <c r="Q1617" t="str" cm="1">
        <f t="array" ref="Q1617">IFERROR(INDEX(DB!G$2:G$2576,P1617),"")</f>
        <v/>
      </c>
      <c r="R1617" t="str" cm="1">
        <f t="array" ref="R1617">IFERROR(INDEX(DB!O$2:O$2576,P1617),"")</f>
        <v/>
      </c>
      <c r="S1617" t="str">
        <f t="shared" si="78"/>
        <v/>
      </c>
      <c r="T1617" t="str">
        <f t="shared" si="79"/>
        <v/>
      </c>
    </row>
    <row r="1618" spans="1:20" ht="100" customHeight="1">
      <c r="A1618" s="26"/>
      <c r="B1618" s="39" t="str">
        <f t="shared" si="77"/>
        <v/>
      </c>
      <c r="C1618" s="43"/>
      <c r="D1618" s="51" t="str" cm="1">
        <f t="array" ref="D1618">IFERROR(INDEX(DB!G$2:G$2576,T1618),"")</f>
        <v/>
      </c>
      <c r="E1618" s="43"/>
      <c r="F1618" s="52" t="str" cm="1">
        <f t="array" ref="F1618">IFERROR(INDEX(DB!O$2:O$2576,T1618),"")</f>
        <v/>
      </c>
      <c r="G1618" s="43"/>
      <c r="H1618" s="40" t="str" cm="1">
        <f t="array" ref="H1618">IFERROR(INDEX(DB!P$2:P$2576,T1618),"")</f>
        <v/>
      </c>
      <c r="I1618" s="43"/>
      <c r="J1618" s="53" t="str" cm="1">
        <f t="array" ref="J1618">IFERROR(INDEX(DB!Q$2:Q$2576,T1618),"")</f>
        <v/>
      </c>
      <c r="K1618" s="43"/>
      <c r="L1618" s="41" t="str" cm="1">
        <f t="array" ref="L1618">IFERROR(INDEX(DB!R$2:R$2576,T1618),"")</f>
        <v/>
      </c>
      <c r="M1618" s="43"/>
      <c r="P1618" t="str" cm="1">
        <f t="array" ref="P1618">IFERROR(_xlfn.AGGREGATE(15,6,ROW(DB!A$2:A$2576)/((($D$3&lt;&gt;"YES")+($D$3="YES")*(DB!E$2:E$2576="YES"))*(($D$4="")+($D$4&lt;&gt;"")*( DB!B$2:B$2576=$D$4))*(($D$5="")+($D$5&lt;&gt;"")*( DB!C$2:C$2576=$D$5))*(($D$6="")+($D$6&lt;&gt;"")*( DB!D$2:D$2576=$D$6))*(($D$7="")+($D$7&lt;&gt;"")*(ISNUMBER(SEARCH($D$7,DB!G$2:G$2576))))*(($F$7="전체")+($F$7&lt;&gt;"전체")*(DB!H$2:H$2576=$F$7))),ROW()-13)-1,"")</f>
        <v/>
      </c>
      <c r="Q1618" t="str" cm="1">
        <f t="array" ref="Q1618">IFERROR(INDEX(DB!G$2:G$2576,P1618),"")</f>
        <v/>
      </c>
      <c r="R1618" t="str" cm="1">
        <f t="array" ref="R1618">IFERROR(INDEX(DB!O$2:O$2576,P1618),"")</f>
        <v/>
      </c>
      <c r="S1618" t="str">
        <f t="shared" si="78"/>
        <v/>
      </c>
      <c r="T1618" t="str">
        <f t="shared" si="79"/>
        <v/>
      </c>
    </row>
    <row r="1619" spans="1:20" ht="100" customHeight="1">
      <c r="A1619" s="26"/>
      <c r="B1619" s="42" t="str">
        <f t="shared" si="77"/>
        <v/>
      </c>
      <c r="C1619" s="43"/>
      <c r="D1619" s="51" t="str" cm="1">
        <f t="array" ref="D1619">IFERROR(INDEX(DB!G$2:G$2576,T1619),"")</f>
        <v/>
      </c>
      <c r="E1619" s="43"/>
      <c r="F1619" s="52" t="str" cm="1">
        <f t="array" ref="F1619">IFERROR(INDEX(DB!O$2:O$2576,T1619),"")</f>
        <v/>
      </c>
      <c r="G1619" s="43"/>
      <c r="H1619" s="40" t="str" cm="1">
        <f t="array" ref="H1619">IFERROR(INDEX(DB!P$2:P$2576,T1619),"")</f>
        <v/>
      </c>
      <c r="I1619" s="43"/>
      <c r="J1619" s="53" t="str" cm="1">
        <f t="array" ref="J1619">IFERROR(INDEX(DB!Q$2:Q$2576,T1619),"")</f>
        <v/>
      </c>
      <c r="K1619" s="43"/>
      <c r="L1619" s="41" t="str" cm="1">
        <f t="array" ref="L1619">IFERROR(INDEX(DB!R$2:R$2576,T1619),"")</f>
        <v/>
      </c>
      <c r="M1619" s="43"/>
      <c r="P1619" t="str" cm="1">
        <f t="array" ref="P1619">IFERROR(_xlfn.AGGREGATE(15,6,ROW(DB!A$2:A$2576)/((($D$3&lt;&gt;"YES")+($D$3="YES")*(DB!E$2:E$2576="YES"))*(($D$4="")+($D$4&lt;&gt;"")*( DB!B$2:B$2576=$D$4))*(($D$5="")+($D$5&lt;&gt;"")*( DB!C$2:C$2576=$D$5))*(($D$6="")+($D$6&lt;&gt;"")*( DB!D$2:D$2576=$D$6))*(($D$7="")+($D$7&lt;&gt;"")*(ISNUMBER(SEARCH($D$7,DB!G$2:G$2576))))*(($F$7="전체")+($F$7&lt;&gt;"전체")*(DB!H$2:H$2576=$F$7))),ROW()-13)-1,"")</f>
        <v/>
      </c>
      <c r="Q1619" t="str" cm="1">
        <f t="array" ref="Q1619">IFERROR(INDEX(DB!G$2:G$2576,P1619),"")</f>
        <v/>
      </c>
      <c r="R1619" t="str" cm="1">
        <f t="array" ref="R1619">IFERROR(INDEX(DB!O$2:O$2576,P1619),"")</f>
        <v/>
      </c>
      <c r="S1619" t="str">
        <f t="shared" si="78"/>
        <v/>
      </c>
      <c r="T1619" t="str">
        <f t="shared" si="79"/>
        <v/>
      </c>
    </row>
    <row r="1620" spans="1:20" ht="100" customHeight="1">
      <c r="A1620" s="26"/>
      <c r="B1620" s="39" t="str">
        <f t="shared" si="77"/>
        <v/>
      </c>
      <c r="C1620" s="43"/>
      <c r="D1620" s="51" t="str" cm="1">
        <f t="array" ref="D1620">IFERROR(INDEX(DB!G$2:G$2576,T1620),"")</f>
        <v/>
      </c>
      <c r="E1620" s="43"/>
      <c r="F1620" s="52" t="str" cm="1">
        <f t="array" ref="F1620">IFERROR(INDEX(DB!O$2:O$2576,T1620),"")</f>
        <v/>
      </c>
      <c r="G1620" s="43"/>
      <c r="H1620" s="40" t="str" cm="1">
        <f t="array" ref="H1620">IFERROR(INDEX(DB!P$2:P$2576,T1620),"")</f>
        <v/>
      </c>
      <c r="I1620" s="43"/>
      <c r="J1620" s="53" t="str" cm="1">
        <f t="array" ref="J1620">IFERROR(INDEX(DB!Q$2:Q$2576,T1620),"")</f>
        <v/>
      </c>
      <c r="K1620" s="43"/>
      <c r="L1620" s="41" t="str" cm="1">
        <f t="array" ref="L1620">IFERROR(INDEX(DB!R$2:R$2576,T1620),"")</f>
        <v/>
      </c>
      <c r="M1620" s="43"/>
      <c r="P1620" t="str" cm="1">
        <f t="array" ref="P1620">IFERROR(_xlfn.AGGREGATE(15,6,ROW(DB!A$2:A$2576)/((($D$3&lt;&gt;"YES")+($D$3="YES")*(DB!E$2:E$2576="YES"))*(($D$4="")+($D$4&lt;&gt;"")*( DB!B$2:B$2576=$D$4))*(($D$5="")+($D$5&lt;&gt;"")*( DB!C$2:C$2576=$D$5))*(($D$6="")+($D$6&lt;&gt;"")*( DB!D$2:D$2576=$D$6))*(($D$7="")+($D$7&lt;&gt;"")*(ISNUMBER(SEARCH($D$7,DB!G$2:G$2576))))*(($F$7="전체")+($F$7&lt;&gt;"전체")*(DB!H$2:H$2576=$F$7))),ROW()-13)-1,"")</f>
        <v/>
      </c>
      <c r="Q1620" t="str" cm="1">
        <f t="array" ref="Q1620">IFERROR(INDEX(DB!G$2:G$2576,P1620),"")</f>
        <v/>
      </c>
      <c r="R1620" t="str" cm="1">
        <f t="array" ref="R1620">IFERROR(INDEX(DB!O$2:O$2576,P1620),"")</f>
        <v/>
      </c>
      <c r="S1620" t="str">
        <f t="shared" si="78"/>
        <v/>
      </c>
      <c r="T1620" t="str">
        <f t="shared" si="79"/>
        <v/>
      </c>
    </row>
    <row r="1621" spans="1:20" ht="100" customHeight="1">
      <c r="A1621" s="26"/>
      <c r="B1621" s="42" t="str">
        <f t="shared" si="77"/>
        <v/>
      </c>
      <c r="C1621" s="43"/>
      <c r="D1621" s="51" t="str" cm="1">
        <f t="array" ref="D1621">IFERROR(INDEX(DB!G$2:G$2576,T1621),"")</f>
        <v/>
      </c>
      <c r="E1621" s="43"/>
      <c r="F1621" s="52" t="str" cm="1">
        <f t="array" ref="F1621">IFERROR(INDEX(DB!O$2:O$2576,T1621),"")</f>
        <v/>
      </c>
      <c r="G1621" s="43"/>
      <c r="H1621" s="40" t="str" cm="1">
        <f t="array" ref="H1621">IFERROR(INDEX(DB!P$2:P$2576,T1621),"")</f>
        <v/>
      </c>
      <c r="I1621" s="43"/>
      <c r="J1621" s="53" t="str" cm="1">
        <f t="array" ref="J1621">IFERROR(INDEX(DB!Q$2:Q$2576,T1621),"")</f>
        <v/>
      </c>
      <c r="K1621" s="43"/>
      <c r="L1621" s="41" t="str" cm="1">
        <f t="array" ref="L1621">IFERROR(INDEX(DB!R$2:R$2576,T1621),"")</f>
        <v/>
      </c>
      <c r="M1621" s="43"/>
      <c r="P1621" t="str" cm="1">
        <f t="array" ref="P1621">IFERROR(_xlfn.AGGREGATE(15,6,ROW(DB!A$2:A$2576)/((($D$3&lt;&gt;"YES")+($D$3="YES")*(DB!E$2:E$2576="YES"))*(($D$4="")+($D$4&lt;&gt;"")*( DB!B$2:B$2576=$D$4))*(($D$5="")+($D$5&lt;&gt;"")*( DB!C$2:C$2576=$D$5))*(($D$6="")+($D$6&lt;&gt;"")*( DB!D$2:D$2576=$D$6))*(($D$7="")+($D$7&lt;&gt;"")*(ISNUMBER(SEARCH($D$7,DB!G$2:G$2576))))*(($F$7="전체")+($F$7&lt;&gt;"전체")*(DB!H$2:H$2576=$F$7))),ROW()-13)-1,"")</f>
        <v/>
      </c>
      <c r="Q1621" t="str" cm="1">
        <f t="array" ref="Q1621">IFERROR(INDEX(DB!G$2:G$2576,P1621),"")</f>
        <v/>
      </c>
      <c r="R1621" t="str" cm="1">
        <f t="array" ref="R1621">IFERROR(INDEX(DB!O$2:O$2576,P1621),"")</f>
        <v/>
      </c>
      <c r="S1621" t="str">
        <f t="shared" si="78"/>
        <v/>
      </c>
      <c r="T1621" t="str">
        <f t="shared" si="79"/>
        <v/>
      </c>
    </row>
    <row r="1622" spans="1:20" ht="100" customHeight="1">
      <c r="A1622" s="26"/>
      <c r="B1622" s="39" t="str">
        <f t="shared" si="77"/>
        <v/>
      </c>
      <c r="C1622" s="43"/>
      <c r="D1622" s="51" t="str" cm="1">
        <f t="array" ref="D1622">IFERROR(INDEX(DB!G$2:G$2576,T1622),"")</f>
        <v/>
      </c>
      <c r="E1622" s="43"/>
      <c r="F1622" s="52" t="str" cm="1">
        <f t="array" ref="F1622">IFERROR(INDEX(DB!O$2:O$2576,T1622),"")</f>
        <v/>
      </c>
      <c r="G1622" s="43"/>
      <c r="H1622" s="40" t="str" cm="1">
        <f t="array" ref="H1622">IFERROR(INDEX(DB!P$2:P$2576,T1622),"")</f>
        <v/>
      </c>
      <c r="I1622" s="43"/>
      <c r="J1622" s="53" t="str" cm="1">
        <f t="array" ref="J1622">IFERROR(INDEX(DB!Q$2:Q$2576,T1622),"")</f>
        <v/>
      </c>
      <c r="K1622" s="43"/>
      <c r="L1622" s="41" t="str" cm="1">
        <f t="array" ref="L1622">IFERROR(INDEX(DB!R$2:R$2576,T1622),"")</f>
        <v/>
      </c>
      <c r="M1622" s="43"/>
      <c r="P1622" t="str" cm="1">
        <f t="array" ref="P1622">IFERROR(_xlfn.AGGREGATE(15,6,ROW(DB!A$2:A$2576)/((($D$3&lt;&gt;"YES")+($D$3="YES")*(DB!E$2:E$2576="YES"))*(($D$4="")+($D$4&lt;&gt;"")*( DB!B$2:B$2576=$D$4))*(($D$5="")+($D$5&lt;&gt;"")*( DB!C$2:C$2576=$D$5))*(($D$6="")+($D$6&lt;&gt;"")*( DB!D$2:D$2576=$D$6))*(($D$7="")+($D$7&lt;&gt;"")*(ISNUMBER(SEARCH($D$7,DB!G$2:G$2576))))*(($F$7="전체")+($F$7&lt;&gt;"전체")*(DB!H$2:H$2576=$F$7))),ROW()-13)-1,"")</f>
        <v/>
      </c>
      <c r="Q1622" t="str" cm="1">
        <f t="array" ref="Q1622">IFERROR(INDEX(DB!G$2:G$2576,P1622),"")</f>
        <v/>
      </c>
      <c r="R1622" t="str" cm="1">
        <f t="array" ref="R1622">IFERROR(INDEX(DB!O$2:O$2576,P1622),"")</f>
        <v/>
      </c>
      <c r="S1622" t="str">
        <f t="shared" si="78"/>
        <v/>
      </c>
      <c r="T1622" t="str">
        <f t="shared" si="79"/>
        <v/>
      </c>
    </row>
    <row r="1623" spans="1:20" ht="100" customHeight="1">
      <c r="A1623" s="26"/>
      <c r="B1623" s="42" t="str">
        <f t="shared" si="77"/>
        <v/>
      </c>
      <c r="C1623" s="43"/>
      <c r="D1623" s="51" t="str" cm="1">
        <f t="array" ref="D1623">IFERROR(INDEX(DB!G$2:G$2576,T1623),"")</f>
        <v/>
      </c>
      <c r="E1623" s="43"/>
      <c r="F1623" s="52" t="str" cm="1">
        <f t="array" ref="F1623">IFERROR(INDEX(DB!O$2:O$2576,T1623),"")</f>
        <v/>
      </c>
      <c r="G1623" s="43"/>
      <c r="H1623" s="40" t="str" cm="1">
        <f t="array" ref="H1623">IFERROR(INDEX(DB!P$2:P$2576,T1623),"")</f>
        <v/>
      </c>
      <c r="I1623" s="43"/>
      <c r="J1623" s="53" t="str" cm="1">
        <f t="array" ref="J1623">IFERROR(INDEX(DB!Q$2:Q$2576,T1623),"")</f>
        <v/>
      </c>
      <c r="K1623" s="43"/>
      <c r="L1623" s="41" t="str" cm="1">
        <f t="array" ref="L1623">IFERROR(INDEX(DB!R$2:R$2576,T1623),"")</f>
        <v/>
      </c>
      <c r="M1623" s="43"/>
      <c r="P1623" t="str" cm="1">
        <f t="array" ref="P1623">IFERROR(_xlfn.AGGREGATE(15,6,ROW(DB!A$2:A$2576)/((($D$3&lt;&gt;"YES")+($D$3="YES")*(DB!E$2:E$2576="YES"))*(($D$4="")+($D$4&lt;&gt;"")*( DB!B$2:B$2576=$D$4))*(($D$5="")+($D$5&lt;&gt;"")*( DB!C$2:C$2576=$D$5))*(($D$6="")+($D$6&lt;&gt;"")*( DB!D$2:D$2576=$D$6))*(($D$7="")+($D$7&lt;&gt;"")*(ISNUMBER(SEARCH($D$7,DB!G$2:G$2576))))*(($F$7="전체")+($F$7&lt;&gt;"전체")*(DB!H$2:H$2576=$F$7))),ROW()-13)-1,"")</f>
        <v/>
      </c>
      <c r="Q1623" t="str" cm="1">
        <f t="array" ref="Q1623">IFERROR(INDEX(DB!G$2:G$2576,P1623),"")</f>
        <v/>
      </c>
      <c r="R1623" t="str" cm="1">
        <f t="array" ref="R1623">IFERROR(INDEX(DB!O$2:O$2576,P1623),"")</f>
        <v/>
      </c>
      <c r="S1623" t="str">
        <f t="shared" si="78"/>
        <v/>
      </c>
      <c r="T1623" t="str">
        <f t="shared" si="79"/>
        <v/>
      </c>
    </row>
    <row r="1624" spans="1:20" ht="100" customHeight="1">
      <c r="A1624" s="26"/>
      <c r="B1624" s="39" t="str">
        <f t="shared" si="77"/>
        <v/>
      </c>
      <c r="C1624" s="43"/>
      <c r="D1624" s="51" t="str" cm="1">
        <f t="array" ref="D1624">IFERROR(INDEX(DB!G$2:G$2576,T1624),"")</f>
        <v/>
      </c>
      <c r="E1624" s="43"/>
      <c r="F1624" s="52" t="str" cm="1">
        <f t="array" ref="F1624">IFERROR(INDEX(DB!O$2:O$2576,T1624),"")</f>
        <v/>
      </c>
      <c r="G1624" s="43"/>
      <c r="H1624" s="40" t="str" cm="1">
        <f t="array" ref="H1624">IFERROR(INDEX(DB!P$2:P$2576,T1624),"")</f>
        <v/>
      </c>
      <c r="I1624" s="43"/>
      <c r="J1624" s="53" t="str" cm="1">
        <f t="array" ref="J1624">IFERROR(INDEX(DB!Q$2:Q$2576,T1624),"")</f>
        <v/>
      </c>
      <c r="K1624" s="43"/>
      <c r="L1624" s="41" t="str" cm="1">
        <f t="array" ref="L1624">IFERROR(INDEX(DB!R$2:R$2576,T1624),"")</f>
        <v/>
      </c>
      <c r="M1624" s="43"/>
      <c r="P1624" t="str" cm="1">
        <f t="array" ref="P1624">IFERROR(_xlfn.AGGREGATE(15,6,ROW(DB!A$2:A$2576)/((($D$3&lt;&gt;"YES")+($D$3="YES")*(DB!E$2:E$2576="YES"))*(($D$4="")+($D$4&lt;&gt;"")*( DB!B$2:B$2576=$D$4))*(($D$5="")+($D$5&lt;&gt;"")*( DB!C$2:C$2576=$D$5))*(($D$6="")+($D$6&lt;&gt;"")*( DB!D$2:D$2576=$D$6))*(($D$7="")+($D$7&lt;&gt;"")*(ISNUMBER(SEARCH($D$7,DB!G$2:G$2576))))*(($F$7="전체")+($F$7&lt;&gt;"전체")*(DB!H$2:H$2576=$F$7))),ROW()-13)-1,"")</f>
        <v/>
      </c>
      <c r="Q1624" t="str" cm="1">
        <f t="array" ref="Q1624">IFERROR(INDEX(DB!G$2:G$2576,P1624),"")</f>
        <v/>
      </c>
      <c r="R1624" t="str" cm="1">
        <f t="array" ref="R1624">IFERROR(INDEX(DB!O$2:O$2576,P1624),"")</f>
        <v/>
      </c>
      <c r="S1624" t="str">
        <f t="shared" si="78"/>
        <v/>
      </c>
      <c r="T1624" t="str">
        <f t="shared" si="79"/>
        <v/>
      </c>
    </row>
    <row r="1625" spans="1:20" ht="100" customHeight="1">
      <c r="A1625" s="26"/>
      <c r="B1625" s="42" t="str">
        <f t="shared" si="77"/>
        <v/>
      </c>
      <c r="C1625" s="43"/>
      <c r="D1625" s="51" t="str" cm="1">
        <f t="array" ref="D1625">IFERROR(INDEX(DB!G$2:G$2576,T1625),"")</f>
        <v/>
      </c>
      <c r="E1625" s="43"/>
      <c r="F1625" s="52" t="str" cm="1">
        <f t="array" ref="F1625">IFERROR(INDEX(DB!O$2:O$2576,T1625),"")</f>
        <v/>
      </c>
      <c r="G1625" s="43"/>
      <c r="H1625" s="40" t="str" cm="1">
        <f t="array" ref="H1625">IFERROR(INDEX(DB!P$2:P$2576,T1625),"")</f>
        <v/>
      </c>
      <c r="I1625" s="43"/>
      <c r="J1625" s="53" t="str" cm="1">
        <f t="array" ref="J1625">IFERROR(INDEX(DB!Q$2:Q$2576,T1625),"")</f>
        <v/>
      </c>
      <c r="K1625" s="43"/>
      <c r="L1625" s="41" t="str" cm="1">
        <f t="array" ref="L1625">IFERROR(INDEX(DB!R$2:R$2576,T1625),"")</f>
        <v/>
      </c>
      <c r="M1625" s="43"/>
      <c r="P1625" t="str" cm="1">
        <f t="array" ref="P1625">IFERROR(_xlfn.AGGREGATE(15,6,ROW(DB!A$2:A$2576)/((($D$3&lt;&gt;"YES")+($D$3="YES")*(DB!E$2:E$2576="YES"))*(($D$4="")+($D$4&lt;&gt;"")*( DB!B$2:B$2576=$D$4))*(($D$5="")+($D$5&lt;&gt;"")*( DB!C$2:C$2576=$D$5))*(($D$6="")+($D$6&lt;&gt;"")*( DB!D$2:D$2576=$D$6))*(($D$7="")+($D$7&lt;&gt;"")*(ISNUMBER(SEARCH($D$7,DB!G$2:G$2576))))*(($F$7="전체")+($F$7&lt;&gt;"전체")*(DB!H$2:H$2576=$F$7))),ROW()-13)-1,"")</f>
        <v/>
      </c>
      <c r="Q1625" t="str" cm="1">
        <f t="array" ref="Q1625">IFERROR(INDEX(DB!G$2:G$2576,P1625),"")</f>
        <v/>
      </c>
      <c r="R1625" t="str" cm="1">
        <f t="array" ref="R1625">IFERROR(INDEX(DB!O$2:O$2576,P1625),"")</f>
        <v/>
      </c>
      <c r="S1625" t="str">
        <f t="shared" si="78"/>
        <v/>
      </c>
      <c r="T1625" t="str">
        <f t="shared" si="79"/>
        <v/>
      </c>
    </row>
    <row r="1626" spans="1:20" ht="100" customHeight="1">
      <c r="A1626" s="26"/>
      <c r="B1626" s="39" t="str">
        <f t="shared" si="77"/>
        <v/>
      </c>
      <c r="C1626" s="43"/>
      <c r="D1626" s="51" t="str" cm="1">
        <f t="array" ref="D1626">IFERROR(INDEX(DB!G$2:G$2576,T1626),"")</f>
        <v/>
      </c>
      <c r="E1626" s="43"/>
      <c r="F1626" s="52" t="str" cm="1">
        <f t="array" ref="F1626">IFERROR(INDEX(DB!O$2:O$2576,T1626),"")</f>
        <v/>
      </c>
      <c r="G1626" s="43"/>
      <c r="H1626" s="40" t="str" cm="1">
        <f t="array" ref="H1626">IFERROR(INDEX(DB!P$2:P$2576,T1626),"")</f>
        <v/>
      </c>
      <c r="I1626" s="43"/>
      <c r="J1626" s="53" t="str" cm="1">
        <f t="array" ref="J1626">IFERROR(INDEX(DB!Q$2:Q$2576,T1626),"")</f>
        <v/>
      </c>
      <c r="K1626" s="43"/>
      <c r="L1626" s="41" t="str" cm="1">
        <f t="array" ref="L1626">IFERROR(INDEX(DB!R$2:R$2576,T1626),"")</f>
        <v/>
      </c>
      <c r="M1626" s="43"/>
      <c r="P1626" t="str" cm="1">
        <f t="array" ref="P1626">IFERROR(_xlfn.AGGREGATE(15,6,ROW(DB!A$2:A$2576)/((($D$3&lt;&gt;"YES")+($D$3="YES")*(DB!E$2:E$2576="YES"))*(($D$4="")+($D$4&lt;&gt;"")*( DB!B$2:B$2576=$D$4))*(($D$5="")+($D$5&lt;&gt;"")*( DB!C$2:C$2576=$D$5))*(($D$6="")+($D$6&lt;&gt;"")*( DB!D$2:D$2576=$D$6))*(($D$7="")+($D$7&lt;&gt;"")*(ISNUMBER(SEARCH($D$7,DB!G$2:G$2576))))*(($F$7="전체")+($F$7&lt;&gt;"전체")*(DB!H$2:H$2576=$F$7))),ROW()-13)-1,"")</f>
        <v/>
      </c>
      <c r="Q1626" t="str" cm="1">
        <f t="array" ref="Q1626">IFERROR(INDEX(DB!G$2:G$2576,P1626),"")</f>
        <v/>
      </c>
      <c r="R1626" t="str" cm="1">
        <f t="array" ref="R1626">IFERROR(INDEX(DB!O$2:O$2576,P1626),"")</f>
        <v/>
      </c>
      <c r="S1626" t="str">
        <f t="shared" si="78"/>
        <v/>
      </c>
      <c r="T1626" t="str">
        <f t="shared" si="79"/>
        <v/>
      </c>
    </row>
    <row r="1627" spans="1:20" ht="100" customHeight="1">
      <c r="A1627" s="26"/>
      <c r="B1627" s="42" t="str">
        <f t="shared" si="77"/>
        <v/>
      </c>
      <c r="C1627" s="43"/>
      <c r="D1627" s="51" t="str" cm="1">
        <f t="array" ref="D1627">IFERROR(INDEX(DB!G$2:G$2576,T1627),"")</f>
        <v/>
      </c>
      <c r="E1627" s="43"/>
      <c r="F1627" s="52" t="str" cm="1">
        <f t="array" ref="F1627">IFERROR(INDEX(DB!O$2:O$2576,T1627),"")</f>
        <v/>
      </c>
      <c r="G1627" s="43"/>
      <c r="H1627" s="40" t="str" cm="1">
        <f t="array" ref="H1627">IFERROR(INDEX(DB!P$2:P$2576,T1627),"")</f>
        <v/>
      </c>
      <c r="I1627" s="43"/>
      <c r="J1627" s="53" t="str" cm="1">
        <f t="array" ref="J1627">IFERROR(INDEX(DB!Q$2:Q$2576,T1627),"")</f>
        <v/>
      </c>
      <c r="K1627" s="43"/>
      <c r="L1627" s="41" t="str" cm="1">
        <f t="array" ref="L1627">IFERROR(INDEX(DB!R$2:R$2576,T1627),"")</f>
        <v/>
      </c>
      <c r="M1627" s="43"/>
      <c r="P1627" t="str" cm="1">
        <f t="array" ref="P1627">IFERROR(_xlfn.AGGREGATE(15,6,ROW(DB!A$2:A$2576)/((($D$3&lt;&gt;"YES")+($D$3="YES")*(DB!E$2:E$2576="YES"))*(($D$4="")+($D$4&lt;&gt;"")*( DB!B$2:B$2576=$D$4))*(($D$5="")+($D$5&lt;&gt;"")*( DB!C$2:C$2576=$D$5))*(($D$6="")+($D$6&lt;&gt;"")*( DB!D$2:D$2576=$D$6))*(($D$7="")+($D$7&lt;&gt;"")*(ISNUMBER(SEARCH($D$7,DB!G$2:G$2576))))*(($F$7="전체")+($F$7&lt;&gt;"전체")*(DB!H$2:H$2576=$F$7))),ROW()-13)-1,"")</f>
        <v/>
      </c>
      <c r="Q1627" t="str" cm="1">
        <f t="array" ref="Q1627">IFERROR(INDEX(DB!G$2:G$2576,P1627),"")</f>
        <v/>
      </c>
      <c r="R1627" t="str" cm="1">
        <f t="array" ref="R1627">IFERROR(INDEX(DB!O$2:O$2576,P1627),"")</f>
        <v/>
      </c>
      <c r="S1627" t="str">
        <f t="shared" si="78"/>
        <v/>
      </c>
      <c r="T1627" t="str">
        <f t="shared" si="79"/>
        <v/>
      </c>
    </row>
    <row r="1628" spans="1:20" ht="100" customHeight="1">
      <c r="A1628" s="26"/>
      <c r="B1628" s="39" t="str">
        <f t="shared" si="77"/>
        <v/>
      </c>
      <c r="C1628" s="43"/>
      <c r="D1628" s="51" t="str" cm="1">
        <f t="array" ref="D1628">IFERROR(INDEX(DB!G$2:G$2576,T1628),"")</f>
        <v/>
      </c>
      <c r="E1628" s="43"/>
      <c r="F1628" s="52" t="str" cm="1">
        <f t="array" ref="F1628">IFERROR(INDEX(DB!O$2:O$2576,T1628),"")</f>
        <v/>
      </c>
      <c r="G1628" s="43"/>
      <c r="H1628" s="40" t="str" cm="1">
        <f t="array" ref="H1628">IFERROR(INDEX(DB!P$2:P$2576,T1628),"")</f>
        <v/>
      </c>
      <c r="I1628" s="43"/>
      <c r="J1628" s="53" t="str" cm="1">
        <f t="array" ref="J1628">IFERROR(INDEX(DB!Q$2:Q$2576,T1628),"")</f>
        <v/>
      </c>
      <c r="K1628" s="43"/>
      <c r="L1628" s="41" t="str" cm="1">
        <f t="array" ref="L1628">IFERROR(INDEX(DB!R$2:R$2576,T1628),"")</f>
        <v/>
      </c>
      <c r="M1628" s="43"/>
      <c r="P1628" t="str" cm="1">
        <f t="array" ref="P1628">IFERROR(_xlfn.AGGREGATE(15,6,ROW(DB!A$2:A$2576)/((($D$3&lt;&gt;"YES")+($D$3="YES")*(DB!E$2:E$2576="YES"))*(($D$4="")+($D$4&lt;&gt;"")*( DB!B$2:B$2576=$D$4))*(($D$5="")+($D$5&lt;&gt;"")*( DB!C$2:C$2576=$D$5))*(($D$6="")+($D$6&lt;&gt;"")*( DB!D$2:D$2576=$D$6))*(($D$7="")+($D$7&lt;&gt;"")*(ISNUMBER(SEARCH($D$7,DB!G$2:G$2576))))*(($F$7="전체")+($F$7&lt;&gt;"전체")*(DB!H$2:H$2576=$F$7))),ROW()-13)-1,"")</f>
        <v/>
      </c>
      <c r="Q1628" t="str" cm="1">
        <f t="array" ref="Q1628">IFERROR(INDEX(DB!G$2:G$2576,P1628),"")</f>
        <v/>
      </c>
      <c r="R1628" t="str" cm="1">
        <f t="array" ref="R1628">IFERROR(INDEX(DB!O$2:O$2576,P1628),"")</f>
        <v/>
      </c>
      <c r="S1628" t="str">
        <f t="shared" si="78"/>
        <v/>
      </c>
      <c r="T1628" t="str">
        <f t="shared" si="79"/>
        <v/>
      </c>
    </row>
    <row r="1629" spans="1:20" ht="100" customHeight="1">
      <c r="A1629" s="26"/>
      <c r="B1629" s="42" t="str">
        <f t="shared" si="77"/>
        <v/>
      </c>
      <c r="C1629" s="43"/>
      <c r="D1629" s="51" t="str" cm="1">
        <f t="array" ref="D1629">IFERROR(INDEX(DB!G$2:G$2576,T1629),"")</f>
        <v/>
      </c>
      <c r="E1629" s="43"/>
      <c r="F1629" s="52" t="str" cm="1">
        <f t="array" ref="F1629">IFERROR(INDEX(DB!O$2:O$2576,T1629),"")</f>
        <v/>
      </c>
      <c r="G1629" s="43"/>
      <c r="H1629" s="40" t="str" cm="1">
        <f t="array" ref="H1629">IFERROR(INDEX(DB!P$2:P$2576,T1629),"")</f>
        <v/>
      </c>
      <c r="I1629" s="43"/>
      <c r="J1629" s="53" t="str" cm="1">
        <f t="array" ref="J1629">IFERROR(INDEX(DB!Q$2:Q$2576,T1629),"")</f>
        <v/>
      </c>
      <c r="K1629" s="43"/>
      <c r="L1629" s="41" t="str" cm="1">
        <f t="array" ref="L1629">IFERROR(INDEX(DB!R$2:R$2576,T1629),"")</f>
        <v/>
      </c>
      <c r="M1629" s="43"/>
      <c r="P1629" t="str" cm="1">
        <f t="array" ref="P1629">IFERROR(_xlfn.AGGREGATE(15,6,ROW(DB!A$2:A$2576)/((($D$3&lt;&gt;"YES")+($D$3="YES")*(DB!E$2:E$2576="YES"))*(($D$4="")+($D$4&lt;&gt;"")*( DB!B$2:B$2576=$D$4))*(($D$5="")+($D$5&lt;&gt;"")*( DB!C$2:C$2576=$D$5))*(($D$6="")+($D$6&lt;&gt;"")*( DB!D$2:D$2576=$D$6))*(($D$7="")+($D$7&lt;&gt;"")*(ISNUMBER(SEARCH($D$7,DB!G$2:G$2576))))*(($F$7="전체")+($F$7&lt;&gt;"전체")*(DB!H$2:H$2576=$F$7))),ROW()-13)-1,"")</f>
        <v/>
      </c>
      <c r="Q1629" t="str" cm="1">
        <f t="array" ref="Q1629">IFERROR(INDEX(DB!G$2:G$2576,P1629),"")</f>
        <v/>
      </c>
      <c r="R1629" t="str" cm="1">
        <f t="array" ref="R1629">IFERROR(INDEX(DB!O$2:O$2576,P1629),"")</f>
        <v/>
      </c>
      <c r="S1629" t="str">
        <f t="shared" si="78"/>
        <v/>
      </c>
      <c r="T1629" t="str">
        <f t="shared" si="79"/>
        <v/>
      </c>
    </row>
    <row r="1630" spans="1:20" ht="100" customHeight="1">
      <c r="A1630" s="26"/>
      <c r="B1630" s="39" t="str">
        <f t="shared" si="77"/>
        <v/>
      </c>
      <c r="C1630" s="43"/>
      <c r="D1630" s="51" t="str" cm="1">
        <f t="array" ref="D1630">IFERROR(INDEX(DB!G$2:G$2576,T1630),"")</f>
        <v/>
      </c>
      <c r="E1630" s="43"/>
      <c r="F1630" s="52" t="str" cm="1">
        <f t="array" ref="F1630">IFERROR(INDEX(DB!O$2:O$2576,T1630),"")</f>
        <v/>
      </c>
      <c r="G1630" s="43"/>
      <c r="H1630" s="40" t="str" cm="1">
        <f t="array" ref="H1630">IFERROR(INDEX(DB!P$2:P$2576,T1630),"")</f>
        <v/>
      </c>
      <c r="I1630" s="43"/>
      <c r="J1630" s="53" t="str" cm="1">
        <f t="array" ref="J1630">IFERROR(INDEX(DB!Q$2:Q$2576,T1630),"")</f>
        <v/>
      </c>
      <c r="K1630" s="43"/>
      <c r="L1630" s="41" t="str" cm="1">
        <f t="array" ref="L1630">IFERROR(INDEX(DB!R$2:R$2576,T1630),"")</f>
        <v/>
      </c>
      <c r="M1630" s="43"/>
      <c r="P1630" t="str" cm="1">
        <f t="array" ref="P1630">IFERROR(_xlfn.AGGREGATE(15,6,ROW(DB!A$2:A$2576)/((($D$3&lt;&gt;"YES")+($D$3="YES")*(DB!E$2:E$2576="YES"))*(($D$4="")+($D$4&lt;&gt;"")*( DB!B$2:B$2576=$D$4))*(($D$5="")+($D$5&lt;&gt;"")*( DB!C$2:C$2576=$D$5))*(($D$6="")+($D$6&lt;&gt;"")*( DB!D$2:D$2576=$D$6))*(($D$7="")+($D$7&lt;&gt;"")*(ISNUMBER(SEARCH($D$7,DB!G$2:G$2576))))*(($F$7="전체")+($F$7&lt;&gt;"전체")*(DB!H$2:H$2576=$F$7))),ROW()-13)-1,"")</f>
        <v/>
      </c>
      <c r="Q1630" t="str" cm="1">
        <f t="array" ref="Q1630">IFERROR(INDEX(DB!G$2:G$2576,P1630),"")</f>
        <v/>
      </c>
      <c r="R1630" t="str" cm="1">
        <f t="array" ref="R1630">IFERROR(INDEX(DB!O$2:O$2576,P1630),"")</f>
        <v/>
      </c>
      <c r="S1630" t="str">
        <f t="shared" si="78"/>
        <v/>
      </c>
      <c r="T1630" t="str">
        <f t="shared" si="79"/>
        <v/>
      </c>
    </row>
    <row r="1631" spans="1:20" ht="100" customHeight="1">
      <c r="A1631" s="26"/>
      <c r="B1631" s="42" t="str">
        <f t="shared" si="77"/>
        <v/>
      </c>
      <c r="C1631" s="43"/>
      <c r="D1631" s="51" t="str" cm="1">
        <f t="array" ref="D1631">IFERROR(INDEX(DB!G$2:G$2576,T1631),"")</f>
        <v/>
      </c>
      <c r="E1631" s="43"/>
      <c r="F1631" s="52" t="str" cm="1">
        <f t="array" ref="F1631">IFERROR(INDEX(DB!O$2:O$2576,T1631),"")</f>
        <v/>
      </c>
      <c r="G1631" s="43"/>
      <c r="H1631" s="40" t="str" cm="1">
        <f t="array" ref="H1631">IFERROR(INDEX(DB!P$2:P$2576,T1631),"")</f>
        <v/>
      </c>
      <c r="I1631" s="43"/>
      <c r="J1631" s="53" t="str" cm="1">
        <f t="array" ref="J1631">IFERROR(INDEX(DB!Q$2:Q$2576,T1631),"")</f>
        <v/>
      </c>
      <c r="K1631" s="43"/>
      <c r="L1631" s="41" t="str" cm="1">
        <f t="array" ref="L1631">IFERROR(INDEX(DB!R$2:R$2576,T1631),"")</f>
        <v/>
      </c>
      <c r="M1631" s="43"/>
      <c r="P1631" t="str" cm="1">
        <f t="array" ref="P1631">IFERROR(_xlfn.AGGREGATE(15,6,ROW(DB!A$2:A$2576)/((($D$3&lt;&gt;"YES")+($D$3="YES")*(DB!E$2:E$2576="YES"))*(($D$4="")+($D$4&lt;&gt;"")*( DB!B$2:B$2576=$D$4))*(($D$5="")+($D$5&lt;&gt;"")*( DB!C$2:C$2576=$D$5))*(($D$6="")+($D$6&lt;&gt;"")*( DB!D$2:D$2576=$D$6))*(($D$7="")+($D$7&lt;&gt;"")*(ISNUMBER(SEARCH($D$7,DB!G$2:G$2576))))*(($F$7="전체")+($F$7&lt;&gt;"전체")*(DB!H$2:H$2576=$F$7))),ROW()-13)-1,"")</f>
        <v/>
      </c>
      <c r="Q1631" t="str" cm="1">
        <f t="array" ref="Q1631">IFERROR(INDEX(DB!G$2:G$2576,P1631),"")</f>
        <v/>
      </c>
      <c r="R1631" t="str" cm="1">
        <f t="array" ref="R1631">IFERROR(INDEX(DB!O$2:O$2576,P1631),"")</f>
        <v/>
      </c>
      <c r="S1631" t="str">
        <f t="shared" si="78"/>
        <v/>
      </c>
      <c r="T1631" t="str">
        <f t="shared" si="79"/>
        <v/>
      </c>
    </row>
    <row r="1632" spans="1:20" ht="100" customHeight="1">
      <c r="A1632" s="26"/>
      <c r="B1632" s="39" t="str">
        <f t="shared" si="77"/>
        <v/>
      </c>
      <c r="C1632" s="43"/>
      <c r="D1632" s="51" t="str" cm="1">
        <f t="array" ref="D1632">IFERROR(INDEX(DB!G$2:G$2576,T1632),"")</f>
        <v/>
      </c>
      <c r="E1632" s="43"/>
      <c r="F1632" s="52" t="str" cm="1">
        <f t="array" ref="F1632">IFERROR(INDEX(DB!O$2:O$2576,T1632),"")</f>
        <v/>
      </c>
      <c r="G1632" s="43"/>
      <c r="H1632" s="40" t="str" cm="1">
        <f t="array" ref="H1632">IFERROR(INDEX(DB!P$2:P$2576,T1632),"")</f>
        <v/>
      </c>
      <c r="I1632" s="43"/>
      <c r="J1632" s="53" t="str" cm="1">
        <f t="array" ref="J1632">IFERROR(INDEX(DB!Q$2:Q$2576,T1632),"")</f>
        <v/>
      </c>
      <c r="K1632" s="43"/>
      <c r="L1632" s="41" t="str" cm="1">
        <f t="array" ref="L1632">IFERROR(INDEX(DB!R$2:R$2576,T1632),"")</f>
        <v/>
      </c>
      <c r="M1632" s="43"/>
      <c r="P1632" t="str" cm="1">
        <f t="array" ref="P1632">IFERROR(_xlfn.AGGREGATE(15,6,ROW(DB!A$2:A$2576)/((($D$3&lt;&gt;"YES")+($D$3="YES")*(DB!E$2:E$2576="YES"))*(($D$4="")+($D$4&lt;&gt;"")*( DB!B$2:B$2576=$D$4))*(($D$5="")+($D$5&lt;&gt;"")*( DB!C$2:C$2576=$D$5))*(($D$6="")+($D$6&lt;&gt;"")*( DB!D$2:D$2576=$D$6))*(($D$7="")+($D$7&lt;&gt;"")*(ISNUMBER(SEARCH($D$7,DB!G$2:G$2576))))*(($F$7="전체")+($F$7&lt;&gt;"전체")*(DB!H$2:H$2576=$F$7))),ROW()-13)-1,"")</f>
        <v/>
      </c>
      <c r="Q1632" t="str" cm="1">
        <f t="array" ref="Q1632">IFERROR(INDEX(DB!G$2:G$2576,P1632),"")</f>
        <v/>
      </c>
      <c r="R1632" t="str" cm="1">
        <f t="array" ref="R1632">IFERROR(INDEX(DB!O$2:O$2576,P1632),"")</f>
        <v/>
      </c>
      <c r="S1632" t="str">
        <f t="shared" si="78"/>
        <v/>
      </c>
      <c r="T1632" t="str">
        <f t="shared" si="79"/>
        <v/>
      </c>
    </row>
    <row r="1633" spans="1:20" ht="100" customHeight="1">
      <c r="A1633" s="26"/>
      <c r="B1633" s="42" t="str">
        <f t="shared" si="77"/>
        <v/>
      </c>
      <c r="C1633" s="43"/>
      <c r="D1633" s="51" t="str" cm="1">
        <f t="array" ref="D1633">IFERROR(INDEX(DB!G$2:G$2576,T1633),"")</f>
        <v/>
      </c>
      <c r="E1633" s="43"/>
      <c r="F1633" s="52" t="str" cm="1">
        <f t="array" ref="F1633">IFERROR(INDEX(DB!O$2:O$2576,T1633),"")</f>
        <v/>
      </c>
      <c r="G1633" s="43"/>
      <c r="H1633" s="40" t="str" cm="1">
        <f t="array" ref="H1633">IFERROR(INDEX(DB!P$2:P$2576,T1633),"")</f>
        <v/>
      </c>
      <c r="I1633" s="43"/>
      <c r="J1633" s="53" t="str" cm="1">
        <f t="array" ref="J1633">IFERROR(INDEX(DB!Q$2:Q$2576,T1633),"")</f>
        <v/>
      </c>
      <c r="K1633" s="43"/>
      <c r="L1633" s="41" t="str" cm="1">
        <f t="array" ref="L1633">IFERROR(INDEX(DB!R$2:R$2576,T1633),"")</f>
        <v/>
      </c>
      <c r="M1633" s="43"/>
      <c r="P1633" t="str" cm="1">
        <f t="array" ref="P1633">IFERROR(_xlfn.AGGREGATE(15,6,ROW(DB!A$2:A$2576)/((($D$3&lt;&gt;"YES")+($D$3="YES")*(DB!E$2:E$2576="YES"))*(($D$4="")+($D$4&lt;&gt;"")*( DB!B$2:B$2576=$D$4))*(($D$5="")+($D$5&lt;&gt;"")*( DB!C$2:C$2576=$D$5))*(($D$6="")+($D$6&lt;&gt;"")*( DB!D$2:D$2576=$D$6))*(($D$7="")+($D$7&lt;&gt;"")*(ISNUMBER(SEARCH($D$7,DB!G$2:G$2576))))*(($F$7="전체")+($F$7&lt;&gt;"전체")*(DB!H$2:H$2576=$F$7))),ROW()-13)-1,"")</f>
        <v/>
      </c>
      <c r="Q1633" t="str" cm="1">
        <f t="array" ref="Q1633">IFERROR(INDEX(DB!G$2:G$2576,P1633),"")</f>
        <v/>
      </c>
      <c r="R1633" t="str" cm="1">
        <f t="array" ref="R1633">IFERROR(INDEX(DB!O$2:O$2576,P1633),"")</f>
        <v/>
      </c>
      <c r="S1633" t="str">
        <f t="shared" si="78"/>
        <v/>
      </c>
      <c r="T1633" t="str">
        <f t="shared" si="79"/>
        <v/>
      </c>
    </row>
    <row r="1634" spans="1:20" ht="100" customHeight="1">
      <c r="A1634" s="26"/>
      <c r="B1634" s="39" t="str">
        <f t="shared" si="77"/>
        <v/>
      </c>
      <c r="C1634" s="43"/>
      <c r="D1634" s="51" t="str" cm="1">
        <f t="array" ref="D1634">IFERROR(INDEX(DB!G$2:G$2576,T1634),"")</f>
        <v/>
      </c>
      <c r="E1634" s="43"/>
      <c r="F1634" s="52" t="str" cm="1">
        <f t="array" ref="F1634">IFERROR(INDEX(DB!O$2:O$2576,T1634),"")</f>
        <v/>
      </c>
      <c r="G1634" s="43"/>
      <c r="H1634" s="40" t="str" cm="1">
        <f t="array" ref="H1634">IFERROR(INDEX(DB!P$2:P$2576,T1634),"")</f>
        <v/>
      </c>
      <c r="I1634" s="43"/>
      <c r="J1634" s="53" t="str" cm="1">
        <f t="array" ref="J1634">IFERROR(INDEX(DB!Q$2:Q$2576,T1634),"")</f>
        <v/>
      </c>
      <c r="K1634" s="43"/>
      <c r="L1634" s="41" t="str" cm="1">
        <f t="array" ref="L1634">IFERROR(INDEX(DB!R$2:R$2576,T1634),"")</f>
        <v/>
      </c>
      <c r="M1634" s="43"/>
      <c r="P1634" t="str" cm="1">
        <f t="array" ref="P1634">IFERROR(_xlfn.AGGREGATE(15,6,ROW(DB!A$2:A$2576)/((($D$3&lt;&gt;"YES")+($D$3="YES")*(DB!E$2:E$2576="YES"))*(($D$4="")+($D$4&lt;&gt;"")*( DB!B$2:B$2576=$D$4))*(($D$5="")+($D$5&lt;&gt;"")*( DB!C$2:C$2576=$D$5))*(($D$6="")+($D$6&lt;&gt;"")*( DB!D$2:D$2576=$D$6))*(($D$7="")+($D$7&lt;&gt;"")*(ISNUMBER(SEARCH($D$7,DB!G$2:G$2576))))*(($F$7="전체")+($F$7&lt;&gt;"전체")*(DB!H$2:H$2576=$F$7))),ROW()-13)-1,"")</f>
        <v/>
      </c>
      <c r="Q1634" t="str" cm="1">
        <f t="array" ref="Q1634">IFERROR(INDEX(DB!G$2:G$2576,P1634),"")</f>
        <v/>
      </c>
      <c r="R1634" t="str" cm="1">
        <f t="array" ref="R1634">IFERROR(INDEX(DB!O$2:O$2576,P1634),"")</f>
        <v/>
      </c>
      <c r="S1634" t="str">
        <f t="shared" si="78"/>
        <v/>
      </c>
      <c r="T1634" t="str">
        <f t="shared" si="79"/>
        <v/>
      </c>
    </row>
    <row r="1635" spans="1:20" ht="100" customHeight="1">
      <c r="A1635" s="26"/>
      <c r="B1635" s="42" t="str">
        <f t="shared" si="77"/>
        <v/>
      </c>
      <c r="C1635" s="43"/>
      <c r="D1635" s="51" t="str" cm="1">
        <f t="array" ref="D1635">IFERROR(INDEX(DB!G$2:G$2576,T1635),"")</f>
        <v/>
      </c>
      <c r="E1635" s="43"/>
      <c r="F1635" s="52" t="str" cm="1">
        <f t="array" ref="F1635">IFERROR(INDEX(DB!O$2:O$2576,T1635),"")</f>
        <v/>
      </c>
      <c r="G1635" s="43"/>
      <c r="H1635" s="40" t="str" cm="1">
        <f t="array" ref="H1635">IFERROR(INDEX(DB!P$2:P$2576,T1635),"")</f>
        <v/>
      </c>
      <c r="I1635" s="43"/>
      <c r="J1635" s="53" t="str" cm="1">
        <f t="array" ref="J1635">IFERROR(INDEX(DB!Q$2:Q$2576,T1635),"")</f>
        <v/>
      </c>
      <c r="K1635" s="43"/>
      <c r="L1635" s="41" t="str" cm="1">
        <f t="array" ref="L1635">IFERROR(INDEX(DB!R$2:R$2576,T1635),"")</f>
        <v/>
      </c>
      <c r="M1635" s="43"/>
      <c r="P1635" t="str" cm="1">
        <f t="array" ref="P1635">IFERROR(_xlfn.AGGREGATE(15,6,ROW(DB!A$2:A$2576)/((($D$3&lt;&gt;"YES")+($D$3="YES")*(DB!E$2:E$2576="YES"))*(($D$4="")+($D$4&lt;&gt;"")*( DB!B$2:B$2576=$D$4))*(($D$5="")+($D$5&lt;&gt;"")*( DB!C$2:C$2576=$D$5))*(($D$6="")+($D$6&lt;&gt;"")*( DB!D$2:D$2576=$D$6))*(($D$7="")+($D$7&lt;&gt;"")*(ISNUMBER(SEARCH($D$7,DB!G$2:G$2576))))*(($F$7="전체")+($F$7&lt;&gt;"전체")*(DB!H$2:H$2576=$F$7))),ROW()-13)-1,"")</f>
        <v/>
      </c>
      <c r="Q1635" t="str" cm="1">
        <f t="array" ref="Q1635">IFERROR(INDEX(DB!G$2:G$2576,P1635),"")</f>
        <v/>
      </c>
      <c r="R1635" t="str" cm="1">
        <f t="array" ref="R1635">IFERROR(INDEX(DB!O$2:O$2576,P1635),"")</f>
        <v/>
      </c>
      <c r="S1635" t="str">
        <f t="shared" si="78"/>
        <v/>
      </c>
      <c r="T1635" t="str">
        <f t="shared" si="79"/>
        <v/>
      </c>
    </row>
    <row r="1636" spans="1:20" ht="100" customHeight="1">
      <c r="A1636" s="26"/>
      <c r="B1636" s="39" t="str">
        <f t="shared" si="77"/>
        <v/>
      </c>
      <c r="C1636" s="43"/>
      <c r="D1636" s="51" t="str" cm="1">
        <f t="array" ref="D1636">IFERROR(INDEX(DB!G$2:G$2576,T1636),"")</f>
        <v/>
      </c>
      <c r="E1636" s="43"/>
      <c r="F1636" s="52" t="str" cm="1">
        <f t="array" ref="F1636">IFERROR(INDEX(DB!O$2:O$2576,T1636),"")</f>
        <v/>
      </c>
      <c r="G1636" s="43"/>
      <c r="H1636" s="40" t="str" cm="1">
        <f t="array" ref="H1636">IFERROR(INDEX(DB!P$2:P$2576,T1636),"")</f>
        <v/>
      </c>
      <c r="I1636" s="43"/>
      <c r="J1636" s="53" t="str" cm="1">
        <f t="array" ref="J1636">IFERROR(INDEX(DB!Q$2:Q$2576,T1636),"")</f>
        <v/>
      </c>
      <c r="K1636" s="43"/>
      <c r="L1636" s="41" t="str" cm="1">
        <f t="array" ref="L1636">IFERROR(INDEX(DB!R$2:R$2576,T1636),"")</f>
        <v/>
      </c>
      <c r="M1636" s="43"/>
      <c r="P1636" t="str" cm="1">
        <f t="array" ref="P1636">IFERROR(_xlfn.AGGREGATE(15,6,ROW(DB!A$2:A$2576)/((($D$3&lt;&gt;"YES")+($D$3="YES")*(DB!E$2:E$2576="YES"))*(($D$4="")+($D$4&lt;&gt;"")*( DB!B$2:B$2576=$D$4))*(($D$5="")+($D$5&lt;&gt;"")*( DB!C$2:C$2576=$D$5))*(($D$6="")+($D$6&lt;&gt;"")*( DB!D$2:D$2576=$D$6))*(($D$7="")+($D$7&lt;&gt;"")*(ISNUMBER(SEARCH($D$7,DB!G$2:G$2576))))*(($F$7="전체")+($F$7&lt;&gt;"전체")*(DB!H$2:H$2576=$F$7))),ROW()-13)-1,"")</f>
        <v/>
      </c>
      <c r="Q1636" t="str" cm="1">
        <f t="array" ref="Q1636">IFERROR(INDEX(DB!G$2:G$2576,P1636),"")</f>
        <v/>
      </c>
      <c r="R1636" t="str" cm="1">
        <f t="array" ref="R1636">IFERROR(INDEX(DB!O$2:O$2576,P1636),"")</f>
        <v/>
      </c>
      <c r="S1636" t="str">
        <f t="shared" si="78"/>
        <v/>
      </c>
      <c r="T1636" t="str">
        <f t="shared" si="79"/>
        <v/>
      </c>
    </row>
    <row r="1637" spans="1:20" ht="100" customHeight="1">
      <c r="A1637" s="26"/>
      <c r="B1637" s="42" t="str">
        <f t="shared" si="77"/>
        <v/>
      </c>
      <c r="C1637" s="43"/>
      <c r="D1637" s="51" t="str" cm="1">
        <f t="array" ref="D1637">IFERROR(INDEX(DB!G$2:G$2576,T1637),"")</f>
        <v/>
      </c>
      <c r="E1637" s="43"/>
      <c r="F1637" s="52" t="str" cm="1">
        <f t="array" ref="F1637">IFERROR(INDEX(DB!O$2:O$2576,T1637),"")</f>
        <v/>
      </c>
      <c r="G1637" s="43"/>
      <c r="H1637" s="40" t="str" cm="1">
        <f t="array" ref="H1637">IFERROR(INDEX(DB!P$2:P$2576,T1637),"")</f>
        <v/>
      </c>
      <c r="I1637" s="43"/>
      <c r="J1637" s="53" t="str" cm="1">
        <f t="array" ref="J1637">IFERROR(INDEX(DB!Q$2:Q$2576,T1637),"")</f>
        <v/>
      </c>
      <c r="K1637" s="43"/>
      <c r="L1637" s="41" t="str" cm="1">
        <f t="array" ref="L1637">IFERROR(INDEX(DB!R$2:R$2576,T1637),"")</f>
        <v/>
      </c>
      <c r="M1637" s="43"/>
      <c r="P1637" t="str" cm="1">
        <f t="array" ref="P1637">IFERROR(_xlfn.AGGREGATE(15,6,ROW(DB!A$2:A$2576)/((($D$3&lt;&gt;"YES")+($D$3="YES")*(DB!E$2:E$2576="YES"))*(($D$4="")+($D$4&lt;&gt;"")*( DB!B$2:B$2576=$D$4))*(($D$5="")+($D$5&lt;&gt;"")*( DB!C$2:C$2576=$D$5))*(($D$6="")+($D$6&lt;&gt;"")*( DB!D$2:D$2576=$D$6))*(($D$7="")+($D$7&lt;&gt;"")*(ISNUMBER(SEARCH($D$7,DB!G$2:G$2576))))*(($F$7="전체")+($F$7&lt;&gt;"전체")*(DB!H$2:H$2576=$F$7))),ROW()-13)-1,"")</f>
        <v/>
      </c>
      <c r="Q1637" t="str" cm="1">
        <f t="array" ref="Q1637">IFERROR(INDEX(DB!G$2:G$2576,P1637),"")</f>
        <v/>
      </c>
      <c r="R1637" t="str" cm="1">
        <f t="array" ref="R1637">IFERROR(INDEX(DB!O$2:O$2576,P1637),"")</f>
        <v/>
      </c>
      <c r="S1637" t="str">
        <f t="shared" si="78"/>
        <v/>
      </c>
      <c r="T1637" t="str">
        <f t="shared" si="79"/>
        <v/>
      </c>
    </row>
    <row r="1638" spans="1:20" ht="100" customHeight="1">
      <c r="A1638" s="26"/>
      <c r="B1638" s="39" t="str">
        <f t="shared" si="77"/>
        <v/>
      </c>
      <c r="C1638" s="43"/>
      <c r="D1638" s="51" t="str" cm="1">
        <f t="array" ref="D1638">IFERROR(INDEX(DB!G$2:G$2576,T1638),"")</f>
        <v/>
      </c>
      <c r="E1638" s="43"/>
      <c r="F1638" s="52" t="str" cm="1">
        <f t="array" ref="F1638">IFERROR(INDEX(DB!O$2:O$2576,T1638),"")</f>
        <v/>
      </c>
      <c r="G1638" s="43"/>
      <c r="H1638" s="40" t="str" cm="1">
        <f t="array" ref="H1638">IFERROR(INDEX(DB!P$2:P$2576,T1638),"")</f>
        <v/>
      </c>
      <c r="I1638" s="43"/>
      <c r="J1638" s="53" t="str" cm="1">
        <f t="array" ref="J1638">IFERROR(INDEX(DB!Q$2:Q$2576,T1638),"")</f>
        <v/>
      </c>
      <c r="K1638" s="43"/>
      <c r="L1638" s="41" t="str" cm="1">
        <f t="array" ref="L1638">IFERROR(INDEX(DB!R$2:R$2576,T1638),"")</f>
        <v/>
      </c>
      <c r="M1638" s="43"/>
      <c r="P1638" t="str" cm="1">
        <f t="array" ref="P1638">IFERROR(_xlfn.AGGREGATE(15,6,ROW(DB!A$2:A$2576)/((($D$3&lt;&gt;"YES")+($D$3="YES")*(DB!E$2:E$2576="YES"))*(($D$4="")+($D$4&lt;&gt;"")*( DB!B$2:B$2576=$D$4))*(($D$5="")+($D$5&lt;&gt;"")*( DB!C$2:C$2576=$D$5))*(($D$6="")+($D$6&lt;&gt;"")*( DB!D$2:D$2576=$D$6))*(($D$7="")+($D$7&lt;&gt;"")*(ISNUMBER(SEARCH($D$7,DB!G$2:G$2576))))*(($F$7="전체")+($F$7&lt;&gt;"전체")*(DB!H$2:H$2576=$F$7))),ROW()-13)-1,"")</f>
        <v/>
      </c>
      <c r="Q1638" t="str" cm="1">
        <f t="array" ref="Q1638">IFERROR(INDEX(DB!G$2:G$2576,P1638),"")</f>
        <v/>
      </c>
      <c r="R1638" t="str" cm="1">
        <f t="array" ref="R1638">IFERROR(INDEX(DB!O$2:O$2576,P1638),"")</f>
        <v/>
      </c>
      <c r="S1638" t="str">
        <f t="shared" si="78"/>
        <v/>
      </c>
      <c r="T1638" t="str">
        <f t="shared" si="79"/>
        <v/>
      </c>
    </row>
    <row r="1639" spans="1:20" ht="100" customHeight="1">
      <c r="A1639" s="26"/>
      <c r="B1639" s="42" t="str">
        <f t="shared" si="77"/>
        <v/>
      </c>
      <c r="C1639" s="43"/>
      <c r="D1639" s="51" t="str" cm="1">
        <f t="array" ref="D1639">IFERROR(INDEX(DB!G$2:G$2576,T1639),"")</f>
        <v/>
      </c>
      <c r="E1639" s="43"/>
      <c r="F1639" s="52" t="str" cm="1">
        <f t="array" ref="F1639">IFERROR(INDEX(DB!O$2:O$2576,T1639),"")</f>
        <v/>
      </c>
      <c r="G1639" s="43"/>
      <c r="H1639" s="40" t="str" cm="1">
        <f t="array" ref="H1639">IFERROR(INDEX(DB!P$2:P$2576,T1639),"")</f>
        <v/>
      </c>
      <c r="I1639" s="43"/>
      <c r="J1639" s="53" t="str" cm="1">
        <f t="array" ref="J1639">IFERROR(INDEX(DB!Q$2:Q$2576,T1639),"")</f>
        <v/>
      </c>
      <c r="K1639" s="43"/>
      <c r="L1639" s="41" t="str" cm="1">
        <f t="array" ref="L1639">IFERROR(INDEX(DB!R$2:R$2576,T1639),"")</f>
        <v/>
      </c>
      <c r="M1639" s="43"/>
      <c r="P1639" t="str" cm="1">
        <f t="array" ref="P1639">IFERROR(_xlfn.AGGREGATE(15,6,ROW(DB!A$2:A$2576)/((($D$3&lt;&gt;"YES")+($D$3="YES")*(DB!E$2:E$2576="YES"))*(($D$4="")+($D$4&lt;&gt;"")*( DB!B$2:B$2576=$D$4))*(($D$5="")+($D$5&lt;&gt;"")*( DB!C$2:C$2576=$D$5))*(($D$6="")+($D$6&lt;&gt;"")*( DB!D$2:D$2576=$D$6))*(($D$7="")+($D$7&lt;&gt;"")*(ISNUMBER(SEARCH($D$7,DB!G$2:G$2576))))*(($F$7="전체")+($F$7&lt;&gt;"전체")*(DB!H$2:H$2576=$F$7))),ROW()-13)-1,"")</f>
        <v/>
      </c>
      <c r="Q1639" t="str" cm="1">
        <f t="array" ref="Q1639">IFERROR(INDEX(DB!G$2:G$2576,P1639),"")</f>
        <v/>
      </c>
      <c r="R1639" t="str" cm="1">
        <f t="array" ref="R1639">IFERROR(INDEX(DB!O$2:O$2576,P1639),"")</f>
        <v/>
      </c>
      <c r="S1639" t="str">
        <f t="shared" si="78"/>
        <v/>
      </c>
      <c r="T1639" t="str">
        <f t="shared" si="79"/>
        <v/>
      </c>
    </row>
    <row r="1640" spans="1:20" ht="100" customHeight="1">
      <c r="A1640" s="26"/>
      <c r="B1640" s="39" t="str">
        <f t="shared" si="77"/>
        <v/>
      </c>
      <c r="C1640" s="43"/>
      <c r="D1640" s="51" t="str" cm="1">
        <f t="array" ref="D1640">IFERROR(INDEX(DB!G$2:G$2576,T1640),"")</f>
        <v/>
      </c>
      <c r="E1640" s="43"/>
      <c r="F1640" s="52" t="str" cm="1">
        <f t="array" ref="F1640">IFERROR(INDEX(DB!O$2:O$2576,T1640),"")</f>
        <v/>
      </c>
      <c r="G1640" s="43"/>
      <c r="H1640" s="40" t="str" cm="1">
        <f t="array" ref="H1640">IFERROR(INDEX(DB!P$2:P$2576,T1640),"")</f>
        <v/>
      </c>
      <c r="I1640" s="43"/>
      <c r="J1640" s="53" t="str" cm="1">
        <f t="array" ref="J1640">IFERROR(INDEX(DB!Q$2:Q$2576,T1640),"")</f>
        <v/>
      </c>
      <c r="K1640" s="43"/>
      <c r="L1640" s="41" t="str" cm="1">
        <f t="array" ref="L1640">IFERROR(INDEX(DB!R$2:R$2576,T1640),"")</f>
        <v/>
      </c>
      <c r="M1640" s="43"/>
      <c r="P1640" t="str" cm="1">
        <f t="array" ref="P1640">IFERROR(_xlfn.AGGREGATE(15,6,ROW(DB!A$2:A$2576)/((($D$3&lt;&gt;"YES")+($D$3="YES")*(DB!E$2:E$2576="YES"))*(($D$4="")+($D$4&lt;&gt;"")*( DB!B$2:B$2576=$D$4))*(($D$5="")+($D$5&lt;&gt;"")*( DB!C$2:C$2576=$D$5))*(($D$6="")+($D$6&lt;&gt;"")*( DB!D$2:D$2576=$D$6))*(($D$7="")+($D$7&lt;&gt;"")*(ISNUMBER(SEARCH($D$7,DB!G$2:G$2576))))*(($F$7="전체")+($F$7&lt;&gt;"전체")*(DB!H$2:H$2576=$F$7))),ROW()-13)-1,"")</f>
        <v/>
      </c>
      <c r="Q1640" t="str" cm="1">
        <f t="array" ref="Q1640">IFERROR(INDEX(DB!G$2:G$2576,P1640),"")</f>
        <v/>
      </c>
      <c r="R1640" t="str" cm="1">
        <f t="array" ref="R1640">IFERROR(INDEX(DB!O$2:O$2576,P1640),"")</f>
        <v/>
      </c>
      <c r="S1640" t="str">
        <f t="shared" si="78"/>
        <v/>
      </c>
      <c r="T1640" t="str">
        <f t="shared" si="79"/>
        <v/>
      </c>
    </row>
    <row r="1641" spans="1:20" ht="100" customHeight="1">
      <c r="A1641" s="26"/>
      <c r="B1641" s="42" t="str">
        <f t="shared" si="77"/>
        <v/>
      </c>
      <c r="C1641" s="43"/>
      <c r="D1641" s="51" t="str" cm="1">
        <f t="array" ref="D1641">IFERROR(INDEX(DB!G$2:G$2576,T1641),"")</f>
        <v/>
      </c>
      <c r="E1641" s="43"/>
      <c r="F1641" s="52" t="str" cm="1">
        <f t="array" ref="F1641">IFERROR(INDEX(DB!O$2:O$2576,T1641),"")</f>
        <v/>
      </c>
      <c r="G1641" s="43"/>
      <c r="H1641" s="40" t="str" cm="1">
        <f t="array" ref="H1641">IFERROR(INDEX(DB!P$2:P$2576,T1641),"")</f>
        <v/>
      </c>
      <c r="I1641" s="43"/>
      <c r="J1641" s="53" t="str" cm="1">
        <f t="array" ref="J1641">IFERROR(INDEX(DB!Q$2:Q$2576,T1641),"")</f>
        <v/>
      </c>
      <c r="K1641" s="43"/>
      <c r="L1641" s="41" t="str" cm="1">
        <f t="array" ref="L1641">IFERROR(INDEX(DB!R$2:R$2576,T1641),"")</f>
        <v/>
      </c>
      <c r="M1641" s="43"/>
      <c r="P1641" t="str" cm="1">
        <f t="array" ref="P1641">IFERROR(_xlfn.AGGREGATE(15,6,ROW(DB!A$2:A$2576)/((($D$3&lt;&gt;"YES")+($D$3="YES")*(DB!E$2:E$2576="YES"))*(($D$4="")+($D$4&lt;&gt;"")*( DB!B$2:B$2576=$D$4))*(($D$5="")+($D$5&lt;&gt;"")*( DB!C$2:C$2576=$D$5))*(($D$6="")+($D$6&lt;&gt;"")*( DB!D$2:D$2576=$D$6))*(($D$7="")+($D$7&lt;&gt;"")*(ISNUMBER(SEARCH($D$7,DB!G$2:G$2576))))*(($F$7="전체")+($F$7&lt;&gt;"전체")*(DB!H$2:H$2576=$F$7))),ROW()-13)-1,"")</f>
        <v/>
      </c>
      <c r="Q1641" t="str" cm="1">
        <f t="array" ref="Q1641">IFERROR(INDEX(DB!G$2:G$2576,P1641),"")</f>
        <v/>
      </c>
      <c r="R1641" t="str" cm="1">
        <f t="array" ref="R1641">IFERROR(INDEX(DB!O$2:O$2576,P1641),"")</f>
        <v/>
      </c>
      <c r="S1641" t="str">
        <f t="shared" si="78"/>
        <v/>
      </c>
      <c r="T1641" t="str">
        <f t="shared" si="79"/>
        <v/>
      </c>
    </row>
    <row r="1642" spans="1:20" ht="100" customHeight="1">
      <c r="A1642" s="26"/>
      <c r="B1642" s="39" t="str">
        <f t="shared" si="77"/>
        <v/>
      </c>
      <c r="C1642" s="43"/>
      <c r="D1642" s="51" t="str" cm="1">
        <f t="array" ref="D1642">IFERROR(INDEX(DB!G$2:G$2576,T1642),"")</f>
        <v/>
      </c>
      <c r="E1642" s="43"/>
      <c r="F1642" s="52" t="str" cm="1">
        <f t="array" ref="F1642">IFERROR(INDEX(DB!O$2:O$2576,T1642),"")</f>
        <v/>
      </c>
      <c r="G1642" s="43"/>
      <c r="H1642" s="40" t="str" cm="1">
        <f t="array" ref="H1642">IFERROR(INDEX(DB!P$2:P$2576,T1642),"")</f>
        <v/>
      </c>
      <c r="I1642" s="43"/>
      <c r="J1642" s="53" t="str" cm="1">
        <f t="array" ref="J1642">IFERROR(INDEX(DB!Q$2:Q$2576,T1642),"")</f>
        <v/>
      </c>
      <c r="K1642" s="43"/>
      <c r="L1642" s="41" t="str" cm="1">
        <f t="array" ref="L1642">IFERROR(INDEX(DB!R$2:R$2576,T1642),"")</f>
        <v/>
      </c>
      <c r="M1642" s="43"/>
      <c r="P1642" t="str" cm="1">
        <f t="array" ref="P1642">IFERROR(_xlfn.AGGREGATE(15,6,ROW(DB!A$2:A$2576)/((($D$3&lt;&gt;"YES")+($D$3="YES")*(DB!E$2:E$2576="YES"))*(($D$4="")+($D$4&lt;&gt;"")*( DB!B$2:B$2576=$D$4))*(($D$5="")+($D$5&lt;&gt;"")*( DB!C$2:C$2576=$D$5))*(($D$6="")+($D$6&lt;&gt;"")*( DB!D$2:D$2576=$D$6))*(($D$7="")+($D$7&lt;&gt;"")*(ISNUMBER(SEARCH($D$7,DB!G$2:G$2576))))*(($F$7="전체")+($F$7&lt;&gt;"전체")*(DB!H$2:H$2576=$F$7))),ROW()-13)-1,"")</f>
        <v/>
      </c>
      <c r="Q1642" t="str" cm="1">
        <f t="array" ref="Q1642">IFERROR(INDEX(DB!G$2:G$2576,P1642),"")</f>
        <v/>
      </c>
      <c r="R1642" t="str" cm="1">
        <f t="array" ref="R1642">IFERROR(INDEX(DB!O$2:O$2576,P1642),"")</f>
        <v/>
      </c>
      <c r="S1642" t="str">
        <f t="shared" si="78"/>
        <v/>
      </c>
      <c r="T1642" t="str">
        <f t="shared" si="79"/>
        <v/>
      </c>
    </row>
    <row r="1643" spans="1:20" ht="100" customHeight="1">
      <c r="A1643" s="26"/>
      <c r="B1643" s="42" t="str">
        <f t="shared" si="77"/>
        <v/>
      </c>
      <c r="C1643" s="43"/>
      <c r="D1643" s="51" t="str" cm="1">
        <f t="array" ref="D1643">IFERROR(INDEX(DB!G$2:G$2576,T1643),"")</f>
        <v/>
      </c>
      <c r="E1643" s="43"/>
      <c r="F1643" s="52" t="str" cm="1">
        <f t="array" ref="F1643">IFERROR(INDEX(DB!O$2:O$2576,T1643),"")</f>
        <v/>
      </c>
      <c r="G1643" s="43"/>
      <c r="H1643" s="40" t="str" cm="1">
        <f t="array" ref="H1643">IFERROR(INDEX(DB!P$2:P$2576,T1643),"")</f>
        <v/>
      </c>
      <c r="I1643" s="43"/>
      <c r="J1643" s="53" t="str" cm="1">
        <f t="array" ref="J1643">IFERROR(INDEX(DB!Q$2:Q$2576,T1643),"")</f>
        <v/>
      </c>
      <c r="K1643" s="43"/>
      <c r="L1643" s="41" t="str" cm="1">
        <f t="array" ref="L1643">IFERROR(INDEX(DB!R$2:R$2576,T1643),"")</f>
        <v/>
      </c>
      <c r="M1643" s="43"/>
      <c r="P1643" t="str" cm="1">
        <f t="array" ref="P1643">IFERROR(_xlfn.AGGREGATE(15,6,ROW(DB!A$2:A$2576)/((($D$3&lt;&gt;"YES")+($D$3="YES")*(DB!E$2:E$2576="YES"))*(($D$4="")+($D$4&lt;&gt;"")*( DB!B$2:B$2576=$D$4))*(($D$5="")+($D$5&lt;&gt;"")*( DB!C$2:C$2576=$D$5))*(($D$6="")+($D$6&lt;&gt;"")*( DB!D$2:D$2576=$D$6))*(($D$7="")+($D$7&lt;&gt;"")*(ISNUMBER(SEARCH($D$7,DB!G$2:G$2576))))*(($F$7="전체")+($F$7&lt;&gt;"전체")*(DB!H$2:H$2576=$F$7))),ROW()-13)-1,"")</f>
        <v/>
      </c>
      <c r="Q1643" t="str" cm="1">
        <f t="array" ref="Q1643">IFERROR(INDEX(DB!G$2:G$2576,P1643),"")</f>
        <v/>
      </c>
      <c r="R1643" t="str" cm="1">
        <f t="array" ref="R1643">IFERROR(INDEX(DB!O$2:O$2576,P1643),"")</f>
        <v/>
      </c>
      <c r="S1643" t="str">
        <f t="shared" si="78"/>
        <v/>
      </c>
      <c r="T1643" t="str">
        <f t="shared" si="79"/>
        <v/>
      </c>
    </row>
    <row r="1644" spans="1:20" ht="100" customHeight="1">
      <c r="A1644" s="26"/>
      <c r="B1644" s="39" t="str">
        <f t="shared" si="77"/>
        <v/>
      </c>
      <c r="C1644" s="43"/>
      <c r="D1644" s="51" t="str" cm="1">
        <f t="array" ref="D1644">IFERROR(INDEX(DB!G$2:G$2576,T1644),"")</f>
        <v/>
      </c>
      <c r="E1644" s="43"/>
      <c r="F1644" s="52" t="str" cm="1">
        <f t="array" ref="F1644">IFERROR(INDEX(DB!O$2:O$2576,T1644),"")</f>
        <v/>
      </c>
      <c r="G1644" s="43"/>
      <c r="H1644" s="40" t="str" cm="1">
        <f t="array" ref="H1644">IFERROR(INDEX(DB!P$2:P$2576,T1644),"")</f>
        <v/>
      </c>
      <c r="I1644" s="43"/>
      <c r="J1644" s="53" t="str" cm="1">
        <f t="array" ref="J1644">IFERROR(INDEX(DB!Q$2:Q$2576,T1644),"")</f>
        <v/>
      </c>
      <c r="K1644" s="43"/>
      <c r="L1644" s="41" t="str" cm="1">
        <f t="array" ref="L1644">IFERROR(INDEX(DB!R$2:R$2576,T1644),"")</f>
        <v/>
      </c>
      <c r="M1644" s="43"/>
      <c r="P1644" t="str" cm="1">
        <f t="array" ref="P1644">IFERROR(_xlfn.AGGREGATE(15,6,ROW(DB!A$2:A$2576)/((($D$3&lt;&gt;"YES")+($D$3="YES")*(DB!E$2:E$2576="YES"))*(($D$4="")+($D$4&lt;&gt;"")*( DB!B$2:B$2576=$D$4))*(($D$5="")+($D$5&lt;&gt;"")*( DB!C$2:C$2576=$D$5))*(($D$6="")+($D$6&lt;&gt;"")*( DB!D$2:D$2576=$D$6))*(($D$7="")+($D$7&lt;&gt;"")*(ISNUMBER(SEARCH($D$7,DB!G$2:G$2576))))*(($F$7="전체")+($F$7&lt;&gt;"전체")*(DB!H$2:H$2576=$F$7))),ROW()-13)-1,"")</f>
        <v/>
      </c>
      <c r="Q1644" t="str" cm="1">
        <f t="array" ref="Q1644">IFERROR(INDEX(DB!G$2:G$2576,P1644),"")</f>
        <v/>
      </c>
      <c r="R1644" t="str" cm="1">
        <f t="array" ref="R1644">IFERROR(INDEX(DB!O$2:O$2576,P1644),"")</f>
        <v/>
      </c>
      <c r="S1644" t="str">
        <f t="shared" si="78"/>
        <v/>
      </c>
      <c r="T1644" t="str">
        <f t="shared" si="79"/>
        <v/>
      </c>
    </row>
    <row r="1645" spans="1:20" ht="100" customHeight="1">
      <c r="A1645" s="26"/>
      <c r="B1645" s="42" t="str">
        <f t="shared" si="77"/>
        <v/>
      </c>
      <c r="C1645" s="43"/>
      <c r="D1645" s="51" t="str" cm="1">
        <f t="array" ref="D1645">IFERROR(INDEX(DB!G$2:G$2576,T1645),"")</f>
        <v/>
      </c>
      <c r="E1645" s="43"/>
      <c r="F1645" s="52" t="str" cm="1">
        <f t="array" ref="F1645">IFERROR(INDEX(DB!O$2:O$2576,T1645),"")</f>
        <v/>
      </c>
      <c r="G1645" s="43"/>
      <c r="H1645" s="40" t="str" cm="1">
        <f t="array" ref="H1645">IFERROR(INDEX(DB!P$2:P$2576,T1645),"")</f>
        <v/>
      </c>
      <c r="I1645" s="43"/>
      <c r="J1645" s="53" t="str" cm="1">
        <f t="array" ref="J1645">IFERROR(INDEX(DB!Q$2:Q$2576,T1645),"")</f>
        <v/>
      </c>
      <c r="K1645" s="43"/>
      <c r="L1645" s="41" t="str" cm="1">
        <f t="array" ref="L1645">IFERROR(INDEX(DB!R$2:R$2576,T1645),"")</f>
        <v/>
      </c>
      <c r="M1645" s="43"/>
      <c r="P1645" t="str" cm="1">
        <f t="array" ref="P1645">IFERROR(_xlfn.AGGREGATE(15,6,ROW(DB!A$2:A$2576)/((($D$3&lt;&gt;"YES")+($D$3="YES")*(DB!E$2:E$2576="YES"))*(($D$4="")+($D$4&lt;&gt;"")*( DB!B$2:B$2576=$D$4))*(($D$5="")+($D$5&lt;&gt;"")*( DB!C$2:C$2576=$D$5))*(($D$6="")+($D$6&lt;&gt;"")*( DB!D$2:D$2576=$D$6))*(($D$7="")+($D$7&lt;&gt;"")*(ISNUMBER(SEARCH($D$7,DB!G$2:G$2576))))*(($F$7="전체")+($F$7&lt;&gt;"전체")*(DB!H$2:H$2576=$F$7))),ROW()-13)-1,"")</f>
        <v/>
      </c>
      <c r="Q1645" t="str" cm="1">
        <f t="array" ref="Q1645">IFERROR(INDEX(DB!G$2:G$2576,P1645),"")</f>
        <v/>
      </c>
      <c r="R1645" t="str" cm="1">
        <f t="array" ref="R1645">IFERROR(INDEX(DB!O$2:O$2576,P1645),"")</f>
        <v/>
      </c>
      <c r="S1645" t="str">
        <f t="shared" si="78"/>
        <v/>
      </c>
      <c r="T1645" t="str">
        <f t="shared" si="79"/>
        <v/>
      </c>
    </row>
    <row r="1646" spans="1:20" ht="100" customHeight="1">
      <c r="A1646" s="26"/>
      <c r="B1646" s="39" t="str">
        <f t="shared" si="77"/>
        <v/>
      </c>
      <c r="C1646" s="43"/>
      <c r="D1646" s="51" t="str" cm="1">
        <f t="array" ref="D1646">IFERROR(INDEX(DB!G$2:G$2576,T1646),"")</f>
        <v/>
      </c>
      <c r="E1646" s="43"/>
      <c r="F1646" s="52" t="str" cm="1">
        <f t="array" ref="F1646">IFERROR(INDEX(DB!O$2:O$2576,T1646),"")</f>
        <v/>
      </c>
      <c r="G1646" s="43"/>
      <c r="H1646" s="40" t="str" cm="1">
        <f t="array" ref="H1646">IFERROR(INDEX(DB!P$2:P$2576,T1646),"")</f>
        <v/>
      </c>
      <c r="I1646" s="43"/>
      <c r="J1646" s="53" t="str" cm="1">
        <f t="array" ref="J1646">IFERROR(INDEX(DB!Q$2:Q$2576,T1646),"")</f>
        <v/>
      </c>
      <c r="K1646" s="43"/>
      <c r="L1646" s="41" t="str" cm="1">
        <f t="array" ref="L1646">IFERROR(INDEX(DB!R$2:R$2576,T1646),"")</f>
        <v/>
      </c>
      <c r="M1646" s="43"/>
      <c r="P1646" t="str" cm="1">
        <f t="array" ref="P1646">IFERROR(_xlfn.AGGREGATE(15,6,ROW(DB!A$2:A$2576)/((($D$3&lt;&gt;"YES")+($D$3="YES")*(DB!E$2:E$2576="YES"))*(($D$4="")+($D$4&lt;&gt;"")*( DB!B$2:B$2576=$D$4))*(($D$5="")+($D$5&lt;&gt;"")*( DB!C$2:C$2576=$D$5))*(($D$6="")+($D$6&lt;&gt;"")*( DB!D$2:D$2576=$D$6))*(($D$7="")+($D$7&lt;&gt;"")*(ISNUMBER(SEARCH($D$7,DB!G$2:G$2576))))*(($F$7="전체")+($F$7&lt;&gt;"전체")*(DB!H$2:H$2576=$F$7))),ROW()-13)-1,"")</f>
        <v/>
      </c>
      <c r="Q1646" t="str" cm="1">
        <f t="array" ref="Q1646">IFERROR(INDEX(DB!G$2:G$2576,P1646),"")</f>
        <v/>
      </c>
      <c r="R1646" t="str" cm="1">
        <f t="array" ref="R1646">IFERROR(INDEX(DB!O$2:O$2576,P1646),"")</f>
        <v/>
      </c>
      <c r="S1646" t="str">
        <f t="shared" si="78"/>
        <v/>
      </c>
      <c r="T1646" t="str">
        <f t="shared" si="79"/>
        <v/>
      </c>
    </row>
    <row r="1647" spans="1:20" ht="100" customHeight="1">
      <c r="A1647" s="26"/>
      <c r="B1647" s="42" t="str">
        <f t="shared" si="77"/>
        <v/>
      </c>
      <c r="C1647" s="43"/>
      <c r="D1647" s="51" t="str" cm="1">
        <f t="array" ref="D1647">IFERROR(INDEX(DB!G$2:G$2576,T1647),"")</f>
        <v/>
      </c>
      <c r="E1647" s="43"/>
      <c r="F1647" s="52" t="str" cm="1">
        <f t="array" ref="F1647">IFERROR(INDEX(DB!O$2:O$2576,T1647),"")</f>
        <v/>
      </c>
      <c r="G1647" s="43"/>
      <c r="H1647" s="40" t="str" cm="1">
        <f t="array" ref="H1647">IFERROR(INDEX(DB!P$2:P$2576,T1647),"")</f>
        <v/>
      </c>
      <c r="I1647" s="43"/>
      <c r="J1647" s="53" t="str" cm="1">
        <f t="array" ref="J1647">IFERROR(INDEX(DB!Q$2:Q$2576,T1647),"")</f>
        <v/>
      </c>
      <c r="K1647" s="43"/>
      <c r="L1647" s="41" t="str" cm="1">
        <f t="array" ref="L1647">IFERROR(INDEX(DB!R$2:R$2576,T1647),"")</f>
        <v/>
      </c>
      <c r="M1647" s="43"/>
      <c r="P1647" t="str" cm="1">
        <f t="array" ref="P1647">IFERROR(_xlfn.AGGREGATE(15,6,ROW(DB!A$2:A$2576)/((($D$3&lt;&gt;"YES")+($D$3="YES")*(DB!E$2:E$2576="YES"))*(($D$4="")+($D$4&lt;&gt;"")*( DB!B$2:B$2576=$D$4))*(($D$5="")+($D$5&lt;&gt;"")*( DB!C$2:C$2576=$D$5))*(($D$6="")+($D$6&lt;&gt;"")*( DB!D$2:D$2576=$D$6))*(($D$7="")+($D$7&lt;&gt;"")*(ISNUMBER(SEARCH($D$7,DB!G$2:G$2576))))*(($F$7="전체")+($F$7&lt;&gt;"전체")*(DB!H$2:H$2576=$F$7))),ROW()-13)-1,"")</f>
        <v/>
      </c>
      <c r="Q1647" t="str" cm="1">
        <f t="array" ref="Q1647">IFERROR(INDEX(DB!G$2:G$2576,P1647),"")</f>
        <v/>
      </c>
      <c r="R1647" t="str" cm="1">
        <f t="array" ref="R1647">IFERROR(INDEX(DB!O$2:O$2576,P1647),"")</f>
        <v/>
      </c>
      <c r="S1647" t="str">
        <f t="shared" si="78"/>
        <v/>
      </c>
      <c r="T1647" t="str">
        <f t="shared" si="79"/>
        <v/>
      </c>
    </row>
    <row r="1648" spans="1:20" ht="100" customHeight="1">
      <c r="A1648" s="26"/>
      <c r="B1648" s="39" t="str">
        <f t="shared" si="77"/>
        <v/>
      </c>
      <c r="C1648" s="43"/>
      <c r="D1648" s="51" t="str" cm="1">
        <f t="array" ref="D1648">IFERROR(INDEX(DB!G$2:G$2576,T1648),"")</f>
        <v/>
      </c>
      <c r="E1648" s="43"/>
      <c r="F1648" s="52" t="str" cm="1">
        <f t="array" ref="F1648">IFERROR(INDEX(DB!O$2:O$2576,T1648),"")</f>
        <v/>
      </c>
      <c r="G1648" s="43"/>
      <c r="H1648" s="40" t="str" cm="1">
        <f t="array" ref="H1648">IFERROR(INDEX(DB!P$2:P$2576,T1648),"")</f>
        <v/>
      </c>
      <c r="I1648" s="43"/>
      <c r="J1648" s="53" t="str" cm="1">
        <f t="array" ref="J1648">IFERROR(INDEX(DB!Q$2:Q$2576,T1648),"")</f>
        <v/>
      </c>
      <c r="K1648" s="43"/>
      <c r="L1648" s="41" t="str" cm="1">
        <f t="array" ref="L1648">IFERROR(INDEX(DB!R$2:R$2576,T1648),"")</f>
        <v/>
      </c>
      <c r="M1648" s="43"/>
      <c r="P1648" t="str" cm="1">
        <f t="array" ref="P1648">IFERROR(_xlfn.AGGREGATE(15,6,ROW(DB!A$2:A$2576)/((($D$3&lt;&gt;"YES")+($D$3="YES")*(DB!E$2:E$2576="YES"))*(($D$4="")+($D$4&lt;&gt;"")*( DB!B$2:B$2576=$D$4))*(($D$5="")+($D$5&lt;&gt;"")*( DB!C$2:C$2576=$D$5))*(($D$6="")+($D$6&lt;&gt;"")*( DB!D$2:D$2576=$D$6))*(($D$7="")+($D$7&lt;&gt;"")*(ISNUMBER(SEARCH($D$7,DB!G$2:G$2576))))*(($F$7="전체")+($F$7&lt;&gt;"전체")*(DB!H$2:H$2576=$F$7))),ROW()-13)-1,"")</f>
        <v/>
      </c>
      <c r="Q1648" t="str" cm="1">
        <f t="array" ref="Q1648">IFERROR(INDEX(DB!G$2:G$2576,P1648),"")</f>
        <v/>
      </c>
      <c r="R1648" t="str" cm="1">
        <f t="array" ref="R1648">IFERROR(INDEX(DB!O$2:O$2576,P1648),"")</f>
        <v/>
      </c>
      <c r="S1648" t="str">
        <f t="shared" si="78"/>
        <v/>
      </c>
      <c r="T1648" t="str">
        <f t="shared" si="79"/>
        <v/>
      </c>
    </row>
    <row r="1649" spans="1:20" ht="100" customHeight="1">
      <c r="A1649" s="26"/>
      <c r="B1649" s="42" t="str">
        <f t="shared" si="77"/>
        <v/>
      </c>
      <c r="C1649" s="43"/>
      <c r="D1649" s="51" t="str" cm="1">
        <f t="array" ref="D1649">IFERROR(INDEX(DB!G$2:G$2576,T1649),"")</f>
        <v/>
      </c>
      <c r="E1649" s="43"/>
      <c r="F1649" s="52" t="str" cm="1">
        <f t="array" ref="F1649">IFERROR(INDEX(DB!O$2:O$2576,T1649),"")</f>
        <v/>
      </c>
      <c r="G1649" s="43"/>
      <c r="H1649" s="40" t="str" cm="1">
        <f t="array" ref="H1649">IFERROR(INDEX(DB!P$2:P$2576,T1649),"")</f>
        <v/>
      </c>
      <c r="I1649" s="43"/>
      <c r="J1649" s="53" t="str" cm="1">
        <f t="array" ref="J1649">IFERROR(INDEX(DB!Q$2:Q$2576,T1649),"")</f>
        <v/>
      </c>
      <c r="K1649" s="43"/>
      <c r="L1649" s="41" t="str" cm="1">
        <f t="array" ref="L1649">IFERROR(INDEX(DB!R$2:R$2576,T1649),"")</f>
        <v/>
      </c>
      <c r="M1649" s="43"/>
      <c r="P1649" t="str" cm="1">
        <f t="array" ref="P1649">IFERROR(_xlfn.AGGREGATE(15,6,ROW(DB!A$2:A$2576)/((($D$3&lt;&gt;"YES")+($D$3="YES")*(DB!E$2:E$2576="YES"))*(($D$4="")+($D$4&lt;&gt;"")*( DB!B$2:B$2576=$D$4))*(($D$5="")+($D$5&lt;&gt;"")*( DB!C$2:C$2576=$D$5))*(($D$6="")+($D$6&lt;&gt;"")*( DB!D$2:D$2576=$D$6))*(($D$7="")+($D$7&lt;&gt;"")*(ISNUMBER(SEARCH($D$7,DB!G$2:G$2576))))*(($F$7="전체")+($F$7&lt;&gt;"전체")*(DB!H$2:H$2576=$F$7))),ROW()-13)-1,"")</f>
        <v/>
      </c>
      <c r="Q1649" t="str" cm="1">
        <f t="array" ref="Q1649">IFERROR(INDEX(DB!G$2:G$2576,P1649),"")</f>
        <v/>
      </c>
      <c r="R1649" t="str" cm="1">
        <f t="array" ref="R1649">IFERROR(INDEX(DB!O$2:O$2576,P1649),"")</f>
        <v/>
      </c>
      <c r="S1649" t="str">
        <f t="shared" si="78"/>
        <v/>
      </c>
      <c r="T1649" t="str">
        <f t="shared" si="79"/>
        <v/>
      </c>
    </row>
    <row r="1650" spans="1:20" ht="100" customHeight="1">
      <c r="A1650" s="26"/>
      <c r="B1650" s="39" t="str">
        <f t="shared" si="77"/>
        <v/>
      </c>
      <c r="C1650" s="43"/>
      <c r="D1650" s="51" t="str" cm="1">
        <f t="array" ref="D1650">IFERROR(INDEX(DB!G$2:G$2576,T1650),"")</f>
        <v/>
      </c>
      <c r="E1650" s="43"/>
      <c r="F1650" s="52" t="str" cm="1">
        <f t="array" ref="F1650">IFERROR(INDEX(DB!O$2:O$2576,T1650),"")</f>
        <v/>
      </c>
      <c r="G1650" s="43"/>
      <c r="H1650" s="40" t="str" cm="1">
        <f t="array" ref="H1650">IFERROR(INDEX(DB!P$2:P$2576,T1650),"")</f>
        <v/>
      </c>
      <c r="I1650" s="43"/>
      <c r="J1650" s="53" t="str" cm="1">
        <f t="array" ref="J1650">IFERROR(INDEX(DB!Q$2:Q$2576,T1650),"")</f>
        <v/>
      </c>
      <c r="K1650" s="43"/>
      <c r="L1650" s="41" t="str" cm="1">
        <f t="array" ref="L1650">IFERROR(INDEX(DB!R$2:R$2576,T1650),"")</f>
        <v/>
      </c>
      <c r="M1650" s="43"/>
      <c r="P1650" t="str" cm="1">
        <f t="array" ref="P1650">IFERROR(_xlfn.AGGREGATE(15,6,ROW(DB!A$2:A$2576)/((($D$3&lt;&gt;"YES")+($D$3="YES")*(DB!E$2:E$2576="YES"))*(($D$4="")+($D$4&lt;&gt;"")*( DB!B$2:B$2576=$D$4))*(($D$5="")+($D$5&lt;&gt;"")*( DB!C$2:C$2576=$D$5))*(($D$6="")+($D$6&lt;&gt;"")*( DB!D$2:D$2576=$D$6))*(($D$7="")+($D$7&lt;&gt;"")*(ISNUMBER(SEARCH($D$7,DB!G$2:G$2576))))*(($F$7="전체")+($F$7&lt;&gt;"전체")*(DB!H$2:H$2576=$F$7))),ROW()-13)-1,"")</f>
        <v/>
      </c>
      <c r="Q1650" t="str" cm="1">
        <f t="array" ref="Q1650">IFERROR(INDEX(DB!G$2:G$2576,P1650),"")</f>
        <v/>
      </c>
      <c r="R1650" t="str" cm="1">
        <f t="array" ref="R1650">IFERROR(INDEX(DB!O$2:O$2576,P1650),"")</f>
        <v/>
      </c>
      <c r="S1650" t="str">
        <f t="shared" si="78"/>
        <v/>
      </c>
      <c r="T1650" t="str">
        <f t="shared" si="79"/>
        <v/>
      </c>
    </row>
    <row r="1651" spans="1:20" ht="100" customHeight="1">
      <c r="A1651" s="26"/>
      <c r="B1651" s="42" t="str">
        <f t="shared" si="77"/>
        <v/>
      </c>
      <c r="C1651" s="43"/>
      <c r="D1651" s="51" t="str" cm="1">
        <f t="array" ref="D1651">IFERROR(INDEX(DB!G$2:G$2576,T1651),"")</f>
        <v/>
      </c>
      <c r="E1651" s="43"/>
      <c r="F1651" s="52" t="str" cm="1">
        <f t="array" ref="F1651">IFERROR(INDEX(DB!O$2:O$2576,T1651),"")</f>
        <v/>
      </c>
      <c r="G1651" s="43"/>
      <c r="H1651" s="40" t="str" cm="1">
        <f t="array" ref="H1651">IFERROR(INDEX(DB!P$2:P$2576,T1651),"")</f>
        <v/>
      </c>
      <c r="I1651" s="43"/>
      <c r="J1651" s="53" t="str" cm="1">
        <f t="array" ref="J1651">IFERROR(INDEX(DB!Q$2:Q$2576,T1651),"")</f>
        <v/>
      </c>
      <c r="K1651" s="43"/>
      <c r="L1651" s="41" t="str" cm="1">
        <f t="array" ref="L1651">IFERROR(INDEX(DB!R$2:R$2576,T1651),"")</f>
        <v/>
      </c>
      <c r="M1651" s="43"/>
      <c r="P1651" t="str" cm="1">
        <f t="array" ref="P1651">IFERROR(_xlfn.AGGREGATE(15,6,ROW(DB!A$2:A$2576)/((($D$3&lt;&gt;"YES")+($D$3="YES")*(DB!E$2:E$2576="YES"))*(($D$4="")+($D$4&lt;&gt;"")*( DB!B$2:B$2576=$D$4))*(($D$5="")+($D$5&lt;&gt;"")*( DB!C$2:C$2576=$D$5))*(($D$6="")+($D$6&lt;&gt;"")*( DB!D$2:D$2576=$D$6))*(($D$7="")+($D$7&lt;&gt;"")*(ISNUMBER(SEARCH($D$7,DB!G$2:G$2576))))*(($F$7="전체")+($F$7&lt;&gt;"전체")*(DB!H$2:H$2576=$F$7))),ROW()-13)-1,"")</f>
        <v/>
      </c>
      <c r="Q1651" t="str" cm="1">
        <f t="array" ref="Q1651">IFERROR(INDEX(DB!G$2:G$2576,P1651),"")</f>
        <v/>
      </c>
      <c r="R1651" t="str" cm="1">
        <f t="array" ref="R1651">IFERROR(INDEX(DB!O$2:O$2576,P1651),"")</f>
        <v/>
      </c>
      <c r="S1651" t="str">
        <f t="shared" si="78"/>
        <v/>
      </c>
      <c r="T1651" t="str">
        <f t="shared" si="79"/>
        <v/>
      </c>
    </row>
    <row r="1652" spans="1:20" ht="100" customHeight="1">
      <c r="A1652" s="26"/>
      <c r="B1652" s="39" t="str">
        <f t="shared" si="77"/>
        <v/>
      </c>
      <c r="C1652" s="43"/>
      <c r="D1652" s="51" t="str" cm="1">
        <f t="array" ref="D1652">IFERROR(INDEX(DB!G$2:G$2576,T1652),"")</f>
        <v/>
      </c>
      <c r="E1652" s="43"/>
      <c r="F1652" s="52" t="str" cm="1">
        <f t="array" ref="F1652">IFERROR(INDEX(DB!O$2:O$2576,T1652),"")</f>
        <v/>
      </c>
      <c r="G1652" s="43"/>
      <c r="H1652" s="40" t="str" cm="1">
        <f t="array" ref="H1652">IFERROR(INDEX(DB!P$2:P$2576,T1652),"")</f>
        <v/>
      </c>
      <c r="I1652" s="43"/>
      <c r="J1652" s="53" t="str" cm="1">
        <f t="array" ref="J1652">IFERROR(INDEX(DB!Q$2:Q$2576,T1652),"")</f>
        <v/>
      </c>
      <c r="K1652" s="43"/>
      <c r="L1652" s="41" t="str" cm="1">
        <f t="array" ref="L1652">IFERROR(INDEX(DB!R$2:R$2576,T1652),"")</f>
        <v/>
      </c>
      <c r="M1652" s="43"/>
      <c r="P1652" t="str" cm="1">
        <f t="array" ref="P1652">IFERROR(_xlfn.AGGREGATE(15,6,ROW(DB!A$2:A$2576)/((($D$3&lt;&gt;"YES")+($D$3="YES")*(DB!E$2:E$2576="YES"))*(($D$4="")+($D$4&lt;&gt;"")*( DB!B$2:B$2576=$D$4))*(($D$5="")+($D$5&lt;&gt;"")*( DB!C$2:C$2576=$D$5))*(($D$6="")+($D$6&lt;&gt;"")*( DB!D$2:D$2576=$D$6))*(($D$7="")+($D$7&lt;&gt;"")*(ISNUMBER(SEARCH($D$7,DB!G$2:G$2576))))*(($F$7="전체")+($F$7&lt;&gt;"전체")*(DB!H$2:H$2576=$F$7))),ROW()-13)-1,"")</f>
        <v/>
      </c>
      <c r="Q1652" t="str" cm="1">
        <f t="array" ref="Q1652">IFERROR(INDEX(DB!G$2:G$2576,P1652),"")</f>
        <v/>
      </c>
      <c r="R1652" t="str" cm="1">
        <f t="array" ref="R1652">IFERROR(INDEX(DB!O$2:O$2576,P1652),"")</f>
        <v/>
      </c>
      <c r="S1652" t="str">
        <f t="shared" si="78"/>
        <v/>
      </c>
      <c r="T1652" t="str">
        <f t="shared" si="79"/>
        <v/>
      </c>
    </row>
    <row r="1653" spans="1:20" ht="100" customHeight="1">
      <c r="A1653" s="26"/>
      <c r="B1653" s="42" t="str">
        <f t="shared" si="77"/>
        <v/>
      </c>
      <c r="C1653" s="43"/>
      <c r="D1653" s="51" t="str" cm="1">
        <f t="array" ref="D1653">IFERROR(INDEX(DB!G$2:G$2576,T1653),"")</f>
        <v/>
      </c>
      <c r="E1653" s="43"/>
      <c r="F1653" s="52" t="str" cm="1">
        <f t="array" ref="F1653">IFERROR(INDEX(DB!O$2:O$2576,T1653),"")</f>
        <v/>
      </c>
      <c r="G1653" s="43"/>
      <c r="H1653" s="40" t="str" cm="1">
        <f t="array" ref="H1653">IFERROR(INDEX(DB!P$2:P$2576,T1653),"")</f>
        <v/>
      </c>
      <c r="I1653" s="43"/>
      <c r="J1653" s="53" t="str" cm="1">
        <f t="array" ref="J1653">IFERROR(INDEX(DB!Q$2:Q$2576,T1653),"")</f>
        <v/>
      </c>
      <c r="K1653" s="43"/>
      <c r="L1653" s="41" t="str" cm="1">
        <f t="array" ref="L1653">IFERROR(INDEX(DB!R$2:R$2576,T1653),"")</f>
        <v/>
      </c>
      <c r="M1653" s="43"/>
      <c r="P1653" t="str" cm="1">
        <f t="array" ref="P1653">IFERROR(_xlfn.AGGREGATE(15,6,ROW(DB!A$2:A$2576)/((($D$3&lt;&gt;"YES")+($D$3="YES")*(DB!E$2:E$2576="YES"))*(($D$4="")+($D$4&lt;&gt;"")*( DB!B$2:B$2576=$D$4))*(($D$5="")+($D$5&lt;&gt;"")*( DB!C$2:C$2576=$D$5))*(($D$6="")+($D$6&lt;&gt;"")*( DB!D$2:D$2576=$D$6))*(($D$7="")+($D$7&lt;&gt;"")*(ISNUMBER(SEARCH($D$7,DB!G$2:G$2576))))*(($F$7="전체")+($F$7&lt;&gt;"전체")*(DB!H$2:H$2576=$F$7))),ROW()-13)-1,"")</f>
        <v/>
      </c>
      <c r="Q1653" t="str" cm="1">
        <f t="array" ref="Q1653">IFERROR(INDEX(DB!G$2:G$2576,P1653),"")</f>
        <v/>
      </c>
      <c r="R1653" t="str" cm="1">
        <f t="array" ref="R1653">IFERROR(INDEX(DB!O$2:O$2576,P1653),"")</f>
        <v/>
      </c>
      <c r="S1653" t="str">
        <f t="shared" si="78"/>
        <v/>
      </c>
      <c r="T1653" t="str">
        <f t="shared" si="79"/>
        <v/>
      </c>
    </row>
    <row r="1654" spans="1:20" ht="100" customHeight="1">
      <c r="A1654" s="26"/>
      <c r="B1654" s="39" t="str">
        <f t="shared" si="77"/>
        <v/>
      </c>
      <c r="C1654" s="43"/>
      <c r="D1654" s="51" t="str" cm="1">
        <f t="array" ref="D1654">IFERROR(INDEX(DB!G$2:G$2576,T1654),"")</f>
        <v/>
      </c>
      <c r="E1654" s="43"/>
      <c r="F1654" s="52" t="str" cm="1">
        <f t="array" ref="F1654">IFERROR(INDEX(DB!O$2:O$2576,T1654),"")</f>
        <v/>
      </c>
      <c r="G1654" s="43"/>
      <c r="H1654" s="40" t="str" cm="1">
        <f t="array" ref="H1654">IFERROR(INDEX(DB!P$2:P$2576,T1654),"")</f>
        <v/>
      </c>
      <c r="I1654" s="43"/>
      <c r="J1654" s="53" t="str" cm="1">
        <f t="array" ref="J1654">IFERROR(INDEX(DB!Q$2:Q$2576,T1654),"")</f>
        <v/>
      </c>
      <c r="K1654" s="43"/>
      <c r="L1654" s="41" t="str" cm="1">
        <f t="array" ref="L1654">IFERROR(INDEX(DB!R$2:R$2576,T1654),"")</f>
        <v/>
      </c>
      <c r="M1654" s="43"/>
      <c r="P1654" t="str" cm="1">
        <f t="array" ref="P1654">IFERROR(_xlfn.AGGREGATE(15,6,ROW(DB!A$2:A$2576)/((($D$3&lt;&gt;"YES")+($D$3="YES")*(DB!E$2:E$2576="YES"))*(($D$4="")+($D$4&lt;&gt;"")*( DB!B$2:B$2576=$D$4))*(($D$5="")+($D$5&lt;&gt;"")*( DB!C$2:C$2576=$D$5))*(($D$6="")+($D$6&lt;&gt;"")*( DB!D$2:D$2576=$D$6))*(($D$7="")+($D$7&lt;&gt;"")*(ISNUMBER(SEARCH($D$7,DB!G$2:G$2576))))*(($F$7="전체")+($F$7&lt;&gt;"전체")*(DB!H$2:H$2576=$F$7))),ROW()-13)-1,"")</f>
        <v/>
      </c>
      <c r="Q1654" t="str" cm="1">
        <f t="array" ref="Q1654">IFERROR(INDEX(DB!G$2:G$2576,P1654),"")</f>
        <v/>
      </c>
      <c r="R1654" t="str" cm="1">
        <f t="array" ref="R1654">IFERROR(INDEX(DB!O$2:O$2576,P1654),"")</f>
        <v/>
      </c>
      <c r="S1654" t="str">
        <f t="shared" si="78"/>
        <v/>
      </c>
      <c r="T1654" t="str">
        <f t="shared" si="79"/>
        <v/>
      </c>
    </row>
    <row r="1655" spans="1:20" ht="100" customHeight="1">
      <c r="A1655" s="26"/>
      <c r="B1655" s="42" t="str">
        <f t="shared" si="77"/>
        <v/>
      </c>
      <c r="C1655" s="43"/>
      <c r="D1655" s="51" t="str" cm="1">
        <f t="array" ref="D1655">IFERROR(INDEX(DB!G$2:G$2576,T1655),"")</f>
        <v/>
      </c>
      <c r="E1655" s="43"/>
      <c r="F1655" s="52" t="str" cm="1">
        <f t="array" ref="F1655">IFERROR(INDEX(DB!O$2:O$2576,T1655),"")</f>
        <v/>
      </c>
      <c r="G1655" s="43"/>
      <c r="H1655" s="40" t="str" cm="1">
        <f t="array" ref="H1655">IFERROR(INDEX(DB!P$2:P$2576,T1655),"")</f>
        <v/>
      </c>
      <c r="I1655" s="43"/>
      <c r="J1655" s="53" t="str" cm="1">
        <f t="array" ref="J1655">IFERROR(INDEX(DB!Q$2:Q$2576,T1655),"")</f>
        <v/>
      </c>
      <c r="K1655" s="43"/>
      <c r="L1655" s="41" t="str" cm="1">
        <f t="array" ref="L1655">IFERROR(INDEX(DB!R$2:R$2576,T1655),"")</f>
        <v/>
      </c>
      <c r="M1655" s="43"/>
      <c r="P1655" t="str" cm="1">
        <f t="array" ref="P1655">IFERROR(_xlfn.AGGREGATE(15,6,ROW(DB!A$2:A$2576)/((($D$3&lt;&gt;"YES")+($D$3="YES")*(DB!E$2:E$2576="YES"))*(($D$4="")+($D$4&lt;&gt;"")*( DB!B$2:B$2576=$D$4))*(($D$5="")+($D$5&lt;&gt;"")*( DB!C$2:C$2576=$D$5))*(($D$6="")+($D$6&lt;&gt;"")*( DB!D$2:D$2576=$D$6))*(($D$7="")+($D$7&lt;&gt;"")*(ISNUMBER(SEARCH($D$7,DB!G$2:G$2576))))*(($F$7="전체")+($F$7&lt;&gt;"전체")*(DB!H$2:H$2576=$F$7))),ROW()-13)-1,"")</f>
        <v/>
      </c>
      <c r="Q1655" t="str" cm="1">
        <f t="array" ref="Q1655">IFERROR(INDEX(DB!G$2:G$2576,P1655),"")</f>
        <v/>
      </c>
      <c r="R1655" t="str" cm="1">
        <f t="array" ref="R1655">IFERROR(INDEX(DB!O$2:O$2576,P1655),"")</f>
        <v/>
      </c>
      <c r="S1655" t="str">
        <f t="shared" si="78"/>
        <v/>
      </c>
      <c r="T1655" t="str">
        <f t="shared" si="79"/>
        <v/>
      </c>
    </row>
    <row r="1656" spans="1:20" ht="100" customHeight="1">
      <c r="A1656" s="26"/>
      <c r="B1656" s="39" t="str">
        <f t="shared" si="77"/>
        <v/>
      </c>
      <c r="C1656" s="43"/>
      <c r="D1656" s="51" t="str" cm="1">
        <f t="array" ref="D1656">IFERROR(INDEX(DB!G$2:G$2576,T1656),"")</f>
        <v/>
      </c>
      <c r="E1656" s="43"/>
      <c r="F1656" s="52" t="str" cm="1">
        <f t="array" ref="F1656">IFERROR(INDEX(DB!O$2:O$2576,T1656),"")</f>
        <v/>
      </c>
      <c r="G1656" s="43"/>
      <c r="H1656" s="40" t="str" cm="1">
        <f t="array" ref="H1656">IFERROR(INDEX(DB!P$2:P$2576,T1656),"")</f>
        <v/>
      </c>
      <c r="I1656" s="43"/>
      <c r="J1656" s="53" t="str" cm="1">
        <f t="array" ref="J1656">IFERROR(INDEX(DB!Q$2:Q$2576,T1656),"")</f>
        <v/>
      </c>
      <c r="K1656" s="43"/>
      <c r="L1656" s="41" t="str" cm="1">
        <f t="array" ref="L1656">IFERROR(INDEX(DB!R$2:R$2576,T1656),"")</f>
        <v/>
      </c>
      <c r="M1656" s="43"/>
      <c r="P1656" t="str" cm="1">
        <f t="array" ref="P1656">IFERROR(_xlfn.AGGREGATE(15,6,ROW(DB!A$2:A$2576)/((($D$3&lt;&gt;"YES")+($D$3="YES")*(DB!E$2:E$2576="YES"))*(($D$4="")+($D$4&lt;&gt;"")*( DB!B$2:B$2576=$D$4))*(($D$5="")+($D$5&lt;&gt;"")*( DB!C$2:C$2576=$D$5))*(($D$6="")+($D$6&lt;&gt;"")*( DB!D$2:D$2576=$D$6))*(($D$7="")+($D$7&lt;&gt;"")*(ISNUMBER(SEARCH($D$7,DB!G$2:G$2576))))*(($F$7="전체")+($F$7&lt;&gt;"전체")*(DB!H$2:H$2576=$F$7))),ROW()-13)-1,"")</f>
        <v/>
      </c>
      <c r="Q1656" t="str" cm="1">
        <f t="array" ref="Q1656">IFERROR(INDEX(DB!G$2:G$2576,P1656),"")</f>
        <v/>
      </c>
      <c r="R1656" t="str" cm="1">
        <f t="array" ref="R1656">IFERROR(INDEX(DB!O$2:O$2576,P1656),"")</f>
        <v/>
      </c>
      <c r="S1656" t="str">
        <f t="shared" si="78"/>
        <v/>
      </c>
      <c r="T1656" t="str">
        <f t="shared" si="79"/>
        <v/>
      </c>
    </row>
    <row r="1657" spans="1:20" ht="100" customHeight="1">
      <c r="A1657" s="26"/>
      <c r="B1657" s="42" t="str">
        <f t="shared" si="77"/>
        <v/>
      </c>
      <c r="C1657" s="43"/>
      <c r="D1657" s="51" t="str" cm="1">
        <f t="array" ref="D1657">IFERROR(INDEX(DB!G$2:G$2576,T1657),"")</f>
        <v/>
      </c>
      <c r="E1657" s="43"/>
      <c r="F1657" s="52" t="str" cm="1">
        <f t="array" ref="F1657">IFERROR(INDEX(DB!O$2:O$2576,T1657),"")</f>
        <v/>
      </c>
      <c r="G1657" s="43"/>
      <c r="H1657" s="40" t="str" cm="1">
        <f t="array" ref="H1657">IFERROR(INDEX(DB!P$2:P$2576,T1657),"")</f>
        <v/>
      </c>
      <c r="I1657" s="43"/>
      <c r="J1657" s="53" t="str" cm="1">
        <f t="array" ref="J1657">IFERROR(INDEX(DB!Q$2:Q$2576,T1657),"")</f>
        <v/>
      </c>
      <c r="K1657" s="43"/>
      <c r="L1657" s="41" t="str" cm="1">
        <f t="array" ref="L1657">IFERROR(INDEX(DB!R$2:R$2576,T1657),"")</f>
        <v/>
      </c>
      <c r="M1657" s="43"/>
      <c r="P1657" t="str" cm="1">
        <f t="array" ref="P1657">IFERROR(_xlfn.AGGREGATE(15,6,ROW(DB!A$2:A$2576)/((($D$3&lt;&gt;"YES")+($D$3="YES")*(DB!E$2:E$2576="YES"))*(($D$4="")+($D$4&lt;&gt;"")*( DB!B$2:B$2576=$D$4))*(($D$5="")+($D$5&lt;&gt;"")*( DB!C$2:C$2576=$D$5))*(($D$6="")+($D$6&lt;&gt;"")*( DB!D$2:D$2576=$D$6))*(($D$7="")+($D$7&lt;&gt;"")*(ISNUMBER(SEARCH($D$7,DB!G$2:G$2576))))*(($F$7="전체")+($F$7&lt;&gt;"전체")*(DB!H$2:H$2576=$F$7))),ROW()-13)-1,"")</f>
        <v/>
      </c>
      <c r="Q1657" t="str" cm="1">
        <f t="array" ref="Q1657">IFERROR(INDEX(DB!G$2:G$2576,P1657),"")</f>
        <v/>
      </c>
      <c r="R1657" t="str" cm="1">
        <f t="array" ref="R1657">IFERROR(INDEX(DB!O$2:O$2576,P1657),"")</f>
        <v/>
      </c>
      <c r="S1657" t="str">
        <f t="shared" si="78"/>
        <v/>
      </c>
      <c r="T1657" t="str">
        <f t="shared" si="79"/>
        <v/>
      </c>
    </row>
    <row r="1658" spans="1:20" ht="100" customHeight="1">
      <c r="A1658" s="26"/>
      <c r="B1658" s="39" t="str">
        <f t="shared" si="77"/>
        <v/>
      </c>
      <c r="C1658" s="43"/>
      <c r="D1658" s="51" t="str" cm="1">
        <f t="array" ref="D1658">IFERROR(INDEX(DB!G$2:G$2576,T1658),"")</f>
        <v/>
      </c>
      <c r="E1658" s="43"/>
      <c r="F1658" s="52" t="str" cm="1">
        <f t="array" ref="F1658">IFERROR(INDEX(DB!O$2:O$2576,T1658),"")</f>
        <v/>
      </c>
      <c r="G1658" s="43"/>
      <c r="H1658" s="40" t="str" cm="1">
        <f t="array" ref="H1658">IFERROR(INDEX(DB!P$2:P$2576,T1658),"")</f>
        <v/>
      </c>
      <c r="I1658" s="43"/>
      <c r="J1658" s="53" t="str" cm="1">
        <f t="array" ref="J1658">IFERROR(INDEX(DB!Q$2:Q$2576,T1658),"")</f>
        <v/>
      </c>
      <c r="K1658" s="43"/>
      <c r="L1658" s="41" t="str" cm="1">
        <f t="array" ref="L1658">IFERROR(INDEX(DB!R$2:R$2576,T1658),"")</f>
        <v/>
      </c>
      <c r="M1658" s="43"/>
      <c r="P1658" t="str" cm="1">
        <f t="array" ref="P1658">IFERROR(_xlfn.AGGREGATE(15,6,ROW(DB!A$2:A$2576)/((($D$3&lt;&gt;"YES")+($D$3="YES")*(DB!E$2:E$2576="YES"))*(($D$4="")+($D$4&lt;&gt;"")*( DB!B$2:B$2576=$D$4))*(($D$5="")+($D$5&lt;&gt;"")*( DB!C$2:C$2576=$D$5))*(($D$6="")+($D$6&lt;&gt;"")*( DB!D$2:D$2576=$D$6))*(($D$7="")+($D$7&lt;&gt;"")*(ISNUMBER(SEARCH($D$7,DB!G$2:G$2576))))*(($F$7="전체")+($F$7&lt;&gt;"전체")*(DB!H$2:H$2576=$F$7))),ROW()-13)-1,"")</f>
        <v/>
      </c>
      <c r="Q1658" t="str" cm="1">
        <f t="array" ref="Q1658">IFERROR(INDEX(DB!G$2:G$2576,P1658),"")</f>
        <v/>
      </c>
      <c r="R1658" t="str" cm="1">
        <f t="array" ref="R1658">IFERROR(INDEX(DB!O$2:O$2576,P1658),"")</f>
        <v/>
      </c>
      <c r="S1658" t="str">
        <f t="shared" si="78"/>
        <v/>
      </c>
      <c r="T1658" t="str">
        <f t="shared" si="79"/>
        <v/>
      </c>
    </row>
    <row r="1659" spans="1:20" ht="100" customHeight="1">
      <c r="A1659" s="26"/>
      <c r="B1659" s="42" t="str">
        <f t="shared" si="77"/>
        <v/>
      </c>
      <c r="C1659" s="43"/>
      <c r="D1659" s="51" t="str" cm="1">
        <f t="array" ref="D1659">IFERROR(INDEX(DB!G$2:G$2576,T1659),"")</f>
        <v/>
      </c>
      <c r="E1659" s="43"/>
      <c r="F1659" s="52" t="str" cm="1">
        <f t="array" ref="F1659">IFERROR(INDEX(DB!O$2:O$2576,T1659),"")</f>
        <v/>
      </c>
      <c r="G1659" s="43"/>
      <c r="H1659" s="40" t="str" cm="1">
        <f t="array" ref="H1659">IFERROR(INDEX(DB!P$2:P$2576,T1659),"")</f>
        <v/>
      </c>
      <c r="I1659" s="43"/>
      <c r="J1659" s="53" t="str" cm="1">
        <f t="array" ref="J1659">IFERROR(INDEX(DB!Q$2:Q$2576,T1659),"")</f>
        <v/>
      </c>
      <c r="K1659" s="43"/>
      <c r="L1659" s="41" t="str" cm="1">
        <f t="array" ref="L1659">IFERROR(INDEX(DB!R$2:R$2576,T1659),"")</f>
        <v/>
      </c>
      <c r="M1659" s="43"/>
      <c r="P1659" t="str" cm="1">
        <f t="array" ref="P1659">IFERROR(_xlfn.AGGREGATE(15,6,ROW(DB!A$2:A$2576)/((($D$3&lt;&gt;"YES")+($D$3="YES")*(DB!E$2:E$2576="YES"))*(($D$4="")+($D$4&lt;&gt;"")*( DB!B$2:B$2576=$D$4))*(($D$5="")+($D$5&lt;&gt;"")*( DB!C$2:C$2576=$D$5))*(($D$6="")+($D$6&lt;&gt;"")*( DB!D$2:D$2576=$D$6))*(($D$7="")+($D$7&lt;&gt;"")*(ISNUMBER(SEARCH($D$7,DB!G$2:G$2576))))*(($F$7="전체")+($F$7&lt;&gt;"전체")*(DB!H$2:H$2576=$F$7))),ROW()-13)-1,"")</f>
        <v/>
      </c>
      <c r="Q1659" t="str" cm="1">
        <f t="array" ref="Q1659">IFERROR(INDEX(DB!G$2:G$2576,P1659),"")</f>
        <v/>
      </c>
      <c r="R1659" t="str" cm="1">
        <f t="array" ref="R1659">IFERROR(INDEX(DB!O$2:O$2576,P1659),"")</f>
        <v/>
      </c>
      <c r="S1659" t="str">
        <f t="shared" si="78"/>
        <v/>
      </c>
      <c r="T1659" t="str">
        <f t="shared" si="79"/>
        <v/>
      </c>
    </row>
    <row r="1660" spans="1:20" ht="100" customHeight="1">
      <c r="A1660" s="26"/>
      <c r="B1660" s="39" t="str">
        <f t="shared" si="77"/>
        <v/>
      </c>
      <c r="C1660" s="43"/>
      <c r="D1660" s="51" t="str" cm="1">
        <f t="array" ref="D1660">IFERROR(INDEX(DB!G$2:G$2576,T1660),"")</f>
        <v/>
      </c>
      <c r="E1660" s="43"/>
      <c r="F1660" s="52" t="str" cm="1">
        <f t="array" ref="F1660">IFERROR(INDEX(DB!O$2:O$2576,T1660),"")</f>
        <v/>
      </c>
      <c r="G1660" s="43"/>
      <c r="H1660" s="40" t="str" cm="1">
        <f t="array" ref="H1660">IFERROR(INDEX(DB!P$2:P$2576,T1660),"")</f>
        <v/>
      </c>
      <c r="I1660" s="43"/>
      <c r="J1660" s="53" t="str" cm="1">
        <f t="array" ref="J1660">IFERROR(INDEX(DB!Q$2:Q$2576,T1660),"")</f>
        <v/>
      </c>
      <c r="K1660" s="43"/>
      <c r="L1660" s="41" t="str" cm="1">
        <f t="array" ref="L1660">IFERROR(INDEX(DB!R$2:R$2576,T1660),"")</f>
        <v/>
      </c>
      <c r="M1660" s="43"/>
      <c r="P1660" t="str" cm="1">
        <f t="array" ref="P1660">IFERROR(_xlfn.AGGREGATE(15,6,ROW(DB!A$2:A$2576)/((($D$3&lt;&gt;"YES")+($D$3="YES")*(DB!E$2:E$2576="YES"))*(($D$4="")+($D$4&lt;&gt;"")*( DB!B$2:B$2576=$D$4))*(($D$5="")+($D$5&lt;&gt;"")*( DB!C$2:C$2576=$D$5))*(($D$6="")+($D$6&lt;&gt;"")*( DB!D$2:D$2576=$D$6))*(($D$7="")+($D$7&lt;&gt;"")*(ISNUMBER(SEARCH($D$7,DB!G$2:G$2576))))*(($F$7="전체")+($F$7&lt;&gt;"전체")*(DB!H$2:H$2576=$F$7))),ROW()-13)-1,"")</f>
        <v/>
      </c>
      <c r="Q1660" t="str" cm="1">
        <f t="array" ref="Q1660">IFERROR(INDEX(DB!G$2:G$2576,P1660),"")</f>
        <v/>
      </c>
      <c r="R1660" t="str" cm="1">
        <f t="array" ref="R1660">IFERROR(INDEX(DB!O$2:O$2576,P1660),"")</f>
        <v/>
      </c>
      <c r="S1660" t="str">
        <f t="shared" si="78"/>
        <v/>
      </c>
      <c r="T1660" t="str">
        <f t="shared" si="79"/>
        <v/>
      </c>
    </row>
    <row r="1661" spans="1:20" ht="100" customHeight="1">
      <c r="A1661" s="26"/>
      <c r="B1661" s="42" t="str">
        <f t="shared" si="77"/>
        <v/>
      </c>
      <c r="C1661" s="43"/>
      <c r="D1661" s="51" t="str" cm="1">
        <f t="array" ref="D1661">IFERROR(INDEX(DB!G$2:G$2576,T1661),"")</f>
        <v/>
      </c>
      <c r="E1661" s="43"/>
      <c r="F1661" s="52" t="str" cm="1">
        <f t="array" ref="F1661">IFERROR(INDEX(DB!O$2:O$2576,T1661),"")</f>
        <v/>
      </c>
      <c r="G1661" s="43"/>
      <c r="H1661" s="40" t="str" cm="1">
        <f t="array" ref="H1661">IFERROR(INDEX(DB!P$2:P$2576,T1661),"")</f>
        <v/>
      </c>
      <c r="I1661" s="43"/>
      <c r="J1661" s="53" t="str" cm="1">
        <f t="array" ref="J1661">IFERROR(INDEX(DB!Q$2:Q$2576,T1661),"")</f>
        <v/>
      </c>
      <c r="K1661" s="43"/>
      <c r="L1661" s="41" t="str" cm="1">
        <f t="array" ref="L1661">IFERROR(INDEX(DB!R$2:R$2576,T1661),"")</f>
        <v/>
      </c>
      <c r="M1661" s="43"/>
      <c r="P1661" t="str" cm="1">
        <f t="array" ref="P1661">IFERROR(_xlfn.AGGREGATE(15,6,ROW(DB!A$2:A$2576)/((($D$3&lt;&gt;"YES")+($D$3="YES")*(DB!E$2:E$2576="YES"))*(($D$4="")+($D$4&lt;&gt;"")*( DB!B$2:B$2576=$D$4))*(($D$5="")+($D$5&lt;&gt;"")*( DB!C$2:C$2576=$D$5))*(($D$6="")+($D$6&lt;&gt;"")*( DB!D$2:D$2576=$D$6))*(($D$7="")+($D$7&lt;&gt;"")*(ISNUMBER(SEARCH($D$7,DB!G$2:G$2576))))*(($F$7="전체")+($F$7&lt;&gt;"전체")*(DB!H$2:H$2576=$F$7))),ROW()-13)-1,"")</f>
        <v/>
      </c>
      <c r="Q1661" t="str" cm="1">
        <f t="array" ref="Q1661">IFERROR(INDEX(DB!G$2:G$2576,P1661),"")</f>
        <v/>
      </c>
      <c r="R1661" t="str" cm="1">
        <f t="array" ref="R1661">IFERROR(INDEX(DB!O$2:O$2576,P1661),"")</f>
        <v/>
      </c>
      <c r="S1661" t="str">
        <f t="shared" si="78"/>
        <v/>
      </c>
      <c r="T1661" t="str">
        <f t="shared" si="79"/>
        <v/>
      </c>
    </row>
    <row r="1662" spans="1:20" ht="100" customHeight="1">
      <c r="A1662" s="26"/>
      <c r="B1662" s="39" t="str">
        <f t="shared" si="77"/>
        <v/>
      </c>
      <c r="C1662" s="43"/>
      <c r="D1662" s="51" t="str" cm="1">
        <f t="array" ref="D1662">IFERROR(INDEX(DB!G$2:G$2576,T1662),"")</f>
        <v/>
      </c>
      <c r="E1662" s="43"/>
      <c r="F1662" s="52" t="str" cm="1">
        <f t="array" ref="F1662">IFERROR(INDEX(DB!O$2:O$2576,T1662),"")</f>
        <v/>
      </c>
      <c r="G1662" s="43"/>
      <c r="H1662" s="40" t="str" cm="1">
        <f t="array" ref="H1662">IFERROR(INDEX(DB!P$2:P$2576,T1662),"")</f>
        <v/>
      </c>
      <c r="I1662" s="43"/>
      <c r="J1662" s="53" t="str" cm="1">
        <f t="array" ref="J1662">IFERROR(INDEX(DB!Q$2:Q$2576,T1662),"")</f>
        <v/>
      </c>
      <c r="K1662" s="43"/>
      <c r="L1662" s="41" t="str" cm="1">
        <f t="array" ref="L1662">IFERROR(INDEX(DB!R$2:R$2576,T1662),"")</f>
        <v/>
      </c>
      <c r="M1662" s="43"/>
      <c r="P1662" t="str" cm="1">
        <f t="array" ref="P1662">IFERROR(_xlfn.AGGREGATE(15,6,ROW(DB!A$2:A$2576)/((($D$3&lt;&gt;"YES")+($D$3="YES")*(DB!E$2:E$2576="YES"))*(($D$4="")+($D$4&lt;&gt;"")*( DB!B$2:B$2576=$D$4))*(($D$5="")+($D$5&lt;&gt;"")*( DB!C$2:C$2576=$D$5))*(($D$6="")+($D$6&lt;&gt;"")*( DB!D$2:D$2576=$D$6))*(($D$7="")+($D$7&lt;&gt;"")*(ISNUMBER(SEARCH($D$7,DB!G$2:G$2576))))*(($F$7="전체")+($F$7&lt;&gt;"전체")*(DB!H$2:H$2576=$F$7))),ROW()-13)-1,"")</f>
        <v/>
      </c>
      <c r="Q1662" t="str" cm="1">
        <f t="array" ref="Q1662">IFERROR(INDEX(DB!G$2:G$2576,P1662),"")</f>
        <v/>
      </c>
      <c r="R1662" t="str" cm="1">
        <f t="array" ref="R1662">IFERROR(INDEX(DB!O$2:O$2576,P1662),"")</f>
        <v/>
      </c>
      <c r="S1662" t="str">
        <f t="shared" si="78"/>
        <v/>
      </c>
      <c r="T1662" t="str">
        <f t="shared" si="79"/>
        <v/>
      </c>
    </row>
    <row r="1663" spans="1:20" ht="100" customHeight="1">
      <c r="A1663" s="26"/>
      <c r="B1663" s="42" t="str">
        <f t="shared" si="77"/>
        <v/>
      </c>
      <c r="C1663" s="43"/>
      <c r="D1663" s="51" t="str" cm="1">
        <f t="array" ref="D1663">IFERROR(INDEX(DB!G$2:G$2576,T1663),"")</f>
        <v/>
      </c>
      <c r="E1663" s="43"/>
      <c r="F1663" s="52" t="str" cm="1">
        <f t="array" ref="F1663">IFERROR(INDEX(DB!O$2:O$2576,T1663),"")</f>
        <v/>
      </c>
      <c r="G1663" s="43"/>
      <c r="H1663" s="40" t="str" cm="1">
        <f t="array" ref="H1663">IFERROR(INDEX(DB!P$2:P$2576,T1663),"")</f>
        <v/>
      </c>
      <c r="I1663" s="43"/>
      <c r="J1663" s="53" t="str" cm="1">
        <f t="array" ref="J1663">IFERROR(INDEX(DB!Q$2:Q$2576,T1663),"")</f>
        <v/>
      </c>
      <c r="K1663" s="43"/>
      <c r="L1663" s="41" t="str" cm="1">
        <f t="array" ref="L1663">IFERROR(INDEX(DB!R$2:R$2576,T1663),"")</f>
        <v/>
      </c>
      <c r="M1663" s="43"/>
      <c r="P1663" t="str" cm="1">
        <f t="array" ref="P1663">IFERROR(_xlfn.AGGREGATE(15,6,ROW(DB!A$2:A$2576)/((($D$3&lt;&gt;"YES")+($D$3="YES")*(DB!E$2:E$2576="YES"))*(($D$4="")+($D$4&lt;&gt;"")*( DB!B$2:B$2576=$D$4))*(($D$5="")+($D$5&lt;&gt;"")*( DB!C$2:C$2576=$D$5))*(($D$6="")+($D$6&lt;&gt;"")*( DB!D$2:D$2576=$D$6))*(($D$7="")+($D$7&lt;&gt;"")*(ISNUMBER(SEARCH($D$7,DB!G$2:G$2576))))*(($F$7="전체")+($F$7&lt;&gt;"전체")*(DB!H$2:H$2576=$F$7))),ROW()-13)-1,"")</f>
        <v/>
      </c>
      <c r="Q1663" t="str" cm="1">
        <f t="array" ref="Q1663">IFERROR(INDEX(DB!G$2:G$2576,P1663),"")</f>
        <v/>
      </c>
      <c r="R1663" t="str" cm="1">
        <f t="array" ref="R1663">IFERROR(INDEX(DB!O$2:O$2576,P1663),"")</f>
        <v/>
      </c>
      <c r="S1663" t="str">
        <f t="shared" si="78"/>
        <v/>
      </c>
      <c r="T1663" t="str">
        <f t="shared" si="79"/>
        <v/>
      </c>
    </row>
    <row r="1664" spans="1:20" ht="100" customHeight="1">
      <c r="A1664" s="26"/>
      <c r="B1664" s="39" t="str">
        <f t="shared" si="77"/>
        <v/>
      </c>
      <c r="C1664" s="43"/>
      <c r="D1664" s="51" t="str" cm="1">
        <f t="array" ref="D1664">IFERROR(INDEX(DB!G$2:G$2576,T1664),"")</f>
        <v/>
      </c>
      <c r="E1664" s="43"/>
      <c r="F1664" s="52" t="str" cm="1">
        <f t="array" ref="F1664">IFERROR(INDEX(DB!O$2:O$2576,T1664),"")</f>
        <v/>
      </c>
      <c r="G1664" s="43"/>
      <c r="H1664" s="40" t="str" cm="1">
        <f t="array" ref="H1664">IFERROR(INDEX(DB!P$2:P$2576,T1664),"")</f>
        <v/>
      </c>
      <c r="I1664" s="43"/>
      <c r="J1664" s="53" t="str" cm="1">
        <f t="array" ref="J1664">IFERROR(INDEX(DB!Q$2:Q$2576,T1664),"")</f>
        <v/>
      </c>
      <c r="K1664" s="43"/>
      <c r="L1664" s="41" t="str" cm="1">
        <f t="array" ref="L1664">IFERROR(INDEX(DB!R$2:R$2576,T1664),"")</f>
        <v/>
      </c>
      <c r="M1664" s="43"/>
      <c r="P1664" t="str" cm="1">
        <f t="array" ref="P1664">IFERROR(_xlfn.AGGREGATE(15,6,ROW(DB!A$2:A$2576)/((($D$3&lt;&gt;"YES")+($D$3="YES")*(DB!E$2:E$2576="YES"))*(($D$4="")+($D$4&lt;&gt;"")*( DB!B$2:B$2576=$D$4))*(($D$5="")+($D$5&lt;&gt;"")*( DB!C$2:C$2576=$D$5))*(($D$6="")+($D$6&lt;&gt;"")*( DB!D$2:D$2576=$D$6))*(($D$7="")+($D$7&lt;&gt;"")*(ISNUMBER(SEARCH($D$7,DB!G$2:G$2576))))*(($F$7="전체")+($F$7&lt;&gt;"전체")*(DB!H$2:H$2576=$F$7))),ROW()-13)-1,"")</f>
        <v/>
      </c>
      <c r="Q1664" t="str" cm="1">
        <f t="array" ref="Q1664">IFERROR(INDEX(DB!G$2:G$2576,P1664),"")</f>
        <v/>
      </c>
      <c r="R1664" t="str" cm="1">
        <f t="array" ref="R1664">IFERROR(INDEX(DB!O$2:O$2576,P1664),"")</f>
        <v/>
      </c>
      <c r="S1664" t="str">
        <f t="shared" si="78"/>
        <v/>
      </c>
      <c r="T1664" t="str">
        <f t="shared" si="79"/>
        <v/>
      </c>
    </row>
    <row r="1665" spans="1:20" ht="100" customHeight="1">
      <c r="A1665" s="26"/>
      <c r="B1665" s="42" t="str">
        <f t="shared" si="77"/>
        <v/>
      </c>
      <c r="C1665" s="43"/>
      <c r="D1665" s="51" t="str" cm="1">
        <f t="array" ref="D1665">IFERROR(INDEX(DB!G$2:G$2576,T1665),"")</f>
        <v/>
      </c>
      <c r="E1665" s="43"/>
      <c r="F1665" s="52" t="str" cm="1">
        <f t="array" ref="F1665">IFERROR(INDEX(DB!O$2:O$2576,T1665),"")</f>
        <v/>
      </c>
      <c r="G1665" s="43"/>
      <c r="H1665" s="40" t="str" cm="1">
        <f t="array" ref="H1665">IFERROR(INDEX(DB!P$2:P$2576,T1665),"")</f>
        <v/>
      </c>
      <c r="I1665" s="43"/>
      <c r="J1665" s="53" t="str" cm="1">
        <f t="array" ref="J1665">IFERROR(INDEX(DB!Q$2:Q$2576,T1665),"")</f>
        <v/>
      </c>
      <c r="K1665" s="43"/>
      <c r="L1665" s="41" t="str" cm="1">
        <f t="array" ref="L1665">IFERROR(INDEX(DB!R$2:R$2576,T1665),"")</f>
        <v/>
      </c>
      <c r="M1665" s="43"/>
      <c r="P1665" t="str" cm="1">
        <f t="array" ref="P1665">IFERROR(_xlfn.AGGREGATE(15,6,ROW(DB!A$2:A$2576)/((($D$3&lt;&gt;"YES")+($D$3="YES")*(DB!E$2:E$2576="YES"))*(($D$4="")+($D$4&lt;&gt;"")*( DB!B$2:B$2576=$D$4))*(($D$5="")+($D$5&lt;&gt;"")*( DB!C$2:C$2576=$D$5))*(($D$6="")+($D$6&lt;&gt;"")*( DB!D$2:D$2576=$D$6))*(($D$7="")+($D$7&lt;&gt;"")*(ISNUMBER(SEARCH($D$7,DB!G$2:G$2576))))*(($F$7="전체")+($F$7&lt;&gt;"전체")*(DB!H$2:H$2576=$F$7))),ROW()-13)-1,"")</f>
        <v/>
      </c>
      <c r="Q1665" t="str" cm="1">
        <f t="array" ref="Q1665">IFERROR(INDEX(DB!G$2:G$2576,P1665),"")</f>
        <v/>
      </c>
      <c r="R1665" t="str" cm="1">
        <f t="array" ref="R1665">IFERROR(INDEX(DB!O$2:O$2576,P1665),"")</f>
        <v/>
      </c>
      <c r="S1665" t="str">
        <f t="shared" si="78"/>
        <v/>
      </c>
      <c r="T1665" t="str">
        <f t="shared" si="79"/>
        <v/>
      </c>
    </row>
    <row r="1666" spans="1:20" ht="100" customHeight="1">
      <c r="A1666" s="26"/>
      <c r="B1666" s="39" t="str">
        <f t="shared" si="77"/>
        <v/>
      </c>
      <c r="C1666" s="43"/>
      <c r="D1666" s="51" t="str" cm="1">
        <f t="array" ref="D1666">IFERROR(INDEX(DB!G$2:G$2576,T1666),"")</f>
        <v/>
      </c>
      <c r="E1666" s="43"/>
      <c r="F1666" s="52" t="str" cm="1">
        <f t="array" ref="F1666">IFERROR(INDEX(DB!O$2:O$2576,T1666),"")</f>
        <v/>
      </c>
      <c r="G1666" s="43"/>
      <c r="H1666" s="40" t="str" cm="1">
        <f t="array" ref="H1666">IFERROR(INDEX(DB!P$2:P$2576,T1666),"")</f>
        <v/>
      </c>
      <c r="I1666" s="43"/>
      <c r="J1666" s="53" t="str" cm="1">
        <f t="array" ref="J1666">IFERROR(INDEX(DB!Q$2:Q$2576,T1666),"")</f>
        <v/>
      </c>
      <c r="K1666" s="43"/>
      <c r="L1666" s="41" t="str" cm="1">
        <f t="array" ref="L1666">IFERROR(INDEX(DB!R$2:R$2576,T1666),"")</f>
        <v/>
      </c>
      <c r="M1666" s="43"/>
      <c r="P1666" t="str" cm="1">
        <f t="array" ref="P1666">IFERROR(_xlfn.AGGREGATE(15,6,ROW(DB!A$2:A$2576)/((($D$3&lt;&gt;"YES")+($D$3="YES")*(DB!E$2:E$2576="YES"))*(($D$4="")+($D$4&lt;&gt;"")*( DB!B$2:B$2576=$D$4))*(($D$5="")+($D$5&lt;&gt;"")*( DB!C$2:C$2576=$D$5))*(($D$6="")+($D$6&lt;&gt;"")*( DB!D$2:D$2576=$D$6))*(($D$7="")+($D$7&lt;&gt;"")*(ISNUMBER(SEARCH($D$7,DB!G$2:G$2576))))*(($F$7="전체")+($F$7&lt;&gt;"전체")*(DB!H$2:H$2576=$F$7))),ROW()-13)-1,"")</f>
        <v/>
      </c>
      <c r="Q1666" t="str" cm="1">
        <f t="array" ref="Q1666">IFERROR(INDEX(DB!G$2:G$2576,P1666),"")</f>
        <v/>
      </c>
      <c r="R1666" t="str" cm="1">
        <f t="array" ref="R1666">IFERROR(INDEX(DB!O$2:O$2576,P1666),"")</f>
        <v/>
      </c>
      <c r="S1666" t="str">
        <f t="shared" si="78"/>
        <v/>
      </c>
      <c r="T1666" t="str">
        <f t="shared" si="79"/>
        <v/>
      </c>
    </row>
    <row r="1667" spans="1:20" ht="100" customHeight="1">
      <c r="A1667" s="26"/>
      <c r="B1667" s="42" t="str">
        <f t="shared" si="77"/>
        <v/>
      </c>
      <c r="C1667" s="43"/>
      <c r="D1667" s="51" t="str" cm="1">
        <f t="array" ref="D1667">IFERROR(INDEX(DB!G$2:G$2576,T1667),"")</f>
        <v/>
      </c>
      <c r="E1667" s="43"/>
      <c r="F1667" s="52" t="str" cm="1">
        <f t="array" ref="F1667">IFERROR(INDEX(DB!O$2:O$2576,T1667),"")</f>
        <v/>
      </c>
      <c r="G1667" s="43"/>
      <c r="H1667" s="40" t="str" cm="1">
        <f t="array" ref="H1667">IFERROR(INDEX(DB!P$2:P$2576,T1667),"")</f>
        <v/>
      </c>
      <c r="I1667" s="43"/>
      <c r="J1667" s="53" t="str" cm="1">
        <f t="array" ref="J1667">IFERROR(INDEX(DB!Q$2:Q$2576,T1667),"")</f>
        <v/>
      </c>
      <c r="K1667" s="43"/>
      <c r="L1667" s="41" t="str" cm="1">
        <f t="array" ref="L1667">IFERROR(INDEX(DB!R$2:R$2576,T1667),"")</f>
        <v/>
      </c>
      <c r="M1667" s="43"/>
      <c r="P1667" t="str" cm="1">
        <f t="array" ref="P1667">IFERROR(_xlfn.AGGREGATE(15,6,ROW(DB!A$2:A$2576)/((($D$3&lt;&gt;"YES")+($D$3="YES")*(DB!E$2:E$2576="YES"))*(($D$4="")+($D$4&lt;&gt;"")*( DB!B$2:B$2576=$D$4))*(($D$5="")+($D$5&lt;&gt;"")*( DB!C$2:C$2576=$D$5))*(($D$6="")+($D$6&lt;&gt;"")*( DB!D$2:D$2576=$D$6))*(($D$7="")+($D$7&lt;&gt;"")*(ISNUMBER(SEARCH($D$7,DB!G$2:G$2576))))*(($F$7="전체")+($F$7&lt;&gt;"전체")*(DB!H$2:H$2576=$F$7))),ROW()-13)-1,"")</f>
        <v/>
      </c>
      <c r="Q1667" t="str" cm="1">
        <f t="array" ref="Q1667">IFERROR(INDEX(DB!G$2:G$2576,P1667),"")</f>
        <v/>
      </c>
      <c r="R1667" t="str" cm="1">
        <f t="array" ref="R1667">IFERROR(INDEX(DB!O$2:O$2576,P1667),"")</f>
        <v/>
      </c>
      <c r="S1667" t="str">
        <f t="shared" si="78"/>
        <v/>
      </c>
      <c r="T1667" t="str">
        <f t="shared" si="79"/>
        <v/>
      </c>
    </row>
    <row r="1668" spans="1:20" ht="100" customHeight="1">
      <c r="A1668" s="26"/>
      <c r="B1668" s="39" t="str">
        <f t="shared" si="77"/>
        <v/>
      </c>
      <c r="C1668" s="43"/>
      <c r="D1668" s="51" t="str" cm="1">
        <f t="array" ref="D1668">IFERROR(INDEX(DB!G$2:G$2576,T1668),"")</f>
        <v/>
      </c>
      <c r="E1668" s="43"/>
      <c r="F1668" s="52" t="str" cm="1">
        <f t="array" ref="F1668">IFERROR(INDEX(DB!O$2:O$2576,T1668),"")</f>
        <v/>
      </c>
      <c r="G1668" s="43"/>
      <c r="H1668" s="40" t="str" cm="1">
        <f t="array" ref="H1668">IFERROR(INDEX(DB!P$2:P$2576,T1668),"")</f>
        <v/>
      </c>
      <c r="I1668" s="43"/>
      <c r="J1668" s="53" t="str" cm="1">
        <f t="array" ref="J1668">IFERROR(INDEX(DB!Q$2:Q$2576,T1668),"")</f>
        <v/>
      </c>
      <c r="K1668" s="43"/>
      <c r="L1668" s="41" t="str" cm="1">
        <f t="array" ref="L1668">IFERROR(INDEX(DB!R$2:R$2576,T1668),"")</f>
        <v/>
      </c>
      <c r="M1668" s="43"/>
      <c r="P1668" t="str" cm="1">
        <f t="array" ref="P1668">IFERROR(_xlfn.AGGREGATE(15,6,ROW(DB!A$2:A$2576)/((($D$3&lt;&gt;"YES")+($D$3="YES")*(DB!E$2:E$2576="YES"))*(($D$4="")+($D$4&lt;&gt;"")*( DB!B$2:B$2576=$D$4))*(($D$5="")+($D$5&lt;&gt;"")*( DB!C$2:C$2576=$D$5))*(($D$6="")+($D$6&lt;&gt;"")*( DB!D$2:D$2576=$D$6))*(($D$7="")+($D$7&lt;&gt;"")*(ISNUMBER(SEARCH($D$7,DB!G$2:G$2576))))*(($F$7="전체")+($F$7&lt;&gt;"전체")*(DB!H$2:H$2576=$F$7))),ROW()-13)-1,"")</f>
        <v/>
      </c>
      <c r="Q1668" t="str" cm="1">
        <f t="array" ref="Q1668">IFERROR(INDEX(DB!G$2:G$2576,P1668),"")</f>
        <v/>
      </c>
      <c r="R1668" t="str" cm="1">
        <f t="array" ref="R1668">IFERROR(INDEX(DB!O$2:O$2576,P1668),"")</f>
        <v/>
      </c>
      <c r="S1668" t="str">
        <f t="shared" si="78"/>
        <v/>
      </c>
      <c r="T1668" t="str">
        <f t="shared" si="79"/>
        <v/>
      </c>
    </row>
    <row r="1669" spans="1:20" ht="100" customHeight="1">
      <c r="A1669" s="26"/>
      <c r="B1669" s="42" t="str">
        <f t="shared" si="77"/>
        <v/>
      </c>
      <c r="C1669" s="43"/>
      <c r="D1669" s="51" t="str" cm="1">
        <f t="array" ref="D1669">IFERROR(INDEX(DB!G$2:G$2576,T1669),"")</f>
        <v/>
      </c>
      <c r="E1669" s="43"/>
      <c r="F1669" s="52" t="str" cm="1">
        <f t="array" ref="F1669">IFERROR(INDEX(DB!O$2:O$2576,T1669),"")</f>
        <v/>
      </c>
      <c r="G1669" s="43"/>
      <c r="H1669" s="40" t="str" cm="1">
        <f t="array" ref="H1669">IFERROR(INDEX(DB!P$2:P$2576,T1669),"")</f>
        <v/>
      </c>
      <c r="I1669" s="43"/>
      <c r="J1669" s="53" t="str" cm="1">
        <f t="array" ref="J1669">IFERROR(INDEX(DB!Q$2:Q$2576,T1669),"")</f>
        <v/>
      </c>
      <c r="K1669" s="43"/>
      <c r="L1669" s="41" t="str" cm="1">
        <f t="array" ref="L1669">IFERROR(INDEX(DB!R$2:R$2576,T1669),"")</f>
        <v/>
      </c>
      <c r="M1669" s="43"/>
      <c r="P1669" t="str" cm="1">
        <f t="array" ref="P1669">IFERROR(_xlfn.AGGREGATE(15,6,ROW(DB!A$2:A$2576)/((($D$3&lt;&gt;"YES")+($D$3="YES")*(DB!E$2:E$2576="YES"))*(($D$4="")+($D$4&lt;&gt;"")*( DB!B$2:B$2576=$D$4))*(($D$5="")+($D$5&lt;&gt;"")*( DB!C$2:C$2576=$D$5))*(($D$6="")+($D$6&lt;&gt;"")*( DB!D$2:D$2576=$D$6))*(($D$7="")+($D$7&lt;&gt;"")*(ISNUMBER(SEARCH($D$7,DB!G$2:G$2576))))*(($F$7="전체")+($F$7&lt;&gt;"전체")*(DB!H$2:H$2576=$F$7))),ROW()-13)-1,"")</f>
        <v/>
      </c>
      <c r="Q1669" t="str" cm="1">
        <f t="array" ref="Q1669">IFERROR(INDEX(DB!G$2:G$2576,P1669),"")</f>
        <v/>
      </c>
      <c r="R1669" t="str" cm="1">
        <f t="array" ref="R1669">IFERROR(INDEX(DB!O$2:O$2576,P1669),"")</f>
        <v/>
      </c>
      <c r="S1669" t="str">
        <f t="shared" si="78"/>
        <v/>
      </c>
      <c r="T1669" t="str">
        <f t="shared" si="79"/>
        <v/>
      </c>
    </row>
    <row r="1670" spans="1:20" ht="100" customHeight="1">
      <c r="A1670" s="26"/>
      <c r="B1670" s="39" t="str">
        <f t="shared" si="77"/>
        <v/>
      </c>
      <c r="C1670" s="43"/>
      <c r="D1670" s="51" t="str" cm="1">
        <f t="array" ref="D1670">IFERROR(INDEX(DB!G$2:G$2576,T1670),"")</f>
        <v/>
      </c>
      <c r="E1670" s="43"/>
      <c r="F1670" s="52" t="str" cm="1">
        <f t="array" ref="F1670">IFERROR(INDEX(DB!O$2:O$2576,T1670),"")</f>
        <v/>
      </c>
      <c r="G1670" s="43"/>
      <c r="H1670" s="40" t="str" cm="1">
        <f t="array" ref="H1670">IFERROR(INDEX(DB!P$2:P$2576,T1670),"")</f>
        <v/>
      </c>
      <c r="I1670" s="43"/>
      <c r="J1670" s="53" t="str" cm="1">
        <f t="array" ref="J1670">IFERROR(INDEX(DB!Q$2:Q$2576,T1670),"")</f>
        <v/>
      </c>
      <c r="K1670" s="43"/>
      <c r="L1670" s="41" t="str" cm="1">
        <f t="array" ref="L1670">IFERROR(INDEX(DB!R$2:R$2576,T1670),"")</f>
        <v/>
      </c>
      <c r="M1670" s="43"/>
      <c r="P1670" t="str" cm="1">
        <f t="array" ref="P1670">IFERROR(_xlfn.AGGREGATE(15,6,ROW(DB!A$2:A$2576)/((($D$3&lt;&gt;"YES")+($D$3="YES")*(DB!E$2:E$2576="YES"))*(($D$4="")+($D$4&lt;&gt;"")*( DB!B$2:B$2576=$D$4))*(($D$5="")+($D$5&lt;&gt;"")*( DB!C$2:C$2576=$D$5))*(($D$6="")+($D$6&lt;&gt;"")*( DB!D$2:D$2576=$D$6))*(($D$7="")+($D$7&lt;&gt;"")*(ISNUMBER(SEARCH($D$7,DB!G$2:G$2576))))*(($F$7="전체")+($F$7&lt;&gt;"전체")*(DB!H$2:H$2576=$F$7))),ROW()-13)-1,"")</f>
        <v/>
      </c>
      <c r="Q1670" t="str" cm="1">
        <f t="array" ref="Q1670">IFERROR(INDEX(DB!G$2:G$2576,P1670),"")</f>
        <v/>
      </c>
      <c r="R1670" t="str" cm="1">
        <f t="array" ref="R1670">IFERROR(INDEX(DB!O$2:O$2576,P1670),"")</f>
        <v/>
      </c>
      <c r="S1670" t="str">
        <f t="shared" si="78"/>
        <v/>
      </c>
      <c r="T1670" t="str">
        <f t="shared" si="79"/>
        <v/>
      </c>
    </row>
    <row r="1671" spans="1:20" ht="100" customHeight="1">
      <c r="A1671" s="26"/>
      <c r="B1671" s="42" t="str">
        <f t="shared" si="77"/>
        <v/>
      </c>
      <c r="C1671" s="43"/>
      <c r="D1671" s="51" t="str" cm="1">
        <f t="array" ref="D1671">IFERROR(INDEX(DB!G$2:G$2576,T1671),"")</f>
        <v/>
      </c>
      <c r="E1671" s="43"/>
      <c r="F1671" s="52" t="str" cm="1">
        <f t="array" ref="F1671">IFERROR(INDEX(DB!O$2:O$2576,T1671),"")</f>
        <v/>
      </c>
      <c r="G1671" s="43"/>
      <c r="H1671" s="40" t="str" cm="1">
        <f t="array" ref="H1671">IFERROR(INDEX(DB!P$2:P$2576,T1671),"")</f>
        <v/>
      </c>
      <c r="I1671" s="43"/>
      <c r="J1671" s="53" t="str" cm="1">
        <f t="array" ref="J1671">IFERROR(INDEX(DB!Q$2:Q$2576,T1671),"")</f>
        <v/>
      </c>
      <c r="K1671" s="43"/>
      <c r="L1671" s="41" t="str" cm="1">
        <f t="array" ref="L1671">IFERROR(INDEX(DB!R$2:R$2576,T1671),"")</f>
        <v/>
      </c>
      <c r="M1671" s="43"/>
      <c r="P1671" t="str" cm="1">
        <f t="array" ref="P1671">IFERROR(_xlfn.AGGREGATE(15,6,ROW(DB!A$2:A$2576)/((($D$3&lt;&gt;"YES")+($D$3="YES")*(DB!E$2:E$2576="YES"))*(($D$4="")+($D$4&lt;&gt;"")*( DB!B$2:B$2576=$D$4))*(($D$5="")+($D$5&lt;&gt;"")*( DB!C$2:C$2576=$D$5))*(($D$6="")+($D$6&lt;&gt;"")*( DB!D$2:D$2576=$D$6))*(($D$7="")+($D$7&lt;&gt;"")*(ISNUMBER(SEARCH($D$7,DB!G$2:G$2576))))*(($F$7="전체")+($F$7&lt;&gt;"전체")*(DB!H$2:H$2576=$F$7))),ROW()-13)-1,"")</f>
        <v/>
      </c>
      <c r="Q1671" t="str" cm="1">
        <f t="array" ref="Q1671">IFERROR(INDEX(DB!G$2:G$2576,P1671),"")</f>
        <v/>
      </c>
      <c r="R1671" t="str" cm="1">
        <f t="array" ref="R1671">IFERROR(INDEX(DB!O$2:O$2576,P1671),"")</f>
        <v/>
      </c>
      <c r="S1671" t="str">
        <f t="shared" si="78"/>
        <v/>
      </c>
      <c r="T1671" t="str">
        <f t="shared" si="79"/>
        <v/>
      </c>
    </row>
    <row r="1672" spans="1:20" ht="100" customHeight="1">
      <c r="A1672" s="26"/>
      <c r="B1672" s="39" t="str">
        <f t="shared" si="77"/>
        <v/>
      </c>
      <c r="C1672" s="43"/>
      <c r="D1672" s="51" t="str" cm="1">
        <f t="array" ref="D1672">IFERROR(INDEX(DB!G$2:G$2576,T1672),"")</f>
        <v/>
      </c>
      <c r="E1672" s="43"/>
      <c r="F1672" s="52" t="str" cm="1">
        <f t="array" ref="F1672">IFERROR(INDEX(DB!O$2:O$2576,T1672),"")</f>
        <v/>
      </c>
      <c r="G1672" s="43"/>
      <c r="H1672" s="40" t="str" cm="1">
        <f t="array" ref="H1672">IFERROR(INDEX(DB!P$2:P$2576,T1672),"")</f>
        <v/>
      </c>
      <c r="I1672" s="43"/>
      <c r="J1672" s="53" t="str" cm="1">
        <f t="array" ref="J1672">IFERROR(INDEX(DB!Q$2:Q$2576,T1672),"")</f>
        <v/>
      </c>
      <c r="K1672" s="43"/>
      <c r="L1672" s="41" t="str" cm="1">
        <f t="array" ref="L1672">IFERROR(INDEX(DB!R$2:R$2576,T1672),"")</f>
        <v/>
      </c>
      <c r="M1672" s="43"/>
      <c r="P1672" t="str" cm="1">
        <f t="array" ref="P1672">IFERROR(_xlfn.AGGREGATE(15,6,ROW(DB!A$2:A$2576)/((($D$3&lt;&gt;"YES")+($D$3="YES")*(DB!E$2:E$2576="YES"))*(($D$4="")+($D$4&lt;&gt;"")*( DB!B$2:B$2576=$D$4))*(($D$5="")+($D$5&lt;&gt;"")*( DB!C$2:C$2576=$D$5))*(($D$6="")+($D$6&lt;&gt;"")*( DB!D$2:D$2576=$D$6))*(($D$7="")+($D$7&lt;&gt;"")*(ISNUMBER(SEARCH($D$7,DB!G$2:G$2576))))*(($F$7="전체")+($F$7&lt;&gt;"전체")*(DB!H$2:H$2576=$F$7))),ROW()-13)-1,"")</f>
        <v/>
      </c>
      <c r="Q1672" t="str" cm="1">
        <f t="array" ref="Q1672">IFERROR(INDEX(DB!G$2:G$2576,P1672),"")</f>
        <v/>
      </c>
      <c r="R1672" t="str" cm="1">
        <f t="array" ref="R1672">IFERROR(INDEX(DB!O$2:O$2576,P1672),"")</f>
        <v/>
      </c>
      <c r="S1672" t="str">
        <f t="shared" si="78"/>
        <v/>
      </c>
      <c r="T1672" t="str">
        <f t="shared" si="79"/>
        <v/>
      </c>
    </row>
    <row r="1673" spans="1:20" ht="100" customHeight="1">
      <c r="A1673" s="26"/>
      <c r="B1673" s="42" t="str">
        <f t="shared" si="77"/>
        <v/>
      </c>
      <c r="C1673" s="43"/>
      <c r="D1673" s="51" t="str" cm="1">
        <f t="array" ref="D1673">IFERROR(INDEX(DB!G$2:G$2576,T1673),"")</f>
        <v/>
      </c>
      <c r="E1673" s="43"/>
      <c r="F1673" s="52" t="str" cm="1">
        <f t="array" ref="F1673">IFERROR(INDEX(DB!O$2:O$2576,T1673),"")</f>
        <v/>
      </c>
      <c r="G1673" s="43"/>
      <c r="H1673" s="40" t="str" cm="1">
        <f t="array" ref="H1673">IFERROR(INDEX(DB!P$2:P$2576,T1673),"")</f>
        <v/>
      </c>
      <c r="I1673" s="43"/>
      <c r="J1673" s="53" t="str" cm="1">
        <f t="array" ref="J1673">IFERROR(INDEX(DB!Q$2:Q$2576,T1673),"")</f>
        <v/>
      </c>
      <c r="K1673" s="43"/>
      <c r="L1673" s="41" t="str" cm="1">
        <f t="array" ref="L1673">IFERROR(INDEX(DB!R$2:R$2576,T1673),"")</f>
        <v/>
      </c>
      <c r="M1673" s="43"/>
      <c r="P1673" t="str" cm="1">
        <f t="array" ref="P1673">IFERROR(_xlfn.AGGREGATE(15,6,ROW(DB!A$2:A$2576)/((($D$3&lt;&gt;"YES")+($D$3="YES")*(DB!E$2:E$2576="YES"))*(($D$4="")+($D$4&lt;&gt;"")*( DB!B$2:B$2576=$D$4))*(($D$5="")+($D$5&lt;&gt;"")*( DB!C$2:C$2576=$D$5))*(($D$6="")+($D$6&lt;&gt;"")*( DB!D$2:D$2576=$D$6))*(($D$7="")+($D$7&lt;&gt;"")*(ISNUMBER(SEARCH($D$7,DB!G$2:G$2576))))*(($F$7="전체")+($F$7&lt;&gt;"전체")*(DB!H$2:H$2576=$F$7))),ROW()-13)-1,"")</f>
        <v/>
      </c>
      <c r="Q1673" t="str" cm="1">
        <f t="array" ref="Q1673">IFERROR(INDEX(DB!G$2:G$2576,P1673),"")</f>
        <v/>
      </c>
      <c r="R1673" t="str" cm="1">
        <f t="array" ref="R1673">IFERROR(INDEX(DB!O$2:O$2576,P1673),"")</f>
        <v/>
      </c>
      <c r="S1673" t="str">
        <f t="shared" si="78"/>
        <v/>
      </c>
      <c r="T1673" t="str">
        <f t="shared" si="79"/>
        <v/>
      </c>
    </row>
    <row r="1674" spans="1:20" ht="100" customHeight="1">
      <c r="A1674" s="26"/>
      <c r="B1674" s="39" t="str">
        <f t="shared" si="77"/>
        <v/>
      </c>
      <c r="C1674" s="43"/>
      <c r="D1674" s="51" t="str" cm="1">
        <f t="array" ref="D1674">IFERROR(INDEX(DB!G$2:G$2576,T1674),"")</f>
        <v/>
      </c>
      <c r="E1674" s="43"/>
      <c r="F1674" s="52" t="str" cm="1">
        <f t="array" ref="F1674">IFERROR(INDEX(DB!O$2:O$2576,T1674),"")</f>
        <v/>
      </c>
      <c r="G1674" s="43"/>
      <c r="H1674" s="40" t="str" cm="1">
        <f t="array" ref="H1674">IFERROR(INDEX(DB!P$2:P$2576,T1674),"")</f>
        <v/>
      </c>
      <c r="I1674" s="43"/>
      <c r="J1674" s="53" t="str" cm="1">
        <f t="array" ref="J1674">IFERROR(INDEX(DB!Q$2:Q$2576,T1674),"")</f>
        <v/>
      </c>
      <c r="K1674" s="43"/>
      <c r="L1674" s="41" t="str" cm="1">
        <f t="array" ref="L1674">IFERROR(INDEX(DB!R$2:R$2576,T1674),"")</f>
        <v/>
      </c>
      <c r="M1674" s="43"/>
      <c r="P1674" t="str" cm="1">
        <f t="array" ref="P1674">IFERROR(_xlfn.AGGREGATE(15,6,ROW(DB!A$2:A$2576)/((($D$3&lt;&gt;"YES")+($D$3="YES")*(DB!E$2:E$2576="YES"))*(($D$4="")+($D$4&lt;&gt;"")*( DB!B$2:B$2576=$D$4))*(($D$5="")+($D$5&lt;&gt;"")*( DB!C$2:C$2576=$D$5))*(($D$6="")+($D$6&lt;&gt;"")*( DB!D$2:D$2576=$D$6))*(($D$7="")+($D$7&lt;&gt;"")*(ISNUMBER(SEARCH($D$7,DB!G$2:G$2576))))*(($F$7="전체")+($F$7&lt;&gt;"전체")*(DB!H$2:H$2576=$F$7))),ROW()-13)-1,"")</f>
        <v/>
      </c>
      <c r="Q1674" t="str" cm="1">
        <f t="array" ref="Q1674">IFERROR(INDEX(DB!G$2:G$2576,P1674),"")</f>
        <v/>
      </c>
      <c r="R1674" t="str" cm="1">
        <f t="array" ref="R1674">IFERROR(INDEX(DB!O$2:O$2576,P1674),"")</f>
        <v/>
      </c>
      <c r="S1674" t="str">
        <f t="shared" si="78"/>
        <v/>
      </c>
      <c r="T1674" t="str">
        <f t="shared" si="79"/>
        <v/>
      </c>
    </row>
    <row r="1675" spans="1:20" ht="100" customHeight="1">
      <c r="A1675" s="26"/>
      <c r="B1675" s="42" t="str">
        <f t="shared" si="77"/>
        <v/>
      </c>
      <c r="C1675" s="43"/>
      <c r="D1675" s="51" t="str" cm="1">
        <f t="array" ref="D1675">IFERROR(INDEX(DB!G$2:G$2576,T1675),"")</f>
        <v/>
      </c>
      <c r="E1675" s="43"/>
      <c r="F1675" s="52" t="str" cm="1">
        <f t="array" ref="F1675">IFERROR(INDEX(DB!O$2:O$2576,T1675),"")</f>
        <v/>
      </c>
      <c r="G1675" s="43"/>
      <c r="H1675" s="40" t="str" cm="1">
        <f t="array" ref="H1675">IFERROR(INDEX(DB!P$2:P$2576,T1675),"")</f>
        <v/>
      </c>
      <c r="I1675" s="43"/>
      <c r="J1675" s="53" t="str" cm="1">
        <f t="array" ref="J1675">IFERROR(INDEX(DB!Q$2:Q$2576,T1675),"")</f>
        <v/>
      </c>
      <c r="K1675" s="43"/>
      <c r="L1675" s="41" t="str" cm="1">
        <f t="array" ref="L1675">IFERROR(INDEX(DB!R$2:R$2576,T1675),"")</f>
        <v/>
      </c>
      <c r="M1675" s="43"/>
      <c r="P1675" t="str" cm="1">
        <f t="array" ref="P1675">IFERROR(_xlfn.AGGREGATE(15,6,ROW(DB!A$2:A$2576)/((($D$3&lt;&gt;"YES")+($D$3="YES")*(DB!E$2:E$2576="YES"))*(($D$4="")+($D$4&lt;&gt;"")*( DB!B$2:B$2576=$D$4))*(($D$5="")+($D$5&lt;&gt;"")*( DB!C$2:C$2576=$D$5))*(($D$6="")+($D$6&lt;&gt;"")*( DB!D$2:D$2576=$D$6))*(($D$7="")+($D$7&lt;&gt;"")*(ISNUMBER(SEARCH($D$7,DB!G$2:G$2576))))*(($F$7="전체")+($F$7&lt;&gt;"전체")*(DB!H$2:H$2576=$F$7))),ROW()-13)-1,"")</f>
        <v/>
      </c>
      <c r="Q1675" t="str" cm="1">
        <f t="array" ref="Q1675">IFERROR(INDEX(DB!G$2:G$2576,P1675),"")</f>
        <v/>
      </c>
      <c r="R1675" t="str" cm="1">
        <f t="array" ref="R1675">IFERROR(INDEX(DB!O$2:O$2576,P1675),"")</f>
        <v/>
      </c>
      <c r="S1675" t="str">
        <f t="shared" si="78"/>
        <v/>
      </c>
      <c r="T1675" t="str">
        <f t="shared" si="79"/>
        <v/>
      </c>
    </row>
    <row r="1676" spans="1:20" ht="100" customHeight="1">
      <c r="A1676" s="26"/>
      <c r="B1676" s="39" t="str">
        <f t="shared" si="77"/>
        <v/>
      </c>
      <c r="C1676" s="43"/>
      <c r="D1676" s="51" t="str" cm="1">
        <f t="array" ref="D1676">IFERROR(INDEX(DB!G$2:G$2576,T1676),"")</f>
        <v/>
      </c>
      <c r="E1676" s="43"/>
      <c r="F1676" s="52" t="str" cm="1">
        <f t="array" ref="F1676">IFERROR(INDEX(DB!O$2:O$2576,T1676),"")</f>
        <v/>
      </c>
      <c r="G1676" s="43"/>
      <c r="H1676" s="40" t="str" cm="1">
        <f t="array" ref="H1676">IFERROR(INDEX(DB!P$2:P$2576,T1676),"")</f>
        <v/>
      </c>
      <c r="I1676" s="43"/>
      <c r="J1676" s="53" t="str" cm="1">
        <f t="array" ref="J1676">IFERROR(INDEX(DB!Q$2:Q$2576,T1676),"")</f>
        <v/>
      </c>
      <c r="K1676" s="43"/>
      <c r="L1676" s="41" t="str" cm="1">
        <f t="array" ref="L1676">IFERROR(INDEX(DB!R$2:R$2576,T1676),"")</f>
        <v/>
      </c>
      <c r="M1676" s="43"/>
      <c r="P1676" t="str" cm="1">
        <f t="array" ref="P1676">IFERROR(_xlfn.AGGREGATE(15,6,ROW(DB!A$2:A$2576)/((($D$3&lt;&gt;"YES")+($D$3="YES")*(DB!E$2:E$2576="YES"))*(($D$4="")+($D$4&lt;&gt;"")*( DB!B$2:B$2576=$D$4))*(($D$5="")+($D$5&lt;&gt;"")*( DB!C$2:C$2576=$D$5))*(($D$6="")+($D$6&lt;&gt;"")*( DB!D$2:D$2576=$D$6))*(($D$7="")+($D$7&lt;&gt;"")*(ISNUMBER(SEARCH($D$7,DB!G$2:G$2576))))*(($F$7="전체")+($F$7&lt;&gt;"전체")*(DB!H$2:H$2576=$F$7))),ROW()-13)-1,"")</f>
        <v/>
      </c>
      <c r="Q1676" t="str" cm="1">
        <f t="array" ref="Q1676">IFERROR(INDEX(DB!G$2:G$2576,P1676),"")</f>
        <v/>
      </c>
      <c r="R1676" t="str" cm="1">
        <f t="array" ref="R1676">IFERROR(INDEX(DB!O$2:O$2576,P1676),"")</f>
        <v/>
      </c>
      <c r="S1676" t="str">
        <f t="shared" si="78"/>
        <v/>
      </c>
      <c r="T1676" t="str">
        <f t="shared" si="79"/>
        <v/>
      </c>
    </row>
    <row r="1677" spans="1:20" ht="100" customHeight="1">
      <c r="A1677" s="26"/>
      <c r="B1677" s="42" t="str">
        <f t="shared" si="77"/>
        <v/>
      </c>
      <c r="C1677" s="43"/>
      <c r="D1677" s="51" t="str" cm="1">
        <f t="array" ref="D1677">IFERROR(INDEX(DB!G$2:G$2576,T1677),"")</f>
        <v/>
      </c>
      <c r="E1677" s="43"/>
      <c r="F1677" s="52" t="str" cm="1">
        <f t="array" ref="F1677">IFERROR(INDEX(DB!O$2:O$2576,T1677),"")</f>
        <v/>
      </c>
      <c r="G1677" s="43"/>
      <c r="H1677" s="40" t="str" cm="1">
        <f t="array" ref="H1677">IFERROR(INDEX(DB!P$2:P$2576,T1677),"")</f>
        <v/>
      </c>
      <c r="I1677" s="43"/>
      <c r="J1677" s="53" t="str" cm="1">
        <f t="array" ref="J1677">IFERROR(INDEX(DB!Q$2:Q$2576,T1677),"")</f>
        <v/>
      </c>
      <c r="K1677" s="43"/>
      <c r="L1677" s="41" t="str" cm="1">
        <f t="array" ref="L1677">IFERROR(INDEX(DB!R$2:R$2576,T1677),"")</f>
        <v/>
      </c>
      <c r="M1677" s="43"/>
      <c r="P1677" t="str" cm="1">
        <f t="array" ref="P1677">IFERROR(_xlfn.AGGREGATE(15,6,ROW(DB!A$2:A$2576)/((($D$3&lt;&gt;"YES")+($D$3="YES")*(DB!E$2:E$2576="YES"))*(($D$4="")+($D$4&lt;&gt;"")*( DB!B$2:B$2576=$D$4))*(($D$5="")+($D$5&lt;&gt;"")*( DB!C$2:C$2576=$D$5))*(($D$6="")+($D$6&lt;&gt;"")*( DB!D$2:D$2576=$D$6))*(($D$7="")+($D$7&lt;&gt;"")*(ISNUMBER(SEARCH($D$7,DB!G$2:G$2576))))*(($F$7="전체")+($F$7&lt;&gt;"전체")*(DB!H$2:H$2576=$F$7))),ROW()-13)-1,"")</f>
        <v/>
      </c>
      <c r="Q1677" t="str" cm="1">
        <f t="array" ref="Q1677">IFERROR(INDEX(DB!G$2:G$2576,P1677),"")</f>
        <v/>
      </c>
      <c r="R1677" t="str" cm="1">
        <f t="array" ref="R1677">IFERROR(INDEX(DB!O$2:O$2576,P1677),"")</f>
        <v/>
      </c>
      <c r="S1677" t="str">
        <f t="shared" si="78"/>
        <v/>
      </c>
      <c r="T1677" t="str">
        <f t="shared" si="79"/>
        <v/>
      </c>
    </row>
    <row r="1678" spans="1:20" ht="100" customHeight="1">
      <c r="A1678" s="26"/>
      <c r="B1678" s="39" t="str">
        <f t="shared" si="77"/>
        <v/>
      </c>
      <c r="C1678" s="43"/>
      <c r="D1678" s="51" t="str" cm="1">
        <f t="array" ref="D1678">IFERROR(INDEX(DB!G$2:G$2576,T1678),"")</f>
        <v/>
      </c>
      <c r="E1678" s="43"/>
      <c r="F1678" s="52" t="str" cm="1">
        <f t="array" ref="F1678">IFERROR(INDEX(DB!O$2:O$2576,T1678),"")</f>
        <v/>
      </c>
      <c r="G1678" s="43"/>
      <c r="H1678" s="40" t="str" cm="1">
        <f t="array" ref="H1678">IFERROR(INDEX(DB!P$2:P$2576,T1678),"")</f>
        <v/>
      </c>
      <c r="I1678" s="43"/>
      <c r="J1678" s="53" t="str" cm="1">
        <f t="array" ref="J1678">IFERROR(INDEX(DB!Q$2:Q$2576,T1678),"")</f>
        <v/>
      </c>
      <c r="K1678" s="43"/>
      <c r="L1678" s="41" t="str" cm="1">
        <f t="array" ref="L1678">IFERROR(INDEX(DB!R$2:R$2576,T1678),"")</f>
        <v/>
      </c>
      <c r="M1678" s="43"/>
      <c r="P1678" t="str" cm="1">
        <f t="array" ref="P1678">IFERROR(_xlfn.AGGREGATE(15,6,ROW(DB!A$2:A$2576)/((($D$3&lt;&gt;"YES")+($D$3="YES")*(DB!E$2:E$2576="YES"))*(($D$4="")+($D$4&lt;&gt;"")*( DB!B$2:B$2576=$D$4))*(($D$5="")+($D$5&lt;&gt;"")*( DB!C$2:C$2576=$D$5))*(($D$6="")+($D$6&lt;&gt;"")*( DB!D$2:D$2576=$D$6))*(($D$7="")+($D$7&lt;&gt;"")*(ISNUMBER(SEARCH($D$7,DB!G$2:G$2576))))*(($F$7="전체")+($F$7&lt;&gt;"전체")*(DB!H$2:H$2576=$F$7))),ROW()-13)-1,"")</f>
        <v/>
      </c>
      <c r="Q1678" t="str" cm="1">
        <f t="array" ref="Q1678">IFERROR(INDEX(DB!G$2:G$2576,P1678),"")</f>
        <v/>
      </c>
      <c r="R1678" t="str" cm="1">
        <f t="array" ref="R1678">IFERROR(INDEX(DB!O$2:O$2576,P1678),"")</f>
        <v/>
      </c>
      <c r="S1678" t="str">
        <f t="shared" si="78"/>
        <v/>
      </c>
      <c r="T1678" t="str">
        <f t="shared" si="79"/>
        <v/>
      </c>
    </row>
    <row r="1679" spans="1:20" ht="100" customHeight="1">
      <c r="A1679" s="26"/>
      <c r="B1679" s="42" t="str">
        <f t="shared" ref="B1679:B1742" si="80">IFERROR(IF(T1679="","",ROW()-13),"")</f>
        <v/>
      </c>
      <c r="C1679" s="43"/>
      <c r="D1679" s="51" t="str" cm="1">
        <f t="array" ref="D1679">IFERROR(INDEX(DB!G$2:G$2576,T1679),"")</f>
        <v/>
      </c>
      <c r="E1679" s="43"/>
      <c r="F1679" s="52" t="str" cm="1">
        <f t="array" ref="F1679">IFERROR(INDEX(DB!O$2:O$2576,T1679),"")</f>
        <v/>
      </c>
      <c r="G1679" s="43"/>
      <c r="H1679" s="40" t="str" cm="1">
        <f t="array" ref="H1679">IFERROR(INDEX(DB!P$2:P$2576,T1679),"")</f>
        <v/>
      </c>
      <c r="I1679" s="43"/>
      <c r="J1679" s="53" t="str" cm="1">
        <f t="array" ref="J1679">IFERROR(INDEX(DB!Q$2:Q$2576,T1679),"")</f>
        <v/>
      </c>
      <c r="K1679" s="43"/>
      <c r="L1679" s="41" t="str" cm="1">
        <f t="array" ref="L1679">IFERROR(INDEX(DB!R$2:R$2576,T1679),"")</f>
        <v/>
      </c>
      <c r="M1679" s="43"/>
      <c r="P1679" t="str" cm="1">
        <f t="array" ref="P1679">IFERROR(_xlfn.AGGREGATE(15,6,ROW(DB!A$2:A$2576)/((($D$3&lt;&gt;"YES")+($D$3="YES")*(DB!E$2:E$2576="YES"))*(($D$4="")+($D$4&lt;&gt;"")*( DB!B$2:B$2576=$D$4))*(($D$5="")+($D$5&lt;&gt;"")*( DB!C$2:C$2576=$D$5))*(($D$6="")+($D$6&lt;&gt;"")*( DB!D$2:D$2576=$D$6))*(($D$7="")+($D$7&lt;&gt;"")*(ISNUMBER(SEARCH($D$7,DB!G$2:G$2576))))*(($F$7="전체")+($F$7&lt;&gt;"전체")*(DB!H$2:H$2576=$F$7))),ROW()-13)-1,"")</f>
        <v/>
      </c>
      <c r="Q1679" t="str" cm="1">
        <f t="array" ref="Q1679">IFERROR(INDEX(DB!G$2:G$2576,P1679),"")</f>
        <v/>
      </c>
      <c r="R1679" t="str" cm="1">
        <f t="array" ref="R1679">IFERROR(INDEX(DB!O$2:O$2576,P1679),"")</f>
        <v/>
      </c>
      <c r="S1679" t="str">
        <f t="shared" ref="S1679:S1742" si="81">IF(P1679="","",COUNTIF($Q$14:$Q$2587,"&lt;"&amp;Q1679)*100+COUNTIF($R$14:$R$2587,"&lt;"&amp;R1679)+(ROW()-13)*0.001)</f>
        <v/>
      </c>
      <c r="T1679" t="str">
        <f t="shared" ref="T1679:T1742" si="82">IFERROR(INDEX($P$14:$P$2587,MATCH(SMALL($S$14:$S$2587,ROW()-13),$S$14:$S$2587,0)),"")</f>
        <v/>
      </c>
    </row>
    <row r="1680" spans="1:20" ht="100" customHeight="1">
      <c r="A1680" s="26"/>
      <c r="B1680" s="39" t="str">
        <f t="shared" si="80"/>
        <v/>
      </c>
      <c r="C1680" s="43"/>
      <c r="D1680" s="51" t="str" cm="1">
        <f t="array" ref="D1680">IFERROR(INDEX(DB!G$2:G$2576,T1680),"")</f>
        <v/>
      </c>
      <c r="E1680" s="43"/>
      <c r="F1680" s="52" t="str" cm="1">
        <f t="array" ref="F1680">IFERROR(INDEX(DB!O$2:O$2576,T1680),"")</f>
        <v/>
      </c>
      <c r="G1680" s="43"/>
      <c r="H1680" s="40" t="str" cm="1">
        <f t="array" ref="H1680">IFERROR(INDEX(DB!P$2:P$2576,T1680),"")</f>
        <v/>
      </c>
      <c r="I1680" s="43"/>
      <c r="J1680" s="53" t="str" cm="1">
        <f t="array" ref="J1680">IFERROR(INDEX(DB!Q$2:Q$2576,T1680),"")</f>
        <v/>
      </c>
      <c r="K1680" s="43"/>
      <c r="L1680" s="41" t="str" cm="1">
        <f t="array" ref="L1680">IFERROR(INDEX(DB!R$2:R$2576,T1680),"")</f>
        <v/>
      </c>
      <c r="M1680" s="43"/>
      <c r="P1680" t="str" cm="1">
        <f t="array" ref="P1680">IFERROR(_xlfn.AGGREGATE(15,6,ROW(DB!A$2:A$2576)/((($D$3&lt;&gt;"YES")+($D$3="YES")*(DB!E$2:E$2576="YES"))*(($D$4="")+($D$4&lt;&gt;"")*( DB!B$2:B$2576=$D$4))*(($D$5="")+($D$5&lt;&gt;"")*( DB!C$2:C$2576=$D$5))*(($D$6="")+($D$6&lt;&gt;"")*( DB!D$2:D$2576=$D$6))*(($D$7="")+($D$7&lt;&gt;"")*(ISNUMBER(SEARCH($D$7,DB!G$2:G$2576))))*(($F$7="전체")+($F$7&lt;&gt;"전체")*(DB!H$2:H$2576=$F$7))),ROW()-13)-1,"")</f>
        <v/>
      </c>
      <c r="Q1680" t="str" cm="1">
        <f t="array" ref="Q1680">IFERROR(INDEX(DB!G$2:G$2576,P1680),"")</f>
        <v/>
      </c>
      <c r="R1680" t="str" cm="1">
        <f t="array" ref="R1680">IFERROR(INDEX(DB!O$2:O$2576,P1680),"")</f>
        <v/>
      </c>
      <c r="S1680" t="str">
        <f t="shared" si="81"/>
        <v/>
      </c>
      <c r="T1680" t="str">
        <f t="shared" si="82"/>
        <v/>
      </c>
    </row>
    <row r="1681" spans="1:20" ht="100" customHeight="1">
      <c r="A1681" s="26"/>
      <c r="B1681" s="42" t="str">
        <f t="shared" si="80"/>
        <v/>
      </c>
      <c r="C1681" s="43"/>
      <c r="D1681" s="51" t="str" cm="1">
        <f t="array" ref="D1681">IFERROR(INDEX(DB!G$2:G$2576,T1681),"")</f>
        <v/>
      </c>
      <c r="E1681" s="43"/>
      <c r="F1681" s="52" t="str" cm="1">
        <f t="array" ref="F1681">IFERROR(INDEX(DB!O$2:O$2576,T1681),"")</f>
        <v/>
      </c>
      <c r="G1681" s="43"/>
      <c r="H1681" s="40" t="str" cm="1">
        <f t="array" ref="H1681">IFERROR(INDEX(DB!P$2:P$2576,T1681),"")</f>
        <v/>
      </c>
      <c r="I1681" s="43"/>
      <c r="J1681" s="53" t="str" cm="1">
        <f t="array" ref="J1681">IFERROR(INDEX(DB!Q$2:Q$2576,T1681),"")</f>
        <v/>
      </c>
      <c r="K1681" s="43"/>
      <c r="L1681" s="41" t="str" cm="1">
        <f t="array" ref="L1681">IFERROR(INDEX(DB!R$2:R$2576,T1681),"")</f>
        <v/>
      </c>
      <c r="M1681" s="43"/>
      <c r="P1681" t="str" cm="1">
        <f t="array" ref="P1681">IFERROR(_xlfn.AGGREGATE(15,6,ROW(DB!A$2:A$2576)/((($D$3&lt;&gt;"YES")+($D$3="YES")*(DB!E$2:E$2576="YES"))*(($D$4="")+($D$4&lt;&gt;"")*( DB!B$2:B$2576=$D$4))*(($D$5="")+($D$5&lt;&gt;"")*( DB!C$2:C$2576=$D$5))*(($D$6="")+($D$6&lt;&gt;"")*( DB!D$2:D$2576=$D$6))*(($D$7="")+($D$7&lt;&gt;"")*(ISNUMBER(SEARCH($D$7,DB!G$2:G$2576))))*(($F$7="전체")+($F$7&lt;&gt;"전체")*(DB!H$2:H$2576=$F$7))),ROW()-13)-1,"")</f>
        <v/>
      </c>
      <c r="Q1681" t="str" cm="1">
        <f t="array" ref="Q1681">IFERROR(INDEX(DB!G$2:G$2576,P1681),"")</f>
        <v/>
      </c>
      <c r="R1681" t="str" cm="1">
        <f t="array" ref="R1681">IFERROR(INDEX(DB!O$2:O$2576,P1681),"")</f>
        <v/>
      </c>
      <c r="S1681" t="str">
        <f t="shared" si="81"/>
        <v/>
      </c>
      <c r="T1681" t="str">
        <f t="shared" si="82"/>
        <v/>
      </c>
    </row>
    <row r="1682" spans="1:20" ht="100" customHeight="1">
      <c r="A1682" s="26"/>
      <c r="B1682" s="39" t="str">
        <f t="shared" si="80"/>
        <v/>
      </c>
      <c r="C1682" s="43"/>
      <c r="D1682" s="51" t="str" cm="1">
        <f t="array" ref="D1682">IFERROR(INDEX(DB!G$2:G$2576,T1682),"")</f>
        <v/>
      </c>
      <c r="E1682" s="43"/>
      <c r="F1682" s="52" t="str" cm="1">
        <f t="array" ref="F1682">IFERROR(INDEX(DB!O$2:O$2576,T1682),"")</f>
        <v/>
      </c>
      <c r="G1682" s="43"/>
      <c r="H1682" s="40" t="str" cm="1">
        <f t="array" ref="H1682">IFERROR(INDEX(DB!P$2:P$2576,T1682),"")</f>
        <v/>
      </c>
      <c r="I1682" s="43"/>
      <c r="J1682" s="53" t="str" cm="1">
        <f t="array" ref="J1682">IFERROR(INDEX(DB!Q$2:Q$2576,T1682),"")</f>
        <v/>
      </c>
      <c r="K1682" s="43"/>
      <c r="L1682" s="41" t="str" cm="1">
        <f t="array" ref="L1682">IFERROR(INDEX(DB!R$2:R$2576,T1682),"")</f>
        <v/>
      </c>
      <c r="M1682" s="43"/>
      <c r="P1682" t="str" cm="1">
        <f t="array" ref="P1682">IFERROR(_xlfn.AGGREGATE(15,6,ROW(DB!A$2:A$2576)/((($D$3&lt;&gt;"YES")+($D$3="YES")*(DB!E$2:E$2576="YES"))*(($D$4="")+($D$4&lt;&gt;"")*( DB!B$2:B$2576=$D$4))*(($D$5="")+($D$5&lt;&gt;"")*( DB!C$2:C$2576=$D$5))*(($D$6="")+($D$6&lt;&gt;"")*( DB!D$2:D$2576=$D$6))*(($D$7="")+($D$7&lt;&gt;"")*(ISNUMBER(SEARCH($D$7,DB!G$2:G$2576))))*(($F$7="전체")+($F$7&lt;&gt;"전체")*(DB!H$2:H$2576=$F$7))),ROW()-13)-1,"")</f>
        <v/>
      </c>
      <c r="Q1682" t="str" cm="1">
        <f t="array" ref="Q1682">IFERROR(INDEX(DB!G$2:G$2576,P1682),"")</f>
        <v/>
      </c>
      <c r="R1682" t="str" cm="1">
        <f t="array" ref="R1682">IFERROR(INDEX(DB!O$2:O$2576,P1682),"")</f>
        <v/>
      </c>
      <c r="S1682" t="str">
        <f t="shared" si="81"/>
        <v/>
      </c>
      <c r="T1682" t="str">
        <f t="shared" si="82"/>
        <v/>
      </c>
    </row>
    <row r="1683" spans="1:20" ht="100" customHeight="1">
      <c r="A1683" s="26"/>
      <c r="B1683" s="42" t="str">
        <f t="shared" si="80"/>
        <v/>
      </c>
      <c r="C1683" s="43"/>
      <c r="D1683" s="51" t="str" cm="1">
        <f t="array" ref="D1683">IFERROR(INDEX(DB!G$2:G$2576,T1683),"")</f>
        <v/>
      </c>
      <c r="E1683" s="43"/>
      <c r="F1683" s="52" t="str" cm="1">
        <f t="array" ref="F1683">IFERROR(INDEX(DB!O$2:O$2576,T1683),"")</f>
        <v/>
      </c>
      <c r="G1683" s="43"/>
      <c r="H1683" s="40" t="str" cm="1">
        <f t="array" ref="H1683">IFERROR(INDEX(DB!P$2:P$2576,T1683),"")</f>
        <v/>
      </c>
      <c r="I1683" s="43"/>
      <c r="J1683" s="53" t="str" cm="1">
        <f t="array" ref="J1683">IFERROR(INDEX(DB!Q$2:Q$2576,T1683),"")</f>
        <v/>
      </c>
      <c r="K1683" s="43"/>
      <c r="L1683" s="41" t="str" cm="1">
        <f t="array" ref="L1683">IFERROR(INDEX(DB!R$2:R$2576,T1683),"")</f>
        <v/>
      </c>
      <c r="M1683" s="43"/>
      <c r="P1683" t="str" cm="1">
        <f t="array" ref="P1683">IFERROR(_xlfn.AGGREGATE(15,6,ROW(DB!A$2:A$2576)/((($D$3&lt;&gt;"YES")+($D$3="YES")*(DB!E$2:E$2576="YES"))*(($D$4="")+($D$4&lt;&gt;"")*( DB!B$2:B$2576=$D$4))*(($D$5="")+($D$5&lt;&gt;"")*( DB!C$2:C$2576=$D$5))*(($D$6="")+($D$6&lt;&gt;"")*( DB!D$2:D$2576=$D$6))*(($D$7="")+($D$7&lt;&gt;"")*(ISNUMBER(SEARCH($D$7,DB!G$2:G$2576))))*(($F$7="전체")+($F$7&lt;&gt;"전체")*(DB!H$2:H$2576=$F$7))),ROW()-13)-1,"")</f>
        <v/>
      </c>
      <c r="Q1683" t="str" cm="1">
        <f t="array" ref="Q1683">IFERROR(INDEX(DB!G$2:G$2576,P1683),"")</f>
        <v/>
      </c>
      <c r="R1683" t="str" cm="1">
        <f t="array" ref="R1683">IFERROR(INDEX(DB!O$2:O$2576,P1683),"")</f>
        <v/>
      </c>
      <c r="S1683" t="str">
        <f t="shared" si="81"/>
        <v/>
      </c>
      <c r="T1683" t="str">
        <f t="shared" si="82"/>
        <v/>
      </c>
    </row>
    <row r="1684" spans="1:20" ht="100" customHeight="1">
      <c r="A1684" s="26"/>
      <c r="B1684" s="39" t="str">
        <f t="shared" si="80"/>
        <v/>
      </c>
      <c r="C1684" s="43"/>
      <c r="D1684" s="51" t="str" cm="1">
        <f t="array" ref="D1684">IFERROR(INDEX(DB!G$2:G$2576,T1684),"")</f>
        <v/>
      </c>
      <c r="E1684" s="43"/>
      <c r="F1684" s="52" t="str" cm="1">
        <f t="array" ref="F1684">IFERROR(INDEX(DB!O$2:O$2576,T1684),"")</f>
        <v/>
      </c>
      <c r="G1684" s="43"/>
      <c r="H1684" s="40" t="str" cm="1">
        <f t="array" ref="H1684">IFERROR(INDEX(DB!P$2:P$2576,T1684),"")</f>
        <v/>
      </c>
      <c r="I1684" s="43"/>
      <c r="J1684" s="53" t="str" cm="1">
        <f t="array" ref="J1684">IFERROR(INDEX(DB!Q$2:Q$2576,T1684),"")</f>
        <v/>
      </c>
      <c r="K1684" s="43"/>
      <c r="L1684" s="41" t="str" cm="1">
        <f t="array" ref="L1684">IFERROR(INDEX(DB!R$2:R$2576,T1684),"")</f>
        <v/>
      </c>
      <c r="M1684" s="43"/>
      <c r="P1684" t="str" cm="1">
        <f t="array" ref="P1684">IFERROR(_xlfn.AGGREGATE(15,6,ROW(DB!A$2:A$2576)/((($D$3&lt;&gt;"YES")+($D$3="YES")*(DB!E$2:E$2576="YES"))*(($D$4="")+($D$4&lt;&gt;"")*( DB!B$2:B$2576=$D$4))*(($D$5="")+($D$5&lt;&gt;"")*( DB!C$2:C$2576=$D$5))*(($D$6="")+($D$6&lt;&gt;"")*( DB!D$2:D$2576=$D$6))*(($D$7="")+($D$7&lt;&gt;"")*(ISNUMBER(SEARCH($D$7,DB!G$2:G$2576))))*(($F$7="전체")+($F$7&lt;&gt;"전체")*(DB!H$2:H$2576=$F$7))),ROW()-13)-1,"")</f>
        <v/>
      </c>
      <c r="Q1684" t="str" cm="1">
        <f t="array" ref="Q1684">IFERROR(INDEX(DB!G$2:G$2576,P1684),"")</f>
        <v/>
      </c>
      <c r="R1684" t="str" cm="1">
        <f t="array" ref="R1684">IFERROR(INDEX(DB!O$2:O$2576,P1684),"")</f>
        <v/>
      </c>
      <c r="S1684" t="str">
        <f t="shared" si="81"/>
        <v/>
      </c>
      <c r="T1684" t="str">
        <f t="shared" si="82"/>
        <v/>
      </c>
    </row>
    <row r="1685" spans="1:20" ht="100" customHeight="1">
      <c r="A1685" s="26"/>
      <c r="B1685" s="42" t="str">
        <f t="shared" si="80"/>
        <v/>
      </c>
      <c r="C1685" s="43"/>
      <c r="D1685" s="51" t="str" cm="1">
        <f t="array" ref="D1685">IFERROR(INDEX(DB!G$2:G$2576,T1685),"")</f>
        <v/>
      </c>
      <c r="E1685" s="43"/>
      <c r="F1685" s="52" t="str" cm="1">
        <f t="array" ref="F1685">IFERROR(INDEX(DB!O$2:O$2576,T1685),"")</f>
        <v/>
      </c>
      <c r="G1685" s="43"/>
      <c r="H1685" s="40" t="str" cm="1">
        <f t="array" ref="H1685">IFERROR(INDEX(DB!P$2:P$2576,T1685),"")</f>
        <v/>
      </c>
      <c r="I1685" s="43"/>
      <c r="J1685" s="53" t="str" cm="1">
        <f t="array" ref="J1685">IFERROR(INDEX(DB!Q$2:Q$2576,T1685),"")</f>
        <v/>
      </c>
      <c r="K1685" s="43"/>
      <c r="L1685" s="41" t="str" cm="1">
        <f t="array" ref="L1685">IFERROR(INDEX(DB!R$2:R$2576,T1685),"")</f>
        <v/>
      </c>
      <c r="M1685" s="43"/>
      <c r="P1685" t="str" cm="1">
        <f t="array" ref="P1685">IFERROR(_xlfn.AGGREGATE(15,6,ROW(DB!A$2:A$2576)/((($D$3&lt;&gt;"YES")+($D$3="YES")*(DB!E$2:E$2576="YES"))*(($D$4="")+($D$4&lt;&gt;"")*( DB!B$2:B$2576=$D$4))*(($D$5="")+($D$5&lt;&gt;"")*( DB!C$2:C$2576=$D$5))*(($D$6="")+($D$6&lt;&gt;"")*( DB!D$2:D$2576=$D$6))*(($D$7="")+($D$7&lt;&gt;"")*(ISNUMBER(SEARCH($D$7,DB!G$2:G$2576))))*(($F$7="전체")+($F$7&lt;&gt;"전체")*(DB!H$2:H$2576=$F$7))),ROW()-13)-1,"")</f>
        <v/>
      </c>
      <c r="Q1685" t="str" cm="1">
        <f t="array" ref="Q1685">IFERROR(INDEX(DB!G$2:G$2576,P1685),"")</f>
        <v/>
      </c>
      <c r="R1685" t="str" cm="1">
        <f t="array" ref="R1685">IFERROR(INDEX(DB!O$2:O$2576,P1685),"")</f>
        <v/>
      </c>
      <c r="S1685" t="str">
        <f t="shared" si="81"/>
        <v/>
      </c>
      <c r="T1685" t="str">
        <f t="shared" si="82"/>
        <v/>
      </c>
    </row>
    <row r="1686" spans="1:20" ht="100" customHeight="1">
      <c r="A1686" s="26"/>
      <c r="B1686" s="39" t="str">
        <f t="shared" si="80"/>
        <v/>
      </c>
      <c r="C1686" s="43"/>
      <c r="D1686" s="51" t="str" cm="1">
        <f t="array" ref="D1686">IFERROR(INDEX(DB!G$2:G$2576,T1686),"")</f>
        <v/>
      </c>
      <c r="E1686" s="43"/>
      <c r="F1686" s="52" t="str" cm="1">
        <f t="array" ref="F1686">IFERROR(INDEX(DB!O$2:O$2576,T1686),"")</f>
        <v/>
      </c>
      <c r="G1686" s="43"/>
      <c r="H1686" s="40" t="str" cm="1">
        <f t="array" ref="H1686">IFERROR(INDEX(DB!P$2:P$2576,T1686),"")</f>
        <v/>
      </c>
      <c r="I1686" s="43"/>
      <c r="J1686" s="53" t="str" cm="1">
        <f t="array" ref="J1686">IFERROR(INDEX(DB!Q$2:Q$2576,T1686),"")</f>
        <v/>
      </c>
      <c r="K1686" s="43"/>
      <c r="L1686" s="41" t="str" cm="1">
        <f t="array" ref="L1686">IFERROR(INDEX(DB!R$2:R$2576,T1686),"")</f>
        <v/>
      </c>
      <c r="M1686" s="43"/>
      <c r="P1686" t="str" cm="1">
        <f t="array" ref="P1686">IFERROR(_xlfn.AGGREGATE(15,6,ROW(DB!A$2:A$2576)/((($D$3&lt;&gt;"YES")+($D$3="YES")*(DB!E$2:E$2576="YES"))*(($D$4="")+($D$4&lt;&gt;"")*( DB!B$2:B$2576=$D$4))*(($D$5="")+($D$5&lt;&gt;"")*( DB!C$2:C$2576=$D$5))*(($D$6="")+($D$6&lt;&gt;"")*( DB!D$2:D$2576=$D$6))*(($D$7="")+($D$7&lt;&gt;"")*(ISNUMBER(SEARCH($D$7,DB!G$2:G$2576))))*(($F$7="전체")+($F$7&lt;&gt;"전체")*(DB!H$2:H$2576=$F$7))),ROW()-13)-1,"")</f>
        <v/>
      </c>
      <c r="Q1686" t="str" cm="1">
        <f t="array" ref="Q1686">IFERROR(INDEX(DB!G$2:G$2576,P1686),"")</f>
        <v/>
      </c>
      <c r="R1686" t="str" cm="1">
        <f t="array" ref="R1686">IFERROR(INDEX(DB!O$2:O$2576,P1686),"")</f>
        <v/>
      </c>
      <c r="S1686" t="str">
        <f t="shared" si="81"/>
        <v/>
      </c>
      <c r="T1686" t="str">
        <f t="shared" si="82"/>
        <v/>
      </c>
    </row>
    <row r="1687" spans="1:20" ht="100" customHeight="1">
      <c r="A1687" s="26"/>
      <c r="B1687" s="42" t="str">
        <f t="shared" si="80"/>
        <v/>
      </c>
      <c r="C1687" s="43"/>
      <c r="D1687" s="51" t="str" cm="1">
        <f t="array" ref="D1687">IFERROR(INDEX(DB!G$2:G$2576,T1687),"")</f>
        <v/>
      </c>
      <c r="E1687" s="43"/>
      <c r="F1687" s="52" t="str" cm="1">
        <f t="array" ref="F1687">IFERROR(INDEX(DB!O$2:O$2576,T1687),"")</f>
        <v/>
      </c>
      <c r="G1687" s="43"/>
      <c r="H1687" s="40" t="str" cm="1">
        <f t="array" ref="H1687">IFERROR(INDEX(DB!P$2:P$2576,T1687),"")</f>
        <v/>
      </c>
      <c r="I1687" s="43"/>
      <c r="J1687" s="53" t="str" cm="1">
        <f t="array" ref="J1687">IFERROR(INDEX(DB!Q$2:Q$2576,T1687),"")</f>
        <v/>
      </c>
      <c r="K1687" s="43"/>
      <c r="L1687" s="41" t="str" cm="1">
        <f t="array" ref="L1687">IFERROR(INDEX(DB!R$2:R$2576,T1687),"")</f>
        <v/>
      </c>
      <c r="M1687" s="43"/>
      <c r="P1687" t="str" cm="1">
        <f t="array" ref="P1687">IFERROR(_xlfn.AGGREGATE(15,6,ROW(DB!A$2:A$2576)/((($D$3&lt;&gt;"YES")+($D$3="YES")*(DB!E$2:E$2576="YES"))*(($D$4="")+($D$4&lt;&gt;"")*( DB!B$2:B$2576=$D$4))*(($D$5="")+($D$5&lt;&gt;"")*( DB!C$2:C$2576=$D$5))*(($D$6="")+($D$6&lt;&gt;"")*( DB!D$2:D$2576=$D$6))*(($D$7="")+($D$7&lt;&gt;"")*(ISNUMBER(SEARCH($D$7,DB!G$2:G$2576))))*(($F$7="전체")+($F$7&lt;&gt;"전체")*(DB!H$2:H$2576=$F$7))),ROW()-13)-1,"")</f>
        <v/>
      </c>
      <c r="Q1687" t="str" cm="1">
        <f t="array" ref="Q1687">IFERROR(INDEX(DB!G$2:G$2576,P1687),"")</f>
        <v/>
      </c>
      <c r="R1687" t="str" cm="1">
        <f t="array" ref="R1687">IFERROR(INDEX(DB!O$2:O$2576,P1687),"")</f>
        <v/>
      </c>
      <c r="S1687" t="str">
        <f t="shared" si="81"/>
        <v/>
      </c>
      <c r="T1687" t="str">
        <f t="shared" si="82"/>
        <v/>
      </c>
    </row>
    <row r="1688" spans="1:20" ht="100" customHeight="1">
      <c r="A1688" s="26"/>
      <c r="B1688" s="39" t="str">
        <f t="shared" si="80"/>
        <v/>
      </c>
      <c r="C1688" s="43"/>
      <c r="D1688" s="51" t="str" cm="1">
        <f t="array" ref="D1688">IFERROR(INDEX(DB!G$2:G$2576,T1688),"")</f>
        <v/>
      </c>
      <c r="E1688" s="43"/>
      <c r="F1688" s="52" t="str" cm="1">
        <f t="array" ref="F1688">IFERROR(INDEX(DB!O$2:O$2576,T1688),"")</f>
        <v/>
      </c>
      <c r="G1688" s="43"/>
      <c r="H1688" s="40" t="str" cm="1">
        <f t="array" ref="H1688">IFERROR(INDEX(DB!P$2:P$2576,T1688),"")</f>
        <v/>
      </c>
      <c r="I1688" s="43"/>
      <c r="J1688" s="53" t="str" cm="1">
        <f t="array" ref="J1688">IFERROR(INDEX(DB!Q$2:Q$2576,T1688),"")</f>
        <v/>
      </c>
      <c r="K1688" s="43"/>
      <c r="L1688" s="41" t="str" cm="1">
        <f t="array" ref="L1688">IFERROR(INDEX(DB!R$2:R$2576,T1688),"")</f>
        <v/>
      </c>
      <c r="M1688" s="43"/>
      <c r="P1688" t="str" cm="1">
        <f t="array" ref="P1688">IFERROR(_xlfn.AGGREGATE(15,6,ROW(DB!A$2:A$2576)/((($D$3&lt;&gt;"YES")+($D$3="YES")*(DB!E$2:E$2576="YES"))*(($D$4="")+($D$4&lt;&gt;"")*( DB!B$2:B$2576=$D$4))*(($D$5="")+($D$5&lt;&gt;"")*( DB!C$2:C$2576=$D$5))*(($D$6="")+($D$6&lt;&gt;"")*( DB!D$2:D$2576=$D$6))*(($D$7="")+($D$7&lt;&gt;"")*(ISNUMBER(SEARCH($D$7,DB!G$2:G$2576))))*(($F$7="전체")+($F$7&lt;&gt;"전체")*(DB!H$2:H$2576=$F$7))),ROW()-13)-1,"")</f>
        <v/>
      </c>
      <c r="Q1688" t="str" cm="1">
        <f t="array" ref="Q1688">IFERROR(INDEX(DB!G$2:G$2576,P1688),"")</f>
        <v/>
      </c>
      <c r="R1688" t="str" cm="1">
        <f t="array" ref="R1688">IFERROR(INDEX(DB!O$2:O$2576,P1688),"")</f>
        <v/>
      </c>
      <c r="S1688" t="str">
        <f t="shared" si="81"/>
        <v/>
      </c>
      <c r="T1688" t="str">
        <f t="shared" si="82"/>
        <v/>
      </c>
    </row>
    <row r="1689" spans="1:20" ht="100" customHeight="1">
      <c r="A1689" s="26"/>
      <c r="B1689" s="42" t="str">
        <f t="shared" si="80"/>
        <v/>
      </c>
      <c r="C1689" s="43"/>
      <c r="D1689" s="51" t="str" cm="1">
        <f t="array" ref="D1689">IFERROR(INDEX(DB!G$2:G$2576,T1689),"")</f>
        <v/>
      </c>
      <c r="E1689" s="43"/>
      <c r="F1689" s="52" t="str" cm="1">
        <f t="array" ref="F1689">IFERROR(INDEX(DB!O$2:O$2576,T1689),"")</f>
        <v/>
      </c>
      <c r="G1689" s="43"/>
      <c r="H1689" s="40" t="str" cm="1">
        <f t="array" ref="H1689">IFERROR(INDEX(DB!P$2:P$2576,T1689),"")</f>
        <v/>
      </c>
      <c r="I1689" s="43"/>
      <c r="J1689" s="53" t="str" cm="1">
        <f t="array" ref="J1689">IFERROR(INDEX(DB!Q$2:Q$2576,T1689),"")</f>
        <v/>
      </c>
      <c r="K1689" s="43"/>
      <c r="L1689" s="41" t="str" cm="1">
        <f t="array" ref="L1689">IFERROR(INDEX(DB!R$2:R$2576,T1689),"")</f>
        <v/>
      </c>
      <c r="M1689" s="43"/>
      <c r="P1689" t="str" cm="1">
        <f t="array" ref="P1689">IFERROR(_xlfn.AGGREGATE(15,6,ROW(DB!A$2:A$2576)/((($D$3&lt;&gt;"YES")+($D$3="YES")*(DB!E$2:E$2576="YES"))*(($D$4="")+($D$4&lt;&gt;"")*( DB!B$2:B$2576=$D$4))*(($D$5="")+($D$5&lt;&gt;"")*( DB!C$2:C$2576=$D$5))*(($D$6="")+($D$6&lt;&gt;"")*( DB!D$2:D$2576=$D$6))*(($D$7="")+($D$7&lt;&gt;"")*(ISNUMBER(SEARCH($D$7,DB!G$2:G$2576))))*(($F$7="전체")+($F$7&lt;&gt;"전체")*(DB!H$2:H$2576=$F$7))),ROW()-13)-1,"")</f>
        <v/>
      </c>
      <c r="Q1689" t="str" cm="1">
        <f t="array" ref="Q1689">IFERROR(INDEX(DB!G$2:G$2576,P1689),"")</f>
        <v/>
      </c>
      <c r="R1689" t="str" cm="1">
        <f t="array" ref="R1689">IFERROR(INDEX(DB!O$2:O$2576,P1689),"")</f>
        <v/>
      </c>
      <c r="S1689" t="str">
        <f t="shared" si="81"/>
        <v/>
      </c>
      <c r="T1689" t="str">
        <f t="shared" si="82"/>
        <v/>
      </c>
    </row>
    <row r="1690" spans="1:20" ht="100" customHeight="1">
      <c r="A1690" s="26"/>
      <c r="B1690" s="39" t="str">
        <f t="shared" si="80"/>
        <v/>
      </c>
      <c r="C1690" s="43"/>
      <c r="D1690" s="51" t="str" cm="1">
        <f t="array" ref="D1690">IFERROR(INDEX(DB!G$2:G$2576,T1690),"")</f>
        <v/>
      </c>
      <c r="E1690" s="43"/>
      <c r="F1690" s="52" t="str" cm="1">
        <f t="array" ref="F1690">IFERROR(INDEX(DB!O$2:O$2576,T1690),"")</f>
        <v/>
      </c>
      <c r="G1690" s="43"/>
      <c r="H1690" s="40" t="str" cm="1">
        <f t="array" ref="H1690">IFERROR(INDEX(DB!P$2:P$2576,T1690),"")</f>
        <v/>
      </c>
      <c r="I1690" s="43"/>
      <c r="J1690" s="53" t="str" cm="1">
        <f t="array" ref="J1690">IFERROR(INDEX(DB!Q$2:Q$2576,T1690),"")</f>
        <v/>
      </c>
      <c r="K1690" s="43"/>
      <c r="L1690" s="41" t="str" cm="1">
        <f t="array" ref="L1690">IFERROR(INDEX(DB!R$2:R$2576,T1690),"")</f>
        <v/>
      </c>
      <c r="M1690" s="43"/>
      <c r="P1690" t="str" cm="1">
        <f t="array" ref="P1690">IFERROR(_xlfn.AGGREGATE(15,6,ROW(DB!A$2:A$2576)/((($D$3&lt;&gt;"YES")+($D$3="YES")*(DB!E$2:E$2576="YES"))*(($D$4="")+($D$4&lt;&gt;"")*( DB!B$2:B$2576=$D$4))*(($D$5="")+($D$5&lt;&gt;"")*( DB!C$2:C$2576=$D$5))*(($D$6="")+($D$6&lt;&gt;"")*( DB!D$2:D$2576=$D$6))*(($D$7="")+($D$7&lt;&gt;"")*(ISNUMBER(SEARCH($D$7,DB!G$2:G$2576))))*(($F$7="전체")+($F$7&lt;&gt;"전체")*(DB!H$2:H$2576=$F$7))),ROW()-13)-1,"")</f>
        <v/>
      </c>
      <c r="Q1690" t="str" cm="1">
        <f t="array" ref="Q1690">IFERROR(INDEX(DB!G$2:G$2576,P1690),"")</f>
        <v/>
      </c>
      <c r="R1690" t="str" cm="1">
        <f t="array" ref="R1690">IFERROR(INDEX(DB!O$2:O$2576,P1690),"")</f>
        <v/>
      </c>
      <c r="S1690" t="str">
        <f t="shared" si="81"/>
        <v/>
      </c>
      <c r="T1690" t="str">
        <f t="shared" si="82"/>
        <v/>
      </c>
    </row>
    <row r="1691" spans="1:20" ht="100" customHeight="1">
      <c r="A1691" s="26"/>
      <c r="B1691" s="42" t="str">
        <f t="shared" si="80"/>
        <v/>
      </c>
      <c r="C1691" s="43"/>
      <c r="D1691" s="51" t="str" cm="1">
        <f t="array" ref="D1691">IFERROR(INDEX(DB!G$2:G$2576,T1691),"")</f>
        <v/>
      </c>
      <c r="E1691" s="43"/>
      <c r="F1691" s="52" t="str" cm="1">
        <f t="array" ref="F1691">IFERROR(INDEX(DB!O$2:O$2576,T1691),"")</f>
        <v/>
      </c>
      <c r="G1691" s="43"/>
      <c r="H1691" s="40" t="str" cm="1">
        <f t="array" ref="H1691">IFERROR(INDEX(DB!P$2:P$2576,T1691),"")</f>
        <v/>
      </c>
      <c r="I1691" s="43"/>
      <c r="J1691" s="53" t="str" cm="1">
        <f t="array" ref="J1691">IFERROR(INDEX(DB!Q$2:Q$2576,T1691),"")</f>
        <v/>
      </c>
      <c r="K1691" s="43"/>
      <c r="L1691" s="41" t="str" cm="1">
        <f t="array" ref="L1691">IFERROR(INDEX(DB!R$2:R$2576,T1691),"")</f>
        <v/>
      </c>
      <c r="M1691" s="43"/>
      <c r="P1691" t="str" cm="1">
        <f t="array" ref="P1691">IFERROR(_xlfn.AGGREGATE(15,6,ROW(DB!A$2:A$2576)/((($D$3&lt;&gt;"YES")+($D$3="YES")*(DB!E$2:E$2576="YES"))*(($D$4="")+($D$4&lt;&gt;"")*( DB!B$2:B$2576=$D$4))*(($D$5="")+($D$5&lt;&gt;"")*( DB!C$2:C$2576=$D$5))*(($D$6="")+($D$6&lt;&gt;"")*( DB!D$2:D$2576=$D$6))*(($D$7="")+($D$7&lt;&gt;"")*(ISNUMBER(SEARCH($D$7,DB!G$2:G$2576))))*(($F$7="전체")+($F$7&lt;&gt;"전체")*(DB!H$2:H$2576=$F$7))),ROW()-13)-1,"")</f>
        <v/>
      </c>
      <c r="Q1691" t="str" cm="1">
        <f t="array" ref="Q1691">IFERROR(INDEX(DB!G$2:G$2576,P1691),"")</f>
        <v/>
      </c>
      <c r="R1691" t="str" cm="1">
        <f t="array" ref="R1691">IFERROR(INDEX(DB!O$2:O$2576,P1691),"")</f>
        <v/>
      </c>
      <c r="S1691" t="str">
        <f t="shared" si="81"/>
        <v/>
      </c>
      <c r="T1691" t="str">
        <f t="shared" si="82"/>
        <v/>
      </c>
    </row>
    <row r="1692" spans="1:20" ht="100" customHeight="1">
      <c r="A1692" s="26"/>
      <c r="B1692" s="39" t="str">
        <f t="shared" si="80"/>
        <v/>
      </c>
      <c r="C1692" s="43"/>
      <c r="D1692" s="51" t="str" cm="1">
        <f t="array" ref="D1692">IFERROR(INDEX(DB!G$2:G$2576,T1692),"")</f>
        <v/>
      </c>
      <c r="E1692" s="43"/>
      <c r="F1692" s="52" t="str" cm="1">
        <f t="array" ref="F1692">IFERROR(INDEX(DB!O$2:O$2576,T1692),"")</f>
        <v/>
      </c>
      <c r="G1692" s="43"/>
      <c r="H1692" s="40" t="str" cm="1">
        <f t="array" ref="H1692">IFERROR(INDEX(DB!P$2:P$2576,T1692),"")</f>
        <v/>
      </c>
      <c r="I1692" s="43"/>
      <c r="J1692" s="53" t="str" cm="1">
        <f t="array" ref="J1692">IFERROR(INDEX(DB!Q$2:Q$2576,T1692),"")</f>
        <v/>
      </c>
      <c r="K1692" s="43"/>
      <c r="L1692" s="41" t="str" cm="1">
        <f t="array" ref="L1692">IFERROR(INDEX(DB!R$2:R$2576,T1692),"")</f>
        <v/>
      </c>
      <c r="M1692" s="43"/>
      <c r="P1692" t="str" cm="1">
        <f t="array" ref="P1692">IFERROR(_xlfn.AGGREGATE(15,6,ROW(DB!A$2:A$2576)/((($D$3&lt;&gt;"YES")+($D$3="YES")*(DB!E$2:E$2576="YES"))*(($D$4="")+($D$4&lt;&gt;"")*( DB!B$2:B$2576=$D$4))*(($D$5="")+($D$5&lt;&gt;"")*( DB!C$2:C$2576=$D$5))*(($D$6="")+($D$6&lt;&gt;"")*( DB!D$2:D$2576=$D$6))*(($D$7="")+($D$7&lt;&gt;"")*(ISNUMBER(SEARCH($D$7,DB!G$2:G$2576))))*(($F$7="전체")+($F$7&lt;&gt;"전체")*(DB!H$2:H$2576=$F$7))),ROW()-13)-1,"")</f>
        <v/>
      </c>
      <c r="Q1692" t="str" cm="1">
        <f t="array" ref="Q1692">IFERROR(INDEX(DB!G$2:G$2576,P1692),"")</f>
        <v/>
      </c>
      <c r="R1692" t="str" cm="1">
        <f t="array" ref="R1692">IFERROR(INDEX(DB!O$2:O$2576,P1692),"")</f>
        <v/>
      </c>
      <c r="S1692" t="str">
        <f t="shared" si="81"/>
        <v/>
      </c>
      <c r="T1692" t="str">
        <f t="shared" si="82"/>
        <v/>
      </c>
    </row>
    <row r="1693" spans="1:20" ht="100" customHeight="1">
      <c r="A1693" s="26"/>
      <c r="B1693" s="42" t="str">
        <f t="shared" si="80"/>
        <v/>
      </c>
      <c r="C1693" s="43"/>
      <c r="D1693" s="51" t="str" cm="1">
        <f t="array" ref="D1693">IFERROR(INDEX(DB!G$2:G$2576,T1693),"")</f>
        <v/>
      </c>
      <c r="E1693" s="43"/>
      <c r="F1693" s="52" t="str" cm="1">
        <f t="array" ref="F1693">IFERROR(INDEX(DB!O$2:O$2576,T1693),"")</f>
        <v/>
      </c>
      <c r="G1693" s="43"/>
      <c r="H1693" s="40" t="str" cm="1">
        <f t="array" ref="H1693">IFERROR(INDEX(DB!P$2:P$2576,T1693),"")</f>
        <v/>
      </c>
      <c r="I1693" s="43"/>
      <c r="J1693" s="53" t="str" cm="1">
        <f t="array" ref="J1693">IFERROR(INDEX(DB!Q$2:Q$2576,T1693),"")</f>
        <v/>
      </c>
      <c r="K1693" s="43"/>
      <c r="L1693" s="41" t="str" cm="1">
        <f t="array" ref="L1693">IFERROR(INDEX(DB!R$2:R$2576,T1693),"")</f>
        <v/>
      </c>
      <c r="M1693" s="43"/>
      <c r="P1693" t="str" cm="1">
        <f t="array" ref="P1693">IFERROR(_xlfn.AGGREGATE(15,6,ROW(DB!A$2:A$2576)/((($D$3&lt;&gt;"YES")+($D$3="YES")*(DB!E$2:E$2576="YES"))*(($D$4="")+($D$4&lt;&gt;"")*( DB!B$2:B$2576=$D$4))*(($D$5="")+($D$5&lt;&gt;"")*( DB!C$2:C$2576=$D$5))*(($D$6="")+($D$6&lt;&gt;"")*( DB!D$2:D$2576=$D$6))*(($D$7="")+($D$7&lt;&gt;"")*(ISNUMBER(SEARCH($D$7,DB!G$2:G$2576))))*(($F$7="전체")+($F$7&lt;&gt;"전체")*(DB!H$2:H$2576=$F$7))),ROW()-13)-1,"")</f>
        <v/>
      </c>
      <c r="Q1693" t="str" cm="1">
        <f t="array" ref="Q1693">IFERROR(INDEX(DB!G$2:G$2576,P1693),"")</f>
        <v/>
      </c>
      <c r="R1693" t="str" cm="1">
        <f t="array" ref="R1693">IFERROR(INDEX(DB!O$2:O$2576,P1693),"")</f>
        <v/>
      </c>
      <c r="S1693" t="str">
        <f t="shared" si="81"/>
        <v/>
      </c>
      <c r="T1693" t="str">
        <f t="shared" si="82"/>
        <v/>
      </c>
    </row>
    <row r="1694" spans="1:20" ht="100" customHeight="1">
      <c r="A1694" s="26"/>
      <c r="B1694" s="39" t="str">
        <f t="shared" si="80"/>
        <v/>
      </c>
      <c r="C1694" s="43"/>
      <c r="D1694" s="51" t="str" cm="1">
        <f t="array" ref="D1694">IFERROR(INDEX(DB!G$2:G$2576,T1694),"")</f>
        <v/>
      </c>
      <c r="E1694" s="43"/>
      <c r="F1694" s="52" t="str" cm="1">
        <f t="array" ref="F1694">IFERROR(INDEX(DB!O$2:O$2576,T1694),"")</f>
        <v/>
      </c>
      <c r="G1694" s="43"/>
      <c r="H1694" s="40" t="str" cm="1">
        <f t="array" ref="H1694">IFERROR(INDEX(DB!P$2:P$2576,T1694),"")</f>
        <v/>
      </c>
      <c r="I1694" s="43"/>
      <c r="J1694" s="53" t="str" cm="1">
        <f t="array" ref="J1694">IFERROR(INDEX(DB!Q$2:Q$2576,T1694),"")</f>
        <v/>
      </c>
      <c r="K1694" s="43"/>
      <c r="L1694" s="41" t="str" cm="1">
        <f t="array" ref="L1694">IFERROR(INDEX(DB!R$2:R$2576,T1694),"")</f>
        <v/>
      </c>
      <c r="M1694" s="43"/>
      <c r="P1694" t="str" cm="1">
        <f t="array" ref="P1694">IFERROR(_xlfn.AGGREGATE(15,6,ROW(DB!A$2:A$2576)/((($D$3&lt;&gt;"YES")+($D$3="YES")*(DB!E$2:E$2576="YES"))*(($D$4="")+($D$4&lt;&gt;"")*( DB!B$2:B$2576=$D$4))*(($D$5="")+($D$5&lt;&gt;"")*( DB!C$2:C$2576=$D$5))*(($D$6="")+($D$6&lt;&gt;"")*( DB!D$2:D$2576=$D$6))*(($D$7="")+($D$7&lt;&gt;"")*(ISNUMBER(SEARCH($D$7,DB!G$2:G$2576))))*(($F$7="전체")+($F$7&lt;&gt;"전체")*(DB!H$2:H$2576=$F$7))),ROW()-13)-1,"")</f>
        <v/>
      </c>
      <c r="Q1694" t="str" cm="1">
        <f t="array" ref="Q1694">IFERROR(INDEX(DB!G$2:G$2576,P1694),"")</f>
        <v/>
      </c>
      <c r="R1694" t="str" cm="1">
        <f t="array" ref="R1694">IFERROR(INDEX(DB!O$2:O$2576,P1694),"")</f>
        <v/>
      </c>
      <c r="S1694" t="str">
        <f t="shared" si="81"/>
        <v/>
      </c>
      <c r="T1694" t="str">
        <f t="shared" si="82"/>
        <v/>
      </c>
    </row>
    <row r="1695" spans="1:20" ht="100" customHeight="1">
      <c r="A1695" s="26"/>
      <c r="B1695" s="42" t="str">
        <f t="shared" si="80"/>
        <v/>
      </c>
      <c r="C1695" s="43"/>
      <c r="D1695" s="51" t="str" cm="1">
        <f t="array" ref="D1695">IFERROR(INDEX(DB!G$2:G$2576,T1695),"")</f>
        <v/>
      </c>
      <c r="E1695" s="43"/>
      <c r="F1695" s="52" t="str" cm="1">
        <f t="array" ref="F1695">IFERROR(INDEX(DB!O$2:O$2576,T1695),"")</f>
        <v/>
      </c>
      <c r="G1695" s="43"/>
      <c r="H1695" s="40" t="str" cm="1">
        <f t="array" ref="H1695">IFERROR(INDEX(DB!P$2:P$2576,T1695),"")</f>
        <v/>
      </c>
      <c r="I1695" s="43"/>
      <c r="J1695" s="53" t="str" cm="1">
        <f t="array" ref="J1695">IFERROR(INDEX(DB!Q$2:Q$2576,T1695),"")</f>
        <v/>
      </c>
      <c r="K1695" s="43"/>
      <c r="L1695" s="41" t="str" cm="1">
        <f t="array" ref="L1695">IFERROR(INDEX(DB!R$2:R$2576,T1695),"")</f>
        <v/>
      </c>
      <c r="M1695" s="43"/>
      <c r="P1695" t="str" cm="1">
        <f t="array" ref="P1695">IFERROR(_xlfn.AGGREGATE(15,6,ROW(DB!A$2:A$2576)/((($D$3&lt;&gt;"YES")+($D$3="YES")*(DB!E$2:E$2576="YES"))*(($D$4="")+($D$4&lt;&gt;"")*( DB!B$2:B$2576=$D$4))*(($D$5="")+($D$5&lt;&gt;"")*( DB!C$2:C$2576=$D$5))*(($D$6="")+($D$6&lt;&gt;"")*( DB!D$2:D$2576=$D$6))*(($D$7="")+($D$7&lt;&gt;"")*(ISNUMBER(SEARCH($D$7,DB!G$2:G$2576))))*(($F$7="전체")+($F$7&lt;&gt;"전체")*(DB!H$2:H$2576=$F$7))),ROW()-13)-1,"")</f>
        <v/>
      </c>
      <c r="Q1695" t="str" cm="1">
        <f t="array" ref="Q1695">IFERROR(INDEX(DB!G$2:G$2576,P1695),"")</f>
        <v/>
      </c>
      <c r="R1695" t="str" cm="1">
        <f t="array" ref="R1695">IFERROR(INDEX(DB!O$2:O$2576,P1695),"")</f>
        <v/>
      </c>
      <c r="S1695" t="str">
        <f t="shared" si="81"/>
        <v/>
      </c>
      <c r="T1695" t="str">
        <f t="shared" si="82"/>
        <v/>
      </c>
    </row>
    <row r="1696" spans="1:20" ht="100" customHeight="1">
      <c r="A1696" s="26"/>
      <c r="B1696" s="39" t="str">
        <f t="shared" si="80"/>
        <v/>
      </c>
      <c r="C1696" s="43"/>
      <c r="D1696" s="51" t="str" cm="1">
        <f t="array" ref="D1696">IFERROR(INDEX(DB!G$2:G$2576,T1696),"")</f>
        <v/>
      </c>
      <c r="E1696" s="43"/>
      <c r="F1696" s="52" t="str" cm="1">
        <f t="array" ref="F1696">IFERROR(INDEX(DB!O$2:O$2576,T1696),"")</f>
        <v/>
      </c>
      <c r="G1696" s="43"/>
      <c r="H1696" s="40" t="str" cm="1">
        <f t="array" ref="H1696">IFERROR(INDEX(DB!P$2:P$2576,T1696),"")</f>
        <v/>
      </c>
      <c r="I1696" s="43"/>
      <c r="J1696" s="53" t="str" cm="1">
        <f t="array" ref="J1696">IFERROR(INDEX(DB!Q$2:Q$2576,T1696),"")</f>
        <v/>
      </c>
      <c r="K1696" s="43"/>
      <c r="L1696" s="41" t="str" cm="1">
        <f t="array" ref="L1696">IFERROR(INDEX(DB!R$2:R$2576,T1696),"")</f>
        <v/>
      </c>
      <c r="M1696" s="43"/>
      <c r="P1696" t="str" cm="1">
        <f t="array" ref="P1696">IFERROR(_xlfn.AGGREGATE(15,6,ROW(DB!A$2:A$2576)/((($D$3&lt;&gt;"YES")+($D$3="YES")*(DB!E$2:E$2576="YES"))*(($D$4="")+($D$4&lt;&gt;"")*( DB!B$2:B$2576=$D$4))*(($D$5="")+($D$5&lt;&gt;"")*( DB!C$2:C$2576=$D$5))*(($D$6="")+($D$6&lt;&gt;"")*( DB!D$2:D$2576=$D$6))*(($D$7="")+($D$7&lt;&gt;"")*(ISNUMBER(SEARCH($D$7,DB!G$2:G$2576))))*(($F$7="전체")+($F$7&lt;&gt;"전체")*(DB!H$2:H$2576=$F$7))),ROW()-13)-1,"")</f>
        <v/>
      </c>
      <c r="Q1696" t="str" cm="1">
        <f t="array" ref="Q1696">IFERROR(INDEX(DB!G$2:G$2576,P1696),"")</f>
        <v/>
      </c>
      <c r="R1696" t="str" cm="1">
        <f t="array" ref="R1696">IFERROR(INDEX(DB!O$2:O$2576,P1696),"")</f>
        <v/>
      </c>
      <c r="S1696" t="str">
        <f t="shared" si="81"/>
        <v/>
      </c>
      <c r="T1696" t="str">
        <f t="shared" si="82"/>
        <v/>
      </c>
    </row>
    <row r="1697" spans="1:20" ht="100" customHeight="1">
      <c r="A1697" s="26"/>
      <c r="B1697" s="42" t="str">
        <f t="shared" si="80"/>
        <v/>
      </c>
      <c r="C1697" s="43"/>
      <c r="D1697" s="51" t="str" cm="1">
        <f t="array" ref="D1697">IFERROR(INDEX(DB!G$2:G$2576,T1697),"")</f>
        <v/>
      </c>
      <c r="E1697" s="43"/>
      <c r="F1697" s="52" t="str" cm="1">
        <f t="array" ref="F1697">IFERROR(INDEX(DB!O$2:O$2576,T1697),"")</f>
        <v/>
      </c>
      <c r="G1697" s="43"/>
      <c r="H1697" s="40" t="str" cm="1">
        <f t="array" ref="H1697">IFERROR(INDEX(DB!P$2:P$2576,T1697),"")</f>
        <v/>
      </c>
      <c r="I1697" s="43"/>
      <c r="J1697" s="53" t="str" cm="1">
        <f t="array" ref="J1697">IFERROR(INDEX(DB!Q$2:Q$2576,T1697),"")</f>
        <v/>
      </c>
      <c r="K1697" s="43"/>
      <c r="L1697" s="41" t="str" cm="1">
        <f t="array" ref="L1697">IFERROR(INDEX(DB!R$2:R$2576,T1697),"")</f>
        <v/>
      </c>
      <c r="M1697" s="43"/>
      <c r="P1697" t="str" cm="1">
        <f t="array" ref="P1697">IFERROR(_xlfn.AGGREGATE(15,6,ROW(DB!A$2:A$2576)/((($D$3&lt;&gt;"YES")+($D$3="YES")*(DB!E$2:E$2576="YES"))*(($D$4="")+($D$4&lt;&gt;"")*( DB!B$2:B$2576=$D$4))*(($D$5="")+($D$5&lt;&gt;"")*( DB!C$2:C$2576=$D$5))*(($D$6="")+($D$6&lt;&gt;"")*( DB!D$2:D$2576=$D$6))*(($D$7="")+($D$7&lt;&gt;"")*(ISNUMBER(SEARCH($D$7,DB!G$2:G$2576))))*(($F$7="전체")+($F$7&lt;&gt;"전체")*(DB!H$2:H$2576=$F$7))),ROW()-13)-1,"")</f>
        <v/>
      </c>
      <c r="Q1697" t="str" cm="1">
        <f t="array" ref="Q1697">IFERROR(INDEX(DB!G$2:G$2576,P1697),"")</f>
        <v/>
      </c>
      <c r="R1697" t="str" cm="1">
        <f t="array" ref="R1697">IFERROR(INDEX(DB!O$2:O$2576,P1697),"")</f>
        <v/>
      </c>
      <c r="S1697" t="str">
        <f t="shared" si="81"/>
        <v/>
      </c>
      <c r="T1697" t="str">
        <f t="shared" si="82"/>
        <v/>
      </c>
    </row>
    <row r="1698" spans="1:20" ht="100" customHeight="1">
      <c r="A1698" s="26"/>
      <c r="B1698" s="39" t="str">
        <f t="shared" si="80"/>
        <v/>
      </c>
      <c r="C1698" s="43"/>
      <c r="D1698" s="51" t="str" cm="1">
        <f t="array" ref="D1698">IFERROR(INDEX(DB!G$2:G$2576,T1698),"")</f>
        <v/>
      </c>
      <c r="E1698" s="43"/>
      <c r="F1698" s="52" t="str" cm="1">
        <f t="array" ref="F1698">IFERROR(INDEX(DB!O$2:O$2576,T1698),"")</f>
        <v/>
      </c>
      <c r="G1698" s="43"/>
      <c r="H1698" s="40" t="str" cm="1">
        <f t="array" ref="H1698">IFERROR(INDEX(DB!P$2:P$2576,T1698),"")</f>
        <v/>
      </c>
      <c r="I1698" s="43"/>
      <c r="J1698" s="53" t="str" cm="1">
        <f t="array" ref="J1698">IFERROR(INDEX(DB!Q$2:Q$2576,T1698),"")</f>
        <v/>
      </c>
      <c r="K1698" s="43"/>
      <c r="L1698" s="41" t="str" cm="1">
        <f t="array" ref="L1698">IFERROR(INDEX(DB!R$2:R$2576,T1698),"")</f>
        <v/>
      </c>
      <c r="M1698" s="43"/>
      <c r="P1698" t="str" cm="1">
        <f t="array" ref="P1698">IFERROR(_xlfn.AGGREGATE(15,6,ROW(DB!A$2:A$2576)/((($D$3&lt;&gt;"YES")+($D$3="YES")*(DB!E$2:E$2576="YES"))*(($D$4="")+($D$4&lt;&gt;"")*( DB!B$2:B$2576=$D$4))*(($D$5="")+($D$5&lt;&gt;"")*( DB!C$2:C$2576=$D$5))*(($D$6="")+($D$6&lt;&gt;"")*( DB!D$2:D$2576=$D$6))*(($D$7="")+($D$7&lt;&gt;"")*(ISNUMBER(SEARCH($D$7,DB!G$2:G$2576))))*(($F$7="전체")+($F$7&lt;&gt;"전체")*(DB!H$2:H$2576=$F$7))),ROW()-13)-1,"")</f>
        <v/>
      </c>
      <c r="Q1698" t="str" cm="1">
        <f t="array" ref="Q1698">IFERROR(INDEX(DB!G$2:G$2576,P1698),"")</f>
        <v/>
      </c>
      <c r="R1698" t="str" cm="1">
        <f t="array" ref="R1698">IFERROR(INDEX(DB!O$2:O$2576,P1698),"")</f>
        <v/>
      </c>
      <c r="S1698" t="str">
        <f t="shared" si="81"/>
        <v/>
      </c>
      <c r="T1698" t="str">
        <f t="shared" si="82"/>
        <v/>
      </c>
    </row>
    <row r="1699" spans="1:20" ht="100" customHeight="1">
      <c r="A1699" s="26"/>
      <c r="B1699" s="42" t="str">
        <f t="shared" si="80"/>
        <v/>
      </c>
      <c r="C1699" s="43"/>
      <c r="D1699" s="51" t="str" cm="1">
        <f t="array" ref="D1699">IFERROR(INDEX(DB!G$2:G$2576,T1699),"")</f>
        <v/>
      </c>
      <c r="E1699" s="43"/>
      <c r="F1699" s="52" t="str" cm="1">
        <f t="array" ref="F1699">IFERROR(INDEX(DB!O$2:O$2576,T1699),"")</f>
        <v/>
      </c>
      <c r="G1699" s="43"/>
      <c r="H1699" s="40" t="str" cm="1">
        <f t="array" ref="H1699">IFERROR(INDEX(DB!P$2:P$2576,T1699),"")</f>
        <v/>
      </c>
      <c r="I1699" s="43"/>
      <c r="J1699" s="53" t="str" cm="1">
        <f t="array" ref="J1699">IFERROR(INDEX(DB!Q$2:Q$2576,T1699),"")</f>
        <v/>
      </c>
      <c r="K1699" s="43"/>
      <c r="L1699" s="41" t="str" cm="1">
        <f t="array" ref="L1699">IFERROR(INDEX(DB!R$2:R$2576,T1699),"")</f>
        <v/>
      </c>
      <c r="M1699" s="43"/>
      <c r="P1699" t="str" cm="1">
        <f t="array" ref="P1699">IFERROR(_xlfn.AGGREGATE(15,6,ROW(DB!A$2:A$2576)/((($D$3&lt;&gt;"YES")+($D$3="YES")*(DB!E$2:E$2576="YES"))*(($D$4="")+($D$4&lt;&gt;"")*( DB!B$2:B$2576=$D$4))*(($D$5="")+($D$5&lt;&gt;"")*( DB!C$2:C$2576=$D$5))*(($D$6="")+($D$6&lt;&gt;"")*( DB!D$2:D$2576=$D$6))*(($D$7="")+($D$7&lt;&gt;"")*(ISNUMBER(SEARCH($D$7,DB!G$2:G$2576))))*(($F$7="전체")+($F$7&lt;&gt;"전체")*(DB!H$2:H$2576=$F$7))),ROW()-13)-1,"")</f>
        <v/>
      </c>
      <c r="Q1699" t="str" cm="1">
        <f t="array" ref="Q1699">IFERROR(INDEX(DB!G$2:G$2576,P1699),"")</f>
        <v/>
      </c>
      <c r="R1699" t="str" cm="1">
        <f t="array" ref="R1699">IFERROR(INDEX(DB!O$2:O$2576,P1699),"")</f>
        <v/>
      </c>
      <c r="S1699" t="str">
        <f t="shared" si="81"/>
        <v/>
      </c>
      <c r="T1699" t="str">
        <f t="shared" si="82"/>
        <v/>
      </c>
    </row>
    <row r="1700" spans="1:20" ht="100" customHeight="1">
      <c r="A1700" s="26"/>
      <c r="B1700" s="39" t="str">
        <f t="shared" si="80"/>
        <v/>
      </c>
      <c r="C1700" s="43"/>
      <c r="D1700" s="51" t="str" cm="1">
        <f t="array" ref="D1700">IFERROR(INDEX(DB!G$2:G$2576,T1700),"")</f>
        <v/>
      </c>
      <c r="E1700" s="43"/>
      <c r="F1700" s="52" t="str" cm="1">
        <f t="array" ref="F1700">IFERROR(INDEX(DB!O$2:O$2576,T1700),"")</f>
        <v/>
      </c>
      <c r="G1700" s="43"/>
      <c r="H1700" s="40" t="str" cm="1">
        <f t="array" ref="H1700">IFERROR(INDEX(DB!P$2:P$2576,T1700),"")</f>
        <v/>
      </c>
      <c r="I1700" s="43"/>
      <c r="J1700" s="53" t="str" cm="1">
        <f t="array" ref="J1700">IFERROR(INDEX(DB!Q$2:Q$2576,T1700),"")</f>
        <v/>
      </c>
      <c r="K1700" s="43"/>
      <c r="L1700" s="41" t="str" cm="1">
        <f t="array" ref="L1700">IFERROR(INDEX(DB!R$2:R$2576,T1700),"")</f>
        <v/>
      </c>
      <c r="M1700" s="43"/>
      <c r="P1700" t="str" cm="1">
        <f t="array" ref="P1700">IFERROR(_xlfn.AGGREGATE(15,6,ROW(DB!A$2:A$2576)/((($D$3&lt;&gt;"YES")+($D$3="YES")*(DB!E$2:E$2576="YES"))*(($D$4="")+($D$4&lt;&gt;"")*( DB!B$2:B$2576=$D$4))*(($D$5="")+($D$5&lt;&gt;"")*( DB!C$2:C$2576=$D$5))*(($D$6="")+($D$6&lt;&gt;"")*( DB!D$2:D$2576=$D$6))*(($D$7="")+($D$7&lt;&gt;"")*(ISNUMBER(SEARCH($D$7,DB!G$2:G$2576))))*(($F$7="전체")+($F$7&lt;&gt;"전체")*(DB!H$2:H$2576=$F$7))),ROW()-13)-1,"")</f>
        <v/>
      </c>
      <c r="Q1700" t="str" cm="1">
        <f t="array" ref="Q1700">IFERROR(INDEX(DB!G$2:G$2576,P1700),"")</f>
        <v/>
      </c>
      <c r="R1700" t="str" cm="1">
        <f t="array" ref="R1700">IFERROR(INDEX(DB!O$2:O$2576,P1700),"")</f>
        <v/>
      </c>
      <c r="S1700" t="str">
        <f t="shared" si="81"/>
        <v/>
      </c>
      <c r="T1700" t="str">
        <f t="shared" si="82"/>
        <v/>
      </c>
    </row>
    <row r="1701" spans="1:20" ht="100" customHeight="1">
      <c r="A1701" s="26"/>
      <c r="B1701" s="42" t="str">
        <f t="shared" si="80"/>
        <v/>
      </c>
      <c r="C1701" s="43"/>
      <c r="D1701" s="51" t="str" cm="1">
        <f t="array" ref="D1701">IFERROR(INDEX(DB!G$2:G$2576,T1701),"")</f>
        <v/>
      </c>
      <c r="E1701" s="43"/>
      <c r="F1701" s="52" t="str" cm="1">
        <f t="array" ref="F1701">IFERROR(INDEX(DB!O$2:O$2576,T1701),"")</f>
        <v/>
      </c>
      <c r="G1701" s="43"/>
      <c r="H1701" s="40" t="str" cm="1">
        <f t="array" ref="H1701">IFERROR(INDEX(DB!P$2:P$2576,T1701),"")</f>
        <v/>
      </c>
      <c r="I1701" s="43"/>
      <c r="J1701" s="53" t="str" cm="1">
        <f t="array" ref="J1701">IFERROR(INDEX(DB!Q$2:Q$2576,T1701),"")</f>
        <v/>
      </c>
      <c r="K1701" s="43"/>
      <c r="L1701" s="41" t="str" cm="1">
        <f t="array" ref="L1701">IFERROR(INDEX(DB!R$2:R$2576,T1701),"")</f>
        <v/>
      </c>
      <c r="M1701" s="43"/>
      <c r="P1701" t="str" cm="1">
        <f t="array" ref="P1701">IFERROR(_xlfn.AGGREGATE(15,6,ROW(DB!A$2:A$2576)/((($D$3&lt;&gt;"YES")+($D$3="YES")*(DB!E$2:E$2576="YES"))*(($D$4="")+($D$4&lt;&gt;"")*( DB!B$2:B$2576=$D$4))*(($D$5="")+($D$5&lt;&gt;"")*( DB!C$2:C$2576=$D$5))*(($D$6="")+($D$6&lt;&gt;"")*( DB!D$2:D$2576=$D$6))*(($D$7="")+($D$7&lt;&gt;"")*(ISNUMBER(SEARCH($D$7,DB!G$2:G$2576))))*(($F$7="전체")+($F$7&lt;&gt;"전체")*(DB!H$2:H$2576=$F$7))),ROW()-13)-1,"")</f>
        <v/>
      </c>
      <c r="Q1701" t="str" cm="1">
        <f t="array" ref="Q1701">IFERROR(INDEX(DB!G$2:G$2576,P1701),"")</f>
        <v/>
      </c>
      <c r="R1701" t="str" cm="1">
        <f t="array" ref="R1701">IFERROR(INDEX(DB!O$2:O$2576,P1701),"")</f>
        <v/>
      </c>
      <c r="S1701" t="str">
        <f t="shared" si="81"/>
        <v/>
      </c>
      <c r="T1701" t="str">
        <f t="shared" si="82"/>
        <v/>
      </c>
    </row>
    <row r="1702" spans="1:20" ht="100" customHeight="1">
      <c r="A1702" s="26"/>
      <c r="B1702" s="39" t="str">
        <f t="shared" si="80"/>
        <v/>
      </c>
      <c r="C1702" s="43"/>
      <c r="D1702" s="51" t="str" cm="1">
        <f t="array" ref="D1702">IFERROR(INDEX(DB!G$2:G$2576,T1702),"")</f>
        <v/>
      </c>
      <c r="E1702" s="43"/>
      <c r="F1702" s="52" t="str" cm="1">
        <f t="array" ref="F1702">IFERROR(INDEX(DB!O$2:O$2576,T1702),"")</f>
        <v/>
      </c>
      <c r="G1702" s="43"/>
      <c r="H1702" s="40" t="str" cm="1">
        <f t="array" ref="H1702">IFERROR(INDEX(DB!P$2:P$2576,T1702),"")</f>
        <v/>
      </c>
      <c r="I1702" s="43"/>
      <c r="J1702" s="53" t="str" cm="1">
        <f t="array" ref="J1702">IFERROR(INDEX(DB!Q$2:Q$2576,T1702),"")</f>
        <v/>
      </c>
      <c r="K1702" s="43"/>
      <c r="L1702" s="41" t="str" cm="1">
        <f t="array" ref="L1702">IFERROR(INDEX(DB!R$2:R$2576,T1702),"")</f>
        <v/>
      </c>
      <c r="M1702" s="43"/>
      <c r="P1702" t="str" cm="1">
        <f t="array" ref="P1702">IFERROR(_xlfn.AGGREGATE(15,6,ROW(DB!A$2:A$2576)/((($D$3&lt;&gt;"YES")+($D$3="YES")*(DB!E$2:E$2576="YES"))*(($D$4="")+($D$4&lt;&gt;"")*( DB!B$2:B$2576=$D$4))*(($D$5="")+($D$5&lt;&gt;"")*( DB!C$2:C$2576=$D$5))*(($D$6="")+($D$6&lt;&gt;"")*( DB!D$2:D$2576=$D$6))*(($D$7="")+($D$7&lt;&gt;"")*(ISNUMBER(SEARCH($D$7,DB!G$2:G$2576))))*(($F$7="전체")+($F$7&lt;&gt;"전체")*(DB!H$2:H$2576=$F$7))),ROW()-13)-1,"")</f>
        <v/>
      </c>
      <c r="Q1702" t="str" cm="1">
        <f t="array" ref="Q1702">IFERROR(INDEX(DB!G$2:G$2576,P1702),"")</f>
        <v/>
      </c>
      <c r="R1702" t="str" cm="1">
        <f t="array" ref="R1702">IFERROR(INDEX(DB!O$2:O$2576,P1702),"")</f>
        <v/>
      </c>
      <c r="S1702" t="str">
        <f t="shared" si="81"/>
        <v/>
      </c>
      <c r="T1702" t="str">
        <f t="shared" si="82"/>
        <v/>
      </c>
    </row>
    <row r="1703" spans="1:20" ht="100" customHeight="1">
      <c r="A1703" s="26"/>
      <c r="B1703" s="42" t="str">
        <f t="shared" si="80"/>
        <v/>
      </c>
      <c r="C1703" s="43"/>
      <c r="D1703" s="51" t="str" cm="1">
        <f t="array" ref="D1703">IFERROR(INDEX(DB!G$2:G$2576,T1703),"")</f>
        <v/>
      </c>
      <c r="E1703" s="43"/>
      <c r="F1703" s="52" t="str" cm="1">
        <f t="array" ref="F1703">IFERROR(INDEX(DB!O$2:O$2576,T1703),"")</f>
        <v/>
      </c>
      <c r="G1703" s="43"/>
      <c r="H1703" s="40" t="str" cm="1">
        <f t="array" ref="H1703">IFERROR(INDEX(DB!P$2:P$2576,T1703),"")</f>
        <v/>
      </c>
      <c r="I1703" s="43"/>
      <c r="J1703" s="53" t="str" cm="1">
        <f t="array" ref="J1703">IFERROR(INDEX(DB!Q$2:Q$2576,T1703),"")</f>
        <v/>
      </c>
      <c r="K1703" s="43"/>
      <c r="L1703" s="41" t="str" cm="1">
        <f t="array" ref="L1703">IFERROR(INDEX(DB!R$2:R$2576,T1703),"")</f>
        <v/>
      </c>
      <c r="M1703" s="43"/>
      <c r="P1703" t="str" cm="1">
        <f t="array" ref="P1703">IFERROR(_xlfn.AGGREGATE(15,6,ROW(DB!A$2:A$2576)/((($D$3&lt;&gt;"YES")+($D$3="YES")*(DB!E$2:E$2576="YES"))*(($D$4="")+($D$4&lt;&gt;"")*( DB!B$2:B$2576=$D$4))*(($D$5="")+($D$5&lt;&gt;"")*( DB!C$2:C$2576=$D$5))*(($D$6="")+($D$6&lt;&gt;"")*( DB!D$2:D$2576=$D$6))*(($D$7="")+($D$7&lt;&gt;"")*(ISNUMBER(SEARCH($D$7,DB!G$2:G$2576))))*(($F$7="전체")+($F$7&lt;&gt;"전체")*(DB!H$2:H$2576=$F$7))),ROW()-13)-1,"")</f>
        <v/>
      </c>
      <c r="Q1703" t="str" cm="1">
        <f t="array" ref="Q1703">IFERROR(INDEX(DB!G$2:G$2576,P1703),"")</f>
        <v/>
      </c>
      <c r="R1703" t="str" cm="1">
        <f t="array" ref="R1703">IFERROR(INDEX(DB!O$2:O$2576,P1703),"")</f>
        <v/>
      </c>
      <c r="S1703" t="str">
        <f t="shared" si="81"/>
        <v/>
      </c>
      <c r="T1703" t="str">
        <f t="shared" si="82"/>
        <v/>
      </c>
    </row>
    <row r="1704" spans="1:20" ht="100" customHeight="1">
      <c r="A1704" s="26"/>
      <c r="B1704" s="39" t="str">
        <f t="shared" si="80"/>
        <v/>
      </c>
      <c r="C1704" s="43"/>
      <c r="D1704" s="51" t="str" cm="1">
        <f t="array" ref="D1704">IFERROR(INDEX(DB!G$2:G$2576,T1704),"")</f>
        <v/>
      </c>
      <c r="E1704" s="43"/>
      <c r="F1704" s="52" t="str" cm="1">
        <f t="array" ref="F1704">IFERROR(INDEX(DB!O$2:O$2576,T1704),"")</f>
        <v/>
      </c>
      <c r="G1704" s="43"/>
      <c r="H1704" s="40" t="str" cm="1">
        <f t="array" ref="H1704">IFERROR(INDEX(DB!P$2:P$2576,T1704),"")</f>
        <v/>
      </c>
      <c r="I1704" s="43"/>
      <c r="J1704" s="53" t="str" cm="1">
        <f t="array" ref="J1704">IFERROR(INDEX(DB!Q$2:Q$2576,T1704),"")</f>
        <v/>
      </c>
      <c r="K1704" s="43"/>
      <c r="L1704" s="41" t="str" cm="1">
        <f t="array" ref="L1704">IFERROR(INDEX(DB!R$2:R$2576,T1704),"")</f>
        <v/>
      </c>
      <c r="M1704" s="43"/>
      <c r="P1704" t="str" cm="1">
        <f t="array" ref="P1704">IFERROR(_xlfn.AGGREGATE(15,6,ROW(DB!A$2:A$2576)/((($D$3&lt;&gt;"YES")+($D$3="YES")*(DB!E$2:E$2576="YES"))*(($D$4="")+($D$4&lt;&gt;"")*( DB!B$2:B$2576=$D$4))*(($D$5="")+($D$5&lt;&gt;"")*( DB!C$2:C$2576=$D$5))*(($D$6="")+($D$6&lt;&gt;"")*( DB!D$2:D$2576=$D$6))*(($D$7="")+($D$7&lt;&gt;"")*(ISNUMBER(SEARCH($D$7,DB!G$2:G$2576))))*(($F$7="전체")+($F$7&lt;&gt;"전체")*(DB!H$2:H$2576=$F$7))),ROW()-13)-1,"")</f>
        <v/>
      </c>
      <c r="Q1704" t="str" cm="1">
        <f t="array" ref="Q1704">IFERROR(INDEX(DB!G$2:G$2576,P1704),"")</f>
        <v/>
      </c>
      <c r="R1704" t="str" cm="1">
        <f t="array" ref="R1704">IFERROR(INDEX(DB!O$2:O$2576,P1704),"")</f>
        <v/>
      </c>
      <c r="S1704" t="str">
        <f t="shared" si="81"/>
        <v/>
      </c>
      <c r="T1704" t="str">
        <f t="shared" si="82"/>
        <v/>
      </c>
    </row>
    <row r="1705" spans="1:20" ht="100" customHeight="1">
      <c r="A1705" s="26"/>
      <c r="B1705" s="42" t="str">
        <f t="shared" si="80"/>
        <v/>
      </c>
      <c r="C1705" s="43"/>
      <c r="D1705" s="51" t="str" cm="1">
        <f t="array" ref="D1705">IFERROR(INDEX(DB!G$2:G$2576,T1705),"")</f>
        <v/>
      </c>
      <c r="E1705" s="43"/>
      <c r="F1705" s="52" t="str" cm="1">
        <f t="array" ref="F1705">IFERROR(INDEX(DB!O$2:O$2576,T1705),"")</f>
        <v/>
      </c>
      <c r="G1705" s="43"/>
      <c r="H1705" s="40" t="str" cm="1">
        <f t="array" ref="H1705">IFERROR(INDEX(DB!P$2:P$2576,T1705),"")</f>
        <v/>
      </c>
      <c r="I1705" s="43"/>
      <c r="J1705" s="53" t="str" cm="1">
        <f t="array" ref="J1705">IFERROR(INDEX(DB!Q$2:Q$2576,T1705),"")</f>
        <v/>
      </c>
      <c r="K1705" s="43"/>
      <c r="L1705" s="41" t="str" cm="1">
        <f t="array" ref="L1705">IFERROR(INDEX(DB!R$2:R$2576,T1705),"")</f>
        <v/>
      </c>
      <c r="M1705" s="43"/>
      <c r="P1705" t="str" cm="1">
        <f t="array" ref="P1705">IFERROR(_xlfn.AGGREGATE(15,6,ROW(DB!A$2:A$2576)/((($D$3&lt;&gt;"YES")+($D$3="YES")*(DB!E$2:E$2576="YES"))*(($D$4="")+($D$4&lt;&gt;"")*( DB!B$2:B$2576=$D$4))*(($D$5="")+($D$5&lt;&gt;"")*( DB!C$2:C$2576=$D$5))*(($D$6="")+($D$6&lt;&gt;"")*( DB!D$2:D$2576=$D$6))*(($D$7="")+($D$7&lt;&gt;"")*(ISNUMBER(SEARCH($D$7,DB!G$2:G$2576))))*(($F$7="전체")+($F$7&lt;&gt;"전체")*(DB!H$2:H$2576=$F$7))),ROW()-13)-1,"")</f>
        <v/>
      </c>
      <c r="Q1705" t="str" cm="1">
        <f t="array" ref="Q1705">IFERROR(INDEX(DB!G$2:G$2576,P1705),"")</f>
        <v/>
      </c>
      <c r="R1705" t="str" cm="1">
        <f t="array" ref="R1705">IFERROR(INDEX(DB!O$2:O$2576,P1705),"")</f>
        <v/>
      </c>
      <c r="S1705" t="str">
        <f t="shared" si="81"/>
        <v/>
      </c>
      <c r="T1705" t="str">
        <f t="shared" si="82"/>
        <v/>
      </c>
    </row>
    <row r="1706" spans="1:20" ht="100" customHeight="1">
      <c r="A1706" s="26"/>
      <c r="B1706" s="39" t="str">
        <f t="shared" si="80"/>
        <v/>
      </c>
      <c r="C1706" s="43"/>
      <c r="D1706" s="51" t="str" cm="1">
        <f t="array" ref="D1706">IFERROR(INDEX(DB!G$2:G$2576,T1706),"")</f>
        <v/>
      </c>
      <c r="E1706" s="43"/>
      <c r="F1706" s="52" t="str" cm="1">
        <f t="array" ref="F1706">IFERROR(INDEX(DB!O$2:O$2576,T1706),"")</f>
        <v/>
      </c>
      <c r="G1706" s="43"/>
      <c r="H1706" s="40" t="str" cm="1">
        <f t="array" ref="H1706">IFERROR(INDEX(DB!P$2:P$2576,T1706),"")</f>
        <v/>
      </c>
      <c r="I1706" s="43"/>
      <c r="J1706" s="53" t="str" cm="1">
        <f t="array" ref="J1706">IFERROR(INDEX(DB!Q$2:Q$2576,T1706),"")</f>
        <v/>
      </c>
      <c r="K1706" s="43"/>
      <c r="L1706" s="41" t="str" cm="1">
        <f t="array" ref="L1706">IFERROR(INDEX(DB!R$2:R$2576,T1706),"")</f>
        <v/>
      </c>
      <c r="M1706" s="43"/>
      <c r="P1706" t="str" cm="1">
        <f t="array" ref="P1706">IFERROR(_xlfn.AGGREGATE(15,6,ROW(DB!A$2:A$2576)/((($D$3&lt;&gt;"YES")+($D$3="YES")*(DB!E$2:E$2576="YES"))*(($D$4="")+($D$4&lt;&gt;"")*( DB!B$2:B$2576=$D$4))*(($D$5="")+($D$5&lt;&gt;"")*( DB!C$2:C$2576=$D$5))*(($D$6="")+($D$6&lt;&gt;"")*( DB!D$2:D$2576=$D$6))*(($D$7="")+($D$7&lt;&gt;"")*(ISNUMBER(SEARCH($D$7,DB!G$2:G$2576))))*(($F$7="전체")+($F$7&lt;&gt;"전체")*(DB!H$2:H$2576=$F$7))),ROW()-13)-1,"")</f>
        <v/>
      </c>
      <c r="Q1706" t="str" cm="1">
        <f t="array" ref="Q1706">IFERROR(INDEX(DB!G$2:G$2576,P1706),"")</f>
        <v/>
      </c>
      <c r="R1706" t="str" cm="1">
        <f t="array" ref="R1706">IFERROR(INDEX(DB!O$2:O$2576,P1706),"")</f>
        <v/>
      </c>
      <c r="S1706" t="str">
        <f t="shared" si="81"/>
        <v/>
      </c>
      <c r="T1706" t="str">
        <f t="shared" si="82"/>
        <v/>
      </c>
    </row>
    <row r="1707" spans="1:20" ht="100" customHeight="1">
      <c r="A1707" s="26"/>
      <c r="B1707" s="42" t="str">
        <f t="shared" si="80"/>
        <v/>
      </c>
      <c r="C1707" s="43"/>
      <c r="D1707" s="51" t="str" cm="1">
        <f t="array" ref="D1707">IFERROR(INDEX(DB!G$2:G$2576,T1707),"")</f>
        <v/>
      </c>
      <c r="E1707" s="43"/>
      <c r="F1707" s="52" t="str" cm="1">
        <f t="array" ref="F1707">IFERROR(INDEX(DB!O$2:O$2576,T1707),"")</f>
        <v/>
      </c>
      <c r="G1707" s="43"/>
      <c r="H1707" s="40" t="str" cm="1">
        <f t="array" ref="H1707">IFERROR(INDEX(DB!P$2:P$2576,T1707),"")</f>
        <v/>
      </c>
      <c r="I1707" s="43"/>
      <c r="J1707" s="53" t="str" cm="1">
        <f t="array" ref="J1707">IFERROR(INDEX(DB!Q$2:Q$2576,T1707),"")</f>
        <v/>
      </c>
      <c r="K1707" s="43"/>
      <c r="L1707" s="41" t="str" cm="1">
        <f t="array" ref="L1707">IFERROR(INDEX(DB!R$2:R$2576,T1707),"")</f>
        <v/>
      </c>
      <c r="M1707" s="43"/>
      <c r="P1707" t="str" cm="1">
        <f t="array" ref="P1707">IFERROR(_xlfn.AGGREGATE(15,6,ROW(DB!A$2:A$2576)/((($D$3&lt;&gt;"YES")+($D$3="YES")*(DB!E$2:E$2576="YES"))*(($D$4="")+($D$4&lt;&gt;"")*( DB!B$2:B$2576=$D$4))*(($D$5="")+($D$5&lt;&gt;"")*( DB!C$2:C$2576=$D$5))*(($D$6="")+($D$6&lt;&gt;"")*( DB!D$2:D$2576=$D$6))*(($D$7="")+($D$7&lt;&gt;"")*(ISNUMBER(SEARCH($D$7,DB!G$2:G$2576))))*(($F$7="전체")+($F$7&lt;&gt;"전체")*(DB!H$2:H$2576=$F$7))),ROW()-13)-1,"")</f>
        <v/>
      </c>
      <c r="Q1707" t="str" cm="1">
        <f t="array" ref="Q1707">IFERROR(INDEX(DB!G$2:G$2576,P1707),"")</f>
        <v/>
      </c>
      <c r="R1707" t="str" cm="1">
        <f t="array" ref="R1707">IFERROR(INDEX(DB!O$2:O$2576,P1707),"")</f>
        <v/>
      </c>
      <c r="S1707" t="str">
        <f t="shared" si="81"/>
        <v/>
      </c>
      <c r="T1707" t="str">
        <f t="shared" si="82"/>
        <v/>
      </c>
    </row>
    <row r="1708" spans="1:20" ht="100" customHeight="1">
      <c r="A1708" s="26"/>
      <c r="B1708" s="39" t="str">
        <f t="shared" si="80"/>
        <v/>
      </c>
      <c r="C1708" s="43"/>
      <c r="D1708" s="51" t="str" cm="1">
        <f t="array" ref="D1708">IFERROR(INDEX(DB!G$2:G$2576,T1708),"")</f>
        <v/>
      </c>
      <c r="E1708" s="43"/>
      <c r="F1708" s="52" t="str" cm="1">
        <f t="array" ref="F1708">IFERROR(INDEX(DB!O$2:O$2576,T1708),"")</f>
        <v/>
      </c>
      <c r="G1708" s="43"/>
      <c r="H1708" s="40" t="str" cm="1">
        <f t="array" ref="H1708">IFERROR(INDEX(DB!P$2:P$2576,T1708),"")</f>
        <v/>
      </c>
      <c r="I1708" s="43"/>
      <c r="J1708" s="53" t="str" cm="1">
        <f t="array" ref="J1708">IFERROR(INDEX(DB!Q$2:Q$2576,T1708),"")</f>
        <v/>
      </c>
      <c r="K1708" s="43"/>
      <c r="L1708" s="41" t="str" cm="1">
        <f t="array" ref="L1708">IFERROR(INDEX(DB!R$2:R$2576,T1708),"")</f>
        <v/>
      </c>
      <c r="M1708" s="43"/>
      <c r="P1708" t="str" cm="1">
        <f t="array" ref="P1708">IFERROR(_xlfn.AGGREGATE(15,6,ROW(DB!A$2:A$2576)/((($D$3&lt;&gt;"YES")+($D$3="YES")*(DB!E$2:E$2576="YES"))*(($D$4="")+($D$4&lt;&gt;"")*( DB!B$2:B$2576=$D$4))*(($D$5="")+($D$5&lt;&gt;"")*( DB!C$2:C$2576=$D$5))*(($D$6="")+($D$6&lt;&gt;"")*( DB!D$2:D$2576=$D$6))*(($D$7="")+($D$7&lt;&gt;"")*(ISNUMBER(SEARCH($D$7,DB!G$2:G$2576))))*(($F$7="전체")+($F$7&lt;&gt;"전체")*(DB!H$2:H$2576=$F$7))),ROW()-13)-1,"")</f>
        <v/>
      </c>
      <c r="Q1708" t="str" cm="1">
        <f t="array" ref="Q1708">IFERROR(INDEX(DB!G$2:G$2576,P1708),"")</f>
        <v/>
      </c>
      <c r="R1708" t="str" cm="1">
        <f t="array" ref="R1708">IFERROR(INDEX(DB!O$2:O$2576,P1708),"")</f>
        <v/>
      </c>
      <c r="S1708" t="str">
        <f t="shared" si="81"/>
        <v/>
      </c>
      <c r="T1708" t="str">
        <f t="shared" si="82"/>
        <v/>
      </c>
    </row>
    <row r="1709" spans="1:20" ht="100" customHeight="1">
      <c r="A1709" s="26"/>
      <c r="B1709" s="42" t="str">
        <f t="shared" si="80"/>
        <v/>
      </c>
      <c r="C1709" s="43"/>
      <c r="D1709" s="51" t="str" cm="1">
        <f t="array" ref="D1709">IFERROR(INDEX(DB!G$2:G$2576,T1709),"")</f>
        <v/>
      </c>
      <c r="E1709" s="43"/>
      <c r="F1709" s="52" t="str" cm="1">
        <f t="array" ref="F1709">IFERROR(INDEX(DB!O$2:O$2576,T1709),"")</f>
        <v/>
      </c>
      <c r="G1709" s="43"/>
      <c r="H1709" s="40" t="str" cm="1">
        <f t="array" ref="H1709">IFERROR(INDEX(DB!P$2:P$2576,T1709),"")</f>
        <v/>
      </c>
      <c r="I1709" s="43"/>
      <c r="J1709" s="53" t="str" cm="1">
        <f t="array" ref="J1709">IFERROR(INDEX(DB!Q$2:Q$2576,T1709),"")</f>
        <v/>
      </c>
      <c r="K1709" s="43"/>
      <c r="L1709" s="41" t="str" cm="1">
        <f t="array" ref="L1709">IFERROR(INDEX(DB!R$2:R$2576,T1709),"")</f>
        <v/>
      </c>
      <c r="M1709" s="43"/>
      <c r="P1709" t="str" cm="1">
        <f t="array" ref="P1709">IFERROR(_xlfn.AGGREGATE(15,6,ROW(DB!A$2:A$2576)/((($D$3&lt;&gt;"YES")+($D$3="YES")*(DB!E$2:E$2576="YES"))*(($D$4="")+($D$4&lt;&gt;"")*( DB!B$2:B$2576=$D$4))*(($D$5="")+($D$5&lt;&gt;"")*( DB!C$2:C$2576=$D$5))*(($D$6="")+($D$6&lt;&gt;"")*( DB!D$2:D$2576=$D$6))*(($D$7="")+($D$7&lt;&gt;"")*(ISNUMBER(SEARCH($D$7,DB!G$2:G$2576))))*(($F$7="전체")+($F$7&lt;&gt;"전체")*(DB!H$2:H$2576=$F$7))),ROW()-13)-1,"")</f>
        <v/>
      </c>
      <c r="Q1709" t="str" cm="1">
        <f t="array" ref="Q1709">IFERROR(INDEX(DB!G$2:G$2576,P1709),"")</f>
        <v/>
      </c>
      <c r="R1709" t="str" cm="1">
        <f t="array" ref="R1709">IFERROR(INDEX(DB!O$2:O$2576,P1709),"")</f>
        <v/>
      </c>
      <c r="S1709" t="str">
        <f t="shared" si="81"/>
        <v/>
      </c>
      <c r="T1709" t="str">
        <f t="shared" si="82"/>
        <v/>
      </c>
    </row>
    <row r="1710" spans="1:20" ht="100" customHeight="1">
      <c r="A1710" s="26"/>
      <c r="B1710" s="39" t="str">
        <f t="shared" si="80"/>
        <v/>
      </c>
      <c r="C1710" s="43"/>
      <c r="D1710" s="51" t="str" cm="1">
        <f t="array" ref="D1710">IFERROR(INDEX(DB!G$2:G$2576,T1710),"")</f>
        <v/>
      </c>
      <c r="E1710" s="43"/>
      <c r="F1710" s="52" t="str" cm="1">
        <f t="array" ref="F1710">IFERROR(INDEX(DB!O$2:O$2576,T1710),"")</f>
        <v/>
      </c>
      <c r="G1710" s="43"/>
      <c r="H1710" s="40" t="str" cm="1">
        <f t="array" ref="H1710">IFERROR(INDEX(DB!P$2:P$2576,T1710),"")</f>
        <v/>
      </c>
      <c r="I1710" s="43"/>
      <c r="J1710" s="53" t="str" cm="1">
        <f t="array" ref="J1710">IFERROR(INDEX(DB!Q$2:Q$2576,T1710),"")</f>
        <v/>
      </c>
      <c r="K1710" s="43"/>
      <c r="L1710" s="41" t="str" cm="1">
        <f t="array" ref="L1710">IFERROR(INDEX(DB!R$2:R$2576,T1710),"")</f>
        <v/>
      </c>
      <c r="M1710" s="43"/>
      <c r="P1710" t="str" cm="1">
        <f t="array" ref="P1710">IFERROR(_xlfn.AGGREGATE(15,6,ROW(DB!A$2:A$2576)/((($D$3&lt;&gt;"YES")+($D$3="YES")*(DB!E$2:E$2576="YES"))*(($D$4="")+($D$4&lt;&gt;"")*( DB!B$2:B$2576=$D$4))*(($D$5="")+($D$5&lt;&gt;"")*( DB!C$2:C$2576=$D$5))*(($D$6="")+($D$6&lt;&gt;"")*( DB!D$2:D$2576=$D$6))*(($D$7="")+($D$7&lt;&gt;"")*(ISNUMBER(SEARCH($D$7,DB!G$2:G$2576))))*(($F$7="전체")+($F$7&lt;&gt;"전체")*(DB!H$2:H$2576=$F$7))),ROW()-13)-1,"")</f>
        <v/>
      </c>
      <c r="Q1710" t="str" cm="1">
        <f t="array" ref="Q1710">IFERROR(INDEX(DB!G$2:G$2576,P1710),"")</f>
        <v/>
      </c>
      <c r="R1710" t="str" cm="1">
        <f t="array" ref="R1710">IFERROR(INDEX(DB!O$2:O$2576,P1710),"")</f>
        <v/>
      </c>
      <c r="S1710" t="str">
        <f t="shared" si="81"/>
        <v/>
      </c>
      <c r="T1710" t="str">
        <f t="shared" si="82"/>
        <v/>
      </c>
    </row>
    <row r="1711" spans="1:20" ht="100" customHeight="1">
      <c r="A1711" s="26"/>
      <c r="B1711" s="42" t="str">
        <f t="shared" si="80"/>
        <v/>
      </c>
      <c r="C1711" s="43"/>
      <c r="D1711" s="51" t="str" cm="1">
        <f t="array" ref="D1711">IFERROR(INDEX(DB!G$2:G$2576,T1711),"")</f>
        <v/>
      </c>
      <c r="E1711" s="43"/>
      <c r="F1711" s="52" t="str" cm="1">
        <f t="array" ref="F1711">IFERROR(INDEX(DB!O$2:O$2576,T1711),"")</f>
        <v/>
      </c>
      <c r="G1711" s="43"/>
      <c r="H1711" s="40" t="str" cm="1">
        <f t="array" ref="H1711">IFERROR(INDEX(DB!P$2:P$2576,T1711),"")</f>
        <v/>
      </c>
      <c r="I1711" s="43"/>
      <c r="J1711" s="53" t="str" cm="1">
        <f t="array" ref="J1711">IFERROR(INDEX(DB!Q$2:Q$2576,T1711),"")</f>
        <v/>
      </c>
      <c r="K1711" s="43"/>
      <c r="L1711" s="41" t="str" cm="1">
        <f t="array" ref="L1711">IFERROR(INDEX(DB!R$2:R$2576,T1711),"")</f>
        <v/>
      </c>
      <c r="M1711" s="43"/>
      <c r="P1711" t="str" cm="1">
        <f t="array" ref="P1711">IFERROR(_xlfn.AGGREGATE(15,6,ROW(DB!A$2:A$2576)/((($D$3&lt;&gt;"YES")+($D$3="YES")*(DB!E$2:E$2576="YES"))*(($D$4="")+($D$4&lt;&gt;"")*( DB!B$2:B$2576=$D$4))*(($D$5="")+($D$5&lt;&gt;"")*( DB!C$2:C$2576=$D$5))*(($D$6="")+($D$6&lt;&gt;"")*( DB!D$2:D$2576=$D$6))*(($D$7="")+($D$7&lt;&gt;"")*(ISNUMBER(SEARCH($D$7,DB!G$2:G$2576))))*(($F$7="전체")+($F$7&lt;&gt;"전체")*(DB!H$2:H$2576=$F$7))),ROW()-13)-1,"")</f>
        <v/>
      </c>
      <c r="Q1711" t="str" cm="1">
        <f t="array" ref="Q1711">IFERROR(INDEX(DB!G$2:G$2576,P1711),"")</f>
        <v/>
      </c>
      <c r="R1711" t="str" cm="1">
        <f t="array" ref="R1711">IFERROR(INDEX(DB!O$2:O$2576,P1711),"")</f>
        <v/>
      </c>
      <c r="S1711" t="str">
        <f t="shared" si="81"/>
        <v/>
      </c>
      <c r="T1711" t="str">
        <f t="shared" si="82"/>
        <v/>
      </c>
    </row>
    <row r="1712" spans="1:20" ht="100" customHeight="1">
      <c r="A1712" s="26"/>
      <c r="B1712" s="39" t="str">
        <f t="shared" si="80"/>
        <v/>
      </c>
      <c r="C1712" s="43"/>
      <c r="D1712" s="51" t="str" cm="1">
        <f t="array" ref="D1712">IFERROR(INDEX(DB!G$2:G$2576,T1712),"")</f>
        <v/>
      </c>
      <c r="E1712" s="43"/>
      <c r="F1712" s="52" t="str" cm="1">
        <f t="array" ref="F1712">IFERROR(INDEX(DB!O$2:O$2576,T1712),"")</f>
        <v/>
      </c>
      <c r="G1712" s="43"/>
      <c r="H1712" s="40" t="str" cm="1">
        <f t="array" ref="H1712">IFERROR(INDEX(DB!P$2:P$2576,T1712),"")</f>
        <v/>
      </c>
      <c r="I1712" s="43"/>
      <c r="J1712" s="53" t="str" cm="1">
        <f t="array" ref="J1712">IFERROR(INDEX(DB!Q$2:Q$2576,T1712),"")</f>
        <v/>
      </c>
      <c r="K1712" s="43"/>
      <c r="L1712" s="41" t="str" cm="1">
        <f t="array" ref="L1712">IFERROR(INDEX(DB!R$2:R$2576,T1712),"")</f>
        <v/>
      </c>
      <c r="M1712" s="43"/>
      <c r="P1712" t="str" cm="1">
        <f t="array" ref="P1712">IFERROR(_xlfn.AGGREGATE(15,6,ROW(DB!A$2:A$2576)/((($D$3&lt;&gt;"YES")+($D$3="YES")*(DB!E$2:E$2576="YES"))*(($D$4="")+($D$4&lt;&gt;"")*( DB!B$2:B$2576=$D$4))*(($D$5="")+($D$5&lt;&gt;"")*( DB!C$2:C$2576=$D$5))*(($D$6="")+($D$6&lt;&gt;"")*( DB!D$2:D$2576=$D$6))*(($D$7="")+($D$7&lt;&gt;"")*(ISNUMBER(SEARCH($D$7,DB!G$2:G$2576))))*(($F$7="전체")+($F$7&lt;&gt;"전체")*(DB!H$2:H$2576=$F$7))),ROW()-13)-1,"")</f>
        <v/>
      </c>
      <c r="Q1712" t="str" cm="1">
        <f t="array" ref="Q1712">IFERROR(INDEX(DB!G$2:G$2576,P1712),"")</f>
        <v/>
      </c>
      <c r="R1712" t="str" cm="1">
        <f t="array" ref="R1712">IFERROR(INDEX(DB!O$2:O$2576,P1712),"")</f>
        <v/>
      </c>
      <c r="S1712" t="str">
        <f t="shared" si="81"/>
        <v/>
      </c>
      <c r="T1712" t="str">
        <f t="shared" si="82"/>
        <v/>
      </c>
    </row>
    <row r="1713" spans="1:20" ht="100" customHeight="1">
      <c r="A1713" s="26"/>
      <c r="B1713" s="42" t="str">
        <f t="shared" si="80"/>
        <v/>
      </c>
      <c r="C1713" s="43"/>
      <c r="D1713" s="51" t="str" cm="1">
        <f t="array" ref="D1713">IFERROR(INDEX(DB!G$2:G$2576,T1713),"")</f>
        <v/>
      </c>
      <c r="E1713" s="43"/>
      <c r="F1713" s="52" t="str" cm="1">
        <f t="array" ref="F1713">IFERROR(INDEX(DB!O$2:O$2576,T1713),"")</f>
        <v/>
      </c>
      <c r="G1713" s="43"/>
      <c r="H1713" s="40" t="str" cm="1">
        <f t="array" ref="H1713">IFERROR(INDEX(DB!P$2:P$2576,T1713),"")</f>
        <v/>
      </c>
      <c r="I1713" s="43"/>
      <c r="J1713" s="53" t="str" cm="1">
        <f t="array" ref="J1713">IFERROR(INDEX(DB!Q$2:Q$2576,T1713),"")</f>
        <v/>
      </c>
      <c r="K1713" s="43"/>
      <c r="L1713" s="41" t="str" cm="1">
        <f t="array" ref="L1713">IFERROR(INDEX(DB!R$2:R$2576,T1713),"")</f>
        <v/>
      </c>
      <c r="M1713" s="43"/>
      <c r="P1713" t="str" cm="1">
        <f t="array" ref="P1713">IFERROR(_xlfn.AGGREGATE(15,6,ROW(DB!A$2:A$2576)/((($D$3&lt;&gt;"YES")+($D$3="YES")*(DB!E$2:E$2576="YES"))*(($D$4="")+($D$4&lt;&gt;"")*( DB!B$2:B$2576=$D$4))*(($D$5="")+($D$5&lt;&gt;"")*( DB!C$2:C$2576=$D$5))*(($D$6="")+($D$6&lt;&gt;"")*( DB!D$2:D$2576=$D$6))*(($D$7="")+($D$7&lt;&gt;"")*(ISNUMBER(SEARCH($D$7,DB!G$2:G$2576))))*(($F$7="전체")+($F$7&lt;&gt;"전체")*(DB!H$2:H$2576=$F$7))),ROW()-13)-1,"")</f>
        <v/>
      </c>
      <c r="Q1713" t="str" cm="1">
        <f t="array" ref="Q1713">IFERROR(INDEX(DB!G$2:G$2576,P1713),"")</f>
        <v/>
      </c>
      <c r="R1713" t="str" cm="1">
        <f t="array" ref="R1713">IFERROR(INDEX(DB!O$2:O$2576,P1713),"")</f>
        <v/>
      </c>
      <c r="S1713" t="str">
        <f t="shared" si="81"/>
        <v/>
      </c>
      <c r="T1713" t="str">
        <f t="shared" si="82"/>
        <v/>
      </c>
    </row>
    <row r="1714" spans="1:20" ht="100" customHeight="1">
      <c r="A1714" s="26"/>
      <c r="B1714" s="39" t="str">
        <f t="shared" si="80"/>
        <v/>
      </c>
      <c r="C1714" s="43"/>
      <c r="D1714" s="51" t="str" cm="1">
        <f t="array" ref="D1714">IFERROR(INDEX(DB!G$2:G$2576,T1714),"")</f>
        <v/>
      </c>
      <c r="E1714" s="43"/>
      <c r="F1714" s="52" t="str" cm="1">
        <f t="array" ref="F1714">IFERROR(INDEX(DB!O$2:O$2576,T1714),"")</f>
        <v/>
      </c>
      <c r="G1714" s="43"/>
      <c r="H1714" s="40" t="str" cm="1">
        <f t="array" ref="H1714">IFERROR(INDEX(DB!P$2:P$2576,T1714),"")</f>
        <v/>
      </c>
      <c r="I1714" s="43"/>
      <c r="J1714" s="53" t="str" cm="1">
        <f t="array" ref="J1714">IFERROR(INDEX(DB!Q$2:Q$2576,T1714),"")</f>
        <v/>
      </c>
      <c r="K1714" s="43"/>
      <c r="L1714" s="41" t="str" cm="1">
        <f t="array" ref="L1714">IFERROR(INDEX(DB!R$2:R$2576,T1714),"")</f>
        <v/>
      </c>
      <c r="M1714" s="43"/>
      <c r="P1714" t="str" cm="1">
        <f t="array" ref="P1714">IFERROR(_xlfn.AGGREGATE(15,6,ROW(DB!A$2:A$2576)/((($D$3&lt;&gt;"YES")+($D$3="YES")*(DB!E$2:E$2576="YES"))*(($D$4="")+($D$4&lt;&gt;"")*( DB!B$2:B$2576=$D$4))*(($D$5="")+($D$5&lt;&gt;"")*( DB!C$2:C$2576=$D$5))*(($D$6="")+($D$6&lt;&gt;"")*( DB!D$2:D$2576=$D$6))*(($D$7="")+($D$7&lt;&gt;"")*(ISNUMBER(SEARCH($D$7,DB!G$2:G$2576))))*(($F$7="전체")+($F$7&lt;&gt;"전체")*(DB!H$2:H$2576=$F$7))),ROW()-13)-1,"")</f>
        <v/>
      </c>
      <c r="Q1714" t="str" cm="1">
        <f t="array" ref="Q1714">IFERROR(INDEX(DB!G$2:G$2576,P1714),"")</f>
        <v/>
      </c>
      <c r="R1714" t="str" cm="1">
        <f t="array" ref="R1714">IFERROR(INDEX(DB!O$2:O$2576,P1714),"")</f>
        <v/>
      </c>
      <c r="S1714" t="str">
        <f t="shared" si="81"/>
        <v/>
      </c>
      <c r="T1714" t="str">
        <f t="shared" si="82"/>
        <v/>
      </c>
    </row>
    <row r="1715" spans="1:20" ht="100" customHeight="1">
      <c r="A1715" s="26"/>
      <c r="B1715" s="42" t="str">
        <f t="shared" si="80"/>
        <v/>
      </c>
      <c r="C1715" s="43"/>
      <c r="D1715" s="51" t="str" cm="1">
        <f t="array" ref="D1715">IFERROR(INDEX(DB!G$2:G$2576,T1715),"")</f>
        <v/>
      </c>
      <c r="E1715" s="43"/>
      <c r="F1715" s="52" t="str" cm="1">
        <f t="array" ref="F1715">IFERROR(INDEX(DB!O$2:O$2576,T1715),"")</f>
        <v/>
      </c>
      <c r="G1715" s="43"/>
      <c r="H1715" s="40" t="str" cm="1">
        <f t="array" ref="H1715">IFERROR(INDEX(DB!P$2:P$2576,T1715),"")</f>
        <v/>
      </c>
      <c r="I1715" s="43"/>
      <c r="J1715" s="53" t="str" cm="1">
        <f t="array" ref="J1715">IFERROR(INDEX(DB!Q$2:Q$2576,T1715),"")</f>
        <v/>
      </c>
      <c r="K1715" s="43"/>
      <c r="L1715" s="41" t="str" cm="1">
        <f t="array" ref="L1715">IFERROR(INDEX(DB!R$2:R$2576,T1715),"")</f>
        <v/>
      </c>
      <c r="M1715" s="43"/>
      <c r="P1715" t="str" cm="1">
        <f t="array" ref="P1715">IFERROR(_xlfn.AGGREGATE(15,6,ROW(DB!A$2:A$2576)/((($D$3&lt;&gt;"YES")+($D$3="YES")*(DB!E$2:E$2576="YES"))*(($D$4="")+($D$4&lt;&gt;"")*( DB!B$2:B$2576=$D$4))*(($D$5="")+($D$5&lt;&gt;"")*( DB!C$2:C$2576=$D$5))*(($D$6="")+($D$6&lt;&gt;"")*( DB!D$2:D$2576=$D$6))*(($D$7="")+($D$7&lt;&gt;"")*(ISNUMBER(SEARCH($D$7,DB!G$2:G$2576))))*(($F$7="전체")+($F$7&lt;&gt;"전체")*(DB!H$2:H$2576=$F$7))),ROW()-13)-1,"")</f>
        <v/>
      </c>
      <c r="Q1715" t="str" cm="1">
        <f t="array" ref="Q1715">IFERROR(INDEX(DB!G$2:G$2576,P1715),"")</f>
        <v/>
      </c>
      <c r="R1715" t="str" cm="1">
        <f t="array" ref="R1715">IFERROR(INDEX(DB!O$2:O$2576,P1715),"")</f>
        <v/>
      </c>
      <c r="S1715" t="str">
        <f t="shared" si="81"/>
        <v/>
      </c>
      <c r="T1715" t="str">
        <f t="shared" si="82"/>
        <v/>
      </c>
    </row>
    <row r="1716" spans="1:20" ht="100" customHeight="1">
      <c r="A1716" s="26"/>
      <c r="B1716" s="39" t="str">
        <f t="shared" si="80"/>
        <v/>
      </c>
      <c r="C1716" s="43"/>
      <c r="D1716" s="51" t="str" cm="1">
        <f t="array" ref="D1716">IFERROR(INDEX(DB!G$2:G$2576,T1716),"")</f>
        <v/>
      </c>
      <c r="E1716" s="43"/>
      <c r="F1716" s="52" t="str" cm="1">
        <f t="array" ref="F1716">IFERROR(INDEX(DB!O$2:O$2576,T1716),"")</f>
        <v/>
      </c>
      <c r="G1716" s="43"/>
      <c r="H1716" s="40" t="str" cm="1">
        <f t="array" ref="H1716">IFERROR(INDEX(DB!P$2:P$2576,T1716),"")</f>
        <v/>
      </c>
      <c r="I1716" s="43"/>
      <c r="J1716" s="53" t="str" cm="1">
        <f t="array" ref="J1716">IFERROR(INDEX(DB!Q$2:Q$2576,T1716),"")</f>
        <v/>
      </c>
      <c r="K1716" s="43"/>
      <c r="L1716" s="41" t="str" cm="1">
        <f t="array" ref="L1716">IFERROR(INDEX(DB!R$2:R$2576,T1716),"")</f>
        <v/>
      </c>
      <c r="M1716" s="43"/>
      <c r="P1716" t="str" cm="1">
        <f t="array" ref="P1716">IFERROR(_xlfn.AGGREGATE(15,6,ROW(DB!A$2:A$2576)/((($D$3&lt;&gt;"YES")+($D$3="YES")*(DB!E$2:E$2576="YES"))*(($D$4="")+($D$4&lt;&gt;"")*( DB!B$2:B$2576=$D$4))*(($D$5="")+($D$5&lt;&gt;"")*( DB!C$2:C$2576=$D$5))*(($D$6="")+($D$6&lt;&gt;"")*( DB!D$2:D$2576=$D$6))*(($D$7="")+($D$7&lt;&gt;"")*(ISNUMBER(SEARCH($D$7,DB!G$2:G$2576))))*(($F$7="전체")+($F$7&lt;&gt;"전체")*(DB!H$2:H$2576=$F$7))),ROW()-13)-1,"")</f>
        <v/>
      </c>
      <c r="Q1716" t="str" cm="1">
        <f t="array" ref="Q1716">IFERROR(INDEX(DB!G$2:G$2576,P1716),"")</f>
        <v/>
      </c>
      <c r="R1716" t="str" cm="1">
        <f t="array" ref="R1716">IFERROR(INDEX(DB!O$2:O$2576,P1716),"")</f>
        <v/>
      </c>
      <c r="S1716" t="str">
        <f t="shared" si="81"/>
        <v/>
      </c>
      <c r="T1716" t="str">
        <f t="shared" si="82"/>
        <v/>
      </c>
    </row>
    <row r="1717" spans="1:20" ht="100" customHeight="1">
      <c r="A1717" s="26"/>
      <c r="B1717" s="42" t="str">
        <f t="shared" si="80"/>
        <v/>
      </c>
      <c r="C1717" s="43"/>
      <c r="D1717" s="51" t="str" cm="1">
        <f t="array" ref="D1717">IFERROR(INDEX(DB!G$2:G$2576,T1717),"")</f>
        <v/>
      </c>
      <c r="E1717" s="43"/>
      <c r="F1717" s="52" t="str" cm="1">
        <f t="array" ref="F1717">IFERROR(INDEX(DB!O$2:O$2576,T1717),"")</f>
        <v/>
      </c>
      <c r="G1717" s="43"/>
      <c r="H1717" s="40" t="str" cm="1">
        <f t="array" ref="H1717">IFERROR(INDEX(DB!P$2:P$2576,T1717),"")</f>
        <v/>
      </c>
      <c r="I1717" s="43"/>
      <c r="J1717" s="53" t="str" cm="1">
        <f t="array" ref="J1717">IFERROR(INDEX(DB!Q$2:Q$2576,T1717),"")</f>
        <v/>
      </c>
      <c r="K1717" s="43"/>
      <c r="L1717" s="41" t="str" cm="1">
        <f t="array" ref="L1717">IFERROR(INDEX(DB!R$2:R$2576,T1717),"")</f>
        <v/>
      </c>
      <c r="M1717" s="43"/>
      <c r="P1717" t="str" cm="1">
        <f t="array" ref="P1717">IFERROR(_xlfn.AGGREGATE(15,6,ROW(DB!A$2:A$2576)/((($D$3&lt;&gt;"YES")+($D$3="YES")*(DB!E$2:E$2576="YES"))*(($D$4="")+($D$4&lt;&gt;"")*( DB!B$2:B$2576=$D$4))*(($D$5="")+($D$5&lt;&gt;"")*( DB!C$2:C$2576=$D$5))*(($D$6="")+($D$6&lt;&gt;"")*( DB!D$2:D$2576=$D$6))*(($D$7="")+($D$7&lt;&gt;"")*(ISNUMBER(SEARCH($D$7,DB!G$2:G$2576))))*(($F$7="전체")+($F$7&lt;&gt;"전체")*(DB!H$2:H$2576=$F$7))),ROW()-13)-1,"")</f>
        <v/>
      </c>
      <c r="Q1717" t="str" cm="1">
        <f t="array" ref="Q1717">IFERROR(INDEX(DB!G$2:G$2576,P1717),"")</f>
        <v/>
      </c>
      <c r="R1717" t="str" cm="1">
        <f t="array" ref="R1717">IFERROR(INDEX(DB!O$2:O$2576,P1717),"")</f>
        <v/>
      </c>
      <c r="S1717" t="str">
        <f t="shared" si="81"/>
        <v/>
      </c>
      <c r="T1717" t="str">
        <f t="shared" si="82"/>
        <v/>
      </c>
    </row>
    <row r="1718" spans="1:20" ht="100" customHeight="1">
      <c r="A1718" s="26"/>
      <c r="B1718" s="39" t="str">
        <f t="shared" si="80"/>
        <v/>
      </c>
      <c r="C1718" s="43"/>
      <c r="D1718" s="51" t="str" cm="1">
        <f t="array" ref="D1718">IFERROR(INDEX(DB!G$2:G$2576,T1718),"")</f>
        <v/>
      </c>
      <c r="E1718" s="43"/>
      <c r="F1718" s="52" t="str" cm="1">
        <f t="array" ref="F1718">IFERROR(INDEX(DB!O$2:O$2576,T1718),"")</f>
        <v/>
      </c>
      <c r="G1718" s="43"/>
      <c r="H1718" s="40" t="str" cm="1">
        <f t="array" ref="H1718">IFERROR(INDEX(DB!P$2:P$2576,T1718),"")</f>
        <v/>
      </c>
      <c r="I1718" s="43"/>
      <c r="J1718" s="53" t="str" cm="1">
        <f t="array" ref="J1718">IFERROR(INDEX(DB!Q$2:Q$2576,T1718),"")</f>
        <v/>
      </c>
      <c r="K1718" s="43"/>
      <c r="L1718" s="41" t="str" cm="1">
        <f t="array" ref="L1718">IFERROR(INDEX(DB!R$2:R$2576,T1718),"")</f>
        <v/>
      </c>
      <c r="M1718" s="43"/>
      <c r="P1718" t="str" cm="1">
        <f t="array" ref="P1718">IFERROR(_xlfn.AGGREGATE(15,6,ROW(DB!A$2:A$2576)/((($D$3&lt;&gt;"YES")+($D$3="YES")*(DB!E$2:E$2576="YES"))*(($D$4="")+($D$4&lt;&gt;"")*( DB!B$2:B$2576=$D$4))*(($D$5="")+($D$5&lt;&gt;"")*( DB!C$2:C$2576=$D$5))*(($D$6="")+($D$6&lt;&gt;"")*( DB!D$2:D$2576=$D$6))*(($D$7="")+($D$7&lt;&gt;"")*(ISNUMBER(SEARCH($D$7,DB!G$2:G$2576))))*(($F$7="전체")+($F$7&lt;&gt;"전체")*(DB!H$2:H$2576=$F$7))),ROW()-13)-1,"")</f>
        <v/>
      </c>
      <c r="Q1718" t="str" cm="1">
        <f t="array" ref="Q1718">IFERROR(INDEX(DB!G$2:G$2576,P1718),"")</f>
        <v/>
      </c>
      <c r="R1718" t="str" cm="1">
        <f t="array" ref="R1718">IFERROR(INDEX(DB!O$2:O$2576,P1718),"")</f>
        <v/>
      </c>
      <c r="S1718" t="str">
        <f t="shared" si="81"/>
        <v/>
      </c>
      <c r="T1718" t="str">
        <f t="shared" si="82"/>
        <v/>
      </c>
    </row>
    <row r="1719" spans="1:20" ht="100" customHeight="1">
      <c r="A1719" s="26"/>
      <c r="B1719" s="42" t="str">
        <f t="shared" si="80"/>
        <v/>
      </c>
      <c r="C1719" s="43"/>
      <c r="D1719" s="51" t="str" cm="1">
        <f t="array" ref="D1719">IFERROR(INDEX(DB!G$2:G$2576,T1719),"")</f>
        <v/>
      </c>
      <c r="E1719" s="43"/>
      <c r="F1719" s="52" t="str" cm="1">
        <f t="array" ref="F1719">IFERROR(INDEX(DB!O$2:O$2576,T1719),"")</f>
        <v/>
      </c>
      <c r="G1719" s="43"/>
      <c r="H1719" s="40" t="str" cm="1">
        <f t="array" ref="H1719">IFERROR(INDEX(DB!P$2:P$2576,T1719),"")</f>
        <v/>
      </c>
      <c r="I1719" s="43"/>
      <c r="J1719" s="53" t="str" cm="1">
        <f t="array" ref="J1719">IFERROR(INDEX(DB!Q$2:Q$2576,T1719),"")</f>
        <v/>
      </c>
      <c r="K1719" s="43"/>
      <c r="L1719" s="41" t="str" cm="1">
        <f t="array" ref="L1719">IFERROR(INDEX(DB!R$2:R$2576,T1719),"")</f>
        <v/>
      </c>
      <c r="M1719" s="43"/>
      <c r="P1719" t="str" cm="1">
        <f t="array" ref="P1719">IFERROR(_xlfn.AGGREGATE(15,6,ROW(DB!A$2:A$2576)/((($D$3&lt;&gt;"YES")+($D$3="YES")*(DB!E$2:E$2576="YES"))*(($D$4="")+($D$4&lt;&gt;"")*( DB!B$2:B$2576=$D$4))*(($D$5="")+($D$5&lt;&gt;"")*( DB!C$2:C$2576=$D$5))*(($D$6="")+($D$6&lt;&gt;"")*( DB!D$2:D$2576=$D$6))*(($D$7="")+($D$7&lt;&gt;"")*(ISNUMBER(SEARCH($D$7,DB!G$2:G$2576))))*(($F$7="전체")+($F$7&lt;&gt;"전체")*(DB!H$2:H$2576=$F$7))),ROW()-13)-1,"")</f>
        <v/>
      </c>
      <c r="Q1719" t="str" cm="1">
        <f t="array" ref="Q1719">IFERROR(INDEX(DB!G$2:G$2576,P1719),"")</f>
        <v/>
      </c>
      <c r="R1719" t="str" cm="1">
        <f t="array" ref="R1719">IFERROR(INDEX(DB!O$2:O$2576,P1719),"")</f>
        <v/>
      </c>
      <c r="S1719" t="str">
        <f t="shared" si="81"/>
        <v/>
      </c>
      <c r="T1719" t="str">
        <f t="shared" si="82"/>
        <v/>
      </c>
    </row>
    <row r="1720" spans="1:20" ht="100" customHeight="1">
      <c r="A1720" s="26"/>
      <c r="B1720" s="39" t="str">
        <f t="shared" si="80"/>
        <v/>
      </c>
      <c r="C1720" s="43"/>
      <c r="D1720" s="51" t="str" cm="1">
        <f t="array" ref="D1720">IFERROR(INDEX(DB!G$2:G$2576,T1720),"")</f>
        <v/>
      </c>
      <c r="E1720" s="43"/>
      <c r="F1720" s="52" t="str" cm="1">
        <f t="array" ref="F1720">IFERROR(INDEX(DB!O$2:O$2576,T1720),"")</f>
        <v/>
      </c>
      <c r="G1720" s="43"/>
      <c r="H1720" s="40" t="str" cm="1">
        <f t="array" ref="H1720">IFERROR(INDEX(DB!P$2:P$2576,T1720),"")</f>
        <v/>
      </c>
      <c r="I1720" s="43"/>
      <c r="J1720" s="53" t="str" cm="1">
        <f t="array" ref="J1720">IFERROR(INDEX(DB!Q$2:Q$2576,T1720),"")</f>
        <v/>
      </c>
      <c r="K1720" s="43"/>
      <c r="L1720" s="41" t="str" cm="1">
        <f t="array" ref="L1720">IFERROR(INDEX(DB!R$2:R$2576,T1720),"")</f>
        <v/>
      </c>
      <c r="M1720" s="43"/>
      <c r="P1720" t="str" cm="1">
        <f t="array" ref="P1720">IFERROR(_xlfn.AGGREGATE(15,6,ROW(DB!A$2:A$2576)/((($D$3&lt;&gt;"YES")+($D$3="YES")*(DB!E$2:E$2576="YES"))*(($D$4="")+($D$4&lt;&gt;"")*( DB!B$2:B$2576=$D$4))*(($D$5="")+($D$5&lt;&gt;"")*( DB!C$2:C$2576=$D$5))*(($D$6="")+($D$6&lt;&gt;"")*( DB!D$2:D$2576=$D$6))*(($D$7="")+($D$7&lt;&gt;"")*(ISNUMBER(SEARCH($D$7,DB!G$2:G$2576))))*(($F$7="전체")+($F$7&lt;&gt;"전체")*(DB!H$2:H$2576=$F$7))),ROW()-13)-1,"")</f>
        <v/>
      </c>
      <c r="Q1720" t="str" cm="1">
        <f t="array" ref="Q1720">IFERROR(INDEX(DB!G$2:G$2576,P1720),"")</f>
        <v/>
      </c>
      <c r="R1720" t="str" cm="1">
        <f t="array" ref="R1720">IFERROR(INDEX(DB!O$2:O$2576,P1720),"")</f>
        <v/>
      </c>
      <c r="S1720" t="str">
        <f t="shared" si="81"/>
        <v/>
      </c>
      <c r="T1720" t="str">
        <f t="shared" si="82"/>
        <v/>
      </c>
    </row>
    <row r="1721" spans="1:20" ht="100" customHeight="1">
      <c r="A1721" s="26"/>
      <c r="B1721" s="42" t="str">
        <f t="shared" si="80"/>
        <v/>
      </c>
      <c r="C1721" s="43"/>
      <c r="D1721" s="51" t="str" cm="1">
        <f t="array" ref="D1721">IFERROR(INDEX(DB!G$2:G$2576,T1721),"")</f>
        <v/>
      </c>
      <c r="E1721" s="43"/>
      <c r="F1721" s="52" t="str" cm="1">
        <f t="array" ref="F1721">IFERROR(INDEX(DB!O$2:O$2576,T1721),"")</f>
        <v/>
      </c>
      <c r="G1721" s="43"/>
      <c r="H1721" s="40" t="str" cm="1">
        <f t="array" ref="H1721">IFERROR(INDEX(DB!P$2:P$2576,T1721),"")</f>
        <v/>
      </c>
      <c r="I1721" s="43"/>
      <c r="J1721" s="53" t="str" cm="1">
        <f t="array" ref="J1721">IFERROR(INDEX(DB!Q$2:Q$2576,T1721),"")</f>
        <v/>
      </c>
      <c r="K1721" s="43"/>
      <c r="L1721" s="41" t="str" cm="1">
        <f t="array" ref="L1721">IFERROR(INDEX(DB!R$2:R$2576,T1721),"")</f>
        <v/>
      </c>
      <c r="M1721" s="43"/>
      <c r="P1721" t="str" cm="1">
        <f t="array" ref="P1721">IFERROR(_xlfn.AGGREGATE(15,6,ROW(DB!A$2:A$2576)/((($D$3&lt;&gt;"YES")+($D$3="YES")*(DB!E$2:E$2576="YES"))*(($D$4="")+($D$4&lt;&gt;"")*( DB!B$2:B$2576=$D$4))*(($D$5="")+($D$5&lt;&gt;"")*( DB!C$2:C$2576=$D$5))*(($D$6="")+($D$6&lt;&gt;"")*( DB!D$2:D$2576=$D$6))*(($D$7="")+($D$7&lt;&gt;"")*(ISNUMBER(SEARCH($D$7,DB!G$2:G$2576))))*(($F$7="전체")+($F$7&lt;&gt;"전체")*(DB!H$2:H$2576=$F$7))),ROW()-13)-1,"")</f>
        <v/>
      </c>
      <c r="Q1721" t="str" cm="1">
        <f t="array" ref="Q1721">IFERROR(INDEX(DB!G$2:G$2576,P1721),"")</f>
        <v/>
      </c>
      <c r="R1721" t="str" cm="1">
        <f t="array" ref="R1721">IFERROR(INDEX(DB!O$2:O$2576,P1721),"")</f>
        <v/>
      </c>
      <c r="S1721" t="str">
        <f t="shared" si="81"/>
        <v/>
      </c>
      <c r="T1721" t="str">
        <f t="shared" si="82"/>
        <v/>
      </c>
    </row>
    <row r="1722" spans="1:20" ht="100" customHeight="1">
      <c r="A1722" s="26"/>
      <c r="B1722" s="39" t="str">
        <f t="shared" si="80"/>
        <v/>
      </c>
      <c r="C1722" s="43"/>
      <c r="D1722" s="51" t="str" cm="1">
        <f t="array" ref="D1722">IFERROR(INDEX(DB!G$2:G$2576,T1722),"")</f>
        <v/>
      </c>
      <c r="E1722" s="43"/>
      <c r="F1722" s="52" t="str" cm="1">
        <f t="array" ref="F1722">IFERROR(INDEX(DB!O$2:O$2576,T1722),"")</f>
        <v/>
      </c>
      <c r="G1722" s="43"/>
      <c r="H1722" s="40" t="str" cm="1">
        <f t="array" ref="H1722">IFERROR(INDEX(DB!P$2:P$2576,T1722),"")</f>
        <v/>
      </c>
      <c r="I1722" s="43"/>
      <c r="J1722" s="53" t="str" cm="1">
        <f t="array" ref="J1722">IFERROR(INDEX(DB!Q$2:Q$2576,T1722),"")</f>
        <v/>
      </c>
      <c r="K1722" s="43"/>
      <c r="L1722" s="41" t="str" cm="1">
        <f t="array" ref="L1722">IFERROR(INDEX(DB!R$2:R$2576,T1722),"")</f>
        <v/>
      </c>
      <c r="M1722" s="43"/>
      <c r="P1722" t="str" cm="1">
        <f t="array" ref="P1722">IFERROR(_xlfn.AGGREGATE(15,6,ROW(DB!A$2:A$2576)/((($D$3&lt;&gt;"YES")+($D$3="YES")*(DB!E$2:E$2576="YES"))*(($D$4="")+($D$4&lt;&gt;"")*( DB!B$2:B$2576=$D$4))*(($D$5="")+($D$5&lt;&gt;"")*( DB!C$2:C$2576=$D$5))*(($D$6="")+($D$6&lt;&gt;"")*( DB!D$2:D$2576=$D$6))*(($D$7="")+($D$7&lt;&gt;"")*(ISNUMBER(SEARCH($D$7,DB!G$2:G$2576))))*(($F$7="전체")+($F$7&lt;&gt;"전체")*(DB!H$2:H$2576=$F$7))),ROW()-13)-1,"")</f>
        <v/>
      </c>
      <c r="Q1722" t="str" cm="1">
        <f t="array" ref="Q1722">IFERROR(INDEX(DB!G$2:G$2576,P1722),"")</f>
        <v/>
      </c>
      <c r="R1722" t="str" cm="1">
        <f t="array" ref="R1722">IFERROR(INDEX(DB!O$2:O$2576,P1722),"")</f>
        <v/>
      </c>
      <c r="S1722" t="str">
        <f t="shared" si="81"/>
        <v/>
      </c>
      <c r="T1722" t="str">
        <f t="shared" si="82"/>
        <v/>
      </c>
    </row>
    <row r="1723" spans="1:20" ht="100" customHeight="1">
      <c r="A1723" s="26"/>
      <c r="B1723" s="42" t="str">
        <f t="shared" si="80"/>
        <v/>
      </c>
      <c r="C1723" s="43"/>
      <c r="D1723" s="51" t="str" cm="1">
        <f t="array" ref="D1723">IFERROR(INDEX(DB!G$2:G$2576,T1723),"")</f>
        <v/>
      </c>
      <c r="E1723" s="43"/>
      <c r="F1723" s="52" t="str" cm="1">
        <f t="array" ref="F1723">IFERROR(INDEX(DB!O$2:O$2576,T1723),"")</f>
        <v/>
      </c>
      <c r="G1723" s="43"/>
      <c r="H1723" s="40" t="str" cm="1">
        <f t="array" ref="H1723">IFERROR(INDEX(DB!P$2:P$2576,T1723),"")</f>
        <v/>
      </c>
      <c r="I1723" s="43"/>
      <c r="J1723" s="53" t="str" cm="1">
        <f t="array" ref="J1723">IFERROR(INDEX(DB!Q$2:Q$2576,T1723),"")</f>
        <v/>
      </c>
      <c r="K1723" s="43"/>
      <c r="L1723" s="41" t="str" cm="1">
        <f t="array" ref="L1723">IFERROR(INDEX(DB!R$2:R$2576,T1723),"")</f>
        <v/>
      </c>
      <c r="M1723" s="43"/>
      <c r="P1723" t="str" cm="1">
        <f t="array" ref="P1723">IFERROR(_xlfn.AGGREGATE(15,6,ROW(DB!A$2:A$2576)/((($D$3&lt;&gt;"YES")+($D$3="YES")*(DB!E$2:E$2576="YES"))*(($D$4="")+($D$4&lt;&gt;"")*( DB!B$2:B$2576=$D$4))*(($D$5="")+($D$5&lt;&gt;"")*( DB!C$2:C$2576=$D$5))*(($D$6="")+($D$6&lt;&gt;"")*( DB!D$2:D$2576=$D$6))*(($D$7="")+($D$7&lt;&gt;"")*(ISNUMBER(SEARCH($D$7,DB!G$2:G$2576))))*(($F$7="전체")+($F$7&lt;&gt;"전체")*(DB!H$2:H$2576=$F$7))),ROW()-13)-1,"")</f>
        <v/>
      </c>
      <c r="Q1723" t="str" cm="1">
        <f t="array" ref="Q1723">IFERROR(INDEX(DB!G$2:G$2576,P1723),"")</f>
        <v/>
      </c>
      <c r="R1723" t="str" cm="1">
        <f t="array" ref="R1723">IFERROR(INDEX(DB!O$2:O$2576,P1723),"")</f>
        <v/>
      </c>
      <c r="S1723" t="str">
        <f t="shared" si="81"/>
        <v/>
      </c>
      <c r="T1723" t="str">
        <f t="shared" si="82"/>
        <v/>
      </c>
    </row>
    <row r="1724" spans="1:20" ht="100" customHeight="1">
      <c r="A1724" s="26"/>
      <c r="B1724" s="39" t="str">
        <f t="shared" si="80"/>
        <v/>
      </c>
      <c r="C1724" s="43"/>
      <c r="D1724" s="51" t="str" cm="1">
        <f t="array" ref="D1724">IFERROR(INDEX(DB!G$2:G$2576,T1724),"")</f>
        <v/>
      </c>
      <c r="E1724" s="43"/>
      <c r="F1724" s="52" t="str" cm="1">
        <f t="array" ref="F1724">IFERROR(INDEX(DB!O$2:O$2576,T1724),"")</f>
        <v/>
      </c>
      <c r="G1724" s="43"/>
      <c r="H1724" s="40" t="str" cm="1">
        <f t="array" ref="H1724">IFERROR(INDEX(DB!P$2:P$2576,T1724),"")</f>
        <v/>
      </c>
      <c r="I1724" s="43"/>
      <c r="J1724" s="53" t="str" cm="1">
        <f t="array" ref="J1724">IFERROR(INDEX(DB!Q$2:Q$2576,T1724),"")</f>
        <v/>
      </c>
      <c r="K1724" s="43"/>
      <c r="L1724" s="41" t="str" cm="1">
        <f t="array" ref="L1724">IFERROR(INDEX(DB!R$2:R$2576,T1724),"")</f>
        <v/>
      </c>
      <c r="M1724" s="43"/>
      <c r="P1724" t="str" cm="1">
        <f t="array" ref="P1724">IFERROR(_xlfn.AGGREGATE(15,6,ROW(DB!A$2:A$2576)/((($D$3&lt;&gt;"YES")+($D$3="YES")*(DB!E$2:E$2576="YES"))*(($D$4="")+($D$4&lt;&gt;"")*( DB!B$2:B$2576=$D$4))*(($D$5="")+($D$5&lt;&gt;"")*( DB!C$2:C$2576=$D$5))*(($D$6="")+($D$6&lt;&gt;"")*( DB!D$2:D$2576=$D$6))*(($D$7="")+($D$7&lt;&gt;"")*(ISNUMBER(SEARCH($D$7,DB!G$2:G$2576))))*(($F$7="전체")+($F$7&lt;&gt;"전체")*(DB!H$2:H$2576=$F$7))),ROW()-13)-1,"")</f>
        <v/>
      </c>
      <c r="Q1724" t="str" cm="1">
        <f t="array" ref="Q1724">IFERROR(INDEX(DB!G$2:G$2576,P1724),"")</f>
        <v/>
      </c>
      <c r="R1724" t="str" cm="1">
        <f t="array" ref="R1724">IFERROR(INDEX(DB!O$2:O$2576,P1724),"")</f>
        <v/>
      </c>
      <c r="S1724" t="str">
        <f t="shared" si="81"/>
        <v/>
      </c>
      <c r="T1724" t="str">
        <f t="shared" si="82"/>
        <v/>
      </c>
    </row>
    <row r="1725" spans="1:20" ht="100" customHeight="1">
      <c r="A1725" s="26"/>
      <c r="B1725" s="42" t="str">
        <f t="shared" si="80"/>
        <v/>
      </c>
      <c r="C1725" s="43"/>
      <c r="D1725" s="51" t="str" cm="1">
        <f t="array" ref="D1725">IFERROR(INDEX(DB!G$2:G$2576,T1725),"")</f>
        <v/>
      </c>
      <c r="E1725" s="43"/>
      <c r="F1725" s="52" t="str" cm="1">
        <f t="array" ref="F1725">IFERROR(INDEX(DB!O$2:O$2576,T1725),"")</f>
        <v/>
      </c>
      <c r="G1725" s="43"/>
      <c r="H1725" s="40" t="str" cm="1">
        <f t="array" ref="H1725">IFERROR(INDEX(DB!P$2:P$2576,T1725),"")</f>
        <v/>
      </c>
      <c r="I1725" s="43"/>
      <c r="J1725" s="53" t="str" cm="1">
        <f t="array" ref="J1725">IFERROR(INDEX(DB!Q$2:Q$2576,T1725),"")</f>
        <v/>
      </c>
      <c r="K1725" s="43"/>
      <c r="L1725" s="41" t="str" cm="1">
        <f t="array" ref="L1725">IFERROR(INDEX(DB!R$2:R$2576,T1725),"")</f>
        <v/>
      </c>
      <c r="M1725" s="43"/>
      <c r="P1725" t="str" cm="1">
        <f t="array" ref="P1725">IFERROR(_xlfn.AGGREGATE(15,6,ROW(DB!A$2:A$2576)/((($D$3&lt;&gt;"YES")+($D$3="YES")*(DB!E$2:E$2576="YES"))*(($D$4="")+($D$4&lt;&gt;"")*( DB!B$2:B$2576=$D$4))*(($D$5="")+($D$5&lt;&gt;"")*( DB!C$2:C$2576=$D$5))*(($D$6="")+($D$6&lt;&gt;"")*( DB!D$2:D$2576=$D$6))*(($D$7="")+($D$7&lt;&gt;"")*(ISNUMBER(SEARCH($D$7,DB!G$2:G$2576))))*(($F$7="전체")+($F$7&lt;&gt;"전체")*(DB!H$2:H$2576=$F$7))),ROW()-13)-1,"")</f>
        <v/>
      </c>
      <c r="Q1725" t="str" cm="1">
        <f t="array" ref="Q1725">IFERROR(INDEX(DB!G$2:G$2576,P1725),"")</f>
        <v/>
      </c>
      <c r="R1725" t="str" cm="1">
        <f t="array" ref="R1725">IFERROR(INDEX(DB!O$2:O$2576,P1725),"")</f>
        <v/>
      </c>
      <c r="S1725" t="str">
        <f t="shared" si="81"/>
        <v/>
      </c>
      <c r="T1725" t="str">
        <f t="shared" si="82"/>
        <v/>
      </c>
    </row>
    <row r="1726" spans="1:20" ht="100" customHeight="1">
      <c r="A1726" s="26"/>
      <c r="B1726" s="39" t="str">
        <f t="shared" si="80"/>
        <v/>
      </c>
      <c r="C1726" s="43"/>
      <c r="D1726" s="51" t="str" cm="1">
        <f t="array" ref="D1726">IFERROR(INDEX(DB!G$2:G$2576,T1726),"")</f>
        <v/>
      </c>
      <c r="E1726" s="43"/>
      <c r="F1726" s="52" t="str" cm="1">
        <f t="array" ref="F1726">IFERROR(INDEX(DB!O$2:O$2576,T1726),"")</f>
        <v/>
      </c>
      <c r="G1726" s="43"/>
      <c r="H1726" s="40" t="str" cm="1">
        <f t="array" ref="H1726">IFERROR(INDEX(DB!P$2:P$2576,T1726),"")</f>
        <v/>
      </c>
      <c r="I1726" s="43"/>
      <c r="J1726" s="53" t="str" cm="1">
        <f t="array" ref="J1726">IFERROR(INDEX(DB!Q$2:Q$2576,T1726),"")</f>
        <v/>
      </c>
      <c r="K1726" s="43"/>
      <c r="L1726" s="41" t="str" cm="1">
        <f t="array" ref="L1726">IFERROR(INDEX(DB!R$2:R$2576,T1726),"")</f>
        <v/>
      </c>
      <c r="M1726" s="43"/>
      <c r="P1726" t="str" cm="1">
        <f t="array" ref="P1726">IFERROR(_xlfn.AGGREGATE(15,6,ROW(DB!A$2:A$2576)/((($D$3&lt;&gt;"YES")+($D$3="YES")*(DB!E$2:E$2576="YES"))*(($D$4="")+($D$4&lt;&gt;"")*( DB!B$2:B$2576=$D$4))*(($D$5="")+($D$5&lt;&gt;"")*( DB!C$2:C$2576=$D$5))*(($D$6="")+($D$6&lt;&gt;"")*( DB!D$2:D$2576=$D$6))*(($D$7="")+($D$7&lt;&gt;"")*(ISNUMBER(SEARCH($D$7,DB!G$2:G$2576))))*(($F$7="전체")+($F$7&lt;&gt;"전체")*(DB!H$2:H$2576=$F$7))),ROW()-13)-1,"")</f>
        <v/>
      </c>
      <c r="Q1726" t="str" cm="1">
        <f t="array" ref="Q1726">IFERROR(INDEX(DB!G$2:G$2576,P1726),"")</f>
        <v/>
      </c>
      <c r="R1726" t="str" cm="1">
        <f t="array" ref="R1726">IFERROR(INDEX(DB!O$2:O$2576,P1726),"")</f>
        <v/>
      </c>
      <c r="S1726" t="str">
        <f t="shared" si="81"/>
        <v/>
      </c>
      <c r="T1726" t="str">
        <f t="shared" si="82"/>
        <v/>
      </c>
    </row>
    <row r="1727" spans="1:20" ht="100" customHeight="1">
      <c r="A1727" s="26"/>
      <c r="B1727" s="42" t="str">
        <f t="shared" si="80"/>
        <v/>
      </c>
      <c r="C1727" s="43"/>
      <c r="D1727" s="51" t="str" cm="1">
        <f t="array" ref="D1727">IFERROR(INDEX(DB!G$2:G$2576,T1727),"")</f>
        <v/>
      </c>
      <c r="E1727" s="43"/>
      <c r="F1727" s="52" t="str" cm="1">
        <f t="array" ref="F1727">IFERROR(INDEX(DB!O$2:O$2576,T1727),"")</f>
        <v/>
      </c>
      <c r="G1727" s="43"/>
      <c r="H1727" s="40" t="str" cm="1">
        <f t="array" ref="H1727">IFERROR(INDEX(DB!P$2:P$2576,T1727),"")</f>
        <v/>
      </c>
      <c r="I1727" s="43"/>
      <c r="J1727" s="53" t="str" cm="1">
        <f t="array" ref="J1727">IFERROR(INDEX(DB!Q$2:Q$2576,T1727),"")</f>
        <v/>
      </c>
      <c r="K1727" s="43"/>
      <c r="L1727" s="41" t="str" cm="1">
        <f t="array" ref="L1727">IFERROR(INDEX(DB!R$2:R$2576,T1727),"")</f>
        <v/>
      </c>
      <c r="M1727" s="43"/>
      <c r="P1727" t="str" cm="1">
        <f t="array" ref="P1727">IFERROR(_xlfn.AGGREGATE(15,6,ROW(DB!A$2:A$2576)/((($D$3&lt;&gt;"YES")+($D$3="YES")*(DB!E$2:E$2576="YES"))*(($D$4="")+($D$4&lt;&gt;"")*( DB!B$2:B$2576=$D$4))*(($D$5="")+($D$5&lt;&gt;"")*( DB!C$2:C$2576=$D$5))*(($D$6="")+($D$6&lt;&gt;"")*( DB!D$2:D$2576=$D$6))*(($D$7="")+($D$7&lt;&gt;"")*(ISNUMBER(SEARCH($D$7,DB!G$2:G$2576))))*(($F$7="전체")+($F$7&lt;&gt;"전체")*(DB!H$2:H$2576=$F$7))),ROW()-13)-1,"")</f>
        <v/>
      </c>
      <c r="Q1727" t="str" cm="1">
        <f t="array" ref="Q1727">IFERROR(INDEX(DB!G$2:G$2576,P1727),"")</f>
        <v/>
      </c>
      <c r="R1727" t="str" cm="1">
        <f t="array" ref="R1727">IFERROR(INDEX(DB!O$2:O$2576,P1727),"")</f>
        <v/>
      </c>
      <c r="S1727" t="str">
        <f t="shared" si="81"/>
        <v/>
      </c>
      <c r="T1727" t="str">
        <f t="shared" si="82"/>
        <v/>
      </c>
    </row>
    <row r="1728" spans="1:20" ht="100" customHeight="1">
      <c r="A1728" s="26"/>
      <c r="B1728" s="39" t="str">
        <f t="shared" si="80"/>
        <v/>
      </c>
      <c r="C1728" s="43"/>
      <c r="D1728" s="51" t="str" cm="1">
        <f t="array" ref="D1728">IFERROR(INDEX(DB!G$2:G$2576,T1728),"")</f>
        <v/>
      </c>
      <c r="E1728" s="43"/>
      <c r="F1728" s="52" t="str" cm="1">
        <f t="array" ref="F1728">IFERROR(INDEX(DB!O$2:O$2576,T1728),"")</f>
        <v/>
      </c>
      <c r="G1728" s="43"/>
      <c r="H1728" s="40" t="str" cm="1">
        <f t="array" ref="H1728">IFERROR(INDEX(DB!P$2:P$2576,T1728),"")</f>
        <v/>
      </c>
      <c r="I1728" s="43"/>
      <c r="J1728" s="53" t="str" cm="1">
        <f t="array" ref="J1728">IFERROR(INDEX(DB!Q$2:Q$2576,T1728),"")</f>
        <v/>
      </c>
      <c r="K1728" s="43"/>
      <c r="L1728" s="41" t="str" cm="1">
        <f t="array" ref="L1728">IFERROR(INDEX(DB!R$2:R$2576,T1728),"")</f>
        <v/>
      </c>
      <c r="M1728" s="43"/>
      <c r="P1728" t="str" cm="1">
        <f t="array" ref="P1728">IFERROR(_xlfn.AGGREGATE(15,6,ROW(DB!A$2:A$2576)/((($D$3&lt;&gt;"YES")+($D$3="YES")*(DB!E$2:E$2576="YES"))*(($D$4="")+($D$4&lt;&gt;"")*( DB!B$2:B$2576=$D$4))*(($D$5="")+($D$5&lt;&gt;"")*( DB!C$2:C$2576=$D$5))*(($D$6="")+($D$6&lt;&gt;"")*( DB!D$2:D$2576=$D$6))*(($D$7="")+($D$7&lt;&gt;"")*(ISNUMBER(SEARCH($D$7,DB!G$2:G$2576))))*(($F$7="전체")+($F$7&lt;&gt;"전체")*(DB!H$2:H$2576=$F$7))),ROW()-13)-1,"")</f>
        <v/>
      </c>
      <c r="Q1728" t="str" cm="1">
        <f t="array" ref="Q1728">IFERROR(INDEX(DB!G$2:G$2576,P1728),"")</f>
        <v/>
      </c>
      <c r="R1728" t="str" cm="1">
        <f t="array" ref="R1728">IFERROR(INDEX(DB!O$2:O$2576,P1728),"")</f>
        <v/>
      </c>
      <c r="S1728" t="str">
        <f t="shared" si="81"/>
        <v/>
      </c>
      <c r="T1728" t="str">
        <f t="shared" si="82"/>
        <v/>
      </c>
    </row>
    <row r="1729" spans="1:20" ht="100" customHeight="1">
      <c r="A1729" s="26"/>
      <c r="B1729" s="42" t="str">
        <f t="shared" si="80"/>
        <v/>
      </c>
      <c r="C1729" s="43"/>
      <c r="D1729" s="51" t="str" cm="1">
        <f t="array" ref="D1729">IFERROR(INDEX(DB!G$2:G$2576,T1729),"")</f>
        <v/>
      </c>
      <c r="E1729" s="43"/>
      <c r="F1729" s="52" t="str" cm="1">
        <f t="array" ref="F1729">IFERROR(INDEX(DB!O$2:O$2576,T1729),"")</f>
        <v/>
      </c>
      <c r="G1729" s="43"/>
      <c r="H1729" s="40" t="str" cm="1">
        <f t="array" ref="H1729">IFERROR(INDEX(DB!P$2:P$2576,T1729),"")</f>
        <v/>
      </c>
      <c r="I1729" s="43"/>
      <c r="J1729" s="53" t="str" cm="1">
        <f t="array" ref="J1729">IFERROR(INDEX(DB!Q$2:Q$2576,T1729),"")</f>
        <v/>
      </c>
      <c r="K1729" s="43"/>
      <c r="L1729" s="41" t="str" cm="1">
        <f t="array" ref="L1729">IFERROR(INDEX(DB!R$2:R$2576,T1729),"")</f>
        <v/>
      </c>
      <c r="M1729" s="43"/>
      <c r="P1729" t="str" cm="1">
        <f t="array" ref="P1729">IFERROR(_xlfn.AGGREGATE(15,6,ROW(DB!A$2:A$2576)/((($D$3&lt;&gt;"YES")+($D$3="YES")*(DB!E$2:E$2576="YES"))*(($D$4="")+($D$4&lt;&gt;"")*( DB!B$2:B$2576=$D$4))*(($D$5="")+($D$5&lt;&gt;"")*( DB!C$2:C$2576=$D$5))*(($D$6="")+($D$6&lt;&gt;"")*( DB!D$2:D$2576=$D$6))*(($D$7="")+($D$7&lt;&gt;"")*(ISNUMBER(SEARCH($D$7,DB!G$2:G$2576))))*(($F$7="전체")+($F$7&lt;&gt;"전체")*(DB!H$2:H$2576=$F$7))),ROW()-13)-1,"")</f>
        <v/>
      </c>
      <c r="Q1729" t="str" cm="1">
        <f t="array" ref="Q1729">IFERROR(INDEX(DB!G$2:G$2576,P1729),"")</f>
        <v/>
      </c>
      <c r="R1729" t="str" cm="1">
        <f t="array" ref="R1729">IFERROR(INDEX(DB!O$2:O$2576,P1729),"")</f>
        <v/>
      </c>
      <c r="S1729" t="str">
        <f t="shared" si="81"/>
        <v/>
      </c>
      <c r="T1729" t="str">
        <f t="shared" si="82"/>
        <v/>
      </c>
    </row>
    <row r="1730" spans="1:20" ht="100" customHeight="1">
      <c r="A1730" s="26"/>
      <c r="B1730" s="39" t="str">
        <f t="shared" si="80"/>
        <v/>
      </c>
      <c r="C1730" s="43"/>
      <c r="D1730" s="51" t="str" cm="1">
        <f t="array" ref="D1730">IFERROR(INDEX(DB!G$2:G$2576,T1730),"")</f>
        <v/>
      </c>
      <c r="E1730" s="43"/>
      <c r="F1730" s="52" t="str" cm="1">
        <f t="array" ref="F1730">IFERROR(INDEX(DB!O$2:O$2576,T1730),"")</f>
        <v/>
      </c>
      <c r="G1730" s="43"/>
      <c r="H1730" s="40" t="str" cm="1">
        <f t="array" ref="H1730">IFERROR(INDEX(DB!P$2:P$2576,T1730),"")</f>
        <v/>
      </c>
      <c r="I1730" s="43"/>
      <c r="J1730" s="53" t="str" cm="1">
        <f t="array" ref="J1730">IFERROR(INDEX(DB!Q$2:Q$2576,T1730),"")</f>
        <v/>
      </c>
      <c r="K1730" s="43"/>
      <c r="L1730" s="41" t="str" cm="1">
        <f t="array" ref="L1730">IFERROR(INDEX(DB!R$2:R$2576,T1730),"")</f>
        <v/>
      </c>
      <c r="M1730" s="43"/>
      <c r="P1730" t="str" cm="1">
        <f t="array" ref="P1730">IFERROR(_xlfn.AGGREGATE(15,6,ROW(DB!A$2:A$2576)/((($D$3&lt;&gt;"YES")+($D$3="YES")*(DB!E$2:E$2576="YES"))*(($D$4="")+($D$4&lt;&gt;"")*( DB!B$2:B$2576=$D$4))*(($D$5="")+($D$5&lt;&gt;"")*( DB!C$2:C$2576=$D$5))*(($D$6="")+($D$6&lt;&gt;"")*( DB!D$2:D$2576=$D$6))*(($D$7="")+($D$7&lt;&gt;"")*(ISNUMBER(SEARCH($D$7,DB!G$2:G$2576))))*(($F$7="전체")+($F$7&lt;&gt;"전체")*(DB!H$2:H$2576=$F$7))),ROW()-13)-1,"")</f>
        <v/>
      </c>
      <c r="Q1730" t="str" cm="1">
        <f t="array" ref="Q1730">IFERROR(INDEX(DB!G$2:G$2576,P1730),"")</f>
        <v/>
      </c>
      <c r="R1730" t="str" cm="1">
        <f t="array" ref="R1730">IFERROR(INDEX(DB!O$2:O$2576,P1730),"")</f>
        <v/>
      </c>
      <c r="S1730" t="str">
        <f t="shared" si="81"/>
        <v/>
      </c>
      <c r="T1730" t="str">
        <f t="shared" si="82"/>
        <v/>
      </c>
    </row>
    <row r="1731" spans="1:20" ht="100" customHeight="1">
      <c r="A1731" s="26"/>
      <c r="B1731" s="42" t="str">
        <f t="shared" si="80"/>
        <v/>
      </c>
      <c r="C1731" s="43"/>
      <c r="D1731" s="51" t="str" cm="1">
        <f t="array" ref="D1731">IFERROR(INDEX(DB!G$2:G$2576,T1731),"")</f>
        <v/>
      </c>
      <c r="E1731" s="43"/>
      <c r="F1731" s="52" t="str" cm="1">
        <f t="array" ref="F1731">IFERROR(INDEX(DB!O$2:O$2576,T1731),"")</f>
        <v/>
      </c>
      <c r="G1731" s="43"/>
      <c r="H1731" s="40" t="str" cm="1">
        <f t="array" ref="H1731">IFERROR(INDEX(DB!P$2:P$2576,T1731),"")</f>
        <v/>
      </c>
      <c r="I1731" s="43"/>
      <c r="J1731" s="53" t="str" cm="1">
        <f t="array" ref="J1731">IFERROR(INDEX(DB!Q$2:Q$2576,T1731),"")</f>
        <v/>
      </c>
      <c r="K1731" s="43"/>
      <c r="L1731" s="41" t="str" cm="1">
        <f t="array" ref="L1731">IFERROR(INDEX(DB!R$2:R$2576,T1731),"")</f>
        <v/>
      </c>
      <c r="M1731" s="43"/>
      <c r="P1731" t="str" cm="1">
        <f t="array" ref="P1731">IFERROR(_xlfn.AGGREGATE(15,6,ROW(DB!A$2:A$2576)/((($D$3&lt;&gt;"YES")+($D$3="YES")*(DB!E$2:E$2576="YES"))*(($D$4="")+($D$4&lt;&gt;"")*( DB!B$2:B$2576=$D$4))*(($D$5="")+($D$5&lt;&gt;"")*( DB!C$2:C$2576=$D$5))*(($D$6="")+($D$6&lt;&gt;"")*( DB!D$2:D$2576=$D$6))*(($D$7="")+($D$7&lt;&gt;"")*(ISNUMBER(SEARCH($D$7,DB!G$2:G$2576))))*(($F$7="전체")+($F$7&lt;&gt;"전체")*(DB!H$2:H$2576=$F$7))),ROW()-13)-1,"")</f>
        <v/>
      </c>
      <c r="Q1731" t="str" cm="1">
        <f t="array" ref="Q1731">IFERROR(INDEX(DB!G$2:G$2576,P1731),"")</f>
        <v/>
      </c>
      <c r="R1731" t="str" cm="1">
        <f t="array" ref="R1731">IFERROR(INDEX(DB!O$2:O$2576,P1731),"")</f>
        <v/>
      </c>
      <c r="S1731" t="str">
        <f t="shared" si="81"/>
        <v/>
      </c>
      <c r="T1731" t="str">
        <f t="shared" si="82"/>
        <v/>
      </c>
    </row>
    <row r="1732" spans="1:20" ht="100" customHeight="1">
      <c r="A1732" s="26"/>
      <c r="B1732" s="39" t="str">
        <f t="shared" si="80"/>
        <v/>
      </c>
      <c r="C1732" s="43"/>
      <c r="D1732" s="51" t="str" cm="1">
        <f t="array" ref="D1732">IFERROR(INDEX(DB!G$2:G$2576,T1732),"")</f>
        <v/>
      </c>
      <c r="E1732" s="43"/>
      <c r="F1732" s="52" t="str" cm="1">
        <f t="array" ref="F1732">IFERROR(INDEX(DB!O$2:O$2576,T1732),"")</f>
        <v/>
      </c>
      <c r="G1732" s="43"/>
      <c r="H1732" s="40" t="str" cm="1">
        <f t="array" ref="H1732">IFERROR(INDEX(DB!P$2:P$2576,T1732),"")</f>
        <v/>
      </c>
      <c r="I1732" s="43"/>
      <c r="J1732" s="53" t="str" cm="1">
        <f t="array" ref="J1732">IFERROR(INDEX(DB!Q$2:Q$2576,T1732),"")</f>
        <v/>
      </c>
      <c r="K1732" s="43"/>
      <c r="L1732" s="41" t="str" cm="1">
        <f t="array" ref="L1732">IFERROR(INDEX(DB!R$2:R$2576,T1732),"")</f>
        <v/>
      </c>
      <c r="M1732" s="43"/>
      <c r="P1732" t="str" cm="1">
        <f t="array" ref="P1732">IFERROR(_xlfn.AGGREGATE(15,6,ROW(DB!A$2:A$2576)/((($D$3&lt;&gt;"YES")+($D$3="YES")*(DB!E$2:E$2576="YES"))*(($D$4="")+($D$4&lt;&gt;"")*( DB!B$2:B$2576=$D$4))*(($D$5="")+($D$5&lt;&gt;"")*( DB!C$2:C$2576=$D$5))*(($D$6="")+($D$6&lt;&gt;"")*( DB!D$2:D$2576=$D$6))*(($D$7="")+($D$7&lt;&gt;"")*(ISNUMBER(SEARCH($D$7,DB!G$2:G$2576))))*(($F$7="전체")+($F$7&lt;&gt;"전체")*(DB!H$2:H$2576=$F$7))),ROW()-13)-1,"")</f>
        <v/>
      </c>
      <c r="Q1732" t="str" cm="1">
        <f t="array" ref="Q1732">IFERROR(INDEX(DB!G$2:G$2576,P1732),"")</f>
        <v/>
      </c>
      <c r="R1732" t="str" cm="1">
        <f t="array" ref="R1732">IFERROR(INDEX(DB!O$2:O$2576,P1732),"")</f>
        <v/>
      </c>
      <c r="S1732" t="str">
        <f t="shared" si="81"/>
        <v/>
      </c>
      <c r="T1732" t="str">
        <f t="shared" si="82"/>
        <v/>
      </c>
    </row>
    <row r="1733" spans="1:20" ht="100" customHeight="1">
      <c r="A1733" s="26"/>
      <c r="B1733" s="42" t="str">
        <f t="shared" si="80"/>
        <v/>
      </c>
      <c r="C1733" s="43"/>
      <c r="D1733" s="51" t="str" cm="1">
        <f t="array" ref="D1733">IFERROR(INDEX(DB!G$2:G$2576,T1733),"")</f>
        <v/>
      </c>
      <c r="E1733" s="43"/>
      <c r="F1733" s="52" t="str" cm="1">
        <f t="array" ref="F1733">IFERROR(INDEX(DB!O$2:O$2576,T1733),"")</f>
        <v/>
      </c>
      <c r="G1733" s="43"/>
      <c r="H1733" s="40" t="str" cm="1">
        <f t="array" ref="H1733">IFERROR(INDEX(DB!P$2:P$2576,T1733),"")</f>
        <v/>
      </c>
      <c r="I1733" s="43"/>
      <c r="J1733" s="53" t="str" cm="1">
        <f t="array" ref="J1733">IFERROR(INDEX(DB!Q$2:Q$2576,T1733),"")</f>
        <v/>
      </c>
      <c r="K1733" s="43"/>
      <c r="L1733" s="41" t="str" cm="1">
        <f t="array" ref="L1733">IFERROR(INDEX(DB!R$2:R$2576,T1733),"")</f>
        <v/>
      </c>
      <c r="M1733" s="43"/>
      <c r="P1733" t="str" cm="1">
        <f t="array" ref="P1733">IFERROR(_xlfn.AGGREGATE(15,6,ROW(DB!A$2:A$2576)/((($D$3&lt;&gt;"YES")+($D$3="YES")*(DB!E$2:E$2576="YES"))*(($D$4="")+($D$4&lt;&gt;"")*( DB!B$2:B$2576=$D$4))*(($D$5="")+($D$5&lt;&gt;"")*( DB!C$2:C$2576=$D$5))*(($D$6="")+($D$6&lt;&gt;"")*( DB!D$2:D$2576=$D$6))*(($D$7="")+($D$7&lt;&gt;"")*(ISNUMBER(SEARCH($D$7,DB!G$2:G$2576))))*(($F$7="전체")+($F$7&lt;&gt;"전체")*(DB!H$2:H$2576=$F$7))),ROW()-13)-1,"")</f>
        <v/>
      </c>
      <c r="Q1733" t="str" cm="1">
        <f t="array" ref="Q1733">IFERROR(INDEX(DB!G$2:G$2576,P1733),"")</f>
        <v/>
      </c>
      <c r="R1733" t="str" cm="1">
        <f t="array" ref="R1733">IFERROR(INDEX(DB!O$2:O$2576,P1733),"")</f>
        <v/>
      </c>
      <c r="S1733" t="str">
        <f t="shared" si="81"/>
        <v/>
      </c>
      <c r="T1733" t="str">
        <f t="shared" si="82"/>
        <v/>
      </c>
    </row>
    <row r="1734" spans="1:20" ht="100" customHeight="1">
      <c r="A1734" s="26"/>
      <c r="B1734" s="39" t="str">
        <f t="shared" si="80"/>
        <v/>
      </c>
      <c r="C1734" s="43"/>
      <c r="D1734" s="51" t="str" cm="1">
        <f t="array" ref="D1734">IFERROR(INDEX(DB!G$2:G$2576,T1734),"")</f>
        <v/>
      </c>
      <c r="E1734" s="43"/>
      <c r="F1734" s="52" t="str" cm="1">
        <f t="array" ref="F1734">IFERROR(INDEX(DB!O$2:O$2576,T1734),"")</f>
        <v/>
      </c>
      <c r="G1734" s="43"/>
      <c r="H1734" s="40" t="str" cm="1">
        <f t="array" ref="H1734">IFERROR(INDEX(DB!P$2:P$2576,T1734),"")</f>
        <v/>
      </c>
      <c r="I1734" s="43"/>
      <c r="J1734" s="53" t="str" cm="1">
        <f t="array" ref="J1734">IFERROR(INDEX(DB!Q$2:Q$2576,T1734),"")</f>
        <v/>
      </c>
      <c r="K1734" s="43"/>
      <c r="L1734" s="41" t="str" cm="1">
        <f t="array" ref="L1734">IFERROR(INDEX(DB!R$2:R$2576,T1734),"")</f>
        <v/>
      </c>
      <c r="M1734" s="43"/>
      <c r="P1734" t="str" cm="1">
        <f t="array" ref="P1734">IFERROR(_xlfn.AGGREGATE(15,6,ROW(DB!A$2:A$2576)/((($D$3&lt;&gt;"YES")+($D$3="YES")*(DB!E$2:E$2576="YES"))*(($D$4="")+($D$4&lt;&gt;"")*( DB!B$2:B$2576=$D$4))*(($D$5="")+($D$5&lt;&gt;"")*( DB!C$2:C$2576=$D$5))*(($D$6="")+($D$6&lt;&gt;"")*( DB!D$2:D$2576=$D$6))*(($D$7="")+($D$7&lt;&gt;"")*(ISNUMBER(SEARCH($D$7,DB!G$2:G$2576))))*(($F$7="전체")+($F$7&lt;&gt;"전체")*(DB!H$2:H$2576=$F$7))),ROW()-13)-1,"")</f>
        <v/>
      </c>
      <c r="Q1734" t="str" cm="1">
        <f t="array" ref="Q1734">IFERROR(INDEX(DB!G$2:G$2576,P1734),"")</f>
        <v/>
      </c>
      <c r="R1734" t="str" cm="1">
        <f t="array" ref="R1734">IFERROR(INDEX(DB!O$2:O$2576,P1734),"")</f>
        <v/>
      </c>
      <c r="S1734" t="str">
        <f t="shared" si="81"/>
        <v/>
      </c>
      <c r="T1734" t="str">
        <f t="shared" si="82"/>
        <v/>
      </c>
    </row>
    <row r="1735" spans="1:20" ht="100" customHeight="1">
      <c r="A1735" s="26"/>
      <c r="B1735" s="42" t="str">
        <f t="shared" si="80"/>
        <v/>
      </c>
      <c r="C1735" s="43"/>
      <c r="D1735" s="51" t="str" cm="1">
        <f t="array" ref="D1735">IFERROR(INDEX(DB!G$2:G$2576,T1735),"")</f>
        <v/>
      </c>
      <c r="E1735" s="43"/>
      <c r="F1735" s="52" t="str" cm="1">
        <f t="array" ref="F1735">IFERROR(INDEX(DB!O$2:O$2576,T1735),"")</f>
        <v/>
      </c>
      <c r="G1735" s="43"/>
      <c r="H1735" s="40" t="str" cm="1">
        <f t="array" ref="H1735">IFERROR(INDEX(DB!P$2:P$2576,T1735),"")</f>
        <v/>
      </c>
      <c r="I1735" s="43"/>
      <c r="J1735" s="53" t="str" cm="1">
        <f t="array" ref="J1735">IFERROR(INDEX(DB!Q$2:Q$2576,T1735),"")</f>
        <v/>
      </c>
      <c r="K1735" s="43"/>
      <c r="L1735" s="41" t="str" cm="1">
        <f t="array" ref="L1735">IFERROR(INDEX(DB!R$2:R$2576,T1735),"")</f>
        <v/>
      </c>
      <c r="M1735" s="43"/>
      <c r="P1735" t="str" cm="1">
        <f t="array" ref="P1735">IFERROR(_xlfn.AGGREGATE(15,6,ROW(DB!A$2:A$2576)/((($D$3&lt;&gt;"YES")+($D$3="YES")*(DB!E$2:E$2576="YES"))*(($D$4="")+($D$4&lt;&gt;"")*( DB!B$2:B$2576=$D$4))*(($D$5="")+($D$5&lt;&gt;"")*( DB!C$2:C$2576=$D$5))*(($D$6="")+($D$6&lt;&gt;"")*( DB!D$2:D$2576=$D$6))*(($D$7="")+($D$7&lt;&gt;"")*(ISNUMBER(SEARCH($D$7,DB!G$2:G$2576))))*(($F$7="전체")+($F$7&lt;&gt;"전체")*(DB!H$2:H$2576=$F$7))),ROW()-13)-1,"")</f>
        <v/>
      </c>
      <c r="Q1735" t="str" cm="1">
        <f t="array" ref="Q1735">IFERROR(INDEX(DB!G$2:G$2576,P1735),"")</f>
        <v/>
      </c>
      <c r="R1735" t="str" cm="1">
        <f t="array" ref="R1735">IFERROR(INDEX(DB!O$2:O$2576,P1735),"")</f>
        <v/>
      </c>
      <c r="S1735" t="str">
        <f t="shared" si="81"/>
        <v/>
      </c>
      <c r="T1735" t="str">
        <f t="shared" si="82"/>
        <v/>
      </c>
    </row>
    <row r="1736" spans="1:20" ht="100" customHeight="1">
      <c r="A1736" s="26"/>
      <c r="B1736" s="39" t="str">
        <f t="shared" si="80"/>
        <v/>
      </c>
      <c r="C1736" s="43"/>
      <c r="D1736" s="51" t="str" cm="1">
        <f t="array" ref="D1736">IFERROR(INDEX(DB!G$2:G$2576,T1736),"")</f>
        <v/>
      </c>
      <c r="E1736" s="43"/>
      <c r="F1736" s="52" t="str" cm="1">
        <f t="array" ref="F1736">IFERROR(INDEX(DB!O$2:O$2576,T1736),"")</f>
        <v/>
      </c>
      <c r="G1736" s="43"/>
      <c r="H1736" s="40" t="str" cm="1">
        <f t="array" ref="H1736">IFERROR(INDEX(DB!P$2:P$2576,T1736),"")</f>
        <v/>
      </c>
      <c r="I1736" s="43"/>
      <c r="J1736" s="53" t="str" cm="1">
        <f t="array" ref="J1736">IFERROR(INDEX(DB!Q$2:Q$2576,T1736),"")</f>
        <v/>
      </c>
      <c r="K1736" s="43"/>
      <c r="L1736" s="41" t="str" cm="1">
        <f t="array" ref="L1736">IFERROR(INDEX(DB!R$2:R$2576,T1736),"")</f>
        <v/>
      </c>
      <c r="M1736" s="43"/>
      <c r="P1736" t="str" cm="1">
        <f t="array" ref="P1736">IFERROR(_xlfn.AGGREGATE(15,6,ROW(DB!A$2:A$2576)/((($D$3&lt;&gt;"YES")+($D$3="YES")*(DB!E$2:E$2576="YES"))*(($D$4="")+($D$4&lt;&gt;"")*( DB!B$2:B$2576=$D$4))*(($D$5="")+($D$5&lt;&gt;"")*( DB!C$2:C$2576=$D$5))*(($D$6="")+($D$6&lt;&gt;"")*( DB!D$2:D$2576=$D$6))*(($D$7="")+($D$7&lt;&gt;"")*(ISNUMBER(SEARCH($D$7,DB!G$2:G$2576))))*(($F$7="전체")+($F$7&lt;&gt;"전체")*(DB!H$2:H$2576=$F$7))),ROW()-13)-1,"")</f>
        <v/>
      </c>
      <c r="Q1736" t="str" cm="1">
        <f t="array" ref="Q1736">IFERROR(INDEX(DB!G$2:G$2576,P1736),"")</f>
        <v/>
      </c>
      <c r="R1736" t="str" cm="1">
        <f t="array" ref="R1736">IFERROR(INDEX(DB!O$2:O$2576,P1736),"")</f>
        <v/>
      </c>
      <c r="S1736" t="str">
        <f t="shared" si="81"/>
        <v/>
      </c>
      <c r="T1736" t="str">
        <f t="shared" si="82"/>
        <v/>
      </c>
    </row>
    <row r="1737" spans="1:20" ht="100" customHeight="1">
      <c r="A1737" s="26"/>
      <c r="B1737" s="42" t="str">
        <f t="shared" si="80"/>
        <v/>
      </c>
      <c r="C1737" s="43"/>
      <c r="D1737" s="51" t="str" cm="1">
        <f t="array" ref="D1737">IFERROR(INDEX(DB!G$2:G$2576,T1737),"")</f>
        <v/>
      </c>
      <c r="E1737" s="43"/>
      <c r="F1737" s="52" t="str" cm="1">
        <f t="array" ref="F1737">IFERROR(INDEX(DB!O$2:O$2576,T1737),"")</f>
        <v/>
      </c>
      <c r="G1737" s="43"/>
      <c r="H1737" s="40" t="str" cm="1">
        <f t="array" ref="H1737">IFERROR(INDEX(DB!P$2:P$2576,T1737),"")</f>
        <v/>
      </c>
      <c r="I1737" s="43"/>
      <c r="J1737" s="53" t="str" cm="1">
        <f t="array" ref="J1737">IFERROR(INDEX(DB!Q$2:Q$2576,T1737),"")</f>
        <v/>
      </c>
      <c r="K1737" s="43"/>
      <c r="L1737" s="41" t="str" cm="1">
        <f t="array" ref="L1737">IFERROR(INDEX(DB!R$2:R$2576,T1737),"")</f>
        <v/>
      </c>
      <c r="M1737" s="43"/>
      <c r="P1737" t="str" cm="1">
        <f t="array" ref="P1737">IFERROR(_xlfn.AGGREGATE(15,6,ROW(DB!A$2:A$2576)/((($D$3&lt;&gt;"YES")+($D$3="YES")*(DB!E$2:E$2576="YES"))*(($D$4="")+($D$4&lt;&gt;"")*( DB!B$2:B$2576=$D$4))*(($D$5="")+($D$5&lt;&gt;"")*( DB!C$2:C$2576=$D$5))*(($D$6="")+($D$6&lt;&gt;"")*( DB!D$2:D$2576=$D$6))*(($D$7="")+($D$7&lt;&gt;"")*(ISNUMBER(SEARCH($D$7,DB!G$2:G$2576))))*(($F$7="전체")+($F$7&lt;&gt;"전체")*(DB!H$2:H$2576=$F$7))),ROW()-13)-1,"")</f>
        <v/>
      </c>
      <c r="Q1737" t="str" cm="1">
        <f t="array" ref="Q1737">IFERROR(INDEX(DB!G$2:G$2576,P1737),"")</f>
        <v/>
      </c>
      <c r="R1737" t="str" cm="1">
        <f t="array" ref="R1737">IFERROR(INDEX(DB!O$2:O$2576,P1737),"")</f>
        <v/>
      </c>
      <c r="S1737" t="str">
        <f t="shared" si="81"/>
        <v/>
      </c>
      <c r="T1737" t="str">
        <f t="shared" si="82"/>
        <v/>
      </c>
    </row>
    <row r="1738" spans="1:20" ht="100" customHeight="1">
      <c r="A1738" s="26"/>
      <c r="B1738" s="39" t="str">
        <f t="shared" si="80"/>
        <v/>
      </c>
      <c r="C1738" s="43"/>
      <c r="D1738" s="51" t="str" cm="1">
        <f t="array" ref="D1738">IFERROR(INDEX(DB!G$2:G$2576,T1738),"")</f>
        <v/>
      </c>
      <c r="E1738" s="43"/>
      <c r="F1738" s="52" t="str" cm="1">
        <f t="array" ref="F1738">IFERROR(INDEX(DB!O$2:O$2576,T1738),"")</f>
        <v/>
      </c>
      <c r="G1738" s="43"/>
      <c r="H1738" s="40" t="str" cm="1">
        <f t="array" ref="H1738">IFERROR(INDEX(DB!P$2:P$2576,T1738),"")</f>
        <v/>
      </c>
      <c r="I1738" s="43"/>
      <c r="J1738" s="53" t="str" cm="1">
        <f t="array" ref="J1738">IFERROR(INDEX(DB!Q$2:Q$2576,T1738),"")</f>
        <v/>
      </c>
      <c r="K1738" s="43"/>
      <c r="L1738" s="41" t="str" cm="1">
        <f t="array" ref="L1738">IFERROR(INDEX(DB!R$2:R$2576,T1738),"")</f>
        <v/>
      </c>
      <c r="M1738" s="43"/>
      <c r="P1738" t="str" cm="1">
        <f t="array" ref="P1738">IFERROR(_xlfn.AGGREGATE(15,6,ROW(DB!A$2:A$2576)/((($D$3&lt;&gt;"YES")+($D$3="YES")*(DB!E$2:E$2576="YES"))*(($D$4="")+($D$4&lt;&gt;"")*( DB!B$2:B$2576=$D$4))*(($D$5="")+($D$5&lt;&gt;"")*( DB!C$2:C$2576=$D$5))*(($D$6="")+($D$6&lt;&gt;"")*( DB!D$2:D$2576=$D$6))*(($D$7="")+($D$7&lt;&gt;"")*(ISNUMBER(SEARCH($D$7,DB!G$2:G$2576))))*(($F$7="전체")+($F$7&lt;&gt;"전체")*(DB!H$2:H$2576=$F$7))),ROW()-13)-1,"")</f>
        <v/>
      </c>
      <c r="Q1738" t="str" cm="1">
        <f t="array" ref="Q1738">IFERROR(INDEX(DB!G$2:G$2576,P1738),"")</f>
        <v/>
      </c>
      <c r="R1738" t="str" cm="1">
        <f t="array" ref="R1738">IFERROR(INDEX(DB!O$2:O$2576,P1738),"")</f>
        <v/>
      </c>
      <c r="S1738" t="str">
        <f t="shared" si="81"/>
        <v/>
      </c>
      <c r="T1738" t="str">
        <f t="shared" si="82"/>
        <v/>
      </c>
    </row>
    <row r="1739" spans="1:20" ht="100" customHeight="1">
      <c r="A1739" s="26"/>
      <c r="B1739" s="42" t="str">
        <f t="shared" si="80"/>
        <v/>
      </c>
      <c r="C1739" s="43"/>
      <c r="D1739" s="51" t="str" cm="1">
        <f t="array" ref="D1739">IFERROR(INDEX(DB!G$2:G$2576,T1739),"")</f>
        <v/>
      </c>
      <c r="E1739" s="43"/>
      <c r="F1739" s="52" t="str" cm="1">
        <f t="array" ref="F1739">IFERROR(INDEX(DB!O$2:O$2576,T1739),"")</f>
        <v/>
      </c>
      <c r="G1739" s="43"/>
      <c r="H1739" s="40" t="str" cm="1">
        <f t="array" ref="H1739">IFERROR(INDEX(DB!P$2:P$2576,T1739),"")</f>
        <v/>
      </c>
      <c r="I1739" s="43"/>
      <c r="J1739" s="53" t="str" cm="1">
        <f t="array" ref="J1739">IFERROR(INDEX(DB!Q$2:Q$2576,T1739),"")</f>
        <v/>
      </c>
      <c r="K1739" s="43"/>
      <c r="L1739" s="41" t="str" cm="1">
        <f t="array" ref="L1739">IFERROR(INDEX(DB!R$2:R$2576,T1739),"")</f>
        <v/>
      </c>
      <c r="M1739" s="43"/>
      <c r="P1739" t="str" cm="1">
        <f t="array" ref="P1739">IFERROR(_xlfn.AGGREGATE(15,6,ROW(DB!A$2:A$2576)/((($D$3&lt;&gt;"YES")+($D$3="YES")*(DB!E$2:E$2576="YES"))*(($D$4="")+($D$4&lt;&gt;"")*( DB!B$2:B$2576=$D$4))*(($D$5="")+($D$5&lt;&gt;"")*( DB!C$2:C$2576=$D$5))*(($D$6="")+($D$6&lt;&gt;"")*( DB!D$2:D$2576=$D$6))*(($D$7="")+($D$7&lt;&gt;"")*(ISNUMBER(SEARCH($D$7,DB!G$2:G$2576))))*(($F$7="전체")+($F$7&lt;&gt;"전체")*(DB!H$2:H$2576=$F$7))),ROW()-13)-1,"")</f>
        <v/>
      </c>
      <c r="Q1739" t="str" cm="1">
        <f t="array" ref="Q1739">IFERROR(INDEX(DB!G$2:G$2576,P1739),"")</f>
        <v/>
      </c>
      <c r="R1739" t="str" cm="1">
        <f t="array" ref="R1739">IFERROR(INDEX(DB!O$2:O$2576,P1739),"")</f>
        <v/>
      </c>
      <c r="S1739" t="str">
        <f t="shared" si="81"/>
        <v/>
      </c>
      <c r="T1739" t="str">
        <f t="shared" si="82"/>
        <v/>
      </c>
    </row>
    <row r="1740" spans="1:20" ht="100" customHeight="1">
      <c r="A1740" s="26"/>
      <c r="B1740" s="39" t="str">
        <f t="shared" si="80"/>
        <v/>
      </c>
      <c r="C1740" s="43"/>
      <c r="D1740" s="51" t="str" cm="1">
        <f t="array" ref="D1740">IFERROR(INDEX(DB!G$2:G$2576,T1740),"")</f>
        <v/>
      </c>
      <c r="E1740" s="43"/>
      <c r="F1740" s="52" t="str" cm="1">
        <f t="array" ref="F1740">IFERROR(INDEX(DB!O$2:O$2576,T1740),"")</f>
        <v/>
      </c>
      <c r="G1740" s="43"/>
      <c r="H1740" s="40" t="str" cm="1">
        <f t="array" ref="H1740">IFERROR(INDEX(DB!P$2:P$2576,T1740),"")</f>
        <v/>
      </c>
      <c r="I1740" s="43"/>
      <c r="J1740" s="53" t="str" cm="1">
        <f t="array" ref="J1740">IFERROR(INDEX(DB!Q$2:Q$2576,T1740),"")</f>
        <v/>
      </c>
      <c r="K1740" s="43"/>
      <c r="L1740" s="41" t="str" cm="1">
        <f t="array" ref="L1740">IFERROR(INDEX(DB!R$2:R$2576,T1740),"")</f>
        <v/>
      </c>
      <c r="M1740" s="43"/>
      <c r="P1740" t="str" cm="1">
        <f t="array" ref="P1740">IFERROR(_xlfn.AGGREGATE(15,6,ROW(DB!A$2:A$2576)/((($D$3&lt;&gt;"YES")+($D$3="YES")*(DB!E$2:E$2576="YES"))*(($D$4="")+($D$4&lt;&gt;"")*( DB!B$2:B$2576=$D$4))*(($D$5="")+($D$5&lt;&gt;"")*( DB!C$2:C$2576=$D$5))*(($D$6="")+($D$6&lt;&gt;"")*( DB!D$2:D$2576=$D$6))*(($D$7="")+($D$7&lt;&gt;"")*(ISNUMBER(SEARCH($D$7,DB!G$2:G$2576))))*(($F$7="전체")+($F$7&lt;&gt;"전체")*(DB!H$2:H$2576=$F$7))),ROW()-13)-1,"")</f>
        <v/>
      </c>
      <c r="Q1740" t="str" cm="1">
        <f t="array" ref="Q1740">IFERROR(INDEX(DB!G$2:G$2576,P1740),"")</f>
        <v/>
      </c>
      <c r="R1740" t="str" cm="1">
        <f t="array" ref="R1740">IFERROR(INDEX(DB!O$2:O$2576,P1740),"")</f>
        <v/>
      </c>
      <c r="S1740" t="str">
        <f t="shared" si="81"/>
        <v/>
      </c>
      <c r="T1740" t="str">
        <f t="shared" si="82"/>
        <v/>
      </c>
    </row>
    <row r="1741" spans="1:20" ht="100" customHeight="1">
      <c r="A1741" s="26"/>
      <c r="B1741" s="42" t="str">
        <f t="shared" si="80"/>
        <v/>
      </c>
      <c r="C1741" s="43"/>
      <c r="D1741" s="51" t="str" cm="1">
        <f t="array" ref="D1741">IFERROR(INDEX(DB!G$2:G$2576,T1741),"")</f>
        <v/>
      </c>
      <c r="E1741" s="43"/>
      <c r="F1741" s="52" t="str" cm="1">
        <f t="array" ref="F1741">IFERROR(INDEX(DB!O$2:O$2576,T1741),"")</f>
        <v/>
      </c>
      <c r="G1741" s="43"/>
      <c r="H1741" s="40" t="str" cm="1">
        <f t="array" ref="H1741">IFERROR(INDEX(DB!P$2:P$2576,T1741),"")</f>
        <v/>
      </c>
      <c r="I1741" s="43"/>
      <c r="J1741" s="53" t="str" cm="1">
        <f t="array" ref="J1741">IFERROR(INDEX(DB!Q$2:Q$2576,T1741),"")</f>
        <v/>
      </c>
      <c r="K1741" s="43"/>
      <c r="L1741" s="41" t="str" cm="1">
        <f t="array" ref="L1741">IFERROR(INDEX(DB!R$2:R$2576,T1741),"")</f>
        <v/>
      </c>
      <c r="M1741" s="43"/>
      <c r="P1741" t="str" cm="1">
        <f t="array" ref="P1741">IFERROR(_xlfn.AGGREGATE(15,6,ROW(DB!A$2:A$2576)/((($D$3&lt;&gt;"YES")+($D$3="YES")*(DB!E$2:E$2576="YES"))*(($D$4="")+($D$4&lt;&gt;"")*( DB!B$2:B$2576=$D$4))*(($D$5="")+($D$5&lt;&gt;"")*( DB!C$2:C$2576=$D$5))*(($D$6="")+($D$6&lt;&gt;"")*( DB!D$2:D$2576=$D$6))*(($D$7="")+($D$7&lt;&gt;"")*(ISNUMBER(SEARCH($D$7,DB!G$2:G$2576))))*(($F$7="전체")+($F$7&lt;&gt;"전체")*(DB!H$2:H$2576=$F$7))),ROW()-13)-1,"")</f>
        <v/>
      </c>
      <c r="Q1741" t="str" cm="1">
        <f t="array" ref="Q1741">IFERROR(INDEX(DB!G$2:G$2576,P1741),"")</f>
        <v/>
      </c>
      <c r="R1741" t="str" cm="1">
        <f t="array" ref="R1741">IFERROR(INDEX(DB!O$2:O$2576,P1741),"")</f>
        <v/>
      </c>
      <c r="S1741" t="str">
        <f t="shared" si="81"/>
        <v/>
      </c>
      <c r="T1741" t="str">
        <f t="shared" si="82"/>
        <v/>
      </c>
    </row>
    <row r="1742" spans="1:20" ht="100" customHeight="1">
      <c r="A1742" s="26"/>
      <c r="B1742" s="39" t="str">
        <f t="shared" si="80"/>
        <v/>
      </c>
      <c r="C1742" s="43"/>
      <c r="D1742" s="51" t="str" cm="1">
        <f t="array" ref="D1742">IFERROR(INDEX(DB!G$2:G$2576,T1742),"")</f>
        <v/>
      </c>
      <c r="E1742" s="43"/>
      <c r="F1742" s="52" t="str" cm="1">
        <f t="array" ref="F1742">IFERROR(INDEX(DB!O$2:O$2576,T1742),"")</f>
        <v/>
      </c>
      <c r="G1742" s="43"/>
      <c r="H1742" s="40" t="str" cm="1">
        <f t="array" ref="H1742">IFERROR(INDEX(DB!P$2:P$2576,T1742),"")</f>
        <v/>
      </c>
      <c r="I1742" s="43"/>
      <c r="J1742" s="53" t="str" cm="1">
        <f t="array" ref="J1742">IFERROR(INDEX(DB!Q$2:Q$2576,T1742),"")</f>
        <v/>
      </c>
      <c r="K1742" s="43"/>
      <c r="L1742" s="41" t="str" cm="1">
        <f t="array" ref="L1742">IFERROR(INDEX(DB!R$2:R$2576,T1742),"")</f>
        <v/>
      </c>
      <c r="M1742" s="43"/>
      <c r="P1742" t="str" cm="1">
        <f t="array" ref="P1742">IFERROR(_xlfn.AGGREGATE(15,6,ROW(DB!A$2:A$2576)/((($D$3&lt;&gt;"YES")+($D$3="YES")*(DB!E$2:E$2576="YES"))*(($D$4="")+($D$4&lt;&gt;"")*( DB!B$2:B$2576=$D$4))*(($D$5="")+($D$5&lt;&gt;"")*( DB!C$2:C$2576=$D$5))*(($D$6="")+($D$6&lt;&gt;"")*( DB!D$2:D$2576=$D$6))*(($D$7="")+($D$7&lt;&gt;"")*(ISNUMBER(SEARCH($D$7,DB!G$2:G$2576))))*(($F$7="전체")+($F$7&lt;&gt;"전체")*(DB!H$2:H$2576=$F$7))),ROW()-13)-1,"")</f>
        <v/>
      </c>
      <c r="Q1742" t="str" cm="1">
        <f t="array" ref="Q1742">IFERROR(INDEX(DB!G$2:G$2576,P1742),"")</f>
        <v/>
      </c>
      <c r="R1742" t="str" cm="1">
        <f t="array" ref="R1742">IFERROR(INDEX(DB!O$2:O$2576,P1742),"")</f>
        <v/>
      </c>
      <c r="S1742" t="str">
        <f t="shared" si="81"/>
        <v/>
      </c>
      <c r="T1742" t="str">
        <f t="shared" si="82"/>
        <v/>
      </c>
    </row>
    <row r="1743" spans="1:20" ht="100" customHeight="1">
      <c r="A1743" s="26"/>
      <c r="B1743" s="42" t="str">
        <f t="shared" ref="B1743:B1806" si="83">IFERROR(IF(T1743="","",ROW()-13),"")</f>
        <v/>
      </c>
      <c r="C1743" s="43"/>
      <c r="D1743" s="51" t="str" cm="1">
        <f t="array" ref="D1743">IFERROR(INDEX(DB!G$2:G$2576,T1743),"")</f>
        <v/>
      </c>
      <c r="E1743" s="43"/>
      <c r="F1743" s="52" t="str" cm="1">
        <f t="array" ref="F1743">IFERROR(INDEX(DB!O$2:O$2576,T1743),"")</f>
        <v/>
      </c>
      <c r="G1743" s="43"/>
      <c r="H1743" s="40" t="str" cm="1">
        <f t="array" ref="H1743">IFERROR(INDEX(DB!P$2:P$2576,T1743),"")</f>
        <v/>
      </c>
      <c r="I1743" s="43"/>
      <c r="J1743" s="53" t="str" cm="1">
        <f t="array" ref="J1743">IFERROR(INDEX(DB!Q$2:Q$2576,T1743),"")</f>
        <v/>
      </c>
      <c r="K1743" s="43"/>
      <c r="L1743" s="41" t="str" cm="1">
        <f t="array" ref="L1743">IFERROR(INDEX(DB!R$2:R$2576,T1743),"")</f>
        <v/>
      </c>
      <c r="M1743" s="43"/>
      <c r="P1743" t="str" cm="1">
        <f t="array" ref="P1743">IFERROR(_xlfn.AGGREGATE(15,6,ROW(DB!A$2:A$2576)/((($D$3&lt;&gt;"YES")+($D$3="YES")*(DB!E$2:E$2576="YES"))*(($D$4="")+($D$4&lt;&gt;"")*( DB!B$2:B$2576=$D$4))*(($D$5="")+($D$5&lt;&gt;"")*( DB!C$2:C$2576=$D$5))*(($D$6="")+($D$6&lt;&gt;"")*( DB!D$2:D$2576=$D$6))*(($D$7="")+($D$7&lt;&gt;"")*(ISNUMBER(SEARCH($D$7,DB!G$2:G$2576))))*(($F$7="전체")+($F$7&lt;&gt;"전체")*(DB!H$2:H$2576=$F$7))),ROW()-13)-1,"")</f>
        <v/>
      </c>
      <c r="Q1743" t="str" cm="1">
        <f t="array" ref="Q1743">IFERROR(INDEX(DB!G$2:G$2576,P1743),"")</f>
        <v/>
      </c>
      <c r="R1743" t="str" cm="1">
        <f t="array" ref="R1743">IFERROR(INDEX(DB!O$2:O$2576,P1743),"")</f>
        <v/>
      </c>
      <c r="S1743" t="str">
        <f t="shared" ref="S1743:S1806" si="84">IF(P1743="","",COUNTIF($Q$14:$Q$2587,"&lt;"&amp;Q1743)*100+COUNTIF($R$14:$R$2587,"&lt;"&amp;R1743)+(ROW()-13)*0.001)</f>
        <v/>
      </c>
      <c r="T1743" t="str">
        <f t="shared" ref="T1743:T1806" si="85">IFERROR(INDEX($P$14:$P$2587,MATCH(SMALL($S$14:$S$2587,ROW()-13),$S$14:$S$2587,0)),"")</f>
        <v/>
      </c>
    </row>
    <row r="1744" spans="1:20" ht="100" customHeight="1">
      <c r="A1744" s="26"/>
      <c r="B1744" s="39" t="str">
        <f t="shared" si="83"/>
        <v/>
      </c>
      <c r="C1744" s="43"/>
      <c r="D1744" s="51" t="str" cm="1">
        <f t="array" ref="D1744">IFERROR(INDEX(DB!G$2:G$2576,T1744),"")</f>
        <v/>
      </c>
      <c r="E1744" s="43"/>
      <c r="F1744" s="52" t="str" cm="1">
        <f t="array" ref="F1744">IFERROR(INDEX(DB!O$2:O$2576,T1744),"")</f>
        <v/>
      </c>
      <c r="G1744" s="43"/>
      <c r="H1744" s="40" t="str" cm="1">
        <f t="array" ref="H1744">IFERROR(INDEX(DB!P$2:P$2576,T1744),"")</f>
        <v/>
      </c>
      <c r="I1744" s="43"/>
      <c r="J1744" s="53" t="str" cm="1">
        <f t="array" ref="J1744">IFERROR(INDEX(DB!Q$2:Q$2576,T1744),"")</f>
        <v/>
      </c>
      <c r="K1744" s="43"/>
      <c r="L1744" s="41" t="str" cm="1">
        <f t="array" ref="L1744">IFERROR(INDEX(DB!R$2:R$2576,T1744),"")</f>
        <v/>
      </c>
      <c r="M1744" s="43"/>
      <c r="P1744" t="str" cm="1">
        <f t="array" ref="P1744">IFERROR(_xlfn.AGGREGATE(15,6,ROW(DB!A$2:A$2576)/((($D$3&lt;&gt;"YES")+($D$3="YES")*(DB!E$2:E$2576="YES"))*(($D$4="")+($D$4&lt;&gt;"")*( DB!B$2:B$2576=$D$4))*(($D$5="")+($D$5&lt;&gt;"")*( DB!C$2:C$2576=$D$5))*(($D$6="")+($D$6&lt;&gt;"")*( DB!D$2:D$2576=$D$6))*(($D$7="")+($D$7&lt;&gt;"")*(ISNUMBER(SEARCH($D$7,DB!G$2:G$2576))))*(($F$7="전체")+($F$7&lt;&gt;"전체")*(DB!H$2:H$2576=$F$7))),ROW()-13)-1,"")</f>
        <v/>
      </c>
      <c r="Q1744" t="str" cm="1">
        <f t="array" ref="Q1744">IFERROR(INDEX(DB!G$2:G$2576,P1744),"")</f>
        <v/>
      </c>
      <c r="R1744" t="str" cm="1">
        <f t="array" ref="R1744">IFERROR(INDEX(DB!O$2:O$2576,P1744),"")</f>
        <v/>
      </c>
      <c r="S1744" t="str">
        <f t="shared" si="84"/>
        <v/>
      </c>
      <c r="T1744" t="str">
        <f t="shared" si="85"/>
        <v/>
      </c>
    </row>
    <row r="1745" spans="1:20" ht="100" customHeight="1">
      <c r="A1745" s="26"/>
      <c r="B1745" s="42" t="str">
        <f t="shared" si="83"/>
        <v/>
      </c>
      <c r="C1745" s="43"/>
      <c r="D1745" s="51" t="str" cm="1">
        <f t="array" ref="D1745">IFERROR(INDEX(DB!G$2:G$2576,T1745),"")</f>
        <v/>
      </c>
      <c r="E1745" s="43"/>
      <c r="F1745" s="52" t="str" cm="1">
        <f t="array" ref="F1745">IFERROR(INDEX(DB!O$2:O$2576,T1745),"")</f>
        <v/>
      </c>
      <c r="G1745" s="43"/>
      <c r="H1745" s="40" t="str" cm="1">
        <f t="array" ref="H1745">IFERROR(INDEX(DB!P$2:P$2576,T1745),"")</f>
        <v/>
      </c>
      <c r="I1745" s="43"/>
      <c r="J1745" s="53" t="str" cm="1">
        <f t="array" ref="J1745">IFERROR(INDEX(DB!Q$2:Q$2576,T1745),"")</f>
        <v/>
      </c>
      <c r="K1745" s="43"/>
      <c r="L1745" s="41" t="str" cm="1">
        <f t="array" ref="L1745">IFERROR(INDEX(DB!R$2:R$2576,T1745),"")</f>
        <v/>
      </c>
      <c r="M1745" s="43"/>
      <c r="P1745" t="str" cm="1">
        <f t="array" ref="P1745">IFERROR(_xlfn.AGGREGATE(15,6,ROW(DB!A$2:A$2576)/((($D$3&lt;&gt;"YES")+($D$3="YES")*(DB!E$2:E$2576="YES"))*(($D$4="")+($D$4&lt;&gt;"")*( DB!B$2:B$2576=$D$4))*(($D$5="")+($D$5&lt;&gt;"")*( DB!C$2:C$2576=$D$5))*(($D$6="")+($D$6&lt;&gt;"")*( DB!D$2:D$2576=$D$6))*(($D$7="")+($D$7&lt;&gt;"")*(ISNUMBER(SEARCH($D$7,DB!G$2:G$2576))))*(($F$7="전체")+($F$7&lt;&gt;"전체")*(DB!H$2:H$2576=$F$7))),ROW()-13)-1,"")</f>
        <v/>
      </c>
      <c r="Q1745" t="str" cm="1">
        <f t="array" ref="Q1745">IFERROR(INDEX(DB!G$2:G$2576,P1745),"")</f>
        <v/>
      </c>
      <c r="R1745" t="str" cm="1">
        <f t="array" ref="R1745">IFERROR(INDEX(DB!O$2:O$2576,P1745),"")</f>
        <v/>
      </c>
      <c r="S1745" t="str">
        <f t="shared" si="84"/>
        <v/>
      </c>
      <c r="T1745" t="str">
        <f t="shared" si="85"/>
        <v/>
      </c>
    </row>
    <row r="1746" spans="1:20" ht="100" customHeight="1">
      <c r="A1746" s="26"/>
      <c r="B1746" s="39" t="str">
        <f t="shared" si="83"/>
        <v/>
      </c>
      <c r="C1746" s="43"/>
      <c r="D1746" s="51" t="str" cm="1">
        <f t="array" ref="D1746">IFERROR(INDEX(DB!G$2:G$2576,T1746),"")</f>
        <v/>
      </c>
      <c r="E1746" s="43"/>
      <c r="F1746" s="52" t="str" cm="1">
        <f t="array" ref="F1746">IFERROR(INDEX(DB!O$2:O$2576,T1746),"")</f>
        <v/>
      </c>
      <c r="G1746" s="43"/>
      <c r="H1746" s="40" t="str" cm="1">
        <f t="array" ref="H1746">IFERROR(INDEX(DB!P$2:P$2576,T1746),"")</f>
        <v/>
      </c>
      <c r="I1746" s="43"/>
      <c r="J1746" s="53" t="str" cm="1">
        <f t="array" ref="J1746">IFERROR(INDEX(DB!Q$2:Q$2576,T1746),"")</f>
        <v/>
      </c>
      <c r="K1746" s="43"/>
      <c r="L1746" s="41" t="str" cm="1">
        <f t="array" ref="L1746">IFERROR(INDEX(DB!R$2:R$2576,T1746),"")</f>
        <v/>
      </c>
      <c r="M1746" s="43"/>
      <c r="P1746" t="str" cm="1">
        <f t="array" ref="P1746">IFERROR(_xlfn.AGGREGATE(15,6,ROW(DB!A$2:A$2576)/((($D$3&lt;&gt;"YES")+($D$3="YES")*(DB!E$2:E$2576="YES"))*(($D$4="")+($D$4&lt;&gt;"")*( DB!B$2:B$2576=$D$4))*(($D$5="")+($D$5&lt;&gt;"")*( DB!C$2:C$2576=$D$5))*(($D$6="")+($D$6&lt;&gt;"")*( DB!D$2:D$2576=$D$6))*(($D$7="")+($D$7&lt;&gt;"")*(ISNUMBER(SEARCH($D$7,DB!G$2:G$2576))))*(($F$7="전체")+($F$7&lt;&gt;"전체")*(DB!H$2:H$2576=$F$7))),ROW()-13)-1,"")</f>
        <v/>
      </c>
      <c r="Q1746" t="str" cm="1">
        <f t="array" ref="Q1746">IFERROR(INDEX(DB!G$2:G$2576,P1746),"")</f>
        <v/>
      </c>
      <c r="R1746" t="str" cm="1">
        <f t="array" ref="R1746">IFERROR(INDEX(DB!O$2:O$2576,P1746),"")</f>
        <v/>
      </c>
      <c r="S1746" t="str">
        <f t="shared" si="84"/>
        <v/>
      </c>
      <c r="T1746" t="str">
        <f t="shared" si="85"/>
        <v/>
      </c>
    </row>
    <row r="1747" spans="1:20" ht="100" customHeight="1">
      <c r="A1747" s="26"/>
      <c r="B1747" s="42" t="str">
        <f t="shared" si="83"/>
        <v/>
      </c>
      <c r="C1747" s="43"/>
      <c r="D1747" s="51" t="str" cm="1">
        <f t="array" ref="D1747">IFERROR(INDEX(DB!G$2:G$2576,T1747),"")</f>
        <v/>
      </c>
      <c r="E1747" s="43"/>
      <c r="F1747" s="52" t="str" cm="1">
        <f t="array" ref="F1747">IFERROR(INDEX(DB!O$2:O$2576,T1747),"")</f>
        <v/>
      </c>
      <c r="G1747" s="43"/>
      <c r="H1747" s="40" t="str" cm="1">
        <f t="array" ref="H1747">IFERROR(INDEX(DB!P$2:P$2576,T1747),"")</f>
        <v/>
      </c>
      <c r="I1747" s="43"/>
      <c r="J1747" s="53" t="str" cm="1">
        <f t="array" ref="J1747">IFERROR(INDEX(DB!Q$2:Q$2576,T1747),"")</f>
        <v/>
      </c>
      <c r="K1747" s="43"/>
      <c r="L1747" s="41" t="str" cm="1">
        <f t="array" ref="L1747">IFERROR(INDEX(DB!R$2:R$2576,T1747),"")</f>
        <v/>
      </c>
      <c r="M1747" s="43"/>
      <c r="P1747" t="str" cm="1">
        <f t="array" ref="P1747">IFERROR(_xlfn.AGGREGATE(15,6,ROW(DB!A$2:A$2576)/((($D$3&lt;&gt;"YES")+($D$3="YES")*(DB!E$2:E$2576="YES"))*(($D$4="")+($D$4&lt;&gt;"")*( DB!B$2:B$2576=$D$4))*(($D$5="")+($D$5&lt;&gt;"")*( DB!C$2:C$2576=$D$5))*(($D$6="")+($D$6&lt;&gt;"")*( DB!D$2:D$2576=$D$6))*(($D$7="")+($D$7&lt;&gt;"")*(ISNUMBER(SEARCH($D$7,DB!G$2:G$2576))))*(($F$7="전체")+($F$7&lt;&gt;"전체")*(DB!H$2:H$2576=$F$7))),ROW()-13)-1,"")</f>
        <v/>
      </c>
      <c r="Q1747" t="str" cm="1">
        <f t="array" ref="Q1747">IFERROR(INDEX(DB!G$2:G$2576,P1747),"")</f>
        <v/>
      </c>
      <c r="R1747" t="str" cm="1">
        <f t="array" ref="R1747">IFERROR(INDEX(DB!O$2:O$2576,P1747),"")</f>
        <v/>
      </c>
      <c r="S1747" t="str">
        <f t="shared" si="84"/>
        <v/>
      </c>
      <c r="T1747" t="str">
        <f t="shared" si="85"/>
        <v/>
      </c>
    </row>
    <row r="1748" spans="1:20" ht="100" customHeight="1">
      <c r="A1748" s="26"/>
      <c r="B1748" s="39" t="str">
        <f t="shared" si="83"/>
        <v/>
      </c>
      <c r="C1748" s="43"/>
      <c r="D1748" s="51" t="str" cm="1">
        <f t="array" ref="D1748">IFERROR(INDEX(DB!G$2:G$2576,T1748),"")</f>
        <v/>
      </c>
      <c r="E1748" s="43"/>
      <c r="F1748" s="52" t="str" cm="1">
        <f t="array" ref="F1748">IFERROR(INDEX(DB!O$2:O$2576,T1748),"")</f>
        <v/>
      </c>
      <c r="G1748" s="43"/>
      <c r="H1748" s="40" t="str" cm="1">
        <f t="array" ref="H1748">IFERROR(INDEX(DB!P$2:P$2576,T1748),"")</f>
        <v/>
      </c>
      <c r="I1748" s="43"/>
      <c r="J1748" s="53" t="str" cm="1">
        <f t="array" ref="J1748">IFERROR(INDEX(DB!Q$2:Q$2576,T1748),"")</f>
        <v/>
      </c>
      <c r="K1748" s="43"/>
      <c r="L1748" s="41" t="str" cm="1">
        <f t="array" ref="L1748">IFERROR(INDEX(DB!R$2:R$2576,T1748),"")</f>
        <v/>
      </c>
      <c r="M1748" s="43"/>
      <c r="P1748" t="str" cm="1">
        <f t="array" ref="P1748">IFERROR(_xlfn.AGGREGATE(15,6,ROW(DB!A$2:A$2576)/((($D$3&lt;&gt;"YES")+($D$3="YES")*(DB!E$2:E$2576="YES"))*(($D$4="")+($D$4&lt;&gt;"")*( DB!B$2:B$2576=$D$4))*(($D$5="")+($D$5&lt;&gt;"")*( DB!C$2:C$2576=$D$5))*(($D$6="")+($D$6&lt;&gt;"")*( DB!D$2:D$2576=$D$6))*(($D$7="")+($D$7&lt;&gt;"")*(ISNUMBER(SEARCH($D$7,DB!G$2:G$2576))))*(($F$7="전체")+($F$7&lt;&gt;"전체")*(DB!H$2:H$2576=$F$7))),ROW()-13)-1,"")</f>
        <v/>
      </c>
      <c r="Q1748" t="str" cm="1">
        <f t="array" ref="Q1748">IFERROR(INDEX(DB!G$2:G$2576,P1748),"")</f>
        <v/>
      </c>
      <c r="R1748" t="str" cm="1">
        <f t="array" ref="R1748">IFERROR(INDEX(DB!O$2:O$2576,P1748),"")</f>
        <v/>
      </c>
      <c r="S1748" t="str">
        <f t="shared" si="84"/>
        <v/>
      </c>
      <c r="T1748" t="str">
        <f t="shared" si="85"/>
        <v/>
      </c>
    </row>
    <row r="1749" spans="1:20" ht="100" customHeight="1">
      <c r="A1749" s="26"/>
      <c r="B1749" s="42" t="str">
        <f t="shared" si="83"/>
        <v/>
      </c>
      <c r="C1749" s="43"/>
      <c r="D1749" s="51" t="str" cm="1">
        <f t="array" ref="D1749">IFERROR(INDEX(DB!G$2:G$2576,T1749),"")</f>
        <v/>
      </c>
      <c r="E1749" s="43"/>
      <c r="F1749" s="52" t="str" cm="1">
        <f t="array" ref="F1749">IFERROR(INDEX(DB!O$2:O$2576,T1749),"")</f>
        <v/>
      </c>
      <c r="G1749" s="43"/>
      <c r="H1749" s="40" t="str" cm="1">
        <f t="array" ref="H1749">IFERROR(INDEX(DB!P$2:P$2576,T1749),"")</f>
        <v/>
      </c>
      <c r="I1749" s="43"/>
      <c r="J1749" s="53" t="str" cm="1">
        <f t="array" ref="J1749">IFERROR(INDEX(DB!Q$2:Q$2576,T1749),"")</f>
        <v/>
      </c>
      <c r="K1749" s="43"/>
      <c r="L1749" s="41" t="str" cm="1">
        <f t="array" ref="L1749">IFERROR(INDEX(DB!R$2:R$2576,T1749),"")</f>
        <v/>
      </c>
      <c r="M1749" s="43"/>
      <c r="P1749" t="str" cm="1">
        <f t="array" ref="P1749">IFERROR(_xlfn.AGGREGATE(15,6,ROW(DB!A$2:A$2576)/((($D$3&lt;&gt;"YES")+($D$3="YES")*(DB!E$2:E$2576="YES"))*(($D$4="")+($D$4&lt;&gt;"")*( DB!B$2:B$2576=$D$4))*(($D$5="")+($D$5&lt;&gt;"")*( DB!C$2:C$2576=$D$5))*(($D$6="")+($D$6&lt;&gt;"")*( DB!D$2:D$2576=$D$6))*(($D$7="")+($D$7&lt;&gt;"")*(ISNUMBER(SEARCH($D$7,DB!G$2:G$2576))))*(($F$7="전체")+($F$7&lt;&gt;"전체")*(DB!H$2:H$2576=$F$7))),ROW()-13)-1,"")</f>
        <v/>
      </c>
      <c r="Q1749" t="str" cm="1">
        <f t="array" ref="Q1749">IFERROR(INDEX(DB!G$2:G$2576,P1749),"")</f>
        <v/>
      </c>
      <c r="R1749" t="str" cm="1">
        <f t="array" ref="R1749">IFERROR(INDEX(DB!O$2:O$2576,P1749),"")</f>
        <v/>
      </c>
      <c r="S1749" t="str">
        <f t="shared" si="84"/>
        <v/>
      </c>
      <c r="T1749" t="str">
        <f t="shared" si="85"/>
        <v/>
      </c>
    </row>
    <row r="1750" spans="1:20" ht="100" customHeight="1">
      <c r="A1750" s="26"/>
      <c r="B1750" s="39" t="str">
        <f t="shared" si="83"/>
        <v/>
      </c>
      <c r="C1750" s="43"/>
      <c r="D1750" s="51" t="str" cm="1">
        <f t="array" ref="D1750">IFERROR(INDEX(DB!G$2:G$2576,T1750),"")</f>
        <v/>
      </c>
      <c r="E1750" s="43"/>
      <c r="F1750" s="52" t="str" cm="1">
        <f t="array" ref="F1750">IFERROR(INDEX(DB!O$2:O$2576,T1750),"")</f>
        <v/>
      </c>
      <c r="G1750" s="43"/>
      <c r="H1750" s="40" t="str" cm="1">
        <f t="array" ref="H1750">IFERROR(INDEX(DB!P$2:P$2576,T1750),"")</f>
        <v/>
      </c>
      <c r="I1750" s="43"/>
      <c r="J1750" s="53" t="str" cm="1">
        <f t="array" ref="J1750">IFERROR(INDEX(DB!Q$2:Q$2576,T1750),"")</f>
        <v/>
      </c>
      <c r="K1750" s="43"/>
      <c r="L1750" s="41" t="str" cm="1">
        <f t="array" ref="L1750">IFERROR(INDEX(DB!R$2:R$2576,T1750),"")</f>
        <v/>
      </c>
      <c r="M1750" s="43"/>
      <c r="P1750" t="str" cm="1">
        <f t="array" ref="P1750">IFERROR(_xlfn.AGGREGATE(15,6,ROW(DB!A$2:A$2576)/((($D$3&lt;&gt;"YES")+($D$3="YES")*(DB!E$2:E$2576="YES"))*(($D$4="")+($D$4&lt;&gt;"")*( DB!B$2:B$2576=$D$4))*(($D$5="")+($D$5&lt;&gt;"")*( DB!C$2:C$2576=$D$5))*(($D$6="")+($D$6&lt;&gt;"")*( DB!D$2:D$2576=$D$6))*(($D$7="")+($D$7&lt;&gt;"")*(ISNUMBER(SEARCH($D$7,DB!G$2:G$2576))))*(($F$7="전체")+($F$7&lt;&gt;"전체")*(DB!H$2:H$2576=$F$7))),ROW()-13)-1,"")</f>
        <v/>
      </c>
      <c r="Q1750" t="str" cm="1">
        <f t="array" ref="Q1750">IFERROR(INDEX(DB!G$2:G$2576,P1750),"")</f>
        <v/>
      </c>
      <c r="R1750" t="str" cm="1">
        <f t="array" ref="R1750">IFERROR(INDEX(DB!O$2:O$2576,P1750),"")</f>
        <v/>
      </c>
      <c r="S1750" t="str">
        <f t="shared" si="84"/>
        <v/>
      </c>
      <c r="T1750" t="str">
        <f t="shared" si="85"/>
        <v/>
      </c>
    </row>
    <row r="1751" spans="1:20" ht="100" customHeight="1">
      <c r="A1751" s="26"/>
      <c r="B1751" s="42" t="str">
        <f t="shared" si="83"/>
        <v/>
      </c>
      <c r="C1751" s="43"/>
      <c r="D1751" s="51" t="str" cm="1">
        <f t="array" ref="D1751">IFERROR(INDEX(DB!G$2:G$2576,T1751),"")</f>
        <v/>
      </c>
      <c r="E1751" s="43"/>
      <c r="F1751" s="52" t="str" cm="1">
        <f t="array" ref="F1751">IFERROR(INDEX(DB!O$2:O$2576,T1751),"")</f>
        <v/>
      </c>
      <c r="G1751" s="43"/>
      <c r="H1751" s="40" t="str" cm="1">
        <f t="array" ref="H1751">IFERROR(INDEX(DB!P$2:P$2576,T1751),"")</f>
        <v/>
      </c>
      <c r="I1751" s="43"/>
      <c r="J1751" s="53" t="str" cm="1">
        <f t="array" ref="J1751">IFERROR(INDEX(DB!Q$2:Q$2576,T1751),"")</f>
        <v/>
      </c>
      <c r="K1751" s="43"/>
      <c r="L1751" s="41" t="str" cm="1">
        <f t="array" ref="L1751">IFERROR(INDEX(DB!R$2:R$2576,T1751),"")</f>
        <v/>
      </c>
      <c r="M1751" s="43"/>
      <c r="P1751" t="str" cm="1">
        <f t="array" ref="P1751">IFERROR(_xlfn.AGGREGATE(15,6,ROW(DB!A$2:A$2576)/((($D$3&lt;&gt;"YES")+($D$3="YES")*(DB!E$2:E$2576="YES"))*(($D$4="")+($D$4&lt;&gt;"")*( DB!B$2:B$2576=$D$4))*(($D$5="")+($D$5&lt;&gt;"")*( DB!C$2:C$2576=$D$5))*(($D$6="")+($D$6&lt;&gt;"")*( DB!D$2:D$2576=$D$6))*(($D$7="")+($D$7&lt;&gt;"")*(ISNUMBER(SEARCH($D$7,DB!G$2:G$2576))))*(($F$7="전체")+($F$7&lt;&gt;"전체")*(DB!H$2:H$2576=$F$7))),ROW()-13)-1,"")</f>
        <v/>
      </c>
      <c r="Q1751" t="str" cm="1">
        <f t="array" ref="Q1751">IFERROR(INDEX(DB!G$2:G$2576,P1751),"")</f>
        <v/>
      </c>
      <c r="R1751" t="str" cm="1">
        <f t="array" ref="R1751">IFERROR(INDEX(DB!O$2:O$2576,P1751),"")</f>
        <v/>
      </c>
      <c r="S1751" t="str">
        <f t="shared" si="84"/>
        <v/>
      </c>
      <c r="T1751" t="str">
        <f t="shared" si="85"/>
        <v/>
      </c>
    </row>
    <row r="1752" spans="1:20" ht="100" customHeight="1">
      <c r="A1752" s="26"/>
      <c r="B1752" s="39" t="str">
        <f t="shared" si="83"/>
        <v/>
      </c>
      <c r="C1752" s="43"/>
      <c r="D1752" s="51" t="str" cm="1">
        <f t="array" ref="D1752">IFERROR(INDEX(DB!G$2:G$2576,T1752),"")</f>
        <v/>
      </c>
      <c r="E1752" s="43"/>
      <c r="F1752" s="52" t="str" cm="1">
        <f t="array" ref="F1752">IFERROR(INDEX(DB!O$2:O$2576,T1752),"")</f>
        <v/>
      </c>
      <c r="G1752" s="43"/>
      <c r="H1752" s="40" t="str" cm="1">
        <f t="array" ref="H1752">IFERROR(INDEX(DB!P$2:P$2576,T1752),"")</f>
        <v/>
      </c>
      <c r="I1752" s="43"/>
      <c r="J1752" s="53" t="str" cm="1">
        <f t="array" ref="J1752">IFERROR(INDEX(DB!Q$2:Q$2576,T1752),"")</f>
        <v/>
      </c>
      <c r="K1752" s="43"/>
      <c r="L1752" s="41" t="str" cm="1">
        <f t="array" ref="L1752">IFERROR(INDEX(DB!R$2:R$2576,T1752),"")</f>
        <v/>
      </c>
      <c r="M1752" s="43"/>
      <c r="P1752" t="str" cm="1">
        <f t="array" ref="P1752">IFERROR(_xlfn.AGGREGATE(15,6,ROW(DB!A$2:A$2576)/((($D$3&lt;&gt;"YES")+($D$3="YES")*(DB!E$2:E$2576="YES"))*(($D$4="")+($D$4&lt;&gt;"")*( DB!B$2:B$2576=$D$4))*(($D$5="")+($D$5&lt;&gt;"")*( DB!C$2:C$2576=$D$5))*(($D$6="")+($D$6&lt;&gt;"")*( DB!D$2:D$2576=$D$6))*(($D$7="")+($D$7&lt;&gt;"")*(ISNUMBER(SEARCH($D$7,DB!G$2:G$2576))))*(($F$7="전체")+($F$7&lt;&gt;"전체")*(DB!H$2:H$2576=$F$7))),ROW()-13)-1,"")</f>
        <v/>
      </c>
      <c r="Q1752" t="str" cm="1">
        <f t="array" ref="Q1752">IFERROR(INDEX(DB!G$2:G$2576,P1752),"")</f>
        <v/>
      </c>
      <c r="R1752" t="str" cm="1">
        <f t="array" ref="R1752">IFERROR(INDEX(DB!O$2:O$2576,P1752),"")</f>
        <v/>
      </c>
      <c r="S1752" t="str">
        <f t="shared" si="84"/>
        <v/>
      </c>
      <c r="T1752" t="str">
        <f t="shared" si="85"/>
        <v/>
      </c>
    </row>
    <row r="1753" spans="1:20" ht="100" customHeight="1">
      <c r="A1753" s="26"/>
      <c r="B1753" s="42" t="str">
        <f t="shared" si="83"/>
        <v/>
      </c>
      <c r="C1753" s="43"/>
      <c r="D1753" s="51" t="str" cm="1">
        <f t="array" ref="D1753">IFERROR(INDEX(DB!G$2:G$2576,T1753),"")</f>
        <v/>
      </c>
      <c r="E1753" s="43"/>
      <c r="F1753" s="52" t="str" cm="1">
        <f t="array" ref="F1753">IFERROR(INDEX(DB!O$2:O$2576,T1753),"")</f>
        <v/>
      </c>
      <c r="G1753" s="43"/>
      <c r="H1753" s="40" t="str" cm="1">
        <f t="array" ref="H1753">IFERROR(INDEX(DB!P$2:P$2576,T1753),"")</f>
        <v/>
      </c>
      <c r="I1753" s="43"/>
      <c r="J1753" s="53" t="str" cm="1">
        <f t="array" ref="J1753">IFERROR(INDEX(DB!Q$2:Q$2576,T1753),"")</f>
        <v/>
      </c>
      <c r="K1753" s="43"/>
      <c r="L1753" s="41" t="str" cm="1">
        <f t="array" ref="L1753">IFERROR(INDEX(DB!R$2:R$2576,T1753),"")</f>
        <v/>
      </c>
      <c r="M1753" s="43"/>
      <c r="P1753" t="str" cm="1">
        <f t="array" ref="P1753">IFERROR(_xlfn.AGGREGATE(15,6,ROW(DB!A$2:A$2576)/((($D$3&lt;&gt;"YES")+($D$3="YES")*(DB!E$2:E$2576="YES"))*(($D$4="")+($D$4&lt;&gt;"")*( DB!B$2:B$2576=$D$4))*(($D$5="")+($D$5&lt;&gt;"")*( DB!C$2:C$2576=$D$5))*(($D$6="")+($D$6&lt;&gt;"")*( DB!D$2:D$2576=$D$6))*(($D$7="")+($D$7&lt;&gt;"")*(ISNUMBER(SEARCH($D$7,DB!G$2:G$2576))))*(($F$7="전체")+($F$7&lt;&gt;"전체")*(DB!H$2:H$2576=$F$7))),ROW()-13)-1,"")</f>
        <v/>
      </c>
      <c r="Q1753" t="str" cm="1">
        <f t="array" ref="Q1753">IFERROR(INDEX(DB!G$2:G$2576,P1753),"")</f>
        <v/>
      </c>
      <c r="R1753" t="str" cm="1">
        <f t="array" ref="R1753">IFERROR(INDEX(DB!O$2:O$2576,P1753),"")</f>
        <v/>
      </c>
      <c r="S1753" t="str">
        <f t="shared" si="84"/>
        <v/>
      </c>
      <c r="T1753" t="str">
        <f t="shared" si="85"/>
        <v/>
      </c>
    </row>
    <row r="1754" spans="1:20" ht="100" customHeight="1">
      <c r="A1754" s="26"/>
      <c r="B1754" s="39" t="str">
        <f t="shared" si="83"/>
        <v/>
      </c>
      <c r="C1754" s="43"/>
      <c r="D1754" s="51" t="str" cm="1">
        <f t="array" ref="D1754">IFERROR(INDEX(DB!G$2:G$2576,T1754),"")</f>
        <v/>
      </c>
      <c r="E1754" s="43"/>
      <c r="F1754" s="52" t="str" cm="1">
        <f t="array" ref="F1754">IFERROR(INDEX(DB!O$2:O$2576,T1754),"")</f>
        <v/>
      </c>
      <c r="G1754" s="43"/>
      <c r="H1754" s="40" t="str" cm="1">
        <f t="array" ref="H1754">IFERROR(INDEX(DB!P$2:P$2576,T1754),"")</f>
        <v/>
      </c>
      <c r="I1754" s="43"/>
      <c r="J1754" s="53" t="str" cm="1">
        <f t="array" ref="J1754">IFERROR(INDEX(DB!Q$2:Q$2576,T1754),"")</f>
        <v/>
      </c>
      <c r="K1754" s="43"/>
      <c r="L1754" s="41" t="str" cm="1">
        <f t="array" ref="L1754">IFERROR(INDEX(DB!R$2:R$2576,T1754),"")</f>
        <v/>
      </c>
      <c r="M1754" s="43"/>
      <c r="P1754" t="str" cm="1">
        <f t="array" ref="P1754">IFERROR(_xlfn.AGGREGATE(15,6,ROW(DB!A$2:A$2576)/((($D$3&lt;&gt;"YES")+($D$3="YES")*(DB!E$2:E$2576="YES"))*(($D$4="")+($D$4&lt;&gt;"")*( DB!B$2:B$2576=$D$4))*(($D$5="")+($D$5&lt;&gt;"")*( DB!C$2:C$2576=$D$5))*(($D$6="")+($D$6&lt;&gt;"")*( DB!D$2:D$2576=$D$6))*(($D$7="")+($D$7&lt;&gt;"")*(ISNUMBER(SEARCH($D$7,DB!G$2:G$2576))))*(($F$7="전체")+($F$7&lt;&gt;"전체")*(DB!H$2:H$2576=$F$7))),ROW()-13)-1,"")</f>
        <v/>
      </c>
      <c r="Q1754" t="str" cm="1">
        <f t="array" ref="Q1754">IFERROR(INDEX(DB!G$2:G$2576,P1754),"")</f>
        <v/>
      </c>
      <c r="R1754" t="str" cm="1">
        <f t="array" ref="R1754">IFERROR(INDEX(DB!O$2:O$2576,P1754),"")</f>
        <v/>
      </c>
      <c r="S1754" t="str">
        <f t="shared" si="84"/>
        <v/>
      </c>
      <c r="T1754" t="str">
        <f t="shared" si="85"/>
        <v/>
      </c>
    </row>
    <row r="1755" spans="1:20" ht="100" customHeight="1">
      <c r="A1755" s="26"/>
      <c r="B1755" s="42" t="str">
        <f t="shared" si="83"/>
        <v/>
      </c>
      <c r="C1755" s="43"/>
      <c r="D1755" s="51" t="str" cm="1">
        <f t="array" ref="D1755">IFERROR(INDEX(DB!G$2:G$2576,T1755),"")</f>
        <v/>
      </c>
      <c r="E1755" s="43"/>
      <c r="F1755" s="52" t="str" cm="1">
        <f t="array" ref="F1755">IFERROR(INDEX(DB!O$2:O$2576,T1755),"")</f>
        <v/>
      </c>
      <c r="G1755" s="43"/>
      <c r="H1755" s="40" t="str" cm="1">
        <f t="array" ref="H1755">IFERROR(INDEX(DB!P$2:P$2576,T1755),"")</f>
        <v/>
      </c>
      <c r="I1755" s="43"/>
      <c r="J1755" s="53" t="str" cm="1">
        <f t="array" ref="J1755">IFERROR(INDEX(DB!Q$2:Q$2576,T1755),"")</f>
        <v/>
      </c>
      <c r="K1755" s="43"/>
      <c r="L1755" s="41" t="str" cm="1">
        <f t="array" ref="L1755">IFERROR(INDEX(DB!R$2:R$2576,T1755),"")</f>
        <v/>
      </c>
      <c r="M1755" s="43"/>
      <c r="P1755" t="str" cm="1">
        <f t="array" ref="P1755">IFERROR(_xlfn.AGGREGATE(15,6,ROW(DB!A$2:A$2576)/((($D$3&lt;&gt;"YES")+($D$3="YES")*(DB!E$2:E$2576="YES"))*(($D$4="")+($D$4&lt;&gt;"")*( DB!B$2:B$2576=$D$4))*(($D$5="")+($D$5&lt;&gt;"")*( DB!C$2:C$2576=$D$5))*(($D$6="")+($D$6&lt;&gt;"")*( DB!D$2:D$2576=$D$6))*(($D$7="")+($D$7&lt;&gt;"")*(ISNUMBER(SEARCH($D$7,DB!G$2:G$2576))))*(($F$7="전체")+($F$7&lt;&gt;"전체")*(DB!H$2:H$2576=$F$7))),ROW()-13)-1,"")</f>
        <v/>
      </c>
      <c r="Q1755" t="str" cm="1">
        <f t="array" ref="Q1755">IFERROR(INDEX(DB!G$2:G$2576,P1755),"")</f>
        <v/>
      </c>
      <c r="R1755" t="str" cm="1">
        <f t="array" ref="R1755">IFERROR(INDEX(DB!O$2:O$2576,P1755),"")</f>
        <v/>
      </c>
      <c r="S1755" t="str">
        <f t="shared" si="84"/>
        <v/>
      </c>
      <c r="T1755" t="str">
        <f t="shared" si="85"/>
        <v/>
      </c>
    </row>
    <row r="1756" spans="1:20" ht="100" customHeight="1">
      <c r="A1756" s="26"/>
      <c r="B1756" s="39" t="str">
        <f t="shared" si="83"/>
        <v/>
      </c>
      <c r="C1756" s="43"/>
      <c r="D1756" s="51" t="str" cm="1">
        <f t="array" ref="D1756">IFERROR(INDEX(DB!G$2:G$2576,T1756),"")</f>
        <v/>
      </c>
      <c r="E1756" s="43"/>
      <c r="F1756" s="52" t="str" cm="1">
        <f t="array" ref="F1756">IFERROR(INDEX(DB!O$2:O$2576,T1756),"")</f>
        <v/>
      </c>
      <c r="G1756" s="43"/>
      <c r="H1756" s="40" t="str" cm="1">
        <f t="array" ref="H1756">IFERROR(INDEX(DB!P$2:P$2576,T1756),"")</f>
        <v/>
      </c>
      <c r="I1756" s="43"/>
      <c r="J1756" s="53" t="str" cm="1">
        <f t="array" ref="J1756">IFERROR(INDEX(DB!Q$2:Q$2576,T1756),"")</f>
        <v/>
      </c>
      <c r="K1756" s="43"/>
      <c r="L1756" s="41" t="str" cm="1">
        <f t="array" ref="L1756">IFERROR(INDEX(DB!R$2:R$2576,T1756),"")</f>
        <v/>
      </c>
      <c r="M1756" s="43"/>
      <c r="P1756" t="str" cm="1">
        <f t="array" ref="P1756">IFERROR(_xlfn.AGGREGATE(15,6,ROW(DB!A$2:A$2576)/((($D$3&lt;&gt;"YES")+($D$3="YES")*(DB!E$2:E$2576="YES"))*(($D$4="")+($D$4&lt;&gt;"")*( DB!B$2:B$2576=$D$4))*(($D$5="")+($D$5&lt;&gt;"")*( DB!C$2:C$2576=$D$5))*(($D$6="")+($D$6&lt;&gt;"")*( DB!D$2:D$2576=$D$6))*(($D$7="")+($D$7&lt;&gt;"")*(ISNUMBER(SEARCH($D$7,DB!G$2:G$2576))))*(($F$7="전체")+($F$7&lt;&gt;"전체")*(DB!H$2:H$2576=$F$7))),ROW()-13)-1,"")</f>
        <v/>
      </c>
      <c r="Q1756" t="str" cm="1">
        <f t="array" ref="Q1756">IFERROR(INDEX(DB!G$2:G$2576,P1756),"")</f>
        <v/>
      </c>
      <c r="R1756" t="str" cm="1">
        <f t="array" ref="R1756">IFERROR(INDEX(DB!O$2:O$2576,P1756),"")</f>
        <v/>
      </c>
      <c r="S1756" t="str">
        <f t="shared" si="84"/>
        <v/>
      </c>
      <c r="T1756" t="str">
        <f t="shared" si="85"/>
        <v/>
      </c>
    </row>
    <row r="1757" spans="1:20" ht="100" customHeight="1">
      <c r="A1757" s="26"/>
      <c r="B1757" s="42" t="str">
        <f t="shared" si="83"/>
        <v/>
      </c>
      <c r="C1757" s="43"/>
      <c r="D1757" s="51" t="str" cm="1">
        <f t="array" ref="D1757">IFERROR(INDEX(DB!G$2:G$2576,T1757),"")</f>
        <v/>
      </c>
      <c r="E1757" s="43"/>
      <c r="F1757" s="52" t="str" cm="1">
        <f t="array" ref="F1757">IFERROR(INDEX(DB!O$2:O$2576,T1757),"")</f>
        <v/>
      </c>
      <c r="G1757" s="43"/>
      <c r="H1757" s="40" t="str" cm="1">
        <f t="array" ref="H1757">IFERROR(INDEX(DB!P$2:P$2576,T1757),"")</f>
        <v/>
      </c>
      <c r="I1757" s="43"/>
      <c r="J1757" s="53" t="str" cm="1">
        <f t="array" ref="J1757">IFERROR(INDEX(DB!Q$2:Q$2576,T1757),"")</f>
        <v/>
      </c>
      <c r="K1757" s="43"/>
      <c r="L1757" s="41" t="str" cm="1">
        <f t="array" ref="L1757">IFERROR(INDEX(DB!R$2:R$2576,T1757),"")</f>
        <v/>
      </c>
      <c r="M1757" s="43"/>
      <c r="P1757" t="str" cm="1">
        <f t="array" ref="P1757">IFERROR(_xlfn.AGGREGATE(15,6,ROW(DB!A$2:A$2576)/((($D$3&lt;&gt;"YES")+($D$3="YES")*(DB!E$2:E$2576="YES"))*(($D$4="")+($D$4&lt;&gt;"")*( DB!B$2:B$2576=$D$4))*(($D$5="")+($D$5&lt;&gt;"")*( DB!C$2:C$2576=$D$5))*(($D$6="")+($D$6&lt;&gt;"")*( DB!D$2:D$2576=$D$6))*(($D$7="")+($D$7&lt;&gt;"")*(ISNUMBER(SEARCH($D$7,DB!G$2:G$2576))))*(($F$7="전체")+($F$7&lt;&gt;"전체")*(DB!H$2:H$2576=$F$7))),ROW()-13)-1,"")</f>
        <v/>
      </c>
      <c r="Q1757" t="str" cm="1">
        <f t="array" ref="Q1757">IFERROR(INDEX(DB!G$2:G$2576,P1757),"")</f>
        <v/>
      </c>
      <c r="R1757" t="str" cm="1">
        <f t="array" ref="R1757">IFERROR(INDEX(DB!O$2:O$2576,P1757),"")</f>
        <v/>
      </c>
      <c r="S1757" t="str">
        <f t="shared" si="84"/>
        <v/>
      </c>
      <c r="T1757" t="str">
        <f t="shared" si="85"/>
        <v/>
      </c>
    </row>
    <row r="1758" spans="1:20" ht="100" customHeight="1">
      <c r="A1758" s="26"/>
      <c r="B1758" s="39" t="str">
        <f t="shared" si="83"/>
        <v/>
      </c>
      <c r="C1758" s="43"/>
      <c r="D1758" s="51" t="str" cm="1">
        <f t="array" ref="D1758">IFERROR(INDEX(DB!G$2:G$2576,T1758),"")</f>
        <v/>
      </c>
      <c r="E1758" s="43"/>
      <c r="F1758" s="52" t="str" cm="1">
        <f t="array" ref="F1758">IFERROR(INDEX(DB!O$2:O$2576,T1758),"")</f>
        <v/>
      </c>
      <c r="G1758" s="43"/>
      <c r="H1758" s="40" t="str" cm="1">
        <f t="array" ref="H1758">IFERROR(INDEX(DB!P$2:P$2576,T1758),"")</f>
        <v/>
      </c>
      <c r="I1758" s="43"/>
      <c r="J1758" s="53" t="str" cm="1">
        <f t="array" ref="J1758">IFERROR(INDEX(DB!Q$2:Q$2576,T1758),"")</f>
        <v/>
      </c>
      <c r="K1758" s="43"/>
      <c r="L1758" s="41" t="str" cm="1">
        <f t="array" ref="L1758">IFERROR(INDEX(DB!R$2:R$2576,T1758),"")</f>
        <v/>
      </c>
      <c r="M1758" s="43"/>
      <c r="P1758" t="str" cm="1">
        <f t="array" ref="P1758">IFERROR(_xlfn.AGGREGATE(15,6,ROW(DB!A$2:A$2576)/((($D$3&lt;&gt;"YES")+($D$3="YES")*(DB!E$2:E$2576="YES"))*(($D$4="")+($D$4&lt;&gt;"")*( DB!B$2:B$2576=$D$4))*(($D$5="")+($D$5&lt;&gt;"")*( DB!C$2:C$2576=$D$5))*(($D$6="")+($D$6&lt;&gt;"")*( DB!D$2:D$2576=$D$6))*(($D$7="")+($D$7&lt;&gt;"")*(ISNUMBER(SEARCH($D$7,DB!G$2:G$2576))))*(($F$7="전체")+($F$7&lt;&gt;"전체")*(DB!H$2:H$2576=$F$7))),ROW()-13)-1,"")</f>
        <v/>
      </c>
      <c r="Q1758" t="str" cm="1">
        <f t="array" ref="Q1758">IFERROR(INDEX(DB!G$2:G$2576,P1758),"")</f>
        <v/>
      </c>
      <c r="R1758" t="str" cm="1">
        <f t="array" ref="R1758">IFERROR(INDEX(DB!O$2:O$2576,P1758),"")</f>
        <v/>
      </c>
      <c r="S1758" t="str">
        <f t="shared" si="84"/>
        <v/>
      </c>
      <c r="T1758" t="str">
        <f t="shared" si="85"/>
        <v/>
      </c>
    </row>
    <row r="1759" spans="1:20" ht="100" customHeight="1">
      <c r="A1759" s="26"/>
      <c r="B1759" s="42" t="str">
        <f t="shared" si="83"/>
        <v/>
      </c>
      <c r="C1759" s="43"/>
      <c r="D1759" s="51" t="str" cm="1">
        <f t="array" ref="D1759">IFERROR(INDEX(DB!G$2:G$2576,T1759),"")</f>
        <v/>
      </c>
      <c r="E1759" s="43"/>
      <c r="F1759" s="52" t="str" cm="1">
        <f t="array" ref="F1759">IFERROR(INDEX(DB!O$2:O$2576,T1759),"")</f>
        <v/>
      </c>
      <c r="G1759" s="43"/>
      <c r="H1759" s="40" t="str" cm="1">
        <f t="array" ref="H1759">IFERROR(INDEX(DB!P$2:P$2576,T1759),"")</f>
        <v/>
      </c>
      <c r="I1759" s="43"/>
      <c r="J1759" s="53" t="str" cm="1">
        <f t="array" ref="J1759">IFERROR(INDEX(DB!Q$2:Q$2576,T1759),"")</f>
        <v/>
      </c>
      <c r="K1759" s="43"/>
      <c r="L1759" s="41" t="str" cm="1">
        <f t="array" ref="L1759">IFERROR(INDEX(DB!R$2:R$2576,T1759),"")</f>
        <v/>
      </c>
      <c r="M1759" s="43"/>
      <c r="P1759" t="str" cm="1">
        <f t="array" ref="P1759">IFERROR(_xlfn.AGGREGATE(15,6,ROW(DB!A$2:A$2576)/((($D$3&lt;&gt;"YES")+($D$3="YES")*(DB!E$2:E$2576="YES"))*(($D$4="")+($D$4&lt;&gt;"")*( DB!B$2:B$2576=$D$4))*(($D$5="")+($D$5&lt;&gt;"")*( DB!C$2:C$2576=$D$5))*(($D$6="")+($D$6&lt;&gt;"")*( DB!D$2:D$2576=$D$6))*(($D$7="")+($D$7&lt;&gt;"")*(ISNUMBER(SEARCH($D$7,DB!G$2:G$2576))))*(($F$7="전체")+($F$7&lt;&gt;"전체")*(DB!H$2:H$2576=$F$7))),ROW()-13)-1,"")</f>
        <v/>
      </c>
      <c r="Q1759" t="str" cm="1">
        <f t="array" ref="Q1759">IFERROR(INDEX(DB!G$2:G$2576,P1759),"")</f>
        <v/>
      </c>
      <c r="R1759" t="str" cm="1">
        <f t="array" ref="R1759">IFERROR(INDEX(DB!O$2:O$2576,P1759),"")</f>
        <v/>
      </c>
      <c r="S1759" t="str">
        <f t="shared" si="84"/>
        <v/>
      </c>
      <c r="T1759" t="str">
        <f t="shared" si="85"/>
        <v/>
      </c>
    </row>
    <row r="1760" spans="1:20" ht="100" customHeight="1">
      <c r="A1760" s="26"/>
      <c r="B1760" s="39" t="str">
        <f t="shared" si="83"/>
        <v/>
      </c>
      <c r="C1760" s="43"/>
      <c r="D1760" s="51" t="str" cm="1">
        <f t="array" ref="D1760">IFERROR(INDEX(DB!G$2:G$2576,T1760),"")</f>
        <v/>
      </c>
      <c r="E1760" s="43"/>
      <c r="F1760" s="52" t="str" cm="1">
        <f t="array" ref="F1760">IFERROR(INDEX(DB!O$2:O$2576,T1760),"")</f>
        <v/>
      </c>
      <c r="G1760" s="43"/>
      <c r="H1760" s="40" t="str" cm="1">
        <f t="array" ref="H1760">IFERROR(INDEX(DB!P$2:P$2576,T1760),"")</f>
        <v/>
      </c>
      <c r="I1760" s="43"/>
      <c r="J1760" s="53" t="str" cm="1">
        <f t="array" ref="J1760">IFERROR(INDEX(DB!Q$2:Q$2576,T1760),"")</f>
        <v/>
      </c>
      <c r="K1760" s="43"/>
      <c r="L1760" s="41" t="str" cm="1">
        <f t="array" ref="L1760">IFERROR(INDEX(DB!R$2:R$2576,T1760),"")</f>
        <v/>
      </c>
      <c r="M1760" s="43"/>
      <c r="P1760" t="str" cm="1">
        <f t="array" ref="P1760">IFERROR(_xlfn.AGGREGATE(15,6,ROW(DB!A$2:A$2576)/((($D$3&lt;&gt;"YES")+($D$3="YES")*(DB!E$2:E$2576="YES"))*(($D$4="")+($D$4&lt;&gt;"")*( DB!B$2:B$2576=$D$4))*(($D$5="")+($D$5&lt;&gt;"")*( DB!C$2:C$2576=$D$5))*(($D$6="")+($D$6&lt;&gt;"")*( DB!D$2:D$2576=$D$6))*(($D$7="")+($D$7&lt;&gt;"")*(ISNUMBER(SEARCH($D$7,DB!G$2:G$2576))))*(($F$7="전체")+($F$7&lt;&gt;"전체")*(DB!H$2:H$2576=$F$7))),ROW()-13)-1,"")</f>
        <v/>
      </c>
      <c r="Q1760" t="str" cm="1">
        <f t="array" ref="Q1760">IFERROR(INDEX(DB!G$2:G$2576,P1760),"")</f>
        <v/>
      </c>
      <c r="R1760" t="str" cm="1">
        <f t="array" ref="R1760">IFERROR(INDEX(DB!O$2:O$2576,P1760),"")</f>
        <v/>
      </c>
      <c r="S1760" t="str">
        <f t="shared" si="84"/>
        <v/>
      </c>
      <c r="T1760" t="str">
        <f t="shared" si="85"/>
        <v/>
      </c>
    </row>
    <row r="1761" spans="1:20" ht="100" customHeight="1">
      <c r="A1761" s="26"/>
      <c r="B1761" s="42" t="str">
        <f t="shared" si="83"/>
        <v/>
      </c>
      <c r="C1761" s="43"/>
      <c r="D1761" s="51" t="str" cm="1">
        <f t="array" ref="D1761">IFERROR(INDEX(DB!G$2:G$2576,T1761),"")</f>
        <v/>
      </c>
      <c r="E1761" s="43"/>
      <c r="F1761" s="52" t="str" cm="1">
        <f t="array" ref="F1761">IFERROR(INDEX(DB!O$2:O$2576,T1761),"")</f>
        <v/>
      </c>
      <c r="G1761" s="43"/>
      <c r="H1761" s="40" t="str" cm="1">
        <f t="array" ref="H1761">IFERROR(INDEX(DB!P$2:P$2576,T1761),"")</f>
        <v/>
      </c>
      <c r="I1761" s="43"/>
      <c r="J1761" s="53" t="str" cm="1">
        <f t="array" ref="J1761">IFERROR(INDEX(DB!Q$2:Q$2576,T1761),"")</f>
        <v/>
      </c>
      <c r="K1761" s="43"/>
      <c r="L1761" s="41" t="str" cm="1">
        <f t="array" ref="L1761">IFERROR(INDEX(DB!R$2:R$2576,T1761),"")</f>
        <v/>
      </c>
      <c r="M1761" s="43"/>
      <c r="P1761" t="str" cm="1">
        <f t="array" ref="P1761">IFERROR(_xlfn.AGGREGATE(15,6,ROW(DB!A$2:A$2576)/((($D$3&lt;&gt;"YES")+($D$3="YES")*(DB!E$2:E$2576="YES"))*(($D$4="")+($D$4&lt;&gt;"")*( DB!B$2:B$2576=$D$4))*(($D$5="")+($D$5&lt;&gt;"")*( DB!C$2:C$2576=$D$5))*(($D$6="")+($D$6&lt;&gt;"")*( DB!D$2:D$2576=$D$6))*(($D$7="")+($D$7&lt;&gt;"")*(ISNUMBER(SEARCH($D$7,DB!G$2:G$2576))))*(($F$7="전체")+($F$7&lt;&gt;"전체")*(DB!H$2:H$2576=$F$7))),ROW()-13)-1,"")</f>
        <v/>
      </c>
      <c r="Q1761" t="str" cm="1">
        <f t="array" ref="Q1761">IFERROR(INDEX(DB!G$2:G$2576,P1761),"")</f>
        <v/>
      </c>
      <c r="R1761" t="str" cm="1">
        <f t="array" ref="R1761">IFERROR(INDEX(DB!O$2:O$2576,P1761),"")</f>
        <v/>
      </c>
      <c r="S1761" t="str">
        <f t="shared" si="84"/>
        <v/>
      </c>
      <c r="T1761" t="str">
        <f t="shared" si="85"/>
        <v/>
      </c>
    </row>
    <row r="1762" spans="1:20" ht="100" customHeight="1">
      <c r="A1762" s="26"/>
      <c r="B1762" s="39" t="str">
        <f t="shared" si="83"/>
        <v/>
      </c>
      <c r="C1762" s="43"/>
      <c r="D1762" s="51" t="str" cm="1">
        <f t="array" ref="D1762">IFERROR(INDEX(DB!G$2:G$2576,T1762),"")</f>
        <v/>
      </c>
      <c r="E1762" s="43"/>
      <c r="F1762" s="52" t="str" cm="1">
        <f t="array" ref="F1762">IFERROR(INDEX(DB!O$2:O$2576,T1762),"")</f>
        <v/>
      </c>
      <c r="G1762" s="43"/>
      <c r="H1762" s="40" t="str" cm="1">
        <f t="array" ref="H1762">IFERROR(INDEX(DB!P$2:P$2576,T1762),"")</f>
        <v/>
      </c>
      <c r="I1762" s="43"/>
      <c r="J1762" s="53" t="str" cm="1">
        <f t="array" ref="J1762">IFERROR(INDEX(DB!Q$2:Q$2576,T1762),"")</f>
        <v/>
      </c>
      <c r="K1762" s="43"/>
      <c r="L1762" s="41" t="str" cm="1">
        <f t="array" ref="L1762">IFERROR(INDEX(DB!R$2:R$2576,T1762),"")</f>
        <v/>
      </c>
      <c r="M1762" s="43"/>
      <c r="P1762" t="str" cm="1">
        <f t="array" ref="P1762">IFERROR(_xlfn.AGGREGATE(15,6,ROW(DB!A$2:A$2576)/((($D$3&lt;&gt;"YES")+($D$3="YES")*(DB!E$2:E$2576="YES"))*(($D$4="")+($D$4&lt;&gt;"")*( DB!B$2:B$2576=$D$4))*(($D$5="")+($D$5&lt;&gt;"")*( DB!C$2:C$2576=$D$5))*(($D$6="")+($D$6&lt;&gt;"")*( DB!D$2:D$2576=$D$6))*(($D$7="")+($D$7&lt;&gt;"")*(ISNUMBER(SEARCH($D$7,DB!G$2:G$2576))))*(($F$7="전체")+($F$7&lt;&gt;"전체")*(DB!H$2:H$2576=$F$7))),ROW()-13)-1,"")</f>
        <v/>
      </c>
      <c r="Q1762" t="str" cm="1">
        <f t="array" ref="Q1762">IFERROR(INDEX(DB!G$2:G$2576,P1762),"")</f>
        <v/>
      </c>
      <c r="R1762" t="str" cm="1">
        <f t="array" ref="R1762">IFERROR(INDEX(DB!O$2:O$2576,P1762),"")</f>
        <v/>
      </c>
      <c r="S1762" t="str">
        <f t="shared" si="84"/>
        <v/>
      </c>
      <c r="T1762" t="str">
        <f t="shared" si="85"/>
        <v/>
      </c>
    </row>
    <row r="1763" spans="1:20" ht="100" customHeight="1">
      <c r="A1763" s="26"/>
      <c r="B1763" s="42" t="str">
        <f t="shared" si="83"/>
        <v/>
      </c>
      <c r="C1763" s="43"/>
      <c r="D1763" s="51" t="str" cm="1">
        <f t="array" ref="D1763">IFERROR(INDEX(DB!G$2:G$2576,T1763),"")</f>
        <v/>
      </c>
      <c r="E1763" s="43"/>
      <c r="F1763" s="52" t="str" cm="1">
        <f t="array" ref="F1763">IFERROR(INDEX(DB!O$2:O$2576,T1763),"")</f>
        <v/>
      </c>
      <c r="G1763" s="43"/>
      <c r="H1763" s="40" t="str" cm="1">
        <f t="array" ref="H1763">IFERROR(INDEX(DB!P$2:P$2576,T1763),"")</f>
        <v/>
      </c>
      <c r="I1763" s="43"/>
      <c r="J1763" s="53" t="str" cm="1">
        <f t="array" ref="J1763">IFERROR(INDEX(DB!Q$2:Q$2576,T1763),"")</f>
        <v/>
      </c>
      <c r="K1763" s="43"/>
      <c r="L1763" s="41" t="str" cm="1">
        <f t="array" ref="L1763">IFERROR(INDEX(DB!R$2:R$2576,T1763),"")</f>
        <v/>
      </c>
      <c r="M1763" s="43"/>
      <c r="P1763" t="str" cm="1">
        <f t="array" ref="P1763">IFERROR(_xlfn.AGGREGATE(15,6,ROW(DB!A$2:A$2576)/((($D$3&lt;&gt;"YES")+($D$3="YES")*(DB!E$2:E$2576="YES"))*(($D$4="")+($D$4&lt;&gt;"")*( DB!B$2:B$2576=$D$4))*(($D$5="")+($D$5&lt;&gt;"")*( DB!C$2:C$2576=$D$5))*(($D$6="")+($D$6&lt;&gt;"")*( DB!D$2:D$2576=$D$6))*(($D$7="")+($D$7&lt;&gt;"")*(ISNUMBER(SEARCH($D$7,DB!G$2:G$2576))))*(($F$7="전체")+($F$7&lt;&gt;"전체")*(DB!H$2:H$2576=$F$7))),ROW()-13)-1,"")</f>
        <v/>
      </c>
      <c r="Q1763" t="str" cm="1">
        <f t="array" ref="Q1763">IFERROR(INDEX(DB!G$2:G$2576,P1763),"")</f>
        <v/>
      </c>
      <c r="R1763" t="str" cm="1">
        <f t="array" ref="R1763">IFERROR(INDEX(DB!O$2:O$2576,P1763),"")</f>
        <v/>
      </c>
      <c r="S1763" t="str">
        <f t="shared" si="84"/>
        <v/>
      </c>
      <c r="T1763" t="str">
        <f t="shared" si="85"/>
        <v/>
      </c>
    </row>
    <row r="1764" spans="1:20" ht="100" customHeight="1">
      <c r="A1764" s="26"/>
      <c r="B1764" s="39" t="str">
        <f t="shared" si="83"/>
        <v/>
      </c>
      <c r="C1764" s="43"/>
      <c r="D1764" s="51" t="str" cm="1">
        <f t="array" ref="D1764">IFERROR(INDEX(DB!G$2:G$2576,T1764),"")</f>
        <v/>
      </c>
      <c r="E1764" s="43"/>
      <c r="F1764" s="52" t="str" cm="1">
        <f t="array" ref="F1764">IFERROR(INDEX(DB!O$2:O$2576,T1764),"")</f>
        <v/>
      </c>
      <c r="G1764" s="43"/>
      <c r="H1764" s="40" t="str" cm="1">
        <f t="array" ref="H1764">IFERROR(INDEX(DB!P$2:P$2576,T1764),"")</f>
        <v/>
      </c>
      <c r="I1764" s="43"/>
      <c r="J1764" s="53" t="str" cm="1">
        <f t="array" ref="J1764">IFERROR(INDEX(DB!Q$2:Q$2576,T1764),"")</f>
        <v/>
      </c>
      <c r="K1764" s="43"/>
      <c r="L1764" s="41" t="str" cm="1">
        <f t="array" ref="L1764">IFERROR(INDEX(DB!R$2:R$2576,T1764),"")</f>
        <v/>
      </c>
      <c r="M1764" s="43"/>
      <c r="P1764" t="str" cm="1">
        <f t="array" ref="P1764">IFERROR(_xlfn.AGGREGATE(15,6,ROW(DB!A$2:A$2576)/((($D$3&lt;&gt;"YES")+($D$3="YES")*(DB!E$2:E$2576="YES"))*(($D$4="")+($D$4&lt;&gt;"")*( DB!B$2:B$2576=$D$4))*(($D$5="")+($D$5&lt;&gt;"")*( DB!C$2:C$2576=$D$5))*(($D$6="")+($D$6&lt;&gt;"")*( DB!D$2:D$2576=$D$6))*(($D$7="")+($D$7&lt;&gt;"")*(ISNUMBER(SEARCH($D$7,DB!G$2:G$2576))))*(($F$7="전체")+($F$7&lt;&gt;"전체")*(DB!H$2:H$2576=$F$7))),ROW()-13)-1,"")</f>
        <v/>
      </c>
      <c r="Q1764" t="str" cm="1">
        <f t="array" ref="Q1764">IFERROR(INDEX(DB!G$2:G$2576,P1764),"")</f>
        <v/>
      </c>
      <c r="R1764" t="str" cm="1">
        <f t="array" ref="R1764">IFERROR(INDEX(DB!O$2:O$2576,P1764),"")</f>
        <v/>
      </c>
      <c r="S1764" t="str">
        <f t="shared" si="84"/>
        <v/>
      </c>
      <c r="T1764" t="str">
        <f t="shared" si="85"/>
        <v/>
      </c>
    </row>
    <row r="1765" spans="1:20" ht="100" customHeight="1">
      <c r="A1765" s="26"/>
      <c r="B1765" s="42" t="str">
        <f t="shared" si="83"/>
        <v/>
      </c>
      <c r="C1765" s="43"/>
      <c r="D1765" s="51" t="str" cm="1">
        <f t="array" ref="D1765">IFERROR(INDEX(DB!G$2:G$2576,T1765),"")</f>
        <v/>
      </c>
      <c r="E1765" s="43"/>
      <c r="F1765" s="52" t="str" cm="1">
        <f t="array" ref="F1765">IFERROR(INDEX(DB!O$2:O$2576,T1765),"")</f>
        <v/>
      </c>
      <c r="G1765" s="43"/>
      <c r="H1765" s="40" t="str" cm="1">
        <f t="array" ref="H1765">IFERROR(INDEX(DB!P$2:P$2576,T1765),"")</f>
        <v/>
      </c>
      <c r="I1765" s="43"/>
      <c r="J1765" s="53" t="str" cm="1">
        <f t="array" ref="J1765">IFERROR(INDEX(DB!Q$2:Q$2576,T1765),"")</f>
        <v/>
      </c>
      <c r="K1765" s="43"/>
      <c r="L1765" s="41" t="str" cm="1">
        <f t="array" ref="L1765">IFERROR(INDEX(DB!R$2:R$2576,T1765),"")</f>
        <v/>
      </c>
      <c r="M1765" s="43"/>
      <c r="P1765" t="str" cm="1">
        <f t="array" ref="P1765">IFERROR(_xlfn.AGGREGATE(15,6,ROW(DB!A$2:A$2576)/((($D$3&lt;&gt;"YES")+($D$3="YES")*(DB!E$2:E$2576="YES"))*(($D$4="")+($D$4&lt;&gt;"")*( DB!B$2:B$2576=$D$4))*(($D$5="")+($D$5&lt;&gt;"")*( DB!C$2:C$2576=$D$5))*(($D$6="")+($D$6&lt;&gt;"")*( DB!D$2:D$2576=$D$6))*(($D$7="")+($D$7&lt;&gt;"")*(ISNUMBER(SEARCH($D$7,DB!G$2:G$2576))))*(($F$7="전체")+($F$7&lt;&gt;"전체")*(DB!H$2:H$2576=$F$7))),ROW()-13)-1,"")</f>
        <v/>
      </c>
      <c r="Q1765" t="str" cm="1">
        <f t="array" ref="Q1765">IFERROR(INDEX(DB!G$2:G$2576,P1765),"")</f>
        <v/>
      </c>
      <c r="R1765" t="str" cm="1">
        <f t="array" ref="R1765">IFERROR(INDEX(DB!O$2:O$2576,P1765),"")</f>
        <v/>
      </c>
      <c r="S1765" t="str">
        <f t="shared" si="84"/>
        <v/>
      </c>
      <c r="T1765" t="str">
        <f t="shared" si="85"/>
        <v/>
      </c>
    </row>
    <row r="1766" spans="1:20" ht="100" customHeight="1">
      <c r="A1766" s="26"/>
      <c r="B1766" s="39" t="str">
        <f t="shared" si="83"/>
        <v/>
      </c>
      <c r="C1766" s="43"/>
      <c r="D1766" s="51" t="str" cm="1">
        <f t="array" ref="D1766">IFERROR(INDEX(DB!G$2:G$2576,T1766),"")</f>
        <v/>
      </c>
      <c r="E1766" s="43"/>
      <c r="F1766" s="52" t="str" cm="1">
        <f t="array" ref="F1766">IFERROR(INDEX(DB!O$2:O$2576,T1766),"")</f>
        <v/>
      </c>
      <c r="G1766" s="43"/>
      <c r="H1766" s="40" t="str" cm="1">
        <f t="array" ref="H1766">IFERROR(INDEX(DB!P$2:P$2576,T1766),"")</f>
        <v/>
      </c>
      <c r="I1766" s="43"/>
      <c r="J1766" s="53" t="str" cm="1">
        <f t="array" ref="J1766">IFERROR(INDEX(DB!Q$2:Q$2576,T1766),"")</f>
        <v/>
      </c>
      <c r="K1766" s="43"/>
      <c r="L1766" s="41" t="str" cm="1">
        <f t="array" ref="L1766">IFERROR(INDEX(DB!R$2:R$2576,T1766),"")</f>
        <v/>
      </c>
      <c r="M1766" s="43"/>
      <c r="P1766" t="str" cm="1">
        <f t="array" ref="P1766">IFERROR(_xlfn.AGGREGATE(15,6,ROW(DB!A$2:A$2576)/((($D$3&lt;&gt;"YES")+($D$3="YES")*(DB!E$2:E$2576="YES"))*(($D$4="")+($D$4&lt;&gt;"")*( DB!B$2:B$2576=$D$4))*(($D$5="")+($D$5&lt;&gt;"")*( DB!C$2:C$2576=$D$5))*(($D$6="")+($D$6&lt;&gt;"")*( DB!D$2:D$2576=$D$6))*(($D$7="")+($D$7&lt;&gt;"")*(ISNUMBER(SEARCH($D$7,DB!G$2:G$2576))))*(($F$7="전체")+($F$7&lt;&gt;"전체")*(DB!H$2:H$2576=$F$7))),ROW()-13)-1,"")</f>
        <v/>
      </c>
      <c r="Q1766" t="str" cm="1">
        <f t="array" ref="Q1766">IFERROR(INDEX(DB!G$2:G$2576,P1766),"")</f>
        <v/>
      </c>
      <c r="R1766" t="str" cm="1">
        <f t="array" ref="R1766">IFERROR(INDEX(DB!O$2:O$2576,P1766),"")</f>
        <v/>
      </c>
      <c r="S1766" t="str">
        <f t="shared" si="84"/>
        <v/>
      </c>
      <c r="T1766" t="str">
        <f t="shared" si="85"/>
        <v/>
      </c>
    </row>
    <row r="1767" spans="1:20" ht="100" customHeight="1">
      <c r="A1767" s="26"/>
      <c r="B1767" s="42" t="str">
        <f t="shared" si="83"/>
        <v/>
      </c>
      <c r="C1767" s="43"/>
      <c r="D1767" s="51" t="str" cm="1">
        <f t="array" ref="D1767">IFERROR(INDEX(DB!G$2:G$2576,T1767),"")</f>
        <v/>
      </c>
      <c r="E1767" s="43"/>
      <c r="F1767" s="52" t="str" cm="1">
        <f t="array" ref="F1767">IFERROR(INDEX(DB!O$2:O$2576,T1767),"")</f>
        <v/>
      </c>
      <c r="G1767" s="43"/>
      <c r="H1767" s="40" t="str" cm="1">
        <f t="array" ref="H1767">IFERROR(INDEX(DB!P$2:P$2576,T1767),"")</f>
        <v/>
      </c>
      <c r="I1767" s="43"/>
      <c r="J1767" s="53" t="str" cm="1">
        <f t="array" ref="J1767">IFERROR(INDEX(DB!Q$2:Q$2576,T1767),"")</f>
        <v/>
      </c>
      <c r="K1767" s="43"/>
      <c r="L1767" s="41" t="str" cm="1">
        <f t="array" ref="L1767">IFERROR(INDEX(DB!R$2:R$2576,T1767),"")</f>
        <v/>
      </c>
      <c r="M1767" s="43"/>
      <c r="P1767" t="str" cm="1">
        <f t="array" ref="P1767">IFERROR(_xlfn.AGGREGATE(15,6,ROW(DB!A$2:A$2576)/((($D$3&lt;&gt;"YES")+($D$3="YES")*(DB!E$2:E$2576="YES"))*(($D$4="")+($D$4&lt;&gt;"")*( DB!B$2:B$2576=$D$4))*(($D$5="")+($D$5&lt;&gt;"")*( DB!C$2:C$2576=$D$5))*(($D$6="")+($D$6&lt;&gt;"")*( DB!D$2:D$2576=$D$6))*(($D$7="")+($D$7&lt;&gt;"")*(ISNUMBER(SEARCH($D$7,DB!G$2:G$2576))))*(($F$7="전체")+($F$7&lt;&gt;"전체")*(DB!H$2:H$2576=$F$7))),ROW()-13)-1,"")</f>
        <v/>
      </c>
      <c r="Q1767" t="str" cm="1">
        <f t="array" ref="Q1767">IFERROR(INDEX(DB!G$2:G$2576,P1767),"")</f>
        <v/>
      </c>
      <c r="R1767" t="str" cm="1">
        <f t="array" ref="R1767">IFERROR(INDEX(DB!O$2:O$2576,P1767),"")</f>
        <v/>
      </c>
      <c r="S1767" t="str">
        <f t="shared" si="84"/>
        <v/>
      </c>
      <c r="T1767" t="str">
        <f t="shared" si="85"/>
        <v/>
      </c>
    </row>
    <row r="1768" spans="1:20" ht="100" customHeight="1">
      <c r="A1768" s="26"/>
      <c r="B1768" s="39" t="str">
        <f t="shared" si="83"/>
        <v/>
      </c>
      <c r="C1768" s="43"/>
      <c r="D1768" s="51" t="str" cm="1">
        <f t="array" ref="D1768">IFERROR(INDEX(DB!G$2:G$2576,T1768),"")</f>
        <v/>
      </c>
      <c r="E1768" s="43"/>
      <c r="F1768" s="52" t="str" cm="1">
        <f t="array" ref="F1768">IFERROR(INDEX(DB!O$2:O$2576,T1768),"")</f>
        <v/>
      </c>
      <c r="G1768" s="43"/>
      <c r="H1768" s="40" t="str" cm="1">
        <f t="array" ref="H1768">IFERROR(INDEX(DB!P$2:P$2576,T1768),"")</f>
        <v/>
      </c>
      <c r="I1768" s="43"/>
      <c r="J1768" s="53" t="str" cm="1">
        <f t="array" ref="J1768">IFERROR(INDEX(DB!Q$2:Q$2576,T1768),"")</f>
        <v/>
      </c>
      <c r="K1768" s="43"/>
      <c r="L1768" s="41" t="str" cm="1">
        <f t="array" ref="L1768">IFERROR(INDEX(DB!R$2:R$2576,T1768),"")</f>
        <v/>
      </c>
      <c r="M1768" s="43"/>
      <c r="P1768" t="str" cm="1">
        <f t="array" ref="P1768">IFERROR(_xlfn.AGGREGATE(15,6,ROW(DB!A$2:A$2576)/((($D$3&lt;&gt;"YES")+($D$3="YES")*(DB!E$2:E$2576="YES"))*(($D$4="")+($D$4&lt;&gt;"")*( DB!B$2:B$2576=$D$4))*(($D$5="")+($D$5&lt;&gt;"")*( DB!C$2:C$2576=$D$5))*(($D$6="")+($D$6&lt;&gt;"")*( DB!D$2:D$2576=$D$6))*(($D$7="")+($D$7&lt;&gt;"")*(ISNUMBER(SEARCH($D$7,DB!G$2:G$2576))))*(($F$7="전체")+($F$7&lt;&gt;"전체")*(DB!H$2:H$2576=$F$7))),ROW()-13)-1,"")</f>
        <v/>
      </c>
      <c r="Q1768" t="str" cm="1">
        <f t="array" ref="Q1768">IFERROR(INDEX(DB!G$2:G$2576,P1768),"")</f>
        <v/>
      </c>
      <c r="R1768" t="str" cm="1">
        <f t="array" ref="R1768">IFERROR(INDEX(DB!O$2:O$2576,P1768),"")</f>
        <v/>
      </c>
      <c r="S1768" t="str">
        <f t="shared" si="84"/>
        <v/>
      </c>
      <c r="T1768" t="str">
        <f t="shared" si="85"/>
        <v/>
      </c>
    </row>
    <row r="1769" spans="1:20" ht="100" customHeight="1">
      <c r="A1769" s="26"/>
      <c r="B1769" s="42" t="str">
        <f t="shared" si="83"/>
        <v/>
      </c>
      <c r="C1769" s="43"/>
      <c r="D1769" s="51" t="str" cm="1">
        <f t="array" ref="D1769">IFERROR(INDEX(DB!G$2:G$2576,T1769),"")</f>
        <v/>
      </c>
      <c r="E1769" s="43"/>
      <c r="F1769" s="52" t="str" cm="1">
        <f t="array" ref="F1769">IFERROR(INDEX(DB!O$2:O$2576,T1769),"")</f>
        <v/>
      </c>
      <c r="G1769" s="43"/>
      <c r="H1769" s="40" t="str" cm="1">
        <f t="array" ref="H1769">IFERROR(INDEX(DB!P$2:P$2576,T1769),"")</f>
        <v/>
      </c>
      <c r="I1769" s="43"/>
      <c r="J1769" s="53" t="str" cm="1">
        <f t="array" ref="J1769">IFERROR(INDEX(DB!Q$2:Q$2576,T1769),"")</f>
        <v/>
      </c>
      <c r="K1769" s="43"/>
      <c r="L1769" s="41" t="str" cm="1">
        <f t="array" ref="L1769">IFERROR(INDEX(DB!R$2:R$2576,T1769),"")</f>
        <v/>
      </c>
      <c r="M1769" s="43"/>
      <c r="P1769" t="str" cm="1">
        <f t="array" ref="P1769">IFERROR(_xlfn.AGGREGATE(15,6,ROW(DB!A$2:A$2576)/((($D$3&lt;&gt;"YES")+($D$3="YES")*(DB!E$2:E$2576="YES"))*(($D$4="")+($D$4&lt;&gt;"")*( DB!B$2:B$2576=$D$4))*(($D$5="")+($D$5&lt;&gt;"")*( DB!C$2:C$2576=$D$5))*(($D$6="")+($D$6&lt;&gt;"")*( DB!D$2:D$2576=$D$6))*(($D$7="")+($D$7&lt;&gt;"")*(ISNUMBER(SEARCH($D$7,DB!G$2:G$2576))))*(($F$7="전체")+($F$7&lt;&gt;"전체")*(DB!H$2:H$2576=$F$7))),ROW()-13)-1,"")</f>
        <v/>
      </c>
      <c r="Q1769" t="str" cm="1">
        <f t="array" ref="Q1769">IFERROR(INDEX(DB!G$2:G$2576,P1769),"")</f>
        <v/>
      </c>
      <c r="R1769" t="str" cm="1">
        <f t="array" ref="R1769">IFERROR(INDEX(DB!O$2:O$2576,P1769),"")</f>
        <v/>
      </c>
      <c r="S1769" t="str">
        <f t="shared" si="84"/>
        <v/>
      </c>
      <c r="T1769" t="str">
        <f t="shared" si="85"/>
        <v/>
      </c>
    </row>
    <row r="1770" spans="1:20" ht="100" customHeight="1">
      <c r="A1770" s="26"/>
      <c r="B1770" s="39" t="str">
        <f t="shared" si="83"/>
        <v/>
      </c>
      <c r="C1770" s="43"/>
      <c r="D1770" s="51" t="str" cm="1">
        <f t="array" ref="D1770">IFERROR(INDEX(DB!G$2:G$2576,T1770),"")</f>
        <v/>
      </c>
      <c r="E1770" s="43"/>
      <c r="F1770" s="52" t="str" cm="1">
        <f t="array" ref="F1770">IFERROR(INDEX(DB!O$2:O$2576,T1770),"")</f>
        <v/>
      </c>
      <c r="G1770" s="43"/>
      <c r="H1770" s="40" t="str" cm="1">
        <f t="array" ref="H1770">IFERROR(INDEX(DB!P$2:P$2576,T1770),"")</f>
        <v/>
      </c>
      <c r="I1770" s="43"/>
      <c r="J1770" s="53" t="str" cm="1">
        <f t="array" ref="J1770">IFERROR(INDEX(DB!Q$2:Q$2576,T1770),"")</f>
        <v/>
      </c>
      <c r="K1770" s="43"/>
      <c r="L1770" s="41" t="str" cm="1">
        <f t="array" ref="L1770">IFERROR(INDEX(DB!R$2:R$2576,T1770),"")</f>
        <v/>
      </c>
      <c r="M1770" s="43"/>
      <c r="P1770" t="str" cm="1">
        <f t="array" ref="P1770">IFERROR(_xlfn.AGGREGATE(15,6,ROW(DB!A$2:A$2576)/((($D$3&lt;&gt;"YES")+($D$3="YES")*(DB!E$2:E$2576="YES"))*(($D$4="")+($D$4&lt;&gt;"")*( DB!B$2:B$2576=$D$4))*(($D$5="")+($D$5&lt;&gt;"")*( DB!C$2:C$2576=$D$5))*(($D$6="")+($D$6&lt;&gt;"")*( DB!D$2:D$2576=$D$6))*(($D$7="")+($D$7&lt;&gt;"")*(ISNUMBER(SEARCH($D$7,DB!G$2:G$2576))))*(($F$7="전체")+($F$7&lt;&gt;"전체")*(DB!H$2:H$2576=$F$7))),ROW()-13)-1,"")</f>
        <v/>
      </c>
      <c r="Q1770" t="str" cm="1">
        <f t="array" ref="Q1770">IFERROR(INDEX(DB!G$2:G$2576,P1770),"")</f>
        <v/>
      </c>
      <c r="R1770" t="str" cm="1">
        <f t="array" ref="R1770">IFERROR(INDEX(DB!O$2:O$2576,P1770),"")</f>
        <v/>
      </c>
      <c r="S1770" t="str">
        <f t="shared" si="84"/>
        <v/>
      </c>
      <c r="T1770" t="str">
        <f t="shared" si="85"/>
        <v/>
      </c>
    </row>
    <row r="1771" spans="1:20" ht="100" customHeight="1">
      <c r="A1771" s="26"/>
      <c r="B1771" s="42" t="str">
        <f t="shared" si="83"/>
        <v/>
      </c>
      <c r="C1771" s="43"/>
      <c r="D1771" s="51" t="str" cm="1">
        <f t="array" ref="D1771">IFERROR(INDEX(DB!G$2:G$2576,T1771),"")</f>
        <v/>
      </c>
      <c r="E1771" s="43"/>
      <c r="F1771" s="52" t="str" cm="1">
        <f t="array" ref="F1771">IFERROR(INDEX(DB!O$2:O$2576,T1771),"")</f>
        <v/>
      </c>
      <c r="G1771" s="43"/>
      <c r="H1771" s="40" t="str" cm="1">
        <f t="array" ref="H1771">IFERROR(INDEX(DB!P$2:P$2576,T1771),"")</f>
        <v/>
      </c>
      <c r="I1771" s="43"/>
      <c r="J1771" s="53" t="str" cm="1">
        <f t="array" ref="J1771">IFERROR(INDEX(DB!Q$2:Q$2576,T1771),"")</f>
        <v/>
      </c>
      <c r="K1771" s="43"/>
      <c r="L1771" s="41" t="str" cm="1">
        <f t="array" ref="L1771">IFERROR(INDEX(DB!R$2:R$2576,T1771),"")</f>
        <v/>
      </c>
      <c r="M1771" s="43"/>
      <c r="P1771" t="str" cm="1">
        <f t="array" ref="P1771">IFERROR(_xlfn.AGGREGATE(15,6,ROW(DB!A$2:A$2576)/((($D$3&lt;&gt;"YES")+($D$3="YES")*(DB!E$2:E$2576="YES"))*(($D$4="")+($D$4&lt;&gt;"")*( DB!B$2:B$2576=$D$4))*(($D$5="")+($D$5&lt;&gt;"")*( DB!C$2:C$2576=$D$5))*(($D$6="")+($D$6&lt;&gt;"")*( DB!D$2:D$2576=$D$6))*(($D$7="")+($D$7&lt;&gt;"")*(ISNUMBER(SEARCH($D$7,DB!G$2:G$2576))))*(($F$7="전체")+($F$7&lt;&gt;"전체")*(DB!H$2:H$2576=$F$7))),ROW()-13)-1,"")</f>
        <v/>
      </c>
      <c r="Q1771" t="str" cm="1">
        <f t="array" ref="Q1771">IFERROR(INDEX(DB!G$2:G$2576,P1771),"")</f>
        <v/>
      </c>
      <c r="R1771" t="str" cm="1">
        <f t="array" ref="R1771">IFERROR(INDEX(DB!O$2:O$2576,P1771),"")</f>
        <v/>
      </c>
      <c r="S1771" t="str">
        <f t="shared" si="84"/>
        <v/>
      </c>
      <c r="T1771" t="str">
        <f t="shared" si="85"/>
        <v/>
      </c>
    </row>
    <row r="1772" spans="1:20" ht="100" customHeight="1">
      <c r="A1772" s="26"/>
      <c r="B1772" s="39" t="str">
        <f t="shared" si="83"/>
        <v/>
      </c>
      <c r="C1772" s="43"/>
      <c r="D1772" s="51" t="str" cm="1">
        <f t="array" ref="D1772">IFERROR(INDEX(DB!G$2:G$2576,T1772),"")</f>
        <v/>
      </c>
      <c r="E1772" s="43"/>
      <c r="F1772" s="52" t="str" cm="1">
        <f t="array" ref="F1772">IFERROR(INDEX(DB!O$2:O$2576,T1772),"")</f>
        <v/>
      </c>
      <c r="G1772" s="43"/>
      <c r="H1772" s="40" t="str" cm="1">
        <f t="array" ref="H1772">IFERROR(INDEX(DB!P$2:P$2576,T1772),"")</f>
        <v/>
      </c>
      <c r="I1772" s="43"/>
      <c r="J1772" s="53" t="str" cm="1">
        <f t="array" ref="J1772">IFERROR(INDEX(DB!Q$2:Q$2576,T1772),"")</f>
        <v/>
      </c>
      <c r="K1772" s="43"/>
      <c r="L1772" s="41" t="str" cm="1">
        <f t="array" ref="L1772">IFERROR(INDEX(DB!R$2:R$2576,T1772),"")</f>
        <v/>
      </c>
      <c r="M1772" s="43"/>
      <c r="P1772" t="str" cm="1">
        <f t="array" ref="P1772">IFERROR(_xlfn.AGGREGATE(15,6,ROW(DB!A$2:A$2576)/((($D$3&lt;&gt;"YES")+($D$3="YES")*(DB!E$2:E$2576="YES"))*(($D$4="")+($D$4&lt;&gt;"")*( DB!B$2:B$2576=$D$4))*(($D$5="")+($D$5&lt;&gt;"")*( DB!C$2:C$2576=$D$5))*(($D$6="")+($D$6&lt;&gt;"")*( DB!D$2:D$2576=$D$6))*(($D$7="")+($D$7&lt;&gt;"")*(ISNUMBER(SEARCH($D$7,DB!G$2:G$2576))))*(($F$7="전체")+($F$7&lt;&gt;"전체")*(DB!H$2:H$2576=$F$7))),ROW()-13)-1,"")</f>
        <v/>
      </c>
      <c r="Q1772" t="str" cm="1">
        <f t="array" ref="Q1772">IFERROR(INDEX(DB!G$2:G$2576,P1772),"")</f>
        <v/>
      </c>
      <c r="R1772" t="str" cm="1">
        <f t="array" ref="R1772">IFERROR(INDEX(DB!O$2:O$2576,P1772),"")</f>
        <v/>
      </c>
      <c r="S1772" t="str">
        <f t="shared" si="84"/>
        <v/>
      </c>
      <c r="T1772" t="str">
        <f t="shared" si="85"/>
        <v/>
      </c>
    </row>
    <row r="1773" spans="1:20" ht="100" customHeight="1">
      <c r="A1773" s="26"/>
      <c r="B1773" s="42" t="str">
        <f t="shared" si="83"/>
        <v/>
      </c>
      <c r="C1773" s="43"/>
      <c r="D1773" s="51" t="str" cm="1">
        <f t="array" ref="D1773">IFERROR(INDEX(DB!G$2:G$2576,T1773),"")</f>
        <v/>
      </c>
      <c r="E1773" s="43"/>
      <c r="F1773" s="52" t="str" cm="1">
        <f t="array" ref="F1773">IFERROR(INDEX(DB!O$2:O$2576,T1773),"")</f>
        <v/>
      </c>
      <c r="G1773" s="43"/>
      <c r="H1773" s="40" t="str" cm="1">
        <f t="array" ref="H1773">IFERROR(INDEX(DB!P$2:P$2576,T1773),"")</f>
        <v/>
      </c>
      <c r="I1773" s="43"/>
      <c r="J1773" s="53" t="str" cm="1">
        <f t="array" ref="J1773">IFERROR(INDEX(DB!Q$2:Q$2576,T1773),"")</f>
        <v/>
      </c>
      <c r="K1773" s="43"/>
      <c r="L1773" s="41" t="str" cm="1">
        <f t="array" ref="L1773">IFERROR(INDEX(DB!R$2:R$2576,T1773),"")</f>
        <v/>
      </c>
      <c r="M1773" s="43"/>
      <c r="P1773" t="str" cm="1">
        <f t="array" ref="P1773">IFERROR(_xlfn.AGGREGATE(15,6,ROW(DB!A$2:A$2576)/((($D$3&lt;&gt;"YES")+($D$3="YES")*(DB!E$2:E$2576="YES"))*(($D$4="")+($D$4&lt;&gt;"")*( DB!B$2:B$2576=$D$4))*(($D$5="")+($D$5&lt;&gt;"")*( DB!C$2:C$2576=$D$5))*(($D$6="")+($D$6&lt;&gt;"")*( DB!D$2:D$2576=$D$6))*(($D$7="")+($D$7&lt;&gt;"")*(ISNUMBER(SEARCH($D$7,DB!G$2:G$2576))))*(($F$7="전체")+($F$7&lt;&gt;"전체")*(DB!H$2:H$2576=$F$7))),ROW()-13)-1,"")</f>
        <v/>
      </c>
      <c r="Q1773" t="str" cm="1">
        <f t="array" ref="Q1773">IFERROR(INDEX(DB!G$2:G$2576,P1773),"")</f>
        <v/>
      </c>
      <c r="R1773" t="str" cm="1">
        <f t="array" ref="R1773">IFERROR(INDEX(DB!O$2:O$2576,P1773),"")</f>
        <v/>
      </c>
      <c r="S1773" t="str">
        <f t="shared" si="84"/>
        <v/>
      </c>
      <c r="T1773" t="str">
        <f t="shared" si="85"/>
        <v/>
      </c>
    </row>
    <row r="1774" spans="1:20" ht="100" customHeight="1">
      <c r="A1774" s="26"/>
      <c r="B1774" s="39" t="str">
        <f t="shared" si="83"/>
        <v/>
      </c>
      <c r="C1774" s="43"/>
      <c r="D1774" s="51" t="str" cm="1">
        <f t="array" ref="D1774">IFERROR(INDEX(DB!G$2:G$2576,T1774),"")</f>
        <v/>
      </c>
      <c r="E1774" s="43"/>
      <c r="F1774" s="52" t="str" cm="1">
        <f t="array" ref="F1774">IFERROR(INDEX(DB!O$2:O$2576,T1774),"")</f>
        <v/>
      </c>
      <c r="G1774" s="43"/>
      <c r="H1774" s="40" t="str" cm="1">
        <f t="array" ref="H1774">IFERROR(INDEX(DB!P$2:P$2576,T1774),"")</f>
        <v/>
      </c>
      <c r="I1774" s="43"/>
      <c r="J1774" s="53" t="str" cm="1">
        <f t="array" ref="J1774">IFERROR(INDEX(DB!Q$2:Q$2576,T1774),"")</f>
        <v/>
      </c>
      <c r="K1774" s="43"/>
      <c r="L1774" s="41" t="str" cm="1">
        <f t="array" ref="L1774">IFERROR(INDEX(DB!R$2:R$2576,T1774),"")</f>
        <v/>
      </c>
      <c r="M1774" s="43"/>
      <c r="P1774" t="str" cm="1">
        <f t="array" ref="P1774">IFERROR(_xlfn.AGGREGATE(15,6,ROW(DB!A$2:A$2576)/((($D$3&lt;&gt;"YES")+($D$3="YES")*(DB!E$2:E$2576="YES"))*(($D$4="")+($D$4&lt;&gt;"")*( DB!B$2:B$2576=$D$4))*(($D$5="")+($D$5&lt;&gt;"")*( DB!C$2:C$2576=$D$5))*(($D$6="")+($D$6&lt;&gt;"")*( DB!D$2:D$2576=$D$6))*(($D$7="")+($D$7&lt;&gt;"")*(ISNUMBER(SEARCH($D$7,DB!G$2:G$2576))))*(($F$7="전체")+($F$7&lt;&gt;"전체")*(DB!H$2:H$2576=$F$7))),ROW()-13)-1,"")</f>
        <v/>
      </c>
      <c r="Q1774" t="str" cm="1">
        <f t="array" ref="Q1774">IFERROR(INDEX(DB!G$2:G$2576,P1774),"")</f>
        <v/>
      </c>
      <c r="R1774" t="str" cm="1">
        <f t="array" ref="R1774">IFERROR(INDEX(DB!O$2:O$2576,P1774),"")</f>
        <v/>
      </c>
      <c r="S1774" t="str">
        <f t="shared" si="84"/>
        <v/>
      </c>
      <c r="T1774" t="str">
        <f t="shared" si="85"/>
        <v/>
      </c>
    </row>
    <row r="1775" spans="1:20" ht="100" customHeight="1">
      <c r="A1775" s="26"/>
      <c r="B1775" s="42" t="str">
        <f t="shared" si="83"/>
        <v/>
      </c>
      <c r="C1775" s="43"/>
      <c r="D1775" s="51" t="str" cm="1">
        <f t="array" ref="D1775">IFERROR(INDEX(DB!G$2:G$2576,T1775),"")</f>
        <v/>
      </c>
      <c r="E1775" s="43"/>
      <c r="F1775" s="52" t="str" cm="1">
        <f t="array" ref="F1775">IFERROR(INDEX(DB!O$2:O$2576,T1775),"")</f>
        <v/>
      </c>
      <c r="G1775" s="43"/>
      <c r="H1775" s="40" t="str" cm="1">
        <f t="array" ref="H1775">IFERROR(INDEX(DB!P$2:P$2576,T1775),"")</f>
        <v/>
      </c>
      <c r="I1775" s="43"/>
      <c r="J1775" s="53" t="str" cm="1">
        <f t="array" ref="J1775">IFERROR(INDEX(DB!Q$2:Q$2576,T1775),"")</f>
        <v/>
      </c>
      <c r="K1775" s="43"/>
      <c r="L1775" s="41" t="str" cm="1">
        <f t="array" ref="L1775">IFERROR(INDEX(DB!R$2:R$2576,T1775),"")</f>
        <v/>
      </c>
      <c r="M1775" s="43"/>
      <c r="P1775" t="str" cm="1">
        <f t="array" ref="P1775">IFERROR(_xlfn.AGGREGATE(15,6,ROW(DB!A$2:A$2576)/((($D$3&lt;&gt;"YES")+($D$3="YES")*(DB!E$2:E$2576="YES"))*(($D$4="")+($D$4&lt;&gt;"")*( DB!B$2:B$2576=$D$4))*(($D$5="")+($D$5&lt;&gt;"")*( DB!C$2:C$2576=$D$5))*(($D$6="")+($D$6&lt;&gt;"")*( DB!D$2:D$2576=$D$6))*(($D$7="")+($D$7&lt;&gt;"")*(ISNUMBER(SEARCH($D$7,DB!G$2:G$2576))))*(($F$7="전체")+($F$7&lt;&gt;"전체")*(DB!H$2:H$2576=$F$7))),ROW()-13)-1,"")</f>
        <v/>
      </c>
      <c r="Q1775" t="str" cm="1">
        <f t="array" ref="Q1775">IFERROR(INDEX(DB!G$2:G$2576,P1775),"")</f>
        <v/>
      </c>
      <c r="R1775" t="str" cm="1">
        <f t="array" ref="R1775">IFERROR(INDEX(DB!O$2:O$2576,P1775),"")</f>
        <v/>
      </c>
      <c r="S1775" t="str">
        <f t="shared" si="84"/>
        <v/>
      </c>
      <c r="T1775" t="str">
        <f t="shared" si="85"/>
        <v/>
      </c>
    </row>
    <row r="1776" spans="1:20" ht="100" customHeight="1">
      <c r="A1776" s="26"/>
      <c r="B1776" s="39" t="str">
        <f t="shared" si="83"/>
        <v/>
      </c>
      <c r="C1776" s="43"/>
      <c r="D1776" s="51" t="str" cm="1">
        <f t="array" ref="D1776">IFERROR(INDEX(DB!G$2:G$2576,T1776),"")</f>
        <v/>
      </c>
      <c r="E1776" s="43"/>
      <c r="F1776" s="52" t="str" cm="1">
        <f t="array" ref="F1776">IFERROR(INDEX(DB!O$2:O$2576,T1776),"")</f>
        <v/>
      </c>
      <c r="G1776" s="43"/>
      <c r="H1776" s="40" t="str" cm="1">
        <f t="array" ref="H1776">IFERROR(INDEX(DB!P$2:P$2576,T1776),"")</f>
        <v/>
      </c>
      <c r="I1776" s="43"/>
      <c r="J1776" s="53" t="str" cm="1">
        <f t="array" ref="J1776">IFERROR(INDEX(DB!Q$2:Q$2576,T1776),"")</f>
        <v/>
      </c>
      <c r="K1776" s="43"/>
      <c r="L1776" s="41" t="str" cm="1">
        <f t="array" ref="L1776">IFERROR(INDEX(DB!R$2:R$2576,T1776),"")</f>
        <v/>
      </c>
      <c r="M1776" s="43"/>
      <c r="P1776" t="str" cm="1">
        <f t="array" ref="P1776">IFERROR(_xlfn.AGGREGATE(15,6,ROW(DB!A$2:A$2576)/((($D$3&lt;&gt;"YES")+($D$3="YES")*(DB!E$2:E$2576="YES"))*(($D$4="")+($D$4&lt;&gt;"")*( DB!B$2:B$2576=$D$4))*(($D$5="")+($D$5&lt;&gt;"")*( DB!C$2:C$2576=$D$5))*(($D$6="")+($D$6&lt;&gt;"")*( DB!D$2:D$2576=$D$6))*(($D$7="")+($D$7&lt;&gt;"")*(ISNUMBER(SEARCH($D$7,DB!G$2:G$2576))))*(($F$7="전체")+($F$7&lt;&gt;"전체")*(DB!H$2:H$2576=$F$7))),ROW()-13)-1,"")</f>
        <v/>
      </c>
      <c r="Q1776" t="str" cm="1">
        <f t="array" ref="Q1776">IFERROR(INDEX(DB!G$2:G$2576,P1776),"")</f>
        <v/>
      </c>
      <c r="R1776" t="str" cm="1">
        <f t="array" ref="R1776">IFERROR(INDEX(DB!O$2:O$2576,P1776),"")</f>
        <v/>
      </c>
      <c r="S1776" t="str">
        <f t="shared" si="84"/>
        <v/>
      </c>
      <c r="T1776" t="str">
        <f t="shared" si="85"/>
        <v/>
      </c>
    </row>
    <row r="1777" spans="1:20" ht="100" customHeight="1">
      <c r="A1777" s="26"/>
      <c r="B1777" s="42" t="str">
        <f t="shared" si="83"/>
        <v/>
      </c>
      <c r="C1777" s="43"/>
      <c r="D1777" s="51" t="str" cm="1">
        <f t="array" ref="D1777">IFERROR(INDEX(DB!G$2:G$2576,T1777),"")</f>
        <v/>
      </c>
      <c r="E1777" s="43"/>
      <c r="F1777" s="52" t="str" cm="1">
        <f t="array" ref="F1777">IFERROR(INDEX(DB!O$2:O$2576,T1777),"")</f>
        <v/>
      </c>
      <c r="G1777" s="43"/>
      <c r="H1777" s="40" t="str" cm="1">
        <f t="array" ref="H1777">IFERROR(INDEX(DB!P$2:P$2576,T1777),"")</f>
        <v/>
      </c>
      <c r="I1777" s="43"/>
      <c r="J1777" s="53" t="str" cm="1">
        <f t="array" ref="J1777">IFERROR(INDEX(DB!Q$2:Q$2576,T1777),"")</f>
        <v/>
      </c>
      <c r="K1777" s="43"/>
      <c r="L1777" s="41" t="str" cm="1">
        <f t="array" ref="L1777">IFERROR(INDEX(DB!R$2:R$2576,T1777),"")</f>
        <v/>
      </c>
      <c r="M1777" s="43"/>
      <c r="P1777" t="str" cm="1">
        <f t="array" ref="P1777">IFERROR(_xlfn.AGGREGATE(15,6,ROW(DB!A$2:A$2576)/((($D$3&lt;&gt;"YES")+($D$3="YES")*(DB!E$2:E$2576="YES"))*(($D$4="")+($D$4&lt;&gt;"")*( DB!B$2:B$2576=$D$4))*(($D$5="")+($D$5&lt;&gt;"")*( DB!C$2:C$2576=$D$5))*(($D$6="")+($D$6&lt;&gt;"")*( DB!D$2:D$2576=$D$6))*(($D$7="")+($D$7&lt;&gt;"")*(ISNUMBER(SEARCH($D$7,DB!G$2:G$2576))))*(($F$7="전체")+($F$7&lt;&gt;"전체")*(DB!H$2:H$2576=$F$7))),ROW()-13)-1,"")</f>
        <v/>
      </c>
      <c r="Q1777" t="str" cm="1">
        <f t="array" ref="Q1777">IFERROR(INDEX(DB!G$2:G$2576,P1777),"")</f>
        <v/>
      </c>
      <c r="R1777" t="str" cm="1">
        <f t="array" ref="R1777">IFERROR(INDEX(DB!O$2:O$2576,P1777),"")</f>
        <v/>
      </c>
      <c r="S1777" t="str">
        <f t="shared" si="84"/>
        <v/>
      </c>
      <c r="T1777" t="str">
        <f t="shared" si="85"/>
        <v/>
      </c>
    </row>
    <row r="1778" spans="1:20" ht="100" customHeight="1">
      <c r="A1778" s="26"/>
      <c r="B1778" s="39" t="str">
        <f t="shared" si="83"/>
        <v/>
      </c>
      <c r="C1778" s="43"/>
      <c r="D1778" s="51" t="str" cm="1">
        <f t="array" ref="D1778">IFERROR(INDEX(DB!G$2:G$2576,T1778),"")</f>
        <v/>
      </c>
      <c r="E1778" s="43"/>
      <c r="F1778" s="52" t="str" cm="1">
        <f t="array" ref="F1778">IFERROR(INDEX(DB!O$2:O$2576,T1778),"")</f>
        <v/>
      </c>
      <c r="G1778" s="43"/>
      <c r="H1778" s="40" t="str" cm="1">
        <f t="array" ref="H1778">IFERROR(INDEX(DB!P$2:P$2576,T1778),"")</f>
        <v/>
      </c>
      <c r="I1778" s="43"/>
      <c r="J1778" s="53" t="str" cm="1">
        <f t="array" ref="J1778">IFERROR(INDEX(DB!Q$2:Q$2576,T1778),"")</f>
        <v/>
      </c>
      <c r="K1778" s="43"/>
      <c r="L1778" s="41" t="str" cm="1">
        <f t="array" ref="L1778">IFERROR(INDEX(DB!R$2:R$2576,T1778),"")</f>
        <v/>
      </c>
      <c r="M1778" s="43"/>
      <c r="P1778" t="str" cm="1">
        <f t="array" ref="P1778">IFERROR(_xlfn.AGGREGATE(15,6,ROW(DB!A$2:A$2576)/((($D$3&lt;&gt;"YES")+($D$3="YES")*(DB!E$2:E$2576="YES"))*(($D$4="")+($D$4&lt;&gt;"")*( DB!B$2:B$2576=$D$4))*(($D$5="")+($D$5&lt;&gt;"")*( DB!C$2:C$2576=$D$5))*(($D$6="")+($D$6&lt;&gt;"")*( DB!D$2:D$2576=$D$6))*(($D$7="")+($D$7&lt;&gt;"")*(ISNUMBER(SEARCH($D$7,DB!G$2:G$2576))))*(($F$7="전체")+($F$7&lt;&gt;"전체")*(DB!H$2:H$2576=$F$7))),ROW()-13)-1,"")</f>
        <v/>
      </c>
      <c r="Q1778" t="str" cm="1">
        <f t="array" ref="Q1778">IFERROR(INDEX(DB!G$2:G$2576,P1778),"")</f>
        <v/>
      </c>
      <c r="R1778" t="str" cm="1">
        <f t="array" ref="R1778">IFERROR(INDEX(DB!O$2:O$2576,P1778),"")</f>
        <v/>
      </c>
      <c r="S1778" t="str">
        <f t="shared" si="84"/>
        <v/>
      </c>
      <c r="T1778" t="str">
        <f t="shared" si="85"/>
        <v/>
      </c>
    </row>
    <row r="1779" spans="1:20" ht="100" customHeight="1">
      <c r="A1779" s="26"/>
      <c r="B1779" s="42" t="str">
        <f t="shared" si="83"/>
        <v/>
      </c>
      <c r="C1779" s="43"/>
      <c r="D1779" s="51" t="str" cm="1">
        <f t="array" ref="D1779">IFERROR(INDEX(DB!G$2:G$2576,T1779),"")</f>
        <v/>
      </c>
      <c r="E1779" s="43"/>
      <c r="F1779" s="52" t="str" cm="1">
        <f t="array" ref="F1779">IFERROR(INDEX(DB!O$2:O$2576,T1779),"")</f>
        <v/>
      </c>
      <c r="G1779" s="43"/>
      <c r="H1779" s="40" t="str" cm="1">
        <f t="array" ref="H1779">IFERROR(INDEX(DB!P$2:P$2576,T1779),"")</f>
        <v/>
      </c>
      <c r="I1779" s="43"/>
      <c r="J1779" s="53" t="str" cm="1">
        <f t="array" ref="J1779">IFERROR(INDEX(DB!Q$2:Q$2576,T1779),"")</f>
        <v/>
      </c>
      <c r="K1779" s="43"/>
      <c r="L1779" s="41" t="str" cm="1">
        <f t="array" ref="L1779">IFERROR(INDEX(DB!R$2:R$2576,T1779),"")</f>
        <v/>
      </c>
      <c r="M1779" s="43"/>
      <c r="P1779" t="str" cm="1">
        <f t="array" ref="P1779">IFERROR(_xlfn.AGGREGATE(15,6,ROW(DB!A$2:A$2576)/((($D$3&lt;&gt;"YES")+($D$3="YES")*(DB!E$2:E$2576="YES"))*(($D$4="")+($D$4&lt;&gt;"")*( DB!B$2:B$2576=$D$4))*(($D$5="")+($D$5&lt;&gt;"")*( DB!C$2:C$2576=$D$5))*(($D$6="")+($D$6&lt;&gt;"")*( DB!D$2:D$2576=$D$6))*(($D$7="")+($D$7&lt;&gt;"")*(ISNUMBER(SEARCH($D$7,DB!G$2:G$2576))))*(($F$7="전체")+($F$7&lt;&gt;"전체")*(DB!H$2:H$2576=$F$7))),ROW()-13)-1,"")</f>
        <v/>
      </c>
      <c r="Q1779" t="str" cm="1">
        <f t="array" ref="Q1779">IFERROR(INDEX(DB!G$2:G$2576,P1779),"")</f>
        <v/>
      </c>
      <c r="R1779" t="str" cm="1">
        <f t="array" ref="R1779">IFERROR(INDEX(DB!O$2:O$2576,P1779),"")</f>
        <v/>
      </c>
      <c r="S1779" t="str">
        <f t="shared" si="84"/>
        <v/>
      </c>
      <c r="T1779" t="str">
        <f t="shared" si="85"/>
        <v/>
      </c>
    </row>
    <row r="1780" spans="1:20" ht="100" customHeight="1">
      <c r="A1780" s="26"/>
      <c r="B1780" s="39" t="str">
        <f t="shared" si="83"/>
        <v/>
      </c>
      <c r="C1780" s="43"/>
      <c r="D1780" s="51" t="str" cm="1">
        <f t="array" ref="D1780">IFERROR(INDEX(DB!G$2:G$2576,T1780),"")</f>
        <v/>
      </c>
      <c r="E1780" s="43"/>
      <c r="F1780" s="52" t="str" cm="1">
        <f t="array" ref="F1780">IFERROR(INDEX(DB!O$2:O$2576,T1780),"")</f>
        <v/>
      </c>
      <c r="G1780" s="43"/>
      <c r="H1780" s="40" t="str" cm="1">
        <f t="array" ref="H1780">IFERROR(INDEX(DB!P$2:P$2576,T1780),"")</f>
        <v/>
      </c>
      <c r="I1780" s="43"/>
      <c r="J1780" s="53" t="str" cm="1">
        <f t="array" ref="J1780">IFERROR(INDEX(DB!Q$2:Q$2576,T1780),"")</f>
        <v/>
      </c>
      <c r="K1780" s="43"/>
      <c r="L1780" s="41" t="str" cm="1">
        <f t="array" ref="L1780">IFERROR(INDEX(DB!R$2:R$2576,T1780),"")</f>
        <v/>
      </c>
      <c r="M1780" s="43"/>
      <c r="P1780" t="str" cm="1">
        <f t="array" ref="P1780">IFERROR(_xlfn.AGGREGATE(15,6,ROW(DB!A$2:A$2576)/((($D$3&lt;&gt;"YES")+($D$3="YES")*(DB!E$2:E$2576="YES"))*(($D$4="")+($D$4&lt;&gt;"")*( DB!B$2:B$2576=$D$4))*(($D$5="")+($D$5&lt;&gt;"")*( DB!C$2:C$2576=$D$5))*(($D$6="")+($D$6&lt;&gt;"")*( DB!D$2:D$2576=$D$6))*(($D$7="")+($D$7&lt;&gt;"")*(ISNUMBER(SEARCH($D$7,DB!G$2:G$2576))))*(($F$7="전체")+($F$7&lt;&gt;"전체")*(DB!H$2:H$2576=$F$7))),ROW()-13)-1,"")</f>
        <v/>
      </c>
      <c r="Q1780" t="str" cm="1">
        <f t="array" ref="Q1780">IFERROR(INDEX(DB!G$2:G$2576,P1780),"")</f>
        <v/>
      </c>
      <c r="R1780" t="str" cm="1">
        <f t="array" ref="R1780">IFERROR(INDEX(DB!O$2:O$2576,P1780),"")</f>
        <v/>
      </c>
      <c r="S1780" t="str">
        <f t="shared" si="84"/>
        <v/>
      </c>
      <c r="T1780" t="str">
        <f t="shared" si="85"/>
        <v/>
      </c>
    </row>
    <row r="1781" spans="1:20" ht="100" customHeight="1">
      <c r="A1781" s="26"/>
      <c r="B1781" s="42" t="str">
        <f t="shared" si="83"/>
        <v/>
      </c>
      <c r="C1781" s="43"/>
      <c r="D1781" s="51" t="str" cm="1">
        <f t="array" ref="D1781">IFERROR(INDEX(DB!G$2:G$2576,T1781),"")</f>
        <v/>
      </c>
      <c r="E1781" s="43"/>
      <c r="F1781" s="52" t="str" cm="1">
        <f t="array" ref="F1781">IFERROR(INDEX(DB!O$2:O$2576,T1781),"")</f>
        <v/>
      </c>
      <c r="G1781" s="43"/>
      <c r="H1781" s="40" t="str" cm="1">
        <f t="array" ref="H1781">IFERROR(INDEX(DB!P$2:P$2576,T1781),"")</f>
        <v/>
      </c>
      <c r="I1781" s="43"/>
      <c r="J1781" s="53" t="str" cm="1">
        <f t="array" ref="J1781">IFERROR(INDEX(DB!Q$2:Q$2576,T1781),"")</f>
        <v/>
      </c>
      <c r="K1781" s="43"/>
      <c r="L1781" s="41" t="str" cm="1">
        <f t="array" ref="L1781">IFERROR(INDEX(DB!R$2:R$2576,T1781),"")</f>
        <v/>
      </c>
      <c r="M1781" s="43"/>
      <c r="P1781" t="str" cm="1">
        <f t="array" ref="P1781">IFERROR(_xlfn.AGGREGATE(15,6,ROW(DB!A$2:A$2576)/((($D$3&lt;&gt;"YES")+($D$3="YES")*(DB!E$2:E$2576="YES"))*(($D$4="")+($D$4&lt;&gt;"")*( DB!B$2:B$2576=$D$4))*(($D$5="")+($D$5&lt;&gt;"")*( DB!C$2:C$2576=$D$5))*(($D$6="")+($D$6&lt;&gt;"")*( DB!D$2:D$2576=$D$6))*(($D$7="")+($D$7&lt;&gt;"")*(ISNUMBER(SEARCH($D$7,DB!G$2:G$2576))))*(($F$7="전체")+($F$7&lt;&gt;"전체")*(DB!H$2:H$2576=$F$7))),ROW()-13)-1,"")</f>
        <v/>
      </c>
      <c r="Q1781" t="str" cm="1">
        <f t="array" ref="Q1781">IFERROR(INDEX(DB!G$2:G$2576,P1781),"")</f>
        <v/>
      </c>
      <c r="R1781" t="str" cm="1">
        <f t="array" ref="R1781">IFERROR(INDEX(DB!O$2:O$2576,P1781),"")</f>
        <v/>
      </c>
      <c r="S1781" t="str">
        <f t="shared" si="84"/>
        <v/>
      </c>
      <c r="T1781" t="str">
        <f t="shared" si="85"/>
        <v/>
      </c>
    </row>
    <row r="1782" spans="1:20" ht="100" customHeight="1">
      <c r="A1782" s="26"/>
      <c r="B1782" s="39" t="str">
        <f t="shared" si="83"/>
        <v/>
      </c>
      <c r="C1782" s="43"/>
      <c r="D1782" s="51" t="str" cm="1">
        <f t="array" ref="D1782">IFERROR(INDEX(DB!G$2:G$2576,T1782),"")</f>
        <v/>
      </c>
      <c r="E1782" s="43"/>
      <c r="F1782" s="52" t="str" cm="1">
        <f t="array" ref="F1782">IFERROR(INDEX(DB!O$2:O$2576,T1782),"")</f>
        <v/>
      </c>
      <c r="G1782" s="43"/>
      <c r="H1782" s="40" t="str" cm="1">
        <f t="array" ref="H1782">IFERROR(INDEX(DB!P$2:P$2576,T1782),"")</f>
        <v/>
      </c>
      <c r="I1782" s="43"/>
      <c r="J1782" s="53" t="str" cm="1">
        <f t="array" ref="J1782">IFERROR(INDEX(DB!Q$2:Q$2576,T1782),"")</f>
        <v/>
      </c>
      <c r="K1782" s="43"/>
      <c r="L1782" s="41" t="str" cm="1">
        <f t="array" ref="L1782">IFERROR(INDEX(DB!R$2:R$2576,T1782),"")</f>
        <v/>
      </c>
      <c r="M1782" s="43"/>
      <c r="P1782" t="str" cm="1">
        <f t="array" ref="P1782">IFERROR(_xlfn.AGGREGATE(15,6,ROW(DB!A$2:A$2576)/((($D$3&lt;&gt;"YES")+($D$3="YES")*(DB!E$2:E$2576="YES"))*(($D$4="")+($D$4&lt;&gt;"")*( DB!B$2:B$2576=$D$4))*(($D$5="")+($D$5&lt;&gt;"")*( DB!C$2:C$2576=$D$5))*(($D$6="")+($D$6&lt;&gt;"")*( DB!D$2:D$2576=$D$6))*(($D$7="")+($D$7&lt;&gt;"")*(ISNUMBER(SEARCH($D$7,DB!G$2:G$2576))))*(($F$7="전체")+($F$7&lt;&gt;"전체")*(DB!H$2:H$2576=$F$7))),ROW()-13)-1,"")</f>
        <v/>
      </c>
      <c r="Q1782" t="str" cm="1">
        <f t="array" ref="Q1782">IFERROR(INDEX(DB!G$2:G$2576,P1782),"")</f>
        <v/>
      </c>
      <c r="R1782" t="str" cm="1">
        <f t="array" ref="R1782">IFERROR(INDEX(DB!O$2:O$2576,P1782),"")</f>
        <v/>
      </c>
      <c r="S1782" t="str">
        <f t="shared" si="84"/>
        <v/>
      </c>
      <c r="T1782" t="str">
        <f t="shared" si="85"/>
        <v/>
      </c>
    </row>
    <row r="1783" spans="1:20" ht="100" customHeight="1">
      <c r="A1783" s="26"/>
      <c r="B1783" s="42" t="str">
        <f t="shared" si="83"/>
        <v/>
      </c>
      <c r="C1783" s="43"/>
      <c r="D1783" s="51" t="str" cm="1">
        <f t="array" ref="D1783">IFERROR(INDEX(DB!G$2:G$2576,T1783),"")</f>
        <v/>
      </c>
      <c r="E1783" s="43"/>
      <c r="F1783" s="52" t="str" cm="1">
        <f t="array" ref="F1783">IFERROR(INDEX(DB!O$2:O$2576,T1783),"")</f>
        <v/>
      </c>
      <c r="G1783" s="43"/>
      <c r="H1783" s="40" t="str" cm="1">
        <f t="array" ref="H1783">IFERROR(INDEX(DB!P$2:P$2576,T1783),"")</f>
        <v/>
      </c>
      <c r="I1783" s="43"/>
      <c r="J1783" s="53" t="str" cm="1">
        <f t="array" ref="J1783">IFERROR(INDEX(DB!Q$2:Q$2576,T1783),"")</f>
        <v/>
      </c>
      <c r="K1783" s="43"/>
      <c r="L1783" s="41" t="str" cm="1">
        <f t="array" ref="L1783">IFERROR(INDEX(DB!R$2:R$2576,T1783),"")</f>
        <v/>
      </c>
      <c r="M1783" s="43"/>
      <c r="P1783" t="str" cm="1">
        <f t="array" ref="P1783">IFERROR(_xlfn.AGGREGATE(15,6,ROW(DB!A$2:A$2576)/((($D$3&lt;&gt;"YES")+($D$3="YES")*(DB!E$2:E$2576="YES"))*(($D$4="")+($D$4&lt;&gt;"")*( DB!B$2:B$2576=$D$4))*(($D$5="")+($D$5&lt;&gt;"")*( DB!C$2:C$2576=$D$5))*(($D$6="")+($D$6&lt;&gt;"")*( DB!D$2:D$2576=$D$6))*(($D$7="")+($D$7&lt;&gt;"")*(ISNUMBER(SEARCH($D$7,DB!G$2:G$2576))))*(($F$7="전체")+($F$7&lt;&gt;"전체")*(DB!H$2:H$2576=$F$7))),ROW()-13)-1,"")</f>
        <v/>
      </c>
      <c r="Q1783" t="str" cm="1">
        <f t="array" ref="Q1783">IFERROR(INDEX(DB!G$2:G$2576,P1783),"")</f>
        <v/>
      </c>
      <c r="R1783" t="str" cm="1">
        <f t="array" ref="R1783">IFERROR(INDEX(DB!O$2:O$2576,P1783),"")</f>
        <v/>
      </c>
      <c r="S1783" t="str">
        <f t="shared" si="84"/>
        <v/>
      </c>
      <c r="T1783" t="str">
        <f t="shared" si="85"/>
        <v/>
      </c>
    </row>
    <row r="1784" spans="1:20" ht="100" customHeight="1">
      <c r="A1784" s="26"/>
      <c r="B1784" s="39" t="str">
        <f t="shared" si="83"/>
        <v/>
      </c>
      <c r="C1784" s="43"/>
      <c r="D1784" s="51" t="str" cm="1">
        <f t="array" ref="D1784">IFERROR(INDEX(DB!G$2:G$2576,T1784),"")</f>
        <v/>
      </c>
      <c r="E1784" s="43"/>
      <c r="F1784" s="52" t="str" cm="1">
        <f t="array" ref="F1784">IFERROR(INDEX(DB!O$2:O$2576,T1784),"")</f>
        <v/>
      </c>
      <c r="G1784" s="43"/>
      <c r="H1784" s="40" t="str" cm="1">
        <f t="array" ref="H1784">IFERROR(INDEX(DB!P$2:P$2576,T1784),"")</f>
        <v/>
      </c>
      <c r="I1784" s="43"/>
      <c r="J1784" s="53" t="str" cm="1">
        <f t="array" ref="J1784">IFERROR(INDEX(DB!Q$2:Q$2576,T1784),"")</f>
        <v/>
      </c>
      <c r="K1784" s="43"/>
      <c r="L1784" s="41" t="str" cm="1">
        <f t="array" ref="L1784">IFERROR(INDEX(DB!R$2:R$2576,T1784),"")</f>
        <v/>
      </c>
      <c r="M1784" s="43"/>
      <c r="P1784" t="str" cm="1">
        <f t="array" ref="P1784">IFERROR(_xlfn.AGGREGATE(15,6,ROW(DB!A$2:A$2576)/((($D$3&lt;&gt;"YES")+($D$3="YES")*(DB!E$2:E$2576="YES"))*(($D$4="")+($D$4&lt;&gt;"")*( DB!B$2:B$2576=$D$4))*(($D$5="")+($D$5&lt;&gt;"")*( DB!C$2:C$2576=$D$5))*(($D$6="")+($D$6&lt;&gt;"")*( DB!D$2:D$2576=$D$6))*(($D$7="")+($D$7&lt;&gt;"")*(ISNUMBER(SEARCH($D$7,DB!G$2:G$2576))))*(($F$7="전체")+($F$7&lt;&gt;"전체")*(DB!H$2:H$2576=$F$7))),ROW()-13)-1,"")</f>
        <v/>
      </c>
      <c r="Q1784" t="str" cm="1">
        <f t="array" ref="Q1784">IFERROR(INDEX(DB!G$2:G$2576,P1784),"")</f>
        <v/>
      </c>
      <c r="R1784" t="str" cm="1">
        <f t="array" ref="R1784">IFERROR(INDEX(DB!O$2:O$2576,P1784),"")</f>
        <v/>
      </c>
      <c r="S1784" t="str">
        <f t="shared" si="84"/>
        <v/>
      </c>
      <c r="T1784" t="str">
        <f t="shared" si="85"/>
        <v/>
      </c>
    </row>
    <row r="1785" spans="1:20" ht="100" customHeight="1">
      <c r="A1785" s="26"/>
      <c r="B1785" s="42" t="str">
        <f t="shared" si="83"/>
        <v/>
      </c>
      <c r="C1785" s="43"/>
      <c r="D1785" s="51" t="str" cm="1">
        <f t="array" ref="D1785">IFERROR(INDEX(DB!G$2:G$2576,T1785),"")</f>
        <v/>
      </c>
      <c r="E1785" s="43"/>
      <c r="F1785" s="52" t="str" cm="1">
        <f t="array" ref="F1785">IFERROR(INDEX(DB!O$2:O$2576,T1785),"")</f>
        <v/>
      </c>
      <c r="G1785" s="43"/>
      <c r="H1785" s="40" t="str" cm="1">
        <f t="array" ref="H1785">IFERROR(INDEX(DB!P$2:P$2576,T1785),"")</f>
        <v/>
      </c>
      <c r="I1785" s="43"/>
      <c r="J1785" s="53" t="str" cm="1">
        <f t="array" ref="J1785">IFERROR(INDEX(DB!Q$2:Q$2576,T1785),"")</f>
        <v/>
      </c>
      <c r="K1785" s="43"/>
      <c r="L1785" s="41" t="str" cm="1">
        <f t="array" ref="L1785">IFERROR(INDEX(DB!R$2:R$2576,T1785),"")</f>
        <v/>
      </c>
      <c r="M1785" s="43"/>
      <c r="P1785" t="str" cm="1">
        <f t="array" ref="P1785">IFERROR(_xlfn.AGGREGATE(15,6,ROW(DB!A$2:A$2576)/((($D$3&lt;&gt;"YES")+($D$3="YES")*(DB!E$2:E$2576="YES"))*(($D$4="")+($D$4&lt;&gt;"")*( DB!B$2:B$2576=$D$4))*(($D$5="")+($D$5&lt;&gt;"")*( DB!C$2:C$2576=$D$5))*(($D$6="")+($D$6&lt;&gt;"")*( DB!D$2:D$2576=$D$6))*(($D$7="")+($D$7&lt;&gt;"")*(ISNUMBER(SEARCH($D$7,DB!G$2:G$2576))))*(($F$7="전체")+($F$7&lt;&gt;"전체")*(DB!H$2:H$2576=$F$7))),ROW()-13)-1,"")</f>
        <v/>
      </c>
      <c r="Q1785" t="str" cm="1">
        <f t="array" ref="Q1785">IFERROR(INDEX(DB!G$2:G$2576,P1785),"")</f>
        <v/>
      </c>
      <c r="R1785" t="str" cm="1">
        <f t="array" ref="R1785">IFERROR(INDEX(DB!O$2:O$2576,P1785),"")</f>
        <v/>
      </c>
      <c r="S1785" t="str">
        <f t="shared" si="84"/>
        <v/>
      </c>
      <c r="T1785" t="str">
        <f t="shared" si="85"/>
        <v/>
      </c>
    </row>
    <row r="1786" spans="1:20" ht="100" customHeight="1">
      <c r="A1786" s="26"/>
      <c r="B1786" s="39" t="str">
        <f t="shared" si="83"/>
        <v/>
      </c>
      <c r="C1786" s="43"/>
      <c r="D1786" s="51" t="str" cm="1">
        <f t="array" ref="D1786">IFERROR(INDEX(DB!G$2:G$2576,T1786),"")</f>
        <v/>
      </c>
      <c r="E1786" s="43"/>
      <c r="F1786" s="52" t="str" cm="1">
        <f t="array" ref="F1786">IFERROR(INDEX(DB!O$2:O$2576,T1786),"")</f>
        <v/>
      </c>
      <c r="G1786" s="43"/>
      <c r="H1786" s="40" t="str" cm="1">
        <f t="array" ref="H1786">IFERROR(INDEX(DB!P$2:P$2576,T1786),"")</f>
        <v/>
      </c>
      <c r="I1786" s="43"/>
      <c r="J1786" s="53" t="str" cm="1">
        <f t="array" ref="J1786">IFERROR(INDEX(DB!Q$2:Q$2576,T1786),"")</f>
        <v/>
      </c>
      <c r="K1786" s="43"/>
      <c r="L1786" s="41" t="str" cm="1">
        <f t="array" ref="L1786">IFERROR(INDEX(DB!R$2:R$2576,T1786),"")</f>
        <v/>
      </c>
      <c r="M1786" s="43"/>
      <c r="P1786" t="str" cm="1">
        <f t="array" ref="P1786">IFERROR(_xlfn.AGGREGATE(15,6,ROW(DB!A$2:A$2576)/((($D$3&lt;&gt;"YES")+($D$3="YES")*(DB!E$2:E$2576="YES"))*(($D$4="")+($D$4&lt;&gt;"")*( DB!B$2:B$2576=$D$4))*(($D$5="")+($D$5&lt;&gt;"")*( DB!C$2:C$2576=$D$5))*(($D$6="")+($D$6&lt;&gt;"")*( DB!D$2:D$2576=$D$6))*(($D$7="")+($D$7&lt;&gt;"")*(ISNUMBER(SEARCH($D$7,DB!G$2:G$2576))))*(($F$7="전체")+($F$7&lt;&gt;"전체")*(DB!H$2:H$2576=$F$7))),ROW()-13)-1,"")</f>
        <v/>
      </c>
      <c r="Q1786" t="str" cm="1">
        <f t="array" ref="Q1786">IFERROR(INDEX(DB!G$2:G$2576,P1786),"")</f>
        <v/>
      </c>
      <c r="R1786" t="str" cm="1">
        <f t="array" ref="R1786">IFERROR(INDEX(DB!O$2:O$2576,P1786),"")</f>
        <v/>
      </c>
      <c r="S1786" t="str">
        <f t="shared" si="84"/>
        <v/>
      </c>
      <c r="T1786" t="str">
        <f t="shared" si="85"/>
        <v/>
      </c>
    </row>
    <row r="1787" spans="1:20" ht="100" customHeight="1">
      <c r="A1787" s="26"/>
      <c r="B1787" s="42" t="str">
        <f t="shared" si="83"/>
        <v/>
      </c>
      <c r="C1787" s="43"/>
      <c r="D1787" s="51" t="str" cm="1">
        <f t="array" ref="D1787">IFERROR(INDEX(DB!G$2:G$2576,T1787),"")</f>
        <v/>
      </c>
      <c r="E1787" s="43"/>
      <c r="F1787" s="52" t="str" cm="1">
        <f t="array" ref="F1787">IFERROR(INDEX(DB!O$2:O$2576,T1787),"")</f>
        <v/>
      </c>
      <c r="G1787" s="43"/>
      <c r="H1787" s="40" t="str" cm="1">
        <f t="array" ref="H1787">IFERROR(INDEX(DB!P$2:P$2576,T1787),"")</f>
        <v/>
      </c>
      <c r="I1787" s="43"/>
      <c r="J1787" s="53" t="str" cm="1">
        <f t="array" ref="J1787">IFERROR(INDEX(DB!Q$2:Q$2576,T1787),"")</f>
        <v/>
      </c>
      <c r="K1787" s="43"/>
      <c r="L1787" s="41" t="str" cm="1">
        <f t="array" ref="L1787">IFERROR(INDEX(DB!R$2:R$2576,T1787),"")</f>
        <v/>
      </c>
      <c r="M1787" s="43"/>
      <c r="P1787" t="str" cm="1">
        <f t="array" ref="P1787">IFERROR(_xlfn.AGGREGATE(15,6,ROW(DB!A$2:A$2576)/((($D$3&lt;&gt;"YES")+($D$3="YES")*(DB!E$2:E$2576="YES"))*(($D$4="")+($D$4&lt;&gt;"")*( DB!B$2:B$2576=$D$4))*(($D$5="")+($D$5&lt;&gt;"")*( DB!C$2:C$2576=$D$5))*(($D$6="")+($D$6&lt;&gt;"")*( DB!D$2:D$2576=$D$6))*(($D$7="")+($D$7&lt;&gt;"")*(ISNUMBER(SEARCH($D$7,DB!G$2:G$2576))))*(($F$7="전체")+($F$7&lt;&gt;"전체")*(DB!H$2:H$2576=$F$7))),ROW()-13)-1,"")</f>
        <v/>
      </c>
      <c r="Q1787" t="str" cm="1">
        <f t="array" ref="Q1787">IFERROR(INDEX(DB!G$2:G$2576,P1787),"")</f>
        <v/>
      </c>
      <c r="R1787" t="str" cm="1">
        <f t="array" ref="R1787">IFERROR(INDEX(DB!O$2:O$2576,P1787),"")</f>
        <v/>
      </c>
      <c r="S1787" t="str">
        <f t="shared" si="84"/>
        <v/>
      </c>
      <c r="T1787" t="str">
        <f t="shared" si="85"/>
        <v/>
      </c>
    </row>
    <row r="1788" spans="1:20" ht="100" customHeight="1">
      <c r="A1788" s="26"/>
      <c r="B1788" s="39" t="str">
        <f t="shared" si="83"/>
        <v/>
      </c>
      <c r="C1788" s="43"/>
      <c r="D1788" s="51" t="str" cm="1">
        <f t="array" ref="D1788">IFERROR(INDEX(DB!G$2:G$2576,T1788),"")</f>
        <v/>
      </c>
      <c r="E1788" s="43"/>
      <c r="F1788" s="52" t="str" cm="1">
        <f t="array" ref="F1788">IFERROR(INDEX(DB!O$2:O$2576,T1788),"")</f>
        <v/>
      </c>
      <c r="G1788" s="43"/>
      <c r="H1788" s="40" t="str" cm="1">
        <f t="array" ref="H1788">IFERROR(INDEX(DB!P$2:P$2576,T1788),"")</f>
        <v/>
      </c>
      <c r="I1788" s="43"/>
      <c r="J1788" s="53" t="str" cm="1">
        <f t="array" ref="J1788">IFERROR(INDEX(DB!Q$2:Q$2576,T1788),"")</f>
        <v/>
      </c>
      <c r="K1788" s="43"/>
      <c r="L1788" s="41" t="str" cm="1">
        <f t="array" ref="L1788">IFERROR(INDEX(DB!R$2:R$2576,T1788),"")</f>
        <v/>
      </c>
      <c r="M1788" s="43"/>
      <c r="P1788" t="str" cm="1">
        <f t="array" ref="P1788">IFERROR(_xlfn.AGGREGATE(15,6,ROW(DB!A$2:A$2576)/((($D$3&lt;&gt;"YES")+($D$3="YES")*(DB!E$2:E$2576="YES"))*(($D$4="")+($D$4&lt;&gt;"")*( DB!B$2:B$2576=$D$4))*(($D$5="")+($D$5&lt;&gt;"")*( DB!C$2:C$2576=$D$5))*(($D$6="")+($D$6&lt;&gt;"")*( DB!D$2:D$2576=$D$6))*(($D$7="")+($D$7&lt;&gt;"")*(ISNUMBER(SEARCH($D$7,DB!G$2:G$2576))))*(($F$7="전체")+($F$7&lt;&gt;"전체")*(DB!H$2:H$2576=$F$7))),ROW()-13)-1,"")</f>
        <v/>
      </c>
      <c r="Q1788" t="str" cm="1">
        <f t="array" ref="Q1788">IFERROR(INDEX(DB!G$2:G$2576,P1788),"")</f>
        <v/>
      </c>
      <c r="R1788" t="str" cm="1">
        <f t="array" ref="R1788">IFERROR(INDEX(DB!O$2:O$2576,P1788),"")</f>
        <v/>
      </c>
      <c r="S1788" t="str">
        <f t="shared" si="84"/>
        <v/>
      </c>
      <c r="T1788" t="str">
        <f t="shared" si="85"/>
        <v/>
      </c>
    </row>
    <row r="1789" spans="1:20" ht="100" customHeight="1">
      <c r="A1789" s="26"/>
      <c r="B1789" s="42" t="str">
        <f t="shared" si="83"/>
        <v/>
      </c>
      <c r="C1789" s="43"/>
      <c r="D1789" s="51" t="str" cm="1">
        <f t="array" ref="D1789">IFERROR(INDEX(DB!G$2:G$2576,T1789),"")</f>
        <v/>
      </c>
      <c r="E1789" s="43"/>
      <c r="F1789" s="52" t="str" cm="1">
        <f t="array" ref="F1789">IFERROR(INDEX(DB!O$2:O$2576,T1789),"")</f>
        <v/>
      </c>
      <c r="G1789" s="43"/>
      <c r="H1789" s="40" t="str" cm="1">
        <f t="array" ref="H1789">IFERROR(INDEX(DB!P$2:P$2576,T1789),"")</f>
        <v/>
      </c>
      <c r="I1789" s="43"/>
      <c r="J1789" s="53" t="str" cm="1">
        <f t="array" ref="J1789">IFERROR(INDEX(DB!Q$2:Q$2576,T1789),"")</f>
        <v/>
      </c>
      <c r="K1789" s="43"/>
      <c r="L1789" s="41" t="str" cm="1">
        <f t="array" ref="L1789">IFERROR(INDEX(DB!R$2:R$2576,T1789),"")</f>
        <v/>
      </c>
      <c r="M1789" s="43"/>
      <c r="P1789" t="str" cm="1">
        <f t="array" ref="P1789">IFERROR(_xlfn.AGGREGATE(15,6,ROW(DB!A$2:A$2576)/((($D$3&lt;&gt;"YES")+($D$3="YES")*(DB!E$2:E$2576="YES"))*(($D$4="")+($D$4&lt;&gt;"")*( DB!B$2:B$2576=$D$4))*(($D$5="")+($D$5&lt;&gt;"")*( DB!C$2:C$2576=$D$5))*(($D$6="")+($D$6&lt;&gt;"")*( DB!D$2:D$2576=$D$6))*(($D$7="")+($D$7&lt;&gt;"")*(ISNUMBER(SEARCH($D$7,DB!G$2:G$2576))))*(($F$7="전체")+($F$7&lt;&gt;"전체")*(DB!H$2:H$2576=$F$7))),ROW()-13)-1,"")</f>
        <v/>
      </c>
      <c r="Q1789" t="str" cm="1">
        <f t="array" ref="Q1789">IFERROR(INDEX(DB!G$2:G$2576,P1789),"")</f>
        <v/>
      </c>
      <c r="R1789" t="str" cm="1">
        <f t="array" ref="R1789">IFERROR(INDEX(DB!O$2:O$2576,P1789),"")</f>
        <v/>
      </c>
      <c r="S1789" t="str">
        <f t="shared" si="84"/>
        <v/>
      </c>
      <c r="T1789" t="str">
        <f t="shared" si="85"/>
        <v/>
      </c>
    </row>
    <row r="1790" spans="1:20" ht="100" customHeight="1">
      <c r="A1790" s="26"/>
      <c r="B1790" s="39" t="str">
        <f t="shared" si="83"/>
        <v/>
      </c>
      <c r="C1790" s="43"/>
      <c r="D1790" s="51" t="str" cm="1">
        <f t="array" ref="D1790">IFERROR(INDEX(DB!G$2:G$2576,T1790),"")</f>
        <v/>
      </c>
      <c r="E1790" s="43"/>
      <c r="F1790" s="52" t="str" cm="1">
        <f t="array" ref="F1790">IFERROR(INDEX(DB!O$2:O$2576,T1790),"")</f>
        <v/>
      </c>
      <c r="G1790" s="43"/>
      <c r="H1790" s="40" t="str" cm="1">
        <f t="array" ref="H1790">IFERROR(INDEX(DB!P$2:P$2576,T1790),"")</f>
        <v/>
      </c>
      <c r="I1790" s="43"/>
      <c r="J1790" s="53" t="str" cm="1">
        <f t="array" ref="J1790">IFERROR(INDEX(DB!Q$2:Q$2576,T1790),"")</f>
        <v/>
      </c>
      <c r="K1790" s="43"/>
      <c r="L1790" s="41" t="str" cm="1">
        <f t="array" ref="L1790">IFERROR(INDEX(DB!R$2:R$2576,T1790),"")</f>
        <v/>
      </c>
      <c r="M1790" s="43"/>
      <c r="P1790" t="str" cm="1">
        <f t="array" ref="P1790">IFERROR(_xlfn.AGGREGATE(15,6,ROW(DB!A$2:A$2576)/((($D$3&lt;&gt;"YES")+($D$3="YES")*(DB!E$2:E$2576="YES"))*(($D$4="")+($D$4&lt;&gt;"")*( DB!B$2:B$2576=$D$4))*(($D$5="")+($D$5&lt;&gt;"")*( DB!C$2:C$2576=$D$5))*(($D$6="")+($D$6&lt;&gt;"")*( DB!D$2:D$2576=$D$6))*(($D$7="")+($D$7&lt;&gt;"")*(ISNUMBER(SEARCH($D$7,DB!G$2:G$2576))))*(($F$7="전체")+($F$7&lt;&gt;"전체")*(DB!H$2:H$2576=$F$7))),ROW()-13)-1,"")</f>
        <v/>
      </c>
      <c r="Q1790" t="str" cm="1">
        <f t="array" ref="Q1790">IFERROR(INDEX(DB!G$2:G$2576,P1790),"")</f>
        <v/>
      </c>
      <c r="R1790" t="str" cm="1">
        <f t="array" ref="R1790">IFERROR(INDEX(DB!O$2:O$2576,P1790),"")</f>
        <v/>
      </c>
      <c r="S1790" t="str">
        <f t="shared" si="84"/>
        <v/>
      </c>
      <c r="T1790" t="str">
        <f t="shared" si="85"/>
        <v/>
      </c>
    </row>
    <row r="1791" spans="1:20" ht="100" customHeight="1">
      <c r="A1791" s="26"/>
      <c r="B1791" s="42" t="str">
        <f t="shared" si="83"/>
        <v/>
      </c>
      <c r="C1791" s="43"/>
      <c r="D1791" s="51" t="str" cm="1">
        <f t="array" ref="D1791">IFERROR(INDEX(DB!G$2:G$2576,T1791),"")</f>
        <v/>
      </c>
      <c r="E1791" s="43"/>
      <c r="F1791" s="52" t="str" cm="1">
        <f t="array" ref="F1791">IFERROR(INDEX(DB!O$2:O$2576,T1791),"")</f>
        <v/>
      </c>
      <c r="G1791" s="43"/>
      <c r="H1791" s="40" t="str" cm="1">
        <f t="array" ref="H1791">IFERROR(INDEX(DB!P$2:P$2576,T1791),"")</f>
        <v/>
      </c>
      <c r="I1791" s="43"/>
      <c r="J1791" s="53" t="str" cm="1">
        <f t="array" ref="J1791">IFERROR(INDEX(DB!Q$2:Q$2576,T1791),"")</f>
        <v/>
      </c>
      <c r="K1791" s="43"/>
      <c r="L1791" s="41" t="str" cm="1">
        <f t="array" ref="L1791">IFERROR(INDEX(DB!R$2:R$2576,T1791),"")</f>
        <v/>
      </c>
      <c r="M1791" s="43"/>
      <c r="P1791" t="str" cm="1">
        <f t="array" ref="P1791">IFERROR(_xlfn.AGGREGATE(15,6,ROW(DB!A$2:A$2576)/((($D$3&lt;&gt;"YES")+($D$3="YES")*(DB!E$2:E$2576="YES"))*(($D$4="")+($D$4&lt;&gt;"")*( DB!B$2:B$2576=$D$4))*(($D$5="")+($D$5&lt;&gt;"")*( DB!C$2:C$2576=$D$5))*(($D$6="")+($D$6&lt;&gt;"")*( DB!D$2:D$2576=$D$6))*(($D$7="")+($D$7&lt;&gt;"")*(ISNUMBER(SEARCH($D$7,DB!G$2:G$2576))))*(($F$7="전체")+($F$7&lt;&gt;"전체")*(DB!H$2:H$2576=$F$7))),ROW()-13)-1,"")</f>
        <v/>
      </c>
      <c r="Q1791" t="str" cm="1">
        <f t="array" ref="Q1791">IFERROR(INDEX(DB!G$2:G$2576,P1791),"")</f>
        <v/>
      </c>
      <c r="R1791" t="str" cm="1">
        <f t="array" ref="R1791">IFERROR(INDEX(DB!O$2:O$2576,P1791),"")</f>
        <v/>
      </c>
      <c r="S1791" t="str">
        <f t="shared" si="84"/>
        <v/>
      </c>
      <c r="T1791" t="str">
        <f t="shared" si="85"/>
        <v/>
      </c>
    </row>
    <row r="1792" spans="1:20" ht="100" customHeight="1">
      <c r="A1792" s="26"/>
      <c r="B1792" s="39" t="str">
        <f t="shared" si="83"/>
        <v/>
      </c>
      <c r="C1792" s="43"/>
      <c r="D1792" s="51" t="str" cm="1">
        <f t="array" ref="D1792">IFERROR(INDEX(DB!G$2:G$2576,T1792),"")</f>
        <v/>
      </c>
      <c r="E1792" s="43"/>
      <c r="F1792" s="52" t="str" cm="1">
        <f t="array" ref="F1792">IFERROR(INDEX(DB!O$2:O$2576,T1792),"")</f>
        <v/>
      </c>
      <c r="G1792" s="43"/>
      <c r="H1792" s="40" t="str" cm="1">
        <f t="array" ref="H1792">IFERROR(INDEX(DB!P$2:P$2576,T1792),"")</f>
        <v/>
      </c>
      <c r="I1792" s="43"/>
      <c r="J1792" s="53" t="str" cm="1">
        <f t="array" ref="J1792">IFERROR(INDEX(DB!Q$2:Q$2576,T1792),"")</f>
        <v/>
      </c>
      <c r="K1792" s="43"/>
      <c r="L1792" s="41" t="str" cm="1">
        <f t="array" ref="L1792">IFERROR(INDEX(DB!R$2:R$2576,T1792),"")</f>
        <v/>
      </c>
      <c r="M1792" s="43"/>
      <c r="P1792" t="str" cm="1">
        <f t="array" ref="P1792">IFERROR(_xlfn.AGGREGATE(15,6,ROW(DB!A$2:A$2576)/((($D$3&lt;&gt;"YES")+($D$3="YES")*(DB!E$2:E$2576="YES"))*(($D$4="")+($D$4&lt;&gt;"")*( DB!B$2:B$2576=$D$4))*(($D$5="")+($D$5&lt;&gt;"")*( DB!C$2:C$2576=$D$5))*(($D$6="")+($D$6&lt;&gt;"")*( DB!D$2:D$2576=$D$6))*(($D$7="")+($D$7&lt;&gt;"")*(ISNUMBER(SEARCH($D$7,DB!G$2:G$2576))))*(($F$7="전체")+($F$7&lt;&gt;"전체")*(DB!H$2:H$2576=$F$7))),ROW()-13)-1,"")</f>
        <v/>
      </c>
      <c r="Q1792" t="str" cm="1">
        <f t="array" ref="Q1792">IFERROR(INDEX(DB!G$2:G$2576,P1792),"")</f>
        <v/>
      </c>
      <c r="R1792" t="str" cm="1">
        <f t="array" ref="R1792">IFERROR(INDEX(DB!O$2:O$2576,P1792),"")</f>
        <v/>
      </c>
      <c r="S1792" t="str">
        <f t="shared" si="84"/>
        <v/>
      </c>
      <c r="T1792" t="str">
        <f t="shared" si="85"/>
        <v/>
      </c>
    </row>
    <row r="1793" spans="1:20" ht="100" customHeight="1">
      <c r="A1793" s="26"/>
      <c r="B1793" s="42" t="str">
        <f t="shared" si="83"/>
        <v/>
      </c>
      <c r="C1793" s="43"/>
      <c r="D1793" s="51" t="str" cm="1">
        <f t="array" ref="D1793">IFERROR(INDEX(DB!G$2:G$2576,T1793),"")</f>
        <v/>
      </c>
      <c r="E1793" s="43"/>
      <c r="F1793" s="52" t="str" cm="1">
        <f t="array" ref="F1793">IFERROR(INDEX(DB!O$2:O$2576,T1793),"")</f>
        <v/>
      </c>
      <c r="G1793" s="43"/>
      <c r="H1793" s="40" t="str" cm="1">
        <f t="array" ref="H1793">IFERROR(INDEX(DB!P$2:P$2576,T1793),"")</f>
        <v/>
      </c>
      <c r="I1793" s="43"/>
      <c r="J1793" s="53" t="str" cm="1">
        <f t="array" ref="J1793">IFERROR(INDEX(DB!Q$2:Q$2576,T1793),"")</f>
        <v/>
      </c>
      <c r="K1793" s="43"/>
      <c r="L1793" s="41" t="str" cm="1">
        <f t="array" ref="L1793">IFERROR(INDEX(DB!R$2:R$2576,T1793),"")</f>
        <v/>
      </c>
      <c r="M1793" s="43"/>
      <c r="P1793" t="str" cm="1">
        <f t="array" ref="P1793">IFERROR(_xlfn.AGGREGATE(15,6,ROW(DB!A$2:A$2576)/((($D$3&lt;&gt;"YES")+($D$3="YES")*(DB!E$2:E$2576="YES"))*(($D$4="")+($D$4&lt;&gt;"")*( DB!B$2:B$2576=$D$4))*(($D$5="")+($D$5&lt;&gt;"")*( DB!C$2:C$2576=$D$5))*(($D$6="")+($D$6&lt;&gt;"")*( DB!D$2:D$2576=$D$6))*(($D$7="")+($D$7&lt;&gt;"")*(ISNUMBER(SEARCH($D$7,DB!G$2:G$2576))))*(($F$7="전체")+($F$7&lt;&gt;"전체")*(DB!H$2:H$2576=$F$7))),ROW()-13)-1,"")</f>
        <v/>
      </c>
      <c r="Q1793" t="str" cm="1">
        <f t="array" ref="Q1793">IFERROR(INDEX(DB!G$2:G$2576,P1793),"")</f>
        <v/>
      </c>
      <c r="R1793" t="str" cm="1">
        <f t="array" ref="R1793">IFERROR(INDEX(DB!O$2:O$2576,P1793),"")</f>
        <v/>
      </c>
      <c r="S1793" t="str">
        <f t="shared" si="84"/>
        <v/>
      </c>
      <c r="T1793" t="str">
        <f t="shared" si="85"/>
        <v/>
      </c>
    </row>
    <row r="1794" spans="1:20" ht="100" customHeight="1">
      <c r="A1794" s="26"/>
      <c r="B1794" s="39" t="str">
        <f t="shared" si="83"/>
        <v/>
      </c>
      <c r="C1794" s="43"/>
      <c r="D1794" s="51" t="str" cm="1">
        <f t="array" ref="D1794">IFERROR(INDEX(DB!G$2:G$2576,T1794),"")</f>
        <v/>
      </c>
      <c r="E1794" s="43"/>
      <c r="F1794" s="52" t="str" cm="1">
        <f t="array" ref="F1794">IFERROR(INDEX(DB!O$2:O$2576,T1794),"")</f>
        <v/>
      </c>
      <c r="G1794" s="43"/>
      <c r="H1794" s="40" t="str" cm="1">
        <f t="array" ref="H1794">IFERROR(INDEX(DB!P$2:P$2576,T1794),"")</f>
        <v/>
      </c>
      <c r="I1794" s="43"/>
      <c r="J1794" s="53" t="str" cm="1">
        <f t="array" ref="J1794">IFERROR(INDEX(DB!Q$2:Q$2576,T1794),"")</f>
        <v/>
      </c>
      <c r="K1794" s="43"/>
      <c r="L1794" s="41" t="str" cm="1">
        <f t="array" ref="L1794">IFERROR(INDEX(DB!R$2:R$2576,T1794),"")</f>
        <v/>
      </c>
      <c r="M1794" s="43"/>
      <c r="P1794" t="str" cm="1">
        <f t="array" ref="P1794">IFERROR(_xlfn.AGGREGATE(15,6,ROW(DB!A$2:A$2576)/((($D$3&lt;&gt;"YES")+($D$3="YES")*(DB!E$2:E$2576="YES"))*(($D$4="")+($D$4&lt;&gt;"")*( DB!B$2:B$2576=$D$4))*(($D$5="")+($D$5&lt;&gt;"")*( DB!C$2:C$2576=$D$5))*(($D$6="")+($D$6&lt;&gt;"")*( DB!D$2:D$2576=$D$6))*(($D$7="")+($D$7&lt;&gt;"")*(ISNUMBER(SEARCH($D$7,DB!G$2:G$2576))))*(($F$7="전체")+($F$7&lt;&gt;"전체")*(DB!H$2:H$2576=$F$7))),ROW()-13)-1,"")</f>
        <v/>
      </c>
      <c r="Q1794" t="str" cm="1">
        <f t="array" ref="Q1794">IFERROR(INDEX(DB!G$2:G$2576,P1794),"")</f>
        <v/>
      </c>
      <c r="R1794" t="str" cm="1">
        <f t="array" ref="R1794">IFERROR(INDEX(DB!O$2:O$2576,P1794),"")</f>
        <v/>
      </c>
      <c r="S1794" t="str">
        <f t="shared" si="84"/>
        <v/>
      </c>
      <c r="T1794" t="str">
        <f t="shared" si="85"/>
        <v/>
      </c>
    </row>
    <row r="1795" spans="1:20" ht="100" customHeight="1">
      <c r="A1795" s="26"/>
      <c r="B1795" s="42" t="str">
        <f t="shared" si="83"/>
        <v/>
      </c>
      <c r="C1795" s="43"/>
      <c r="D1795" s="51" t="str" cm="1">
        <f t="array" ref="D1795">IFERROR(INDEX(DB!G$2:G$2576,T1795),"")</f>
        <v/>
      </c>
      <c r="E1795" s="43"/>
      <c r="F1795" s="52" t="str" cm="1">
        <f t="array" ref="F1795">IFERROR(INDEX(DB!O$2:O$2576,T1795),"")</f>
        <v/>
      </c>
      <c r="G1795" s="43"/>
      <c r="H1795" s="40" t="str" cm="1">
        <f t="array" ref="H1795">IFERROR(INDEX(DB!P$2:P$2576,T1795),"")</f>
        <v/>
      </c>
      <c r="I1795" s="43"/>
      <c r="J1795" s="53" t="str" cm="1">
        <f t="array" ref="J1795">IFERROR(INDEX(DB!Q$2:Q$2576,T1795),"")</f>
        <v/>
      </c>
      <c r="K1795" s="43"/>
      <c r="L1795" s="41" t="str" cm="1">
        <f t="array" ref="L1795">IFERROR(INDEX(DB!R$2:R$2576,T1795),"")</f>
        <v/>
      </c>
      <c r="M1795" s="43"/>
      <c r="P1795" t="str" cm="1">
        <f t="array" ref="P1795">IFERROR(_xlfn.AGGREGATE(15,6,ROW(DB!A$2:A$2576)/((($D$3&lt;&gt;"YES")+($D$3="YES")*(DB!E$2:E$2576="YES"))*(($D$4="")+($D$4&lt;&gt;"")*( DB!B$2:B$2576=$D$4))*(($D$5="")+($D$5&lt;&gt;"")*( DB!C$2:C$2576=$D$5))*(($D$6="")+($D$6&lt;&gt;"")*( DB!D$2:D$2576=$D$6))*(($D$7="")+($D$7&lt;&gt;"")*(ISNUMBER(SEARCH($D$7,DB!G$2:G$2576))))*(($F$7="전체")+($F$7&lt;&gt;"전체")*(DB!H$2:H$2576=$F$7))),ROW()-13)-1,"")</f>
        <v/>
      </c>
      <c r="Q1795" t="str" cm="1">
        <f t="array" ref="Q1795">IFERROR(INDEX(DB!G$2:G$2576,P1795),"")</f>
        <v/>
      </c>
      <c r="R1795" t="str" cm="1">
        <f t="array" ref="R1795">IFERROR(INDEX(DB!O$2:O$2576,P1795),"")</f>
        <v/>
      </c>
      <c r="S1795" t="str">
        <f t="shared" si="84"/>
        <v/>
      </c>
      <c r="T1795" t="str">
        <f t="shared" si="85"/>
        <v/>
      </c>
    </row>
    <row r="1796" spans="1:20" ht="100" customHeight="1">
      <c r="A1796" s="26"/>
      <c r="B1796" s="39" t="str">
        <f t="shared" si="83"/>
        <v/>
      </c>
      <c r="C1796" s="43"/>
      <c r="D1796" s="51" t="str" cm="1">
        <f t="array" ref="D1796">IFERROR(INDEX(DB!G$2:G$2576,T1796),"")</f>
        <v/>
      </c>
      <c r="E1796" s="43"/>
      <c r="F1796" s="52" t="str" cm="1">
        <f t="array" ref="F1796">IFERROR(INDEX(DB!O$2:O$2576,T1796),"")</f>
        <v/>
      </c>
      <c r="G1796" s="43"/>
      <c r="H1796" s="40" t="str" cm="1">
        <f t="array" ref="H1796">IFERROR(INDEX(DB!P$2:P$2576,T1796),"")</f>
        <v/>
      </c>
      <c r="I1796" s="43"/>
      <c r="J1796" s="53" t="str" cm="1">
        <f t="array" ref="J1796">IFERROR(INDEX(DB!Q$2:Q$2576,T1796),"")</f>
        <v/>
      </c>
      <c r="K1796" s="43"/>
      <c r="L1796" s="41" t="str" cm="1">
        <f t="array" ref="L1796">IFERROR(INDEX(DB!R$2:R$2576,T1796),"")</f>
        <v/>
      </c>
      <c r="M1796" s="43"/>
      <c r="P1796" t="str" cm="1">
        <f t="array" ref="P1796">IFERROR(_xlfn.AGGREGATE(15,6,ROW(DB!A$2:A$2576)/((($D$3&lt;&gt;"YES")+($D$3="YES")*(DB!E$2:E$2576="YES"))*(($D$4="")+($D$4&lt;&gt;"")*( DB!B$2:B$2576=$D$4))*(($D$5="")+($D$5&lt;&gt;"")*( DB!C$2:C$2576=$D$5))*(($D$6="")+($D$6&lt;&gt;"")*( DB!D$2:D$2576=$D$6))*(($D$7="")+($D$7&lt;&gt;"")*(ISNUMBER(SEARCH($D$7,DB!G$2:G$2576))))*(($F$7="전체")+($F$7&lt;&gt;"전체")*(DB!H$2:H$2576=$F$7))),ROW()-13)-1,"")</f>
        <v/>
      </c>
      <c r="Q1796" t="str" cm="1">
        <f t="array" ref="Q1796">IFERROR(INDEX(DB!G$2:G$2576,P1796),"")</f>
        <v/>
      </c>
      <c r="R1796" t="str" cm="1">
        <f t="array" ref="R1796">IFERROR(INDEX(DB!O$2:O$2576,P1796),"")</f>
        <v/>
      </c>
      <c r="S1796" t="str">
        <f t="shared" si="84"/>
        <v/>
      </c>
      <c r="T1796" t="str">
        <f t="shared" si="85"/>
        <v/>
      </c>
    </row>
    <row r="1797" spans="1:20" ht="100" customHeight="1">
      <c r="A1797" s="26"/>
      <c r="B1797" s="42" t="str">
        <f t="shared" si="83"/>
        <v/>
      </c>
      <c r="C1797" s="43"/>
      <c r="D1797" s="51" t="str" cm="1">
        <f t="array" ref="D1797">IFERROR(INDEX(DB!G$2:G$2576,T1797),"")</f>
        <v/>
      </c>
      <c r="E1797" s="43"/>
      <c r="F1797" s="52" t="str" cm="1">
        <f t="array" ref="F1797">IFERROR(INDEX(DB!O$2:O$2576,T1797),"")</f>
        <v/>
      </c>
      <c r="G1797" s="43"/>
      <c r="H1797" s="40" t="str" cm="1">
        <f t="array" ref="H1797">IFERROR(INDEX(DB!P$2:P$2576,T1797),"")</f>
        <v/>
      </c>
      <c r="I1797" s="43"/>
      <c r="J1797" s="53" t="str" cm="1">
        <f t="array" ref="J1797">IFERROR(INDEX(DB!Q$2:Q$2576,T1797),"")</f>
        <v/>
      </c>
      <c r="K1797" s="43"/>
      <c r="L1797" s="41" t="str" cm="1">
        <f t="array" ref="L1797">IFERROR(INDEX(DB!R$2:R$2576,T1797),"")</f>
        <v/>
      </c>
      <c r="M1797" s="43"/>
      <c r="P1797" t="str" cm="1">
        <f t="array" ref="P1797">IFERROR(_xlfn.AGGREGATE(15,6,ROW(DB!A$2:A$2576)/((($D$3&lt;&gt;"YES")+($D$3="YES")*(DB!E$2:E$2576="YES"))*(($D$4="")+($D$4&lt;&gt;"")*( DB!B$2:B$2576=$D$4))*(($D$5="")+($D$5&lt;&gt;"")*( DB!C$2:C$2576=$D$5))*(($D$6="")+($D$6&lt;&gt;"")*( DB!D$2:D$2576=$D$6))*(($D$7="")+($D$7&lt;&gt;"")*(ISNUMBER(SEARCH($D$7,DB!G$2:G$2576))))*(($F$7="전체")+($F$7&lt;&gt;"전체")*(DB!H$2:H$2576=$F$7))),ROW()-13)-1,"")</f>
        <v/>
      </c>
      <c r="Q1797" t="str" cm="1">
        <f t="array" ref="Q1797">IFERROR(INDEX(DB!G$2:G$2576,P1797),"")</f>
        <v/>
      </c>
      <c r="R1797" t="str" cm="1">
        <f t="array" ref="R1797">IFERROR(INDEX(DB!O$2:O$2576,P1797),"")</f>
        <v/>
      </c>
      <c r="S1797" t="str">
        <f t="shared" si="84"/>
        <v/>
      </c>
      <c r="T1797" t="str">
        <f t="shared" si="85"/>
        <v/>
      </c>
    </row>
    <row r="1798" spans="1:20" ht="100" customHeight="1">
      <c r="A1798" s="26"/>
      <c r="B1798" s="39" t="str">
        <f t="shared" si="83"/>
        <v/>
      </c>
      <c r="C1798" s="43"/>
      <c r="D1798" s="51" t="str" cm="1">
        <f t="array" ref="D1798">IFERROR(INDEX(DB!G$2:G$2576,T1798),"")</f>
        <v/>
      </c>
      <c r="E1798" s="43"/>
      <c r="F1798" s="52" t="str" cm="1">
        <f t="array" ref="F1798">IFERROR(INDEX(DB!O$2:O$2576,T1798),"")</f>
        <v/>
      </c>
      <c r="G1798" s="43"/>
      <c r="H1798" s="40" t="str" cm="1">
        <f t="array" ref="H1798">IFERROR(INDEX(DB!P$2:P$2576,T1798),"")</f>
        <v/>
      </c>
      <c r="I1798" s="43"/>
      <c r="J1798" s="53" t="str" cm="1">
        <f t="array" ref="J1798">IFERROR(INDEX(DB!Q$2:Q$2576,T1798),"")</f>
        <v/>
      </c>
      <c r="K1798" s="43"/>
      <c r="L1798" s="41" t="str" cm="1">
        <f t="array" ref="L1798">IFERROR(INDEX(DB!R$2:R$2576,T1798),"")</f>
        <v/>
      </c>
      <c r="M1798" s="43"/>
      <c r="P1798" t="str" cm="1">
        <f t="array" ref="P1798">IFERROR(_xlfn.AGGREGATE(15,6,ROW(DB!A$2:A$2576)/((($D$3&lt;&gt;"YES")+($D$3="YES")*(DB!E$2:E$2576="YES"))*(($D$4="")+($D$4&lt;&gt;"")*( DB!B$2:B$2576=$D$4))*(($D$5="")+($D$5&lt;&gt;"")*( DB!C$2:C$2576=$D$5))*(($D$6="")+($D$6&lt;&gt;"")*( DB!D$2:D$2576=$D$6))*(($D$7="")+($D$7&lt;&gt;"")*(ISNUMBER(SEARCH($D$7,DB!G$2:G$2576))))*(($F$7="전체")+($F$7&lt;&gt;"전체")*(DB!H$2:H$2576=$F$7))),ROW()-13)-1,"")</f>
        <v/>
      </c>
      <c r="Q1798" t="str" cm="1">
        <f t="array" ref="Q1798">IFERROR(INDEX(DB!G$2:G$2576,P1798),"")</f>
        <v/>
      </c>
      <c r="R1798" t="str" cm="1">
        <f t="array" ref="R1798">IFERROR(INDEX(DB!O$2:O$2576,P1798),"")</f>
        <v/>
      </c>
      <c r="S1798" t="str">
        <f t="shared" si="84"/>
        <v/>
      </c>
      <c r="T1798" t="str">
        <f t="shared" si="85"/>
        <v/>
      </c>
    </row>
    <row r="1799" spans="1:20" ht="100" customHeight="1">
      <c r="A1799" s="26"/>
      <c r="B1799" s="42" t="str">
        <f t="shared" si="83"/>
        <v/>
      </c>
      <c r="C1799" s="43"/>
      <c r="D1799" s="51" t="str" cm="1">
        <f t="array" ref="D1799">IFERROR(INDEX(DB!G$2:G$2576,T1799),"")</f>
        <v/>
      </c>
      <c r="E1799" s="43"/>
      <c r="F1799" s="52" t="str" cm="1">
        <f t="array" ref="F1799">IFERROR(INDEX(DB!O$2:O$2576,T1799),"")</f>
        <v/>
      </c>
      <c r="G1799" s="43"/>
      <c r="H1799" s="40" t="str" cm="1">
        <f t="array" ref="H1799">IFERROR(INDEX(DB!P$2:P$2576,T1799),"")</f>
        <v/>
      </c>
      <c r="I1799" s="43"/>
      <c r="J1799" s="53" t="str" cm="1">
        <f t="array" ref="J1799">IFERROR(INDEX(DB!Q$2:Q$2576,T1799),"")</f>
        <v/>
      </c>
      <c r="K1799" s="43"/>
      <c r="L1799" s="41" t="str" cm="1">
        <f t="array" ref="L1799">IFERROR(INDEX(DB!R$2:R$2576,T1799),"")</f>
        <v/>
      </c>
      <c r="M1799" s="43"/>
      <c r="P1799" t="str" cm="1">
        <f t="array" ref="P1799">IFERROR(_xlfn.AGGREGATE(15,6,ROW(DB!A$2:A$2576)/((($D$3&lt;&gt;"YES")+($D$3="YES")*(DB!E$2:E$2576="YES"))*(($D$4="")+($D$4&lt;&gt;"")*( DB!B$2:B$2576=$D$4))*(($D$5="")+($D$5&lt;&gt;"")*( DB!C$2:C$2576=$D$5))*(($D$6="")+($D$6&lt;&gt;"")*( DB!D$2:D$2576=$D$6))*(($D$7="")+($D$7&lt;&gt;"")*(ISNUMBER(SEARCH($D$7,DB!G$2:G$2576))))*(($F$7="전체")+($F$7&lt;&gt;"전체")*(DB!H$2:H$2576=$F$7))),ROW()-13)-1,"")</f>
        <v/>
      </c>
      <c r="Q1799" t="str" cm="1">
        <f t="array" ref="Q1799">IFERROR(INDEX(DB!G$2:G$2576,P1799),"")</f>
        <v/>
      </c>
      <c r="R1799" t="str" cm="1">
        <f t="array" ref="R1799">IFERROR(INDEX(DB!O$2:O$2576,P1799),"")</f>
        <v/>
      </c>
      <c r="S1799" t="str">
        <f t="shared" si="84"/>
        <v/>
      </c>
      <c r="T1799" t="str">
        <f t="shared" si="85"/>
        <v/>
      </c>
    </row>
    <row r="1800" spans="1:20" ht="100" customHeight="1">
      <c r="A1800" s="26"/>
      <c r="B1800" s="39" t="str">
        <f t="shared" si="83"/>
        <v/>
      </c>
      <c r="C1800" s="43"/>
      <c r="D1800" s="51" t="str" cm="1">
        <f t="array" ref="D1800">IFERROR(INDEX(DB!G$2:G$2576,T1800),"")</f>
        <v/>
      </c>
      <c r="E1800" s="43"/>
      <c r="F1800" s="52" t="str" cm="1">
        <f t="array" ref="F1800">IFERROR(INDEX(DB!O$2:O$2576,T1800),"")</f>
        <v/>
      </c>
      <c r="G1800" s="43"/>
      <c r="H1800" s="40" t="str" cm="1">
        <f t="array" ref="H1800">IFERROR(INDEX(DB!P$2:P$2576,T1800),"")</f>
        <v/>
      </c>
      <c r="I1800" s="43"/>
      <c r="J1800" s="53" t="str" cm="1">
        <f t="array" ref="J1800">IFERROR(INDEX(DB!Q$2:Q$2576,T1800),"")</f>
        <v/>
      </c>
      <c r="K1800" s="43"/>
      <c r="L1800" s="41" t="str" cm="1">
        <f t="array" ref="L1800">IFERROR(INDEX(DB!R$2:R$2576,T1800),"")</f>
        <v/>
      </c>
      <c r="M1800" s="43"/>
      <c r="P1800" t="str" cm="1">
        <f t="array" ref="P1800">IFERROR(_xlfn.AGGREGATE(15,6,ROW(DB!A$2:A$2576)/((($D$3&lt;&gt;"YES")+($D$3="YES")*(DB!E$2:E$2576="YES"))*(($D$4="")+($D$4&lt;&gt;"")*( DB!B$2:B$2576=$D$4))*(($D$5="")+($D$5&lt;&gt;"")*( DB!C$2:C$2576=$D$5))*(($D$6="")+($D$6&lt;&gt;"")*( DB!D$2:D$2576=$D$6))*(($D$7="")+($D$7&lt;&gt;"")*(ISNUMBER(SEARCH($D$7,DB!G$2:G$2576))))*(($F$7="전체")+($F$7&lt;&gt;"전체")*(DB!H$2:H$2576=$F$7))),ROW()-13)-1,"")</f>
        <v/>
      </c>
      <c r="Q1800" t="str" cm="1">
        <f t="array" ref="Q1800">IFERROR(INDEX(DB!G$2:G$2576,P1800),"")</f>
        <v/>
      </c>
      <c r="R1800" t="str" cm="1">
        <f t="array" ref="R1800">IFERROR(INDEX(DB!O$2:O$2576,P1800),"")</f>
        <v/>
      </c>
      <c r="S1800" t="str">
        <f t="shared" si="84"/>
        <v/>
      </c>
      <c r="T1800" t="str">
        <f t="shared" si="85"/>
        <v/>
      </c>
    </row>
    <row r="1801" spans="1:20" ht="100" customHeight="1">
      <c r="A1801" s="26"/>
      <c r="B1801" s="42" t="str">
        <f t="shared" si="83"/>
        <v/>
      </c>
      <c r="C1801" s="43"/>
      <c r="D1801" s="51" t="str" cm="1">
        <f t="array" ref="D1801">IFERROR(INDEX(DB!G$2:G$2576,T1801),"")</f>
        <v/>
      </c>
      <c r="E1801" s="43"/>
      <c r="F1801" s="52" t="str" cm="1">
        <f t="array" ref="F1801">IFERROR(INDEX(DB!O$2:O$2576,T1801),"")</f>
        <v/>
      </c>
      <c r="G1801" s="43"/>
      <c r="H1801" s="40" t="str" cm="1">
        <f t="array" ref="H1801">IFERROR(INDEX(DB!P$2:P$2576,T1801),"")</f>
        <v/>
      </c>
      <c r="I1801" s="43"/>
      <c r="J1801" s="53" t="str" cm="1">
        <f t="array" ref="J1801">IFERROR(INDEX(DB!Q$2:Q$2576,T1801),"")</f>
        <v/>
      </c>
      <c r="K1801" s="43"/>
      <c r="L1801" s="41" t="str" cm="1">
        <f t="array" ref="L1801">IFERROR(INDEX(DB!R$2:R$2576,T1801),"")</f>
        <v/>
      </c>
      <c r="M1801" s="43"/>
      <c r="P1801" t="str" cm="1">
        <f t="array" ref="P1801">IFERROR(_xlfn.AGGREGATE(15,6,ROW(DB!A$2:A$2576)/((($D$3&lt;&gt;"YES")+($D$3="YES")*(DB!E$2:E$2576="YES"))*(($D$4="")+($D$4&lt;&gt;"")*( DB!B$2:B$2576=$D$4))*(($D$5="")+($D$5&lt;&gt;"")*( DB!C$2:C$2576=$D$5))*(($D$6="")+($D$6&lt;&gt;"")*( DB!D$2:D$2576=$D$6))*(($D$7="")+($D$7&lt;&gt;"")*(ISNUMBER(SEARCH($D$7,DB!G$2:G$2576))))*(($F$7="전체")+($F$7&lt;&gt;"전체")*(DB!H$2:H$2576=$F$7))),ROW()-13)-1,"")</f>
        <v/>
      </c>
      <c r="Q1801" t="str" cm="1">
        <f t="array" ref="Q1801">IFERROR(INDEX(DB!G$2:G$2576,P1801),"")</f>
        <v/>
      </c>
      <c r="R1801" t="str" cm="1">
        <f t="array" ref="R1801">IFERROR(INDEX(DB!O$2:O$2576,P1801),"")</f>
        <v/>
      </c>
      <c r="S1801" t="str">
        <f t="shared" si="84"/>
        <v/>
      </c>
      <c r="T1801" t="str">
        <f t="shared" si="85"/>
        <v/>
      </c>
    </row>
    <row r="1802" spans="1:20" ht="100" customHeight="1">
      <c r="A1802" s="26"/>
      <c r="B1802" s="39" t="str">
        <f t="shared" si="83"/>
        <v/>
      </c>
      <c r="C1802" s="43"/>
      <c r="D1802" s="51" t="str" cm="1">
        <f t="array" ref="D1802">IFERROR(INDEX(DB!G$2:G$2576,T1802),"")</f>
        <v/>
      </c>
      <c r="E1802" s="43"/>
      <c r="F1802" s="52" t="str" cm="1">
        <f t="array" ref="F1802">IFERROR(INDEX(DB!O$2:O$2576,T1802),"")</f>
        <v/>
      </c>
      <c r="G1802" s="43"/>
      <c r="H1802" s="40" t="str" cm="1">
        <f t="array" ref="H1802">IFERROR(INDEX(DB!P$2:P$2576,T1802),"")</f>
        <v/>
      </c>
      <c r="I1802" s="43"/>
      <c r="J1802" s="53" t="str" cm="1">
        <f t="array" ref="J1802">IFERROR(INDEX(DB!Q$2:Q$2576,T1802),"")</f>
        <v/>
      </c>
      <c r="K1802" s="43"/>
      <c r="L1802" s="41" t="str" cm="1">
        <f t="array" ref="L1802">IFERROR(INDEX(DB!R$2:R$2576,T1802),"")</f>
        <v/>
      </c>
      <c r="M1802" s="43"/>
      <c r="P1802" t="str" cm="1">
        <f t="array" ref="P1802">IFERROR(_xlfn.AGGREGATE(15,6,ROW(DB!A$2:A$2576)/((($D$3&lt;&gt;"YES")+($D$3="YES")*(DB!E$2:E$2576="YES"))*(($D$4="")+($D$4&lt;&gt;"")*( DB!B$2:B$2576=$D$4))*(($D$5="")+($D$5&lt;&gt;"")*( DB!C$2:C$2576=$D$5))*(($D$6="")+($D$6&lt;&gt;"")*( DB!D$2:D$2576=$D$6))*(($D$7="")+($D$7&lt;&gt;"")*(ISNUMBER(SEARCH($D$7,DB!G$2:G$2576))))*(($F$7="전체")+($F$7&lt;&gt;"전체")*(DB!H$2:H$2576=$F$7))),ROW()-13)-1,"")</f>
        <v/>
      </c>
      <c r="Q1802" t="str" cm="1">
        <f t="array" ref="Q1802">IFERROR(INDEX(DB!G$2:G$2576,P1802),"")</f>
        <v/>
      </c>
      <c r="R1802" t="str" cm="1">
        <f t="array" ref="R1802">IFERROR(INDEX(DB!O$2:O$2576,P1802),"")</f>
        <v/>
      </c>
      <c r="S1802" t="str">
        <f t="shared" si="84"/>
        <v/>
      </c>
      <c r="T1802" t="str">
        <f t="shared" si="85"/>
        <v/>
      </c>
    </row>
    <row r="1803" spans="1:20" ht="100" customHeight="1">
      <c r="A1803" s="26"/>
      <c r="B1803" s="42" t="str">
        <f t="shared" si="83"/>
        <v/>
      </c>
      <c r="C1803" s="43"/>
      <c r="D1803" s="51" t="str" cm="1">
        <f t="array" ref="D1803">IFERROR(INDEX(DB!G$2:G$2576,T1803),"")</f>
        <v/>
      </c>
      <c r="E1803" s="43"/>
      <c r="F1803" s="52" t="str" cm="1">
        <f t="array" ref="F1803">IFERROR(INDEX(DB!O$2:O$2576,T1803),"")</f>
        <v/>
      </c>
      <c r="G1803" s="43"/>
      <c r="H1803" s="40" t="str" cm="1">
        <f t="array" ref="H1803">IFERROR(INDEX(DB!P$2:P$2576,T1803),"")</f>
        <v/>
      </c>
      <c r="I1803" s="43"/>
      <c r="J1803" s="53" t="str" cm="1">
        <f t="array" ref="J1803">IFERROR(INDEX(DB!Q$2:Q$2576,T1803),"")</f>
        <v/>
      </c>
      <c r="K1803" s="43"/>
      <c r="L1803" s="41" t="str" cm="1">
        <f t="array" ref="L1803">IFERROR(INDEX(DB!R$2:R$2576,T1803),"")</f>
        <v/>
      </c>
      <c r="M1803" s="43"/>
      <c r="P1803" t="str" cm="1">
        <f t="array" ref="P1803">IFERROR(_xlfn.AGGREGATE(15,6,ROW(DB!A$2:A$2576)/((($D$3&lt;&gt;"YES")+($D$3="YES")*(DB!E$2:E$2576="YES"))*(($D$4="")+($D$4&lt;&gt;"")*( DB!B$2:B$2576=$D$4))*(($D$5="")+($D$5&lt;&gt;"")*( DB!C$2:C$2576=$D$5))*(($D$6="")+($D$6&lt;&gt;"")*( DB!D$2:D$2576=$D$6))*(($D$7="")+($D$7&lt;&gt;"")*(ISNUMBER(SEARCH($D$7,DB!G$2:G$2576))))*(($F$7="전체")+($F$7&lt;&gt;"전체")*(DB!H$2:H$2576=$F$7))),ROW()-13)-1,"")</f>
        <v/>
      </c>
      <c r="Q1803" t="str" cm="1">
        <f t="array" ref="Q1803">IFERROR(INDEX(DB!G$2:G$2576,P1803),"")</f>
        <v/>
      </c>
      <c r="R1803" t="str" cm="1">
        <f t="array" ref="R1803">IFERROR(INDEX(DB!O$2:O$2576,P1803),"")</f>
        <v/>
      </c>
      <c r="S1803" t="str">
        <f t="shared" si="84"/>
        <v/>
      </c>
      <c r="T1803" t="str">
        <f t="shared" si="85"/>
        <v/>
      </c>
    </row>
    <row r="1804" spans="1:20" ht="100" customHeight="1">
      <c r="A1804" s="26"/>
      <c r="B1804" s="39" t="str">
        <f t="shared" si="83"/>
        <v/>
      </c>
      <c r="C1804" s="43"/>
      <c r="D1804" s="51" t="str" cm="1">
        <f t="array" ref="D1804">IFERROR(INDEX(DB!G$2:G$2576,T1804),"")</f>
        <v/>
      </c>
      <c r="E1804" s="43"/>
      <c r="F1804" s="52" t="str" cm="1">
        <f t="array" ref="F1804">IFERROR(INDEX(DB!O$2:O$2576,T1804),"")</f>
        <v/>
      </c>
      <c r="G1804" s="43"/>
      <c r="H1804" s="40" t="str" cm="1">
        <f t="array" ref="H1804">IFERROR(INDEX(DB!P$2:P$2576,T1804),"")</f>
        <v/>
      </c>
      <c r="I1804" s="43"/>
      <c r="J1804" s="53" t="str" cm="1">
        <f t="array" ref="J1804">IFERROR(INDEX(DB!Q$2:Q$2576,T1804),"")</f>
        <v/>
      </c>
      <c r="K1804" s="43"/>
      <c r="L1804" s="41" t="str" cm="1">
        <f t="array" ref="L1804">IFERROR(INDEX(DB!R$2:R$2576,T1804),"")</f>
        <v/>
      </c>
      <c r="M1804" s="43"/>
      <c r="P1804" t="str" cm="1">
        <f t="array" ref="P1804">IFERROR(_xlfn.AGGREGATE(15,6,ROW(DB!A$2:A$2576)/((($D$3&lt;&gt;"YES")+($D$3="YES")*(DB!E$2:E$2576="YES"))*(($D$4="")+($D$4&lt;&gt;"")*( DB!B$2:B$2576=$D$4))*(($D$5="")+($D$5&lt;&gt;"")*( DB!C$2:C$2576=$D$5))*(($D$6="")+($D$6&lt;&gt;"")*( DB!D$2:D$2576=$D$6))*(($D$7="")+($D$7&lt;&gt;"")*(ISNUMBER(SEARCH($D$7,DB!G$2:G$2576))))*(($F$7="전체")+($F$7&lt;&gt;"전체")*(DB!H$2:H$2576=$F$7))),ROW()-13)-1,"")</f>
        <v/>
      </c>
      <c r="Q1804" t="str" cm="1">
        <f t="array" ref="Q1804">IFERROR(INDEX(DB!G$2:G$2576,P1804),"")</f>
        <v/>
      </c>
      <c r="R1804" t="str" cm="1">
        <f t="array" ref="R1804">IFERROR(INDEX(DB!O$2:O$2576,P1804),"")</f>
        <v/>
      </c>
      <c r="S1804" t="str">
        <f t="shared" si="84"/>
        <v/>
      </c>
      <c r="T1804" t="str">
        <f t="shared" si="85"/>
        <v/>
      </c>
    </row>
    <row r="1805" spans="1:20" ht="100" customHeight="1">
      <c r="A1805" s="26"/>
      <c r="B1805" s="42" t="str">
        <f t="shared" si="83"/>
        <v/>
      </c>
      <c r="C1805" s="43"/>
      <c r="D1805" s="51" t="str" cm="1">
        <f t="array" ref="D1805">IFERROR(INDEX(DB!G$2:G$2576,T1805),"")</f>
        <v/>
      </c>
      <c r="E1805" s="43"/>
      <c r="F1805" s="52" t="str" cm="1">
        <f t="array" ref="F1805">IFERROR(INDEX(DB!O$2:O$2576,T1805),"")</f>
        <v/>
      </c>
      <c r="G1805" s="43"/>
      <c r="H1805" s="40" t="str" cm="1">
        <f t="array" ref="H1805">IFERROR(INDEX(DB!P$2:P$2576,T1805),"")</f>
        <v/>
      </c>
      <c r="I1805" s="43"/>
      <c r="J1805" s="53" t="str" cm="1">
        <f t="array" ref="J1805">IFERROR(INDEX(DB!Q$2:Q$2576,T1805),"")</f>
        <v/>
      </c>
      <c r="K1805" s="43"/>
      <c r="L1805" s="41" t="str" cm="1">
        <f t="array" ref="L1805">IFERROR(INDEX(DB!R$2:R$2576,T1805),"")</f>
        <v/>
      </c>
      <c r="M1805" s="43"/>
      <c r="P1805" t="str" cm="1">
        <f t="array" ref="P1805">IFERROR(_xlfn.AGGREGATE(15,6,ROW(DB!A$2:A$2576)/((($D$3&lt;&gt;"YES")+($D$3="YES")*(DB!E$2:E$2576="YES"))*(($D$4="")+($D$4&lt;&gt;"")*( DB!B$2:B$2576=$D$4))*(($D$5="")+($D$5&lt;&gt;"")*( DB!C$2:C$2576=$D$5))*(($D$6="")+($D$6&lt;&gt;"")*( DB!D$2:D$2576=$D$6))*(($D$7="")+($D$7&lt;&gt;"")*(ISNUMBER(SEARCH($D$7,DB!G$2:G$2576))))*(($F$7="전체")+($F$7&lt;&gt;"전체")*(DB!H$2:H$2576=$F$7))),ROW()-13)-1,"")</f>
        <v/>
      </c>
      <c r="Q1805" t="str" cm="1">
        <f t="array" ref="Q1805">IFERROR(INDEX(DB!G$2:G$2576,P1805),"")</f>
        <v/>
      </c>
      <c r="R1805" t="str" cm="1">
        <f t="array" ref="R1805">IFERROR(INDEX(DB!O$2:O$2576,P1805),"")</f>
        <v/>
      </c>
      <c r="S1805" t="str">
        <f t="shared" si="84"/>
        <v/>
      </c>
      <c r="T1805" t="str">
        <f t="shared" si="85"/>
        <v/>
      </c>
    </row>
    <row r="1806" spans="1:20" ht="100" customHeight="1">
      <c r="A1806" s="26"/>
      <c r="B1806" s="39" t="str">
        <f t="shared" si="83"/>
        <v/>
      </c>
      <c r="C1806" s="43"/>
      <c r="D1806" s="51" t="str" cm="1">
        <f t="array" ref="D1806">IFERROR(INDEX(DB!G$2:G$2576,T1806),"")</f>
        <v/>
      </c>
      <c r="E1806" s="43"/>
      <c r="F1806" s="52" t="str" cm="1">
        <f t="array" ref="F1806">IFERROR(INDEX(DB!O$2:O$2576,T1806),"")</f>
        <v/>
      </c>
      <c r="G1806" s="43"/>
      <c r="H1806" s="40" t="str" cm="1">
        <f t="array" ref="H1806">IFERROR(INDEX(DB!P$2:P$2576,T1806),"")</f>
        <v/>
      </c>
      <c r="I1806" s="43"/>
      <c r="J1806" s="53" t="str" cm="1">
        <f t="array" ref="J1806">IFERROR(INDEX(DB!Q$2:Q$2576,T1806),"")</f>
        <v/>
      </c>
      <c r="K1806" s="43"/>
      <c r="L1806" s="41" t="str" cm="1">
        <f t="array" ref="L1806">IFERROR(INDEX(DB!R$2:R$2576,T1806),"")</f>
        <v/>
      </c>
      <c r="M1806" s="43"/>
      <c r="P1806" t="str" cm="1">
        <f t="array" ref="P1806">IFERROR(_xlfn.AGGREGATE(15,6,ROW(DB!A$2:A$2576)/((($D$3&lt;&gt;"YES")+($D$3="YES")*(DB!E$2:E$2576="YES"))*(($D$4="")+($D$4&lt;&gt;"")*( DB!B$2:B$2576=$D$4))*(($D$5="")+($D$5&lt;&gt;"")*( DB!C$2:C$2576=$D$5))*(($D$6="")+($D$6&lt;&gt;"")*( DB!D$2:D$2576=$D$6))*(($D$7="")+($D$7&lt;&gt;"")*(ISNUMBER(SEARCH($D$7,DB!G$2:G$2576))))*(($F$7="전체")+($F$7&lt;&gt;"전체")*(DB!H$2:H$2576=$F$7))),ROW()-13)-1,"")</f>
        <v/>
      </c>
      <c r="Q1806" t="str" cm="1">
        <f t="array" ref="Q1806">IFERROR(INDEX(DB!G$2:G$2576,P1806),"")</f>
        <v/>
      </c>
      <c r="R1806" t="str" cm="1">
        <f t="array" ref="R1806">IFERROR(INDEX(DB!O$2:O$2576,P1806),"")</f>
        <v/>
      </c>
      <c r="S1806" t="str">
        <f t="shared" si="84"/>
        <v/>
      </c>
      <c r="T1806" t="str">
        <f t="shared" si="85"/>
        <v/>
      </c>
    </row>
    <row r="1807" spans="1:20" ht="100" customHeight="1">
      <c r="A1807" s="26"/>
      <c r="B1807" s="42" t="str">
        <f t="shared" ref="B1807:B1870" si="86">IFERROR(IF(T1807="","",ROW()-13),"")</f>
        <v/>
      </c>
      <c r="C1807" s="43"/>
      <c r="D1807" s="51" t="str" cm="1">
        <f t="array" ref="D1807">IFERROR(INDEX(DB!G$2:G$2576,T1807),"")</f>
        <v/>
      </c>
      <c r="E1807" s="43"/>
      <c r="F1807" s="52" t="str" cm="1">
        <f t="array" ref="F1807">IFERROR(INDEX(DB!O$2:O$2576,T1807),"")</f>
        <v/>
      </c>
      <c r="G1807" s="43"/>
      <c r="H1807" s="40" t="str" cm="1">
        <f t="array" ref="H1807">IFERROR(INDEX(DB!P$2:P$2576,T1807),"")</f>
        <v/>
      </c>
      <c r="I1807" s="43"/>
      <c r="J1807" s="53" t="str" cm="1">
        <f t="array" ref="J1807">IFERROR(INDEX(DB!Q$2:Q$2576,T1807),"")</f>
        <v/>
      </c>
      <c r="K1807" s="43"/>
      <c r="L1807" s="41" t="str" cm="1">
        <f t="array" ref="L1807">IFERROR(INDEX(DB!R$2:R$2576,T1807),"")</f>
        <v/>
      </c>
      <c r="M1807" s="43"/>
      <c r="P1807" t="str" cm="1">
        <f t="array" ref="P1807">IFERROR(_xlfn.AGGREGATE(15,6,ROW(DB!A$2:A$2576)/((($D$3&lt;&gt;"YES")+($D$3="YES")*(DB!E$2:E$2576="YES"))*(($D$4="")+($D$4&lt;&gt;"")*( DB!B$2:B$2576=$D$4))*(($D$5="")+($D$5&lt;&gt;"")*( DB!C$2:C$2576=$D$5))*(($D$6="")+($D$6&lt;&gt;"")*( DB!D$2:D$2576=$D$6))*(($D$7="")+($D$7&lt;&gt;"")*(ISNUMBER(SEARCH($D$7,DB!G$2:G$2576))))*(($F$7="전체")+($F$7&lt;&gt;"전체")*(DB!H$2:H$2576=$F$7))),ROW()-13)-1,"")</f>
        <v/>
      </c>
      <c r="Q1807" t="str" cm="1">
        <f t="array" ref="Q1807">IFERROR(INDEX(DB!G$2:G$2576,P1807),"")</f>
        <v/>
      </c>
      <c r="R1807" t="str" cm="1">
        <f t="array" ref="R1807">IFERROR(INDEX(DB!O$2:O$2576,P1807),"")</f>
        <v/>
      </c>
      <c r="S1807" t="str">
        <f t="shared" ref="S1807:S1870" si="87">IF(P1807="","",COUNTIF($Q$14:$Q$2587,"&lt;"&amp;Q1807)*100+COUNTIF($R$14:$R$2587,"&lt;"&amp;R1807)+(ROW()-13)*0.001)</f>
        <v/>
      </c>
      <c r="T1807" t="str">
        <f t="shared" ref="T1807:T1870" si="88">IFERROR(INDEX($P$14:$P$2587,MATCH(SMALL($S$14:$S$2587,ROW()-13),$S$14:$S$2587,0)),"")</f>
        <v/>
      </c>
    </row>
    <row r="1808" spans="1:20" ht="100" customHeight="1">
      <c r="A1808" s="26"/>
      <c r="B1808" s="39" t="str">
        <f t="shared" si="86"/>
        <v/>
      </c>
      <c r="C1808" s="43"/>
      <c r="D1808" s="51" t="str" cm="1">
        <f t="array" ref="D1808">IFERROR(INDEX(DB!G$2:G$2576,T1808),"")</f>
        <v/>
      </c>
      <c r="E1808" s="43"/>
      <c r="F1808" s="52" t="str" cm="1">
        <f t="array" ref="F1808">IFERROR(INDEX(DB!O$2:O$2576,T1808),"")</f>
        <v/>
      </c>
      <c r="G1808" s="43"/>
      <c r="H1808" s="40" t="str" cm="1">
        <f t="array" ref="H1808">IFERROR(INDEX(DB!P$2:P$2576,T1808),"")</f>
        <v/>
      </c>
      <c r="I1808" s="43"/>
      <c r="J1808" s="53" t="str" cm="1">
        <f t="array" ref="J1808">IFERROR(INDEX(DB!Q$2:Q$2576,T1808),"")</f>
        <v/>
      </c>
      <c r="K1808" s="43"/>
      <c r="L1808" s="41" t="str" cm="1">
        <f t="array" ref="L1808">IFERROR(INDEX(DB!R$2:R$2576,T1808),"")</f>
        <v/>
      </c>
      <c r="M1808" s="43"/>
      <c r="P1808" t="str" cm="1">
        <f t="array" ref="P1808">IFERROR(_xlfn.AGGREGATE(15,6,ROW(DB!A$2:A$2576)/((($D$3&lt;&gt;"YES")+($D$3="YES")*(DB!E$2:E$2576="YES"))*(($D$4="")+($D$4&lt;&gt;"")*( DB!B$2:B$2576=$D$4))*(($D$5="")+($D$5&lt;&gt;"")*( DB!C$2:C$2576=$D$5))*(($D$6="")+($D$6&lt;&gt;"")*( DB!D$2:D$2576=$D$6))*(($D$7="")+($D$7&lt;&gt;"")*(ISNUMBER(SEARCH($D$7,DB!G$2:G$2576))))*(($F$7="전체")+($F$7&lt;&gt;"전체")*(DB!H$2:H$2576=$F$7))),ROW()-13)-1,"")</f>
        <v/>
      </c>
      <c r="Q1808" t="str" cm="1">
        <f t="array" ref="Q1808">IFERROR(INDEX(DB!G$2:G$2576,P1808),"")</f>
        <v/>
      </c>
      <c r="R1808" t="str" cm="1">
        <f t="array" ref="R1808">IFERROR(INDEX(DB!O$2:O$2576,P1808),"")</f>
        <v/>
      </c>
      <c r="S1808" t="str">
        <f t="shared" si="87"/>
        <v/>
      </c>
      <c r="T1808" t="str">
        <f t="shared" si="88"/>
        <v/>
      </c>
    </row>
    <row r="1809" spans="1:20" ht="100" customHeight="1">
      <c r="A1809" s="26"/>
      <c r="B1809" s="42" t="str">
        <f t="shared" si="86"/>
        <v/>
      </c>
      <c r="C1809" s="43"/>
      <c r="D1809" s="51" t="str" cm="1">
        <f t="array" ref="D1809">IFERROR(INDEX(DB!G$2:G$2576,T1809),"")</f>
        <v/>
      </c>
      <c r="E1809" s="43"/>
      <c r="F1809" s="52" t="str" cm="1">
        <f t="array" ref="F1809">IFERROR(INDEX(DB!O$2:O$2576,T1809),"")</f>
        <v/>
      </c>
      <c r="G1809" s="43"/>
      <c r="H1809" s="40" t="str" cm="1">
        <f t="array" ref="H1809">IFERROR(INDEX(DB!P$2:P$2576,T1809),"")</f>
        <v/>
      </c>
      <c r="I1809" s="43"/>
      <c r="J1809" s="53" t="str" cm="1">
        <f t="array" ref="J1809">IFERROR(INDEX(DB!Q$2:Q$2576,T1809),"")</f>
        <v/>
      </c>
      <c r="K1809" s="43"/>
      <c r="L1809" s="41" t="str" cm="1">
        <f t="array" ref="L1809">IFERROR(INDEX(DB!R$2:R$2576,T1809),"")</f>
        <v/>
      </c>
      <c r="M1809" s="43"/>
      <c r="P1809" t="str" cm="1">
        <f t="array" ref="P1809">IFERROR(_xlfn.AGGREGATE(15,6,ROW(DB!A$2:A$2576)/((($D$3&lt;&gt;"YES")+($D$3="YES")*(DB!E$2:E$2576="YES"))*(($D$4="")+($D$4&lt;&gt;"")*( DB!B$2:B$2576=$D$4))*(($D$5="")+($D$5&lt;&gt;"")*( DB!C$2:C$2576=$D$5))*(($D$6="")+($D$6&lt;&gt;"")*( DB!D$2:D$2576=$D$6))*(($D$7="")+($D$7&lt;&gt;"")*(ISNUMBER(SEARCH($D$7,DB!G$2:G$2576))))*(($F$7="전체")+($F$7&lt;&gt;"전체")*(DB!H$2:H$2576=$F$7))),ROW()-13)-1,"")</f>
        <v/>
      </c>
      <c r="Q1809" t="str" cm="1">
        <f t="array" ref="Q1809">IFERROR(INDEX(DB!G$2:G$2576,P1809),"")</f>
        <v/>
      </c>
      <c r="R1809" t="str" cm="1">
        <f t="array" ref="R1809">IFERROR(INDEX(DB!O$2:O$2576,P1809),"")</f>
        <v/>
      </c>
      <c r="S1809" t="str">
        <f t="shared" si="87"/>
        <v/>
      </c>
      <c r="T1809" t="str">
        <f t="shared" si="88"/>
        <v/>
      </c>
    </row>
    <row r="1810" spans="1:20" ht="100" customHeight="1">
      <c r="A1810" s="26"/>
      <c r="B1810" s="39" t="str">
        <f t="shared" si="86"/>
        <v/>
      </c>
      <c r="C1810" s="43"/>
      <c r="D1810" s="51" t="str" cm="1">
        <f t="array" ref="D1810">IFERROR(INDEX(DB!G$2:G$2576,T1810),"")</f>
        <v/>
      </c>
      <c r="E1810" s="43"/>
      <c r="F1810" s="52" t="str" cm="1">
        <f t="array" ref="F1810">IFERROR(INDEX(DB!O$2:O$2576,T1810),"")</f>
        <v/>
      </c>
      <c r="G1810" s="43"/>
      <c r="H1810" s="40" t="str" cm="1">
        <f t="array" ref="H1810">IFERROR(INDEX(DB!P$2:P$2576,T1810),"")</f>
        <v/>
      </c>
      <c r="I1810" s="43"/>
      <c r="J1810" s="53" t="str" cm="1">
        <f t="array" ref="J1810">IFERROR(INDEX(DB!Q$2:Q$2576,T1810),"")</f>
        <v/>
      </c>
      <c r="K1810" s="43"/>
      <c r="L1810" s="41" t="str" cm="1">
        <f t="array" ref="L1810">IFERROR(INDEX(DB!R$2:R$2576,T1810),"")</f>
        <v/>
      </c>
      <c r="M1810" s="43"/>
      <c r="P1810" t="str" cm="1">
        <f t="array" ref="P1810">IFERROR(_xlfn.AGGREGATE(15,6,ROW(DB!A$2:A$2576)/((($D$3&lt;&gt;"YES")+($D$3="YES")*(DB!E$2:E$2576="YES"))*(($D$4="")+($D$4&lt;&gt;"")*( DB!B$2:B$2576=$D$4))*(($D$5="")+($D$5&lt;&gt;"")*( DB!C$2:C$2576=$D$5))*(($D$6="")+($D$6&lt;&gt;"")*( DB!D$2:D$2576=$D$6))*(($D$7="")+($D$7&lt;&gt;"")*(ISNUMBER(SEARCH($D$7,DB!G$2:G$2576))))*(($F$7="전체")+($F$7&lt;&gt;"전체")*(DB!H$2:H$2576=$F$7))),ROW()-13)-1,"")</f>
        <v/>
      </c>
      <c r="Q1810" t="str" cm="1">
        <f t="array" ref="Q1810">IFERROR(INDEX(DB!G$2:G$2576,P1810),"")</f>
        <v/>
      </c>
      <c r="R1810" t="str" cm="1">
        <f t="array" ref="R1810">IFERROR(INDEX(DB!O$2:O$2576,P1810),"")</f>
        <v/>
      </c>
      <c r="S1810" t="str">
        <f t="shared" si="87"/>
        <v/>
      </c>
      <c r="T1810" t="str">
        <f t="shared" si="88"/>
        <v/>
      </c>
    </row>
    <row r="1811" spans="1:20" ht="100" customHeight="1">
      <c r="A1811" s="26"/>
      <c r="B1811" s="42" t="str">
        <f t="shared" si="86"/>
        <v/>
      </c>
      <c r="C1811" s="43"/>
      <c r="D1811" s="51" t="str" cm="1">
        <f t="array" ref="D1811">IFERROR(INDEX(DB!G$2:G$2576,T1811),"")</f>
        <v/>
      </c>
      <c r="E1811" s="43"/>
      <c r="F1811" s="52" t="str" cm="1">
        <f t="array" ref="F1811">IFERROR(INDEX(DB!O$2:O$2576,T1811),"")</f>
        <v/>
      </c>
      <c r="G1811" s="43"/>
      <c r="H1811" s="40" t="str" cm="1">
        <f t="array" ref="H1811">IFERROR(INDEX(DB!P$2:P$2576,T1811),"")</f>
        <v/>
      </c>
      <c r="I1811" s="43"/>
      <c r="J1811" s="53" t="str" cm="1">
        <f t="array" ref="J1811">IFERROR(INDEX(DB!Q$2:Q$2576,T1811),"")</f>
        <v/>
      </c>
      <c r="K1811" s="43"/>
      <c r="L1811" s="41" t="str" cm="1">
        <f t="array" ref="L1811">IFERROR(INDEX(DB!R$2:R$2576,T1811),"")</f>
        <v/>
      </c>
      <c r="M1811" s="43"/>
      <c r="P1811" t="str" cm="1">
        <f t="array" ref="P1811">IFERROR(_xlfn.AGGREGATE(15,6,ROW(DB!A$2:A$2576)/((($D$3&lt;&gt;"YES")+($D$3="YES")*(DB!E$2:E$2576="YES"))*(($D$4="")+($D$4&lt;&gt;"")*( DB!B$2:B$2576=$D$4))*(($D$5="")+($D$5&lt;&gt;"")*( DB!C$2:C$2576=$D$5))*(($D$6="")+($D$6&lt;&gt;"")*( DB!D$2:D$2576=$D$6))*(($D$7="")+($D$7&lt;&gt;"")*(ISNUMBER(SEARCH($D$7,DB!G$2:G$2576))))*(($F$7="전체")+($F$7&lt;&gt;"전체")*(DB!H$2:H$2576=$F$7))),ROW()-13)-1,"")</f>
        <v/>
      </c>
      <c r="Q1811" t="str" cm="1">
        <f t="array" ref="Q1811">IFERROR(INDEX(DB!G$2:G$2576,P1811),"")</f>
        <v/>
      </c>
      <c r="R1811" t="str" cm="1">
        <f t="array" ref="R1811">IFERROR(INDEX(DB!O$2:O$2576,P1811),"")</f>
        <v/>
      </c>
      <c r="S1811" t="str">
        <f t="shared" si="87"/>
        <v/>
      </c>
      <c r="T1811" t="str">
        <f t="shared" si="88"/>
        <v/>
      </c>
    </row>
    <row r="1812" spans="1:20" ht="100" customHeight="1">
      <c r="A1812" s="26"/>
      <c r="B1812" s="39" t="str">
        <f t="shared" si="86"/>
        <v/>
      </c>
      <c r="C1812" s="43"/>
      <c r="D1812" s="51" t="str" cm="1">
        <f t="array" ref="D1812">IFERROR(INDEX(DB!G$2:G$2576,T1812),"")</f>
        <v/>
      </c>
      <c r="E1812" s="43"/>
      <c r="F1812" s="52" t="str" cm="1">
        <f t="array" ref="F1812">IFERROR(INDEX(DB!O$2:O$2576,T1812),"")</f>
        <v/>
      </c>
      <c r="G1812" s="43"/>
      <c r="H1812" s="40" t="str" cm="1">
        <f t="array" ref="H1812">IFERROR(INDEX(DB!P$2:P$2576,T1812),"")</f>
        <v/>
      </c>
      <c r="I1812" s="43"/>
      <c r="J1812" s="53" t="str" cm="1">
        <f t="array" ref="J1812">IFERROR(INDEX(DB!Q$2:Q$2576,T1812),"")</f>
        <v/>
      </c>
      <c r="K1812" s="43"/>
      <c r="L1812" s="41" t="str" cm="1">
        <f t="array" ref="L1812">IFERROR(INDEX(DB!R$2:R$2576,T1812),"")</f>
        <v/>
      </c>
      <c r="M1812" s="43"/>
      <c r="P1812" t="str" cm="1">
        <f t="array" ref="P1812">IFERROR(_xlfn.AGGREGATE(15,6,ROW(DB!A$2:A$2576)/((($D$3&lt;&gt;"YES")+($D$3="YES")*(DB!E$2:E$2576="YES"))*(($D$4="")+($D$4&lt;&gt;"")*( DB!B$2:B$2576=$D$4))*(($D$5="")+($D$5&lt;&gt;"")*( DB!C$2:C$2576=$D$5))*(($D$6="")+($D$6&lt;&gt;"")*( DB!D$2:D$2576=$D$6))*(($D$7="")+($D$7&lt;&gt;"")*(ISNUMBER(SEARCH($D$7,DB!G$2:G$2576))))*(($F$7="전체")+($F$7&lt;&gt;"전체")*(DB!H$2:H$2576=$F$7))),ROW()-13)-1,"")</f>
        <v/>
      </c>
      <c r="Q1812" t="str" cm="1">
        <f t="array" ref="Q1812">IFERROR(INDEX(DB!G$2:G$2576,P1812),"")</f>
        <v/>
      </c>
      <c r="R1812" t="str" cm="1">
        <f t="array" ref="R1812">IFERROR(INDEX(DB!O$2:O$2576,P1812),"")</f>
        <v/>
      </c>
      <c r="S1812" t="str">
        <f t="shared" si="87"/>
        <v/>
      </c>
      <c r="T1812" t="str">
        <f t="shared" si="88"/>
        <v/>
      </c>
    </row>
    <row r="1813" spans="1:20" ht="100" customHeight="1">
      <c r="A1813" s="26"/>
      <c r="B1813" s="42" t="str">
        <f t="shared" si="86"/>
        <v/>
      </c>
      <c r="C1813" s="43"/>
      <c r="D1813" s="51" t="str" cm="1">
        <f t="array" ref="D1813">IFERROR(INDEX(DB!G$2:G$2576,T1813),"")</f>
        <v/>
      </c>
      <c r="E1813" s="43"/>
      <c r="F1813" s="52" t="str" cm="1">
        <f t="array" ref="F1813">IFERROR(INDEX(DB!O$2:O$2576,T1813),"")</f>
        <v/>
      </c>
      <c r="G1813" s="43"/>
      <c r="H1813" s="40" t="str" cm="1">
        <f t="array" ref="H1813">IFERROR(INDEX(DB!P$2:P$2576,T1813),"")</f>
        <v/>
      </c>
      <c r="I1813" s="43"/>
      <c r="J1813" s="53" t="str" cm="1">
        <f t="array" ref="J1813">IFERROR(INDEX(DB!Q$2:Q$2576,T1813),"")</f>
        <v/>
      </c>
      <c r="K1813" s="43"/>
      <c r="L1813" s="41" t="str" cm="1">
        <f t="array" ref="L1813">IFERROR(INDEX(DB!R$2:R$2576,T1813),"")</f>
        <v/>
      </c>
      <c r="M1813" s="43"/>
      <c r="P1813" t="str" cm="1">
        <f t="array" ref="P1813">IFERROR(_xlfn.AGGREGATE(15,6,ROW(DB!A$2:A$2576)/((($D$3&lt;&gt;"YES")+($D$3="YES")*(DB!E$2:E$2576="YES"))*(($D$4="")+($D$4&lt;&gt;"")*( DB!B$2:B$2576=$D$4))*(($D$5="")+($D$5&lt;&gt;"")*( DB!C$2:C$2576=$D$5))*(($D$6="")+($D$6&lt;&gt;"")*( DB!D$2:D$2576=$D$6))*(($D$7="")+($D$7&lt;&gt;"")*(ISNUMBER(SEARCH($D$7,DB!G$2:G$2576))))*(($F$7="전체")+($F$7&lt;&gt;"전체")*(DB!H$2:H$2576=$F$7))),ROW()-13)-1,"")</f>
        <v/>
      </c>
      <c r="Q1813" t="str" cm="1">
        <f t="array" ref="Q1813">IFERROR(INDEX(DB!G$2:G$2576,P1813),"")</f>
        <v/>
      </c>
      <c r="R1813" t="str" cm="1">
        <f t="array" ref="R1813">IFERROR(INDEX(DB!O$2:O$2576,P1813),"")</f>
        <v/>
      </c>
      <c r="S1813" t="str">
        <f t="shared" si="87"/>
        <v/>
      </c>
      <c r="T1813" t="str">
        <f t="shared" si="88"/>
        <v/>
      </c>
    </row>
    <row r="1814" spans="1:20" ht="100" customHeight="1">
      <c r="A1814" s="26"/>
      <c r="B1814" s="39" t="str">
        <f t="shared" si="86"/>
        <v/>
      </c>
      <c r="C1814" s="43"/>
      <c r="D1814" s="51" t="str" cm="1">
        <f t="array" ref="D1814">IFERROR(INDEX(DB!G$2:G$2576,T1814),"")</f>
        <v/>
      </c>
      <c r="E1814" s="43"/>
      <c r="F1814" s="52" t="str" cm="1">
        <f t="array" ref="F1814">IFERROR(INDEX(DB!O$2:O$2576,T1814),"")</f>
        <v/>
      </c>
      <c r="G1814" s="43"/>
      <c r="H1814" s="40" t="str" cm="1">
        <f t="array" ref="H1814">IFERROR(INDEX(DB!P$2:P$2576,T1814),"")</f>
        <v/>
      </c>
      <c r="I1814" s="43"/>
      <c r="J1814" s="53" t="str" cm="1">
        <f t="array" ref="J1814">IFERROR(INDEX(DB!Q$2:Q$2576,T1814),"")</f>
        <v/>
      </c>
      <c r="K1814" s="43"/>
      <c r="L1814" s="41" t="str" cm="1">
        <f t="array" ref="L1814">IFERROR(INDEX(DB!R$2:R$2576,T1814),"")</f>
        <v/>
      </c>
      <c r="M1814" s="43"/>
      <c r="P1814" t="str" cm="1">
        <f t="array" ref="P1814">IFERROR(_xlfn.AGGREGATE(15,6,ROW(DB!A$2:A$2576)/((($D$3&lt;&gt;"YES")+($D$3="YES")*(DB!E$2:E$2576="YES"))*(($D$4="")+($D$4&lt;&gt;"")*( DB!B$2:B$2576=$D$4))*(($D$5="")+($D$5&lt;&gt;"")*( DB!C$2:C$2576=$D$5))*(($D$6="")+($D$6&lt;&gt;"")*( DB!D$2:D$2576=$D$6))*(($D$7="")+($D$7&lt;&gt;"")*(ISNUMBER(SEARCH($D$7,DB!G$2:G$2576))))*(($F$7="전체")+($F$7&lt;&gt;"전체")*(DB!H$2:H$2576=$F$7))),ROW()-13)-1,"")</f>
        <v/>
      </c>
      <c r="Q1814" t="str" cm="1">
        <f t="array" ref="Q1814">IFERROR(INDEX(DB!G$2:G$2576,P1814),"")</f>
        <v/>
      </c>
      <c r="R1814" t="str" cm="1">
        <f t="array" ref="R1814">IFERROR(INDEX(DB!O$2:O$2576,P1814),"")</f>
        <v/>
      </c>
      <c r="S1814" t="str">
        <f t="shared" si="87"/>
        <v/>
      </c>
      <c r="T1814" t="str">
        <f t="shared" si="88"/>
        <v/>
      </c>
    </row>
    <row r="1815" spans="1:20" ht="100" customHeight="1">
      <c r="A1815" s="26"/>
      <c r="B1815" s="42" t="str">
        <f t="shared" si="86"/>
        <v/>
      </c>
      <c r="C1815" s="43"/>
      <c r="D1815" s="51" t="str" cm="1">
        <f t="array" ref="D1815">IFERROR(INDEX(DB!G$2:G$2576,T1815),"")</f>
        <v/>
      </c>
      <c r="E1815" s="43"/>
      <c r="F1815" s="52" t="str" cm="1">
        <f t="array" ref="F1815">IFERROR(INDEX(DB!O$2:O$2576,T1815),"")</f>
        <v/>
      </c>
      <c r="G1815" s="43"/>
      <c r="H1815" s="40" t="str" cm="1">
        <f t="array" ref="H1815">IFERROR(INDEX(DB!P$2:P$2576,T1815),"")</f>
        <v/>
      </c>
      <c r="I1815" s="43"/>
      <c r="J1815" s="53" t="str" cm="1">
        <f t="array" ref="J1815">IFERROR(INDEX(DB!Q$2:Q$2576,T1815),"")</f>
        <v/>
      </c>
      <c r="K1815" s="43"/>
      <c r="L1815" s="41" t="str" cm="1">
        <f t="array" ref="L1815">IFERROR(INDEX(DB!R$2:R$2576,T1815),"")</f>
        <v/>
      </c>
      <c r="M1815" s="43"/>
      <c r="P1815" t="str" cm="1">
        <f t="array" ref="P1815">IFERROR(_xlfn.AGGREGATE(15,6,ROW(DB!A$2:A$2576)/((($D$3&lt;&gt;"YES")+($D$3="YES")*(DB!E$2:E$2576="YES"))*(($D$4="")+($D$4&lt;&gt;"")*( DB!B$2:B$2576=$D$4))*(($D$5="")+($D$5&lt;&gt;"")*( DB!C$2:C$2576=$D$5))*(($D$6="")+($D$6&lt;&gt;"")*( DB!D$2:D$2576=$D$6))*(($D$7="")+($D$7&lt;&gt;"")*(ISNUMBER(SEARCH($D$7,DB!G$2:G$2576))))*(($F$7="전체")+($F$7&lt;&gt;"전체")*(DB!H$2:H$2576=$F$7))),ROW()-13)-1,"")</f>
        <v/>
      </c>
      <c r="Q1815" t="str" cm="1">
        <f t="array" ref="Q1815">IFERROR(INDEX(DB!G$2:G$2576,P1815),"")</f>
        <v/>
      </c>
      <c r="R1815" t="str" cm="1">
        <f t="array" ref="R1815">IFERROR(INDEX(DB!O$2:O$2576,P1815),"")</f>
        <v/>
      </c>
      <c r="S1815" t="str">
        <f t="shared" si="87"/>
        <v/>
      </c>
      <c r="T1815" t="str">
        <f t="shared" si="88"/>
        <v/>
      </c>
    </row>
    <row r="1816" spans="1:20" ht="100" customHeight="1">
      <c r="A1816" s="26"/>
      <c r="B1816" s="39" t="str">
        <f t="shared" si="86"/>
        <v/>
      </c>
      <c r="C1816" s="43"/>
      <c r="D1816" s="51" t="str" cm="1">
        <f t="array" ref="D1816">IFERROR(INDEX(DB!G$2:G$2576,T1816),"")</f>
        <v/>
      </c>
      <c r="E1816" s="43"/>
      <c r="F1816" s="52" t="str" cm="1">
        <f t="array" ref="F1816">IFERROR(INDEX(DB!O$2:O$2576,T1816),"")</f>
        <v/>
      </c>
      <c r="G1816" s="43"/>
      <c r="H1816" s="40" t="str" cm="1">
        <f t="array" ref="H1816">IFERROR(INDEX(DB!P$2:P$2576,T1816),"")</f>
        <v/>
      </c>
      <c r="I1816" s="43"/>
      <c r="J1816" s="53" t="str" cm="1">
        <f t="array" ref="J1816">IFERROR(INDEX(DB!Q$2:Q$2576,T1816),"")</f>
        <v/>
      </c>
      <c r="K1816" s="43"/>
      <c r="L1816" s="41" t="str" cm="1">
        <f t="array" ref="L1816">IFERROR(INDEX(DB!R$2:R$2576,T1816),"")</f>
        <v/>
      </c>
      <c r="M1816" s="43"/>
      <c r="P1816" t="str" cm="1">
        <f t="array" ref="P1816">IFERROR(_xlfn.AGGREGATE(15,6,ROW(DB!A$2:A$2576)/((($D$3&lt;&gt;"YES")+($D$3="YES")*(DB!E$2:E$2576="YES"))*(($D$4="")+($D$4&lt;&gt;"")*( DB!B$2:B$2576=$D$4))*(($D$5="")+($D$5&lt;&gt;"")*( DB!C$2:C$2576=$D$5))*(($D$6="")+($D$6&lt;&gt;"")*( DB!D$2:D$2576=$D$6))*(($D$7="")+($D$7&lt;&gt;"")*(ISNUMBER(SEARCH($D$7,DB!G$2:G$2576))))*(($F$7="전체")+($F$7&lt;&gt;"전체")*(DB!H$2:H$2576=$F$7))),ROW()-13)-1,"")</f>
        <v/>
      </c>
      <c r="Q1816" t="str" cm="1">
        <f t="array" ref="Q1816">IFERROR(INDEX(DB!G$2:G$2576,P1816),"")</f>
        <v/>
      </c>
      <c r="R1816" t="str" cm="1">
        <f t="array" ref="R1816">IFERROR(INDEX(DB!O$2:O$2576,P1816),"")</f>
        <v/>
      </c>
      <c r="S1816" t="str">
        <f t="shared" si="87"/>
        <v/>
      </c>
      <c r="T1816" t="str">
        <f t="shared" si="88"/>
        <v/>
      </c>
    </row>
    <row r="1817" spans="1:20" ht="100" customHeight="1">
      <c r="A1817" s="26"/>
      <c r="B1817" s="42" t="str">
        <f t="shared" si="86"/>
        <v/>
      </c>
      <c r="C1817" s="43"/>
      <c r="D1817" s="51" t="str" cm="1">
        <f t="array" ref="D1817">IFERROR(INDEX(DB!G$2:G$2576,T1817),"")</f>
        <v/>
      </c>
      <c r="E1817" s="43"/>
      <c r="F1817" s="52" t="str" cm="1">
        <f t="array" ref="F1817">IFERROR(INDEX(DB!O$2:O$2576,T1817),"")</f>
        <v/>
      </c>
      <c r="G1817" s="43"/>
      <c r="H1817" s="40" t="str" cm="1">
        <f t="array" ref="H1817">IFERROR(INDEX(DB!P$2:P$2576,T1817),"")</f>
        <v/>
      </c>
      <c r="I1817" s="43"/>
      <c r="J1817" s="53" t="str" cm="1">
        <f t="array" ref="J1817">IFERROR(INDEX(DB!Q$2:Q$2576,T1817),"")</f>
        <v/>
      </c>
      <c r="K1817" s="43"/>
      <c r="L1817" s="41" t="str" cm="1">
        <f t="array" ref="L1817">IFERROR(INDEX(DB!R$2:R$2576,T1817),"")</f>
        <v/>
      </c>
      <c r="M1817" s="43"/>
      <c r="P1817" t="str" cm="1">
        <f t="array" ref="P1817">IFERROR(_xlfn.AGGREGATE(15,6,ROW(DB!A$2:A$2576)/((($D$3&lt;&gt;"YES")+($D$3="YES")*(DB!E$2:E$2576="YES"))*(($D$4="")+($D$4&lt;&gt;"")*( DB!B$2:B$2576=$D$4))*(($D$5="")+($D$5&lt;&gt;"")*( DB!C$2:C$2576=$D$5))*(($D$6="")+($D$6&lt;&gt;"")*( DB!D$2:D$2576=$D$6))*(($D$7="")+($D$7&lt;&gt;"")*(ISNUMBER(SEARCH($D$7,DB!G$2:G$2576))))*(($F$7="전체")+($F$7&lt;&gt;"전체")*(DB!H$2:H$2576=$F$7))),ROW()-13)-1,"")</f>
        <v/>
      </c>
      <c r="Q1817" t="str" cm="1">
        <f t="array" ref="Q1817">IFERROR(INDEX(DB!G$2:G$2576,P1817),"")</f>
        <v/>
      </c>
      <c r="R1817" t="str" cm="1">
        <f t="array" ref="R1817">IFERROR(INDEX(DB!O$2:O$2576,P1817),"")</f>
        <v/>
      </c>
      <c r="S1817" t="str">
        <f t="shared" si="87"/>
        <v/>
      </c>
      <c r="T1817" t="str">
        <f t="shared" si="88"/>
        <v/>
      </c>
    </row>
    <row r="1818" spans="1:20" ht="100" customHeight="1">
      <c r="A1818" s="26"/>
      <c r="B1818" s="39" t="str">
        <f t="shared" si="86"/>
        <v/>
      </c>
      <c r="C1818" s="43"/>
      <c r="D1818" s="51" t="str" cm="1">
        <f t="array" ref="D1818">IFERROR(INDEX(DB!G$2:G$2576,T1818),"")</f>
        <v/>
      </c>
      <c r="E1818" s="43"/>
      <c r="F1818" s="52" t="str" cm="1">
        <f t="array" ref="F1818">IFERROR(INDEX(DB!O$2:O$2576,T1818),"")</f>
        <v/>
      </c>
      <c r="G1818" s="43"/>
      <c r="H1818" s="40" t="str" cm="1">
        <f t="array" ref="H1818">IFERROR(INDEX(DB!P$2:P$2576,T1818),"")</f>
        <v/>
      </c>
      <c r="I1818" s="43"/>
      <c r="J1818" s="53" t="str" cm="1">
        <f t="array" ref="J1818">IFERROR(INDEX(DB!Q$2:Q$2576,T1818),"")</f>
        <v/>
      </c>
      <c r="K1818" s="43"/>
      <c r="L1818" s="41" t="str" cm="1">
        <f t="array" ref="L1818">IFERROR(INDEX(DB!R$2:R$2576,T1818),"")</f>
        <v/>
      </c>
      <c r="M1818" s="43"/>
      <c r="P1818" t="str" cm="1">
        <f t="array" ref="P1818">IFERROR(_xlfn.AGGREGATE(15,6,ROW(DB!A$2:A$2576)/((($D$3&lt;&gt;"YES")+($D$3="YES")*(DB!E$2:E$2576="YES"))*(($D$4="")+($D$4&lt;&gt;"")*( DB!B$2:B$2576=$D$4))*(($D$5="")+($D$5&lt;&gt;"")*( DB!C$2:C$2576=$D$5))*(($D$6="")+($D$6&lt;&gt;"")*( DB!D$2:D$2576=$D$6))*(($D$7="")+($D$7&lt;&gt;"")*(ISNUMBER(SEARCH($D$7,DB!G$2:G$2576))))*(($F$7="전체")+($F$7&lt;&gt;"전체")*(DB!H$2:H$2576=$F$7))),ROW()-13)-1,"")</f>
        <v/>
      </c>
      <c r="Q1818" t="str" cm="1">
        <f t="array" ref="Q1818">IFERROR(INDEX(DB!G$2:G$2576,P1818),"")</f>
        <v/>
      </c>
      <c r="R1818" t="str" cm="1">
        <f t="array" ref="R1818">IFERROR(INDEX(DB!O$2:O$2576,P1818),"")</f>
        <v/>
      </c>
      <c r="S1818" t="str">
        <f t="shared" si="87"/>
        <v/>
      </c>
      <c r="T1818" t="str">
        <f t="shared" si="88"/>
        <v/>
      </c>
    </row>
    <row r="1819" spans="1:20" ht="100" customHeight="1">
      <c r="A1819" s="26"/>
      <c r="B1819" s="42" t="str">
        <f t="shared" si="86"/>
        <v/>
      </c>
      <c r="C1819" s="43"/>
      <c r="D1819" s="51" t="str" cm="1">
        <f t="array" ref="D1819">IFERROR(INDEX(DB!G$2:G$2576,T1819),"")</f>
        <v/>
      </c>
      <c r="E1819" s="43"/>
      <c r="F1819" s="52" t="str" cm="1">
        <f t="array" ref="F1819">IFERROR(INDEX(DB!O$2:O$2576,T1819),"")</f>
        <v/>
      </c>
      <c r="G1819" s="43"/>
      <c r="H1819" s="40" t="str" cm="1">
        <f t="array" ref="H1819">IFERROR(INDEX(DB!P$2:P$2576,T1819),"")</f>
        <v/>
      </c>
      <c r="I1819" s="43"/>
      <c r="J1819" s="53" t="str" cm="1">
        <f t="array" ref="J1819">IFERROR(INDEX(DB!Q$2:Q$2576,T1819),"")</f>
        <v/>
      </c>
      <c r="K1819" s="43"/>
      <c r="L1819" s="41" t="str" cm="1">
        <f t="array" ref="L1819">IFERROR(INDEX(DB!R$2:R$2576,T1819),"")</f>
        <v/>
      </c>
      <c r="M1819" s="43"/>
      <c r="P1819" t="str" cm="1">
        <f t="array" ref="P1819">IFERROR(_xlfn.AGGREGATE(15,6,ROW(DB!A$2:A$2576)/((($D$3&lt;&gt;"YES")+($D$3="YES")*(DB!E$2:E$2576="YES"))*(($D$4="")+($D$4&lt;&gt;"")*( DB!B$2:B$2576=$D$4))*(($D$5="")+($D$5&lt;&gt;"")*( DB!C$2:C$2576=$D$5))*(($D$6="")+($D$6&lt;&gt;"")*( DB!D$2:D$2576=$D$6))*(($D$7="")+($D$7&lt;&gt;"")*(ISNUMBER(SEARCH($D$7,DB!G$2:G$2576))))*(($F$7="전체")+($F$7&lt;&gt;"전체")*(DB!H$2:H$2576=$F$7))),ROW()-13)-1,"")</f>
        <v/>
      </c>
      <c r="Q1819" t="str" cm="1">
        <f t="array" ref="Q1819">IFERROR(INDEX(DB!G$2:G$2576,P1819),"")</f>
        <v/>
      </c>
      <c r="R1819" t="str" cm="1">
        <f t="array" ref="R1819">IFERROR(INDEX(DB!O$2:O$2576,P1819),"")</f>
        <v/>
      </c>
      <c r="S1819" t="str">
        <f t="shared" si="87"/>
        <v/>
      </c>
      <c r="T1819" t="str">
        <f t="shared" si="88"/>
        <v/>
      </c>
    </row>
    <row r="1820" spans="1:20" ht="100" customHeight="1">
      <c r="A1820" s="26"/>
      <c r="B1820" s="39" t="str">
        <f t="shared" si="86"/>
        <v/>
      </c>
      <c r="C1820" s="43"/>
      <c r="D1820" s="51" t="str" cm="1">
        <f t="array" ref="D1820">IFERROR(INDEX(DB!G$2:G$2576,T1820),"")</f>
        <v/>
      </c>
      <c r="E1820" s="43"/>
      <c r="F1820" s="52" t="str" cm="1">
        <f t="array" ref="F1820">IFERROR(INDEX(DB!O$2:O$2576,T1820),"")</f>
        <v/>
      </c>
      <c r="G1820" s="43"/>
      <c r="H1820" s="40" t="str" cm="1">
        <f t="array" ref="H1820">IFERROR(INDEX(DB!P$2:P$2576,T1820),"")</f>
        <v/>
      </c>
      <c r="I1820" s="43"/>
      <c r="J1820" s="53" t="str" cm="1">
        <f t="array" ref="J1820">IFERROR(INDEX(DB!Q$2:Q$2576,T1820),"")</f>
        <v/>
      </c>
      <c r="K1820" s="43"/>
      <c r="L1820" s="41" t="str" cm="1">
        <f t="array" ref="L1820">IFERROR(INDEX(DB!R$2:R$2576,T1820),"")</f>
        <v/>
      </c>
      <c r="M1820" s="43"/>
      <c r="P1820" t="str" cm="1">
        <f t="array" ref="P1820">IFERROR(_xlfn.AGGREGATE(15,6,ROW(DB!A$2:A$2576)/((($D$3&lt;&gt;"YES")+($D$3="YES")*(DB!E$2:E$2576="YES"))*(($D$4="")+($D$4&lt;&gt;"")*( DB!B$2:B$2576=$D$4))*(($D$5="")+($D$5&lt;&gt;"")*( DB!C$2:C$2576=$D$5))*(($D$6="")+($D$6&lt;&gt;"")*( DB!D$2:D$2576=$D$6))*(($D$7="")+($D$7&lt;&gt;"")*(ISNUMBER(SEARCH($D$7,DB!G$2:G$2576))))*(($F$7="전체")+($F$7&lt;&gt;"전체")*(DB!H$2:H$2576=$F$7))),ROW()-13)-1,"")</f>
        <v/>
      </c>
      <c r="Q1820" t="str" cm="1">
        <f t="array" ref="Q1820">IFERROR(INDEX(DB!G$2:G$2576,P1820),"")</f>
        <v/>
      </c>
      <c r="R1820" t="str" cm="1">
        <f t="array" ref="R1820">IFERROR(INDEX(DB!O$2:O$2576,P1820),"")</f>
        <v/>
      </c>
      <c r="S1820" t="str">
        <f t="shared" si="87"/>
        <v/>
      </c>
      <c r="T1820" t="str">
        <f t="shared" si="88"/>
        <v/>
      </c>
    </row>
    <row r="1821" spans="1:20" ht="100" customHeight="1">
      <c r="A1821" s="26"/>
      <c r="B1821" s="42" t="str">
        <f t="shared" si="86"/>
        <v/>
      </c>
      <c r="C1821" s="43"/>
      <c r="D1821" s="51" t="str" cm="1">
        <f t="array" ref="D1821">IFERROR(INDEX(DB!G$2:G$2576,T1821),"")</f>
        <v/>
      </c>
      <c r="E1821" s="43"/>
      <c r="F1821" s="52" t="str" cm="1">
        <f t="array" ref="F1821">IFERROR(INDEX(DB!O$2:O$2576,T1821),"")</f>
        <v/>
      </c>
      <c r="G1821" s="43"/>
      <c r="H1821" s="40" t="str" cm="1">
        <f t="array" ref="H1821">IFERROR(INDEX(DB!P$2:P$2576,T1821),"")</f>
        <v/>
      </c>
      <c r="I1821" s="43"/>
      <c r="J1821" s="53" t="str" cm="1">
        <f t="array" ref="J1821">IFERROR(INDEX(DB!Q$2:Q$2576,T1821),"")</f>
        <v/>
      </c>
      <c r="K1821" s="43"/>
      <c r="L1821" s="41" t="str" cm="1">
        <f t="array" ref="L1821">IFERROR(INDEX(DB!R$2:R$2576,T1821),"")</f>
        <v/>
      </c>
      <c r="M1821" s="43"/>
      <c r="P1821" t="str" cm="1">
        <f t="array" ref="P1821">IFERROR(_xlfn.AGGREGATE(15,6,ROW(DB!A$2:A$2576)/((($D$3&lt;&gt;"YES")+($D$3="YES")*(DB!E$2:E$2576="YES"))*(($D$4="")+($D$4&lt;&gt;"")*( DB!B$2:B$2576=$D$4))*(($D$5="")+($D$5&lt;&gt;"")*( DB!C$2:C$2576=$D$5))*(($D$6="")+($D$6&lt;&gt;"")*( DB!D$2:D$2576=$D$6))*(($D$7="")+($D$7&lt;&gt;"")*(ISNUMBER(SEARCH($D$7,DB!G$2:G$2576))))*(($F$7="전체")+($F$7&lt;&gt;"전체")*(DB!H$2:H$2576=$F$7))),ROW()-13)-1,"")</f>
        <v/>
      </c>
      <c r="Q1821" t="str" cm="1">
        <f t="array" ref="Q1821">IFERROR(INDEX(DB!G$2:G$2576,P1821),"")</f>
        <v/>
      </c>
      <c r="R1821" t="str" cm="1">
        <f t="array" ref="R1821">IFERROR(INDEX(DB!O$2:O$2576,P1821),"")</f>
        <v/>
      </c>
      <c r="S1821" t="str">
        <f t="shared" si="87"/>
        <v/>
      </c>
      <c r="T1821" t="str">
        <f t="shared" si="88"/>
        <v/>
      </c>
    </row>
    <row r="1822" spans="1:20" ht="100" customHeight="1">
      <c r="A1822" s="26"/>
      <c r="B1822" s="39" t="str">
        <f t="shared" si="86"/>
        <v/>
      </c>
      <c r="C1822" s="43"/>
      <c r="D1822" s="51" t="str" cm="1">
        <f t="array" ref="D1822">IFERROR(INDEX(DB!G$2:G$2576,T1822),"")</f>
        <v/>
      </c>
      <c r="E1822" s="43"/>
      <c r="F1822" s="52" t="str" cm="1">
        <f t="array" ref="F1822">IFERROR(INDEX(DB!O$2:O$2576,T1822),"")</f>
        <v/>
      </c>
      <c r="G1822" s="43"/>
      <c r="H1822" s="40" t="str" cm="1">
        <f t="array" ref="H1822">IFERROR(INDEX(DB!P$2:P$2576,T1822),"")</f>
        <v/>
      </c>
      <c r="I1822" s="43"/>
      <c r="J1822" s="53" t="str" cm="1">
        <f t="array" ref="J1822">IFERROR(INDEX(DB!Q$2:Q$2576,T1822),"")</f>
        <v/>
      </c>
      <c r="K1822" s="43"/>
      <c r="L1822" s="41" t="str" cm="1">
        <f t="array" ref="L1822">IFERROR(INDEX(DB!R$2:R$2576,T1822),"")</f>
        <v/>
      </c>
      <c r="M1822" s="43"/>
      <c r="P1822" t="str" cm="1">
        <f t="array" ref="P1822">IFERROR(_xlfn.AGGREGATE(15,6,ROW(DB!A$2:A$2576)/((($D$3&lt;&gt;"YES")+($D$3="YES")*(DB!E$2:E$2576="YES"))*(($D$4="")+($D$4&lt;&gt;"")*( DB!B$2:B$2576=$D$4))*(($D$5="")+($D$5&lt;&gt;"")*( DB!C$2:C$2576=$D$5))*(($D$6="")+($D$6&lt;&gt;"")*( DB!D$2:D$2576=$D$6))*(($D$7="")+($D$7&lt;&gt;"")*(ISNUMBER(SEARCH($D$7,DB!G$2:G$2576))))*(($F$7="전체")+($F$7&lt;&gt;"전체")*(DB!H$2:H$2576=$F$7))),ROW()-13)-1,"")</f>
        <v/>
      </c>
      <c r="Q1822" t="str" cm="1">
        <f t="array" ref="Q1822">IFERROR(INDEX(DB!G$2:G$2576,P1822),"")</f>
        <v/>
      </c>
      <c r="R1822" t="str" cm="1">
        <f t="array" ref="R1822">IFERROR(INDEX(DB!O$2:O$2576,P1822),"")</f>
        <v/>
      </c>
      <c r="S1822" t="str">
        <f t="shared" si="87"/>
        <v/>
      </c>
      <c r="T1822" t="str">
        <f t="shared" si="88"/>
        <v/>
      </c>
    </row>
    <row r="1823" spans="1:20" ht="100" customHeight="1">
      <c r="A1823" s="26"/>
      <c r="B1823" s="42" t="str">
        <f t="shared" si="86"/>
        <v/>
      </c>
      <c r="C1823" s="43"/>
      <c r="D1823" s="51" t="str" cm="1">
        <f t="array" ref="D1823">IFERROR(INDEX(DB!G$2:G$2576,T1823),"")</f>
        <v/>
      </c>
      <c r="E1823" s="43"/>
      <c r="F1823" s="52" t="str" cm="1">
        <f t="array" ref="F1823">IFERROR(INDEX(DB!O$2:O$2576,T1823),"")</f>
        <v/>
      </c>
      <c r="G1823" s="43"/>
      <c r="H1823" s="40" t="str" cm="1">
        <f t="array" ref="H1823">IFERROR(INDEX(DB!P$2:P$2576,T1823),"")</f>
        <v/>
      </c>
      <c r="I1823" s="43"/>
      <c r="J1823" s="53" t="str" cm="1">
        <f t="array" ref="J1823">IFERROR(INDEX(DB!Q$2:Q$2576,T1823),"")</f>
        <v/>
      </c>
      <c r="K1823" s="43"/>
      <c r="L1823" s="41" t="str" cm="1">
        <f t="array" ref="L1823">IFERROR(INDEX(DB!R$2:R$2576,T1823),"")</f>
        <v/>
      </c>
      <c r="M1823" s="43"/>
      <c r="P1823" t="str" cm="1">
        <f t="array" ref="P1823">IFERROR(_xlfn.AGGREGATE(15,6,ROW(DB!A$2:A$2576)/((($D$3&lt;&gt;"YES")+($D$3="YES")*(DB!E$2:E$2576="YES"))*(($D$4="")+($D$4&lt;&gt;"")*( DB!B$2:B$2576=$D$4))*(($D$5="")+($D$5&lt;&gt;"")*( DB!C$2:C$2576=$D$5))*(($D$6="")+($D$6&lt;&gt;"")*( DB!D$2:D$2576=$D$6))*(($D$7="")+($D$7&lt;&gt;"")*(ISNUMBER(SEARCH($D$7,DB!G$2:G$2576))))*(($F$7="전체")+($F$7&lt;&gt;"전체")*(DB!H$2:H$2576=$F$7))),ROW()-13)-1,"")</f>
        <v/>
      </c>
      <c r="Q1823" t="str" cm="1">
        <f t="array" ref="Q1823">IFERROR(INDEX(DB!G$2:G$2576,P1823),"")</f>
        <v/>
      </c>
      <c r="R1823" t="str" cm="1">
        <f t="array" ref="R1823">IFERROR(INDEX(DB!O$2:O$2576,P1823),"")</f>
        <v/>
      </c>
      <c r="S1823" t="str">
        <f t="shared" si="87"/>
        <v/>
      </c>
      <c r="T1823" t="str">
        <f t="shared" si="88"/>
        <v/>
      </c>
    </row>
    <row r="1824" spans="1:20" ht="100" customHeight="1">
      <c r="A1824" s="26"/>
      <c r="B1824" s="39" t="str">
        <f t="shared" si="86"/>
        <v/>
      </c>
      <c r="C1824" s="43"/>
      <c r="D1824" s="51" t="str" cm="1">
        <f t="array" ref="D1824">IFERROR(INDEX(DB!G$2:G$2576,T1824),"")</f>
        <v/>
      </c>
      <c r="E1824" s="43"/>
      <c r="F1824" s="52" t="str" cm="1">
        <f t="array" ref="F1824">IFERROR(INDEX(DB!O$2:O$2576,T1824),"")</f>
        <v/>
      </c>
      <c r="G1824" s="43"/>
      <c r="H1824" s="40" t="str" cm="1">
        <f t="array" ref="H1824">IFERROR(INDEX(DB!P$2:P$2576,T1824),"")</f>
        <v/>
      </c>
      <c r="I1824" s="43"/>
      <c r="J1824" s="53" t="str" cm="1">
        <f t="array" ref="J1824">IFERROR(INDEX(DB!Q$2:Q$2576,T1824),"")</f>
        <v/>
      </c>
      <c r="K1824" s="43"/>
      <c r="L1824" s="41" t="str" cm="1">
        <f t="array" ref="L1824">IFERROR(INDEX(DB!R$2:R$2576,T1824),"")</f>
        <v/>
      </c>
      <c r="M1824" s="43"/>
      <c r="P1824" t="str" cm="1">
        <f t="array" ref="P1824">IFERROR(_xlfn.AGGREGATE(15,6,ROW(DB!A$2:A$2576)/((($D$3&lt;&gt;"YES")+($D$3="YES")*(DB!E$2:E$2576="YES"))*(($D$4="")+($D$4&lt;&gt;"")*( DB!B$2:B$2576=$D$4))*(($D$5="")+($D$5&lt;&gt;"")*( DB!C$2:C$2576=$D$5))*(($D$6="")+($D$6&lt;&gt;"")*( DB!D$2:D$2576=$D$6))*(($D$7="")+($D$7&lt;&gt;"")*(ISNUMBER(SEARCH($D$7,DB!G$2:G$2576))))*(($F$7="전체")+($F$7&lt;&gt;"전체")*(DB!H$2:H$2576=$F$7))),ROW()-13)-1,"")</f>
        <v/>
      </c>
      <c r="Q1824" t="str" cm="1">
        <f t="array" ref="Q1824">IFERROR(INDEX(DB!G$2:G$2576,P1824),"")</f>
        <v/>
      </c>
      <c r="R1824" t="str" cm="1">
        <f t="array" ref="R1824">IFERROR(INDEX(DB!O$2:O$2576,P1824),"")</f>
        <v/>
      </c>
      <c r="S1824" t="str">
        <f t="shared" si="87"/>
        <v/>
      </c>
      <c r="T1824" t="str">
        <f t="shared" si="88"/>
        <v/>
      </c>
    </row>
    <row r="1825" spans="1:20" ht="100" customHeight="1">
      <c r="A1825" s="26"/>
      <c r="B1825" s="42" t="str">
        <f t="shared" si="86"/>
        <v/>
      </c>
      <c r="C1825" s="43"/>
      <c r="D1825" s="51" t="str" cm="1">
        <f t="array" ref="D1825">IFERROR(INDEX(DB!G$2:G$2576,T1825),"")</f>
        <v/>
      </c>
      <c r="E1825" s="43"/>
      <c r="F1825" s="52" t="str" cm="1">
        <f t="array" ref="F1825">IFERROR(INDEX(DB!O$2:O$2576,T1825),"")</f>
        <v/>
      </c>
      <c r="G1825" s="43"/>
      <c r="H1825" s="40" t="str" cm="1">
        <f t="array" ref="H1825">IFERROR(INDEX(DB!P$2:P$2576,T1825),"")</f>
        <v/>
      </c>
      <c r="I1825" s="43"/>
      <c r="J1825" s="53" t="str" cm="1">
        <f t="array" ref="J1825">IFERROR(INDEX(DB!Q$2:Q$2576,T1825),"")</f>
        <v/>
      </c>
      <c r="K1825" s="43"/>
      <c r="L1825" s="41" t="str" cm="1">
        <f t="array" ref="L1825">IFERROR(INDEX(DB!R$2:R$2576,T1825),"")</f>
        <v/>
      </c>
      <c r="M1825" s="43"/>
      <c r="P1825" t="str" cm="1">
        <f t="array" ref="P1825">IFERROR(_xlfn.AGGREGATE(15,6,ROW(DB!A$2:A$2576)/((($D$3&lt;&gt;"YES")+($D$3="YES")*(DB!E$2:E$2576="YES"))*(($D$4="")+($D$4&lt;&gt;"")*( DB!B$2:B$2576=$D$4))*(($D$5="")+($D$5&lt;&gt;"")*( DB!C$2:C$2576=$D$5))*(($D$6="")+($D$6&lt;&gt;"")*( DB!D$2:D$2576=$D$6))*(($D$7="")+($D$7&lt;&gt;"")*(ISNUMBER(SEARCH($D$7,DB!G$2:G$2576))))*(($F$7="전체")+($F$7&lt;&gt;"전체")*(DB!H$2:H$2576=$F$7))),ROW()-13)-1,"")</f>
        <v/>
      </c>
      <c r="Q1825" t="str" cm="1">
        <f t="array" ref="Q1825">IFERROR(INDEX(DB!G$2:G$2576,P1825),"")</f>
        <v/>
      </c>
      <c r="R1825" t="str" cm="1">
        <f t="array" ref="R1825">IFERROR(INDEX(DB!O$2:O$2576,P1825),"")</f>
        <v/>
      </c>
      <c r="S1825" t="str">
        <f t="shared" si="87"/>
        <v/>
      </c>
      <c r="T1825" t="str">
        <f t="shared" si="88"/>
        <v/>
      </c>
    </row>
    <row r="1826" spans="1:20" ht="100" customHeight="1">
      <c r="A1826" s="26"/>
      <c r="B1826" s="39" t="str">
        <f t="shared" si="86"/>
        <v/>
      </c>
      <c r="C1826" s="43"/>
      <c r="D1826" s="51" t="str" cm="1">
        <f t="array" ref="D1826">IFERROR(INDEX(DB!G$2:G$2576,T1826),"")</f>
        <v/>
      </c>
      <c r="E1826" s="43"/>
      <c r="F1826" s="52" t="str" cm="1">
        <f t="array" ref="F1826">IFERROR(INDEX(DB!O$2:O$2576,T1826),"")</f>
        <v/>
      </c>
      <c r="G1826" s="43"/>
      <c r="H1826" s="40" t="str" cm="1">
        <f t="array" ref="H1826">IFERROR(INDEX(DB!P$2:P$2576,T1826),"")</f>
        <v/>
      </c>
      <c r="I1826" s="43"/>
      <c r="J1826" s="53" t="str" cm="1">
        <f t="array" ref="J1826">IFERROR(INDEX(DB!Q$2:Q$2576,T1826),"")</f>
        <v/>
      </c>
      <c r="K1826" s="43"/>
      <c r="L1826" s="41" t="str" cm="1">
        <f t="array" ref="L1826">IFERROR(INDEX(DB!R$2:R$2576,T1826),"")</f>
        <v/>
      </c>
      <c r="M1826" s="43"/>
      <c r="P1826" t="str" cm="1">
        <f t="array" ref="P1826">IFERROR(_xlfn.AGGREGATE(15,6,ROW(DB!A$2:A$2576)/((($D$3&lt;&gt;"YES")+($D$3="YES")*(DB!E$2:E$2576="YES"))*(($D$4="")+($D$4&lt;&gt;"")*( DB!B$2:B$2576=$D$4))*(($D$5="")+($D$5&lt;&gt;"")*( DB!C$2:C$2576=$D$5))*(($D$6="")+($D$6&lt;&gt;"")*( DB!D$2:D$2576=$D$6))*(($D$7="")+($D$7&lt;&gt;"")*(ISNUMBER(SEARCH($D$7,DB!G$2:G$2576))))*(($F$7="전체")+($F$7&lt;&gt;"전체")*(DB!H$2:H$2576=$F$7))),ROW()-13)-1,"")</f>
        <v/>
      </c>
      <c r="Q1826" t="str" cm="1">
        <f t="array" ref="Q1826">IFERROR(INDEX(DB!G$2:G$2576,P1826),"")</f>
        <v/>
      </c>
      <c r="R1826" t="str" cm="1">
        <f t="array" ref="R1826">IFERROR(INDEX(DB!O$2:O$2576,P1826),"")</f>
        <v/>
      </c>
      <c r="S1826" t="str">
        <f t="shared" si="87"/>
        <v/>
      </c>
      <c r="T1826" t="str">
        <f t="shared" si="88"/>
        <v/>
      </c>
    </row>
    <row r="1827" spans="1:20" ht="100" customHeight="1">
      <c r="A1827" s="26"/>
      <c r="B1827" s="42" t="str">
        <f t="shared" si="86"/>
        <v/>
      </c>
      <c r="C1827" s="43"/>
      <c r="D1827" s="51" t="str" cm="1">
        <f t="array" ref="D1827">IFERROR(INDEX(DB!G$2:G$2576,T1827),"")</f>
        <v/>
      </c>
      <c r="E1827" s="43"/>
      <c r="F1827" s="52" t="str" cm="1">
        <f t="array" ref="F1827">IFERROR(INDEX(DB!O$2:O$2576,T1827),"")</f>
        <v/>
      </c>
      <c r="G1827" s="43"/>
      <c r="H1827" s="40" t="str" cm="1">
        <f t="array" ref="H1827">IFERROR(INDEX(DB!P$2:P$2576,T1827),"")</f>
        <v/>
      </c>
      <c r="I1827" s="43"/>
      <c r="J1827" s="53" t="str" cm="1">
        <f t="array" ref="J1827">IFERROR(INDEX(DB!Q$2:Q$2576,T1827),"")</f>
        <v/>
      </c>
      <c r="K1827" s="43"/>
      <c r="L1827" s="41" t="str" cm="1">
        <f t="array" ref="L1827">IFERROR(INDEX(DB!R$2:R$2576,T1827),"")</f>
        <v/>
      </c>
      <c r="M1827" s="43"/>
      <c r="P1827" t="str" cm="1">
        <f t="array" ref="P1827">IFERROR(_xlfn.AGGREGATE(15,6,ROW(DB!A$2:A$2576)/((($D$3&lt;&gt;"YES")+($D$3="YES")*(DB!E$2:E$2576="YES"))*(($D$4="")+($D$4&lt;&gt;"")*( DB!B$2:B$2576=$D$4))*(($D$5="")+($D$5&lt;&gt;"")*( DB!C$2:C$2576=$D$5))*(($D$6="")+($D$6&lt;&gt;"")*( DB!D$2:D$2576=$D$6))*(($D$7="")+($D$7&lt;&gt;"")*(ISNUMBER(SEARCH($D$7,DB!G$2:G$2576))))*(($F$7="전체")+($F$7&lt;&gt;"전체")*(DB!H$2:H$2576=$F$7))),ROW()-13)-1,"")</f>
        <v/>
      </c>
      <c r="Q1827" t="str" cm="1">
        <f t="array" ref="Q1827">IFERROR(INDEX(DB!G$2:G$2576,P1827),"")</f>
        <v/>
      </c>
      <c r="R1827" t="str" cm="1">
        <f t="array" ref="R1827">IFERROR(INDEX(DB!O$2:O$2576,P1827),"")</f>
        <v/>
      </c>
      <c r="S1827" t="str">
        <f t="shared" si="87"/>
        <v/>
      </c>
      <c r="T1827" t="str">
        <f t="shared" si="88"/>
        <v/>
      </c>
    </row>
    <row r="1828" spans="1:20" ht="100" customHeight="1">
      <c r="A1828" s="26"/>
      <c r="B1828" s="39" t="str">
        <f t="shared" si="86"/>
        <v/>
      </c>
      <c r="C1828" s="43"/>
      <c r="D1828" s="51" t="str" cm="1">
        <f t="array" ref="D1828">IFERROR(INDEX(DB!G$2:G$2576,T1828),"")</f>
        <v/>
      </c>
      <c r="E1828" s="43"/>
      <c r="F1828" s="52" t="str" cm="1">
        <f t="array" ref="F1828">IFERROR(INDEX(DB!O$2:O$2576,T1828),"")</f>
        <v/>
      </c>
      <c r="G1828" s="43"/>
      <c r="H1828" s="40" t="str" cm="1">
        <f t="array" ref="H1828">IFERROR(INDEX(DB!P$2:P$2576,T1828),"")</f>
        <v/>
      </c>
      <c r="I1828" s="43"/>
      <c r="J1828" s="53" t="str" cm="1">
        <f t="array" ref="J1828">IFERROR(INDEX(DB!Q$2:Q$2576,T1828),"")</f>
        <v/>
      </c>
      <c r="K1828" s="43"/>
      <c r="L1828" s="41" t="str" cm="1">
        <f t="array" ref="L1828">IFERROR(INDEX(DB!R$2:R$2576,T1828),"")</f>
        <v/>
      </c>
      <c r="M1828" s="43"/>
      <c r="P1828" t="str" cm="1">
        <f t="array" ref="P1828">IFERROR(_xlfn.AGGREGATE(15,6,ROW(DB!A$2:A$2576)/((($D$3&lt;&gt;"YES")+($D$3="YES")*(DB!E$2:E$2576="YES"))*(($D$4="")+($D$4&lt;&gt;"")*( DB!B$2:B$2576=$D$4))*(($D$5="")+($D$5&lt;&gt;"")*( DB!C$2:C$2576=$D$5))*(($D$6="")+($D$6&lt;&gt;"")*( DB!D$2:D$2576=$D$6))*(($D$7="")+($D$7&lt;&gt;"")*(ISNUMBER(SEARCH($D$7,DB!G$2:G$2576))))*(($F$7="전체")+($F$7&lt;&gt;"전체")*(DB!H$2:H$2576=$F$7))),ROW()-13)-1,"")</f>
        <v/>
      </c>
      <c r="Q1828" t="str" cm="1">
        <f t="array" ref="Q1828">IFERROR(INDEX(DB!G$2:G$2576,P1828),"")</f>
        <v/>
      </c>
      <c r="R1828" t="str" cm="1">
        <f t="array" ref="R1828">IFERROR(INDEX(DB!O$2:O$2576,P1828),"")</f>
        <v/>
      </c>
      <c r="S1828" t="str">
        <f t="shared" si="87"/>
        <v/>
      </c>
      <c r="T1828" t="str">
        <f t="shared" si="88"/>
        <v/>
      </c>
    </row>
    <row r="1829" spans="1:20" ht="100" customHeight="1">
      <c r="A1829" s="26"/>
      <c r="B1829" s="42" t="str">
        <f t="shared" si="86"/>
        <v/>
      </c>
      <c r="C1829" s="43"/>
      <c r="D1829" s="51" t="str" cm="1">
        <f t="array" ref="D1829">IFERROR(INDEX(DB!G$2:G$2576,T1829),"")</f>
        <v/>
      </c>
      <c r="E1829" s="43"/>
      <c r="F1829" s="52" t="str" cm="1">
        <f t="array" ref="F1829">IFERROR(INDEX(DB!O$2:O$2576,T1829),"")</f>
        <v/>
      </c>
      <c r="G1829" s="43"/>
      <c r="H1829" s="40" t="str" cm="1">
        <f t="array" ref="H1829">IFERROR(INDEX(DB!P$2:P$2576,T1829),"")</f>
        <v/>
      </c>
      <c r="I1829" s="43"/>
      <c r="J1829" s="53" t="str" cm="1">
        <f t="array" ref="J1829">IFERROR(INDEX(DB!Q$2:Q$2576,T1829),"")</f>
        <v/>
      </c>
      <c r="K1829" s="43"/>
      <c r="L1829" s="41" t="str" cm="1">
        <f t="array" ref="L1829">IFERROR(INDEX(DB!R$2:R$2576,T1829),"")</f>
        <v/>
      </c>
      <c r="M1829" s="43"/>
      <c r="P1829" t="str" cm="1">
        <f t="array" ref="P1829">IFERROR(_xlfn.AGGREGATE(15,6,ROW(DB!A$2:A$2576)/((($D$3&lt;&gt;"YES")+($D$3="YES")*(DB!E$2:E$2576="YES"))*(($D$4="")+($D$4&lt;&gt;"")*( DB!B$2:B$2576=$D$4))*(($D$5="")+($D$5&lt;&gt;"")*( DB!C$2:C$2576=$D$5))*(($D$6="")+($D$6&lt;&gt;"")*( DB!D$2:D$2576=$D$6))*(($D$7="")+($D$7&lt;&gt;"")*(ISNUMBER(SEARCH($D$7,DB!G$2:G$2576))))*(($F$7="전체")+($F$7&lt;&gt;"전체")*(DB!H$2:H$2576=$F$7))),ROW()-13)-1,"")</f>
        <v/>
      </c>
      <c r="Q1829" t="str" cm="1">
        <f t="array" ref="Q1829">IFERROR(INDEX(DB!G$2:G$2576,P1829),"")</f>
        <v/>
      </c>
      <c r="R1829" t="str" cm="1">
        <f t="array" ref="R1829">IFERROR(INDEX(DB!O$2:O$2576,P1829),"")</f>
        <v/>
      </c>
      <c r="S1829" t="str">
        <f t="shared" si="87"/>
        <v/>
      </c>
      <c r="T1829" t="str">
        <f t="shared" si="88"/>
        <v/>
      </c>
    </row>
    <row r="1830" spans="1:20" ht="100" customHeight="1">
      <c r="A1830" s="26"/>
      <c r="B1830" s="39" t="str">
        <f t="shared" si="86"/>
        <v/>
      </c>
      <c r="C1830" s="43"/>
      <c r="D1830" s="51" t="str" cm="1">
        <f t="array" ref="D1830">IFERROR(INDEX(DB!G$2:G$2576,T1830),"")</f>
        <v/>
      </c>
      <c r="E1830" s="43"/>
      <c r="F1830" s="52" t="str" cm="1">
        <f t="array" ref="F1830">IFERROR(INDEX(DB!O$2:O$2576,T1830),"")</f>
        <v/>
      </c>
      <c r="G1830" s="43"/>
      <c r="H1830" s="40" t="str" cm="1">
        <f t="array" ref="H1830">IFERROR(INDEX(DB!P$2:P$2576,T1830),"")</f>
        <v/>
      </c>
      <c r="I1830" s="43"/>
      <c r="J1830" s="53" t="str" cm="1">
        <f t="array" ref="J1830">IFERROR(INDEX(DB!Q$2:Q$2576,T1830),"")</f>
        <v/>
      </c>
      <c r="K1830" s="43"/>
      <c r="L1830" s="41" t="str" cm="1">
        <f t="array" ref="L1830">IFERROR(INDEX(DB!R$2:R$2576,T1830),"")</f>
        <v/>
      </c>
      <c r="M1830" s="43"/>
      <c r="P1830" t="str" cm="1">
        <f t="array" ref="P1830">IFERROR(_xlfn.AGGREGATE(15,6,ROW(DB!A$2:A$2576)/((($D$3&lt;&gt;"YES")+($D$3="YES")*(DB!E$2:E$2576="YES"))*(($D$4="")+($D$4&lt;&gt;"")*( DB!B$2:B$2576=$D$4))*(($D$5="")+($D$5&lt;&gt;"")*( DB!C$2:C$2576=$D$5))*(($D$6="")+($D$6&lt;&gt;"")*( DB!D$2:D$2576=$D$6))*(($D$7="")+($D$7&lt;&gt;"")*(ISNUMBER(SEARCH($D$7,DB!G$2:G$2576))))*(($F$7="전체")+($F$7&lt;&gt;"전체")*(DB!H$2:H$2576=$F$7))),ROW()-13)-1,"")</f>
        <v/>
      </c>
      <c r="Q1830" t="str" cm="1">
        <f t="array" ref="Q1830">IFERROR(INDEX(DB!G$2:G$2576,P1830),"")</f>
        <v/>
      </c>
      <c r="R1830" t="str" cm="1">
        <f t="array" ref="R1830">IFERROR(INDEX(DB!O$2:O$2576,P1830),"")</f>
        <v/>
      </c>
      <c r="S1830" t="str">
        <f t="shared" si="87"/>
        <v/>
      </c>
      <c r="T1830" t="str">
        <f t="shared" si="88"/>
        <v/>
      </c>
    </row>
    <row r="1831" spans="1:20" ht="100" customHeight="1">
      <c r="A1831" s="26"/>
      <c r="B1831" s="42" t="str">
        <f t="shared" si="86"/>
        <v/>
      </c>
      <c r="C1831" s="43"/>
      <c r="D1831" s="51" t="str" cm="1">
        <f t="array" ref="D1831">IFERROR(INDEX(DB!G$2:G$2576,T1831),"")</f>
        <v/>
      </c>
      <c r="E1831" s="43"/>
      <c r="F1831" s="52" t="str" cm="1">
        <f t="array" ref="F1831">IFERROR(INDEX(DB!O$2:O$2576,T1831),"")</f>
        <v/>
      </c>
      <c r="G1831" s="43"/>
      <c r="H1831" s="40" t="str" cm="1">
        <f t="array" ref="H1831">IFERROR(INDEX(DB!P$2:P$2576,T1831),"")</f>
        <v/>
      </c>
      <c r="I1831" s="43"/>
      <c r="J1831" s="53" t="str" cm="1">
        <f t="array" ref="J1831">IFERROR(INDEX(DB!Q$2:Q$2576,T1831),"")</f>
        <v/>
      </c>
      <c r="K1831" s="43"/>
      <c r="L1831" s="41" t="str" cm="1">
        <f t="array" ref="L1831">IFERROR(INDEX(DB!R$2:R$2576,T1831),"")</f>
        <v/>
      </c>
      <c r="M1831" s="43"/>
      <c r="P1831" t="str" cm="1">
        <f t="array" ref="P1831">IFERROR(_xlfn.AGGREGATE(15,6,ROW(DB!A$2:A$2576)/((($D$3&lt;&gt;"YES")+($D$3="YES")*(DB!E$2:E$2576="YES"))*(($D$4="")+($D$4&lt;&gt;"")*( DB!B$2:B$2576=$D$4))*(($D$5="")+($D$5&lt;&gt;"")*( DB!C$2:C$2576=$D$5))*(($D$6="")+($D$6&lt;&gt;"")*( DB!D$2:D$2576=$D$6))*(($D$7="")+($D$7&lt;&gt;"")*(ISNUMBER(SEARCH($D$7,DB!G$2:G$2576))))*(($F$7="전체")+($F$7&lt;&gt;"전체")*(DB!H$2:H$2576=$F$7))),ROW()-13)-1,"")</f>
        <v/>
      </c>
      <c r="Q1831" t="str" cm="1">
        <f t="array" ref="Q1831">IFERROR(INDEX(DB!G$2:G$2576,P1831),"")</f>
        <v/>
      </c>
      <c r="R1831" t="str" cm="1">
        <f t="array" ref="R1831">IFERROR(INDEX(DB!O$2:O$2576,P1831),"")</f>
        <v/>
      </c>
      <c r="S1831" t="str">
        <f t="shared" si="87"/>
        <v/>
      </c>
      <c r="T1831" t="str">
        <f t="shared" si="88"/>
        <v/>
      </c>
    </row>
    <row r="1832" spans="1:20" ht="100" customHeight="1">
      <c r="A1832" s="26"/>
      <c r="B1832" s="39" t="str">
        <f t="shared" si="86"/>
        <v/>
      </c>
      <c r="C1832" s="43"/>
      <c r="D1832" s="51" t="str" cm="1">
        <f t="array" ref="D1832">IFERROR(INDEX(DB!G$2:G$2576,T1832),"")</f>
        <v/>
      </c>
      <c r="E1832" s="43"/>
      <c r="F1832" s="52" t="str" cm="1">
        <f t="array" ref="F1832">IFERROR(INDEX(DB!O$2:O$2576,T1832),"")</f>
        <v/>
      </c>
      <c r="G1832" s="43"/>
      <c r="H1832" s="40" t="str" cm="1">
        <f t="array" ref="H1832">IFERROR(INDEX(DB!P$2:P$2576,T1832),"")</f>
        <v/>
      </c>
      <c r="I1832" s="43"/>
      <c r="J1832" s="53" t="str" cm="1">
        <f t="array" ref="J1832">IFERROR(INDEX(DB!Q$2:Q$2576,T1832),"")</f>
        <v/>
      </c>
      <c r="K1832" s="43"/>
      <c r="L1832" s="41" t="str" cm="1">
        <f t="array" ref="L1832">IFERROR(INDEX(DB!R$2:R$2576,T1832),"")</f>
        <v/>
      </c>
      <c r="M1832" s="43"/>
      <c r="P1832" t="str" cm="1">
        <f t="array" ref="P1832">IFERROR(_xlfn.AGGREGATE(15,6,ROW(DB!A$2:A$2576)/((($D$3&lt;&gt;"YES")+($D$3="YES")*(DB!E$2:E$2576="YES"))*(($D$4="")+($D$4&lt;&gt;"")*( DB!B$2:B$2576=$D$4))*(($D$5="")+($D$5&lt;&gt;"")*( DB!C$2:C$2576=$D$5))*(($D$6="")+($D$6&lt;&gt;"")*( DB!D$2:D$2576=$D$6))*(($D$7="")+($D$7&lt;&gt;"")*(ISNUMBER(SEARCH($D$7,DB!G$2:G$2576))))*(($F$7="전체")+($F$7&lt;&gt;"전체")*(DB!H$2:H$2576=$F$7))),ROW()-13)-1,"")</f>
        <v/>
      </c>
      <c r="Q1832" t="str" cm="1">
        <f t="array" ref="Q1832">IFERROR(INDEX(DB!G$2:G$2576,P1832),"")</f>
        <v/>
      </c>
      <c r="R1832" t="str" cm="1">
        <f t="array" ref="R1832">IFERROR(INDEX(DB!O$2:O$2576,P1832),"")</f>
        <v/>
      </c>
      <c r="S1832" t="str">
        <f t="shared" si="87"/>
        <v/>
      </c>
      <c r="T1832" t="str">
        <f t="shared" si="88"/>
        <v/>
      </c>
    </row>
    <row r="1833" spans="1:20" ht="100" customHeight="1">
      <c r="A1833" s="26"/>
      <c r="B1833" s="42" t="str">
        <f t="shared" si="86"/>
        <v/>
      </c>
      <c r="C1833" s="43"/>
      <c r="D1833" s="51" t="str" cm="1">
        <f t="array" ref="D1833">IFERROR(INDEX(DB!G$2:G$2576,T1833),"")</f>
        <v/>
      </c>
      <c r="E1833" s="43"/>
      <c r="F1833" s="52" t="str" cm="1">
        <f t="array" ref="F1833">IFERROR(INDEX(DB!O$2:O$2576,T1833),"")</f>
        <v/>
      </c>
      <c r="G1833" s="43"/>
      <c r="H1833" s="40" t="str" cm="1">
        <f t="array" ref="H1833">IFERROR(INDEX(DB!P$2:P$2576,T1833),"")</f>
        <v/>
      </c>
      <c r="I1833" s="43"/>
      <c r="J1833" s="53" t="str" cm="1">
        <f t="array" ref="J1833">IFERROR(INDEX(DB!Q$2:Q$2576,T1833),"")</f>
        <v/>
      </c>
      <c r="K1833" s="43"/>
      <c r="L1833" s="41" t="str" cm="1">
        <f t="array" ref="L1833">IFERROR(INDEX(DB!R$2:R$2576,T1833),"")</f>
        <v/>
      </c>
      <c r="M1833" s="43"/>
      <c r="P1833" t="str" cm="1">
        <f t="array" ref="P1833">IFERROR(_xlfn.AGGREGATE(15,6,ROW(DB!A$2:A$2576)/((($D$3&lt;&gt;"YES")+($D$3="YES")*(DB!E$2:E$2576="YES"))*(($D$4="")+($D$4&lt;&gt;"")*( DB!B$2:B$2576=$D$4))*(($D$5="")+($D$5&lt;&gt;"")*( DB!C$2:C$2576=$D$5))*(($D$6="")+($D$6&lt;&gt;"")*( DB!D$2:D$2576=$D$6))*(($D$7="")+($D$7&lt;&gt;"")*(ISNUMBER(SEARCH($D$7,DB!G$2:G$2576))))*(($F$7="전체")+($F$7&lt;&gt;"전체")*(DB!H$2:H$2576=$F$7))),ROW()-13)-1,"")</f>
        <v/>
      </c>
      <c r="Q1833" t="str" cm="1">
        <f t="array" ref="Q1833">IFERROR(INDEX(DB!G$2:G$2576,P1833),"")</f>
        <v/>
      </c>
      <c r="R1833" t="str" cm="1">
        <f t="array" ref="R1833">IFERROR(INDEX(DB!O$2:O$2576,P1833),"")</f>
        <v/>
      </c>
      <c r="S1833" t="str">
        <f t="shared" si="87"/>
        <v/>
      </c>
      <c r="T1833" t="str">
        <f t="shared" si="88"/>
        <v/>
      </c>
    </row>
    <row r="1834" spans="1:20" ht="100" customHeight="1">
      <c r="A1834" s="26"/>
      <c r="B1834" s="39" t="str">
        <f t="shared" si="86"/>
        <v/>
      </c>
      <c r="C1834" s="43"/>
      <c r="D1834" s="51" t="str" cm="1">
        <f t="array" ref="D1834">IFERROR(INDEX(DB!G$2:G$2576,T1834),"")</f>
        <v/>
      </c>
      <c r="E1834" s="43"/>
      <c r="F1834" s="52" t="str" cm="1">
        <f t="array" ref="F1834">IFERROR(INDEX(DB!O$2:O$2576,T1834),"")</f>
        <v/>
      </c>
      <c r="G1834" s="43"/>
      <c r="H1834" s="40" t="str" cm="1">
        <f t="array" ref="H1834">IFERROR(INDEX(DB!P$2:P$2576,T1834),"")</f>
        <v/>
      </c>
      <c r="I1834" s="43"/>
      <c r="J1834" s="53" t="str" cm="1">
        <f t="array" ref="J1834">IFERROR(INDEX(DB!Q$2:Q$2576,T1834),"")</f>
        <v/>
      </c>
      <c r="K1834" s="43"/>
      <c r="L1834" s="41" t="str" cm="1">
        <f t="array" ref="L1834">IFERROR(INDEX(DB!R$2:R$2576,T1834),"")</f>
        <v/>
      </c>
      <c r="M1834" s="43"/>
      <c r="P1834" t="str" cm="1">
        <f t="array" ref="P1834">IFERROR(_xlfn.AGGREGATE(15,6,ROW(DB!A$2:A$2576)/((($D$3&lt;&gt;"YES")+($D$3="YES")*(DB!E$2:E$2576="YES"))*(($D$4="")+($D$4&lt;&gt;"")*( DB!B$2:B$2576=$D$4))*(($D$5="")+($D$5&lt;&gt;"")*( DB!C$2:C$2576=$D$5))*(($D$6="")+($D$6&lt;&gt;"")*( DB!D$2:D$2576=$D$6))*(($D$7="")+($D$7&lt;&gt;"")*(ISNUMBER(SEARCH($D$7,DB!G$2:G$2576))))*(($F$7="전체")+($F$7&lt;&gt;"전체")*(DB!H$2:H$2576=$F$7))),ROW()-13)-1,"")</f>
        <v/>
      </c>
      <c r="Q1834" t="str" cm="1">
        <f t="array" ref="Q1834">IFERROR(INDEX(DB!G$2:G$2576,P1834),"")</f>
        <v/>
      </c>
      <c r="R1834" t="str" cm="1">
        <f t="array" ref="R1834">IFERROR(INDEX(DB!O$2:O$2576,P1834),"")</f>
        <v/>
      </c>
      <c r="S1834" t="str">
        <f t="shared" si="87"/>
        <v/>
      </c>
      <c r="T1834" t="str">
        <f t="shared" si="88"/>
        <v/>
      </c>
    </row>
    <row r="1835" spans="1:20" ht="100" customHeight="1">
      <c r="A1835" s="26"/>
      <c r="B1835" s="42" t="str">
        <f t="shared" si="86"/>
        <v/>
      </c>
      <c r="C1835" s="43"/>
      <c r="D1835" s="51" t="str" cm="1">
        <f t="array" ref="D1835">IFERROR(INDEX(DB!G$2:G$2576,T1835),"")</f>
        <v/>
      </c>
      <c r="E1835" s="43"/>
      <c r="F1835" s="52" t="str" cm="1">
        <f t="array" ref="F1835">IFERROR(INDEX(DB!O$2:O$2576,T1835),"")</f>
        <v/>
      </c>
      <c r="G1835" s="43"/>
      <c r="H1835" s="40" t="str" cm="1">
        <f t="array" ref="H1835">IFERROR(INDEX(DB!P$2:P$2576,T1835),"")</f>
        <v/>
      </c>
      <c r="I1835" s="43"/>
      <c r="J1835" s="53" t="str" cm="1">
        <f t="array" ref="J1835">IFERROR(INDEX(DB!Q$2:Q$2576,T1835),"")</f>
        <v/>
      </c>
      <c r="K1835" s="43"/>
      <c r="L1835" s="41" t="str" cm="1">
        <f t="array" ref="L1835">IFERROR(INDEX(DB!R$2:R$2576,T1835),"")</f>
        <v/>
      </c>
      <c r="M1835" s="43"/>
      <c r="P1835" t="str" cm="1">
        <f t="array" ref="P1835">IFERROR(_xlfn.AGGREGATE(15,6,ROW(DB!A$2:A$2576)/((($D$3&lt;&gt;"YES")+($D$3="YES")*(DB!E$2:E$2576="YES"))*(($D$4="")+($D$4&lt;&gt;"")*( DB!B$2:B$2576=$D$4))*(($D$5="")+($D$5&lt;&gt;"")*( DB!C$2:C$2576=$D$5))*(($D$6="")+($D$6&lt;&gt;"")*( DB!D$2:D$2576=$D$6))*(($D$7="")+($D$7&lt;&gt;"")*(ISNUMBER(SEARCH($D$7,DB!G$2:G$2576))))*(($F$7="전체")+($F$7&lt;&gt;"전체")*(DB!H$2:H$2576=$F$7))),ROW()-13)-1,"")</f>
        <v/>
      </c>
      <c r="Q1835" t="str" cm="1">
        <f t="array" ref="Q1835">IFERROR(INDEX(DB!G$2:G$2576,P1835),"")</f>
        <v/>
      </c>
      <c r="R1835" t="str" cm="1">
        <f t="array" ref="R1835">IFERROR(INDEX(DB!O$2:O$2576,P1835),"")</f>
        <v/>
      </c>
      <c r="S1835" t="str">
        <f t="shared" si="87"/>
        <v/>
      </c>
      <c r="T1835" t="str">
        <f t="shared" si="88"/>
        <v/>
      </c>
    </row>
    <row r="1836" spans="1:20" ht="100" customHeight="1">
      <c r="A1836" s="26"/>
      <c r="B1836" s="39" t="str">
        <f t="shared" si="86"/>
        <v/>
      </c>
      <c r="C1836" s="43"/>
      <c r="D1836" s="51" t="str" cm="1">
        <f t="array" ref="D1836">IFERROR(INDEX(DB!G$2:G$2576,T1836),"")</f>
        <v/>
      </c>
      <c r="E1836" s="43"/>
      <c r="F1836" s="52" t="str" cm="1">
        <f t="array" ref="F1836">IFERROR(INDEX(DB!O$2:O$2576,T1836),"")</f>
        <v/>
      </c>
      <c r="G1836" s="43"/>
      <c r="H1836" s="40" t="str" cm="1">
        <f t="array" ref="H1836">IFERROR(INDEX(DB!P$2:P$2576,T1836),"")</f>
        <v/>
      </c>
      <c r="I1836" s="43"/>
      <c r="J1836" s="53" t="str" cm="1">
        <f t="array" ref="J1836">IFERROR(INDEX(DB!Q$2:Q$2576,T1836),"")</f>
        <v/>
      </c>
      <c r="K1836" s="43"/>
      <c r="L1836" s="41" t="str" cm="1">
        <f t="array" ref="L1836">IFERROR(INDEX(DB!R$2:R$2576,T1836),"")</f>
        <v/>
      </c>
      <c r="M1836" s="43"/>
      <c r="P1836" t="str" cm="1">
        <f t="array" ref="P1836">IFERROR(_xlfn.AGGREGATE(15,6,ROW(DB!A$2:A$2576)/((($D$3&lt;&gt;"YES")+($D$3="YES")*(DB!E$2:E$2576="YES"))*(($D$4="")+($D$4&lt;&gt;"")*( DB!B$2:B$2576=$D$4))*(($D$5="")+($D$5&lt;&gt;"")*( DB!C$2:C$2576=$D$5))*(($D$6="")+($D$6&lt;&gt;"")*( DB!D$2:D$2576=$D$6))*(($D$7="")+($D$7&lt;&gt;"")*(ISNUMBER(SEARCH($D$7,DB!G$2:G$2576))))*(($F$7="전체")+($F$7&lt;&gt;"전체")*(DB!H$2:H$2576=$F$7))),ROW()-13)-1,"")</f>
        <v/>
      </c>
      <c r="Q1836" t="str" cm="1">
        <f t="array" ref="Q1836">IFERROR(INDEX(DB!G$2:G$2576,P1836),"")</f>
        <v/>
      </c>
      <c r="R1836" t="str" cm="1">
        <f t="array" ref="R1836">IFERROR(INDEX(DB!O$2:O$2576,P1836),"")</f>
        <v/>
      </c>
      <c r="S1836" t="str">
        <f t="shared" si="87"/>
        <v/>
      </c>
      <c r="T1836" t="str">
        <f t="shared" si="88"/>
        <v/>
      </c>
    </row>
    <row r="1837" spans="1:20" ht="100" customHeight="1">
      <c r="A1837" s="26"/>
      <c r="B1837" s="42" t="str">
        <f t="shared" si="86"/>
        <v/>
      </c>
      <c r="C1837" s="43"/>
      <c r="D1837" s="51" t="str" cm="1">
        <f t="array" ref="D1837">IFERROR(INDEX(DB!G$2:G$2576,T1837),"")</f>
        <v/>
      </c>
      <c r="E1837" s="43"/>
      <c r="F1837" s="52" t="str" cm="1">
        <f t="array" ref="F1837">IFERROR(INDEX(DB!O$2:O$2576,T1837),"")</f>
        <v/>
      </c>
      <c r="G1837" s="43"/>
      <c r="H1837" s="40" t="str" cm="1">
        <f t="array" ref="H1837">IFERROR(INDEX(DB!P$2:P$2576,T1837),"")</f>
        <v/>
      </c>
      <c r="I1837" s="43"/>
      <c r="J1837" s="53" t="str" cm="1">
        <f t="array" ref="J1837">IFERROR(INDEX(DB!Q$2:Q$2576,T1837),"")</f>
        <v/>
      </c>
      <c r="K1837" s="43"/>
      <c r="L1837" s="41" t="str" cm="1">
        <f t="array" ref="L1837">IFERROR(INDEX(DB!R$2:R$2576,T1837),"")</f>
        <v/>
      </c>
      <c r="M1837" s="43"/>
      <c r="P1837" t="str" cm="1">
        <f t="array" ref="P1837">IFERROR(_xlfn.AGGREGATE(15,6,ROW(DB!A$2:A$2576)/((($D$3&lt;&gt;"YES")+($D$3="YES")*(DB!E$2:E$2576="YES"))*(($D$4="")+($D$4&lt;&gt;"")*( DB!B$2:B$2576=$D$4))*(($D$5="")+($D$5&lt;&gt;"")*( DB!C$2:C$2576=$D$5))*(($D$6="")+($D$6&lt;&gt;"")*( DB!D$2:D$2576=$D$6))*(($D$7="")+($D$7&lt;&gt;"")*(ISNUMBER(SEARCH($D$7,DB!G$2:G$2576))))*(($F$7="전체")+($F$7&lt;&gt;"전체")*(DB!H$2:H$2576=$F$7))),ROW()-13)-1,"")</f>
        <v/>
      </c>
      <c r="Q1837" t="str" cm="1">
        <f t="array" ref="Q1837">IFERROR(INDEX(DB!G$2:G$2576,P1837),"")</f>
        <v/>
      </c>
      <c r="R1837" t="str" cm="1">
        <f t="array" ref="R1837">IFERROR(INDEX(DB!O$2:O$2576,P1837),"")</f>
        <v/>
      </c>
      <c r="S1837" t="str">
        <f t="shared" si="87"/>
        <v/>
      </c>
      <c r="T1837" t="str">
        <f t="shared" si="88"/>
        <v/>
      </c>
    </row>
    <row r="1838" spans="1:20" ht="100" customHeight="1">
      <c r="A1838" s="26"/>
      <c r="B1838" s="39" t="str">
        <f t="shared" si="86"/>
        <v/>
      </c>
      <c r="C1838" s="43"/>
      <c r="D1838" s="51" t="str" cm="1">
        <f t="array" ref="D1838">IFERROR(INDEX(DB!G$2:G$2576,T1838),"")</f>
        <v/>
      </c>
      <c r="E1838" s="43"/>
      <c r="F1838" s="52" t="str" cm="1">
        <f t="array" ref="F1838">IFERROR(INDEX(DB!O$2:O$2576,T1838),"")</f>
        <v/>
      </c>
      <c r="G1838" s="43"/>
      <c r="H1838" s="40" t="str" cm="1">
        <f t="array" ref="H1838">IFERROR(INDEX(DB!P$2:P$2576,T1838),"")</f>
        <v/>
      </c>
      <c r="I1838" s="43"/>
      <c r="J1838" s="53" t="str" cm="1">
        <f t="array" ref="J1838">IFERROR(INDEX(DB!Q$2:Q$2576,T1838),"")</f>
        <v/>
      </c>
      <c r="K1838" s="43"/>
      <c r="L1838" s="41" t="str" cm="1">
        <f t="array" ref="L1838">IFERROR(INDEX(DB!R$2:R$2576,T1838),"")</f>
        <v/>
      </c>
      <c r="M1838" s="43"/>
      <c r="P1838" t="str" cm="1">
        <f t="array" ref="P1838">IFERROR(_xlfn.AGGREGATE(15,6,ROW(DB!A$2:A$2576)/((($D$3&lt;&gt;"YES")+($D$3="YES")*(DB!E$2:E$2576="YES"))*(($D$4="")+($D$4&lt;&gt;"")*( DB!B$2:B$2576=$D$4))*(($D$5="")+($D$5&lt;&gt;"")*( DB!C$2:C$2576=$D$5))*(($D$6="")+($D$6&lt;&gt;"")*( DB!D$2:D$2576=$D$6))*(($D$7="")+($D$7&lt;&gt;"")*(ISNUMBER(SEARCH($D$7,DB!G$2:G$2576))))*(($F$7="전체")+($F$7&lt;&gt;"전체")*(DB!H$2:H$2576=$F$7))),ROW()-13)-1,"")</f>
        <v/>
      </c>
      <c r="Q1838" t="str" cm="1">
        <f t="array" ref="Q1838">IFERROR(INDEX(DB!G$2:G$2576,P1838),"")</f>
        <v/>
      </c>
      <c r="R1838" t="str" cm="1">
        <f t="array" ref="R1838">IFERROR(INDEX(DB!O$2:O$2576,P1838),"")</f>
        <v/>
      </c>
      <c r="S1838" t="str">
        <f t="shared" si="87"/>
        <v/>
      </c>
      <c r="T1838" t="str">
        <f t="shared" si="88"/>
        <v/>
      </c>
    </row>
    <row r="1839" spans="1:20" ht="100" customHeight="1">
      <c r="A1839" s="26"/>
      <c r="B1839" s="42" t="str">
        <f t="shared" si="86"/>
        <v/>
      </c>
      <c r="C1839" s="43"/>
      <c r="D1839" s="51" t="str" cm="1">
        <f t="array" ref="D1839">IFERROR(INDEX(DB!G$2:G$2576,T1839),"")</f>
        <v/>
      </c>
      <c r="E1839" s="43"/>
      <c r="F1839" s="52" t="str" cm="1">
        <f t="array" ref="F1839">IFERROR(INDEX(DB!O$2:O$2576,T1839),"")</f>
        <v/>
      </c>
      <c r="G1839" s="43"/>
      <c r="H1839" s="40" t="str" cm="1">
        <f t="array" ref="H1839">IFERROR(INDEX(DB!P$2:P$2576,T1839),"")</f>
        <v/>
      </c>
      <c r="I1839" s="43"/>
      <c r="J1839" s="53" t="str" cm="1">
        <f t="array" ref="J1839">IFERROR(INDEX(DB!Q$2:Q$2576,T1839),"")</f>
        <v/>
      </c>
      <c r="K1839" s="43"/>
      <c r="L1839" s="41" t="str" cm="1">
        <f t="array" ref="L1839">IFERROR(INDEX(DB!R$2:R$2576,T1839),"")</f>
        <v/>
      </c>
      <c r="M1839" s="43"/>
      <c r="P1839" t="str" cm="1">
        <f t="array" ref="P1839">IFERROR(_xlfn.AGGREGATE(15,6,ROW(DB!A$2:A$2576)/((($D$3&lt;&gt;"YES")+($D$3="YES")*(DB!E$2:E$2576="YES"))*(($D$4="")+($D$4&lt;&gt;"")*( DB!B$2:B$2576=$D$4))*(($D$5="")+($D$5&lt;&gt;"")*( DB!C$2:C$2576=$D$5))*(($D$6="")+($D$6&lt;&gt;"")*( DB!D$2:D$2576=$D$6))*(($D$7="")+($D$7&lt;&gt;"")*(ISNUMBER(SEARCH($D$7,DB!G$2:G$2576))))*(($F$7="전체")+($F$7&lt;&gt;"전체")*(DB!H$2:H$2576=$F$7))),ROW()-13)-1,"")</f>
        <v/>
      </c>
      <c r="Q1839" t="str" cm="1">
        <f t="array" ref="Q1839">IFERROR(INDEX(DB!G$2:G$2576,P1839),"")</f>
        <v/>
      </c>
      <c r="R1839" t="str" cm="1">
        <f t="array" ref="R1839">IFERROR(INDEX(DB!O$2:O$2576,P1839),"")</f>
        <v/>
      </c>
      <c r="S1839" t="str">
        <f t="shared" si="87"/>
        <v/>
      </c>
      <c r="T1839" t="str">
        <f t="shared" si="88"/>
        <v/>
      </c>
    </row>
    <row r="1840" spans="1:20" ht="100" customHeight="1">
      <c r="A1840" s="26"/>
      <c r="B1840" s="39" t="str">
        <f t="shared" si="86"/>
        <v/>
      </c>
      <c r="C1840" s="43"/>
      <c r="D1840" s="51" t="str" cm="1">
        <f t="array" ref="D1840">IFERROR(INDEX(DB!G$2:G$2576,T1840),"")</f>
        <v/>
      </c>
      <c r="E1840" s="43"/>
      <c r="F1840" s="52" t="str" cm="1">
        <f t="array" ref="F1840">IFERROR(INDEX(DB!O$2:O$2576,T1840),"")</f>
        <v/>
      </c>
      <c r="G1840" s="43"/>
      <c r="H1840" s="40" t="str" cm="1">
        <f t="array" ref="H1840">IFERROR(INDEX(DB!P$2:P$2576,T1840),"")</f>
        <v/>
      </c>
      <c r="I1840" s="43"/>
      <c r="J1840" s="53" t="str" cm="1">
        <f t="array" ref="J1840">IFERROR(INDEX(DB!Q$2:Q$2576,T1840),"")</f>
        <v/>
      </c>
      <c r="K1840" s="43"/>
      <c r="L1840" s="41" t="str" cm="1">
        <f t="array" ref="L1840">IFERROR(INDEX(DB!R$2:R$2576,T1840),"")</f>
        <v/>
      </c>
      <c r="M1840" s="43"/>
      <c r="P1840" t="str" cm="1">
        <f t="array" ref="P1840">IFERROR(_xlfn.AGGREGATE(15,6,ROW(DB!A$2:A$2576)/((($D$3&lt;&gt;"YES")+($D$3="YES")*(DB!E$2:E$2576="YES"))*(($D$4="")+($D$4&lt;&gt;"")*( DB!B$2:B$2576=$D$4))*(($D$5="")+($D$5&lt;&gt;"")*( DB!C$2:C$2576=$D$5))*(($D$6="")+($D$6&lt;&gt;"")*( DB!D$2:D$2576=$D$6))*(($D$7="")+($D$7&lt;&gt;"")*(ISNUMBER(SEARCH($D$7,DB!G$2:G$2576))))*(($F$7="전체")+($F$7&lt;&gt;"전체")*(DB!H$2:H$2576=$F$7))),ROW()-13)-1,"")</f>
        <v/>
      </c>
      <c r="Q1840" t="str" cm="1">
        <f t="array" ref="Q1840">IFERROR(INDEX(DB!G$2:G$2576,P1840),"")</f>
        <v/>
      </c>
      <c r="R1840" t="str" cm="1">
        <f t="array" ref="R1840">IFERROR(INDEX(DB!O$2:O$2576,P1840),"")</f>
        <v/>
      </c>
      <c r="S1840" t="str">
        <f t="shared" si="87"/>
        <v/>
      </c>
      <c r="T1840" t="str">
        <f t="shared" si="88"/>
        <v/>
      </c>
    </row>
    <row r="1841" spans="1:20" ht="100" customHeight="1">
      <c r="A1841" s="26"/>
      <c r="B1841" s="42" t="str">
        <f t="shared" si="86"/>
        <v/>
      </c>
      <c r="C1841" s="43"/>
      <c r="D1841" s="51" t="str" cm="1">
        <f t="array" ref="D1841">IFERROR(INDEX(DB!G$2:G$2576,T1841),"")</f>
        <v/>
      </c>
      <c r="E1841" s="43"/>
      <c r="F1841" s="52" t="str" cm="1">
        <f t="array" ref="F1841">IFERROR(INDEX(DB!O$2:O$2576,T1841),"")</f>
        <v/>
      </c>
      <c r="G1841" s="43"/>
      <c r="H1841" s="40" t="str" cm="1">
        <f t="array" ref="H1841">IFERROR(INDEX(DB!P$2:P$2576,T1841),"")</f>
        <v/>
      </c>
      <c r="I1841" s="43"/>
      <c r="J1841" s="53" t="str" cm="1">
        <f t="array" ref="J1841">IFERROR(INDEX(DB!Q$2:Q$2576,T1841),"")</f>
        <v/>
      </c>
      <c r="K1841" s="43"/>
      <c r="L1841" s="41" t="str" cm="1">
        <f t="array" ref="L1841">IFERROR(INDEX(DB!R$2:R$2576,T1841),"")</f>
        <v/>
      </c>
      <c r="M1841" s="43"/>
      <c r="P1841" t="str" cm="1">
        <f t="array" ref="P1841">IFERROR(_xlfn.AGGREGATE(15,6,ROW(DB!A$2:A$2576)/((($D$3&lt;&gt;"YES")+($D$3="YES")*(DB!E$2:E$2576="YES"))*(($D$4="")+($D$4&lt;&gt;"")*( DB!B$2:B$2576=$D$4))*(($D$5="")+($D$5&lt;&gt;"")*( DB!C$2:C$2576=$D$5))*(($D$6="")+($D$6&lt;&gt;"")*( DB!D$2:D$2576=$D$6))*(($D$7="")+($D$7&lt;&gt;"")*(ISNUMBER(SEARCH($D$7,DB!G$2:G$2576))))*(($F$7="전체")+($F$7&lt;&gt;"전체")*(DB!H$2:H$2576=$F$7))),ROW()-13)-1,"")</f>
        <v/>
      </c>
      <c r="Q1841" t="str" cm="1">
        <f t="array" ref="Q1841">IFERROR(INDEX(DB!G$2:G$2576,P1841),"")</f>
        <v/>
      </c>
      <c r="R1841" t="str" cm="1">
        <f t="array" ref="R1841">IFERROR(INDEX(DB!O$2:O$2576,P1841),"")</f>
        <v/>
      </c>
      <c r="S1841" t="str">
        <f t="shared" si="87"/>
        <v/>
      </c>
      <c r="T1841" t="str">
        <f t="shared" si="88"/>
        <v/>
      </c>
    </row>
    <row r="1842" spans="1:20" ht="100" customHeight="1">
      <c r="A1842" s="26"/>
      <c r="B1842" s="39" t="str">
        <f t="shared" si="86"/>
        <v/>
      </c>
      <c r="C1842" s="43"/>
      <c r="D1842" s="51" t="str" cm="1">
        <f t="array" ref="D1842">IFERROR(INDEX(DB!G$2:G$2576,T1842),"")</f>
        <v/>
      </c>
      <c r="E1842" s="43"/>
      <c r="F1842" s="52" t="str" cm="1">
        <f t="array" ref="F1842">IFERROR(INDEX(DB!O$2:O$2576,T1842),"")</f>
        <v/>
      </c>
      <c r="G1842" s="43"/>
      <c r="H1842" s="40" t="str" cm="1">
        <f t="array" ref="H1842">IFERROR(INDEX(DB!P$2:P$2576,T1842),"")</f>
        <v/>
      </c>
      <c r="I1842" s="43"/>
      <c r="J1842" s="53" t="str" cm="1">
        <f t="array" ref="J1842">IFERROR(INDEX(DB!Q$2:Q$2576,T1842),"")</f>
        <v/>
      </c>
      <c r="K1842" s="43"/>
      <c r="L1842" s="41" t="str" cm="1">
        <f t="array" ref="L1842">IFERROR(INDEX(DB!R$2:R$2576,T1842),"")</f>
        <v/>
      </c>
      <c r="M1842" s="43"/>
      <c r="P1842" t="str" cm="1">
        <f t="array" ref="P1842">IFERROR(_xlfn.AGGREGATE(15,6,ROW(DB!A$2:A$2576)/((($D$3&lt;&gt;"YES")+($D$3="YES")*(DB!E$2:E$2576="YES"))*(($D$4="")+($D$4&lt;&gt;"")*( DB!B$2:B$2576=$D$4))*(($D$5="")+($D$5&lt;&gt;"")*( DB!C$2:C$2576=$D$5))*(($D$6="")+($D$6&lt;&gt;"")*( DB!D$2:D$2576=$D$6))*(($D$7="")+($D$7&lt;&gt;"")*(ISNUMBER(SEARCH($D$7,DB!G$2:G$2576))))*(($F$7="전체")+($F$7&lt;&gt;"전체")*(DB!H$2:H$2576=$F$7))),ROW()-13)-1,"")</f>
        <v/>
      </c>
      <c r="Q1842" t="str" cm="1">
        <f t="array" ref="Q1842">IFERROR(INDEX(DB!G$2:G$2576,P1842),"")</f>
        <v/>
      </c>
      <c r="R1842" t="str" cm="1">
        <f t="array" ref="R1842">IFERROR(INDEX(DB!O$2:O$2576,P1842),"")</f>
        <v/>
      </c>
      <c r="S1842" t="str">
        <f t="shared" si="87"/>
        <v/>
      </c>
      <c r="T1842" t="str">
        <f t="shared" si="88"/>
        <v/>
      </c>
    </row>
    <row r="1843" spans="1:20" ht="100" customHeight="1">
      <c r="A1843" s="26"/>
      <c r="B1843" s="42" t="str">
        <f t="shared" si="86"/>
        <v/>
      </c>
      <c r="C1843" s="43"/>
      <c r="D1843" s="51" t="str" cm="1">
        <f t="array" ref="D1843">IFERROR(INDEX(DB!G$2:G$2576,T1843),"")</f>
        <v/>
      </c>
      <c r="E1843" s="43"/>
      <c r="F1843" s="52" t="str" cm="1">
        <f t="array" ref="F1843">IFERROR(INDEX(DB!O$2:O$2576,T1843),"")</f>
        <v/>
      </c>
      <c r="G1843" s="43"/>
      <c r="H1843" s="40" t="str" cm="1">
        <f t="array" ref="H1843">IFERROR(INDEX(DB!P$2:P$2576,T1843),"")</f>
        <v/>
      </c>
      <c r="I1843" s="43"/>
      <c r="J1843" s="53" t="str" cm="1">
        <f t="array" ref="J1843">IFERROR(INDEX(DB!Q$2:Q$2576,T1843),"")</f>
        <v/>
      </c>
      <c r="K1843" s="43"/>
      <c r="L1843" s="41" t="str" cm="1">
        <f t="array" ref="L1843">IFERROR(INDEX(DB!R$2:R$2576,T1843),"")</f>
        <v/>
      </c>
      <c r="M1843" s="43"/>
      <c r="P1843" t="str" cm="1">
        <f t="array" ref="P1843">IFERROR(_xlfn.AGGREGATE(15,6,ROW(DB!A$2:A$2576)/((($D$3&lt;&gt;"YES")+($D$3="YES")*(DB!E$2:E$2576="YES"))*(($D$4="")+($D$4&lt;&gt;"")*( DB!B$2:B$2576=$D$4))*(($D$5="")+($D$5&lt;&gt;"")*( DB!C$2:C$2576=$D$5))*(($D$6="")+($D$6&lt;&gt;"")*( DB!D$2:D$2576=$D$6))*(($D$7="")+($D$7&lt;&gt;"")*(ISNUMBER(SEARCH($D$7,DB!G$2:G$2576))))*(($F$7="전체")+($F$7&lt;&gt;"전체")*(DB!H$2:H$2576=$F$7))),ROW()-13)-1,"")</f>
        <v/>
      </c>
      <c r="Q1843" t="str" cm="1">
        <f t="array" ref="Q1843">IFERROR(INDEX(DB!G$2:G$2576,P1843),"")</f>
        <v/>
      </c>
      <c r="R1843" t="str" cm="1">
        <f t="array" ref="R1843">IFERROR(INDEX(DB!O$2:O$2576,P1843),"")</f>
        <v/>
      </c>
      <c r="S1843" t="str">
        <f t="shared" si="87"/>
        <v/>
      </c>
      <c r="T1843" t="str">
        <f t="shared" si="88"/>
        <v/>
      </c>
    </row>
    <row r="1844" spans="1:20" ht="100" customHeight="1">
      <c r="A1844" s="26"/>
      <c r="B1844" s="39" t="str">
        <f t="shared" si="86"/>
        <v/>
      </c>
      <c r="C1844" s="43"/>
      <c r="D1844" s="51" t="str" cm="1">
        <f t="array" ref="D1844">IFERROR(INDEX(DB!G$2:G$2576,T1844),"")</f>
        <v/>
      </c>
      <c r="E1844" s="43"/>
      <c r="F1844" s="52" t="str" cm="1">
        <f t="array" ref="F1844">IFERROR(INDEX(DB!O$2:O$2576,T1844),"")</f>
        <v/>
      </c>
      <c r="G1844" s="43"/>
      <c r="H1844" s="40" t="str" cm="1">
        <f t="array" ref="H1844">IFERROR(INDEX(DB!P$2:P$2576,T1844),"")</f>
        <v/>
      </c>
      <c r="I1844" s="43"/>
      <c r="J1844" s="53" t="str" cm="1">
        <f t="array" ref="J1844">IFERROR(INDEX(DB!Q$2:Q$2576,T1844),"")</f>
        <v/>
      </c>
      <c r="K1844" s="43"/>
      <c r="L1844" s="41" t="str" cm="1">
        <f t="array" ref="L1844">IFERROR(INDEX(DB!R$2:R$2576,T1844),"")</f>
        <v/>
      </c>
      <c r="M1844" s="43"/>
      <c r="P1844" t="str" cm="1">
        <f t="array" ref="P1844">IFERROR(_xlfn.AGGREGATE(15,6,ROW(DB!A$2:A$2576)/((($D$3&lt;&gt;"YES")+($D$3="YES")*(DB!E$2:E$2576="YES"))*(($D$4="")+($D$4&lt;&gt;"")*( DB!B$2:B$2576=$D$4))*(($D$5="")+($D$5&lt;&gt;"")*( DB!C$2:C$2576=$D$5))*(($D$6="")+($D$6&lt;&gt;"")*( DB!D$2:D$2576=$D$6))*(($D$7="")+($D$7&lt;&gt;"")*(ISNUMBER(SEARCH($D$7,DB!G$2:G$2576))))*(($F$7="전체")+($F$7&lt;&gt;"전체")*(DB!H$2:H$2576=$F$7))),ROW()-13)-1,"")</f>
        <v/>
      </c>
      <c r="Q1844" t="str" cm="1">
        <f t="array" ref="Q1844">IFERROR(INDEX(DB!G$2:G$2576,P1844),"")</f>
        <v/>
      </c>
      <c r="R1844" t="str" cm="1">
        <f t="array" ref="R1844">IFERROR(INDEX(DB!O$2:O$2576,P1844),"")</f>
        <v/>
      </c>
      <c r="S1844" t="str">
        <f t="shared" si="87"/>
        <v/>
      </c>
      <c r="T1844" t="str">
        <f t="shared" si="88"/>
        <v/>
      </c>
    </row>
    <row r="1845" spans="1:20" ht="100" customHeight="1">
      <c r="A1845" s="26"/>
      <c r="B1845" s="42" t="str">
        <f t="shared" si="86"/>
        <v/>
      </c>
      <c r="C1845" s="43"/>
      <c r="D1845" s="51" t="str" cm="1">
        <f t="array" ref="D1845">IFERROR(INDEX(DB!G$2:G$2576,T1845),"")</f>
        <v/>
      </c>
      <c r="E1845" s="43"/>
      <c r="F1845" s="52" t="str" cm="1">
        <f t="array" ref="F1845">IFERROR(INDEX(DB!O$2:O$2576,T1845),"")</f>
        <v/>
      </c>
      <c r="G1845" s="43"/>
      <c r="H1845" s="40" t="str" cm="1">
        <f t="array" ref="H1845">IFERROR(INDEX(DB!P$2:P$2576,T1845),"")</f>
        <v/>
      </c>
      <c r="I1845" s="43"/>
      <c r="J1845" s="53" t="str" cm="1">
        <f t="array" ref="J1845">IFERROR(INDEX(DB!Q$2:Q$2576,T1845),"")</f>
        <v/>
      </c>
      <c r="K1845" s="43"/>
      <c r="L1845" s="41" t="str" cm="1">
        <f t="array" ref="L1845">IFERROR(INDEX(DB!R$2:R$2576,T1845),"")</f>
        <v/>
      </c>
      <c r="M1845" s="43"/>
      <c r="P1845" t="str" cm="1">
        <f t="array" ref="P1845">IFERROR(_xlfn.AGGREGATE(15,6,ROW(DB!A$2:A$2576)/((($D$3&lt;&gt;"YES")+($D$3="YES")*(DB!E$2:E$2576="YES"))*(($D$4="")+($D$4&lt;&gt;"")*( DB!B$2:B$2576=$D$4))*(($D$5="")+($D$5&lt;&gt;"")*( DB!C$2:C$2576=$D$5))*(($D$6="")+($D$6&lt;&gt;"")*( DB!D$2:D$2576=$D$6))*(($D$7="")+($D$7&lt;&gt;"")*(ISNUMBER(SEARCH($D$7,DB!G$2:G$2576))))*(($F$7="전체")+($F$7&lt;&gt;"전체")*(DB!H$2:H$2576=$F$7))),ROW()-13)-1,"")</f>
        <v/>
      </c>
      <c r="Q1845" t="str" cm="1">
        <f t="array" ref="Q1845">IFERROR(INDEX(DB!G$2:G$2576,P1845),"")</f>
        <v/>
      </c>
      <c r="R1845" t="str" cm="1">
        <f t="array" ref="R1845">IFERROR(INDEX(DB!O$2:O$2576,P1845),"")</f>
        <v/>
      </c>
      <c r="S1845" t="str">
        <f t="shared" si="87"/>
        <v/>
      </c>
      <c r="T1845" t="str">
        <f t="shared" si="88"/>
        <v/>
      </c>
    </row>
    <row r="1846" spans="1:20" ht="100" customHeight="1">
      <c r="A1846" s="26"/>
      <c r="B1846" s="39" t="str">
        <f t="shared" si="86"/>
        <v/>
      </c>
      <c r="C1846" s="43"/>
      <c r="D1846" s="51" t="str" cm="1">
        <f t="array" ref="D1846">IFERROR(INDEX(DB!G$2:G$2576,T1846),"")</f>
        <v/>
      </c>
      <c r="E1846" s="43"/>
      <c r="F1846" s="52" t="str" cm="1">
        <f t="array" ref="F1846">IFERROR(INDEX(DB!O$2:O$2576,T1846),"")</f>
        <v/>
      </c>
      <c r="G1846" s="43"/>
      <c r="H1846" s="40" t="str" cm="1">
        <f t="array" ref="H1846">IFERROR(INDEX(DB!P$2:P$2576,T1846),"")</f>
        <v/>
      </c>
      <c r="I1846" s="43"/>
      <c r="J1846" s="53" t="str" cm="1">
        <f t="array" ref="J1846">IFERROR(INDEX(DB!Q$2:Q$2576,T1846),"")</f>
        <v/>
      </c>
      <c r="K1846" s="43"/>
      <c r="L1846" s="41" t="str" cm="1">
        <f t="array" ref="L1846">IFERROR(INDEX(DB!R$2:R$2576,T1846),"")</f>
        <v/>
      </c>
      <c r="M1846" s="43"/>
      <c r="P1846" t="str" cm="1">
        <f t="array" ref="P1846">IFERROR(_xlfn.AGGREGATE(15,6,ROW(DB!A$2:A$2576)/((($D$3&lt;&gt;"YES")+($D$3="YES")*(DB!E$2:E$2576="YES"))*(($D$4="")+($D$4&lt;&gt;"")*( DB!B$2:B$2576=$D$4))*(($D$5="")+($D$5&lt;&gt;"")*( DB!C$2:C$2576=$D$5))*(($D$6="")+($D$6&lt;&gt;"")*( DB!D$2:D$2576=$D$6))*(($D$7="")+($D$7&lt;&gt;"")*(ISNUMBER(SEARCH($D$7,DB!G$2:G$2576))))*(($F$7="전체")+($F$7&lt;&gt;"전체")*(DB!H$2:H$2576=$F$7))),ROW()-13)-1,"")</f>
        <v/>
      </c>
      <c r="Q1846" t="str" cm="1">
        <f t="array" ref="Q1846">IFERROR(INDEX(DB!G$2:G$2576,P1846),"")</f>
        <v/>
      </c>
      <c r="R1846" t="str" cm="1">
        <f t="array" ref="R1846">IFERROR(INDEX(DB!O$2:O$2576,P1846),"")</f>
        <v/>
      </c>
      <c r="S1846" t="str">
        <f t="shared" si="87"/>
        <v/>
      </c>
      <c r="T1846" t="str">
        <f t="shared" si="88"/>
        <v/>
      </c>
    </row>
    <row r="1847" spans="1:20" ht="100" customHeight="1">
      <c r="A1847" s="26"/>
      <c r="B1847" s="42" t="str">
        <f t="shared" si="86"/>
        <v/>
      </c>
      <c r="C1847" s="43"/>
      <c r="D1847" s="51" t="str" cm="1">
        <f t="array" ref="D1847">IFERROR(INDEX(DB!G$2:G$2576,T1847),"")</f>
        <v/>
      </c>
      <c r="E1847" s="43"/>
      <c r="F1847" s="52" t="str" cm="1">
        <f t="array" ref="F1847">IFERROR(INDEX(DB!O$2:O$2576,T1847),"")</f>
        <v/>
      </c>
      <c r="G1847" s="43"/>
      <c r="H1847" s="40" t="str" cm="1">
        <f t="array" ref="H1847">IFERROR(INDEX(DB!P$2:P$2576,T1847),"")</f>
        <v/>
      </c>
      <c r="I1847" s="43"/>
      <c r="J1847" s="53" t="str" cm="1">
        <f t="array" ref="J1847">IFERROR(INDEX(DB!Q$2:Q$2576,T1847),"")</f>
        <v/>
      </c>
      <c r="K1847" s="43"/>
      <c r="L1847" s="41" t="str" cm="1">
        <f t="array" ref="L1847">IFERROR(INDEX(DB!R$2:R$2576,T1847),"")</f>
        <v/>
      </c>
      <c r="M1847" s="43"/>
      <c r="P1847" t="str" cm="1">
        <f t="array" ref="P1847">IFERROR(_xlfn.AGGREGATE(15,6,ROW(DB!A$2:A$2576)/((($D$3&lt;&gt;"YES")+($D$3="YES")*(DB!E$2:E$2576="YES"))*(($D$4="")+($D$4&lt;&gt;"")*( DB!B$2:B$2576=$D$4))*(($D$5="")+($D$5&lt;&gt;"")*( DB!C$2:C$2576=$D$5))*(($D$6="")+($D$6&lt;&gt;"")*( DB!D$2:D$2576=$D$6))*(($D$7="")+($D$7&lt;&gt;"")*(ISNUMBER(SEARCH($D$7,DB!G$2:G$2576))))*(($F$7="전체")+($F$7&lt;&gt;"전체")*(DB!H$2:H$2576=$F$7))),ROW()-13)-1,"")</f>
        <v/>
      </c>
      <c r="Q1847" t="str" cm="1">
        <f t="array" ref="Q1847">IFERROR(INDEX(DB!G$2:G$2576,P1847),"")</f>
        <v/>
      </c>
      <c r="R1847" t="str" cm="1">
        <f t="array" ref="R1847">IFERROR(INDEX(DB!O$2:O$2576,P1847),"")</f>
        <v/>
      </c>
      <c r="S1847" t="str">
        <f t="shared" si="87"/>
        <v/>
      </c>
      <c r="T1847" t="str">
        <f t="shared" si="88"/>
        <v/>
      </c>
    </row>
    <row r="1848" spans="1:20" ht="100" customHeight="1">
      <c r="A1848" s="26"/>
      <c r="B1848" s="39" t="str">
        <f t="shared" si="86"/>
        <v/>
      </c>
      <c r="C1848" s="43"/>
      <c r="D1848" s="51" t="str" cm="1">
        <f t="array" ref="D1848">IFERROR(INDEX(DB!G$2:G$2576,T1848),"")</f>
        <v/>
      </c>
      <c r="E1848" s="43"/>
      <c r="F1848" s="52" t="str" cm="1">
        <f t="array" ref="F1848">IFERROR(INDEX(DB!O$2:O$2576,T1848),"")</f>
        <v/>
      </c>
      <c r="G1848" s="43"/>
      <c r="H1848" s="40" t="str" cm="1">
        <f t="array" ref="H1848">IFERROR(INDEX(DB!P$2:P$2576,T1848),"")</f>
        <v/>
      </c>
      <c r="I1848" s="43"/>
      <c r="J1848" s="53" t="str" cm="1">
        <f t="array" ref="J1848">IFERROR(INDEX(DB!Q$2:Q$2576,T1848),"")</f>
        <v/>
      </c>
      <c r="K1848" s="43"/>
      <c r="L1848" s="41" t="str" cm="1">
        <f t="array" ref="L1848">IFERROR(INDEX(DB!R$2:R$2576,T1848),"")</f>
        <v/>
      </c>
      <c r="M1848" s="43"/>
      <c r="P1848" t="str" cm="1">
        <f t="array" ref="P1848">IFERROR(_xlfn.AGGREGATE(15,6,ROW(DB!A$2:A$2576)/((($D$3&lt;&gt;"YES")+($D$3="YES")*(DB!E$2:E$2576="YES"))*(($D$4="")+($D$4&lt;&gt;"")*( DB!B$2:B$2576=$D$4))*(($D$5="")+($D$5&lt;&gt;"")*( DB!C$2:C$2576=$D$5))*(($D$6="")+($D$6&lt;&gt;"")*( DB!D$2:D$2576=$D$6))*(($D$7="")+($D$7&lt;&gt;"")*(ISNUMBER(SEARCH($D$7,DB!G$2:G$2576))))*(($F$7="전체")+($F$7&lt;&gt;"전체")*(DB!H$2:H$2576=$F$7))),ROW()-13)-1,"")</f>
        <v/>
      </c>
      <c r="Q1848" t="str" cm="1">
        <f t="array" ref="Q1848">IFERROR(INDEX(DB!G$2:G$2576,P1848),"")</f>
        <v/>
      </c>
      <c r="R1848" t="str" cm="1">
        <f t="array" ref="R1848">IFERROR(INDEX(DB!O$2:O$2576,P1848),"")</f>
        <v/>
      </c>
      <c r="S1848" t="str">
        <f t="shared" si="87"/>
        <v/>
      </c>
      <c r="T1848" t="str">
        <f t="shared" si="88"/>
        <v/>
      </c>
    </row>
    <row r="1849" spans="1:20" ht="100" customHeight="1">
      <c r="A1849" s="26"/>
      <c r="B1849" s="42" t="str">
        <f t="shared" si="86"/>
        <v/>
      </c>
      <c r="C1849" s="43"/>
      <c r="D1849" s="51" t="str" cm="1">
        <f t="array" ref="D1849">IFERROR(INDEX(DB!G$2:G$2576,T1849),"")</f>
        <v/>
      </c>
      <c r="E1849" s="43"/>
      <c r="F1849" s="52" t="str" cm="1">
        <f t="array" ref="F1849">IFERROR(INDEX(DB!O$2:O$2576,T1849),"")</f>
        <v/>
      </c>
      <c r="G1849" s="43"/>
      <c r="H1849" s="40" t="str" cm="1">
        <f t="array" ref="H1849">IFERROR(INDEX(DB!P$2:P$2576,T1849),"")</f>
        <v/>
      </c>
      <c r="I1849" s="43"/>
      <c r="J1849" s="53" t="str" cm="1">
        <f t="array" ref="J1849">IFERROR(INDEX(DB!Q$2:Q$2576,T1849),"")</f>
        <v/>
      </c>
      <c r="K1849" s="43"/>
      <c r="L1849" s="41" t="str" cm="1">
        <f t="array" ref="L1849">IFERROR(INDEX(DB!R$2:R$2576,T1849),"")</f>
        <v/>
      </c>
      <c r="M1849" s="43"/>
      <c r="P1849" t="str" cm="1">
        <f t="array" ref="P1849">IFERROR(_xlfn.AGGREGATE(15,6,ROW(DB!A$2:A$2576)/((($D$3&lt;&gt;"YES")+($D$3="YES")*(DB!E$2:E$2576="YES"))*(($D$4="")+($D$4&lt;&gt;"")*( DB!B$2:B$2576=$D$4))*(($D$5="")+($D$5&lt;&gt;"")*( DB!C$2:C$2576=$D$5))*(($D$6="")+($D$6&lt;&gt;"")*( DB!D$2:D$2576=$D$6))*(($D$7="")+($D$7&lt;&gt;"")*(ISNUMBER(SEARCH($D$7,DB!G$2:G$2576))))*(($F$7="전체")+($F$7&lt;&gt;"전체")*(DB!H$2:H$2576=$F$7))),ROW()-13)-1,"")</f>
        <v/>
      </c>
      <c r="Q1849" t="str" cm="1">
        <f t="array" ref="Q1849">IFERROR(INDEX(DB!G$2:G$2576,P1849),"")</f>
        <v/>
      </c>
      <c r="R1849" t="str" cm="1">
        <f t="array" ref="R1849">IFERROR(INDEX(DB!O$2:O$2576,P1849),"")</f>
        <v/>
      </c>
      <c r="S1849" t="str">
        <f t="shared" si="87"/>
        <v/>
      </c>
      <c r="T1849" t="str">
        <f t="shared" si="88"/>
        <v/>
      </c>
    </row>
    <row r="1850" spans="1:20" ht="100" customHeight="1">
      <c r="A1850" s="26"/>
      <c r="B1850" s="39" t="str">
        <f t="shared" si="86"/>
        <v/>
      </c>
      <c r="C1850" s="43"/>
      <c r="D1850" s="51" t="str" cm="1">
        <f t="array" ref="D1850">IFERROR(INDEX(DB!G$2:G$2576,T1850),"")</f>
        <v/>
      </c>
      <c r="E1850" s="43"/>
      <c r="F1850" s="52" t="str" cm="1">
        <f t="array" ref="F1850">IFERROR(INDEX(DB!O$2:O$2576,T1850),"")</f>
        <v/>
      </c>
      <c r="G1850" s="43"/>
      <c r="H1850" s="40" t="str" cm="1">
        <f t="array" ref="H1850">IFERROR(INDEX(DB!P$2:P$2576,T1850),"")</f>
        <v/>
      </c>
      <c r="I1850" s="43"/>
      <c r="J1850" s="53" t="str" cm="1">
        <f t="array" ref="J1850">IFERROR(INDEX(DB!Q$2:Q$2576,T1850),"")</f>
        <v/>
      </c>
      <c r="K1850" s="43"/>
      <c r="L1850" s="41" t="str" cm="1">
        <f t="array" ref="L1850">IFERROR(INDEX(DB!R$2:R$2576,T1850),"")</f>
        <v/>
      </c>
      <c r="M1850" s="43"/>
      <c r="P1850" t="str" cm="1">
        <f t="array" ref="P1850">IFERROR(_xlfn.AGGREGATE(15,6,ROW(DB!A$2:A$2576)/((($D$3&lt;&gt;"YES")+($D$3="YES")*(DB!E$2:E$2576="YES"))*(($D$4="")+($D$4&lt;&gt;"")*( DB!B$2:B$2576=$D$4))*(($D$5="")+($D$5&lt;&gt;"")*( DB!C$2:C$2576=$D$5))*(($D$6="")+($D$6&lt;&gt;"")*( DB!D$2:D$2576=$D$6))*(($D$7="")+($D$7&lt;&gt;"")*(ISNUMBER(SEARCH($D$7,DB!G$2:G$2576))))*(($F$7="전체")+($F$7&lt;&gt;"전체")*(DB!H$2:H$2576=$F$7))),ROW()-13)-1,"")</f>
        <v/>
      </c>
      <c r="Q1850" t="str" cm="1">
        <f t="array" ref="Q1850">IFERROR(INDEX(DB!G$2:G$2576,P1850),"")</f>
        <v/>
      </c>
      <c r="R1850" t="str" cm="1">
        <f t="array" ref="R1850">IFERROR(INDEX(DB!O$2:O$2576,P1850),"")</f>
        <v/>
      </c>
      <c r="S1850" t="str">
        <f t="shared" si="87"/>
        <v/>
      </c>
      <c r="T1850" t="str">
        <f t="shared" si="88"/>
        <v/>
      </c>
    </row>
    <row r="1851" spans="1:20" ht="100" customHeight="1">
      <c r="A1851" s="26"/>
      <c r="B1851" s="42" t="str">
        <f t="shared" si="86"/>
        <v/>
      </c>
      <c r="C1851" s="43"/>
      <c r="D1851" s="51" t="str" cm="1">
        <f t="array" ref="D1851">IFERROR(INDEX(DB!G$2:G$2576,T1851),"")</f>
        <v/>
      </c>
      <c r="E1851" s="43"/>
      <c r="F1851" s="52" t="str" cm="1">
        <f t="array" ref="F1851">IFERROR(INDEX(DB!O$2:O$2576,T1851),"")</f>
        <v/>
      </c>
      <c r="G1851" s="43"/>
      <c r="H1851" s="40" t="str" cm="1">
        <f t="array" ref="H1851">IFERROR(INDEX(DB!P$2:P$2576,T1851),"")</f>
        <v/>
      </c>
      <c r="I1851" s="43"/>
      <c r="J1851" s="53" t="str" cm="1">
        <f t="array" ref="J1851">IFERROR(INDEX(DB!Q$2:Q$2576,T1851),"")</f>
        <v/>
      </c>
      <c r="K1851" s="43"/>
      <c r="L1851" s="41" t="str" cm="1">
        <f t="array" ref="L1851">IFERROR(INDEX(DB!R$2:R$2576,T1851),"")</f>
        <v/>
      </c>
      <c r="M1851" s="43"/>
      <c r="P1851" t="str" cm="1">
        <f t="array" ref="P1851">IFERROR(_xlfn.AGGREGATE(15,6,ROW(DB!A$2:A$2576)/((($D$3&lt;&gt;"YES")+($D$3="YES")*(DB!E$2:E$2576="YES"))*(($D$4="")+($D$4&lt;&gt;"")*( DB!B$2:B$2576=$D$4))*(($D$5="")+($D$5&lt;&gt;"")*( DB!C$2:C$2576=$D$5))*(($D$6="")+($D$6&lt;&gt;"")*( DB!D$2:D$2576=$D$6))*(($D$7="")+($D$7&lt;&gt;"")*(ISNUMBER(SEARCH($D$7,DB!G$2:G$2576))))*(($F$7="전체")+($F$7&lt;&gt;"전체")*(DB!H$2:H$2576=$F$7))),ROW()-13)-1,"")</f>
        <v/>
      </c>
      <c r="Q1851" t="str" cm="1">
        <f t="array" ref="Q1851">IFERROR(INDEX(DB!G$2:G$2576,P1851),"")</f>
        <v/>
      </c>
      <c r="R1851" t="str" cm="1">
        <f t="array" ref="R1851">IFERROR(INDEX(DB!O$2:O$2576,P1851),"")</f>
        <v/>
      </c>
      <c r="S1851" t="str">
        <f t="shared" si="87"/>
        <v/>
      </c>
      <c r="T1851" t="str">
        <f t="shared" si="88"/>
        <v/>
      </c>
    </row>
    <row r="1852" spans="1:20" ht="100" customHeight="1">
      <c r="A1852" s="26"/>
      <c r="B1852" s="39" t="str">
        <f t="shared" si="86"/>
        <v/>
      </c>
      <c r="C1852" s="43"/>
      <c r="D1852" s="51" t="str" cm="1">
        <f t="array" ref="D1852">IFERROR(INDEX(DB!G$2:G$2576,T1852),"")</f>
        <v/>
      </c>
      <c r="E1852" s="43"/>
      <c r="F1852" s="52" t="str" cm="1">
        <f t="array" ref="F1852">IFERROR(INDEX(DB!O$2:O$2576,T1852),"")</f>
        <v/>
      </c>
      <c r="G1852" s="43"/>
      <c r="H1852" s="40" t="str" cm="1">
        <f t="array" ref="H1852">IFERROR(INDEX(DB!P$2:P$2576,T1852),"")</f>
        <v/>
      </c>
      <c r="I1852" s="43"/>
      <c r="J1852" s="53" t="str" cm="1">
        <f t="array" ref="J1852">IFERROR(INDEX(DB!Q$2:Q$2576,T1852),"")</f>
        <v/>
      </c>
      <c r="K1852" s="43"/>
      <c r="L1852" s="41" t="str" cm="1">
        <f t="array" ref="L1852">IFERROR(INDEX(DB!R$2:R$2576,T1852),"")</f>
        <v/>
      </c>
      <c r="M1852" s="43"/>
      <c r="P1852" t="str" cm="1">
        <f t="array" ref="P1852">IFERROR(_xlfn.AGGREGATE(15,6,ROW(DB!A$2:A$2576)/((($D$3&lt;&gt;"YES")+($D$3="YES")*(DB!E$2:E$2576="YES"))*(($D$4="")+($D$4&lt;&gt;"")*( DB!B$2:B$2576=$D$4))*(($D$5="")+($D$5&lt;&gt;"")*( DB!C$2:C$2576=$D$5))*(($D$6="")+($D$6&lt;&gt;"")*( DB!D$2:D$2576=$D$6))*(($D$7="")+($D$7&lt;&gt;"")*(ISNUMBER(SEARCH($D$7,DB!G$2:G$2576))))*(($F$7="전체")+($F$7&lt;&gt;"전체")*(DB!H$2:H$2576=$F$7))),ROW()-13)-1,"")</f>
        <v/>
      </c>
      <c r="Q1852" t="str" cm="1">
        <f t="array" ref="Q1852">IFERROR(INDEX(DB!G$2:G$2576,P1852),"")</f>
        <v/>
      </c>
      <c r="R1852" t="str" cm="1">
        <f t="array" ref="R1852">IFERROR(INDEX(DB!O$2:O$2576,P1852),"")</f>
        <v/>
      </c>
      <c r="S1852" t="str">
        <f t="shared" si="87"/>
        <v/>
      </c>
      <c r="T1852" t="str">
        <f t="shared" si="88"/>
        <v/>
      </c>
    </row>
    <row r="1853" spans="1:20" ht="100" customHeight="1">
      <c r="A1853" s="26"/>
      <c r="B1853" s="42" t="str">
        <f t="shared" si="86"/>
        <v/>
      </c>
      <c r="C1853" s="43"/>
      <c r="D1853" s="51" t="str" cm="1">
        <f t="array" ref="D1853">IFERROR(INDEX(DB!G$2:G$2576,T1853),"")</f>
        <v/>
      </c>
      <c r="E1853" s="43"/>
      <c r="F1853" s="52" t="str" cm="1">
        <f t="array" ref="F1853">IFERROR(INDEX(DB!O$2:O$2576,T1853),"")</f>
        <v/>
      </c>
      <c r="G1853" s="43"/>
      <c r="H1853" s="40" t="str" cm="1">
        <f t="array" ref="H1853">IFERROR(INDEX(DB!P$2:P$2576,T1853),"")</f>
        <v/>
      </c>
      <c r="I1853" s="43"/>
      <c r="J1853" s="53" t="str" cm="1">
        <f t="array" ref="J1853">IFERROR(INDEX(DB!Q$2:Q$2576,T1853),"")</f>
        <v/>
      </c>
      <c r="K1853" s="43"/>
      <c r="L1853" s="41" t="str" cm="1">
        <f t="array" ref="L1853">IFERROR(INDEX(DB!R$2:R$2576,T1853),"")</f>
        <v/>
      </c>
      <c r="M1853" s="43"/>
      <c r="P1853" t="str" cm="1">
        <f t="array" ref="P1853">IFERROR(_xlfn.AGGREGATE(15,6,ROW(DB!A$2:A$2576)/((($D$3&lt;&gt;"YES")+($D$3="YES")*(DB!E$2:E$2576="YES"))*(($D$4="")+($D$4&lt;&gt;"")*( DB!B$2:B$2576=$D$4))*(($D$5="")+($D$5&lt;&gt;"")*( DB!C$2:C$2576=$D$5))*(($D$6="")+($D$6&lt;&gt;"")*( DB!D$2:D$2576=$D$6))*(($D$7="")+($D$7&lt;&gt;"")*(ISNUMBER(SEARCH($D$7,DB!G$2:G$2576))))*(($F$7="전체")+($F$7&lt;&gt;"전체")*(DB!H$2:H$2576=$F$7))),ROW()-13)-1,"")</f>
        <v/>
      </c>
      <c r="Q1853" t="str" cm="1">
        <f t="array" ref="Q1853">IFERROR(INDEX(DB!G$2:G$2576,P1853),"")</f>
        <v/>
      </c>
      <c r="R1853" t="str" cm="1">
        <f t="array" ref="R1853">IFERROR(INDEX(DB!O$2:O$2576,P1853),"")</f>
        <v/>
      </c>
      <c r="S1853" t="str">
        <f t="shared" si="87"/>
        <v/>
      </c>
      <c r="T1853" t="str">
        <f t="shared" si="88"/>
        <v/>
      </c>
    </row>
    <row r="1854" spans="1:20" ht="100" customHeight="1">
      <c r="A1854" s="26"/>
      <c r="B1854" s="39" t="str">
        <f t="shared" si="86"/>
        <v/>
      </c>
      <c r="C1854" s="43"/>
      <c r="D1854" s="51" t="str" cm="1">
        <f t="array" ref="D1854">IFERROR(INDEX(DB!G$2:G$2576,T1854),"")</f>
        <v/>
      </c>
      <c r="E1854" s="43"/>
      <c r="F1854" s="52" t="str" cm="1">
        <f t="array" ref="F1854">IFERROR(INDEX(DB!O$2:O$2576,T1854),"")</f>
        <v/>
      </c>
      <c r="G1854" s="43"/>
      <c r="H1854" s="40" t="str" cm="1">
        <f t="array" ref="H1854">IFERROR(INDEX(DB!P$2:P$2576,T1854),"")</f>
        <v/>
      </c>
      <c r="I1854" s="43"/>
      <c r="J1854" s="53" t="str" cm="1">
        <f t="array" ref="J1854">IFERROR(INDEX(DB!Q$2:Q$2576,T1854),"")</f>
        <v/>
      </c>
      <c r="K1854" s="43"/>
      <c r="L1854" s="41" t="str" cm="1">
        <f t="array" ref="L1854">IFERROR(INDEX(DB!R$2:R$2576,T1854),"")</f>
        <v/>
      </c>
      <c r="M1854" s="43"/>
      <c r="P1854" t="str" cm="1">
        <f t="array" ref="P1854">IFERROR(_xlfn.AGGREGATE(15,6,ROW(DB!A$2:A$2576)/((($D$3&lt;&gt;"YES")+($D$3="YES")*(DB!E$2:E$2576="YES"))*(($D$4="")+($D$4&lt;&gt;"")*( DB!B$2:B$2576=$D$4))*(($D$5="")+($D$5&lt;&gt;"")*( DB!C$2:C$2576=$D$5))*(($D$6="")+($D$6&lt;&gt;"")*( DB!D$2:D$2576=$D$6))*(($D$7="")+($D$7&lt;&gt;"")*(ISNUMBER(SEARCH($D$7,DB!G$2:G$2576))))*(($F$7="전체")+($F$7&lt;&gt;"전체")*(DB!H$2:H$2576=$F$7))),ROW()-13)-1,"")</f>
        <v/>
      </c>
      <c r="Q1854" t="str" cm="1">
        <f t="array" ref="Q1854">IFERROR(INDEX(DB!G$2:G$2576,P1854),"")</f>
        <v/>
      </c>
      <c r="R1854" t="str" cm="1">
        <f t="array" ref="R1854">IFERROR(INDEX(DB!O$2:O$2576,P1854),"")</f>
        <v/>
      </c>
      <c r="S1854" t="str">
        <f t="shared" si="87"/>
        <v/>
      </c>
      <c r="T1854" t="str">
        <f t="shared" si="88"/>
        <v/>
      </c>
    </row>
    <row r="1855" spans="1:20" ht="100" customHeight="1">
      <c r="A1855" s="26"/>
      <c r="B1855" s="42" t="str">
        <f t="shared" si="86"/>
        <v/>
      </c>
      <c r="C1855" s="43"/>
      <c r="D1855" s="51" t="str" cm="1">
        <f t="array" ref="D1855">IFERROR(INDEX(DB!G$2:G$2576,T1855),"")</f>
        <v/>
      </c>
      <c r="E1855" s="43"/>
      <c r="F1855" s="52" t="str" cm="1">
        <f t="array" ref="F1855">IFERROR(INDEX(DB!O$2:O$2576,T1855),"")</f>
        <v/>
      </c>
      <c r="G1855" s="43"/>
      <c r="H1855" s="40" t="str" cm="1">
        <f t="array" ref="H1855">IFERROR(INDEX(DB!P$2:P$2576,T1855),"")</f>
        <v/>
      </c>
      <c r="I1855" s="43"/>
      <c r="J1855" s="53" t="str" cm="1">
        <f t="array" ref="J1855">IFERROR(INDEX(DB!Q$2:Q$2576,T1855),"")</f>
        <v/>
      </c>
      <c r="K1855" s="43"/>
      <c r="L1855" s="41" t="str" cm="1">
        <f t="array" ref="L1855">IFERROR(INDEX(DB!R$2:R$2576,T1855),"")</f>
        <v/>
      </c>
      <c r="M1855" s="43"/>
      <c r="P1855" t="str" cm="1">
        <f t="array" ref="P1855">IFERROR(_xlfn.AGGREGATE(15,6,ROW(DB!A$2:A$2576)/((($D$3&lt;&gt;"YES")+($D$3="YES")*(DB!E$2:E$2576="YES"))*(($D$4="")+($D$4&lt;&gt;"")*( DB!B$2:B$2576=$D$4))*(($D$5="")+($D$5&lt;&gt;"")*( DB!C$2:C$2576=$D$5))*(($D$6="")+($D$6&lt;&gt;"")*( DB!D$2:D$2576=$D$6))*(($D$7="")+($D$7&lt;&gt;"")*(ISNUMBER(SEARCH($D$7,DB!G$2:G$2576))))*(($F$7="전체")+($F$7&lt;&gt;"전체")*(DB!H$2:H$2576=$F$7))),ROW()-13)-1,"")</f>
        <v/>
      </c>
      <c r="Q1855" t="str" cm="1">
        <f t="array" ref="Q1855">IFERROR(INDEX(DB!G$2:G$2576,P1855),"")</f>
        <v/>
      </c>
      <c r="R1855" t="str" cm="1">
        <f t="array" ref="R1855">IFERROR(INDEX(DB!O$2:O$2576,P1855),"")</f>
        <v/>
      </c>
      <c r="S1855" t="str">
        <f t="shared" si="87"/>
        <v/>
      </c>
      <c r="T1855" t="str">
        <f t="shared" si="88"/>
        <v/>
      </c>
    </row>
    <row r="1856" spans="1:20" ht="100" customHeight="1">
      <c r="A1856" s="26"/>
      <c r="B1856" s="39" t="str">
        <f t="shared" si="86"/>
        <v/>
      </c>
      <c r="C1856" s="43"/>
      <c r="D1856" s="51" t="str" cm="1">
        <f t="array" ref="D1856">IFERROR(INDEX(DB!G$2:G$2576,T1856),"")</f>
        <v/>
      </c>
      <c r="E1856" s="43"/>
      <c r="F1856" s="52" t="str" cm="1">
        <f t="array" ref="F1856">IFERROR(INDEX(DB!O$2:O$2576,T1856),"")</f>
        <v/>
      </c>
      <c r="G1856" s="43"/>
      <c r="H1856" s="40" t="str" cm="1">
        <f t="array" ref="H1856">IFERROR(INDEX(DB!P$2:P$2576,T1856),"")</f>
        <v/>
      </c>
      <c r="I1856" s="43"/>
      <c r="J1856" s="53" t="str" cm="1">
        <f t="array" ref="J1856">IFERROR(INDEX(DB!Q$2:Q$2576,T1856),"")</f>
        <v/>
      </c>
      <c r="K1856" s="43"/>
      <c r="L1856" s="41" t="str" cm="1">
        <f t="array" ref="L1856">IFERROR(INDEX(DB!R$2:R$2576,T1856),"")</f>
        <v/>
      </c>
      <c r="M1856" s="43"/>
      <c r="P1856" t="str" cm="1">
        <f t="array" ref="P1856">IFERROR(_xlfn.AGGREGATE(15,6,ROW(DB!A$2:A$2576)/((($D$3&lt;&gt;"YES")+($D$3="YES")*(DB!E$2:E$2576="YES"))*(($D$4="")+($D$4&lt;&gt;"")*( DB!B$2:B$2576=$D$4))*(($D$5="")+($D$5&lt;&gt;"")*( DB!C$2:C$2576=$D$5))*(($D$6="")+($D$6&lt;&gt;"")*( DB!D$2:D$2576=$D$6))*(($D$7="")+($D$7&lt;&gt;"")*(ISNUMBER(SEARCH($D$7,DB!G$2:G$2576))))*(($F$7="전체")+($F$7&lt;&gt;"전체")*(DB!H$2:H$2576=$F$7))),ROW()-13)-1,"")</f>
        <v/>
      </c>
      <c r="Q1856" t="str" cm="1">
        <f t="array" ref="Q1856">IFERROR(INDEX(DB!G$2:G$2576,P1856),"")</f>
        <v/>
      </c>
      <c r="R1856" t="str" cm="1">
        <f t="array" ref="R1856">IFERROR(INDEX(DB!O$2:O$2576,P1856),"")</f>
        <v/>
      </c>
      <c r="S1856" t="str">
        <f t="shared" si="87"/>
        <v/>
      </c>
      <c r="T1856" t="str">
        <f t="shared" si="88"/>
        <v/>
      </c>
    </row>
    <row r="1857" spans="1:20" ht="100" customHeight="1">
      <c r="A1857" s="26"/>
      <c r="B1857" s="42" t="str">
        <f t="shared" si="86"/>
        <v/>
      </c>
      <c r="C1857" s="43"/>
      <c r="D1857" s="51" t="str" cm="1">
        <f t="array" ref="D1857">IFERROR(INDEX(DB!G$2:G$2576,T1857),"")</f>
        <v/>
      </c>
      <c r="E1857" s="43"/>
      <c r="F1857" s="52" t="str" cm="1">
        <f t="array" ref="F1857">IFERROR(INDEX(DB!O$2:O$2576,T1857),"")</f>
        <v/>
      </c>
      <c r="G1857" s="43"/>
      <c r="H1857" s="40" t="str" cm="1">
        <f t="array" ref="H1857">IFERROR(INDEX(DB!P$2:P$2576,T1857),"")</f>
        <v/>
      </c>
      <c r="I1857" s="43"/>
      <c r="J1857" s="53" t="str" cm="1">
        <f t="array" ref="J1857">IFERROR(INDEX(DB!Q$2:Q$2576,T1857),"")</f>
        <v/>
      </c>
      <c r="K1857" s="43"/>
      <c r="L1857" s="41" t="str" cm="1">
        <f t="array" ref="L1857">IFERROR(INDEX(DB!R$2:R$2576,T1857),"")</f>
        <v/>
      </c>
      <c r="M1857" s="43"/>
      <c r="P1857" t="str" cm="1">
        <f t="array" ref="P1857">IFERROR(_xlfn.AGGREGATE(15,6,ROW(DB!A$2:A$2576)/((($D$3&lt;&gt;"YES")+($D$3="YES")*(DB!E$2:E$2576="YES"))*(($D$4="")+($D$4&lt;&gt;"")*( DB!B$2:B$2576=$D$4))*(($D$5="")+($D$5&lt;&gt;"")*( DB!C$2:C$2576=$D$5))*(($D$6="")+($D$6&lt;&gt;"")*( DB!D$2:D$2576=$D$6))*(($D$7="")+($D$7&lt;&gt;"")*(ISNUMBER(SEARCH($D$7,DB!G$2:G$2576))))*(($F$7="전체")+($F$7&lt;&gt;"전체")*(DB!H$2:H$2576=$F$7))),ROW()-13)-1,"")</f>
        <v/>
      </c>
      <c r="Q1857" t="str" cm="1">
        <f t="array" ref="Q1857">IFERROR(INDEX(DB!G$2:G$2576,P1857),"")</f>
        <v/>
      </c>
      <c r="R1857" t="str" cm="1">
        <f t="array" ref="R1857">IFERROR(INDEX(DB!O$2:O$2576,P1857),"")</f>
        <v/>
      </c>
      <c r="S1857" t="str">
        <f t="shared" si="87"/>
        <v/>
      </c>
      <c r="T1857" t="str">
        <f t="shared" si="88"/>
        <v/>
      </c>
    </row>
    <row r="1858" spans="1:20" ht="100" customHeight="1">
      <c r="A1858" s="26"/>
      <c r="B1858" s="39" t="str">
        <f t="shared" si="86"/>
        <v/>
      </c>
      <c r="C1858" s="43"/>
      <c r="D1858" s="51" t="str" cm="1">
        <f t="array" ref="D1858">IFERROR(INDEX(DB!G$2:G$2576,T1858),"")</f>
        <v/>
      </c>
      <c r="E1858" s="43"/>
      <c r="F1858" s="52" t="str" cm="1">
        <f t="array" ref="F1858">IFERROR(INDEX(DB!O$2:O$2576,T1858),"")</f>
        <v/>
      </c>
      <c r="G1858" s="43"/>
      <c r="H1858" s="40" t="str" cm="1">
        <f t="array" ref="H1858">IFERROR(INDEX(DB!P$2:P$2576,T1858),"")</f>
        <v/>
      </c>
      <c r="I1858" s="43"/>
      <c r="J1858" s="53" t="str" cm="1">
        <f t="array" ref="J1858">IFERROR(INDEX(DB!Q$2:Q$2576,T1858),"")</f>
        <v/>
      </c>
      <c r="K1858" s="43"/>
      <c r="L1858" s="41" t="str" cm="1">
        <f t="array" ref="L1858">IFERROR(INDEX(DB!R$2:R$2576,T1858),"")</f>
        <v/>
      </c>
      <c r="M1858" s="43"/>
      <c r="P1858" t="str" cm="1">
        <f t="array" ref="P1858">IFERROR(_xlfn.AGGREGATE(15,6,ROW(DB!A$2:A$2576)/((($D$3&lt;&gt;"YES")+($D$3="YES")*(DB!E$2:E$2576="YES"))*(($D$4="")+($D$4&lt;&gt;"")*( DB!B$2:B$2576=$D$4))*(($D$5="")+($D$5&lt;&gt;"")*( DB!C$2:C$2576=$D$5))*(($D$6="")+($D$6&lt;&gt;"")*( DB!D$2:D$2576=$D$6))*(($D$7="")+($D$7&lt;&gt;"")*(ISNUMBER(SEARCH($D$7,DB!G$2:G$2576))))*(($F$7="전체")+($F$7&lt;&gt;"전체")*(DB!H$2:H$2576=$F$7))),ROW()-13)-1,"")</f>
        <v/>
      </c>
      <c r="Q1858" t="str" cm="1">
        <f t="array" ref="Q1858">IFERROR(INDEX(DB!G$2:G$2576,P1858),"")</f>
        <v/>
      </c>
      <c r="R1858" t="str" cm="1">
        <f t="array" ref="R1858">IFERROR(INDEX(DB!O$2:O$2576,P1858),"")</f>
        <v/>
      </c>
      <c r="S1858" t="str">
        <f t="shared" si="87"/>
        <v/>
      </c>
      <c r="T1858" t="str">
        <f t="shared" si="88"/>
        <v/>
      </c>
    </row>
    <row r="1859" spans="1:20" ht="100" customHeight="1">
      <c r="A1859" s="26"/>
      <c r="B1859" s="42" t="str">
        <f t="shared" si="86"/>
        <v/>
      </c>
      <c r="C1859" s="43"/>
      <c r="D1859" s="51" t="str" cm="1">
        <f t="array" ref="D1859">IFERROR(INDEX(DB!G$2:G$2576,T1859),"")</f>
        <v/>
      </c>
      <c r="E1859" s="43"/>
      <c r="F1859" s="52" t="str" cm="1">
        <f t="array" ref="F1859">IFERROR(INDEX(DB!O$2:O$2576,T1859),"")</f>
        <v/>
      </c>
      <c r="G1859" s="43"/>
      <c r="H1859" s="40" t="str" cm="1">
        <f t="array" ref="H1859">IFERROR(INDEX(DB!P$2:P$2576,T1859),"")</f>
        <v/>
      </c>
      <c r="I1859" s="43"/>
      <c r="J1859" s="53" t="str" cm="1">
        <f t="array" ref="J1859">IFERROR(INDEX(DB!Q$2:Q$2576,T1859),"")</f>
        <v/>
      </c>
      <c r="K1859" s="43"/>
      <c r="L1859" s="41" t="str" cm="1">
        <f t="array" ref="L1859">IFERROR(INDEX(DB!R$2:R$2576,T1859),"")</f>
        <v/>
      </c>
      <c r="M1859" s="43"/>
      <c r="P1859" t="str" cm="1">
        <f t="array" ref="P1859">IFERROR(_xlfn.AGGREGATE(15,6,ROW(DB!A$2:A$2576)/((($D$3&lt;&gt;"YES")+($D$3="YES")*(DB!E$2:E$2576="YES"))*(($D$4="")+($D$4&lt;&gt;"")*( DB!B$2:B$2576=$D$4))*(($D$5="")+($D$5&lt;&gt;"")*( DB!C$2:C$2576=$D$5))*(($D$6="")+($D$6&lt;&gt;"")*( DB!D$2:D$2576=$D$6))*(($D$7="")+($D$7&lt;&gt;"")*(ISNUMBER(SEARCH($D$7,DB!G$2:G$2576))))*(($F$7="전체")+($F$7&lt;&gt;"전체")*(DB!H$2:H$2576=$F$7))),ROW()-13)-1,"")</f>
        <v/>
      </c>
      <c r="Q1859" t="str" cm="1">
        <f t="array" ref="Q1859">IFERROR(INDEX(DB!G$2:G$2576,P1859),"")</f>
        <v/>
      </c>
      <c r="R1859" t="str" cm="1">
        <f t="array" ref="R1859">IFERROR(INDEX(DB!O$2:O$2576,P1859),"")</f>
        <v/>
      </c>
      <c r="S1859" t="str">
        <f t="shared" si="87"/>
        <v/>
      </c>
      <c r="T1859" t="str">
        <f t="shared" si="88"/>
        <v/>
      </c>
    </row>
    <row r="1860" spans="1:20" ht="100" customHeight="1">
      <c r="A1860" s="26"/>
      <c r="B1860" s="39" t="str">
        <f t="shared" si="86"/>
        <v/>
      </c>
      <c r="C1860" s="43"/>
      <c r="D1860" s="51" t="str" cm="1">
        <f t="array" ref="D1860">IFERROR(INDEX(DB!G$2:G$2576,T1860),"")</f>
        <v/>
      </c>
      <c r="E1860" s="43"/>
      <c r="F1860" s="52" t="str" cm="1">
        <f t="array" ref="F1860">IFERROR(INDEX(DB!O$2:O$2576,T1860),"")</f>
        <v/>
      </c>
      <c r="G1860" s="43"/>
      <c r="H1860" s="40" t="str" cm="1">
        <f t="array" ref="H1860">IFERROR(INDEX(DB!P$2:P$2576,T1860),"")</f>
        <v/>
      </c>
      <c r="I1860" s="43"/>
      <c r="J1860" s="53" t="str" cm="1">
        <f t="array" ref="J1860">IFERROR(INDEX(DB!Q$2:Q$2576,T1860),"")</f>
        <v/>
      </c>
      <c r="K1860" s="43"/>
      <c r="L1860" s="41" t="str" cm="1">
        <f t="array" ref="L1860">IFERROR(INDEX(DB!R$2:R$2576,T1860),"")</f>
        <v/>
      </c>
      <c r="M1860" s="43"/>
      <c r="P1860" t="str" cm="1">
        <f t="array" ref="P1860">IFERROR(_xlfn.AGGREGATE(15,6,ROW(DB!A$2:A$2576)/((($D$3&lt;&gt;"YES")+($D$3="YES")*(DB!E$2:E$2576="YES"))*(($D$4="")+($D$4&lt;&gt;"")*( DB!B$2:B$2576=$D$4))*(($D$5="")+($D$5&lt;&gt;"")*( DB!C$2:C$2576=$D$5))*(($D$6="")+($D$6&lt;&gt;"")*( DB!D$2:D$2576=$D$6))*(($D$7="")+($D$7&lt;&gt;"")*(ISNUMBER(SEARCH($D$7,DB!G$2:G$2576))))*(($F$7="전체")+($F$7&lt;&gt;"전체")*(DB!H$2:H$2576=$F$7))),ROW()-13)-1,"")</f>
        <v/>
      </c>
      <c r="Q1860" t="str" cm="1">
        <f t="array" ref="Q1860">IFERROR(INDEX(DB!G$2:G$2576,P1860),"")</f>
        <v/>
      </c>
      <c r="R1860" t="str" cm="1">
        <f t="array" ref="R1860">IFERROR(INDEX(DB!O$2:O$2576,P1860),"")</f>
        <v/>
      </c>
      <c r="S1860" t="str">
        <f t="shared" si="87"/>
        <v/>
      </c>
      <c r="T1860" t="str">
        <f t="shared" si="88"/>
        <v/>
      </c>
    </row>
    <row r="1861" spans="1:20" ht="100" customHeight="1">
      <c r="A1861" s="26"/>
      <c r="B1861" s="42" t="str">
        <f t="shared" si="86"/>
        <v/>
      </c>
      <c r="C1861" s="43"/>
      <c r="D1861" s="51" t="str" cm="1">
        <f t="array" ref="D1861">IFERROR(INDEX(DB!G$2:G$2576,T1861),"")</f>
        <v/>
      </c>
      <c r="E1861" s="43"/>
      <c r="F1861" s="52" t="str" cm="1">
        <f t="array" ref="F1861">IFERROR(INDEX(DB!O$2:O$2576,T1861),"")</f>
        <v/>
      </c>
      <c r="G1861" s="43"/>
      <c r="H1861" s="40" t="str" cm="1">
        <f t="array" ref="H1861">IFERROR(INDEX(DB!P$2:P$2576,T1861),"")</f>
        <v/>
      </c>
      <c r="I1861" s="43"/>
      <c r="J1861" s="53" t="str" cm="1">
        <f t="array" ref="J1861">IFERROR(INDEX(DB!Q$2:Q$2576,T1861),"")</f>
        <v/>
      </c>
      <c r="K1861" s="43"/>
      <c r="L1861" s="41" t="str" cm="1">
        <f t="array" ref="L1861">IFERROR(INDEX(DB!R$2:R$2576,T1861),"")</f>
        <v/>
      </c>
      <c r="M1861" s="43"/>
      <c r="P1861" t="str" cm="1">
        <f t="array" ref="P1861">IFERROR(_xlfn.AGGREGATE(15,6,ROW(DB!A$2:A$2576)/((($D$3&lt;&gt;"YES")+($D$3="YES")*(DB!E$2:E$2576="YES"))*(($D$4="")+($D$4&lt;&gt;"")*( DB!B$2:B$2576=$D$4))*(($D$5="")+($D$5&lt;&gt;"")*( DB!C$2:C$2576=$D$5))*(($D$6="")+($D$6&lt;&gt;"")*( DB!D$2:D$2576=$D$6))*(($D$7="")+($D$7&lt;&gt;"")*(ISNUMBER(SEARCH($D$7,DB!G$2:G$2576))))*(($F$7="전체")+($F$7&lt;&gt;"전체")*(DB!H$2:H$2576=$F$7))),ROW()-13)-1,"")</f>
        <v/>
      </c>
      <c r="Q1861" t="str" cm="1">
        <f t="array" ref="Q1861">IFERROR(INDEX(DB!G$2:G$2576,P1861),"")</f>
        <v/>
      </c>
      <c r="R1861" t="str" cm="1">
        <f t="array" ref="R1861">IFERROR(INDEX(DB!O$2:O$2576,P1861),"")</f>
        <v/>
      </c>
      <c r="S1861" t="str">
        <f t="shared" si="87"/>
        <v/>
      </c>
      <c r="T1861" t="str">
        <f t="shared" si="88"/>
        <v/>
      </c>
    </row>
    <row r="1862" spans="1:20" ht="100" customHeight="1">
      <c r="A1862" s="26"/>
      <c r="B1862" s="39" t="str">
        <f t="shared" si="86"/>
        <v/>
      </c>
      <c r="C1862" s="43"/>
      <c r="D1862" s="51" t="str" cm="1">
        <f t="array" ref="D1862">IFERROR(INDEX(DB!G$2:G$2576,T1862),"")</f>
        <v/>
      </c>
      <c r="E1862" s="43"/>
      <c r="F1862" s="52" t="str" cm="1">
        <f t="array" ref="F1862">IFERROR(INDEX(DB!O$2:O$2576,T1862),"")</f>
        <v/>
      </c>
      <c r="G1862" s="43"/>
      <c r="H1862" s="40" t="str" cm="1">
        <f t="array" ref="H1862">IFERROR(INDEX(DB!P$2:P$2576,T1862),"")</f>
        <v/>
      </c>
      <c r="I1862" s="43"/>
      <c r="J1862" s="53" t="str" cm="1">
        <f t="array" ref="J1862">IFERROR(INDEX(DB!Q$2:Q$2576,T1862),"")</f>
        <v/>
      </c>
      <c r="K1862" s="43"/>
      <c r="L1862" s="41" t="str" cm="1">
        <f t="array" ref="L1862">IFERROR(INDEX(DB!R$2:R$2576,T1862),"")</f>
        <v/>
      </c>
      <c r="M1862" s="43"/>
      <c r="P1862" t="str" cm="1">
        <f t="array" ref="P1862">IFERROR(_xlfn.AGGREGATE(15,6,ROW(DB!A$2:A$2576)/((($D$3&lt;&gt;"YES")+($D$3="YES")*(DB!E$2:E$2576="YES"))*(($D$4="")+($D$4&lt;&gt;"")*( DB!B$2:B$2576=$D$4))*(($D$5="")+($D$5&lt;&gt;"")*( DB!C$2:C$2576=$D$5))*(($D$6="")+($D$6&lt;&gt;"")*( DB!D$2:D$2576=$D$6))*(($D$7="")+($D$7&lt;&gt;"")*(ISNUMBER(SEARCH($D$7,DB!G$2:G$2576))))*(($F$7="전체")+($F$7&lt;&gt;"전체")*(DB!H$2:H$2576=$F$7))),ROW()-13)-1,"")</f>
        <v/>
      </c>
      <c r="Q1862" t="str" cm="1">
        <f t="array" ref="Q1862">IFERROR(INDEX(DB!G$2:G$2576,P1862),"")</f>
        <v/>
      </c>
      <c r="R1862" t="str" cm="1">
        <f t="array" ref="R1862">IFERROR(INDEX(DB!O$2:O$2576,P1862),"")</f>
        <v/>
      </c>
      <c r="S1862" t="str">
        <f t="shared" si="87"/>
        <v/>
      </c>
      <c r="T1862" t="str">
        <f t="shared" si="88"/>
        <v/>
      </c>
    </row>
    <row r="1863" spans="1:20" ht="100" customHeight="1">
      <c r="A1863" s="26"/>
      <c r="B1863" s="42" t="str">
        <f t="shared" si="86"/>
        <v/>
      </c>
      <c r="C1863" s="43"/>
      <c r="D1863" s="51" t="str" cm="1">
        <f t="array" ref="D1863">IFERROR(INDEX(DB!G$2:G$2576,T1863),"")</f>
        <v/>
      </c>
      <c r="E1863" s="43"/>
      <c r="F1863" s="52" t="str" cm="1">
        <f t="array" ref="F1863">IFERROR(INDEX(DB!O$2:O$2576,T1863),"")</f>
        <v/>
      </c>
      <c r="G1863" s="43"/>
      <c r="H1863" s="40" t="str" cm="1">
        <f t="array" ref="H1863">IFERROR(INDEX(DB!P$2:P$2576,T1863),"")</f>
        <v/>
      </c>
      <c r="I1863" s="43"/>
      <c r="J1863" s="53" t="str" cm="1">
        <f t="array" ref="J1863">IFERROR(INDEX(DB!Q$2:Q$2576,T1863),"")</f>
        <v/>
      </c>
      <c r="K1863" s="43"/>
      <c r="L1863" s="41" t="str" cm="1">
        <f t="array" ref="L1863">IFERROR(INDEX(DB!R$2:R$2576,T1863),"")</f>
        <v/>
      </c>
      <c r="M1863" s="43"/>
      <c r="P1863" t="str" cm="1">
        <f t="array" ref="P1863">IFERROR(_xlfn.AGGREGATE(15,6,ROW(DB!A$2:A$2576)/((($D$3&lt;&gt;"YES")+($D$3="YES")*(DB!E$2:E$2576="YES"))*(($D$4="")+($D$4&lt;&gt;"")*( DB!B$2:B$2576=$D$4))*(($D$5="")+($D$5&lt;&gt;"")*( DB!C$2:C$2576=$D$5))*(($D$6="")+($D$6&lt;&gt;"")*( DB!D$2:D$2576=$D$6))*(($D$7="")+($D$7&lt;&gt;"")*(ISNUMBER(SEARCH($D$7,DB!G$2:G$2576))))*(($F$7="전체")+($F$7&lt;&gt;"전체")*(DB!H$2:H$2576=$F$7))),ROW()-13)-1,"")</f>
        <v/>
      </c>
      <c r="Q1863" t="str" cm="1">
        <f t="array" ref="Q1863">IFERROR(INDEX(DB!G$2:G$2576,P1863),"")</f>
        <v/>
      </c>
      <c r="R1863" t="str" cm="1">
        <f t="array" ref="R1863">IFERROR(INDEX(DB!O$2:O$2576,P1863),"")</f>
        <v/>
      </c>
      <c r="S1863" t="str">
        <f t="shared" si="87"/>
        <v/>
      </c>
      <c r="T1863" t="str">
        <f t="shared" si="88"/>
        <v/>
      </c>
    </row>
    <row r="1864" spans="1:20" ht="100" customHeight="1">
      <c r="A1864" s="26"/>
      <c r="B1864" s="39" t="str">
        <f t="shared" si="86"/>
        <v/>
      </c>
      <c r="C1864" s="43"/>
      <c r="D1864" s="51" t="str" cm="1">
        <f t="array" ref="D1864">IFERROR(INDEX(DB!G$2:G$2576,T1864),"")</f>
        <v/>
      </c>
      <c r="E1864" s="43"/>
      <c r="F1864" s="52" t="str" cm="1">
        <f t="array" ref="F1864">IFERROR(INDEX(DB!O$2:O$2576,T1864),"")</f>
        <v/>
      </c>
      <c r="G1864" s="43"/>
      <c r="H1864" s="40" t="str" cm="1">
        <f t="array" ref="H1864">IFERROR(INDEX(DB!P$2:P$2576,T1864),"")</f>
        <v/>
      </c>
      <c r="I1864" s="43"/>
      <c r="J1864" s="53" t="str" cm="1">
        <f t="array" ref="J1864">IFERROR(INDEX(DB!Q$2:Q$2576,T1864),"")</f>
        <v/>
      </c>
      <c r="K1864" s="43"/>
      <c r="L1864" s="41" t="str" cm="1">
        <f t="array" ref="L1864">IFERROR(INDEX(DB!R$2:R$2576,T1864),"")</f>
        <v/>
      </c>
      <c r="M1864" s="43"/>
      <c r="P1864" t="str" cm="1">
        <f t="array" ref="P1864">IFERROR(_xlfn.AGGREGATE(15,6,ROW(DB!A$2:A$2576)/((($D$3&lt;&gt;"YES")+($D$3="YES")*(DB!E$2:E$2576="YES"))*(($D$4="")+($D$4&lt;&gt;"")*( DB!B$2:B$2576=$D$4))*(($D$5="")+($D$5&lt;&gt;"")*( DB!C$2:C$2576=$D$5))*(($D$6="")+($D$6&lt;&gt;"")*( DB!D$2:D$2576=$D$6))*(($D$7="")+($D$7&lt;&gt;"")*(ISNUMBER(SEARCH($D$7,DB!G$2:G$2576))))*(($F$7="전체")+($F$7&lt;&gt;"전체")*(DB!H$2:H$2576=$F$7))),ROW()-13)-1,"")</f>
        <v/>
      </c>
      <c r="Q1864" t="str" cm="1">
        <f t="array" ref="Q1864">IFERROR(INDEX(DB!G$2:G$2576,P1864),"")</f>
        <v/>
      </c>
      <c r="R1864" t="str" cm="1">
        <f t="array" ref="R1864">IFERROR(INDEX(DB!O$2:O$2576,P1864),"")</f>
        <v/>
      </c>
      <c r="S1864" t="str">
        <f t="shared" si="87"/>
        <v/>
      </c>
      <c r="T1864" t="str">
        <f t="shared" si="88"/>
        <v/>
      </c>
    </row>
    <row r="1865" spans="1:20" ht="100" customHeight="1">
      <c r="A1865" s="26"/>
      <c r="B1865" s="42" t="str">
        <f t="shared" si="86"/>
        <v/>
      </c>
      <c r="C1865" s="43"/>
      <c r="D1865" s="51" t="str" cm="1">
        <f t="array" ref="D1865">IFERROR(INDEX(DB!G$2:G$2576,T1865),"")</f>
        <v/>
      </c>
      <c r="E1865" s="43"/>
      <c r="F1865" s="52" t="str" cm="1">
        <f t="array" ref="F1865">IFERROR(INDEX(DB!O$2:O$2576,T1865),"")</f>
        <v/>
      </c>
      <c r="G1865" s="43"/>
      <c r="H1865" s="40" t="str" cm="1">
        <f t="array" ref="H1865">IFERROR(INDEX(DB!P$2:P$2576,T1865),"")</f>
        <v/>
      </c>
      <c r="I1865" s="43"/>
      <c r="J1865" s="53" t="str" cm="1">
        <f t="array" ref="J1865">IFERROR(INDEX(DB!Q$2:Q$2576,T1865),"")</f>
        <v/>
      </c>
      <c r="K1865" s="43"/>
      <c r="L1865" s="41" t="str" cm="1">
        <f t="array" ref="L1865">IFERROR(INDEX(DB!R$2:R$2576,T1865),"")</f>
        <v/>
      </c>
      <c r="M1865" s="43"/>
      <c r="P1865" t="str" cm="1">
        <f t="array" ref="P1865">IFERROR(_xlfn.AGGREGATE(15,6,ROW(DB!A$2:A$2576)/((($D$3&lt;&gt;"YES")+($D$3="YES")*(DB!E$2:E$2576="YES"))*(($D$4="")+($D$4&lt;&gt;"")*( DB!B$2:B$2576=$D$4))*(($D$5="")+($D$5&lt;&gt;"")*( DB!C$2:C$2576=$D$5))*(($D$6="")+($D$6&lt;&gt;"")*( DB!D$2:D$2576=$D$6))*(($D$7="")+($D$7&lt;&gt;"")*(ISNUMBER(SEARCH($D$7,DB!G$2:G$2576))))*(($F$7="전체")+($F$7&lt;&gt;"전체")*(DB!H$2:H$2576=$F$7))),ROW()-13)-1,"")</f>
        <v/>
      </c>
      <c r="Q1865" t="str" cm="1">
        <f t="array" ref="Q1865">IFERROR(INDEX(DB!G$2:G$2576,P1865),"")</f>
        <v/>
      </c>
      <c r="R1865" t="str" cm="1">
        <f t="array" ref="R1865">IFERROR(INDEX(DB!O$2:O$2576,P1865),"")</f>
        <v/>
      </c>
      <c r="S1865" t="str">
        <f t="shared" si="87"/>
        <v/>
      </c>
      <c r="T1865" t="str">
        <f t="shared" si="88"/>
        <v/>
      </c>
    </row>
    <row r="1866" spans="1:20" ht="100" customHeight="1">
      <c r="A1866" s="26"/>
      <c r="B1866" s="39" t="str">
        <f t="shared" si="86"/>
        <v/>
      </c>
      <c r="C1866" s="43"/>
      <c r="D1866" s="51" t="str" cm="1">
        <f t="array" ref="D1866">IFERROR(INDEX(DB!G$2:G$2576,T1866),"")</f>
        <v/>
      </c>
      <c r="E1866" s="43"/>
      <c r="F1866" s="52" t="str" cm="1">
        <f t="array" ref="F1866">IFERROR(INDEX(DB!O$2:O$2576,T1866),"")</f>
        <v/>
      </c>
      <c r="G1866" s="43"/>
      <c r="H1866" s="40" t="str" cm="1">
        <f t="array" ref="H1866">IFERROR(INDEX(DB!P$2:P$2576,T1866),"")</f>
        <v/>
      </c>
      <c r="I1866" s="43"/>
      <c r="J1866" s="53" t="str" cm="1">
        <f t="array" ref="J1866">IFERROR(INDEX(DB!Q$2:Q$2576,T1866),"")</f>
        <v/>
      </c>
      <c r="K1866" s="43"/>
      <c r="L1866" s="41" t="str" cm="1">
        <f t="array" ref="L1866">IFERROR(INDEX(DB!R$2:R$2576,T1866),"")</f>
        <v/>
      </c>
      <c r="M1866" s="43"/>
      <c r="P1866" t="str" cm="1">
        <f t="array" ref="P1866">IFERROR(_xlfn.AGGREGATE(15,6,ROW(DB!A$2:A$2576)/((($D$3&lt;&gt;"YES")+($D$3="YES")*(DB!E$2:E$2576="YES"))*(($D$4="")+($D$4&lt;&gt;"")*( DB!B$2:B$2576=$D$4))*(($D$5="")+($D$5&lt;&gt;"")*( DB!C$2:C$2576=$D$5))*(($D$6="")+($D$6&lt;&gt;"")*( DB!D$2:D$2576=$D$6))*(($D$7="")+($D$7&lt;&gt;"")*(ISNUMBER(SEARCH($D$7,DB!G$2:G$2576))))*(($F$7="전체")+($F$7&lt;&gt;"전체")*(DB!H$2:H$2576=$F$7))),ROW()-13)-1,"")</f>
        <v/>
      </c>
      <c r="Q1866" t="str" cm="1">
        <f t="array" ref="Q1866">IFERROR(INDEX(DB!G$2:G$2576,P1866),"")</f>
        <v/>
      </c>
      <c r="R1866" t="str" cm="1">
        <f t="array" ref="R1866">IFERROR(INDEX(DB!O$2:O$2576,P1866),"")</f>
        <v/>
      </c>
      <c r="S1866" t="str">
        <f t="shared" si="87"/>
        <v/>
      </c>
      <c r="T1866" t="str">
        <f t="shared" si="88"/>
        <v/>
      </c>
    </row>
    <row r="1867" spans="1:20" ht="100" customHeight="1">
      <c r="A1867" s="26"/>
      <c r="B1867" s="42" t="str">
        <f t="shared" si="86"/>
        <v/>
      </c>
      <c r="C1867" s="43"/>
      <c r="D1867" s="51" t="str" cm="1">
        <f t="array" ref="D1867">IFERROR(INDEX(DB!G$2:G$2576,T1867),"")</f>
        <v/>
      </c>
      <c r="E1867" s="43"/>
      <c r="F1867" s="52" t="str" cm="1">
        <f t="array" ref="F1867">IFERROR(INDEX(DB!O$2:O$2576,T1867),"")</f>
        <v/>
      </c>
      <c r="G1867" s="43"/>
      <c r="H1867" s="40" t="str" cm="1">
        <f t="array" ref="H1867">IFERROR(INDEX(DB!P$2:P$2576,T1867),"")</f>
        <v/>
      </c>
      <c r="I1867" s="43"/>
      <c r="J1867" s="53" t="str" cm="1">
        <f t="array" ref="J1867">IFERROR(INDEX(DB!Q$2:Q$2576,T1867),"")</f>
        <v/>
      </c>
      <c r="K1867" s="43"/>
      <c r="L1867" s="41" t="str" cm="1">
        <f t="array" ref="L1867">IFERROR(INDEX(DB!R$2:R$2576,T1867),"")</f>
        <v/>
      </c>
      <c r="M1867" s="43"/>
      <c r="P1867" t="str" cm="1">
        <f t="array" ref="P1867">IFERROR(_xlfn.AGGREGATE(15,6,ROW(DB!A$2:A$2576)/((($D$3&lt;&gt;"YES")+($D$3="YES")*(DB!E$2:E$2576="YES"))*(($D$4="")+($D$4&lt;&gt;"")*( DB!B$2:B$2576=$D$4))*(($D$5="")+($D$5&lt;&gt;"")*( DB!C$2:C$2576=$D$5))*(($D$6="")+($D$6&lt;&gt;"")*( DB!D$2:D$2576=$D$6))*(($D$7="")+($D$7&lt;&gt;"")*(ISNUMBER(SEARCH($D$7,DB!G$2:G$2576))))*(($F$7="전체")+($F$7&lt;&gt;"전체")*(DB!H$2:H$2576=$F$7))),ROW()-13)-1,"")</f>
        <v/>
      </c>
      <c r="Q1867" t="str" cm="1">
        <f t="array" ref="Q1867">IFERROR(INDEX(DB!G$2:G$2576,P1867),"")</f>
        <v/>
      </c>
      <c r="R1867" t="str" cm="1">
        <f t="array" ref="R1867">IFERROR(INDEX(DB!O$2:O$2576,P1867),"")</f>
        <v/>
      </c>
      <c r="S1867" t="str">
        <f t="shared" si="87"/>
        <v/>
      </c>
      <c r="T1867" t="str">
        <f t="shared" si="88"/>
        <v/>
      </c>
    </row>
    <row r="1868" spans="1:20" ht="100" customHeight="1">
      <c r="A1868" s="26"/>
      <c r="B1868" s="39" t="str">
        <f t="shared" si="86"/>
        <v/>
      </c>
      <c r="C1868" s="43"/>
      <c r="D1868" s="51" t="str" cm="1">
        <f t="array" ref="D1868">IFERROR(INDEX(DB!G$2:G$2576,T1868),"")</f>
        <v/>
      </c>
      <c r="E1868" s="43"/>
      <c r="F1868" s="52" t="str" cm="1">
        <f t="array" ref="F1868">IFERROR(INDEX(DB!O$2:O$2576,T1868),"")</f>
        <v/>
      </c>
      <c r="G1868" s="43"/>
      <c r="H1868" s="40" t="str" cm="1">
        <f t="array" ref="H1868">IFERROR(INDEX(DB!P$2:P$2576,T1868),"")</f>
        <v/>
      </c>
      <c r="I1868" s="43"/>
      <c r="J1868" s="53" t="str" cm="1">
        <f t="array" ref="J1868">IFERROR(INDEX(DB!Q$2:Q$2576,T1868),"")</f>
        <v/>
      </c>
      <c r="K1868" s="43"/>
      <c r="L1868" s="41" t="str" cm="1">
        <f t="array" ref="L1868">IFERROR(INDEX(DB!R$2:R$2576,T1868),"")</f>
        <v/>
      </c>
      <c r="M1868" s="43"/>
      <c r="P1868" t="str" cm="1">
        <f t="array" ref="P1868">IFERROR(_xlfn.AGGREGATE(15,6,ROW(DB!A$2:A$2576)/((($D$3&lt;&gt;"YES")+($D$3="YES")*(DB!E$2:E$2576="YES"))*(($D$4="")+($D$4&lt;&gt;"")*( DB!B$2:B$2576=$D$4))*(($D$5="")+($D$5&lt;&gt;"")*( DB!C$2:C$2576=$D$5))*(($D$6="")+($D$6&lt;&gt;"")*( DB!D$2:D$2576=$D$6))*(($D$7="")+($D$7&lt;&gt;"")*(ISNUMBER(SEARCH($D$7,DB!G$2:G$2576))))*(($F$7="전체")+($F$7&lt;&gt;"전체")*(DB!H$2:H$2576=$F$7))),ROW()-13)-1,"")</f>
        <v/>
      </c>
      <c r="Q1868" t="str" cm="1">
        <f t="array" ref="Q1868">IFERROR(INDEX(DB!G$2:G$2576,P1868),"")</f>
        <v/>
      </c>
      <c r="R1868" t="str" cm="1">
        <f t="array" ref="R1868">IFERROR(INDEX(DB!O$2:O$2576,P1868),"")</f>
        <v/>
      </c>
      <c r="S1868" t="str">
        <f t="shared" si="87"/>
        <v/>
      </c>
      <c r="T1868" t="str">
        <f t="shared" si="88"/>
        <v/>
      </c>
    </row>
    <row r="1869" spans="1:20" ht="100" customHeight="1">
      <c r="A1869" s="26"/>
      <c r="B1869" s="42" t="str">
        <f t="shared" si="86"/>
        <v/>
      </c>
      <c r="C1869" s="43"/>
      <c r="D1869" s="51" t="str" cm="1">
        <f t="array" ref="D1869">IFERROR(INDEX(DB!G$2:G$2576,T1869),"")</f>
        <v/>
      </c>
      <c r="E1869" s="43"/>
      <c r="F1869" s="52" t="str" cm="1">
        <f t="array" ref="F1869">IFERROR(INDEX(DB!O$2:O$2576,T1869),"")</f>
        <v/>
      </c>
      <c r="G1869" s="43"/>
      <c r="H1869" s="40" t="str" cm="1">
        <f t="array" ref="H1869">IFERROR(INDEX(DB!P$2:P$2576,T1869),"")</f>
        <v/>
      </c>
      <c r="I1869" s="43"/>
      <c r="J1869" s="53" t="str" cm="1">
        <f t="array" ref="J1869">IFERROR(INDEX(DB!Q$2:Q$2576,T1869),"")</f>
        <v/>
      </c>
      <c r="K1869" s="43"/>
      <c r="L1869" s="41" t="str" cm="1">
        <f t="array" ref="L1869">IFERROR(INDEX(DB!R$2:R$2576,T1869),"")</f>
        <v/>
      </c>
      <c r="M1869" s="43"/>
      <c r="P1869" t="str" cm="1">
        <f t="array" ref="P1869">IFERROR(_xlfn.AGGREGATE(15,6,ROW(DB!A$2:A$2576)/((($D$3&lt;&gt;"YES")+($D$3="YES")*(DB!E$2:E$2576="YES"))*(($D$4="")+($D$4&lt;&gt;"")*( DB!B$2:B$2576=$D$4))*(($D$5="")+($D$5&lt;&gt;"")*( DB!C$2:C$2576=$D$5))*(($D$6="")+($D$6&lt;&gt;"")*( DB!D$2:D$2576=$D$6))*(($D$7="")+($D$7&lt;&gt;"")*(ISNUMBER(SEARCH($D$7,DB!G$2:G$2576))))*(($F$7="전체")+($F$7&lt;&gt;"전체")*(DB!H$2:H$2576=$F$7))),ROW()-13)-1,"")</f>
        <v/>
      </c>
      <c r="Q1869" t="str" cm="1">
        <f t="array" ref="Q1869">IFERROR(INDEX(DB!G$2:G$2576,P1869),"")</f>
        <v/>
      </c>
      <c r="R1869" t="str" cm="1">
        <f t="array" ref="R1869">IFERROR(INDEX(DB!O$2:O$2576,P1869),"")</f>
        <v/>
      </c>
      <c r="S1869" t="str">
        <f t="shared" si="87"/>
        <v/>
      </c>
      <c r="T1869" t="str">
        <f t="shared" si="88"/>
        <v/>
      </c>
    </row>
    <row r="1870" spans="1:20" ht="100" customHeight="1">
      <c r="A1870" s="26"/>
      <c r="B1870" s="39" t="str">
        <f t="shared" si="86"/>
        <v/>
      </c>
      <c r="C1870" s="43"/>
      <c r="D1870" s="51" t="str" cm="1">
        <f t="array" ref="D1870">IFERROR(INDEX(DB!G$2:G$2576,T1870),"")</f>
        <v/>
      </c>
      <c r="E1870" s="43"/>
      <c r="F1870" s="52" t="str" cm="1">
        <f t="array" ref="F1870">IFERROR(INDEX(DB!O$2:O$2576,T1870),"")</f>
        <v/>
      </c>
      <c r="G1870" s="43"/>
      <c r="H1870" s="40" t="str" cm="1">
        <f t="array" ref="H1870">IFERROR(INDEX(DB!P$2:P$2576,T1870),"")</f>
        <v/>
      </c>
      <c r="I1870" s="43"/>
      <c r="J1870" s="53" t="str" cm="1">
        <f t="array" ref="J1870">IFERROR(INDEX(DB!Q$2:Q$2576,T1870),"")</f>
        <v/>
      </c>
      <c r="K1870" s="43"/>
      <c r="L1870" s="41" t="str" cm="1">
        <f t="array" ref="L1870">IFERROR(INDEX(DB!R$2:R$2576,T1870),"")</f>
        <v/>
      </c>
      <c r="M1870" s="43"/>
      <c r="P1870" t="str" cm="1">
        <f t="array" ref="P1870">IFERROR(_xlfn.AGGREGATE(15,6,ROW(DB!A$2:A$2576)/((($D$3&lt;&gt;"YES")+($D$3="YES")*(DB!E$2:E$2576="YES"))*(($D$4="")+($D$4&lt;&gt;"")*( DB!B$2:B$2576=$D$4))*(($D$5="")+($D$5&lt;&gt;"")*( DB!C$2:C$2576=$D$5))*(($D$6="")+($D$6&lt;&gt;"")*( DB!D$2:D$2576=$D$6))*(($D$7="")+($D$7&lt;&gt;"")*(ISNUMBER(SEARCH($D$7,DB!G$2:G$2576))))*(($F$7="전체")+($F$7&lt;&gt;"전체")*(DB!H$2:H$2576=$F$7))),ROW()-13)-1,"")</f>
        <v/>
      </c>
      <c r="Q1870" t="str" cm="1">
        <f t="array" ref="Q1870">IFERROR(INDEX(DB!G$2:G$2576,P1870),"")</f>
        <v/>
      </c>
      <c r="R1870" t="str" cm="1">
        <f t="array" ref="R1870">IFERROR(INDEX(DB!O$2:O$2576,P1870),"")</f>
        <v/>
      </c>
      <c r="S1870" t="str">
        <f t="shared" si="87"/>
        <v/>
      </c>
      <c r="T1870" t="str">
        <f t="shared" si="88"/>
        <v/>
      </c>
    </row>
    <row r="1871" spans="1:20" ht="100" customHeight="1">
      <c r="A1871" s="26"/>
      <c r="B1871" s="42" t="str">
        <f t="shared" ref="B1871:B1934" si="89">IFERROR(IF(T1871="","",ROW()-13),"")</f>
        <v/>
      </c>
      <c r="C1871" s="43"/>
      <c r="D1871" s="51" t="str" cm="1">
        <f t="array" ref="D1871">IFERROR(INDEX(DB!G$2:G$2576,T1871),"")</f>
        <v/>
      </c>
      <c r="E1871" s="43"/>
      <c r="F1871" s="52" t="str" cm="1">
        <f t="array" ref="F1871">IFERROR(INDEX(DB!O$2:O$2576,T1871),"")</f>
        <v/>
      </c>
      <c r="G1871" s="43"/>
      <c r="H1871" s="40" t="str" cm="1">
        <f t="array" ref="H1871">IFERROR(INDEX(DB!P$2:P$2576,T1871),"")</f>
        <v/>
      </c>
      <c r="I1871" s="43"/>
      <c r="J1871" s="53" t="str" cm="1">
        <f t="array" ref="J1871">IFERROR(INDEX(DB!Q$2:Q$2576,T1871),"")</f>
        <v/>
      </c>
      <c r="K1871" s="43"/>
      <c r="L1871" s="41" t="str" cm="1">
        <f t="array" ref="L1871">IFERROR(INDEX(DB!R$2:R$2576,T1871),"")</f>
        <v/>
      </c>
      <c r="M1871" s="43"/>
      <c r="P1871" t="str" cm="1">
        <f t="array" ref="P1871">IFERROR(_xlfn.AGGREGATE(15,6,ROW(DB!A$2:A$2576)/((($D$3&lt;&gt;"YES")+($D$3="YES")*(DB!E$2:E$2576="YES"))*(($D$4="")+($D$4&lt;&gt;"")*( DB!B$2:B$2576=$D$4))*(($D$5="")+($D$5&lt;&gt;"")*( DB!C$2:C$2576=$D$5))*(($D$6="")+($D$6&lt;&gt;"")*( DB!D$2:D$2576=$D$6))*(($D$7="")+($D$7&lt;&gt;"")*(ISNUMBER(SEARCH($D$7,DB!G$2:G$2576))))*(($F$7="전체")+($F$7&lt;&gt;"전체")*(DB!H$2:H$2576=$F$7))),ROW()-13)-1,"")</f>
        <v/>
      </c>
      <c r="Q1871" t="str" cm="1">
        <f t="array" ref="Q1871">IFERROR(INDEX(DB!G$2:G$2576,P1871),"")</f>
        <v/>
      </c>
      <c r="R1871" t="str" cm="1">
        <f t="array" ref="R1871">IFERROR(INDEX(DB!O$2:O$2576,P1871),"")</f>
        <v/>
      </c>
      <c r="S1871" t="str">
        <f t="shared" ref="S1871:S1934" si="90">IF(P1871="","",COUNTIF($Q$14:$Q$2587,"&lt;"&amp;Q1871)*100+COUNTIF($R$14:$R$2587,"&lt;"&amp;R1871)+(ROW()-13)*0.001)</f>
        <v/>
      </c>
      <c r="T1871" t="str">
        <f t="shared" ref="T1871:T1934" si="91">IFERROR(INDEX($P$14:$P$2587,MATCH(SMALL($S$14:$S$2587,ROW()-13),$S$14:$S$2587,0)),"")</f>
        <v/>
      </c>
    </row>
    <row r="1872" spans="1:20" ht="100" customHeight="1">
      <c r="A1872" s="26"/>
      <c r="B1872" s="39" t="str">
        <f t="shared" si="89"/>
        <v/>
      </c>
      <c r="C1872" s="43"/>
      <c r="D1872" s="51" t="str" cm="1">
        <f t="array" ref="D1872">IFERROR(INDEX(DB!G$2:G$2576,T1872),"")</f>
        <v/>
      </c>
      <c r="E1872" s="43"/>
      <c r="F1872" s="52" t="str" cm="1">
        <f t="array" ref="F1872">IFERROR(INDEX(DB!O$2:O$2576,T1872),"")</f>
        <v/>
      </c>
      <c r="G1872" s="43"/>
      <c r="H1872" s="40" t="str" cm="1">
        <f t="array" ref="H1872">IFERROR(INDEX(DB!P$2:P$2576,T1872),"")</f>
        <v/>
      </c>
      <c r="I1872" s="43"/>
      <c r="J1872" s="53" t="str" cm="1">
        <f t="array" ref="J1872">IFERROR(INDEX(DB!Q$2:Q$2576,T1872),"")</f>
        <v/>
      </c>
      <c r="K1872" s="43"/>
      <c r="L1872" s="41" t="str" cm="1">
        <f t="array" ref="L1872">IFERROR(INDEX(DB!R$2:R$2576,T1872),"")</f>
        <v/>
      </c>
      <c r="M1872" s="43"/>
      <c r="P1872" t="str" cm="1">
        <f t="array" ref="P1872">IFERROR(_xlfn.AGGREGATE(15,6,ROW(DB!A$2:A$2576)/((($D$3&lt;&gt;"YES")+($D$3="YES")*(DB!E$2:E$2576="YES"))*(($D$4="")+($D$4&lt;&gt;"")*( DB!B$2:B$2576=$D$4))*(($D$5="")+($D$5&lt;&gt;"")*( DB!C$2:C$2576=$D$5))*(($D$6="")+($D$6&lt;&gt;"")*( DB!D$2:D$2576=$D$6))*(($D$7="")+($D$7&lt;&gt;"")*(ISNUMBER(SEARCH($D$7,DB!G$2:G$2576))))*(($F$7="전체")+($F$7&lt;&gt;"전체")*(DB!H$2:H$2576=$F$7))),ROW()-13)-1,"")</f>
        <v/>
      </c>
      <c r="Q1872" t="str" cm="1">
        <f t="array" ref="Q1872">IFERROR(INDEX(DB!G$2:G$2576,P1872),"")</f>
        <v/>
      </c>
      <c r="R1872" t="str" cm="1">
        <f t="array" ref="R1872">IFERROR(INDEX(DB!O$2:O$2576,P1872),"")</f>
        <v/>
      </c>
      <c r="S1872" t="str">
        <f t="shared" si="90"/>
        <v/>
      </c>
      <c r="T1872" t="str">
        <f t="shared" si="91"/>
        <v/>
      </c>
    </row>
    <row r="1873" spans="1:20" ht="100" customHeight="1">
      <c r="A1873" s="26"/>
      <c r="B1873" s="42" t="str">
        <f t="shared" si="89"/>
        <v/>
      </c>
      <c r="C1873" s="43"/>
      <c r="D1873" s="51" t="str" cm="1">
        <f t="array" ref="D1873">IFERROR(INDEX(DB!G$2:G$2576,T1873),"")</f>
        <v/>
      </c>
      <c r="E1873" s="43"/>
      <c r="F1873" s="52" t="str" cm="1">
        <f t="array" ref="F1873">IFERROR(INDEX(DB!O$2:O$2576,T1873),"")</f>
        <v/>
      </c>
      <c r="G1873" s="43"/>
      <c r="H1873" s="40" t="str" cm="1">
        <f t="array" ref="H1873">IFERROR(INDEX(DB!P$2:P$2576,T1873),"")</f>
        <v/>
      </c>
      <c r="I1873" s="43"/>
      <c r="J1873" s="53" t="str" cm="1">
        <f t="array" ref="J1873">IFERROR(INDEX(DB!Q$2:Q$2576,T1873),"")</f>
        <v/>
      </c>
      <c r="K1873" s="43"/>
      <c r="L1873" s="41" t="str" cm="1">
        <f t="array" ref="L1873">IFERROR(INDEX(DB!R$2:R$2576,T1873),"")</f>
        <v/>
      </c>
      <c r="M1873" s="43"/>
      <c r="P1873" t="str" cm="1">
        <f t="array" ref="P1873">IFERROR(_xlfn.AGGREGATE(15,6,ROW(DB!A$2:A$2576)/((($D$3&lt;&gt;"YES")+($D$3="YES")*(DB!E$2:E$2576="YES"))*(($D$4="")+($D$4&lt;&gt;"")*( DB!B$2:B$2576=$D$4))*(($D$5="")+($D$5&lt;&gt;"")*( DB!C$2:C$2576=$D$5))*(($D$6="")+($D$6&lt;&gt;"")*( DB!D$2:D$2576=$D$6))*(($D$7="")+($D$7&lt;&gt;"")*(ISNUMBER(SEARCH($D$7,DB!G$2:G$2576))))*(($F$7="전체")+($F$7&lt;&gt;"전체")*(DB!H$2:H$2576=$F$7))),ROW()-13)-1,"")</f>
        <v/>
      </c>
      <c r="Q1873" t="str" cm="1">
        <f t="array" ref="Q1873">IFERROR(INDEX(DB!G$2:G$2576,P1873),"")</f>
        <v/>
      </c>
      <c r="R1873" t="str" cm="1">
        <f t="array" ref="R1873">IFERROR(INDEX(DB!O$2:O$2576,P1873),"")</f>
        <v/>
      </c>
      <c r="S1873" t="str">
        <f t="shared" si="90"/>
        <v/>
      </c>
      <c r="T1873" t="str">
        <f t="shared" si="91"/>
        <v/>
      </c>
    </row>
    <row r="1874" spans="1:20" ht="100" customHeight="1">
      <c r="A1874" s="26"/>
      <c r="B1874" s="39" t="str">
        <f t="shared" si="89"/>
        <v/>
      </c>
      <c r="C1874" s="43"/>
      <c r="D1874" s="51" t="str" cm="1">
        <f t="array" ref="D1874">IFERROR(INDEX(DB!G$2:G$2576,T1874),"")</f>
        <v/>
      </c>
      <c r="E1874" s="43"/>
      <c r="F1874" s="52" t="str" cm="1">
        <f t="array" ref="F1874">IFERROR(INDEX(DB!O$2:O$2576,T1874),"")</f>
        <v/>
      </c>
      <c r="G1874" s="43"/>
      <c r="H1874" s="40" t="str" cm="1">
        <f t="array" ref="H1874">IFERROR(INDEX(DB!P$2:P$2576,T1874),"")</f>
        <v/>
      </c>
      <c r="I1874" s="43"/>
      <c r="J1874" s="53" t="str" cm="1">
        <f t="array" ref="J1874">IFERROR(INDEX(DB!Q$2:Q$2576,T1874),"")</f>
        <v/>
      </c>
      <c r="K1874" s="43"/>
      <c r="L1874" s="41" t="str" cm="1">
        <f t="array" ref="L1874">IFERROR(INDEX(DB!R$2:R$2576,T1874),"")</f>
        <v/>
      </c>
      <c r="M1874" s="43"/>
      <c r="P1874" t="str" cm="1">
        <f t="array" ref="P1874">IFERROR(_xlfn.AGGREGATE(15,6,ROW(DB!A$2:A$2576)/((($D$3&lt;&gt;"YES")+($D$3="YES")*(DB!E$2:E$2576="YES"))*(($D$4="")+($D$4&lt;&gt;"")*( DB!B$2:B$2576=$D$4))*(($D$5="")+($D$5&lt;&gt;"")*( DB!C$2:C$2576=$D$5))*(($D$6="")+($D$6&lt;&gt;"")*( DB!D$2:D$2576=$D$6))*(($D$7="")+($D$7&lt;&gt;"")*(ISNUMBER(SEARCH($D$7,DB!G$2:G$2576))))*(($F$7="전체")+($F$7&lt;&gt;"전체")*(DB!H$2:H$2576=$F$7))),ROW()-13)-1,"")</f>
        <v/>
      </c>
      <c r="Q1874" t="str" cm="1">
        <f t="array" ref="Q1874">IFERROR(INDEX(DB!G$2:G$2576,P1874),"")</f>
        <v/>
      </c>
      <c r="R1874" t="str" cm="1">
        <f t="array" ref="R1874">IFERROR(INDEX(DB!O$2:O$2576,P1874),"")</f>
        <v/>
      </c>
      <c r="S1874" t="str">
        <f t="shared" si="90"/>
        <v/>
      </c>
      <c r="T1874" t="str">
        <f t="shared" si="91"/>
        <v/>
      </c>
    </row>
    <row r="1875" spans="1:20" ht="100" customHeight="1">
      <c r="A1875" s="26"/>
      <c r="B1875" s="42" t="str">
        <f t="shared" si="89"/>
        <v/>
      </c>
      <c r="C1875" s="43"/>
      <c r="D1875" s="51" t="str" cm="1">
        <f t="array" ref="D1875">IFERROR(INDEX(DB!G$2:G$2576,T1875),"")</f>
        <v/>
      </c>
      <c r="E1875" s="43"/>
      <c r="F1875" s="52" t="str" cm="1">
        <f t="array" ref="F1875">IFERROR(INDEX(DB!O$2:O$2576,T1875),"")</f>
        <v/>
      </c>
      <c r="G1875" s="43"/>
      <c r="H1875" s="40" t="str" cm="1">
        <f t="array" ref="H1875">IFERROR(INDEX(DB!P$2:P$2576,T1875),"")</f>
        <v/>
      </c>
      <c r="I1875" s="43"/>
      <c r="J1875" s="53" t="str" cm="1">
        <f t="array" ref="J1875">IFERROR(INDEX(DB!Q$2:Q$2576,T1875),"")</f>
        <v/>
      </c>
      <c r="K1875" s="43"/>
      <c r="L1875" s="41" t="str" cm="1">
        <f t="array" ref="L1875">IFERROR(INDEX(DB!R$2:R$2576,T1875),"")</f>
        <v/>
      </c>
      <c r="M1875" s="43"/>
      <c r="P1875" t="str" cm="1">
        <f t="array" ref="P1875">IFERROR(_xlfn.AGGREGATE(15,6,ROW(DB!A$2:A$2576)/((($D$3&lt;&gt;"YES")+($D$3="YES")*(DB!E$2:E$2576="YES"))*(($D$4="")+($D$4&lt;&gt;"")*( DB!B$2:B$2576=$D$4))*(($D$5="")+($D$5&lt;&gt;"")*( DB!C$2:C$2576=$D$5))*(($D$6="")+($D$6&lt;&gt;"")*( DB!D$2:D$2576=$D$6))*(($D$7="")+($D$7&lt;&gt;"")*(ISNUMBER(SEARCH($D$7,DB!G$2:G$2576))))*(($F$7="전체")+($F$7&lt;&gt;"전체")*(DB!H$2:H$2576=$F$7))),ROW()-13)-1,"")</f>
        <v/>
      </c>
      <c r="Q1875" t="str" cm="1">
        <f t="array" ref="Q1875">IFERROR(INDEX(DB!G$2:G$2576,P1875),"")</f>
        <v/>
      </c>
      <c r="R1875" t="str" cm="1">
        <f t="array" ref="R1875">IFERROR(INDEX(DB!O$2:O$2576,P1875),"")</f>
        <v/>
      </c>
      <c r="S1875" t="str">
        <f t="shared" si="90"/>
        <v/>
      </c>
      <c r="T1875" t="str">
        <f t="shared" si="91"/>
        <v/>
      </c>
    </row>
    <row r="1876" spans="1:20" ht="100" customHeight="1">
      <c r="A1876" s="26"/>
      <c r="B1876" s="39" t="str">
        <f t="shared" si="89"/>
        <v/>
      </c>
      <c r="C1876" s="43"/>
      <c r="D1876" s="51" t="str" cm="1">
        <f t="array" ref="D1876">IFERROR(INDEX(DB!G$2:G$2576,T1876),"")</f>
        <v/>
      </c>
      <c r="E1876" s="43"/>
      <c r="F1876" s="52" t="str" cm="1">
        <f t="array" ref="F1876">IFERROR(INDEX(DB!O$2:O$2576,T1876),"")</f>
        <v/>
      </c>
      <c r="G1876" s="43"/>
      <c r="H1876" s="40" t="str" cm="1">
        <f t="array" ref="H1876">IFERROR(INDEX(DB!P$2:P$2576,T1876),"")</f>
        <v/>
      </c>
      <c r="I1876" s="43"/>
      <c r="J1876" s="53" t="str" cm="1">
        <f t="array" ref="J1876">IFERROR(INDEX(DB!Q$2:Q$2576,T1876),"")</f>
        <v/>
      </c>
      <c r="K1876" s="43"/>
      <c r="L1876" s="41" t="str" cm="1">
        <f t="array" ref="L1876">IFERROR(INDEX(DB!R$2:R$2576,T1876),"")</f>
        <v/>
      </c>
      <c r="M1876" s="43"/>
      <c r="P1876" t="str" cm="1">
        <f t="array" ref="P1876">IFERROR(_xlfn.AGGREGATE(15,6,ROW(DB!A$2:A$2576)/((($D$3&lt;&gt;"YES")+($D$3="YES")*(DB!E$2:E$2576="YES"))*(($D$4="")+($D$4&lt;&gt;"")*( DB!B$2:B$2576=$D$4))*(($D$5="")+($D$5&lt;&gt;"")*( DB!C$2:C$2576=$D$5))*(($D$6="")+($D$6&lt;&gt;"")*( DB!D$2:D$2576=$D$6))*(($D$7="")+($D$7&lt;&gt;"")*(ISNUMBER(SEARCH($D$7,DB!G$2:G$2576))))*(($F$7="전체")+($F$7&lt;&gt;"전체")*(DB!H$2:H$2576=$F$7))),ROW()-13)-1,"")</f>
        <v/>
      </c>
      <c r="Q1876" t="str" cm="1">
        <f t="array" ref="Q1876">IFERROR(INDEX(DB!G$2:G$2576,P1876),"")</f>
        <v/>
      </c>
      <c r="R1876" t="str" cm="1">
        <f t="array" ref="R1876">IFERROR(INDEX(DB!O$2:O$2576,P1876),"")</f>
        <v/>
      </c>
      <c r="S1876" t="str">
        <f t="shared" si="90"/>
        <v/>
      </c>
      <c r="T1876" t="str">
        <f t="shared" si="91"/>
        <v/>
      </c>
    </row>
    <row r="1877" spans="1:20" ht="100" customHeight="1">
      <c r="A1877" s="26"/>
      <c r="B1877" s="42" t="str">
        <f t="shared" si="89"/>
        <v/>
      </c>
      <c r="C1877" s="43"/>
      <c r="D1877" s="51" t="str" cm="1">
        <f t="array" ref="D1877">IFERROR(INDEX(DB!G$2:G$2576,T1877),"")</f>
        <v/>
      </c>
      <c r="E1877" s="43"/>
      <c r="F1877" s="52" t="str" cm="1">
        <f t="array" ref="F1877">IFERROR(INDEX(DB!O$2:O$2576,T1877),"")</f>
        <v/>
      </c>
      <c r="G1877" s="43"/>
      <c r="H1877" s="40" t="str" cm="1">
        <f t="array" ref="H1877">IFERROR(INDEX(DB!P$2:P$2576,T1877),"")</f>
        <v/>
      </c>
      <c r="I1877" s="43"/>
      <c r="J1877" s="53" t="str" cm="1">
        <f t="array" ref="J1877">IFERROR(INDEX(DB!Q$2:Q$2576,T1877),"")</f>
        <v/>
      </c>
      <c r="K1877" s="43"/>
      <c r="L1877" s="41" t="str" cm="1">
        <f t="array" ref="L1877">IFERROR(INDEX(DB!R$2:R$2576,T1877),"")</f>
        <v/>
      </c>
      <c r="M1877" s="43"/>
      <c r="P1877" t="str" cm="1">
        <f t="array" ref="P1877">IFERROR(_xlfn.AGGREGATE(15,6,ROW(DB!A$2:A$2576)/((($D$3&lt;&gt;"YES")+($D$3="YES")*(DB!E$2:E$2576="YES"))*(($D$4="")+($D$4&lt;&gt;"")*( DB!B$2:B$2576=$D$4))*(($D$5="")+($D$5&lt;&gt;"")*( DB!C$2:C$2576=$D$5))*(($D$6="")+($D$6&lt;&gt;"")*( DB!D$2:D$2576=$D$6))*(($D$7="")+($D$7&lt;&gt;"")*(ISNUMBER(SEARCH($D$7,DB!G$2:G$2576))))*(($F$7="전체")+($F$7&lt;&gt;"전체")*(DB!H$2:H$2576=$F$7))),ROW()-13)-1,"")</f>
        <v/>
      </c>
      <c r="Q1877" t="str" cm="1">
        <f t="array" ref="Q1877">IFERROR(INDEX(DB!G$2:G$2576,P1877),"")</f>
        <v/>
      </c>
      <c r="R1877" t="str" cm="1">
        <f t="array" ref="R1877">IFERROR(INDEX(DB!O$2:O$2576,P1877),"")</f>
        <v/>
      </c>
      <c r="S1877" t="str">
        <f t="shared" si="90"/>
        <v/>
      </c>
      <c r="T1877" t="str">
        <f t="shared" si="91"/>
        <v/>
      </c>
    </row>
    <row r="1878" spans="1:20" ht="100" customHeight="1">
      <c r="A1878" s="26"/>
      <c r="B1878" s="39" t="str">
        <f t="shared" si="89"/>
        <v/>
      </c>
      <c r="C1878" s="43"/>
      <c r="D1878" s="51" t="str" cm="1">
        <f t="array" ref="D1878">IFERROR(INDEX(DB!G$2:G$2576,T1878),"")</f>
        <v/>
      </c>
      <c r="E1878" s="43"/>
      <c r="F1878" s="52" t="str" cm="1">
        <f t="array" ref="F1878">IFERROR(INDEX(DB!O$2:O$2576,T1878),"")</f>
        <v/>
      </c>
      <c r="G1878" s="43"/>
      <c r="H1878" s="40" t="str" cm="1">
        <f t="array" ref="H1878">IFERROR(INDEX(DB!P$2:P$2576,T1878),"")</f>
        <v/>
      </c>
      <c r="I1878" s="43"/>
      <c r="J1878" s="53" t="str" cm="1">
        <f t="array" ref="J1878">IFERROR(INDEX(DB!Q$2:Q$2576,T1878),"")</f>
        <v/>
      </c>
      <c r="K1878" s="43"/>
      <c r="L1878" s="41" t="str" cm="1">
        <f t="array" ref="L1878">IFERROR(INDEX(DB!R$2:R$2576,T1878),"")</f>
        <v/>
      </c>
      <c r="M1878" s="43"/>
      <c r="P1878" t="str" cm="1">
        <f t="array" ref="P1878">IFERROR(_xlfn.AGGREGATE(15,6,ROW(DB!A$2:A$2576)/((($D$3&lt;&gt;"YES")+($D$3="YES")*(DB!E$2:E$2576="YES"))*(($D$4="")+($D$4&lt;&gt;"")*( DB!B$2:B$2576=$D$4))*(($D$5="")+($D$5&lt;&gt;"")*( DB!C$2:C$2576=$D$5))*(($D$6="")+($D$6&lt;&gt;"")*( DB!D$2:D$2576=$D$6))*(($D$7="")+($D$7&lt;&gt;"")*(ISNUMBER(SEARCH($D$7,DB!G$2:G$2576))))*(($F$7="전체")+($F$7&lt;&gt;"전체")*(DB!H$2:H$2576=$F$7))),ROW()-13)-1,"")</f>
        <v/>
      </c>
      <c r="Q1878" t="str" cm="1">
        <f t="array" ref="Q1878">IFERROR(INDEX(DB!G$2:G$2576,P1878),"")</f>
        <v/>
      </c>
      <c r="R1878" t="str" cm="1">
        <f t="array" ref="R1878">IFERROR(INDEX(DB!O$2:O$2576,P1878),"")</f>
        <v/>
      </c>
      <c r="S1878" t="str">
        <f t="shared" si="90"/>
        <v/>
      </c>
      <c r="T1878" t="str">
        <f t="shared" si="91"/>
        <v/>
      </c>
    </row>
    <row r="1879" spans="1:20" ht="100" customHeight="1">
      <c r="A1879" s="26"/>
      <c r="B1879" s="42" t="str">
        <f t="shared" si="89"/>
        <v/>
      </c>
      <c r="C1879" s="43"/>
      <c r="D1879" s="51" t="str" cm="1">
        <f t="array" ref="D1879">IFERROR(INDEX(DB!G$2:G$2576,T1879),"")</f>
        <v/>
      </c>
      <c r="E1879" s="43"/>
      <c r="F1879" s="52" t="str" cm="1">
        <f t="array" ref="F1879">IFERROR(INDEX(DB!O$2:O$2576,T1879),"")</f>
        <v/>
      </c>
      <c r="G1879" s="43"/>
      <c r="H1879" s="40" t="str" cm="1">
        <f t="array" ref="H1879">IFERROR(INDEX(DB!P$2:P$2576,T1879),"")</f>
        <v/>
      </c>
      <c r="I1879" s="43"/>
      <c r="J1879" s="53" t="str" cm="1">
        <f t="array" ref="J1879">IFERROR(INDEX(DB!Q$2:Q$2576,T1879),"")</f>
        <v/>
      </c>
      <c r="K1879" s="43"/>
      <c r="L1879" s="41" t="str" cm="1">
        <f t="array" ref="L1879">IFERROR(INDEX(DB!R$2:R$2576,T1879),"")</f>
        <v/>
      </c>
      <c r="M1879" s="43"/>
      <c r="P1879" t="str" cm="1">
        <f t="array" ref="P1879">IFERROR(_xlfn.AGGREGATE(15,6,ROW(DB!A$2:A$2576)/((($D$3&lt;&gt;"YES")+($D$3="YES")*(DB!E$2:E$2576="YES"))*(($D$4="")+($D$4&lt;&gt;"")*( DB!B$2:B$2576=$D$4))*(($D$5="")+($D$5&lt;&gt;"")*( DB!C$2:C$2576=$D$5))*(($D$6="")+($D$6&lt;&gt;"")*( DB!D$2:D$2576=$D$6))*(($D$7="")+($D$7&lt;&gt;"")*(ISNUMBER(SEARCH($D$7,DB!G$2:G$2576))))*(($F$7="전체")+($F$7&lt;&gt;"전체")*(DB!H$2:H$2576=$F$7))),ROW()-13)-1,"")</f>
        <v/>
      </c>
      <c r="Q1879" t="str" cm="1">
        <f t="array" ref="Q1879">IFERROR(INDEX(DB!G$2:G$2576,P1879),"")</f>
        <v/>
      </c>
      <c r="R1879" t="str" cm="1">
        <f t="array" ref="R1879">IFERROR(INDEX(DB!O$2:O$2576,P1879),"")</f>
        <v/>
      </c>
      <c r="S1879" t="str">
        <f t="shared" si="90"/>
        <v/>
      </c>
      <c r="T1879" t="str">
        <f t="shared" si="91"/>
        <v/>
      </c>
    </row>
    <row r="1880" spans="1:20" ht="100" customHeight="1">
      <c r="A1880" s="26"/>
      <c r="B1880" s="39" t="str">
        <f t="shared" si="89"/>
        <v/>
      </c>
      <c r="C1880" s="43"/>
      <c r="D1880" s="51" t="str" cm="1">
        <f t="array" ref="D1880">IFERROR(INDEX(DB!G$2:G$2576,T1880),"")</f>
        <v/>
      </c>
      <c r="E1880" s="43"/>
      <c r="F1880" s="52" t="str" cm="1">
        <f t="array" ref="F1880">IFERROR(INDEX(DB!O$2:O$2576,T1880),"")</f>
        <v/>
      </c>
      <c r="G1880" s="43"/>
      <c r="H1880" s="40" t="str" cm="1">
        <f t="array" ref="H1880">IFERROR(INDEX(DB!P$2:P$2576,T1880),"")</f>
        <v/>
      </c>
      <c r="I1880" s="43"/>
      <c r="J1880" s="53" t="str" cm="1">
        <f t="array" ref="J1880">IFERROR(INDEX(DB!Q$2:Q$2576,T1880),"")</f>
        <v/>
      </c>
      <c r="K1880" s="43"/>
      <c r="L1880" s="41" t="str" cm="1">
        <f t="array" ref="L1880">IFERROR(INDEX(DB!R$2:R$2576,T1880),"")</f>
        <v/>
      </c>
      <c r="M1880" s="43"/>
      <c r="P1880" t="str" cm="1">
        <f t="array" ref="P1880">IFERROR(_xlfn.AGGREGATE(15,6,ROW(DB!A$2:A$2576)/((($D$3&lt;&gt;"YES")+($D$3="YES")*(DB!E$2:E$2576="YES"))*(($D$4="")+($D$4&lt;&gt;"")*( DB!B$2:B$2576=$D$4))*(($D$5="")+($D$5&lt;&gt;"")*( DB!C$2:C$2576=$D$5))*(($D$6="")+($D$6&lt;&gt;"")*( DB!D$2:D$2576=$D$6))*(($D$7="")+($D$7&lt;&gt;"")*(ISNUMBER(SEARCH($D$7,DB!G$2:G$2576))))*(($F$7="전체")+($F$7&lt;&gt;"전체")*(DB!H$2:H$2576=$F$7))),ROW()-13)-1,"")</f>
        <v/>
      </c>
      <c r="Q1880" t="str" cm="1">
        <f t="array" ref="Q1880">IFERROR(INDEX(DB!G$2:G$2576,P1880),"")</f>
        <v/>
      </c>
      <c r="R1880" t="str" cm="1">
        <f t="array" ref="R1880">IFERROR(INDEX(DB!O$2:O$2576,P1880),"")</f>
        <v/>
      </c>
      <c r="S1880" t="str">
        <f t="shared" si="90"/>
        <v/>
      </c>
      <c r="T1880" t="str">
        <f t="shared" si="91"/>
        <v/>
      </c>
    </row>
    <row r="1881" spans="1:20" ht="100" customHeight="1">
      <c r="A1881" s="26"/>
      <c r="B1881" s="42" t="str">
        <f t="shared" si="89"/>
        <v/>
      </c>
      <c r="C1881" s="43"/>
      <c r="D1881" s="51" t="str" cm="1">
        <f t="array" ref="D1881">IFERROR(INDEX(DB!G$2:G$2576,T1881),"")</f>
        <v/>
      </c>
      <c r="E1881" s="43"/>
      <c r="F1881" s="52" t="str" cm="1">
        <f t="array" ref="F1881">IFERROR(INDEX(DB!O$2:O$2576,T1881),"")</f>
        <v/>
      </c>
      <c r="G1881" s="43"/>
      <c r="H1881" s="40" t="str" cm="1">
        <f t="array" ref="H1881">IFERROR(INDEX(DB!P$2:P$2576,T1881),"")</f>
        <v/>
      </c>
      <c r="I1881" s="43"/>
      <c r="J1881" s="53" t="str" cm="1">
        <f t="array" ref="J1881">IFERROR(INDEX(DB!Q$2:Q$2576,T1881),"")</f>
        <v/>
      </c>
      <c r="K1881" s="43"/>
      <c r="L1881" s="41" t="str" cm="1">
        <f t="array" ref="L1881">IFERROR(INDEX(DB!R$2:R$2576,T1881),"")</f>
        <v/>
      </c>
      <c r="M1881" s="43"/>
      <c r="P1881" t="str" cm="1">
        <f t="array" ref="P1881">IFERROR(_xlfn.AGGREGATE(15,6,ROW(DB!A$2:A$2576)/((($D$3&lt;&gt;"YES")+($D$3="YES")*(DB!E$2:E$2576="YES"))*(($D$4="")+($D$4&lt;&gt;"")*( DB!B$2:B$2576=$D$4))*(($D$5="")+($D$5&lt;&gt;"")*( DB!C$2:C$2576=$D$5))*(($D$6="")+($D$6&lt;&gt;"")*( DB!D$2:D$2576=$D$6))*(($D$7="")+($D$7&lt;&gt;"")*(ISNUMBER(SEARCH($D$7,DB!G$2:G$2576))))*(($F$7="전체")+($F$7&lt;&gt;"전체")*(DB!H$2:H$2576=$F$7))),ROW()-13)-1,"")</f>
        <v/>
      </c>
      <c r="Q1881" t="str" cm="1">
        <f t="array" ref="Q1881">IFERROR(INDEX(DB!G$2:G$2576,P1881),"")</f>
        <v/>
      </c>
      <c r="R1881" t="str" cm="1">
        <f t="array" ref="R1881">IFERROR(INDEX(DB!O$2:O$2576,P1881),"")</f>
        <v/>
      </c>
      <c r="S1881" t="str">
        <f t="shared" si="90"/>
        <v/>
      </c>
      <c r="T1881" t="str">
        <f t="shared" si="91"/>
        <v/>
      </c>
    </row>
    <row r="1882" spans="1:20" ht="100" customHeight="1">
      <c r="A1882" s="26"/>
      <c r="B1882" s="39" t="str">
        <f t="shared" si="89"/>
        <v/>
      </c>
      <c r="C1882" s="43"/>
      <c r="D1882" s="51" t="str" cm="1">
        <f t="array" ref="D1882">IFERROR(INDEX(DB!G$2:G$2576,T1882),"")</f>
        <v/>
      </c>
      <c r="E1882" s="43"/>
      <c r="F1882" s="52" t="str" cm="1">
        <f t="array" ref="F1882">IFERROR(INDEX(DB!O$2:O$2576,T1882),"")</f>
        <v/>
      </c>
      <c r="G1882" s="43"/>
      <c r="H1882" s="40" t="str" cm="1">
        <f t="array" ref="H1882">IFERROR(INDEX(DB!P$2:P$2576,T1882),"")</f>
        <v/>
      </c>
      <c r="I1882" s="43"/>
      <c r="J1882" s="53" t="str" cm="1">
        <f t="array" ref="J1882">IFERROR(INDEX(DB!Q$2:Q$2576,T1882),"")</f>
        <v/>
      </c>
      <c r="K1882" s="43"/>
      <c r="L1882" s="41" t="str" cm="1">
        <f t="array" ref="L1882">IFERROR(INDEX(DB!R$2:R$2576,T1882),"")</f>
        <v/>
      </c>
      <c r="M1882" s="43"/>
      <c r="P1882" t="str" cm="1">
        <f t="array" ref="P1882">IFERROR(_xlfn.AGGREGATE(15,6,ROW(DB!A$2:A$2576)/((($D$3&lt;&gt;"YES")+($D$3="YES")*(DB!E$2:E$2576="YES"))*(($D$4="")+($D$4&lt;&gt;"")*( DB!B$2:B$2576=$D$4))*(($D$5="")+($D$5&lt;&gt;"")*( DB!C$2:C$2576=$D$5))*(($D$6="")+($D$6&lt;&gt;"")*( DB!D$2:D$2576=$D$6))*(($D$7="")+($D$7&lt;&gt;"")*(ISNUMBER(SEARCH($D$7,DB!G$2:G$2576))))*(($F$7="전체")+($F$7&lt;&gt;"전체")*(DB!H$2:H$2576=$F$7))),ROW()-13)-1,"")</f>
        <v/>
      </c>
      <c r="Q1882" t="str" cm="1">
        <f t="array" ref="Q1882">IFERROR(INDEX(DB!G$2:G$2576,P1882),"")</f>
        <v/>
      </c>
      <c r="R1882" t="str" cm="1">
        <f t="array" ref="R1882">IFERROR(INDEX(DB!O$2:O$2576,P1882),"")</f>
        <v/>
      </c>
      <c r="S1882" t="str">
        <f t="shared" si="90"/>
        <v/>
      </c>
      <c r="T1882" t="str">
        <f t="shared" si="91"/>
        <v/>
      </c>
    </row>
    <row r="1883" spans="1:20" ht="100" customHeight="1">
      <c r="A1883" s="26"/>
      <c r="B1883" s="42" t="str">
        <f t="shared" si="89"/>
        <v/>
      </c>
      <c r="C1883" s="43"/>
      <c r="D1883" s="51" t="str" cm="1">
        <f t="array" ref="D1883">IFERROR(INDEX(DB!G$2:G$2576,T1883),"")</f>
        <v/>
      </c>
      <c r="E1883" s="43"/>
      <c r="F1883" s="52" t="str" cm="1">
        <f t="array" ref="F1883">IFERROR(INDEX(DB!O$2:O$2576,T1883),"")</f>
        <v/>
      </c>
      <c r="G1883" s="43"/>
      <c r="H1883" s="40" t="str" cm="1">
        <f t="array" ref="H1883">IFERROR(INDEX(DB!P$2:P$2576,T1883),"")</f>
        <v/>
      </c>
      <c r="I1883" s="43"/>
      <c r="J1883" s="53" t="str" cm="1">
        <f t="array" ref="J1883">IFERROR(INDEX(DB!Q$2:Q$2576,T1883),"")</f>
        <v/>
      </c>
      <c r="K1883" s="43"/>
      <c r="L1883" s="41" t="str" cm="1">
        <f t="array" ref="L1883">IFERROR(INDEX(DB!R$2:R$2576,T1883),"")</f>
        <v/>
      </c>
      <c r="M1883" s="43"/>
      <c r="P1883" t="str" cm="1">
        <f t="array" ref="P1883">IFERROR(_xlfn.AGGREGATE(15,6,ROW(DB!A$2:A$2576)/((($D$3&lt;&gt;"YES")+($D$3="YES")*(DB!E$2:E$2576="YES"))*(($D$4="")+($D$4&lt;&gt;"")*( DB!B$2:B$2576=$D$4))*(($D$5="")+($D$5&lt;&gt;"")*( DB!C$2:C$2576=$D$5))*(($D$6="")+($D$6&lt;&gt;"")*( DB!D$2:D$2576=$D$6))*(($D$7="")+($D$7&lt;&gt;"")*(ISNUMBER(SEARCH($D$7,DB!G$2:G$2576))))*(($F$7="전체")+($F$7&lt;&gt;"전체")*(DB!H$2:H$2576=$F$7))),ROW()-13)-1,"")</f>
        <v/>
      </c>
      <c r="Q1883" t="str" cm="1">
        <f t="array" ref="Q1883">IFERROR(INDEX(DB!G$2:G$2576,P1883),"")</f>
        <v/>
      </c>
      <c r="R1883" t="str" cm="1">
        <f t="array" ref="R1883">IFERROR(INDEX(DB!O$2:O$2576,P1883),"")</f>
        <v/>
      </c>
      <c r="S1883" t="str">
        <f t="shared" si="90"/>
        <v/>
      </c>
      <c r="T1883" t="str">
        <f t="shared" si="91"/>
        <v/>
      </c>
    </row>
    <row r="1884" spans="1:20" ht="100" customHeight="1">
      <c r="A1884" s="26"/>
      <c r="B1884" s="39" t="str">
        <f t="shared" si="89"/>
        <v/>
      </c>
      <c r="C1884" s="43"/>
      <c r="D1884" s="51" t="str" cm="1">
        <f t="array" ref="D1884">IFERROR(INDEX(DB!G$2:G$2576,T1884),"")</f>
        <v/>
      </c>
      <c r="E1884" s="43"/>
      <c r="F1884" s="52" t="str" cm="1">
        <f t="array" ref="F1884">IFERROR(INDEX(DB!O$2:O$2576,T1884),"")</f>
        <v/>
      </c>
      <c r="G1884" s="43"/>
      <c r="H1884" s="40" t="str" cm="1">
        <f t="array" ref="H1884">IFERROR(INDEX(DB!P$2:P$2576,T1884),"")</f>
        <v/>
      </c>
      <c r="I1884" s="43"/>
      <c r="J1884" s="53" t="str" cm="1">
        <f t="array" ref="J1884">IFERROR(INDEX(DB!Q$2:Q$2576,T1884),"")</f>
        <v/>
      </c>
      <c r="K1884" s="43"/>
      <c r="L1884" s="41" t="str" cm="1">
        <f t="array" ref="L1884">IFERROR(INDEX(DB!R$2:R$2576,T1884),"")</f>
        <v/>
      </c>
      <c r="M1884" s="43"/>
      <c r="P1884" t="str" cm="1">
        <f t="array" ref="P1884">IFERROR(_xlfn.AGGREGATE(15,6,ROW(DB!A$2:A$2576)/((($D$3&lt;&gt;"YES")+($D$3="YES")*(DB!E$2:E$2576="YES"))*(($D$4="")+($D$4&lt;&gt;"")*( DB!B$2:B$2576=$D$4))*(($D$5="")+($D$5&lt;&gt;"")*( DB!C$2:C$2576=$D$5))*(($D$6="")+($D$6&lt;&gt;"")*( DB!D$2:D$2576=$D$6))*(($D$7="")+($D$7&lt;&gt;"")*(ISNUMBER(SEARCH($D$7,DB!G$2:G$2576))))*(($F$7="전체")+($F$7&lt;&gt;"전체")*(DB!H$2:H$2576=$F$7))),ROW()-13)-1,"")</f>
        <v/>
      </c>
      <c r="Q1884" t="str" cm="1">
        <f t="array" ref="Q1884">IFERROR(INDEX(DB!G$2:G$2576,P1884),"")</f>
        <v/>
      </c>
      <c r="R1884" t="str" cm="1">
        <f t="array" ref="R1884">IFERROR(INDEX(DB!O$2:O$2576,P1884),"")</f>
        <v/>
      </c>
      <c r="S1884" t="str">
        <f t="shared" si="90"/>
        <v/>
      </c>
      <c r="T1884" t="str">
        <f t="shared" si="91"/>
        <v/>
      </c>
    </row>
    <row r="1885" spans="1:20" ht="100" customHeight="1">
      <c r="A1885" s="26"/>
      <c r="B1885" s="42" t="str">
        <f t="shared" si="89"/>
        <v/>
      </c>
      <c r="C1885" s="43"/>
      <c r="D1885" s="51" t="str" cm="1">
        <f t="array" ref="D1885">IFERROR(INDEX(DB!G$2:G$2576,T1885),"")</f>
        <v/>
      </c>
      <c r="E1885" s="43"/>
      <c r="F1885" s="52" t="str" cm="1">
        <f t="array" ref="F1885">IFERROR(INDEX(DB!O$2:O$2576,T1885),"")</f>
        <v/>
      </c>
      <c r="G1885" s="43"/>
      <c r="H1885" s="40" t="str" cm="1">
        <f t="array" ref="H1885">IFERROR(INDEX(DB!P$2:P$2576,T1885),"")</f>
        <v/>
      </c>
      <c r="I1885" s="43"/>
      <c r="J1885" s="53" t="str" cm="1">
        <f t="array" ref="J1885">IFERROR(INDEX(DB!Q$2:Q$2576,T1885),"")</f>
        <v/>
      </c>
      <c r="K1885" s="43"/>
      <c r="L1885" s="41" t="str" cm="1">
        <f t="array" ref="L1885">IFERROR(INDEX(DB!R$2:R$2576,T1885),"")</f>
        <v/>
      </c>
      <c r="M1885" s="43"/>
      <c r="P1885" t="str" cm="1">
        <f t="array" ref="P1885">IFERROR(_xlfn.AGGREGATE(15,6,ROW(DB!A$2:A$2576)/((($D$3&lt;&gt;"YES")+($D$3="YES")*(DB!E$2:E$2576="YES"))*(($D$4="")+($D$4&lt;&gt;"")*( DB!B$2:B$2576=$D$4))*(($D$5="")+($D$5&lt;&gt;"")*( DB!C$2:C$2576=$D$5))*(($D$6="")+($D$6&lt;&gt;"")*( DB!D$2:D$2576=$D$6))*(($D$7="")+($D$7&lt;&gt;"")*(ISNUMBER(SEARCH($D$7,DB!G$2:G$2576))))*(($F$7="전체")+($F$7&lt;&gt;"전체")*(DB!H$2:H$2576=$F$7))),ROW()-13)-1,"")</f>
        <v/>
      </c>
      <c r="Q1885" t="str" cm="1">
        <f t="array" ref="Q1885">IFERROR(INDEX(DB!G$2:G$2576,P1885),"")</f>
        <v/>
      </c>
      <c r="R1885" t="str" cm="1">
        <f t="array" ref="R1885">IFERROR(INDEX(DB!O$2:O$2576,P1885),"")</f>
        <v/>
      </c>
      <c r="S1885" t="str">
        <f t="shared" si="90"/>
        <v/>
      </c>
      <c r="T1885" t="str">
        <f t="shared" si="91"/>
        <v/>
      </c>
    </row>
    <row r="1886" spans="1:20" ht="100" customHeight="1">
      <c r="A1886" s="26"/>
      <c r="B1886" s="39" t="str">
        <f t="shared" si="89"/>
        <v/>
      </c>
      <c r="C1886" s="43"/>
      <c r="D1886" s="51" t="str" cm="1">
        <f t="array" ref="D1886">IFERROR(INDEX(DB!G$2:G$2576,T1886),"")</f>
        <v/>
      </c>
      <c r="E1886" s="43"/>
      <c r="F1886" s="52" t="str" cm="1">
        <f t="array" ref="F1886">IFERROR(INDEX(DB!O$2:O$2576,T1886),"")</f>
        <v/>
      </c>
      <c r="G1886" s="43"/>
      <c r="H1886" s="40" t="str" cm="1">
        <f t="array" ref="H1886">IFERROR(INDEX(DB!P$2:P$2576,T1886),"")</f>
        <v/>
      </c>
      <c r="I1886" s="43"/>
      <c r="J1886" s="53" t="str" cm="1">
        <f t="array" ref="J1886">IFERROR(INDEX(DB!Q$2:Q$2576,T1886),"")</f>
        <v/>
      </c>
      <c r="K1886" s="43"/>
      <c r="L1886" s="41" t="str" cm="1">
        <f t="array" ref="L1886">IFERROR(INDEX(DB!R$2:R$2576,T1886),"")</f>
        <v/>
      </c>
      <c r="M1886" s="43"/>
      <c r="P1886" t="str" cm="1">
        <f t="array" ref="P1886">IFERROR(_xlfn.AGGREGATE(15,6,ROW(DB!A$2:A$2576)/((($D$3&lt;&gt;"YES")+($D$3="YES")*(DB!E$2:E$2576="YES"))*(($D$4="")+($D$4&lt;&gt;"")*( DB!B$2:B$2576=$D$4))*(($D$5="")+($D$5&lt;&gt;"")*( DB!C$2:C$2576=$D$5))*(($D$6="")+($D$6&lt;&gt;"")*( DB!D$2:D$2576=$D$6))*(($D$7="")+($D$7&lt;&gt;"")*(ISNUMBER(SEARCH($D$7,DB!G$2:G$2576))))*(($F$7="전체")+($F$7&lt;&gt;"전체")*(DB!H$2:H$2576=$F$7))),ROW()-13)-1,"")</f>
        <v/>
      </c>
      <c r="Q1886" t="str" cm="1">
        <f t="array" ref="Q1886">IFERROR(INDEX(DB!G$2:G$2576,P1886),"")</f>
        <v/>
      </c>
      <c r="R1886" t="str" cm="1">
        <f t="array" ref="R1886">IFERROR(INDEX(DB!O$2:O$2576,P1886),"")</f>
        <v/>
      </c>
      <c r="S1886" t="str">
        <f t="shared" si="90"/>
        <v/>
      </c>
      <c r="T1886" t="str">
        <f t="shared" si="91"/>
        <v/>
      </c>
    </row>
    <row r="1887" spans="1:20" ht="100" customHeight="1">
      <c r="A1887" s="26"/>
      <c r="B1887" s="42" t="str">
        <f t="shared" si="89"/>
        <v/>
      </c>
      <c r="C1887" s="43"/>
      <c r="D1887" s="51" t="str" cm="1">
        <f t="array" ref="D1887">IFERROR(INDEX(DB!G$2:G$2576,T1887),"")</f>
        <v/>
      </c>
      <c r="E1887" s="43"/>
      <c r="F1887" s="52" t="str" cm="1">
        <f t="array" ref="F1887">IFERROR(INDEX(DB!O$2:O$2576,T1887),"")</f>
        <v/>
      </c>
      <c r="G1887" s="43"/>
      <c r="H1887" s="40" t="str" cm="1">
        <f t="array" ref="H1887">IFERROR(INDEX(DB!P$2:P$2576,T1887),"")</f>
        <v/>
      </c>
      <c r="I1887" s="43"/>
      <c r="J1887" s="53" t="str" cm="1">
        <f t="array" ref="J1887">IFERROR(INDEX(DB!Q$2:Q$2576,T1887),"")</f>
        <v/>
      </c>
      <c r="K1887" s="43"/>
      <c r="L1887" s="41" t="str" cm="1">
        <f t="array" ref="L1887">IFERROR(INDEX(DB!R$2:R$2576,T1887),"")</f>
        <v/>
      </c>
      <c r="M1887" s="43"/>
      <c r="P1887" t="str" cm="1">
        <f t="array" ref="P1887">IFERROR(_xlfn.AGGREGATE(15,6,ROW(DB!A$2:A$2576)/((($D$3&lt;&gt;"YES")+($D$3="YES")*(DB!E$2:E$2576="YES"))*(($D$4="")+($D$4&lt;&gt;"")*( DB!B$2:B$2576=$D$4))*(($D$5="")+($D$5&lt;&gt;"")*( DB!C$2:C$2576=$D$5))*(($D$6="")+($D$6&lt;&gt;"")*( DB!D$2:D$2576=$D$6))*(($D$7="")+($D$7&lt;&gt;"")*(ISNUMBER(SEARCH($D$7,DB!G$2:G$2576))))*(($F$7="전체")+($F$7&lt;&gt;"전체")*(DB!H$2:H$2576=$F$7))),ROW()-13)-1,"")</f>
        <v/>
      </c>
      <c r="Q1887" t="str" cm="1">
        <f t="array" ref="Q1887">IFERROR(INDEX(DB!G$2:G$2576,P1887),"")</f>
        <v/>
      </c>
      <c r="R1887" t="str" cm="1">
        <f t="array" ref="R1887">IFERROR(INDEX(DB!O$2:O$2576,P1887),"")</f>
        <v/>
      </c>
      <c r="S1887" t="str">
        <f t="shared" si="90"/>
        <v/>
      </c>
      <c r="T1887" t="str">
        <f t="shared" si="91"/>
        <v/>
      </c>
    </row>
    <row r="1888" spans="1:20" ht="100" customHeight="1">
      <c r="A1888" s="26"/>
      <c r="B1888" s="39" t="str">
        <f t="shared" si="89"/>
        <v/>
      </c>
      <c r="C1888" s="43"/>
      <c r="D1888" s="51" t="str" cm="1">
        <f t="array" ref="D1888">IFERROR(INDEX(DB!G$2:G$2576,T1888),"")</f>
        <v/>
      </c>
      <c r="E1888" s="43"/>
      <c r="F1888" s="52" t="str" cm="1">
        <f t="array" ref="F1888">IFERROR(INDEX(DB!O$2:O$2576,T1888),"")</f>
        <v/>
      </c>
      <c r="G1888" s="43"/>
      <c r="H1888" s="40" t="str" cm="1">
        <f t="array" ref="H1888">IFERROR(INDEX(DB!P$2:P$2576,T1888),"")</f>
        <v/>
      </c>
      <c r="I1888" s="43"/>
      <c r="J1888" s="53" t="str" cm="1">
        <f t="array" ref="J1888">IFERROR(INDEX(DB!Q$2:Q$2576,T1888),"")</f>
        <v/>
      </c>
      <c r="K1888" s="43"/>
      <c r="L1888" s="41" t="str" cm="1">
        <f t="array" ref="L1888">IFERROR(INDEX(DB!R$2:R$2576,T1888),"")</f>
        <v/>
      </c>
      <c r="M1888" s="43"/>
      <c r="P1888" t="str" cm="1">
        <f t="array" ref="P1888">IFERROR(_xlfn.AGGREGATE(15,6,ROW(DB!A$2:A$2576)/((($D$3&lt;&gt;"YES")+($D$3="YES")*(DB!E$2:E$2576="YES"))*(($D$4="")+($D$4&lt;&gt;"")*( DB!B$2:B$2576=$D$4))*(($D$5="")+($D$5&lt;&gt;"")*( DB!C$2:C$2576=$D$5))*(($D$6="")+($D$6&lt;&gt;"")*( DB!D$2:D$2576=$D$6))*(($D$7="")+($D$7&lt;&gt;"")*(ISNUMBER(SEARCH($D$7,DB!G$2:G$2576))))*(($F$7="전체")+($F$7&lt;&gt;"전체")*(DB!H$2:H$2576=$F$7))),ROW()-13)-1,"")</f>
        <v/>
      </c>
      <c r="Q1888" t="str" cm="1">
        <f t="array" ref="Q1888">IFERROR(INDEX(DB!G$2:G$2576,P1888),"")</f>
        <v/>
      </c>
      <c r="R1888" t="str" cm="1">
        <f t="array" ref="R1888">IFERROR(INDEX(DB!O$2:O$2576,P1888),"")</f>
        <v/>
      </c>
      <c r="S1888" t="str">
        <f t="shared" si="90"/>
        <v/>
      </c>
      <c r="T1888" t="str">
        <f t="shared" si="91"/>
        <v/>
      </c>
    </row>
    <row r="1889" spans="1:20" ht="100" customHeight="1">
      <c r="A1889" s="26"/>
      <c r="B1889" s="42" t="str">
        <f t="shared" si="89"/>
        <v/>
      </c>
      <c r="C1889" s="43"/>
      <c r="D1889" s="51" t="str" cm="1">
        <f t="array" ref="D1889">IFERROR(INDEX(DB!G$2:G$2576,T1889),"")</f>
        <v/>
      </c>
      <c r="E1889" s="43"/>
      <c r="F1889" s="52" t="str" cm="1">
        <f t="array" ref="F1889">IFERROR(INDEX(DB!O$2:O$2576,T1889),"")</f>
        <v/>
      </c>
      <c r="G1889" s="43"/>
      <c r="H1889" s="40" t="str" cm="1">
        <f t="array" ref="H1889">IFERROR(INDEX(DB!P$2:P$2576,T1889),"")</f>
        <v/>
      </c>
      <c r="I1889" s="43"/>
      <c r="J1889" s="53" t="str" cm="1">
        <f t="array" ref="J1889">IFERROR(INDEX(DB!Q$2:Q$2576,T1889),"")</f>
        <v/>
      </c>
      <c r="K1889" s="43"/>
      <c r="L1889" s="41" t="str" cm="1">
        <f t="array" ref="L1889">IFERROR(INDEX(DB!R$2:R$2576,T1889),"")</f>
        <v/>
      </c>
      <c r="M1889" s="43"/>
      <c r="P1889" t="str" cm="1">
        <f t="array" ref="P1889">IFERROR(_xlfn.AGGREGATE(15,6,ROW(DB!A$2:A$2576)/((($D$3&lt;&gt;"YES")+($D$3="YES")*(DB!E$2:E$2576="YES"))*(($D$4="")+($D$4&lt;&gt;"")*( DB!B$2:B$2576=$D$4))*(($D$5="")+($D$5&lt;&gt;"")*( DB!C$2:C$2576=$D$5))*(($D$6="")+($D$6&lt;&gt;"")*( DB!D$2:D$2576=$D$6))*(($D$7="")+($D$7&lt;&gt;"")*(ISNUMBER(SEARCH($D$7,DB!G$2:G$2576))))*(($F$7="전체")+($F$7&lt;&gt;"전체")*(DB!H$2:H$2576=$F$7))),ROW()-13)-1,"")</f>
        <v/>
      </c>
      <c r="Q1889" t="str" cm="1">
        <f t="array" ref="Q1889">IFERROR(INDEX(DB!G$2:G$2576,P1889),"")</f>
        <v/>
      </c>
      <c r="R1889" t="str" cm="1">
        <f t="array" ref="R1889">IFERROR(INDEX(DB!O$2:O$2576,P1889),"")</f>
        <v/>
      </c>
      <c r="S1889" t="str">
        <f t="shared" si="90"/>
        <v/>
      </c>
      <c r="T1889" t="str">
        <f t="shared" si="91"/>
        <v/>
      </c>
    </row>
    <row r="1890" spans="1:20" ht="100" customHeight="1">
      <c r="A1890" s="26"/>
      <c r="B1890" s="39" t="str">
        <f t="shared" si="89"/>
        <v/>
      </c>
      <c r="C1890" s="43"/>
      <c r="D1890" s="51" t="str" cm="1">
        <f t="array" ref="D1890">IFERROR(INDEX(DB!G$2:G$2576,T1890),"")</f>
        <v/>
      </c>
      <c r="E1890" s="43"/>
      <c r="F1890" s="52" t="str" cm="1">
        <f t="array" ref="F1890">IFERROR(INDEX(DB!O$2:O$2576,T1890),"")</f>
        <v/>
      </c>
      <c r="G1890" s="43"/>
      <c r="H1890" s="40" t="str" cm="1">
        <f t="array" ref="H1890">IFERROR(INDEX(DB!P$2:P$2576,T1890),"")</f>
        <v/>
      </c>
      <c r="I1890" s="43"/>
      <c r="J1890" s="53" t="str" cm="1">
        <f t="array" ref="J1890">IFERROR(INDEX(DB!Q$2:Q$2576,T1890),"")</f>
        <v/>
      </c>
      <c r="K1890" s="43"/>
      <c r="L1890" s="41" t="str" cm="1">
        <f t="array" ref="L1890">IFERROR(INDEX(DB!R$2:R$2576,T1890),"")</f>
        <v/>
      </c>
      <c r="M1890" s="43"/>
      <c r="P1890" t="str" cm="1">
        <f t="array" ref="P1890">IFERROR(_xlfn.AGGREGATE(15,6,ROW(DB!A$2:A$2576)/((($D$3&lt;&gt;"YES")+($D$3="YES")*(DB!E$2:E$2576="YES"))*(($D$4="")+($D$4&lt;&gt;"")*( DB!B$2:B$2576=$D$4))*(($D$5="")+($D$5&lt;&gt;"")*( DB!C$2:C$2576=$D$5))*(($D$6="")+($D$6&lt;&gt;"")*( DB!D$2:D$2576=$D$6))*(($D$7="")+($D$7&lt;&gt;"")*(ISNUMBER(SEARCH($D$7,DB!G$2:G$2576))))*(($F$7="전체")+($F$7&lt;&gt;"전체")*(DB!H$2:H$2576=$F$7))),ROW()-13)-1,"")</f>
        <v/>
      </c>
      <c r="Q1890" t="str" cm="1">
        <f t="array" ref="Q1890">IFERROR(INDEX(DB!G$2:G$2576,P1890),"")</f>
        <v/>
      </c>
      <c r="R1890" t="str" cm="1">
        <f t="array" ref="R1890">IFERROR(INDEX(DB!O$2:O$2576,P1890),"")</f>
        <v/>
      </c>
      <c r="S1890" t="str">
        <f t="shared" si="90"/>
        <v/>
      </c>
      <c r="T1890" t="str">
        <f t="shared" si="91"/>
        <v/>
      </c>
    </row>
    <row r="1891" spans="1:20" ht="100" customHeight="1">
      <c r="A1891" s="26"/>
      <c r="B1891" s="42" t="str">
        <f t="shared" si="89"/>
        <v/>
      </c>
      <c r="C1891" s="43"/>
      <c r="D1891" s="51" t="str" cm="1">
        <f t="array" ref="D1891">IFERROR(INDEX(DB!G$2:G$2576,T1891),"")</f>
        <v/>
      </c>
      <c r="E1891" s="43"/>
      <c r="F1891" s="52" t="str" cm="1">
        <f t="array" ref="F1891">IFERROR(INDEX(DB!O$2:O$2576,T1891),"")</f>
        <v/>
      </c>
      <c r="G1891" s="43"/>
      <c r="H1891" s="40" t="str" cm="1">
        <f t="array" ref="H1891">IFERROR(INDEX(DB!P$2:P$2576,T1891),"")</f>
        <v/>
      </c>
      <c r="I1891" s="43"/>
      <c r="J1891" s="53" t="str" cm="1">
        <f t="array" ref="J1891">IFERROR(INDEX(DB!Q$2:Q$2576,T1891),"")</f>
        <v/>
      </c>
      <c r="K1891" s="43"/>
      <c r="L1891" s="41" t="str" cm="1">
        <f t="array" ref="L1891">IFERROR(INDEX(DB!R$2:R$2576,T1891),"")</f>
        <v/>
      </c>
      <c r="M1891" s="43"/>
      <c r="P1891" t="str" cm="1">
        <f t="array" ref="P1891">IFERROR(_xlfn.AGGREGATE(15,6,ROW(DB!A$2:A$2576)/((($D$3&lt;&gt;"YES")+($D$3="YES")*(DB!E$2:E$2576="YES"))*(($D$4="")+($D$4&lt;&gt;"")*( DB!B$2:B$2576=$D$4))*(($D$5="")+($D$5&lt;&gt;"")*( DB!C$2:C$2576=$D$5))*(($D$6="")+($D$6&lt;&gt;"")*( DB!D$2:D$2576=$D$6))*(($D$7="")+($D$7&lt;&gt;"")*(ISNUMBER(SEARCH($D$7,DB!G$2:G$2576))))*(($F$7="전체")+($F$7&lt;&gt;"전체")*(DB!H$2:H$2576=$F$7))),ROW()-13)-1,"")</f>
        <v/>
      </c>
      <c r="Q1891" t="str" cm="1">
        <f t="array" ref="Q1891">IFERROR(INDEX(DB!G$2:G$2576,P1891),"")</f>
        <v/>
      </c>
      <c r="R1891" t="str" cm="1">
        <f t="array" ref="R1891">IFERROR(INDEX(DB!O$2:O$2576,P1891),"")</f>
        <v/>
      </c>
      <c r="S1891" t="str">
        <f t="shared" si="90"/>
        <v/>
      </c>
      <c r="T1891" t="str">
        <f t="shared" si="91"/>
        <v/>
      </c>
    </row>
    <row r="1892" spans="1:20" ht="100" customHeight="1">
      <c r="A1892" s="26"/>
      <c r="B1892" s="39" t="str">
        <f t="shared" si="89"/>
        <v/>
      </c>
      <c r="C1892" s="43"/>
      <c r="D1892" s="51" t="str" cm="1">
        <f t="array" ref="D1892">IFERROR(INDEX(DB!G$2:G$2576,T1892),"")</f>
        <v/>
      </c>
      <c r="E1892" s="43"/>
      <c r="F1892" s="52" t="str" cm="1">
        <f t="array" ref="F1892">IFERROR(INDEX(DB!O$2:O$2576,T1892),"")</f>
        <v/>
      </c>
      <c r="G1892" s="43"/>
      <c r="H1892" s="40" t="str" cm="1">
        <f t="array" ref="H1892">IFERROR(INDEX(DB!P$2:P$2576,T1892),"")</f>
        <v/>
      </c>
      <c r="I1892" s="43"/>
      <c r="J1892" s="53" t="str" cm="1">
        <f t="array" ref="J1892">IFERROR(INDEX(DB!Q$2:Q$2576,T1892),"")</f>
        <v/>
      </c>
      <c r="K1892" s="43"/>
      <c r="L1892" s="41" t="str" cm="1">
        <f t="array" ref="L1892">IFERROR(INDEX(DB!R$2:R$2576,T1892),"")</f>
        <v/>
      </c>
      <c r="M1892" s="43"/>
      <c r="P1892" t="str" cm="1">
        <f t="array" ref="P1892">IFERROR(_xlfn.AGGREGATE(15,6,ROW(DB!A$2:A$2576)/((($D$3&lt;&gt;"YES")+($D$3="YES")*(DB!E$2:E$2576="YES"))*(($D$4="")+($D$4&lt;&gt;"")*( DB!B$2:B$2576=$D$4))*(($D$5="")+($D$5&lt;&gt;"")*( DB!C$2:C$2576=$D$5))*(($D$6="")+($D$6&lt;&gt;"")*( DB!D$2:D$2576=$D$6))*(($D$7="")+($D$7&lt;&gt;"")*(ISNUMBER(SEARCH($D$7,DB!G$2:G$2576))))*(($F$7="전체")+($F$7&lt;&gt;"전체")*(DB!H$2:H$2576=$F$7))),ROW()-13)-1,"")</f>
        <v/>
      </c>
      <c r="Q1892" t="str" cm="1">
        <f t="array" ref="Q1892">IFERROR(INDEX(DB!G$2:G$2576,P1892),"")</f>
        <v/>
      </c>
      <c r="R1892" t="str" cm="1">
        <f t="array" ref="R1892">IFERROR(INDEX(DB!O$2:O$2576,P1892),"")</f>
        <v/>
      </c>
      <c r="S1892" t="str">
        <f t="shared" si="90"/>
        <v/>
      </c>
      <c r="T1892" t="str">
        <f t="shared" si="91"/>
        <v/>
      </c>
    </row>
    <row r="1893" spans="1:20" ht="100" customHeight="1">
      <c r="A1893" s="26"/>
      <c r="B1893" s="42" t="str">
        <f t="shared" si="89"/>
        <v/>
      </c>
      <c r="C1893" s="43"/>
      <c r="D1893" s="51" t="str" cm="1">
        <f t="array" ref="D1893">IFERROR(INDEX(DB!G$2:G$2576,T1893),"")</f>
        <v/>
      </c>
      <c r="E1893" s="43"/>
      <c r="F1893" s="52" t="str" cm="1">
        <f t="array" ref="F1893">IFERROR(INDEX(DB!O$2:O$2576,T1893),"")</f>
        <v/>
      </c>
      <c r="G1893" s="43"/>
      <c r="H1893" s="40" t="str" cm="1">
        <f t="array" ref="H1893">IFERROR(INDEX(DB!P$2:P$2576,T1893),"")</f>
        <v/>
      </c>
      <c r="I1893" s="43"/>
      <c r="J1893" s="53" t="str" cm="1">
        <f t="array" ref="J1893">IFERROR(INDEX(DB!Q$2:Q$2576,T1893),"")</f>
        <v/>
      </c>
      <c r="K1893" s="43"/>
      <c r="L1893" s="41" t="str" cm="1">
        <f t="array" ref="L1893">IFERROR(INDEX(DB!R$2:R$2576,T1893),"")</f>
        <v/>
      </c>
      <c r="M1893" s="43"/>
      <c r="P1893" t="str" cm="1">
        <f t="array" ref="P1893">IFERROR(_xlfn.AGGREGATE(15,6,ROW(DB!A$2:A$2576)/((($D$3&lt;&gt;"YES")+($D$3="YES")*(DB!E$2:E$2576="YES"))*(($D$4="")+($D$4&lt;&gt;"")*( DB!B$2:B$2576=$D$4))*(($D$5="")+($D$5&lt;&gt;"")*( DB!C$2:C$2576=$D$5))*(($D$6="")+($D$6&lt;&gt;"")*( DB!D$2:D$2576=$D$6))*(($D$7="")+($D$7&lt;&gt;"")*(ISNUMBER(SEARCH($D$7,DB!G$2:G$2576))))*(($F$7="전체")+($F$7&lt;&gt;"전체")*(DB!H$2:H$2576=$F$7))),ROW()-13)-1,"")</f>
        <v/>
      </c>
      <c r="Q1893" t="str" cm="1">
        <f t="array" ref="Q1893">IFERROR(INDEX(DB!G$2:G$2576,P1893),"")</f>
        <v/>
      </c>
      <c r="R1893" t="str" cm="1">
        <f t="array" ref="R1893">IFERROR(INDEX(DB!O$2:O$2576,P1893),"")</f>
        <v/>
      </c>
      <c r="S1893" t="str">
        <f t="shared" si="90"/>
        <v/>
      </c>
      <c r="T1893" t="str">
        <f t="shared" si="91"/>
        <v/>
      </c>
    </row>
    <row r="1894" spans="1:20" ht="100" customHeight="1">
      <c r="A1894" s="26"/>
      <c r="B1894" s="39" t="str">
        <f t="shared" si="89"/>
        <v/>
      </c>
      <c r="C1894" s="43"/>
      <c r="D1894" s="51" t="str" cm="1">
        <f t="array" ref="D1894">IFERROR(INDEX(DB!G$2:G$2576,T1894),"")</f>
        <v/>
      </c>
      <c r="E1894" s="43"/>
      <c r="F1894" s="52" t="str" cm="1">
        <f t="array" ref="F1894">IFERROR(INDEX(DB!O$2:O$2576,T1894),"")</f>
        <v/>
      </c>
      <c r="G1894" s="43"/>
      <c r="H1894" s="40" t="str" cm="1">
        <f t="array" ref="H1894">IFERROR(INDEX(DB!P$2:P$2576,T1894),"")</f>
        <v/>
      </c>
      <c r="I1894" s="43"/>
      <c r="J1894" s="53" t="str" cm="1">
        <f t="array" ref="J1894">IFERROR(INDEX(DB!Q$2:Q$2576,T1894),"")</f>
        <v/>
      </c>
      <c r="K1894" s="43"/>
      <c r="L1894" s="41" t="str" cm="1">
        <f t="array" ref="L1894">IFERROR(INDEX(DB!R$2:R$2576,T1894),"")</f>
        <v/>
      </c>
      <c r="M1894" s="43"/>
      <c r="P1894" t="str" cm="1">
        <f t="array" ref="P1894">IFERROR(_xlfn.AGGREGATE(15,6,ROW(DB!A$2:A$2576)/((($D$3&lt;&gt;"YES")+($D$3="YES")*(DB!E$2:E$2576="YES"))*(($D$4="")+($D$4&lt;&gt;"")*( DB!B$2:B$2576=$D$4))*(($D$5="")+($D$5&lt;&gt;"")*( DB!C$2:C$2576=$D$5))*(($D$6="")+($D$6&lt;&gt;"")*( DB!D$2:D$2576=$D$6))*(($D$7="")+($D$7&lt;&gt;"")*(ISNUMBER(SEARCH($D$7,DB!G$2:G$2576))))*(($F$7="전체")+($F$7&lt;&gt;"전체")*(DB!H$2:H$2576=$F$7))),ROW()-13)-1,"")</f>
        <v/>
      </c>
      <c r="Q1894" t="str" cm="1">
        <f t="array" ref="Q1894">IFERROR(INDEX(DB!G$2:G$2576,P1894),"")</f>
        <v/>
      </c>
      <c r="R1894" t="str" cm="1">
        <f t="array" ref="R1894">IFERROR(INDEX(DB!O$2:O$2576,P1894),"")</f>
        <v/>
      </c>
      <c r="S1894" t="str">
        <f t="shared" si="90"/>
        <v/>
      </c>
      <c r="T1894" t="str">
        <f t="shared" si="91"/>
        <v/>
      </c>
    </row>
    <row r="1895" spans="1:20" ht="100" customHeight="1">
      <c r="A1895" s="26"/>
      <c r="B1895" s="42" t="str">
        <f t="shared" si="89"/>
        <v/>
      </c>
      <c r="C1895" s="43"/>
      <c r="D1895" s="51" t="str" cm="1">
        <f t="array" ref="D1895">IFERROR(INDEX(DB!G$2:G$2576,T1895),"")</f>
        <v/>
      </c>
      <c r="E1895" s="43"/>
      <c r="F1895" s="52" t="str" cm="1">
        <f t="array" ref="F1895">IFERROR(INDEX(DB!O$2:O$2576,T1895),"")</f>
        <v/>
      </c>
      <c r="G1895" s="43"/>
      <c r="H1895" s="40" t="str" cm="1">
        <f t="array" ref="H1895">IFERROR(INDEX(DB!P$2:P$2576,T1895),"")</f>
        <v/>
      </c>
      <c r="I1895" s="43"/>
      <c r="J1895" s="53" t="str" cm="1">
        <f t="array" ref="J1895">IFERROR(INDEX(DB!Q$2:Q$2576,T1895),"")</f>
        <v/>
      </c>
      <c r="K1895" s="43"/>
      <c r="L1895" s="41" t="str" cm="1">
        <f t="array" ref="L1895">IFERROR(INDEX(DB!R$2:R$2576,T1895),"")</f>
        <v/>
      </c>
      <c r="M1895" s="43"/>
      <c r="P1895" t="str" cm="1">
        <f t="array" ref="P1895">IFERROR(_xlfn.AGGREGATE(15,6,ROW(DB!A$2:A$2576)/((($D$3&lt;&gt;"YES")+($D$3="YES")*(DB!E$2:E$2576="YES"))*(($D$4="")+($D$4&lt;&gt;"")*( DB!B$2:B$2576=$D$4))*(($D$5="")+($D$5&lt;&gt;"")*( DB!C$2:C$2576=$D$5))*(($D$6="")+($D$6&lt;&gt;"")*( DB!D$2:D$2576=$D$6))*(($D$7="")+($D$7&lt;&gt;"")*(ISNUMBER(SEARCH($D$7,DB!G$2:G$2576))))*(($F$7="전체")+($F$7&lt;&gt;"전체")*(DB!H$2:H$2576=$F$7))),ROW()-13)-1,"")</f>
        <v/>
      </c>
      <c r="Q1895" t="str" cm="1">
        <f t="array" ref="Q1895">IFERROR(INDEX(DB!G$2:G$2576,P1895),"")</f>
        <v/>
      </c>
      <c r="R1895" t="str" cm="1">
        <f t="array" ref="R1895">IFERROR(INDEX(DB!O$2:O$2576,P1895),"")</f>
        <v/>
      </c>
      <c r="S1895" t="str">
        <f t="shared" si="90"/>
        <v/>
      </c>
      <c r="T1895" t="str">
        <f t="shared" si="91"/>
        <v/>
      </c>
    </row>
    <row r="1896" spans="1:20" ht="100" customHeight="1">
      <c r="A1896" s="26"/>
      <c r="B1896" s="39" t="str">
        <f t="shared" si="89"/>
        <v/>
      </c>
      <c r="C1896" s="43"/>
      <c r="D1896" s="51" t="str" cm="1">
        <f t="array" ref="D1896">IFERROR(INDEX(DB!G$2:G$2576,T1896),"")</f>
        <v/>
      </c>
      <c r="E1896" s="43"/>
      <c r="F1896" s="52" t="str" cm="1">
        <f t="array" ref="F1896">IFERROR(INDEX(DB!O$2:O$2576,T1896),"")</f>
        <v/>
      </c>
      <c r="G1896" s="43"/>
      <c r="H1896" s="40" t="str" cm="1">
        <f t="array" ref="H1896">IFERROR(INDEX(DB!P$2:P$2576,T1896),"")</f>
        <v/>
      </c>
      <c r="I1896" s="43"/>
      <c r="J1896" s="53" t="str" cm="1">
        <f t="array" ref="J1896">IFERROR(INDEX(DB!Q$2:Q$2576,T1896),"")</f>
        <v/>
      </c>
      <c r="K1896" s="43"/>
      <c r="L1896" s="41" t="str" cm="1">
        <f t="array" ref="L1896">IFERROR(INDEX(DB!R$2:R$2576,T1896),"")</f>
        <v/>
      </c>
      <c r="M1896" s="43"/>
      <c r="P1896" t="str" cm="1">
        <f t="array" ref="P1896">IFERROR(_xlfn.AGGREGATE(15,6,ROW(DB!A$2:A$2576)/((($D$3&lt;&gt;"YES")+($D$3="YES")*(DB!E$2:E$2576="YES"))*(($D$4="")+($D$4&lt;&gt;"")*( DB!B$2:B$2576=$D$4))*(($D$5="")+($D$5&lt;&gt;"")*( DB!C$2:C$2576=$D$5))*(($D$6="")+($D$6&lt;&gt;"")*( DB!D$2:D$2576=$D$6))*(($D$7="")+($D$7&lt;&gt;"")*(ISNUMBER(SEARCH($D$7,DB!G$2:G$2576))))*(($F$7="전체")+($F$7&lt;&gt;"전체")*(DB!H$2:H$2576=$F$7))),ROW()-13)-1,"")</f>
        <v/>
      </c>
      <c r="Q1896" t="str" cm="1">
        <f t="array" ref="Q1896">IFERROR(INDEX(DB!G$2:G$2576,P1896),"")</f>
        <v/>
      </c>
      <c r="R1896" t="str" cm="1">
        <f t="array" ref="R1896">IFERROR(INDEX(DB!O$2:O$2576,P1896),"")</f>
        <v/>
      </c>
      <c r="S1896" t="str">
        <f t="shared" si="90"/>
        <v/>
      </c>
      <c r="T1896" t="str">
        <f t="shared" si="91"/>
        <v/>
      </c>
    </row>
    <row r="1897" spans="1:20" ht="100" customHeight="1">
      <c r="A1897" s="26"/>
      <c r="B1897" s="42" t="str">
        <f t="shared" si="89"/>
        <v/>
      </c>
      <c r="C1897" s="43"/>
      <c r="D1897" s="51" t="str" cm="1">
        <f t="array" ref="D1897">IFERROR(INDEX(DB!G$2:G$2576,T1897),"")</f>
        <v/>
      </c>
      <c r="E1897" s="43"/>
      <c r="F1897" s="52" t="str" cm="1">
        <f t="array" ref="F1897">IFERROR(INDEX(DB!O$2:O$2576,T1897),"")</f>
        <v/>
      </c>
      <c r="G1897" s="43"/>
      <c r="H1897" s="40" t="str" cm="1">
        <f t="array" ref="H1897">IFERROR(INDEX(DB!P$2:P$2576,T1897),"")</f>
        <v/>
      </c>
      <c r="I1897" s="43"/>
      <c r="J1897" s="53" t="str" cm="1">
        <f t="array" ref="J1897">IFERROR(INDEX(DB!Q$2:Q$2576,T1897),"")</f>
        <v/>
      </c>
      <c r="K1897" s="43"/>
      <c r="L1897" s="41" t="str" cm="1">
        <f t="array" ref="L1897">IFERROR(INDEX(DB!R$2:R$2576,T1897),"")</f>
        <v/>
      </c>
      <c r="M1897" s="43"/>
      <c r="P1897" t="str" cm="1">
        <f t="array" ref="P1897">IFERROR(_xlfn.AGGREGATE(15,6,ROW(DB!A$2:A$2576)/((($D$3&lt;&gt;"YES")+($D$3="YES")*(DB!E$2:E$2576="YES"))*(($D$4="")+($D$4&lt;&gt;"")*( DB!B$2:B$2576=$D$4))*(($D$5="")+($D$5&lt;&gt;"")*( DB!C$2:C$2576=$D$5))*(($D$6="")+($D$6&lt;&gt;"")*( DB!D$2:D$2576=$D$6))*(($D$7="")+($D$7&lt;&gt;"")*(ISNUMBER(SEARCH($D$7,DB!G$2:G$2576))))*(($F$7="전체")+($F$7&lt;&gt;"전체")*(DB!H$2:H$2576=$F$7))),ROW()-13)-1,"")</f>
        <v/>
      </c>
      <c r="Q1897" t="str" cm="1">
        <f t="array" ref="Q1897">IFERROR(INDEX(DB!G$2:G$2576,P1897),"")</f>
        <v/>
      </c>
      <c r="R1897" t="str" cm="1">
        <f t="array" ref="R1897">IFERROR(INDEX(DB!O$2:O$2576,P1897),"")</f>
        <v/>
      </c>
      <c r="S1897" t="str">
        <f t="shared" si="90"/>
        <v/>
      </c>
      <c r="T1897" t="str">
        <f t="shared" si="91"/>
        <v/>
      </c>
    </row>
    <row r="1898" spans="1:20" ht="100" customHeight="1">
      <c r="A1898" s="26"/>
      <c r="B1898" s="39" t="str">
        <f t="shared" si="89"/>
        <v/>
      </c>
      <c r="C1898" s="43"/>
      <c r="D1898" s="51" t="str" cm="1">
        <f t="array" ref="D1898">IFERROR(INDEX(DB!G$2:G$2576,T1898),"")</f>
        <v/>
      </c>
      <c r="E1898" s="43"/>
      <c r="F1898" s="52" t="str" cm="1">
        <f t="array" ref="F1898">IFERROR(INDEX(DB!O$2:O$2576,T1898),"")</f>
        <v/>
      </c>
      <c r="G1898" s="43"/>
      <c r="H1898" s="40" t="str" cm="1">
        <f t="array" ref="H1898">IFERROR(INDEX(DB!P$2:P$2576,T1898),"")</f>
        <v/>
      </c>
      <c r="I1898" s="43"/>
      <c r="J1898" s="53" t="str" cm="1">
        <f t="array" ref="J1898">IFERROR(INDEX(DB!Q$2:Q$2576,T1898),"")</f>
        <v/>
      </c>
      <c r="K1898" s="43"/>
      <c r="L1898" s="41" t="str" cm="1">
        <f t="array" ref="L1898">IFERROR(INDEX(DB!R$2:R$2576,T1898),"")</f>
        <v/>
      </c>
      <c r="M1898" s="43"/>
      <c r="P1898" t="str" cm="1">
        <f t="array" ref="P1898">IFERROR(_xlfn.AGGREGATE(15,6,ROW(DB!A$2:A$2576)/((($D$3&lt;&gt;"YES")+($D$3="YES")*(DB!E$2:E$2576="YES"))*(($D$4="")+($D$4&lt;&gt;"")*( DB!B$2:B$2576=$D$4))*(($D$5="")+($D$5&lt;&gt;"")*( DB!C$2:C$2576=$D$5))*(($D$6="")+($D$6&lt;&gt;"")*( DB!D$2:D$2576=$D$6))*(($D$7="")+($D$7&lt;&gt;"")*(ISNUMBER(SEARCH($D$7,DB!G$2:G$2576))))*(($F$7="전체")+($F$7&lt;&gt;"전체")*(DB!H$2:H$2576=$F$7))),ROW()-13)-1,"")</f>
        <v/>
      </c>
      <c r="Q1898" t="str" cm="1">
        <f t="array" ref="Q1898">IFERROR(INDEX(DB!G$2:G$2576,P1898),"")</f>
        <v/>
      </c>
      <c r="R1898" t="str" cm="1">
        <f t="array" ref="R1898">IFERROR(INDEX(DB!O$2:O$2576,P1898),"")</f>
        <v/>
      </c>
      <c r="S1898" t="str">
        <f t="shared" si="90"/>
        <v/>
      </c>
      <c r="T1898" t="str">
        <f t="shared" si="91"/>
        <v/>
      </c>
    </row>
    <row r="1899" spans="1:20" ht="100" customHeight="1">
      <c r="A1899" s="26"/>
      <c r="B1899" s="42" t="str">
        <f t="shared" si="89"/>
        <v/>
      </c>
      <c r="C1899" s="43"/>
      <c r="D1899" s="51" t="str" cm="1">
        <f t="array" ref="D1899">IFERROR(INDEX(DB!G$2:G$2576,T1899),"")</f>
        <v/>
      </c>
      <c r="E1899" s="43"/>
      <c r="F1899" s="52" t="str" cm="1">
        <f t="array" ref="F1899">IFERROR(INDEX(DB!O$2:O$2576,T1899),"")</f>
        <v/>
      </c>
      <c r="G1899" s="43"/>
      <c r="H1899" s="40" t="str" cm="1">
        <f t="array" ref="H1899">IFERROR(INDEX(DB!P$2:P$2576,T1899),"")</f>
        <v/>
      </c>
      <c r="I1899" s="43"/>
      <c r="J1899" s="53" t="str" cm="1">
        <f t="array" ref="J1899">IFERROR(INDEX(DB!Q$2:Q$2576,T1899),"")</f>
        <v/>
      </c>
      <c r="K1899" s="43"/>
      <c r="L1899" s="41" t="str" cm="1">
        <f t="array" ref="L1899">IFERROR(INDEX(DB!R$2:R$2576,T1899),"")</f>
        <v/>
      </c>
      <c r="M1899" s="43"/>
      <c r="P1899" t="str" cm="1">
        <f t="array" ref="P1899">IFERROR(_xlfn.AGGREGATE(15,6,ROW(DB!A$2:A$2576)/((($D$3&lt;&gt;"YES")+($D$3="YES")*(DB!E$2:E$2576="YES"))*(($D$4="")+($D$4&lt;&gt;"")*( DB!B$2:B$2576=$D$4))*(($D$5="")+($D$5&lt;&gt;"")*( DB!C$2:C$2576=$D$5))*(($D$6="")+($D$6&lt;&gt;"")*( DB!D$2:D$2576=$D$6))*(($D$7="")+($D$7&lt;&gt;"")*(ISNUMBER(SEARCH($D$7,DB!G$2:G$2576))))*(($F$7="전체")+($F$7&lt;&gt;"전체")*(DB!H$2:H$2576=$F$7))),ROW()-13)-1,"")</f>
        <v/>
      </c>
      <c r="Q1899" t="str" cm="1">
        <f t="array" ref="Q1899">IFERROR(INDEX(DB!G$2:G$2576,P1899),"")</f>
        <v/>
      </c>
      <c r="R1899" t="str" cm="1">
        <f t="array" ref="R1899">IFERROR(INDEX(DB!O$2:O$2576,P1899),"")</f>
        <v/>
      </c>
      <c r="S1899" t="str">
        <f t="shared" si="90"/>
        <v/>
      </c>
      <c r="T1899" t="str">
        <f t="shared" si="91"/>
        <v/>
      </c>
    </row>
    <row r="1900" spans="1:20" ht="100" customHeight="1">
      <c r="A1900" s="26"/>
      <c r="B1900" s="39" t="str">
        <f t="shared" si="89"/>
        <v/>
      </c>
      <c r="C1900" s="43"/>
      <c r="D1900" s="51" t="str" cm="1">
        <f t="array" ref="D1900">IFERROR(INDEX(DB!G$2:G$2576,T1900),"")</f>
        <v/>
      </c>
      <c r="E1900" s="43"/>
      <c r="F1900" s="52" t="str" cm="1">
        <f t="array" ref="F1900">IFERROR(INDEX(DB!O$2:O$2576,T1900),"")</f>
        <v/>
      </c>
      <c r="G1900" s="43"/>
      <c r="H1900" s="40" t="str" cm="1">
        <f t="array" ref="H1900">IFERROR(INDEX(DB!P$2:P$2576,T1900),"")</f>
        <v/>
      </c>
      <c r="I1900" s="43"/>
      <c r="J1900" s="53" t="str" cm="1">
        <f t="array" ref="J1900">IFERROR(INDEX(DB!Q$2:Q$2576,T1900),"")</f>
        <v/>
      </c>
      <c r="K1900" s="43"/>
      <c r="L1900" s="41" t="str" cm="1">
        <f t="array" ref="L1900">IFERROR(INDEX(DB!R$2:R$2576,T1900),"")</f>
        <v/>
      </c>
      <c r="M1900" s="43"/>
      <c r="P1900" t="str" cm="1">
        <f t="array" ref="P1900">IFERROR(_xlfn.AGGREGATE(15,6,ROW(DB!A$2:A$2576)/((($D$3&lt;&gt;"YES")+($D$3="YES")*(DB!E$2:E$2576="YES"))*(($D$4="")+($D$4&lt;&gt;"")*( DB!B$2:B$2576=$D$4))*(($D$5="")+($D$5&lt;&gt;"")*( DB!C$2:C$2576=$D$5))*(($D$6="")+($D$6&lt;&gt;"")*( DB!D$2:D$2576=$D$6))*(($D$7="")+($D$7&lt;&gt;"")*(ISNUMBER(SEARCH($D$7,DB!G$2:G$2576))))*(($F$7="전체")+($F$7&lt;&gt;"전체")*(DB!H$2:H$2576=$F$7))),ROW()-13)-1,"")</f>
        <v/>
      </c>
      <c r="Q1900" t="str" cm="1">
        <f t="array" ref="Q1900">IFERROR(INDEX(DB!G$2:G$2576,P1900),"")</f>
        <v/>
      </c>
      <c r="R1900" t="str" cm="1">
        <f t="array" ref="R1900">IFERROR(INDEX(DB!O$2:O$2576,P1900),"")</f>
        <v/>
      </c>
      <c r="S1900" t="str">
        <f t="shared" si="90"/>
        <v/>
      </c>
      <c r="T1900" t="str">
        <f t="shared" si="91"/>
        <v/>
      </c>
    </row>
    <row r="1901" spans="1:20" ht="100" customHeight="1">
      <c r="A1901" s="26"/>
      <c r="B1901" s="42" t="str">
        <f t="shared" si="89"/>
        <v/>
      </c>
      <c r="C1901" s="43"/>
      <c r="D1901" s="51" t="str" cm="1">
        <f t="array" ref="D1901">IFERROR(INDEX(DB!G$2:G$2576,T1901),"")</f>
        <v/>
      </c>
      <c r="E1901" s="43"/>
      <c r="F1901" s="52" t="str" cm="1">
        <f t="array" ref="F1901">IFERROR(INDEX(DB!O$2:O$2576,T1901),"")</f>
        <v/>
      </c>
      <c r="G1901" s="43"/>
      <c r="H1901" s="40" t="str" cm="1">
        <f t="array" ref="H1901">IFERROR(INDEX(DB!P$2:P$2576,T1901),"")</f>
        <v/>
      </c>
      <c r="I1901" s="43"/>
      <c r="J1901" s="53" t="str" cm="1">
        <f t="array" ref="J1901">IFERROR(INDEX(DB!Q$2:Q$2576,T1901),"")</f>
        <v/>
      </c>
      <c r="K1901" s="43"/>
      <c r="L1901" s="41" t="str" cm="1">
        <f t="array" ref="L1901">IFERROR(INDEX(DB!R$2:R$2576,T1901),"")</f>
        <v/>
      </c>
      <c r="M1901" s="43"/>
      <c r="P1901" t="str" cm="1">
        <f t="array" ref="P1901">IFERROR(_xlfn.AGGREGATE(15,6,ROW(DB!A$2:A$2576)/((($D$3&lt;&gt;"YES")+($D$3="YES")*(DB!E$2:E$2576="YES"))*(($D$4="")+($D$4&lt;&gt;"")*( DB!B$2:B$2576=$D$4))*(($D$5="")+($D$5&lt;&gt;"")*( DB!C$2:C$2576=$D$5))*(($D$6="")+($D$6&lt;&gt;"")*( DB!D$2:D$2576=$D$6))*(($D$7="")+($D$7&lt;&gt;"")*(ISNUMBER(SEARCH($D$7,DB!G$2:G$2576))))*(($F$7="전체")+($F$7&lt;&gt;"전체")*(DB!H$2:H$2576=$F$7))),ROW()-13)-1,"")</f>
        <v/>
      </c>
      <c r="Q1901" t="str" cm="1">
        <f t="array" ref="Q1901">IFERROR(INDEX(DB!G$2:G$2576,P1901),"")</f>
        <v/>
      </c>
      <c r="R1901" t="str" cm="1">
        <f t="array" ref="R1901">IFERROR(INDEX(DB!O$2:O$2576,P1901),"")</f>
        <v/>
      </c>
      <c r="S1901" t="str">
        <f t="shared" si="90"/>
        <v/>
      </c>
      <c r="T1901" t="str">
        <f t="shared" si="91"/>
        <v/>
      </c>
    </row>
    <row r="1902" spans="1:20" ht="100" customHeight="1">
      <c r="A1902" s="26"/>
      <c r="B1902" s="39" t="str">
        <f t="shared" si="89"/>
        <v/>
      </c>
      <c r="C1902" s="43"/>
      <c r="D1902" s="51" t="str" cm="1">
        <f t="array" ref="D1902">IFERROR(INDEX(DB!G$2:G$2576,T1902),"")</f>
        <v/>
      </c>
      <c r="E1902" s="43"/>
      <c r="F1902" s="52" t="str" cm="1">
        <f t="array" ref="F1902">IFERROR(INDEX(DB!O$2:O$2576,T1902),"")</f>
        <v/>
      </c>
      <c r="G1902" s="43"/>
      <c r="H1902" s="40" t="str" cm="1">
        <f t="array" ref="H1902">IFERROR(INDEX(DB!P$2:P$2576,T1902),"")</f>
        <v/>
      </c>
      <c r="I1902" s="43"/>
      <c r="J1902" s="53" t="str" cm="1">
        <f t="array" ref="J1902">IFERROR(INDEX(DB!Q$2:Q$2576,T1902),"")</f>
        <v/>
      </c>
      <c r="K1902" s="43"/>
      <c r="L1902" s="41" t="str" cm="1">
        <f t="array" ref="L1902">IFERROR(INDEX(DB!R$2:R$2576,T1902),"")</f>
        <v/>
      </c>
      <c r="M1902" s="43"/>
      <c r="P1902" t="str" cm="1">
        <f t="array" ref="P1902">IFERROR(_xlfn.AGGREGATE(15,6,ROW(DB!A$2:A$2576)/((($D$3&lt;&gt;"YES")+($D$3="YES")*(DB!E$2:E$2576="YES"))*(($D$4="")+($D$4&lt;&gt;"")*( DB!B$2:B$2576=$D$4))*(($D$5="")+($D$5&lt;&gt;"")*( DB!C$2:C$2576=$D$5))*(($D$6="")+($D$6&lt;&gt;"")*( DB!D$2:D$2576=$D$6))*(($D$7="")+($D$7&lt;&gt;"")*(ISNUMBER(SEARCH($D$7,DB!G$2:G$2576))))*(($F$7="전체")+($F$7&lt;&gt;"전체")*(DB!H$2:H$2576=$F$7))),ROW()-13)-1,"")</f>
        <v/>
      </c>
      <c r="Q1902" t="str" cm="1">
        <f t="array" ref="Q1902">IFERROR(INDEX(DB!G$2:G$2576,P1902),"")</f>
        <v/>
      </c>
      <c r="R1902" t="str" cm="1">
        <f t="array" ref="R1902">IFERROR(INDEX(DB!O$2:O$2576,P1902),"")</f>
        <v/>
      </c>
      <c r="S1902" t="str">
        <f t="shared" si="90"/>
        <v/>
      </c>
      <c r="T1902" t="str">
        <f t="shared" si="91"/>
        <v/>
      </c>
    </row>
    <row r="1903" spans="1:20" ht="100" customHeight="1">
      <c r="A1903" s="26"/>
      <c r="B1903" s="42" t="str">
        <f t="shared" si="89"/>
        <v/>
      </c>
      <c r="C1903" s="43"/>
      <c r="D1903" s="51" t="str" cm="1">
        <f t="array" ref="D1903">IFERROR(INDEX(DB!G$2:G$2576,T1903),"")</f>
        <v/>
      </c>
      <c r="E1903" s="43"/>
      <c r="F1903" s="52" t="str" cm="1">
        <f t="array" ref="F1903">IFERROR(INDEX(DB!O$2:O$2576,T1903),"")</f>
        <v/>
      </c>
      <c r="G1903" s="43"/>
      <c r="H1903" s="40" t="str" cm="1">
        <f t="array" ref="H1903">IFERROR(INDEX(DB!P$2:P$2576,T1903),"")</f>
        <v/>
      </c>
      <c r="I1903" s="43"/>
      <c r="J1903" s="53" t="str" cm="1">
        <f t="array" ref="J1903">IFERROR(INDEX(DB!Q$2:Q$2576,T1903),"")</f>
        <v/>
      </c>
      <c r="K1903" s="43"/>
      <c r="L1903" s="41" t="str" cm="1">
        <f t="array" ref="L1903">IFERROR(INDEX(DB!R$2:R$2576,T1903),"")</f>
        <v/>
      </c>
      <c r="M1903" s="43"/>
      <c r="P1903" t="str" cm="1">
        <f t="array" ref="P1903">IFERROR(_xlfn.AGGREGATE(15,6,ROW(DB!A$2:A$2576)/((($D$3&lt;&gt;"YES")+($D$3="YES")*(DB!E$2:E$2576="YES"))*(($D$4="")+($D$4&lt;&gt;"")*( DB!B$2:B$2576=$D$4))*(($D$5="")+($D$5&lt;&gt;"")*( DB!C$2:C$2576=$D$5))*(($D$6="")+($D$6&lt;&gt;"")*( DB!D$2:D$2576=$D$6))*(($D$7="")+($D$7&lt;&gt;"")*(ISNUMBER(SEARCH($D$7,DB!G$2:G$2576))))*(($F$7="전체")+($F$7&lt;&gt;"전체")*(DB!H$2:H$2576=$F$7))),ROW()-13)-1,"")</f>
        <v/>
      </c>
      <c r="Q1903" t="str" cm="1">
        <f t="array" ref="Q1903">IFERROR(INDEX(DB!G$2:G$2576,P1903),"")</f>
        <v/>
      </c>
      <c r="R1903" t="str" cm="1">
        <f t="array" ref="R1903">IFERROR(INDEX(DB!O$2:O$2576,P1903),"")</f>
        <v/>
      </c>
      <c r="S1903" t="str">
        <f t="shared" si="90"/>
        <v/>
      </c>
      <c r="T1903" t="str">
        <f t="shared" si="91"/>
        <v/>
      </c>
    </row>
    <row r="1904" spans="1:20" ht="100" customHeight="1">
      <c r="A1904" s="26"/>
      <c r="B1904" s="39" t="str">
        <f t="shared" si="89"/>
        <v/>
      </c>
      <c r="C1904" s="43"/>
      <c r="D1904" s="51" t="str" cm="1">
        <f t="array" ref="D1904">IFERROR(INDEX(DB!G$2:G$2576,T1904),"")</f>
        <v/>
      </c>
      <c r="E1904" s="43"/>
      <c r="F1904" s="52" t="str" cm="1">
        <f t="array" ref="F1904">IFERROR(INDEX(DB!O$2:O$2576,T1904),"")</f>
        <v/>
      </c>
      <c r="G1904" s="43"/>
      <c r="H1904" s="40" t="str" cm="1">
        <f t="array" ref="H1904">IFERROR(INDEX(DB!P$2:P$2576,T1904),"")</f>
        <v/>
      </c>
      <c r="I1904" s="43"/>
      <c r="J1904" s="53" t="str" cm="1">
        <f t="array" ref="J1904">IFERROR(INDEX(DB!Q$2:Q$2576,T1904),"")</f>
        <v/>
      </c>
      <c r="K1904" s="43"/>
      <c r="L1904" s="41" t="str" cm="1">
        <f t="array" ref="L1904">IFERROR(INDEX(DB!R$2:R$2576,T1904),"")</f>
        <v/>
      </c>
      <c r="M1904" s="43"/>
      <c r="P1904" t="str" cm="1">
        <f t="array" ref="P1904">IFERROR(_xlfn.AGGREGATE(15,6,ROW(DB!A$2:A$2576)/((($D$3&lt;&gt;"YES")+($D$3="YES")*(DB!E$2:E$2576="YES"))*(($D$4="")+($D$4&lt;&gt;"")*( DB!B$2:B$2576=$D$4))*(($D$5="")+($D$5&lt;&gt;"")*( DB!C$2:C$2576=$D$5))*(($D$6="")+($D$6&lt;&gt;"")*( DB!D$2:D$2576=$D$6))*(($D$7="")+($D$7&lt;&gt;"")*(ISNUMBER(SEARCH($D$7,DB!G$2:G$2576))))*(($F$7="전체")+($F$7&lt;&gt;"전체")*(DB!H$2:H$2576=$F$7))),ROW()-13)-1,"")</f>
        <v/>
      </c>
      <c r="Q1904" t="str" cm="1">
        <f t="array" ref="Q1904">IFERROR(INDEX(DB!G$2:G$2576,P1904),"")</f>
        <v/>
      </c>
      <c r="R1904" t="str" cm="1">
        <f t="array" ref="R1904">IFERROR(INDEX(DB!O$2:O$2576,P1904),"")</f>
        <v/>
      </c>
      <c r="S1904" t="str">
        <f t="shared" si="90"/>
        <v/>
      </c>
      <c r="T1904" t="str">
        <f t="shared" si="91"/>
        <v/>
      </c>
    </row>
    <row r="1905" spans="1:20" ht="100" customHeight="1">
      <c r="A1905" s="26"/>
      <c r="B1905" s="42" t="str">
        <f t="shared" si="89"/>
        <v/>
      </c>
      <c r="C1905" s="43"/>
      <c r="D1905" s="51" t="str" cm="1">
        <f t="array" ref="D1905">IFERROR(INDEX(DB!G$2:G$2576,T1905),"")</f>
        <v/>
      </c>
      <c r="E1905" s="43"/>
      <c r="F1905" s="52" t="str" cm="1">
        <f t="array" ref="F1905">IFERROR(INDEX(DB!O$2:O$2576,T1905),"")</f>
        <v/>
      </c>
      <c r="G1905" s="43"/>
      <c r="H1905" s="40" t="str" cm="1">
        <f t="array" ref="H1905">IFERROR(INDEX(DB!P$2:P$2576,T1905),"")</f>
        <v/>
      </c>
      <c r="I1905" s="43"/>
      <c r="J1905" s="53" t="str" cm="1">
        <f t="array" ref="J1905">IFERROR(INDEX(DB!Q$2:Q$2576,T1905),"")</f>
        <v/>
      </c>
      <c r="K1905" s="43"/>
      <c r="L1905" s="41" t="str" cm="1">
        <f t="array" ref="L1905">IFERROR(INDEX(DB!R$2:R$2576,T1905),"")</f>
        <v/>
      </c>
      <c r="M1905" s="43"/>
      <c r="P1905" t="str" cm="1">
        <f t="array" ref="P1905">IFERROR(_xlfn.AGGREGATE(15,6,ROW(DB!A$2:A$2576)/((($D$3&lt;&gt;"YES")+($D$3="YES")*(DB!E$2:E$2576="YES"))*(($D$4="")+($D$4&lt;&gt;"")*( DB!B$2:B$2576=$D$4))*(($D$5="")+($D$5&lt;&gt;"")*( DB!C$2:C$2576=$D$5))*(($D$6="")+($D$6&lt;&gt;"")*( DB!D$2:D$2576=$D$6))*(($D$7="")+($D$7&lt;&gt;"")*(ISNUMBER(SEARCH($D$7,DB!G$2:G$2576))))*(($F$7="전체")+($F$7&lt;&gt;"전체")*(DB!H$2:H$2576=$F$7))),ROW()-13)-1,"")</f>
        <v/>
      </c>
      <c r="Q1905" t="str" cm="1">
        <f t="array" ref="Q1905">IFERROR(INDEX(DB!G$2:G$2576,P1905),"")</f>
        <v/>
      </c>
      <c r="R1905" t="str" cm="1">
        <f t="array" ref="R1905">IFERROR(INDEX(DB!O$2:O$2576,P1905),"")</f>
        <v/>
      </c>
      <c r="S1905" t="str">
        <f t="shared" si="90"/>
        <v/>
      </c>
      <c r="T1905" t="str">
        <f t="shared" si="91"/>
        <v/>
      </c>
    </row>
    <row r="1906" spans="1:20" ht="100" customHeight="1">
      <c r="A1906" s="26"/>
      <c r="B1906" s="39" t="str">
        <f t="shared" si="89"/>
        <v/>
      </c>
      <c r="C1906" s="43"/>
      <c r="D1906" s="51" t="str" cm="1">
        <f t="array" ref="D1906">IFERROR(INDEX(DB!G$2:G$2576,T1906),"")</f>
        <v/>
      </c>
      <c r="E1906" s="43"/>
      <c r="F1906" s="52" t="str" cm="1">
        <f t="array" ref="F1906">IFERROR(INDEX(DB!O$2:O$2576,T1906),"")</f>
        <v/>
      </c>
      <c r="G1906" s="43"/>
      <c r="H1906" s="40" t="str" cm="1">
        <f t="array" ref="H1906">IFERROR(INDEX(DB!P$2:P$2576,T1906),"")</f>
        <v/>
      </c>
      <c r="I1906" s="43"/>
      <c r="J1906" s="53" t="str" cm="1">
        <f t="array" ref="J1906">IFERROR(INDEX(DB!Q$2:Q$2576,T1906),"")</f>
        <v/>
      </c>
      <c r="K1906" s="43"/>
      <c r="L1906" s="41" t="str" cm="1">
        <f t="array" ref="L1906">IFERROR(INDEX(DB!R$2:R$2576,T1906),"")</f>
        <v/>
      </c>
      <c r="M1906" s="43"/>
      <c r="P1906" t="str" cm="1">
        <f t="array" ref="P1906">IFERROR(_xlfn.AGGREGATE(15,6,ROW(DB!A$2:A$2576)/((($D$3&lt;&gt;"YES")+($D$3="YES")*(DB!E$2:E$2576="YES"))*(($D$4="")+($D$4&lt;&gt;"")*( DB!B$2:B$2576=$D$4))*(($D$5="")+($D$5&lt;&gt;"")*( DB!C$2:C$2576=$D$5))*(($D$6="")+($D$6&lt;&gt;"")*( DB!D$2:D$2576=$D$6))*(($D$7="")+($D$7&lt;&gt;"")*(ISNUMBER(SEARCH($D$7,DB!G$2:G$2576))))*(($F$7="전체")+($F$7&lt;&gt;"전체")*(DB!H$2:H$2576=$F$7))),ROW()-13)-1,"")</f>
        <v/>
      </c>
      <c r="Q1906" t="str" cm="1">
        <f t="array" ref="Q1906">IFERROR(INDEX(DB!G$2:G$2576,P1906),"")</f>
        <v/>
      </c>
      <c r="R1906" t="str" cm="1">
        <f t="array" ref="R1906">IFERROR(INDEX(DB!O$2:O$2576,P1906),"")</f>
        <v/>
      </c>
      <c r="S1906" t="str">
        <f t="shared" si="90"/>
        <v/>
      </c>
      <c r="T1906" t="str">
        <f t="shared" si="91"/>
        <v/>
      </c>
    </row>
    <row r="1907" spans="1:20" ht="100" customHeight="1">
      <c r="A1907" s="26"/>
      <c r="B1907" s="42" t="str">
        <f t="shared" si="89"/>
        <v/>
      </c>
      <c r="C1907" s="43"/>
      <c r="D1907" s="51" t="str" cm="1">
        <f t="array" ref="D1907">IFERROR(INDEX(DB!G$2:G$2576,T1907),"")</f>
        <v/>
      </c>
      <c r="E1907" s="43"/>
      <c r="F1907" s="52" t="str" cm="1">
        <f t="array" ref="F1907">IFERROR(INDEX(DB!O$2:O$2576,T1907),"")</f>
        <v/>
      </c>
      <c r="G1907" s="43"/>
      <c r="H1907" s="40" t="str" cm="1">
        <f t="array" ref="H1907">IFERROR(INDEX(DB!P$2:P$2576,T1907),"")</f>
        <v/>
      </c>
      <c r="I1907" s="43"/>
      <c r="J1907" s="53" t="str" cm="1">
        <f t="array" ref="J1907">IFERROR(INDEX(DB!Q$2:Q$2576,T1907),"")</f>
        <v/>
      </c>
      <c r="K1907" s="43"/>
      <c r="L1907" s="41" t="str" cm="1">
        <f t="array" ref="L1907">IFERROR(INDEX(DB!R$2:R$2576,T1907),"")</f>
        <v/>
      </c>
      <c r="M1907" s="43"/>
      <c r="P1907" t="str" cm="1">
        <f t="array" ref="P1907">IFERROR(_xlfn.AGGREGATE(15,6,ROW(DB!A$2:A$2576)/((($D$3&lt;&gt;"YES")+($D$3="YES")*(DB!E$2:E$2576="YES"))*(($D$4="")+($D$4&lt;&gt;"")*( DB!B$2:B$2576=$D$4))*(($D$5="")+($D$5&lt;&gt;"")*( DB!C$2:C$2576=$D$5))*(($D$6="")+($D$6&lt;&gt;"")*( DB!D$2:D$2576=$D$6))*(($D$7="")+($D$7&lt;&gt;"")*(ISNUMBER(SEARCH($D$7,DB!G$2:G$2576))))*(($F$7="전체")+($F$7&lt;&gt;"전체")*(DB!H$2:H$2576=$F$7))),ROW()-13)-1,"")</f>
        <v/>
      </c>
      <c r="Q1907" t="str" cm="1">
        <f t="array" ref="Q1907">IFERROR(INDEX(DB!G$2:G$2576,P1907),"")</f>
        <v/>
      </c>
      <c r="R1907" t="str" cm="1">
        <f t="array" ref="R1907">IFERROR(INDEX(DB!O$2:O$2576,P1907),"")</f>
        <v/>
      </c>
      <c r="S1907" t="str">
        <f t="shared" si="90"/>
        <v/>
      </c>
      <c r="T1907" t="str">
        <f t="shared" si="91"/>
        <v/>
      </c>
    </row>
    <row r="1908" spans="1:20" ht="100" customHeight="1">
      <c r="A1908" s="26"/>
      <c r="B1908" s="39" t="str">
        <f t="shared" si="89"/>
        <v/>
      </c>
      <c r="C1908" s="43"/>
      <c r="D1908" s="51" t="str" cm="1">
        <f t="array" ref="D1908">IFERROR(INDEX(DB!G$2:G$2576,T1908),"")</f>
        <v/>
      </c>
      <c r="E1908" s="43"/>
      <c r="F1908" s="52" t="str" cm="1">
        <f t="array" ref="F1908">IFERROR(INDEX(DB!O$2:O$2576,T1908),"")</f>
        <v/>
      </c>
      <c r="G1908" s="43"/>
      <c r="H1908" s="40" t="str" cm="1">
        <f t="array" ref="H1908">IFERROR(INDEX(DB!P$2:P$2576,T1908),"")</f>
        <v/>
      </c>
      <c r="I1908" s="43"/>
      <c r="J1908" s="53" t="str" cm="1">
        <f t="array" ref="J1908">IFERROR(INDEX(DB!Q$2:Q$2576,T1908),"")</f>
        <v/>
      </c>
      <c r="K1908" s="43"/>
      <c r="L1908" s="41" t="str" cm="1">
        <f t="array" ref="L1908">IFERROR(INDEX(DB!R$2:R$2576,T1908),"")</f>
        <v/>
      </c>
      <c r="M1908" s="43"/>
      <c r="P1908" t="str" cm="1">
        <f t="array" ref="P1908">IFERROR(_xlfn.AGGREGATE(15,6,ROW(DB!A$2:A$2576)/((($D$3&lt;&gt;"YES")+($D$3="YES")*(DB!E$2:E$2576="YES"))*(($D$4="")+($D$4&lt;&gt;"")*( DB!B$2:B$2576=$D$4))*(($D$5="")+($D$5&lt;&gt;"")*( DB!C$2:C$2576=$D$5))*(($D$6="")+($D$6&lt;&gt;"")*( DB!D$2:D$2576=$D$6))*(($D$7="")+($D$7&lt;&gt;"")*(ISNUMBER(SEARCH($D$7,DB!G$2:G$2576))))*(($F$7="전체")+($F$7&lt;&gt;"전체")*(DB!H$2:H$2576=$F$7))),ROW()-13)-1,"")</f>
        <v/>
      </c>
      <c r="Q1908" t="str" cm="1">
        <f t="array" ref="Q1908">IFERROR(INDEX(DB!G$2:G$2576,P1908),"")</f>
        <v/>
      </c>
      <c r="R1908" t="str" cm="1">
        <f t="array" ref="R1908">IFERROR(INDEX(DB!O$2:O$2576,P1908),"")</f>
        <v/>
      </c>
      <c r="S1908" t="str">
        <f t="shared" si="90"/>
        <v/>
      </c>
      <c r="T1908" t="str">
        <f t="shared" si="91"/>
        <v/>
      </c>
    </row>
    <row r="1909" spans="1:20" ht="100" customHeight="1">
      <c r="A1909" s="26"/>
      <c r="B1909" s="42" t="str">
        <f t="shared" si="89"/>
        <v/>
      </c>
      <c r="C1909" s="43"/>
      <c r="D1909" s="51" t="str" cm="1">
        <f t="array" ref="D1909">IFERROR(INDEX(DB!G$2:G$2576,T1909),"")</f>
        <v/>
      </c>
      <c r="E1909" s="43"/>
      <c r="F1909" s="52" t="str" cm="1">
        <f t="array" ref="F1909">IFERROR(INDEX(DB!O$2:O$2576,T1909),"")</f>
        <v/>
      </c>
      <c r="G1909" s="43"/>
      <c r="H1909" s="40" t="str" cm="1">
        <f t="array" ref="H1909">IFERROR(INDEX(DB!P$2:P$2576,T1909),"")</f>
        <v/>
      </c>
      <c r="I1909" s="43"/>
      <c r="J1909" s="53" t="str" cm="1">
        <f t="array" ref="J1909">IFERROR(INDEX(DB!Q$2:Q$2576,T1909),"")</f>
        <v/>
      </c>
      <c r="K1909" s="43"/>
      <c r="L1909" s="41" t="str" cm="1">
        <f t="array" ref="L1909">IFERROR(INDEX(DB!R$2:R$2576,T1909),"")</f>
        <v/>
      </c>
      <c r="M1909" s="43"/>
      <c r="P1909" t="str" cm="1">
        <f t="array" ref="P1909">IFERROR(_xlfn.AGGREGATE(15,6,ROW(DB!A$2:A$2576)/((($D$3&lt;&gt;"YES")+($D$3="YES")*(DB!E$2:E$2576="YES"))*(($D$4="")+($D$4&lt;&gt;"")*( DB!B$2:B$2576=$D$4))*(($D$5="")+($D$5&lt;&gt;"")*( DB!C$2:C$2576=$D$5))*(($D$6="")+($D$6&lt;&gt;"")*( DB!D$2:D$2576=$D$6))*(($D$7="")+($D$7&lt;&gt;"")*(ISNUMBER(SEARCH($D$7,DB!G$2:G$2576))))*(($F$7="전체")+($F$7&lt;&gt;"전체")*(DB!H$2:H$2576=$F$7))),ROW()-13)-1,"")</f>
        <v/>
      </c>
      <c r="Q1909" t="str" cm="1">
        <f t="array" ref="Q1909">IFERROR(INDEX(DB!G$2:G$2576,P1909),"")</f>
        <v/>
      </c>
      <c r="R1909" t="str" cm="1">
        <f t="array" ref="R1909">IFERROR(INDEX(DB!O$2:O$2576,P1909),"")</f>
        <v/>
      </c>
      <c r="S1909" t="str">
        <f t="shared" si="90"/>
        <v/>
      </c>
      <c r="T1909" t="str">
        <f t="shared" si="91"/>
        <v/>
      </c>
    </row>
    <row r="1910" spans="1:20" ht="100" customHeight="1">
      <c r="A1910" s="26"/>
      <c r="B1910" s="39" t="str">
        <f t="shared" si="89"/>
        <v/>
      </c>
      <c r="C1910" s="43"/>
      <c r="D1910" s="51" t="str" cm="1">
        <f t="array" ref="D1910">IFERROR(INDEX(DB!G$2:G$2576,T1910),"")</f>
        <v/>
      </c>
      <c r="E1910" s="43"/>
      <c r="F1910" s="52" t="str" cm="1">
        <f t="array" ref="F1910">IFERROR(INDEX(DB!O$2:O$2576,T1910),"")</f>
        <v/>
      </c>
      <c r="G1910" s="43"/>
      <c r="H1910" s="40" t="str" cm="1">
        <f t="array" ref="H1910">IFERROR(INDEX(DB!P$2:P$2576,T1910),"")</f>
        <v/>
      </c>
      <c r="I1910" s="43"/>
      <c r="J1910" s="53" t="str" cm="1">
        <f t="array" ref="J1910">IFERROR(INDEX(DB!Q$2:Q$2576,T1910),"")</f>
        <v/>
      </c>
      <c r="K1910" s="43"/>
      <c r="L1910" s="41" t="str" cm="1">
        <f t="array" ref="L1910">IFERROR(INDEX(DB!R$2:R$2576,T1910),"")</f>
        <v/>
      </c>
      <c r="M1910" s="43"/>
      <c r="P1910" t="str" cm="1">
        <f t="array" ref="P1910">IFERROR(_xlfn.AGGREGATE(15,6,ROW(DB!A$2:A$2576)/((($D$3&lt;&gt;"YES")+($D$3="YES")*(DB!E$2:E$2576="YES"))*(($D$4="")+($D$4&lt;&gt;"")*( DB!B$2:B$2576=$D$4))*(($D$5="")+($D$5&lt;&gt;"")*( DB!C$2:C$2576=$D$5))*(($D$6="")+($D$6&lt;&gt;"")*( DB!D$2:D$2576=$D$6))*(($D$7="")+($D$7&lt;&gt;"")*(ISNUMBER(SEARCH($D$7,DB!G$2:G$2576))))*(($F$7="전체")+($F$7&lt;&gt;"전체")*(DB!H$2:H$2576=$F$7))),ROW()-13)-1,"")</f>
        <v/>
      </c>
      <c r="Q1910" t="str" cm="1">
        <f t="array" ref="Q1910">IFERROR(INDEX(DB!G$2:G$2576,P1910),"")</f>
        <v/>
      </c>
      <c r="R1910" t="str" cm="1">
        <f t="array" ref="R1910">IFERROR(INDEX(DB!O$2:O$2576,P1910),"")</f>
        <v/>
      </c>
      <c r="S1910" t="str">
        <f t="shared" si="90"/>
        <v/>
      </c>
      <c r="T1910" t="str">
        <f t="shared" si="91"/>
        <v/>
      </c>
    </row>
    <row r="1911" spans="1:20" ht="100" customHeight="1">
      <c r="A1911" s="26"/>
      <c r="B1911" s="42" t="str">
        <f t="shared" si="89"/>
        <v/>
      </c>
      <c r="C1911" s="43"/>
      <c r="D1911" s="51" t="str" cm="1">
        <f t="array" ref="D1911">IFERROR(INDEX(DB!G$2:G$2576,T1911),"")</f>
        <v/>
      </c>
      <c r="E1911" s="43"/>
      <c r="F1911" s="52" t="str" cm="1">
        <f t="array" ref="F1911">IFERROR(INDEX(DB!O$2:O$2576,T1911),"")</f>
        <v/>
      </c>
      <c r="G1911" s="43"/>
      <c r="H1911" s="40" t="str" cm="1">
        <f t="array" ref="H1911">IFERROR(INDEX(DB!P$2:P$2576,T1911),"")</f>
        <v/>
      </c>
      <c r="I1911" s="43"/>
      <c r="J1911" s="53" t="str" cm="1">
        <f t="array" ref="J1911">IFERROR(INDEX(DB!Q$2:Q$2576,T1911),"")</f>
        <v/>
      </c>
      <c r="K1911" s="43"/>
      <c r="L1911" s="41" t="str" cm="1">
        <f t="array" ref="L1911">IFERROR(INDEX(DB!R$2:R$2576,T1911),"")</f>
        <v/>
      </c>
      <c r="M1911" s="43"/>
      <c r="P1911" t="str" cm="1">
        <f t="array" ref="P1911">IFERROR(_xlfn.AGGREGATE(15,6,ROW(DB!A$2:A$2576)/((($D$3&lt;&gt;"YES")+($D$3="YES")*(DB!E$2:E$2576="YES"))*(($D$4="")+($D$4&lt;&gt;"")*( DB!B$2:B$2576=$D$4))*(($D$5="")+($D$5&lt;&gt;"")*( DB!C$2:C$2576=$D$5))*(($D$6="")+($D$6&lt;&gt;"")*( DB!D$2:D$2576=$D$6))*(($D$7="")+($D$7&lt;&gt;"")*(ISNUMBER(SEARCH($D$7,DB!G$2:G$2576))))*(($F$7="전체")+($F$7&lt;&gt;"전체")*(DB!H$2:H$2576=$F$7))),ROW()-13)-1,"")</f>
        <v/>
      </c>
      <c r="Q1911" t="str" cm="1">
        <f t="array" ref="Q1911">IFERROR(INDEX(DB!G$2:G$2576,P1911),"")</f>
        <v/>
      </c>
      <c r="R1911" t="str" cm="1">
        <f t="array" ref="R1911">IFERROR(INDEX(DB!O$2:O$2576,P1911),"")</f>
        <v/>
      </c>
      <c r="S1911" t="str">
        <f t="shared" si="90"/>
        <v/>
      </c>
      <c r="T1911" t="str">
        <f t="shared" si="91"/>
        <v/>
      </c>
    </row>
    <row r="1912" spans="1:20" ht="100" customHeight="1">
      <c r="A1912" s="26"/>
      <c r="B1912" s="39" t="str">
        <f t="shared" si="89"/>
        <v/>
      </c>
      <c r="C1912" s="43"/>
      <c r="D1912" s="51" t="str" cm="1">
        <f t="array" ref="D1912">IFERROR(INDEX(DB!G$2:G$2576,T1912),"")</f>
        <v/>
      </c>
      <c r="E1912" s="43"/>
      <c r="F1912" s="52" t="str" cm="1">
        <f t="array" ref="F1912">IFERROR(INDEX(DB!O$2:O$2576,T1912),"")</f>
        <v/>
      </c>
      <c r="G1912" s="43"/>
      <c r="H1912" s="40" t="str" cm="1">
        <f t="array" ref="H1912">IFERROR(INDEX(DB!P$2:P$2576,T1912),"")</f>
        <v/>
      </c>
      <c r="I1912" s="43"/>
      <c r="J1912" s="53" t="str" cm="1">
        <f t="array" ref="J1912">IFERROR(INDEX(DB!Q$2:Q$2576,T1912),"")</f>
        <v/>
      </c>
      <c r="K1912" s="43"/>
      <c r="L1912" s="41" t="str" cm="1">
        <f t="array" ref="L1912">IFERROR(INDEX(DB!R$2:R$2576,T1912),"")</f>
        <v/>
      </c>
      <c r="M1912" s="43"/>
      <c r="P1912" t="str" cm="1">
        <f t="array" ref="P1912">IFERROR(_xlfn.AGGREGATE(15,6,ROW(DB!A$2:A$2576)/((($D$3&lt;&gt;"YES")+($D$3="YES")*(DB!E$2:E$2576="YES"))*(($D$4="")+($D$4&lt;&gt;"")*( DB!B$2:B$2576=$D$4))*(($D$5="")+($D$5&lt;&gt;"")*( DB!C$2:C$2576=$D$5))*(($D$6="")+($D$6&lt;&gt;"")*( DB!D$2:D$2576=$D$6))*(($D$7="")+($D$7&lt;&gt;"")*(ISNUMBER(SEARCH($D$7,DB!G$2:G$2576))))*(($F$7="전체")+($F$7&lt;&gt;"전체")*(DB!H$2:H$2576=$F$7))),ROW()-13)-1,"")</f>
        <v/>
      </c>
      <c r="Q1912" t="str" cm="1">
        <f t="array" ref="Q1912">IFERROR(INDEX(DB!G$2:G$2576,P1912),"")</f>
        <v/>
      </c>
      <c r="R1912" t="str" cm="1">
        <f t="array" ref="R1912">IFERROR(INDEX(DB!O$2:O$2576,P1912),"")</f>
        <v/>
      </c>
      <c r="S1912" t="str">
        <f t="shared" si="90"/>
        <v/>
      </c>
      <c r="T1912" t="str">
        <f t="shared" si="91"/>
        <v/>
      </c>
    </row>
    <row r="1913" spans="1:20" ht="100" customHeight="1">
      <c r="A1913" s="26"/>
      <c r="B1913" s="42" t="str">
        <f t="shared" si="89"/>
        <v/>
      </c>
      <c r="C1913" s="43"/>
      <c r="D1913" s="51" t="str" cm="1">
        <f t="array" ref="D1913">IFERROR(INDEX(DB!G$2:G$2576,T1913),"")</f>
        <v/>
      </c>
      <c r="E1913" s="43"/>
      <c r="F1913" s="52" t="str" cm="1">
        <f t="array" ref="F1913">IFERROR(INDEX(DB!O$2:O$2576,T1913),"")</f>
        <v/>
      </c>
      <c r="G1913" s="43"/>
      <c r="H1913" s="40" t="str" cm="1">
        <f t="array" ref="H1913">IFERROR(INDEX(DB!P$2:P$2576,T1913),"")</f>
        <v/>
      </c>
      <c r="I1913" s="43"/>
      <c r="J1913" s="53" t="str" cm="1">
        <f t="array" ref="J1913">IFERROR(INDEX(DB!Q$2:Q$2576,T1913),"")</f>
        <v/>
      </c>
      <c r="K1913" s="43"/>
      <c r="L1913" s="41" t="str" cm="1">
        <f t="array" ref="L1913">IFERROR(INDEX(DB!R$2:R$2576,T1913),"")</f>
        <v/>
      </c>
      <c r="M1913" s="43"/>
      <c r="P1913" t="str" cm="1">
        <f t="array" ref="P1913">IFERROR(_xlfn.AGGREGATE(15,6,ROW(DB!A$2:A$2576)/((($D$3&lt;&gt;"YES")+($D$3="YES")*(DB!E$2:E$2576="YES"))*(($D$4="")+($D$4&lt;&gt;"")*( DB!B$2:B$2576=$D$4))*(($D$5="")+($D$5&lt;&gt;"")*( DB!C$2:C$2576=$D$5))*(($D$6="")+($D$6&lt;&gt;"")*( DB!D$2:D$2576=$D$6))*(($D$7="")+($D$7&lt;&gt;"")*(ISNUMBER(SEARCH($D$7,DB!G$2:G$2576))))*(($F$7="전체")+($F$7&lt;&gt;"전체")*(DB!H$2:H$2576=$F$7))),ROW()-13)-1,"")</f>
        <v/>
      </c>
      <c r="Q1913" t="str" cm="1">
        <f t="array" ref="Q1913">IFERROR(INDEX(DB!G$2:G$2576,P1913),"")</f>
        <v/>
      </c>
      <c r="R1913" t="str" cm="1">
        <f t="array" ref="R1913">IFERROR(INDEX(DB!O$2:O$2576,P1913),"")</f>
        <v/>
      </c>
      <c r="S1913" t="str">
        <f t="shared" si="90"/>
        <v/>
      </c>
      <c r="T1913" t="str">
        <f t="shared" si="91"/>
        <v/>
      </c>
    </row>
    <row r="1914" spans="1:20" ht="100" customHeight="1">
      <c r="A1914" s="26"/>
      <c r="B1914" s="39" t="str">
        <f t="shared" si="89"/>
        <v/>
      </c>
      <c r="C1914" s="43"/>
      <c r="D1914" s="51" t="str" cm="1">
        <f t="array" ref="D1914">IFERROR(INDEX(DB!G$2:G$2576,T1914),"")</f>
        <v/>
      </c>
      <c r="E1914" s="43"/>
      <c r="F1914" s="52" t="str" cm="1">
        <f t="array" ref="F1914">IFERROR(INDEX(DB!O$2:O$2576,T1914),"")</f>
        <v/>
      </c>
      <c r="G1914" s="43"/>
      <c r="H1914" s="40" t="str" cm="1">
        <f t="array" ref="H1914">IFERROR(INDEX(DB!P$2:P$2576,T1914),"")</f>
        <v/>
      </c>
      <c r="I1914" s="43"/>
      <c r="J1914" s="53" t="str" cm="1">
        <f t="array" ref="J1914">IFERROR(INDEX(DB!Q$2:Q$2576,T1914),"")</f>
        <v/>
      </c>
      <c r="K1914" s="43"/>
      <c r="L1914" s="41" t="str" cm="1">
        <f t="array" ref="L1914">IFERROR(INDEX(DB!R$2:R$2576,T1914),"")</f>
        <v/>
      </c>
      <c r="M1914" s="43"/>
      <c r="P1914" t="str" cm="1">
        <f t="array" ref="P1914">IFERROR(_xlfn.AGGREGATE(15,6,ROW(DB!A$2:A$2576)/((($D$3&lt;&gt;"YES")+($D$3="YES")*(DB!E$2:E$2576="YES"))*(($D$4="")+($D$4&lt;&gt;"")*( DB!B$2:B$2576=$D$4))*(($D$5="")+($D$5&lt;&gt;"")*( DB!C$2:C$2576=$D$5))*(($D$6="")+($D$6&lt;&gt;"")*( DB!D$2:D$2576=$D$6))*(($D$7="")+($D$7&lt;&gt;"")*(ISNUMBER(SEARCH($D$7,DB!G$2:G$2576))))*(($F$7="전체")+($F$7&lt;&gt;"전체")*(DB!H$2:H$2576=$F$7))),ROW()-13)-1,"")</f>
        <v/>
      </c>
      <c r="Q1914" t="str" cm="1">
        <f t="array" ref="Q1914">IFERROR(INDEX(DB!G$2:G$2576,P1914),"")</f>
        <v/>
      </c>
      <c r="R1914" t="str" cm="1">
        <f t="array" ref="R1914">IFERROR(INDEX(DB!O$2:O$2576,P1914),"")</f>
        <v/>
      </c>
      <c r="S1914" t="str">
        <f t="shared" si="90"/>
        <v/>
      </c>
      <c r="T1914" t="str">
        <f t="shared" si="91"/>
        <v/>
      </c>
    </row>
    <row r="1915" spans="1:20" ht="100" customHeight="1">
      <c r="A1915" s="26"/>
      <c r="B1915" s="42" t="str">
        <f t="shared" si="89"/>
        <v/>
      </c>
      <c r="C1915" s="43"/>
      <c r="D1915" s="51" t="str" cm="1">
        <f t="array" ref="D1915">IFERROR(INDEX(DB!G$2:G$2576,T1915),"")</f>
        <v/>
      </c>
      <c r="E1915" s="43"/>
      <c r="F1915" s="52" t="str" cm="1">
        <f t="array" ref="F1915">IFERROR(INDEX(DB!O$2:O$2576,T1915),"")</f>
        <v/>
      </c>
      <c r="G1915" s="43"/>
      <c r="H1915" s="40" t="str" cm="1">
        <f t="array" ref="H1915">IFERROR(INDEX(DB!P$2:P$2576,T1915),"")</f>
        <v/>
      </c>
      <c r="I1915" s="43"/>
      <c r="J1915" s="53" t="str" cm="1">
        <f t="array" ref="J1915">IFERROR(INDEX(DB!Q$2:Q$2576,T1915),"")</f>
        <v/>
      </c>
      <c r="K1915" s="43"/>
      <c r="L1915" s="41" t="str" cm="1">
        <f t="array" ref="L1915">IFERROR(INDEX(DB!R$2:R$2576,T1915),"")</f>
        <v/>
      </c>
      <c r="M1915" s="43"/>
      <c r="P1915" t="str" cm="1">
        <f t="array" ref="P1915">IFERROR(_xlfn.AGGREGATE(15,6,ROW(DB!A$2:A$2576)/((($D$3&lt;&gt;"YES")+($D$3="YES")*(DB!E$2:E$2576="YES"))*(($D$4="")+($D$4&lt;&gt;"")*( DB!B$2:B$2576=$D$4))*(($D$5="")+($D$5&lt;&gt;"")*( DB!C$2:C$2576=$D$5))*(($D$6="")+($D$6&lt;&gt;"")*( DB!D$2:D$2576=$D$6))*(($D$7="")+($D$7&lt;&gt;"")*(ISNUMBER(SEARCH($D$7,DB!G$2:G$2576))))*(($F$7="전체")+($F$7&lt;&gt;"전체")*(DB!H$2:H$2576=$F$7))),ROW()-13)-1,"")</f>
        <v/>
      </c>
      <c r="Q1915" t="str" cm="1">
        <f t="array" ref="Q1915">IFERROR(INDEX(DB!G$2:G$2576,P1915),"")</f>
        <v/>
      </c>
      <c r="R1915" t="str" cm="1">
        <f t="array" ref="R1915">IFERROR(INDEX(DB!O$2:O$2576,P1915),"")</f>
        <v/>
      </c>
      <c r="S1915" t="str">
        <f t="shared" si="90"/>
        <v/>
      </c>
      <c r="T1915" t="str">
        <f t="shared" si="91"/>
        <v/>
      </c>
    </row>
    <row r="1916" spans="1:20" ht="100" customHeight="1">
      <c r="A1916" s="26"/>
      <c r="B1916" s="39" t="str">
        <f t="shared" si="89"/>
        <v/>
      </c>
      <c r="C1916" s="43"/>
      <c r="D1916" s="51" t="str" cm="1">
        <f t="array" ref="D1916">IFERROR(INDEX(DB!G$2:G$2576,T1916),"")</f>
        <v/>
      </c>
      <c r="E1916" s="43"/>
      <c r="F1916" s="52" t="str" cm="1">
        <f t="array" ref="F1916">IFERROR(INDEX(DB!O$2:O$2576,T1916),"")</f>
        <v/>
      </c>
      <c r="G1916" s="43"/>
      <c r="H1916" s="40" t="str" cm="1">
        <f t="array" ref="H1916">IFERROR(INDEX(DB!P$2:P$2576,T1916),"")</f>
        <v/>
      </c>
      <c r="I1916" s="43"/>
      <c r="J1916" s="53" t="str" cm="1">
        <f t="array" ref="J1916">IFERROR(INDEX(DB!Q$2:Q$2576,T1916),"")</f>
        <v/>
      </c>
      <c r="K1916" s="43"/>
      <c r="L1916" s="41" t="str" cm="1">
        <f t="array" ref="L1916">IFERROR(INDEX(DB!R$2:R$2576,T1916),"")</f>
        <v/>
      </c>
      <c r="M1916" s="43"/>
      <c r="P1916" t="str" cm="1">
        <f t="array" ref="P1916">IFERROR(_xlfn.AGGREGATE(15,6,ROW(DB!A$2:A$2576)/((($D$3&lt;&gt;"YES")+($D$3="YES")*(DB!E$2:E$2576="YES"))*(($D$4="")+($D$4&lt;&gt;"")*( DB!B$2:B$2576=$D$4))*(($D$5="")+($D$5&lt;&gt;"")*( DB!C$2:C$2576=$D$5))*(($D$6="")+($D$6&lt;&gt;"")*( DB!D$2:D$2576=$D$6))*(($D$7="")+($D$7&lt;&gt;"")*(ISNUMBER(SEARCH($D$7,DB!G$2:G$2576))))*(($F$7="전체")+($F$7&lt;&gt;"전체")*(DB!H$2:H$2576=$F$7))),ROW()-13)-1,"")</f>
        <v/>
      </c>
      <c r="Q1916" t="str" cm="1">
        <f t="array" ref="Q1916">IFERROR(INDEX(DB!G$2:G$2576,P1916),"")</f>
        <v/>
      </c>
      <c r="R1916" t="str" cm="1">
        <f t="array" ref="R1916">IFERROR(INDEX(DB!O$2:O$2576,P1916),"")</f>
        <v/>
      </c>
      <c r="S1916" t="str">
        <f t="shared" si="90"/>
        <v/>
      </c>
      <c r="T1916" t="str">
        <f t="shared" si="91"/>
        <v/>
      </c>
    </row>
    <row r="1917" spans="1:20" ht="100" customHeight="1">
      <c r="A1917" s="26"/>
      <c r="B1917" s="42" t="str">
        <f t="shared" si="89"/>
        <v/>
      </c>
      <c r="C1917" s="43"/>
      <c r="D1917" s="51" t="str" cm="1">
        <f t="array" ref="D1917">IFERROR(INDEX(DB!G$2:G$2576,T1917),"")</f>
        <v/>
      </c>
      <c r="E1917" s="43"/>
      <c r="F1917" s="52" t="str" cm="1">
        <f t="array" ref="F1917">IFERROR(INDEX(DB!O$2:O$2576,T1917),"")</f>
        <v/>
      </c>
      <c r="G1917" s="43"/>
      <c r="H1917" s="40" t="str" cm="1">
        <f t="array" ref="H1917">IFERROR(INDEX(DB!P$2:P$2576,T1917),"")</f>
        <v/>
      </c>
      <c r="I1917" s="43"/>
      <c r="J1917" s="53" t="str" cm="1">
        <f t="array" ref="J1917">IFERROR(INDEX(DB!Q$2:Q$2576,T1917),"")</f>
        <v/>
      </c>
      <c r="K1917" s="43"/>
      <c r="L1917" s="41" t="str" cm="1">
        <f t="array" ref="L1917">IFERROR(INDEX(DB!R$2:R$2576,T1917),"")</f>
        <v/>
      </c>
      <c r="M1917" s="43"/>
      <c r="P1917" t="str" cm="1">
        <f t="array" ref="P1917">IFERROR(_xlfn.AGGREGATE(15,6,ROW(DB!A$2:A$2576)/((($D$3&lt;&gt;"YES")+($D$3="YES")*(DB!E$2:E$2576="YES"))*(($D$4="")+($D$4&lt;&gt;"")*( DB!B$2:B$2576=$D$4))*(($D$5="")+($D$5&lt;&gt;"")*( DB!C$2:C$2576=$D$5))*(($D$6="")+($D$6&lt;&gt;"")*( DB!D$2:D$2576=$D$6))*(($D$7="")+($D$7&lt;&gt;"")*(ISNUMBER(SEARCH($D$7,DB!G$2:G$2576))))*(($F$7="전체")+($F$7&lt;&gt;"전체")*(DB!H$2:H$2576=$F$7))),ROW()-13)-1,"")</f>
        <v/>
      </c>
      <c r="Q1917" t="str" cm="1">
        <f t="array" ref="Q1917">IFERROR(INDEX(DB!G$2:G$2576,P1917),"")</f>
        <v/>
      </c>
      <c r="R1917" t="str" cm="1">
        <f t="array" ref="R1917">IFERROR(INDEX(DB!O$2:O$2576,P1917),"")</f>
        <v/>
      </c>
      <c r="S1917" t="str">
        <f t="shared" si="90"/>
        <v/>
      </c>
      <c r="T1917" t="str">
        <f t="shared" si="91"/>
        <v/>
      </c>
    </row>
    <row r="1918" spans="1:20" ht="100" customHeight="1">
      <c r="A1918" s="26"/>
      <c r="B1918" s="39" t="str">
        <f t="shared" si="89"/>
        <v/>
      </c>
      <c r="C1918" s="43"/>
      <c r="D1918" s="51" t="str" cm="1">
        <f t="array" ref="D1918">IFERROR(INDEX(DB!G$2:G$2576,T1918),"")</f>
        <v/>
      </c>
      <c r="E1918" s="43"/>
      <c r="F1918" s="52" t="str" cm="1">
        <f t="array" ref="F1918">IFERROR(INDEX(DB!O$2:O$2576,T1918),"")</f>
        <v/>
      </c>
      <c r="G1918" s="43"/>
      <c r="H1918" s="40" t="str" cm="1">
        <f t="array" ref="H1918">IFERROR(INDEX(DB!P$2:P$2576,T1918),"")</f>
        <v/>
      </c>
      <c r="I1918" s="43"/>
      <c r="J1918" s="53" t="str" cm="1">
        <f t="array" ref="J1918">IFERROR(INDEX(DB!Q$2:Q$2576,T1918),"")</f>
        <v/>
      </c>
      <c r="K1918" s="43"/>
      <c r="L1918" s="41" t="str" cm="1">
        <f t="array" ref="L1918">IFERROR(INDEX(DB!R$2:R$2576,T1918),"")</f>
        <v/>
      </c>
      <c r="M1918" s="43"/>
      <c r="P1918" t="str" cm="1">
        <f t="array" ref="P1918">IFERROR(_xlfn.AGGREGATE(15,6,ROW(DB!A$2:A$2576)/((($D$3&lt;&gt;"YES")+($D$3="YES")*(DB!E$2:E$2576="YES"))*(($D$4="")+($D$4&lt;&gt;"")*( DB!B$2:B$2576=$D$4))*(($D$5="")+($D$5&lt;&gt;"")*( DB!C$2:C$2576=$D$5))*(($D$6="")+($D$6&lt;&gt;"")*( DB!D$2:D$2576=$D$6))*(($D$7="")+($D$7&lt;&gt;"")*(ISNUMBER(SEARCH($D$7,DB!G$2:G$2576))))*(($F$7="전체")+($F$7&lt;&gt;"전체")*(DB!H$2:H$2576=$F$7))),ROW()-13)-1,"")</f>
        <v/>
      </c>
      <c r="Q1918" t="str" cm="1">
        <f t="array" ref="Q1918">IFERROR(INDEX(DB!G$2:G$2576,P1918),"")</f>
        <v/>
      </c>
      <c r="R1918" t="str" cm="1">
        <f t="array" ref="R1918">IFERROR(INDEX(DB!O$2:O$2576,P1918),"")</f>
        <v/>
      </c>
      <c r="S1918" t="str">
        <f t="shared" si="90"/>
        <v/>
      </c>
      <c r="T1918" t="str">
        <f t="shared" si="91"/>
        <v/>
      </c>
    </row>
    <row r="1919" spans="1:20" ht="100" customHeight="1">
      <c r="A1919" s="26"/>
      <c r="B1919" s="42" t="str">
        <f t="shared" si="89"/>
        <v/>
      </c>
      <c r="C1919" s="43"/>
      <c r="D1919" s="51" t="str" cm="1">
        <f t="array" ref="D1919">IFERROR(INDEX(DB!G$2:G$2576,T1919),"")</f>
        <v/>
      </c>
      <c r="E1919" s="43"/>
      <c r="F1919" s="52" t="str" cm="1">
        <f t="array" ref="F1919">IFERROR(INDEX(DB!O$2:O$2576,T1919),"")</f>
        <v/>
      </c>
      <c r="G1919" s="43"/>
      <c r="H1919" s="40" t="str" cm="1">
        <f t="array" ref="H1919">IFERROR(INDEX(DB!P$2:P$2576,T1919),"")</f>
        <v/>
      </c>
      <c r="I1919" s="43"/>
      <c r="J1919" s="53" t="str" cm="1">
        <f t="array" ref="J1919">IFERROR(INDEX(DB!Q$2:Q$2576,T1919),"")</f>
        <v/>
      </c>
      <c r="K1919" s="43"/>
      <c r="L1919" s="41" t="str" cm="1">
        <f t="array" ref="L1919">IFERROR(INDEX(DB!R$2:R$2576,T1919),"")</f>
        <v/>
      </c>
      <c r="M1919" s="43"/>
      <c r="P1919" t="str" cm="1">
        <f t="array" ref="P1919">IFERROR(_xlfn.AGGREGATE(15,6,ROW(DB!A$2:A$2576)/((($D$3&lt;&gt;"YES")+($D$3="YES")*(DB!E$2:E$2576="YES"))*(($D$4="")+($D$4&lt;&gt;"")*( DB!B$2:B$2576=$D$4))*(($D$5="")+($D$5&lt;&gt;"")*( DB!C$2:C$2576=$D$5))*(($D$6="")+($D$6&lt;&gt;"")*( DB!D$2:D$2576=$D$6))*(($D$7="")+($D$7&lt;&gt;"")*(ISNUMBER(SEARCH($D$7,DB!G$2:G$2576))))*(($F$7="전체")+($F$7&lt;&gt;"전체")*(DB!H$2:H$2576=$F$7))),ROW()-13)-1,"")</f>
        <v/>
      </c>
      <c r="Q1919" t="str" cm="1">
        <f t="array" ref="Q1919">IFERROR(INDEX(DB!G$2:G$2576,P1919),"")</f>
        <v/>
      </c>
      <c r="R1919" t="str" cm="1">
        <f t="array" ref="R1919">IFERROR(INDEX(DB!O$2:O$2576,P1919),"")</f>
        <v/>
      </c>
      <c r="S1919" t="str">
        <f t="shared" si="90"/>
        <v/>
      </c>
      <c r="T1919" t="str">
        <f t="shared" si="91"/>
        <v/>
      </c>
    </row>
    <row r="1920" spans="1:20" ht="100" customHeight="1">
      <c r="A1920" s="26"/>
      <c r="B1920" s="39" t="str">
        <f t="shared" si="89"/>
        <v/>
      </c>
      <c r="C1920" s="43"/>
      <c r="D1920" s="51" t="str" cm="1">
        <f t="array" ref="D1920">IFERROR(INDEX(DB!G$2:G$2576,T1920),"")</f>
        <v/>
      </c>
      <c r="E1920" s="43"/>
      <c r="F1920" s="52" t="str" cm="1">
        <f t="array" ref="F1920">IFERROR(INDEX(DB!O$2:O$2576,T1920),"")</f>
        <v/>
      </c>
      <c r="G1920" s="43"/>
      <c r="H1920" s="40" t="str" cm="1">
        <f t="array" ref="H1920">IFERROR(INDEX(DB!P$2:P$2576,T1920),"")</f>
        <v/>
      </c>
      <c r="I1920" s="43"/>
      <c r="J1920" s="53" t="str" cm="1">
        <f t="array" ref="J1920">IFERROR(INDEX(DB!Q$2:Q$2576,T1920),"")</f>
        <v/>
      </c>
      <c r="K1920" s="43"/>
      <c r="L1920" s="41" t="str" cm="1">
        <f t="array" ref="L1920">IFERROR(INDEX(DB!R$2:R$2576,T1920),"")</f>
        <v/>
      </c>
      <c r="M1920" s="43"/>
      <c r="P1920" t="str" cm="1">
        <f t="array" ref="P1920">IFERROR(_xlfn.AGGREGATE(15,6,ROW(DB!A$2:A$2576)/((($D$3&lt;&gt;"YES")+($D$3="YES")*(DB!E$2:E$2576="YES"))*(($D$4="")+($D$4&lt;&gt;"")*( DB!B$2:B$2576=$D$4))*(($D$5="")+($D$5&lt;&gt;"")*( DB!C$2:C$2576=$D$5))*(($D$6="")+($D$6&lt;&gt;"")*( DB!D$2:D$2576=$D$6))*(($D$7="")+($D$7&lt;&gt;"")*(ISNUMBER(SEARCH($D$7,DB!G$2:G$2576))))*(($F$7="전체")+($F$7&lt;&gt;"전체")*(DB!H$2:H$2576=$F$7))),ROW()-13)-1,"")</f>
        <v/>
      </c>
      <c r="Q1920" t="str" cm="1">
        <f t="array" ref="Q1920">IFERROR(INDEX(DB!G$2:G$2576,P1920),"")</f>
        <v/>
      </c>
      <c r="R1920" t="str" cm="1">
        <f t="array" ref="R1920">IFERROR(INDEX(DB!O$2:O$2576,P1920),"")</f>
        <v/>
      </c>
      <c r="S1920" t="str">
        <f t="shared" si="90"/>
        <v/>
      </c>
      <c r="T1920" t="str">
        <f t="shared" si="91"/>
        <v/>
      </c>
    </row>
    <row r="1921" spans="1:20" ht="100" customHeight="1">
      <c r="A1921" s="26"/>
      <c r="B1921" s="42" t="str">
        <f t="shared" si="89"/>
        <v/>
      </c>
      <c r="C1921" s="43"/>
      <c r="D1921" s="51" t="str" cm="1">
        <f t="array" ref="D1921">IFERROR(INDEX(DB!G$2:G$2576,T1921),"")</f>
        <v/>
      </c>
      <c r="E1921" s="43"/>
      <c r="F1921" s="52" t="str" cm="1">
        <f t="array" ref="F1921">IFERROR(INDEX(DB!O$2:O$2576,T1921),"")</f>
        <v/>
      </c>
      <c r="G1921" s="43"/>
      <c r="H1921" s="40" t="str" cm="1">
        <f t="array" ref="H1921">IFERROR(INDEX(DB!P$2:P$2576,T1921),"")</f>
        <v/>
      </c>
      <c r="I1921" s="43"/>
      <c r="J1921" s="53" t="str" cm="1">
        <f t="array" ref="J1921">IFERROR(INDEX(DB!Q$2:Q$2576,T1921),"")</f>
        <v/>
      </c>
      <c r="K1921" s="43"/>
      <c r="L1921" s="41" t="str" cm="1">
        <f t="array" ref="L1921">IFERROR(INDEX(DB!R$2:R$2576,T1921),"")</f>
        <v/>
      </c>
      <c r="M1921" s="43"/>
      <c r="P1921" t="str" cm="1">
        <f t="array" ref="P1921">IFERROR(_xlfn.AGGREGATE(15,6,ROW(DB!A$2:A$2576)/((($D$3&lt;&gt;"YES")+($D$3="YES")*(DB!E$2:E$2576="YES"))*(($D$4="")+($D$4&lt;&gt;"")*( DB!B$2:B$2576=$D$4))*(($D$5="")+($D$5&lt;&gt;"")*( DB!C$2:C$2576=$D$5))*(($D$6="")+($D$6&lt;&gt;"")*( DB!D$2:D$2576=$D$6))*(($D$7="")+($D$7&lt;&gt;"")*(ISNUMBER(SEARCH($D$7,DB!G$2:G$2576))))*(($F$7="전체")+($F$7&lt;&gt;"전체")*(DB!H$2:H$2576=$F$7))),ROW()-13)-1,"")</f>
        <v/>
      </c>
      <c r="Q1921" t="str" cm="1">
        <f t="array" ref="Q1921">IFERROR(INDEX(DB!G$2:G$2576,P1921),"")</f>
        <v/>
      </c>
      <c r="R1921" t="str" cm="1">
        <f t="array" ref="R1921">IFERROR(INDEX(DB!O$2:O$2576,P1921),"")</f>
        <v/>
      </c>
      <c r="S1921" t="str">
        <f t="shared" si="90"/>
        <v/>
      </c>
      <c r="T1921" t="str">
        <f t="shared" si="91"/>
        <v/>
      </c>
    </row>
    <row r="1922" spans="1:20" ht="100" customHeight="1">
      <c r="A1922" s="26"/>
      <c r="B1922" s="39" t="str">
        <f t="shared" si="89"/>
        <v/>
      </c>
      <c r="C1922" s="43"/>
      <c r="D1922" s="51" t="str" cm="1">
        <f t="array" ref="D1922">IFERROR(INDEX(DB!G$2:G$2576,T1922),"")</f>
        <v/>
      </c>
      <c r="E1922" s="43"/>
      <c r="F1922" s="52" t="str" cm="1">
        <f t="array" ref="F1922">IFERROR(INDEX(DB!O$2:O$2576,T1922),"")</f>
        <v/>
      </c>
      <c r="G1922" s="43"/>
      <c r="H1922" s="40" t="str" cm="1">
        <f t="array" ref="H1922">IFERROR(INDEX(DB!P$2:P$2576,T1922),"")</f>
        <v/>
      </c>
      <c r="I1922" s="43"/>
      <c r="J1922" s="53" t="str" cm="1">
        <f t="array" ref="J1922">IFERROR(INDEX(DB!Q$2:Q$2576,T1922),"")</f>
        <v/>
      </c>
      <c r="K1922" s="43"/>
      <c r="L1922" s="41" t="str" cm="1">
        <f t="array" ref="L1922">IFERROR(INDEX(DB!R$2:R$2576,T1922),"")</f>
        <v/>
      </c>
      <c r="M1922" s="43"/>
      <c r="P1922" t="str" cm="1">
        <f t="array" ref="P1922">IFERROR(_xlfn.AGGREGATE(15,6,ROW(DB!A$2:A$2576)/((($D$3&lt;&gt;"YES")+($D$3="YES")*(DB!E$2:E$2576="YES"))*(($D$4="")+($D$4&lt;&gt;"")*( DB!B$2:B$2576=$D$4))*(($D$5="")+($D$5&lt;&gt;"")*( DB!C$2:C$2576=$D$5))*(($D$6="")+($D$6&lt;&gt;"")*( DB!D$2:D$2576=$D$6))*(($D$7="")+($D$7&lt;&gt;"")*(ISNUMBER(SEARCH($D$7,DB!G$2:G$2576))))*(($F$7="전체")+($F$7&lt;&gt;"전체")*(DB!H$2:H$2576=$F$7))),ROW()-13)-1,"")</f>
        <v/>
      </c>
      <c r="Q1922" t="str" cm="1">
        <f t="array" ref="Q1922">IFERROR(INDEX(DB!G$2:G$2576,P1922),"")</f>
        <v/>
      </c>
      <c r="R1922" t="str" cm="1">
        <f t="array" ref="R1922">IFERROR(INDEX(DB!O$2:O$2576,P1922),"")</f>
        <v/>
      </c>
      <c r="S1922" t="str">
        <f t="shared" si="90"/>
        <v/>
      </c>
      <c r="T1922" t="str">
        <f t="shared" si="91"/>
        <v/>
      </c>
    </row>
    <row r="1923" spans="1:20" ht="100" customHeight="1">
      <c r="A1923" s="26"/>
      <c r="B1923" s="42" t="str">
        <f t="shared" si="89"/>
        <v/>
      </c>
      <c r="C1923" s="43"/>
      <c r="D1923" s="51" t="str" cm="1">
        <f t="array" ref="D1923">IFERROR(INDEX(DB!G$2:G$2576,T1923),"")</f>
        <v/>
      </c>
      <c r="E1923" s="43"/>
      <c r="F1923" s="52" t="str" cm="1">
        <f t="array" ref="F1923">IFERROR(INDEX(DB!O$2:O$2576,T1923),"")</f>
        <v/>
      </c>
      <c r="G1923" s="43"/>
      <c r="H1923" s="40" t="str" cm="1">
        <f t="array" ref="H1923">IFERROR(INDEX(DB!P$2:P$2576,T1923),"")</f>
        <v/>
      </c>
      <c r="I1923" s="43"/>
      <c r="J1923" s="53" t="str" cm="1">
        <f t="array" ref="J1923">IFERROR(INDEX(DB!Q$2:Q$2576,T1923),"")</f>
        <v/>
      </c>
      <c r="K1923" s="43"/>
      <c r="L1923" s="41" t="str" cm="1">
        <f t="array" ref="L1923">IFERROR(INDEX(DB!R$2:R$2576,T1923),"")</f>
        <v/>
      </c>
      <c r="M1923" s="43"/>
      <c r="P1923" t="str" cm="1">
        <f t="array" ref="P1923">IFERROR(_xlfn.AGGREGATE(15,6,ROW(DB!A$2:A$2576)/((($D$3&lt;&gt;"YES")+($D$3="YES")*(DB!E$2:E$2576="YES"))*(($D$4="")+($D$4&lt;&gt;"")*( DB!B$2:B$2576=$D$4))*(($D$5="")+($D$5&lt;&gt;"")*( DB!C$2:C$2576=$D$5))*(($D$6="")+($D$6&lt;&gt;"")*( DB!D$2:D$2576=$D$6))*(($D$7="")+($D$7&lt;&gt;"")*(ISNUMBER(SEARCH($D$7,DB!G$2:G$2576))))*(($F$7="전체")+($F$7&lt;&gt;"전체")*(DB!H$2:H$2576=$F$7))),ROW()-13)-1,"")</f>
        <v/>
      </c>
      <c r="Q1923" t="str" cm="1">
        <f t="array" ref="Q1923">IFERROR(INDEX(DB!G$2:G$2576,P1923),"")</f>
        <v/>
      </c>
      <c r="R1923" t="str" cm="1">
        <f t="array" ref="R1923">IFERROR(INDEX(DB!O$2:O$2576,P1923),"")</f>
        <v/>
      </c>
      <c r="S1923" t="str">
        <f t="shared" si="90"/>
        <v/>
      </c>
      <c r="T1923" t="str">
        <f t="shared" si="91"/>
        <v/>
      </c>
    </row>
    <row r="1924" spans="1:20" ht="100" customHeight="1">
      <c r="A1924" s="26"/>
      <c r="B1924" s="39" t="str">
        <f t="shared" si="89"/>
        <v/>
      </c>
      <c r="C1924" s="43"/>
      <c r="D1924" s="51" t="str" cm="1">
        <f t="array" ref="D1924">IFERROR(INDEX(DB!G$2:G$2576,T1924),"")</f>
        <v/>
      </c>
      <c r="E1924" s="43"/>
      <c r="F1924" s="52" t="str" cm="1">
        <f t="array" ref="F1924">IFERROR(INDEX(DB!O$2:O$2576,T1924),"")</f>
        <v/>
      </c>
      <c r="G1924" s="43"/>
      <c r="H1924" s="40" t="str" cm="1">
        <f t="array" ref="H1924">IFERROR(INDEX(DB!P$2:P$2576,T1924),"")</f>
        <v/>
      </c>
      <c r="I1924" s="43"/>
      <c r="J1924" s="53" t="str" cm="1">
        <f t="array" ref="J1924">IFERROR(INDEX(DB!Q$2:Q$2576,T1924),"")</f>
        <v/>
      </c>
      <c r="K1924" s="43"/>
      <c r="L1924" s="41" t="str" cm="1">
        <f t="array" ref="L1924">IFERROR(INDEX(DB!R$2:R$2576,T1924),"")</f>
        <v/>
      </c>
      <c r="M1924" s="43"/>
      <c r="P1924" t="str" cm="1">
        <f t="array" ref="P1924">IFERROR(_xlfn.AGGREGATE(15,6,ROW(DB!A$2:A$2576)/((($D$3&lt;&gt;"YES")+($D$3="YES")*(DB!E$2:E$2576="YES"))*(($D$4="")+($D$4&lt;&gt;"")*( DB!B$2:B$2576=$D$4))*(($D$5="")+($D$5&lt;&gt;"")*( DB!C$2:C$2576=$D$5))*(($D$6="")+($D$6&lt;&gt;"")*( DB!D$2:D$2576=$D$6))*(($D$7="")+($D$7&lt;&gt;"")*(ISNUMBER(SEARCH($D$7,DB!G$2:G$2576))))*(($F$7="전체")+($F$7&lt;&gt;"전체")*(DB!H$2:H$2576=$F$7))),ROW()-13)-1,"")</f>
        <v/>
      </c>
      <c r="Q1924" t="str" cm="1">
        <f t="array" ref="Q1924">IFERROR(INDEX(DB!G$2:G$2576,P1924),"")</f>
        <v/>
      </c>
      <c r="R1924" t="str" cm="1">
        <f t="array" ref="R1924">IFERROR(INDEX(DB!O$2:O$2576,P1924),"")</f>
        <v/>
      </c>
      <c r="S1924" t="str">
        <f t="shared" si="90"/>
        <v/>
      </c>
      <c r="T1924" t="str">
        <f t="shared" si="91"/>
        <v/>
      </c>
    </row>
    <row r="1925" spans="1:20" ht="100" customHeight="1">
      <c r="A1925" s="26"/>
      <c r="B1925" s="42" t="str">
        <f t="shared" si="89"/>
        <v/>
      </c>
      <c r="C1925" s="43"/>
      <c r="D1925" s="51" t="str" cm="1">
        <f t="array" ref="D1925">IFERROR(INDEX(DB!G$2:G$2576,T1925),"")</f>
        <v/>
      </c>
      <c r="E1925" s="43"/>
      <c r="F1925" s="52" t="str" cm="1">
        <f t="array" ref="F1925">IFERROR(INDEX(DB!O$2:O$2576,T1925),"")</f>
        <v/>
      </c>
      <c r="G1925" s="43"/>
      <c r="H1925" s="40" t="str" cm="1">
        <f t="array" ref="H1925">IFERROR(INDEX(DB!P$2:P$2576,T1925),"")</f>
        <v/>
      </c>
      <c r="I1925" s="43"/>
      <c r="J1925" s="53" t="str" cm="1">
        <f t="array" ref="J1925">IFERROR(INDEX(DB!Q$2:Q$2576,T1925),"")</f>
        <v/>
      </c>
      <c r="K1925" s="43"/>
      <c r="L1925" s="41" t="str" cm="1">
        <f t="array" ref="L1925">IFERROR(INDEX(DB!R$2:R$2576,T1925),"")</f>
        <v/>
      </c>
      <c r="M1925" s="43"/>
      <c r="P1925" t="str" cm="1">
        <f t="array" ref="P1925">IFERROR(_xlfn.AGGREGATE(15,6,ROW(DB!A$2:A$2576)/((($D$3&lt;&gt;"YES")+($D$3="YES")*(DB!E$2:E$2576="YES"))*(($D$4="")+($D$4&lt;&gt;"")*( DB!B$2:B$2576=$D$4))*(($D$5="")+($D$5&lt;&gt;"")*( DB!C$2:C$2576=$D$5))*(($D$6="")+($D$6&lt;&gt;"")*( DB!D$2:D$2576=$D$6))*(($D$7="")+($D$7&lt;&gt;"")*(ISNUMBER(SEARCH($D$7,DB!G$2:G$2576))))*(($F$7="전체")+($F$7&lt;&gt;"전체")*(DB!H$2:H$2576=$F$7))),ROW()-13)-1,"")</f>
        <v/>
      </c>
      <c r="Q1925" t="str" cm="1">
        <f t="array" ref="Q1925">IFERROR(INDEX(DB!G$2:G$2576,P1925),"")</f>
        <v/>
      </c>
      <c r="R1925" t="str" cm="1">
        <f t="array" ref="R1925">IFERROR(INDEX(DB!O$2:O$2576,P1925),"")</f>
        <v/>
      </c>
      <c r="S1925" t="str">
        <f t="shared" si="90"/>
        <v/>
      </c>
      <c r="T1925" t="str">
        <f t="shared" si="91"/>
        <v/>
      </c>
    </row>
    <row r="1926" spans="1:20" ht="100" customHeight="1">
      <c r="A1926" s="26"/>
      <c r="B1926" s="39" t="str">
        <f t="shared" si="89"/>
        <v/>
      </c>
      <c r="C1926" s="43"/>
      <c r="D1926" s="51" t="str" cm="1">
        <f t="array" ref="D1926">IFERROR(INDEX(DB!G$2:G$2576,T1926),"")</f>
        <v/>
      </c>
      <c r="E1926" s="43"/>
      <c r="F1926" s="52" t="str" cm="1">
        <f t="array" ref="F1926">IFERROR(INDEX(DB!O$2:O$2576,T1926),"")</f>
        <v/>
      </c>
      <c r="G1926" s="43"/>
      <c r="H1926" s="40" t="str" cm="1">
        <f t="array" ref="H1926">IFERROR(INDEX(DB!P$2:P$2576,T1926),"")</f>
        <v/>
      </c>
      <c r="I1926" s="43"/>
      <c r="J1926" s="53" t="str" cm="1">
        <f t="array" ref="J1926">IFERROR(INDEX(DB!Q$2:Q$2576,T1926),"")</f>
        <v/>
      </c>
      <c r="K1926" s="43"/>
      <c r="L1926" s="41" t="str" cm="1">
        <f t="array" ref="L1926">IFERROR(INDEX(DB!R$2:R$2576,T1926),"")</f>
        <v/>
      </c>
      <c r="M1926" s="43"/>
      <c r="P1926" t="str" cm="1">
        <f t="array" ref="P1926">IFERROR(_xlfn.AGGREGATE(15,6,ROW(DB!A$2:A$2576)/((($D$3&lt;&gt;"YES")+($D$3="YES")*(DB!E$2:E$2576="YES"))*(($D$4="")+($D$4&lt;&gt;"")*( DB!B$2:B$2576=$D$4))*(($D$5="")+($D$5&lt;&gt;"")*( DB!C$2:C$2576=$D$5))*(($D$6="")+($D$6&lt;&gt;"")*( DB!D$2:D$2576=$D$6))*(($D$7="")+($D$7&lt;&gt;"")*(ISNUMBER(SEARCH($D$7,DB!G$2:G$2576))))*(($F$7="전체")+($F$7&lt;&gt;"전체")*(DB!H$2:H$2576=$F$7))),ROW()-13)-1,"")</f>
        <v/>
      </c>
      <c r="Q1926" t="str" cm="1">
        <f t="array" ref="Q1926">IFERROR(INDEX(DB!G$2:G$2576,P1926),"")</f>
        <v/>
      </c>
      <c r="R1926" t="str" cm="1">
        <f t="array" ref="R1926">IFERROR(INDEX(DB!O$2:O$2576,P1926),"")</f>
        <v/>
      </c>
      <c r="S1926" t="str">
        <f t="shared" si="90"/>
        <v/>
      </c>
      <c r="T1926" t="str">
        <f t="shared" si="91"/>
        <v/>
      </c>
    </row>
    <row r="1927" spans="1:20" ht="100" customHeight="1">
      <c r="A1927" s="26"/>
      <c r="B1927" s="42" t="str">
        <f t="shared" si="89"/>
        <v/>
      </c>
      <c r="C1927" s="43"/>
      <c r="D1927" s="51" t="str" cm="1">
        <f t="array" ref="D1927">IFERROR(INDEX(DB!G$2:G$2576,T1927),"")</f>
        <v/>
      </c>
      <c r="E1927" s="43"/>
      <c r="F1927" s="52" t="str" cm="1">
        <f t="array" ref="F1927">IFERROR(INDEX(DB!O$2:O$2576,T1927),"")</f>
        <v/>
      </c>
      <c r="G1927" s="43"/>
      <c r="H1927" s="40" t="str" cm="1">
        <f t="array" ref="H1927">IFERROR(INDEX(DB!P$2:P$2576,T1927),"")</f>
        <v/>
      </c>
      <c r="I1927" s="43"/>
      <c r="J1927" s="53" t="str" cm="1">
        <f t="array" ref="J1927">IFERROR(INDEX(DB!Q$2:Q$2576,T1927),"")</f>
        <v/>
      </c>
      <c r="K1927" s="43"/>
      <c r="L1927" s="41" t="str" cm="1">
        <f t="array" ref="L1927">IFERROR(INDEX(DB!R$2:R$2576,T1927),"")</f>
        <v/>
      </c>
      <c r="M1927" s="43"/>
      <c r="P1927" t="str" cm="1">
        <f t="array" ref="P1927">IFERROR(_xlfn.AGGREGATE(15,6,ROW(DB!A$2:A$2576)/((($D$3&lt;&gt;"YES")+($D$3="YES")*(DB!E$2:E$2576="YES"))*(($D$4="")+($D$4&lt;&gt;"")*( DB!B$2:B$2576=$D$4))*(($D$5="")+($D$5&lt;&gt;"")*( DB!C$2:C$2576=$D$5))*(($D$6="")+($D$6&lt;&gt;"")*( DB!D$2:D$2576=$D$6))*(($D$7="")+($D$7&lt;&gt;"")*(ISNUMBER(SEARCH($D$7,DB!G$2:G$2576))))*(($F$7="전체")+($F$7&lt;&gt;"전체")*(DB!H$2:H$2576=$F$7))),ROW()-13)-1,"")</f>
        <v/>
      </c>
      <c r="Q1927" t="str" cm="1">
        <f t="array" ref="Q1927">IFERROR(INDEX(DB!G$2:G$2576,P1927),"")</f>
        <v/>
      </c>
      <c r="R1927" t="str" cm="1">
        <f t="array" ref="R1927">IFERROR(INDEX(DB!O$2:O$2576,P1927),"")</f>
        <v/>
      </c>
      <c r="S1927" t="str">
        <f t="shared" si="90"/>
        <v/>
      </c>
      <c r="T1927" t="str">
        <f t="shared" si="91"/>
        <v/>
      </c>
    </row>
    <row r="1928" spans="1:20" ht="100" customHeight="1">
      <c r="A1928" s="26"/>
      <c r="B1928" s="39" t="str">
        <f t="shared" si="89"/>
        <v/>
      </c>
      <c r="C1928" s="43"/>
      <c r="D1928" s="51" t="str" cm="1">
        <f t="array" ref="D1928">IFERROR(INDEX(DB!G$2:G$2576,T1928),"")</f>
        <v/>
      </c>
      <c r="E1928" s="43"/>
      <c r="F1928" s="52" t="str" cm="1">
        <f t="array" ref="F1928">IFERROR(INDEX(DB!O$2:O$2576,T1928),"")</f>
        <v/>
      </c>
      <c r="G1928" s="43"/>
      <c r="H1928" s="40" t="str" cm="1">
        <f t="array" ref="H1928">IFERROR(INDEX(DB!P$2:P$2576,T1928),"")</f>
        <v/>
      </c>
      <c r="I1928" s="43"/>
      <c r="J1928" s="53" t="str" cm="1">
        <f t="array" ref="J1928">IFERROR(INDEX(DB!Q$2:Q$2576,T1928),"")</f>
        <v/>
      </c>
      <c r="K1928" s="43"/>
      <c r="L1928" s="41" t="str" cm="1">
        <f t="array" ref="L1928">IFERROR(INDEX(DB!R$2:R$2576,T1928),"")</f>
        <v/>
      </c>
      <c r="M1928" s="43"/>
      <c r="P1928" t="str" cm="1">
        <f t="array" ref="P1928">IFERROR(_xlfn.AGGREGATE(15,6,ROW(DB!A$2:A$2576)/((($D$3&lt;&gt;"YES")+($D$3="YES")*(DB!E$2:E$2576="YES"))*(($D$4="")+($D$4&lt;&gt;"")*( DB!B$2:B$2576=$D$4))*(($D$5="")+($D$5&lt;&gt;"")*( DB!C$2:C$2576=$D$5))*(($D$6="")+($D$6&lt;&gt;"")*( DB!D$2:D$2576=$D$6))*(($D$7="")+($D$7&lt;&gt;"")*(ISNUMBER(SEARCH($D$7,DB!G$2:G$2576))))*(($F$7="전체")+($F$7&lt;&gt;"전체")*(DB!H$2:H$2576=$F$7))),ROW()-13)-1,"")</f>
        <v/>
      </c>
      <c r="Q1928" t="str" cm="1">
        <f t="array" ref="Q1928">IFERROR(INDEX(DB!G$2:G$2576,P1928),"")</f>
        <v/>
      </c>
      <c r="R1928" t="str" cm="1">
        <f t="array" ref="R1928">IFERROR(INDEX(DB!O$2:O$2576,P1928),"")</f>
        <v/>
      </c>
      <c r="S1928" t="str">
        <f t="shared" si="90"/>
        <v/>
      </c>
      <c r="T1928" t="str">
        <f t="shared" si="91"/>
        <v/>
      </c>
    </row>
    <row r="1929" spans="1:20" ht="100" customHeight="1">
      <c r="A1929" s="26"/>
      <c r="B1929" s="42" t="str">
        <f t="shared" si="89"/>
        <v/>
      </c>
      <c r="C1929" s="43"/>
      <c r="D1929" s="51" t="str" cm="1">
        <f t="array" ref="D1929">IFERROR(INDEX(DB!G$2:G$2576,T1929),"")</f>
        <v/>
      </c>
      <c r="E1929" s="43"/>
      <c r="F1929" s="52" t="str" cm="1">
        <f t="array" ref="F1929">IFERROR(INDEX(DB!O$2:O$2576,T1929),"")</f>
        <v/>
      </c>
      <c r="G1929" s="43"/>
      <c r="H1929" s="40" t="str" cm="1">
        <f t="array" ref="H1929">IFERROR(INDEX(DB!P$2:P$2576,T1929),"")</f>
        <v/>
      </c>
      <c r="I1929" s="43"/>
      <c r="J1929" s="53" t="str" cm="1">
        <f t="array" ref="J1929">IFERROR(INDEX(DB!Q$2:Q$2576,T1929),"")</f>
        <v/>
      </c>
      <c r="K1929" s="43"/>
      <c r="L1929" s="41" t="str" cm="1">
        <f t="array" ref="L1929">IFERROR(INDEX(DB!R$2:R$2576,T1929),"")</f>
        <v/>
      </c>
      <c r="M1929" s="43"/>
      <c r="P1929" t="str" cm="1">
        <f t="array" ref="P1929">IFERROR(_xlfn.AGGREGATE(15,6,ROW(DB!A$2:A$2576)/((($D$3&lt;&gt;"YES")+($D$3="YES")*(DB!E$2:E$2576="YES"))*(($D$4="")+($D$4&lt;&gt;"")*( DB!B$2:B$2576=$D$4))*(($D$5="")+($D$5&lt;&gt;"")*( DB!C$2:C$2576=$D$5))*(($D$6="")+($D$6&lt;&gt;"")*( DB!D$2:D$2576=$D$6))*(($D$7="")+($D$7&lt;&gt;"")*(ISNUMBER(SEARCH($D$7,DB!G$2:G$2576))))*(($F$7="전체")+($F$7&lt;&gt;"전체")*(DB!H$2:H$2576=$F$7))),ROW()-13)-1,"")</f>
        <v/>
      </c>
      <c r="Q1929" t="str" cm="1">
        <f t="array" ref="Q1929">IFERROR(INDEX(DB!G$2:G$2576,P1929),"")</f>
        <v/>
      </c>
      <c r="R1929" t="str" cm="1">
        <f t="array" ref="R1929">IFERROR(INDEX(DB!O$2:O$2576,P1929),"")</f>
        <v/>
      </c>
      <c r="S1929" t="str">
        <f t="shared" si="90"/>
        <v/>
      </c>
      <c r="T1929" t="str">
        <f t="shared" si="91"/>
        <v/>
      </c>
    </row>
    <row r="1930" spans="1:20" ht="100" customHeight="1">
      <c r="A1930" s="26"/>
      <c r="B1930" s="39" t="str">
        <f t="shared" si="89"/>
        <v/>
      </c>
      <c r="C1930" s="43"/>
      <c r="D1930" s="51" t="str" cm="1">
        <f t="array" ref="D1930">IFERROR(INDEX(DB!G$2:G$2576,T1930),"")</f>
        <v/>
      </c>
      <c r="E1930" s="43"/>
      <c r="F1930" s="52" t="str" cm="1">
        <f t="array" ref="F1930">IFERROR(INDEX(DB!O$2:O$2576,T1930),"")</f>
        <v/>
      </c>
      <c r="G1930" s="43"/>
      <c r="H1930" s="40" t="str" cm="1">
        <f t="array" ref="H1930">IFERROR(INDEX(DB!P$2:P$2576,T1930),"")</f>
        <v/>
      </c>
      <c r="I1930" s="43"/>
      <c r="J1930" s="53" t="str" cm="1">
        <f t="array" ref="J1930">IFERROR(INDEX(DB!Q$2:Q$2576,T1930),"")</f>
        <v/>
      </c>
      <c r="K1930" s="43"/>
      <c r="L1930" s="41" t="str" cm="1">
        <f t="array" ref="L1930">IFERROR(INDEX(DB!R$2:R$2576,T1930),"")</f>
        <v/>
      </c>
      <c r="M1930" s="43"/>
      <c r="P1930" t="str" cm="1">
        <f t="array" ref="P1930">IFERROR(_xlfn.AGGREGATE(15,6,ROW(DB!A$2:A$2576)/((($D$3&lt;&gt;"YES")+($D$3="YES")*(DB!E$2:E$2576="YES"))*(($D$4="")+($D$4&lt;&gt;"")*( DB!B$2:B$2576=$D$4))*(($D$5="")+($D$5&lt;&gt;"")*( DB!C$2:C$2576=$D$5))*(($D$6="")+($D$6&lt;&gt;"")*( DB!D$2:D$2576=$D$6))*(($D$7="")+($D$7&lt;&gt;"")*(ISNUMBER(SEARCH($D$7,DB!G$2:G$2576))))*(($F$7="전체")+($F$7&lt;&gt;"전체")*(DB!H$2:H$2576=$F$7))),ROW()-13)-1,"")</f>
        <v/>
      </c>
      <c r="Q1930" t="str" cm="1">
        <f t="array" ref="Q1930">IFERROR(INDEX(DB!G$2:G$2576,P1930),"")</f>
        <v/>
      </c>
      <c r="R1930" t="str" cm="1">
        <f t="array" ref="R1930">IFERROR(INDEX(DB!O$2:O$2576,P1930),"")</f>
        <v/>
      </c>
      <c r="S1930" t="str">
        <f t="shared" si="90"/>
        <v/>
      </c>
      <c r="T1930" t="str">
        <f t="shared" si="91"/>
        <v/>
      </c>
    </row>
    <row r="1931" spans="1:20" ht="100" customHeight="1">
      <c r="A1931" s="26"/>
      <c r="B1931" s="42" t="str">
        <f t="shared" si="89"/>
        <v/>
      </c>
      <c r="C1931" s="43"/>
      <c r="D1931" s="51" t="str" cm="1">
        <f t="array" ref="D1931">IFERROR(INDEX(DB!G$2:G$2576,T1931),"")</f>
        <v/>
      </c>
      <c r="E1931" s="43"/>
      <c r="F1931" s="52" t="str" cm="1">
        <f t="array" ref="F1931">IFERROR(INDEX(DB!O$2:O$2576,T1931),"")</f>
        <v/>
      </c>
      <c r="G1931" s="43"/>
      <c r="H1931" s="40" t="str" cm="1">
        <f t="array" ref="H1931">IFERROR(INDEX(DB!P$2:P$2576,T1931),"")</f>
        <v/>
      </c>
      <c r="I1931" s="43"/>
      <c r="J1931" s="53" t="str" cm="1">
        <f t="array" ref="J1931">IFERROR(INDEX(DB!Q$2:Q$2576,T1931),"")</f>
        <v/>
      </c>
      <c r="K1931" s="43"/>
      <c r="L1931" s="41" t="str" cm="1">
        <f t="array" ref="L1931">IFERROR(INDEX(DB!R$2:R$2576,T1931),"")</f>
        <v/>
      </c>
      <c r="M1931" s="43"/>
      <c r="P1931" t="str" cm="1">
        <f t="array" ref="P1931">IFERROR(_xlfn.AGGREGATE(15,6,ROW(DB!A$2:A$2576)/((($D$3&lt;&gt;"YES")+($D$3="YES")*(DB!E$2:E$2576="YES"))*(($D$4="")+($D$4&lt;&gt;"")*( DB!B$2:B$2576=$D$4))*(($D$5="")+($D$5&lt;&gt;"")*( DB!C$2:C$2576=$D$5))*(($D$6="")+($D$6&lt;&gt;"")*( DB!D$2:D$2576=$D$6))*(($D$7="")+($D$7&lt;&gt;"")*(ISNUMBER(SEARCH($D$7,DB!G$2:G$2576))))*(($F$7="전체")+($F$7&lt;&gt;"전체")*(DB!H$2:H$2576=$F$7))),ROW()-13)-1,"")</f>
        <v/>
      </c>
      <c r="Q1931" t="str" cm="1">
        <f t="array" ref="Q1931">IFERROR(INDEX(DB!G$2:G$2576,P1931),"")</f>
        <v/>
      </c>
      <c r="R1931" t="str" cm="1">
        <f t="array" ref="R1931">IFERROR(INDEX(DB!O$2:O$2576,P1931),"")</f>
        <v/>
      </c>
      <c r="S1931" t="str">
        <f t="shared" si="90"/>
        <v/>
      </c>
      <c r="T1931" t="str">
        <f t="shared" si="91"/>
        <v/>
      </c>
    </row>
    <row r="1932" spans="1:20" ht="100" customHeight="1">
      <c r="A1932" s="26"/>
      <c r="B1932" s="39" t="str">
        <f t="shared" si="89"/>
        <v/>
      </c>
      <c r="C1932" s="43"/>
      <c r="D1932" s="51" t="str" cm="1">
        <f t="array" ref="D1932">IFERROR(INDEX(DB!G$2:G$2576,T1932),"")</f>
        <v/>
      </c>
      <c r="E1932" s="43"/>
      <c r="F1932" s="52" t="str" cm="1">
        <f t="array" ref="F1932">IFERROR(INDEX(DB!O$2:O$2576,T1932),"")</f>
        <v/>
      </c>
      <c r="G1932" s="43"/>
      <c r="H1932" s="40" t="str" cm="1">
        <f t="array" ref="H1932">IFERROR(INDEX(DB!P$2:P$2576,T1932),"")</f>
        <v/>
      </c>
      <c r="I1932" s="43"/>
      <c r="J1932" s="53" t="str" cm="1">
        <f t="array" ref="J1932">IFERROR(INDEX(DB!Q$2:Q$2576,T1932),"")</f>
        <v/>
      </c>
      <c r="K1932" s="43"/>
      <c r="L1932" s="41" t="str" cm="1">
        <f t="array" ref="L1932">IFERROR(INDEX(DB!R$2:R$2576,T1932),"")</f>
        <v/>
      </c>
      <c r="M1932" s="43"/>
      <c r="P1932" t="str" cm="1">
        <f t="array" ref="P1932">IFERROR(_xlfn.AGGREGATE(15,6,ROW(DB!A$2:A$2576)/((($D$3&lt;&gt;"YES")+($D$3="YES")*(DB!E$2:E$2576="YES"))*(($D$4="")+($D$4&lt;&gt;"")*( DB!B$2:B$2576=$D$4))*(($D$5="")+($D$5&lt;&gt;"")*( DB!C$2:C$2576=$D$5))*(($D$6="")+($D$6&lt;&gt;"")*( DB!D$2:D$2576=$D$6))*(($D$7="")+($D$7&lt;&gt;"")*(ISNUMBER(SEARCH($D$7,DB!G$2:G$2576))))*(($F$7="전체")+($F$7&lt;&gt;"전체")*(DB!H$2:H$2576=$F$7))),ROW()-13)-1,"")</f>
        <v/>
      </c>
      <c r="Q1932" t="str" cm="1">
        <f t="array" ref="Q1932">IFERROR(INDEX(DB!G$2:G$2576,P1932),"")</f>
        <v/>
      </c>
      <c r="R1932" t="str" cm="1">
        <f t="array" ref="R1932">IFERROR(INDEX(DB!O$2:O$2576,P1932),"")</f>
        <v/>
      </c>
      <c r="S1932" t="str">
        <f t="shared" si="90"/>
        <v/>
      </c>
      <c r="T1932" t="str">
        <f t="shared" si="91"/>
        <v/>
      </c>
    </row>
    <row r="1933" spans="1:20" ht="100" customHeight="1">
      <c r="A1933" s="26"/>
      <c r="B1933" s="42" t="str">
        <f t="shared" si="89"/>
        <v/>
      </c>
      <c r="C1933" s="43"/>
      <c r="D1933" s="51" t="str" cm="1">
        <f t="array" ref="D1933">IFERROR(INDEX(DB!G$2:G$2576,T1933),"")</f>
        <v/>
      </c>
      <c r="E1933" s="43"/>
      <c r="F1933" s="52" t="str" cm="1">
        <f t="array" ref="F1933">IFERROR(INDEX(DB!O$2:O$2576,T1933),"")</f>
        <v/>
      </c>
      <c r="G1933" s="43"/>
      <c r="H1933" s="40" t="str" cm="1">
        <f t="array" ref="H1933">IFERROR(INDEX(DB!P$2:P$2576,T1933),"")</f>
        <v/>
      </c>
      <c r="I1933" s="43"/>
      <c r="J1933" s="53" t="str" cm="1">
        <f t="array" ref="J1933">IFERROR(INDEX(DB!Q$2:Q$2576,T1933),"")</f>
        <v/>
      </c>
      <c r="K1933" s="43"/>
      <c r="L1933" s="41" t="str" cm="1">
        <f t="array" ref="L1933">IFERROR(INDEX(DB!R$2:R$2576,T1933),"")</f>
        <v/>
      </c>
      <c r="M1933" s="43"/>
      <c r="P1933" t="str" cm="1">
        <f t="array" ref="P1933">IFERROR(_xlfn.AGGREGATE(15,6,ROW(DB!A$2:A$2576)/((($D$3&lt;&gt;"YES")+($D$3="YES")*(DB!E$2:E$2576="YES"))*(($D$4="")+($D$4&lt;&gt;"")*( DB!B$2:B$2576=$D$4))*(($D$5="")+($D$5&lt;&gt;"")*( DB!C$2:C$2576=$D$5))*(($D$6="")+($D$6&lt;&gt;"")*( DB!D$2:D$2576=$D$6))*(($D$7="")+($D$7&lt;&gt;"")*(ISNUMBER(SEARCH($D$7,DB!G$2:G$2576))))*(($F$7="전체")+($F$7&lt;&gt;"전체")*(DB!H$2:H$2576=$F$7))),ROW()-13)-1,"")</f>
        <v/>
      </c>
      <c r="Q1933" t="str" cm="1">
        <f t="array" ref="Q1933">IFERROR(INDEX(DB!G$2:G$2576,P1933),"")</f>
        <v/>
      </c>
      <c r="R1933" t="str" cm="1">
        <f t="array" ref="R1933">IFERROR(INDEX(DB!O$2:O$2576,P1933),"")</f>
        <v/>
      </c>
      <c r="S1933" t="str">
        <f t="shared" si="90"/>
        <v/>
      </c>
      <c r="T1933" t="str">
        <f t="shared" si="91"/>
        <v/>
      </c>
    </row>
    <row r="1934" spans="1:20" ht="100" customHeight="1">
      <c r="A1934" s="26"/>
      <c r="B1934" s="39" t="str">
        <f t="shared" si="89"/>
        <v/>
      </c>
      <c r="C1934" s="43"/>
      <c r="D1934" s="51" t="str" cm="1">
        <f t="array" ref="D1934">IFERROR(INDEX(DB!G$2:G$2576,T1934),"")</f>
        <v/>
      </c>
      <c r="E1934" s="43"/>
      <c r="F1934" s="52" t="str" cm="1">
        <f t="array" ref="F1934">IFERROR(INDEX(DB!O$2:O$2576,T1934),"")</f>
        <v/>
      </c>
      <c r="G1934" s="43"/>
      <c r="H1934" s="40" t="str" cm="1">
        <f t="array" ref="H1934">IFERROR(INDEX(DB!P$2:P$2576,T1934),"")</f>
        <v/>
      </c>
      <c r="I1934" s="43"/>
      <c r="J1934" s="53" t="str" cm="1">
        <f t="array" ref="J1934">IFERROR(INDEX(DB!Q$2:Q$2576,T1934),"")</f>
        <v/>
      </c>
      <c r="K1934" s="43"/>
      <c r="L1934" s="41" t="str" cm="1">
        <f t="array" ref="L1934">IFERROR(INDEX(DB!R$2:R$2576,T1934),"")</f>
        <v/>
      </c>
      <c r="M1934" s="43"/>
      <c r="P1934" t="str" cm="1">
        <f t="array" ref="P1934">IFERROR(_xlfn.AGGREGATE(15,6,ROW(DB!A$2:A$2576)/((($D$3&lt;&gt;"YES")+($D$3="YES")*(DB!E$2:E$2576="YES"))*(($D$4="")+($D$4&lt;&gt;"")*( DB!B$2:B$2576=$D$4))*(($D$5="")+($D$5&lt;&gt;"")*( DB!C$2:C$2576=$D$5))*(($D$6="")+($D$6&lt;&gt;"")*( DB!D$2:D$2576=$D$6))*(($D$7="")+($D$7&lt;&gt;"")*(ISNUMBER(SEARCH($D$7,DB!G$2:G$2576))))*(($F$7="전체")+($F$7&lt;&gt;"전체")*(DB!H$2:H$2576=$F$7))),ROW()-13)-1,"")</f>
        <v/>
      </c>
      <c r="Q1934" t="str" cm="1">
        <f t="array" ref="Q1934">IFERROR(INDEX(DB!G$2:G$2576,P1934),"")</f>
        <v/>
      </c>
      <c r="R1934" t="str" cm="1">
        <f t="array" ref="R1934">IFERROR(INDEX(DB!O$2:O$2576,P1934),"")</f>
        <v/>
      </c>
      <c r="S1934" t="str">
        <f t="shared" si="90"/>
        <v/>
      </c>
      <c r="T1934" t="str">
        <f t="shared" si="91"/>
        <v/>
      </c>
    </row>
    <row r="1935" spans="1:20" ht="100" customHeight="1">
      <c r="A1935" s="26"/>
      <c r="B1935" s="42" t="str">
        <f t="shared" ref="B1935:B1998" si="92">IFERROR(IF(T1935="","",ROW()-13),"")</f>
        <v/>
      </c>
      <c r="C1935" s="43"/>
      <c r="D1935" s="51" t="str" cm="1">
        <f t="array" ref="D1935">IFERROR(INDEX(DB!G$2:G$2576,T1935),"")</f>
        <v/>
      </c>
      <c r="E1935" s="43"/>
      <c r="F1935" s="52" t="str" cm="1">
        <f t="array" ref="F1935">IFERROR(INDEX(DB!O$2:O$2576,T1935),"")</f>
        <v/>
      </c>
      <c r="G1935" s="43"/>
      <c r="H1935" s="40" t="str" cm="1">
        <f t="array" ref="H1935">IFERROR(INDEX(DB!P$2:P$2576,T1935),"")</f>
        <v/>
      </c>
      <c r="I1935" s="43"/>
      <c r="J1935" s="53" t="str" cm="1">
        <f t="array" ref="J1935">IFERROR(INDEX(DB!Q$2:Q$2576,T1935),"")</f>
        <v/>
      </c>
      <c r="K1935" s="43"/>
      <c r="L1935" s="41" t="str" cm="1">
        <f t="array" ref="L1935">IFERROR(INDEX(DB!R$2:R$2576,T1935),"")</f>
        <v/>
      </c>
      <c r="M1935" s="43"/>
      <c r="P1935" t="str" cm="1">
        <f t="array" ref="P1935">IFERROR(_xlfn.AGGREGATE(15,6,ROW(DB!A$2:A$2576)/((($D$3&lt;&gt;"YES")+($D$3="YES")*(DB!E$2:E$2576="YES"))*(($D$4="")+($D$4&lt;&gt;"")*( DB!B$2:B$2576=$D$4))*(($D$5="")+($D$5&lt;&gt;"")*( DB!C$2:C$2576=$D$5))*(($D$6="")+($D$6&lt;&gt;"")*( DB!D$2:D$2576=$D$6))*(($D$7="")+($D$7&lt;&gt;"")*(ISNUMBER(SEARCH($D$7,DB!G$2:G$2576))))*(($F$7="전체")+($F$7&lt;&gt;"전체")*(DB!H$2:H$2576=$F$7))),ROW()-13)-1,"")</f>
        <v/>
      </c>
      <c r="Q1935" t="str" cm="1">
        <f t="array" ref="Q1935">IFERROR(INDEX(DB!G$2:G$2576,P1935),"")</f>
        <v/>
      </c>
      <c r="R1935" t="str" cm="1">
        <f t="array" ref="R1935">IFERROR(INDEX(DB!O$2:O$2576,P1935),"")</f>
        <v/>
      </c>
      <c r="S1935" t="str">
        <f t="shared" ref="S1935:S1998" si="93">IF(P1935="","",COUNTIF($Q$14:$Q$2587,"&lt;"&amp;Q1935)*100+COUNTIF($R$14:$R$2587,"&lt;"&amp;R1935)+(ROW()-13)*0.001)</f>
        <v/>
      </c>
      <c r="T1935" t="str">
        <f t="shared" ref="T1935:T1998" si="94">IFERROR(INDEX($P$14:$P$2587,MATCH(SMALL($S$14:$S$2587,ROW()-13),$S$14:$S$2587,0)),"")</f>
        <v/>
      </c>
    </row>
    <row r="1936" spans="1:20" ht="100" customHeight="1">
      <c r="A1936" s="26"/>
      <c r="B1936" s="39" t="str">
        <f t="shared" si="92"/>
        <v/>
      </c>
      <c r="C1936" s="43"/>
      <c r="D1936" s="51" t="str" cm="1">
        <f t="array" ref="D1936">IFERROR(INDEX(DB!G$2:G$2576,T1936),"")</f>
        <v/>
      </c>
      <c r="E1936" s="43"/>
      <c r="F1936" s="52" t="str" cm="1">
        <f t="array" ref="F1936">IFERROR(INDEX(DB!O$2:O$2576,T1936),"")</f>
        <v/>
      </c>
      <c r="G1936" s="43"/>
      <c r="H1936" s="40" t="str" cm="1">
        <f t="array" ref="H1936">IFERROR(INDEX(DB!P$2:P$2576,T1936),"")</f>
        <v/>
      </c>
      <c r="I1936" s="43"/>
      <c r="J1936" s="53" t="str" cm="1">
        <f t="array" ref="J1936">IFERROR(INDEX(DB!Q$2:Q$2576,T1936),"")</f>
        <v/>
      </c>
      <c r="K1936" s="43"/>
      <c r="L1936" s="41" t="str" cm="1">
        <f t="array" ref="L1936">IFERROR(INDEX(DB!R$2:R$2576,T1936),"")</f>
        <v/>
      </c>
      <c r="M1936" s="43"/>
      <c r="P1936" t="str" cm="1">
        <f t="array" ref="P1936">IFERROR(_xlfn.AGGREGATE(15,6,ROW(DB!A$2:A$2576)/((($D$3&lt;&gt;"YES")+($D$3="YES")*(DB!E$2:E$2576="YES"))*(($D$4="")+($D$4&lt;&gt;"")*( DB!B$2:B$2576=$D$4))*(($D$5="")+($D$5&lt;&gt;"")*( DB!C$2:C$2576=$D$5))*(($D$6="")+($D$6&lt;&gt;"")*( DB!D$2:D$2576=$D$6))*(($D$7="")+($D$7&lt;&gt;"")*(ISNUMBER(SEARCH($D$7,DB!G$2:G$2576))))*(($F$7="전체")+($F$7&lt;&gt;"전체")*(DB!H$2:H$2576=$F$7))),ROW()-13)-1,"")</f>
        <v/>
      </c>
      <c r="Q1936" t="str" cm="1">
        <f t="array" ref="Q1936">IFERROR(INDEX(DB!G$2:G$2576,P1936),"")</f>
        <v/>
      </c>
      <c r="R1936" t="str" cm="1">
        <f t="array" ref="R1936">IFERROR(INDEX(DB!O$2:O$2576,P1936),"")</f>
        <v/>
      </c>
      <c r="S1936" t="str">
        <f t="shared" si="93"/>
        <v/>
      </c>
      <c r="T1936" t="str">
        <f t="shared" si="94"/>
        <v/>
      </c>
    </row>
    <row r="1937" spans="1:20" ht="100" customHeight="1">
      <c r="A1937" s="26"/>
      <c r="B1937" s="42" t="str">
        <f t="shared" si="92"/>
        <v/>
      </c>
      <c r="C1937" s="43"/>
      <c r="D1937" s="51" t="str" cm="1">
        <f t="array" ref="D1937">IFERROR(INDEX(DB!G$2:G$2576,T1937),"")</f>
        <v/>
      </c>
      <c r="E1937" s="43"/>
      <c r="F1937" s="52" t="str" cm="1">
        <f t="array" ref="F1937">IFERROR(INDEX(DB!O$2:O$2576,T1937),"")</f>
        <v/>
      </c>
      <c r="G1937" s="43"/>
      <c r="H1937" s="40" t="str" cm="1">
        <f t="array" ref="H1937">IFERROR(INDEX(DB!P$2:P$2576,T1937),"")</f>
        <v/>
      </c>
      <c r="I1937" s="43"/>
      <c r="J1937" s="53" t="str" cm="1">
        <f t="array" ref="J1937">IFERROR(INDEX(DB!Q$2:Q$2576,T1937),"")</f>
        <v/>
      </c>
      <c r="K1937" s="43"/>
      <c r="L1937" s="41" t="str" cm="1">
        <f t="array" ref="L1937">IFERROR(INDEX(DB!R$2:R$2576,T1937),"")</f>
        <v/>
      </c>
      <c r="M1937" s="43"/>
      <c r="P1937" t="str" cm="1">
        <f t="array" ref="P1937">IFERROR(_xlfn.AGGREGATE(15,6,ROW(DB!A$2:A$2576)/((($D$3&lt;&gt;"YES")+($D$3="YES")*(DB!E$2:E$2576="YES"))*(($D$4="")+($D$4&lt;&gt;"")*( DB!B$2:B$2576=$D$4))*(($D$5="")+($D$5&lt;&gt;"")*( DB!C$2:C$2576=$D$5))*(($D$6="")+($D$6&lt;&gt;"")*( DB!D$2:D$2576=$D$6))*(($D$7="")+($D$7&lt;&gt;"")*(ISNUMBER(SEARCH($D$7,DB!G$2:G$2576))))*(($F$7="전체")+($F$7&lt;&gt;"전체")*(DB!H$2:H$2576=$F$7))),ROW()-13)-1,"")</f>
        <v/>
      </c>
      <c r="Q1937" t="str" cm="1">
        <f t="array" ref="Q1937">IFERROR(INDEX(DB!G$2:G$2576,P1937),"")</f>
        <v/>
      </c>
      <c r="R1937" t="str" cm="1">
        <f t="array" ref="R1937">IFERROR(INDEX(DB!O$2:O$2576,P1937),"")</f>
        <v/>
      </c>
      <c r="S1937" t="str">
        <f t="shared" si="93"/>
        <v/>
      </c>
      <c r="T1937" t="str">
        <f t="shared" si="94"/>
        <v/>
      </c>
    </row>
    <row r="1938" spans="1:20" ht="100" customHeight="1">
      <c r="A1938" s="26"/>
      <c r="B1938" s="39" t="str">
        <f t="shared" si="92"/>
        <v/>
      </c>
      <c r="C1938" s="43"/>
      <c r="D1938" s="51" t="str" cm="1">
        <f t="array" ref="D1938">IFERROR(INDEX(DB!G$2:G$2576,T1938),"")</f>
        <v/>
      </c>
      <c r="E1938" s="43"/>
      <c r="F1938" s="52" t="str" cm="1">
        <f t="array" ref="F1938">IFERROR(INDEX(DB!O$2:O$2576,T1938),"")</f>
        <v/>
      </c>
      <c r="G1938" s="43"/>
      <c r="H1938" s="40" t="str" cm="1">
        <f t="array" ref="H1938">IFERROR(INDEX(DB!P$2:P$2576,T1938),"")</f>
        <v/>
      </c>
      <c r="I1938" s="43"/>
      <c r="J1938" s="53" t="str" cm="1">
        <f t="array" ref="J1938">IFERROR(INDEX(DB!Q$2:Q$2576,T1938),"")</f>
        <v/>
      </c>
      <c r="K1938" s="43"/>
      <c r="L1938" s="41" t="str" cm="1">
        <f t="array" ref="L1938">IFERROR(INDEX(DB!R$2:R$2576,T1938),"")</f>
        <v/>
      </c>
      <c r="M1938" s="43"/>
      <c r="P1938" t="str" cm="1">
        <f t="array" ref="P1938">IFERROR(_xlfn.AGGREGATE(15,6,ROW(DB!A$2:A$2576)/((($D$3&lt;&gt;"YES")+($D$3="YES")*(DB!E$2:E$2576="YES"))*(($D$4="")+($D$4&lt;&gt;"")*( DB!B$2:B$2576=$D$4))*(($D$5="")+($D$5&lt;&gt;"")*( DB!C$2:C$2576=$D$5))*(($D$6="")+($D$6&lt;&gt;"")*( DB!D$2:D$2576=$D$6))*(($D$7="")+($D$7&lt;&gt;"")*(ISNUMBER(SEARCH($D$7,DB!G$2:G$2576))))*(($F$7="전체")+($F$7&lt;&gt;"전체")*(DB!H$2:H$2576=$F$7))),ROW()-13)-1,"")</f>
        <v/>
      </c>
      <c r="Q1938" t="str" cm="1">
        <f t="array" ref="Q1938">IFERROR(INDEX(DB!G$2:G$2576,P1938),"")</f>
        <v/>
      </c>
      <c r="R1938" t="str" cm="1">
        <f t="array" ref="R1938">IFERROR(INDEX(DB!O$2:O$2576,P1938),"")</f>
        <v/>
      </c>
      <c r="S1938" t="str">
        <f t="shared" si="93"/>
        <v/>
      </c>
      <c r="T1938" t="str">
        <f t="shared" si="94"/>
        <v/>
      </c>
    </row>
    <row r="1939" spans="1:20" ht="100" customHeight="1">
      <c r="A1939" s="26"/>
      <c r="B1939" s="42" t="str">
        <f t="shared" si="92"/>
        <v/>
      </c>
      <c r="C1939" s="43"/>
      <c r="D1939" s="51" t="str" cm="1">
        <f t="array" ref="D1939">IFERROR(INDEX(DB!G$2:G$2576,T1939),"")</f>
        <v/>
      </c>
      <c r="E1939" s="43"/>
      <c r="F1939" s="52" t="str" cm="1">
        <f t="array" ref="F1939">IFERROR(INDEX(DB!O$2:O$2576,T1939),"")</f>
        <v/>
      </c>
      <c r="G1939" s="43"/>
      <c r="H1939" s="40" t="str" cm="1">
        <f t="array" ref="H1939">IFERROR(INDEX(DB!P$2:P$2576,T1939),"")</f>
        <v/>
      </c>
      <c r="I1939" s="43"/>
      <c r="J1939" s="53" t="str" cm="1">
        <f t="array" ref="J1939">IFERROR(INDEX(DB!Q$2:Q$2576,T1939),"")</f>
        <v/>
      </c>
      <c r="K1939" s="43"/>
      <c r="L1939" s="41" t="str" cm="1">
        <f t="array" ref="L1939">IFERROR(INDEX(DB!R$2:R$2576,T1939),"")</f>
        <v/>
      </c>
      <c r="M1939" s="43"/>
      <c r="P1939" t="str" cm="1">
        <f t="array" ref="P1939">IFERROR(_xlfn.AGGREGATE(15,6,ROW(DB!A$2:A$2576)/((($D$3&lt;&gt;"YES")+($D$3="YES")*(DB!E$2:E$2576="YES"))*(($D$4="")+($D$4&lt;&gt;"")*( DB!B$2:B$2576=$D$4))*(($D$5="")+($D$5&lt;&gt;"")*( DB!C$2:C$2576=$D$5))*(($D$6="")+($D$6&lt;&gt;"")*( DB!D$2:D$2576=$D$6))*(($D$7="")+($D$7&lt;&gt;"")*(ISNUMBER(SEARCH($D$7,DB!G$2:G$2576))))*(($F$7="전체")+($F$7&lt;&gt;"전체")*(DB!H$2:H$2576=$F$7))),ROW()-13)-1,"")</f>
        <v/>
      </c>
      <c r="Q1939" t="str" cm="1">
        <f t="array" ref="Q1939">IFERROR(INDEX(DB!G$2:G$2576,P1939),"")</f>
        <v/>
      </c>
      <c r="R1939" t="str" cm="1">
        <f t="array" ref="R1939">IFERROR(INDEX(DB!O$2:O$2576,P1939),"")</f>
        <v/>
      </c>
      <c r="S1939" t="str">
        <f t="shared" si="93"/>
        <v/>
      </c>
      <c r="T1939" t="str">
        <f t="shared" si="94"/>
        <v/>
      </c>
    </row>
    <row r="1940" spans="1:20" ht="100" customHeight="1">
      <c r="A1940" s="26"/>
      <c r="B1940" s="39" t="str">
        <f t="shared" si="92"/>
        <v/>
      </c>
      <c r="C1940" s="43"/>
      <c r="D1940" s="51" t="str" cm="1">
        <f t="array" ref="D1940">IFERROR(INDEX(DB!G$2:G$2576,T1940),"")</f>
        <v/>
      </c>
      <c r="E1940" s="43"/>
      <c r="F1940" s="52" t="str" cm="1">
        <f t="array" ref="F1940">IFERROR(INDEX(DB!O$2:O$2576,T1940),"")</f>
        <v/>
      </c>
      <c r="G1940" s="43"/>
      <c r="H1940" s="40" t="str" cm="1">
        <f t="array" ref="H1940">IFERROR(INDEX(DB!P$2:P$2576,T1940),"")</f>
        <v/>
      </c>
      <c r="I1940" s="43"/>
      <c r="J1940" s="53" t="str" cm="1">
        <f t="array" ref="J1940">IFERROR(INDEX(DB!Q$2:Q$2576,T1940),"")</f>
        <v/>
      </c>
      <c r="K1940" s="43"/>
      <c r="L1940" s="41" t="str" cm="1">
        <f t="array" ref="L1940">IFERROR(INDEX(DB!R$2:R$2576,T1940),"")</f>
        <v/>
      </c>
      <c r="M1940" s="43"/>
      <c r="P1940" t="str" cm="1">
        <f t="array" ref="P1940">IFERROR(_xlfn.AGGREGATE(15,6,ROW(DB!A$2:A$2576)/((($D$3&lt;&gt;"YES")+($D$3="YES")*(DB!E$2:E$2576="YES"))*(($D$4="")+($D$4&lt;&gt;"")*( DB!B$2:B$2576=$D$4))*(($D$5="")+($D$5&lt;&gt;"")*( DB!C$2:C$2576=$D$5))*(($D$6="")+($D$6&lt;&gt;"")*( DB!D$2:D$2576=$D$6))*(($D$7="")+($D$7&lt;&gt;"")*(ISNUMBER(SEARCH($D$7,DB!G$2:G$2576))))*(($F$7="전체")+($F$7&lt;&gt;"전체")*(DB!H$2:H$2576=$F$7))),ROW()-13)-1,"")</f>
        <v/>
      </c>
      <c r="Q1940" t="str" cm="1">
        <f t="array" ref="Q1940">IFERROR(INDEX(DB!G$2:G$2576,P1940),"")</f>
        <v/>
      </c>
      <c r="R1940" t="str" cm="1">
        <f t="array" ref="R1940">IFERROR(INDEX(DB!O$2:O$2576,P1940),"")</f>
        <v/>
      </c>
      <c r="S1940" t="str">
        <f t="shared" si="93"/>
        <v/>
      </c>
      <c r="T1940" t="str">
        <f t="shared" si="94"/>
        <v/>
      </c>
    </row>
    <row r="1941" spans="1:20" ht="100" customHeight="1">
      <c r="A1941" s="26"/>
      <c r="B1941" s="42" t="str">
        <f t="shared" si="92"/>
        <v/>
      </c>
      <c r="C1941" s="43"/>
      <c r="D1941" s="51" t="str" cm="1">
        <f t="array" ref="D1941">IFERROR(INDEX(DB!G$2:G$2576,T1941),"")</f>
        <v/>
      </c>
      <c r="E1941" s="43"/>
      <c r="F1941" s="52" t="str" cm="1">
        <f t="array" ref="F1941">IFERROR(INDEX(DB!O$2:O$2576,T1941),"")</f>
        <v/>
      </c>
      <c r="G1941" s="43"/>
      <c r="H1941" s="40" t="str" cm="1">
        <f t="array" ref="H1941">IFERROR(INDEX(DB!P$2:P$2576,T1941),"")</f>
        <v/>
      </c>
      <c r="I1941" s="43"/>
      <c r="J1941" s="53" t="str" cm="1">
        <f t="array" ref="J1941">IFERROR(INDEX(DB!Q$2:Q$2576,T1941),"")</f>
        <v/>
      </c>
      <c r="K1941" s="43"/>
      <c r="L1941" s="41" t="str" cm="1">
        <f t="array" ref="L1941">IFERROR(INDEX(DB!R$2:R$2576,T1941),"")</f>
        <v/>
      </c>
      <c r="M1941" s="43"/>
      <c r="P1941" t="str" cm="1">
        <f t="array" ref="P1941">IFERROR(_xlfn.AGGREGATE(15,6,ROW(DB!A$2:A$2576)/((($D$3&lt;&gt;"YES")+($D$3="YES")*(DB!E$2:E$2576="YES"))*(($D$4="")+($D$4&lt;&gt;"")*( DB!B$2:B$2576=$D$4))*(($D$5="")+($D$5&lt;&gt;"")*( DB!C$2:C$2576=$D$5))*(($D$6="")+($D$6&lt;&gt;"")*( DB!D$2:D$2576=$D$6))*(($D$7="")+($D$7&lt;&gt;"")*(ISNUMBER(SEARCH($D$7,DB!G$2:G$2576))))*(($F$7="전체")+($F$7&lt;&gt;"전체")*(DB!H$2:H$2576=$F$7))),ROW()-13)-1,"")</f>
        <v/>
      </c>
      <c r="Q1941" t="str" cm="1">
        <f t="array" ref="Q1941">IFERROR(INDEX(DB!G$2:G$2576,P1941),"")</f>
        <v/>
      </c>
      <c r="R1941" t="str" cm="1">
        <f t="array" ref="R1941">IFERROR(INDEX(DB!O$2:O$2576,P1941),"")</f>
        <v/>
      </c>
      <c r="S1941" t="str">
        <f t="shared" si="93"/>
        <v/>
      </c>
      <c r="T1941" t="str">
        <f t="shared" si="94"/>
        <v/>
      </c>
    </row>
    <row r="1942" spans="1:20" ht="100" customHeight="1">
      <c r="A1942" s="26"/>
      <c r="B1942" s="39" t="str">
        <f t="shared" si="92"/>
        <v/>
      </c>
      <c r="C1942" s="43"/>
      <c r="D1942" s="51" t="str" cm="1">
        <f t="array" ref="D1942">IFERROR(INDEX(DB!G$2:G$2576,T1942),"")</f>
        <v/>
      </c>
      <c r="E1942" s="43"/>
      <c r="F1942" s="52" t="str" cm="1">
        <f t="array" ref="F1942">IFERROR(INDEX(DB!O$2:O$2576,T1942),"")</f>
        <v/>
      </c>
      <c r="G1942" s="43"/>
      <c r="H1942" s="40" t="str" cm="1">
        <f t="array" ref="H1942">IFERROR(INDEX(DB!P$2:P$2576,T1942),"")</f>
        <v/>
      </c>
      <c r="I1942" s="43"/>
      <c r="J1942" s="53" t="str" cm="1">
        <f t="array" ref="J1942">IFERROR(INDEX(DB!Q$2:Q$2576,T1942),"")</f>
        <v/>
      </c>
      <c r="K1942" s="43"/>
      <c r="L1942" s="41" t="str" cm="1">
        <f t="array" ref="L1942">IFERROR(INDEX(DB!R$2:R$2576,T1942),"")</f>
        <v/>
      </c>
      <c r="M1942" s="43"/>
      <c r="P1942" t="str" cm="1">
        <f t="array" ref="P1942">IFERROR(_xlfn.AGGREGATE(15,6,ROW(DB!A$2:A$2576)/((($D$3&lt;&gt;"YES")+($D$3="YES")*(DB!E$2:E$2576="YES"))*(($D$4="")+($D$4&lt;&gt;"")*( DB!B$2:B$2576=$D$4))*(($D$5="")+($D$5&lt;&gt;"")*( DB!C$2:C$2576=$D$5))*(($D$6="")+($D$6&lt;&gt;"")*( DB!D$2:D$2576=$D$6))*(($D$7="")+($D$7&lt;&gt;"")*(ISNUMBER(SEARCH($D$7,DB!G$2:G$2576))))*(($F$7="전체")+($F$7&lt;&gt;"전체")*(DB!H$2:H$2576=$F$7))),ROW()-13)-1,"")</f>
        <v/>
      </c>
      <c r="Q1942" t="str" cm="1">
        <f t="array" ref="Q1942">IFERROR(INDEX(DB!G$2:G$2576,P1942),"")</f>
        <v/>
      </c>
      <c r="R1942" t="str" cm="1">
        <f t="array" ref="R1942">IFERROR(INDEX(DB!O$2:O$2576,P1942),"")</f>
        <v/>
      </c>
      <c r="S1942" t="str">
        <f t="shared" si="93"/>
        <v/>
      </c>
      <c r="T1942" t="str">
        <f t="shared" si="94"/>
        <v/>
      </c>
    </row>
    <row r="1943" spans="1:20" ht="100" customHeight="1">
      <c r="A1943" s="26"/>
      <c r="B1943" s="42" t="str">
        <f t="shared" si="92"/>
        <v/>
      </c>
      <c r="C1943" s="43"/>
      <c r="D1943" s="51" t="str" cm="1">
        <f t="array" ref="D1943">IFERROR(INDEX(DB!G$2:G$2576,T1943),"")</f>
        <v/>
      </c>
      <c r="E1943" s="43"/>
      <c r="F1943" s="52" t="str" cm="1">
        <f t="array" ref="F1943">IFERROR(INDEX(DB!O$2:O$2576,T1943),"")</f>
        <v/>
      </c>
      <c r="G1943" s="43"/>
      <c r="H1943" s="40" t="str" cm="1">
        <f t="array" ref="H1943">IFERROR(INDEX(DB!P$2:P$2576,T1943),"")</f>
        <v/>
      </c>
      <c r="I1943" s="43"/>
      <c r="J1943" s="53" t="str" cm="1">
        <f t="array" ref="J1943">IFERROR(INDEX(DB!Q$2:Q$2576,T1943),"")</f>
        <v/>
      </c>
      <c r="K1943" s="43"/>
      <c r="L1943" s="41" t="str" cm="1">
        <f t="array" ref="L1943">IFERROR(INDEX(DB!R$2:R$2576,T1943),"")</f>
        <v/>
      </c>
      <c r="M1943" s="43"/>
      <c r="P1943" t="str" cm="1">
        <f t="array" ref="P1943">IFERROR(_xlfn.AGGREGATE(15,6,ROW(DB!A$2:A$2576)/((($D$3&lt;&gt;"YES")+($D$3="YES")*(DB!E$2:E$2576="YES"))*(($D$4="")+($D$4&lt;&gt;"")*( DB!B$2:B$2576=$D$4))*(($D$5="")+($D$5&lt;&gt;"")*( DB!C$2:C$2576=$D$5))*(($D$6="")+($D$6&lt;&gt;"")*( DB!D$2:D$2576=$D$6))*(($D$7="")+($D$7&lt;&gt;"")*(ISNUMBER(SEARCH($D$7,DB!G$2:G$2576))))*(($F$7="전체")+($F$7&lt;&gt;"전체")*(DB!H$2:H$2576=$F$7))),ROW()-13)-1,"")</f>
        <v/>
      </c>
      <c r="Q1943" t="str" cm="1">
        <f t="array" ref="Q1943">IFERROR(INDEX(DB!G$2:G$2576,P1943),"")</f>
        <v/>
      </c>
      <c r="R1943" t="str" cm="1">
        <f t="array" ref="R1943">IFERROR(INDEX(DB!O$2:O$2576,P1943),"")</f>
        <v/>
      </c>
      <c r="S1943" t="str">
        <f t="shared" si="93"/>
        <v/>
      </c>
      <c r="T1943" t="str">
        <f t="shared" si="94"/>
        <v/>
      </c>
    </row>
    <row r="1944" spans="1:20" ht="100" customHeight="1">
      <c r="A1944" s="26"/>
      <c r="B1944" s="39" t="str">
        <f t="shared" si="92"/>
        <v/>
      </c>
      <c r="C1944" s="43"/>
      <c r="D1944" s="51" t="str" cm="1">
        <f t="array" ref="D1944">IFERROR(INDEX(DB!G$2:G$2576,T1944),"")</f>
        <v/>
      </c>
      <c r="E1944" s="43"/>
      <c r="F1944" s="52" t="str" cm="1">
        <f t="array" ref="F1944">IFERROR(INDEX(DB!O$2:O$2576,T1944),"")</f>
        <v/>
      </c>
      <c r="G1944" s="43"/>
      <c r="H1944" s="40" t="str" cm="1">
        <f t="array" ref="H1944">IFERROR(INDEX(DB!P$2:P$2576,T1944),"")</f>
        <v/>
      </c>
      <c r="I1944" s="43"/>
      <c r="J1944" s="53" t="str" cm="1">
        <f t="array" ref="J1944">IFERROR(INDEX(DB!Q$2:Q$2576,T1944),"")</f>
        <v/>
      </c>
      <c r="K1944" s="43"/>
      <c r="L1944" s="41" t="str" cm="1">
        <f t="array" ref="L1944">IFERROR(INDEX(DB!R$2:R$2576,T1944),"")</f>
        <v/>
      </c>
      <c r="M1944" s="43"/>
      <c r="P1944" t="str" cm="1">
        <f t="array" ref="P1944">IFERROR(_xlfn.AGGREGATE(15,6,ROW(DB!A$2:A$2576)/((($D$3&lt;&gt;"YES")+($D$3="YES")*(DB!E$2:E$2576="YES"))*(($D$4="")+($D$4&lt;&gt;"")*( DB!B$2:B$2576=$D$4))*(($D$5="")+($D$5&lt;&gt;"")*( DB!C$2:C$2576=$D$5))*(($D$6="")+($D$6&lt;&gt;"")*( DB!D$2:D$2576=$D$6))*(($D$7="")+($D$7&lt;&gt;"")*(ISNUMBER(SEARCH($D$7,DB!G$2:G$2576))))*(($F$7="전체")+($F$7&lt;&gt;"전체")*(DB!H$2:H$2576=$F$7))),ROW()-13)-1,"")</f>
        <v/>
      </c>
      <c r="Q1944" t="str" cm="1">
        <f t="array" ref="Q1944">IFERROR(INDEX(DB!G$2:G$2576,P1944),"")</f>
        <v/>
      </c>
      <c r="R1944" t="str" cm="1">
        <f t="array" ref="R1944">IFERROR(INDEX(DB!O$2:O$2576,P1944),"")</f>
        <v/>
      </c>
      <c r="S1944" t="str">
        <f t="shared" si="93"/>
        <v/>
      </c>
      <c r="T1944" t="str">
        <f t="shared" si="94"/>
        <v/>
      </c>
    </row>
    <row r="1945" spans="1:20" ht="100" customHeight="1">
      <c r="A1945" s="26"/>
      <c r="B1945" s="42" t="str">
        <f t="shared" si="92"/>
        <v/>
      </c>
      <c r="C1945" s="43"/>
      <c r="D1945" s="51" t="str" cm="1">
        <f t="array" ref="D1945">IFERROR(INDEX(DB!G$2:G$2576,T1945),"")</f>
        <v/>
      </c>
      <c r="E1945" s="43"/>
      <c r="F1945" s="52" t="str" cm="1">
        <f t="array" ref="F1945">IFERROR(INDEX(DB!O$2:O$2576,T1945),"")</f>
        <v/>
      </c>
      <c r="G1945" s="43"/>
      <c r="H1945" s="40" t="str" cm="1">
        <f t="array" ref="H1945">IFERROR(INDEX(DB!P$2:P$2576,T1945),"")</f>
        <v/>
      </c>
      <c r="I1945" s="43"/>
      <c r="J1945" s="53" t="str" cm="1">
        <f t="array" ref="J1945">IFERROR(INDEX(DB!Q$2:Q$2576,T1945),"")</f>
        <v/>
      </c>
      <c r="K1945" s="43"/>
      <c r="L1945" s="41" t="str" cm="1">
        <f t="array" ref="L1945">IFERROR(INDEX(DB!R$2:R$2576,T1945),"")</f>
        <v/>
      </c>
      <c r="M1945" s="43"/>
      <c r="P1945" t="str" cm="1">
        <f t="array" ref="P1945">IFERROR(_xlfn.AGGREGATE(15,6,ROW(DB!A$2:A$2576)/((($D$3&lt;&gt;"YES")+($D$3="YES")*(DB!E$2:E$2576="YES"))*(($D$4="")+($D$4&lt;&gt;"")*( DB!B$2:B$2576=$D$4))*(($D$5="")+($D$5&lt;&gt;"")*( DB!C$2:C$2576=$D$5))*(($D$6="")+($D$6&lt;&gt;"")*( DB!D$2:D$2576=$D$6))*(($D$7="")+($D$7&lt;&gt;"")*(ISNUMBER(SEARCH($D$7,DB!G$2:G$2576))))*(($F$7="전체")+($F$7&lt;&gt;"전체")*(DB!H$2:H$2576=$F$7))),ROW()-13)-1,"")</f>
        <v/>
      </c>
      <c r="Q1945" t="str" cm="1">
        <f t="array" ref="Q1945">IFERROR(INDEX(DB!G$2:G$2576,P1945),"")</f>
        <v/>
      </c>
      <c r="R1945" t="str" cm="1">
        <f t="array" ref="R1945">IFERROR(INDEX(DB!O$2:O$2576,P1945),"")</f>
        <v/>
      </c>
      <c r="S1945" t="str">
        <f t="shared" si="93"/>
        <v/>
      </c>
      <c r="T1945" t="str">
        <f t="shared" si="94"/>
        <v/>
      </c>
    </row>
    <row r="1946" spans="1:20" ht="100" customHeight="1">
      <c r="A1946" s="26"/>
      <c r="B1946" s="39" t="str">
        <f t="shared" si="92"/>
        <v/>
      </c>
      <c r="C1946" s="43"/>
      <c r="D1946" s="51" t="str" cm="1">
        <f t="array" ref="D1946">IFERROR(INDEX(DB!G$2:G$2576,T1946),"")</f>
        <v/>
      </c>
      <c r="E1946" s="43"/>
      <c r="F1946" s="52" t="str" cm="1">
        <f t="array" ref="F1946">IFERROR(INDEX(DB!O$2:O$2576,T1946),"")</f>
        <v/>
      </c>
      <c r="G1946" s="43"/>
      <c r="H1946" s="40" t="str" cm="1">
        <f t="array" ref="H1946">IFERROR(INDEX(DB!P$2:P$2576,T1946),"")</f>
        <v/>
      </c>
      <c r="I1946" s="43"/>
      <c r="J1946" s="53" t="str" cm="1">
        <f t="array" ref="J1946">IFERROR(INDEX(DB!Q$2:Q$2576,T1946),"")</f>
        <v/>
      </c>
      <c r="K1946" s="43"/>
      <c r="L1946" s="41" t="str" cm="1">
        <f t="array" ref="L1946">IFERROR(INDEX(DB!R$2:R$2576,T1946),"")</f>
        <v/>
      </c>
      <c r="M1946" s="43"/>
      <c r="P1946" t="str" cm="1">
        <f t="array" ref="P1946">IFERROR(_xlfn.AGGREGATE(15,6,ROW(DB!A$2:A$2576)/((($D$3&lt;&gt;"YES")+($D$3="YES")*(DB!E$2:E$2576="YES"))*(($D$4="")+($D$4&lt;&gt;"")*( DB!B$2:B$2576=$D$4))*(($D$5="")+($D$5&lt;&gt;"")*( DB!C$2:C$2576=$D$5))*(($D$6="")+($D$6&lt;&gt;"")*( DB!D$2:D$2576=$D$6))*(($D$7="")+($D$7&lt;&gt;"")*(ISNUMBER(SEARCH($D$7,DB!G$2:G$2576))))*(($F$7="전체")+($F$7&lt;&gt;"전체")*(DB!H$2:H$2576=$F$7))),ROW()-13)-1,"")</f>
        <v/>
      </c>
      <c r="Q1946" t="str" cm="1">
        <f t="array" ref="Q1946">IFERROR(INDEX(DB!G$2:G$2576,P1946),"")</f>
        <v/>
      </c>
      <c r="R1946" t="str" cm="1">
        <f t="array" ref="R1946">IFERROR(INDEX(DB!O$2:O$2576,P1946),"")</f>
        <v/>
      </c>
      <c r="S1946" t="str">
        <f t="shared" si="93"/>
        <v/>
      </c>
      <c r="T1946" t="str">
        <f t="shared" si="94"/>
        <v/>
      </c>
    </row>
    <row r="1947" spans="1:20" ht="100" customHeight="1">
      <c r="A1947" s="26"/>
      <c r="B1947" s="42" t="str">
        <f t="shared" si="92"/>
        <v/>
      </c>
      <c r="C1947" s="43"/>
      <c r="D1947" s="51" t="str" cm="1">
        <f t="array" ref="D1947">IFERROR(INDEX(DB!G$2:G$2576,T1947),"")</f>
        <v/>
      </c>
      <c r="E1947" s="43"/>
      <c r="F1947" s="52" t="str" cm="1">
        <f t="array" ref="F1947">IFERROR(INDEX(DB!O$2:O$2576,T1947),"")</f>
        <v/>
      </c>
      <c r="G1947" s="43"/>
      <c r="H1947" s="40" t="str" cm="1">
        <f t="array" ref="H1947">IFERROR(INDEX(DB!P$2:P$2576,T1947),"")</f>
        <v/>
      </c>
      <c r="I1947" s="43"/>
      <c r="J1947" s="53" t="str" cm="1">
        <f t="array" ref="J1947">IFERROR(INDEX(DB!Q$2:Q$2576,T1947),"")</f>
        <v/>
      </c>
      <c r="K1947" s="43"/>
      <c r="L1947" s="41" t="str" cm="1">
        <f t="array" ref="L1947">IFERROR(INDEX(DB!R$2:R$2576,T1947),"")</f>
        <v/>
      </c>
      <c r="M1947" s="43"/>
      <c r="P1947" t="str" cm="1">
        <f t="array" ref="P1947">IFERROR(_xlfn.AGGREGATE(15,6,ROW(DB!A$2:A$2576)/((($D$3&lt;&gt;"YES")+($D$3="YES")*(DB!E$2:E$2576="YES"))*(($D$4="")+($D$4&lt;&gt;"")*( DB!B$2:B$2576=$D$4))*(($D$5="")+($D$5&lt;&gt;"")*( DB!C$2:C$2576=$D$5))*(($D$6="")+($D$6&lt;&gt;"")*( DB!D$2:D$2576=$D$6))*(($D$7="")+($D$7&lt;&gt;"")*(ISNUMBER(SEARCH($D$7,DB!G$2:G$2576))))*(($F$7="전체")+($F$7&lt;&gt;"전체")*(DB!H$2:H$2576=$F$7))),ROW()-13)-1,"")</f>
        <v/>
      </c>
      <c r="Q1947" t="str" cm="1">
        <f t="array" ref="Q1947">IFERROR(INDEX(DB!G$2:G$2576,P1947),"")</f>
        <v/>
      </c>
      <c r="R1947" t="str" cm="1">
        <f t="array" ref="R1947">IFERROR(INDEX(DB!O$2:O$2576,P1947),"")</f>
        <v/>
      </c>
      <c r="S1947" t="str">
        <f t="shared" si="93"/>
        <v/>
      </c>
      <c r="T1947" t="str">
        <f t="shared" si="94"/>
        <v/>
      </c>
    </row>
    <row r="1948" spans="1:20" ht="100" customHeight="1">
      <c r="A1948" s="26"/>
      <c r="B1948" s="39" t="str">
        <f t="shared" si="92"/>
        <v/>
      </c>
      <c r="C1948" s="43"/>
      <c r="D1948" s="51" t="str" cm="1">
        <f t="array" ref="D1948">IFERROR(INDEX(DB!G$2:G$2576,T1948),"")</f>
        <v/>
      </c>
      <c r="E1948" s="43"/>
      <c r="F1948" s="52" t="str" cm="1">
        <f t="array" ref="F1948">IFERROR(INDEX(DB!O$2:O$2576,T1948),"")</f>
        <v/>
      </c>
      <c r="G1948" s="43"/>
      <c r="H1948" s="40" t="str" cm="1">
        <f t="array" ref="H1948">IFERROR(INDEX(DB!P$2:P$2576,T1948),"")</f>
        <v/>
      </c>
      <c r="I1948" s="43"/>
      <c r="J1948" s="53" t="str" cm="1">
        <f t="array" ref="J1948">IFERROR(INDEX(DB!Q$2:Q$2576,T1948),"")</f>
        <v/>
      </c>
      <c r="K1948" s="43"/>
      <c r="L1948" s="41" t="str" cm="1">
        <f t="array" ref="L1948">IFERROR(INDEX(DB!R$2:R$2576,T1948),"")</f>
        <v/>
      </c>
      <c r="M1948" s="43"/>
      <c r="P1948" t="str" cm="1">
        <f t="array" ref="P1948">IFERROR(_xlfn.AGGREGATE(15,6,ROW(DB!A$2:A$2576)/((($D$3&lt;&gt;"YES")+($D$3="YES")*(DB!E$2:E$2576="YES"))*(($D$4="")+($D$4&lt;&gt;"")*( DB!B$2:B$2576=$D$4))*(($D$5="")+($D$5&lt;&gt;"")*( DB!C$2:C$2576=$D$5))*(($D$6="")+($D$6&lt;&gt;"")*( DB!D$2:D$2576=$D$6))*(($D$7="")+($D$7&lt;&gt;"")*(ISNUMBER(SEARCH($D$7,DB!G$2:G$2576))))*(($F$7="전체")+($F$7&lt;&gt;"전체")*(DB!H$2:H$2576=$F$7))),ROW()-13)-1,"")</f>
        <v/>
      </c>
      <c r="Q1948" t="str" cm="1">
        <f t="array" ref="Q1948">IFERROR(INDEX(DB!G$2:G$2576,P1948),"")</f>
        <v/>
      </c>
      <c r="R1948" t="str" cm="1">
        <f t="array" ref="R1948">IFERROR(INDEX(DB!O$2:O$2576,P1948),"")</f>
        <v/>
      </c>
      <c r="S1948" t="str">
        <f t="shared" si="93"/>
        <v/>
      </c>
      <c r="T1948" t="str">
        <f t="shared" si="94"/>
        <v/>
      </c>
    </row>
    <row r="1949" spans="1:20" ht="100" customHeight="1">
      <c r="A1949" s="26"/>
      <c r="B1949" s="42" t="str">
        <f t="shared" si="92"/>
        <v/>
      </c>
      <c r="C1949" s="43"/>
      <c r="D1949" s="51" t="str" cm="1">
        <f t="array" ref="D1949">IFERROR(INDEX(DB!G$2:G$2576,T1949),"")</f>
        <v/>
      </c>
      <c r="E1949" s="43"/>
      <c r="F1949" s="52" t="str" cm="1">
        <f t="array" ref="F1949">IFERROR(INDEX(DB!O$2:O$2576,T1949),"")</f>
        <v/>
      </c>
      <c r="G1949" s="43"/>
      <c r="H1949" s="40" t="str" cm="1">
        <f t="array" ref="H1949">IFERROR(INDEX(DB!P$2:P$2576,T1949),"")</f>
        <v/>
      </c>
      <c r="I1949" s="43"/>
      <c r="J1949" s="53" t="str" cm="1">
        <f t="array" ref="J1949">IFERROR(INDEX(DB!Q$2:Q$2576,T1949),"")</f>
        <v/>
      </c>
      <c r="K1949" s="43"/>
      <c r="L1949" s="41" t="str" cm="1">
        <f t="array" ref="L1949">IFERROR(INDEX(DB!R$2:R$2576,T1949),"")</f>
        <v/>
      </c>
      <c r="M1949" s="43"/>
      <c r="P1949" t="str" cm="1">
        <f t="array" ref="P1949">IFERROR(_xlfn.AGGREGATE(15,6,ROW(DB!A$2:A$2576)/((($D$3&lt;&gt;"YES")+($D$3="YES")*(DB!E$2:E$2576="YES"))*(($D$4="")+($D$4&lt;&gt;"")*( DB!B$2:B$2576=$D$4))*(($D$5="")+($D$5&lt;&gt;"")*( DB!C$2:C$2576=$D$5))*(($D$6="")+($D$6&lt;&gt;"")*( DB!D$2:D$2576=$D$6))*(($D$7="")+($D$7&lt;&gt;"")*(ISNUMBER(SEARCH($D$7,DB!G$2:G$2576))))*(($F$7="전체")+($F$7&lt;&gt;"전체")*(DB!H$2:H$2576=$F$7))),ROW()-13)-1,"")</f>
        <v/>
      </c>
      <c r="Q1949" t="str" cm="1">
        <f t="array" ref="Q1949">IFERROR(INDEX(DB!G$2:G$2576,P1949),"")</f>
        <v/>
      </c>
      <c r="R1949" t="str" cm="1">
        <f t="array" ref="R1949">IFERROR(INDEX(DB!O$2:O$2576,P1949),"")</f>
        <v/>
      </c>
      <c r="S1949" t="str">
        <f t="shared" si="93"/>
        <v/>
      </c>
      <c r="T1949" t="str">
        <f t="shared" si="94"/>
        <v/>
      </c>
    </row>
    <row r="1950" spans="1:20" ht="100" customHeight="1">
      <c r="A1950" s="26"/>
      <c r="B1950" s="39" t="str">
        <f t="shared" si="92"/>
        <v/>
      </c>
      <c r="C1950" s="43"/>
      <c r="D1950" s="51" t="str" cm="1">
        <f t="array" ref="D1950">IFERROR(INDEX(DB!G$2:G$2576,T1950),"")</f>
        <v/>
      </c>
      <c r="E1950" s="43"/>
      <c r="F1950" s="52" t="str" cm="1">
        <f t="array" ref="F1950">IFERROR(INDEX(DB!O$2:O$2576,T1950),"")</f>
        <v/>
      </c>
      <c r="G1950" s="43"/>
      <c r="H1950" s="40" t="str" cm="1">
        <f t="array" ref="H1950">IFERROR(INDEX(DB!P$2:P$2576,T1950),"")</f>
        <v/>
      </c>
      <c r="I1950" s="43"/>
      <c r="J1950" s="53" t="str" cm="1">
        <f t="array" ref="J1950">IFERROR(INDEX(DB!Q$2:Q$2576,T1950),"")</f>
        <v/>
      </c>
      <c r="K1950" s="43"/>
      <c r="L1950" s="41" t="str" cm="1">
        <f t="array" ref="L1950">IFERROR(INDEX(DB!R$2:R$2576,T1950),"")</f>
        <v/>
      </c>
      <c r="M1950" s="43"/>
      <c r="P1950" t="str" cm="1">
        <f t="array" ref="P1950">IFERROR(_xlfn.AGGREGATE(15,6,ROW(DB!A$2:A$2576)/((($D$3&lt;&gt;"YES")+($D$3="YES")*(DB!E$2:E$2576="YES"))*(($D$4="")+($D$4&lt;&gt;"")*( DB!B$2:B$2576=$D$4))*(($D$5="")+($D$5&lt;&gt;"")*( DB!C$2:C$2576=$D$5))*(($D$6="")+($D$6&lt;&gt;"")*( DB!D$2:D$2576=$D$6))*(($D$7="")+($D$7&lt;&gt;"")*(ISNUMBER(SEARCH($D$7,DB!G$2:G$2576))))*(($F$7="전체")+($F$7&lt;&gt;"전체")*(DB!H$2:H$2576=$F$7))),ROW()-13)-1,"")</f>
        <v/>
      </c>
      <c r="Q1950" t="str" cm="1">
        <f t="array" ref="Q1950">IFERROR(INDEX(DB!G$2:G$2576,P1950),"")</f>
        <v/>
      </c>
      <c r="R1950" t="str" cm="1">
        <f t="array" ref="R1950">IFERROR(INDEX(DB!O$2:O$2576,P1950),"")</f>
        <v/>
      </c>
      <c r="S1950" t="str">
        <f t="shared" si="93"/>
        <v/>
      </c>
      <c r="T1950" t="str">
        <f t="shared" si="94"/>
        <v/>
      </c>
    </row>
    <row r="1951" spans="1:20" ht="100" customHeight="1">
      <c r="A1951" s="26"/>
      <c r="B1951" s="42" t="str">
        <f t="shared" si="92"/>
        <v/>
      </c>
      <c r="C1951" s="43"/>
      <c r="D1951" s="51" t="str" cm="1">
        <f t="array" ref="D1951">IFERROR(INDEX(DB!G$2:G$2576,T1951),"")</f>
        <v/>
      </c>
      <c r="E1951" s="43"/>
      <c r="F1951" s="52" t="str" cm="1">
        <f t="array" ref="F1951">IFERROR(INDEX(DB!O$2:O$2576,T1951),"")</f>
        <v/>
      </c>
      <c r="G1951" s="43"/>
      <c r="H1951" s="40" t="str" cm="1">
        <f t="array" ref="H1951">IFERROR(INDEX(DB!P$2:P$2576,T1951),"")</f>
        <v/>
      </c>
      <c r="I1951" s="43"/>
      <c r="J1951" s="53" t="str" cm="1">
        <f t="array" ref="J1951">IFERROR(INDEX(DB!Q$2:Q$2576,T1951),"")</f>
        <v/>
      </c>
      <c r="K1951" s="43"/>
      <c r="L1951" s="41" t="str" cm="1">
        <f t="array" ref="L1951">IFERROR(INDEX(DB!R$2:R$2576,T1951),"")</f>
        <v/>
      </c>
      <c r="M1951" s="43"/>
      <c r="P1951" t="str" cm="1">
        <f t="array" ref="P1951">IFERROR(_xlfn.AGGREGATE(15,6,ROW(DB!A$2:A$2576)/((($D$3&lt;&gt;"YES")+($D$3="YES")*(DB!E$2:E$2576="YES"))*(($D$4="")+($D$4&lt;&gt;"")*( DB!B$2:B$2576=$D$4))*(($D$5="")+($D$5&lt;&gt;"")*( DB!C$2:C$2576=$D$5))*(($D$6="")+($D$6&lt;&gt;"")*( DB!D$2:D$2576=$D$6))*(($D$7="")+($D$7&lt;&gt;"")*(ISNUMBER(SEARCH($D$7,DB!G$2:G$2576))))*(($F$7="전체")+($F$7&lt;&gt;"전체")*(DB!H$2:H$2576=$F$7))),ROW()-13)-1,"")</f>
        <v/>
      </c>
      <c r="Q1951" t="str" cm="1">
        <f t="array" ref="Q1951">IFERROR(INDEX(DB!G$2:G$2576,P1951),"")</f>
        <v/>
      </c>
      <c r="R1951" t="str" cm="1">
        <f t="array" ref="R1951">IFERROR(INDEX(DB!O$2:O$2576,P1951),"")</f>
        <v/>
      </c>
      <c r="S1951" t="str">
        <f t="shared" si="93"/>
        <v/>
      </c>
      <c r="T1951" t="str">
        <f t="shared" si="94"/>
        <v/>
      </c>
    </row>
    <row r="1952" spans="1:20" ht="100" customHeight="1">
      <c r="A1952" s="26"/>
      <c r="B1952" s="39" t="str">
        <f t="shared" si="92"/>
        <v/>
      </c>
      <c r="C1952" s="43"/>
      <c r="D1952" s="51" t="str" cm="1">
        <f t="array" ref="D1952">IFERROR(INDEX(DB!G$2:G$2576,T1952),"")</f>
        <v/>
      </c>
      <c r="E1952" s="43"/>
      <c r="F1952" s="52" t="str" cm="1">
        <f t="array" ref="F1952">IFERROR(INDEX(DB!O$2:O$2576,T1952),"")</f>
        <v/>
      </c>
      <c r="G1952" s="43"/>
      <c r="H1952" s="40" t="str" cm="1">
        <f t="array" ref="H1952">IFERROR(INDEX(DB!P$2:P$2576,T1952),"")</f>
        <v/>
      </c>
      <c r="I1952" s="43"/>
      <c r="J1952" s="53" t="str" cm="1">
        <f t="array" ref="J1952">IFERROR(INDEX(DB!Q$2:Q$2576,T1952),"")</f>
        <v/>
      </c>
      <c r="K1952" s="43"/>
      <c r="L1952" s="41" t="str" cm="1">
        <f t="array" ref="L1952">IFERROR(INDEX(DB!R$2:R$2576,T1952),"")</f>
        <v/>
      </c>
      <c r="M1952" s="43"/>
      <c r="P1952" t="str" cm="1">
        <f t="array" ref="P1952">IFERROR(_xlfn.AGGREGATE(15,6,ROW(DB!A$2:A$2576)/((($D$3&lt;&gt;"YES")+($D$3="YES")*(DB!E$2:E$2576="YES"))*(($D$4="")+($D$4&lt;&gt;"")*( DB!B$2:B$2576=$D$4))*(($D$5="")+($D$5&lt;&gt;"")*( DB!C$2:C$2576=$D$5))*(($D$6="")+($D$6&lt;&gt;"")*( DB!D$2:D$2576=$D$6))*(($D$7="")+($D$7&lt;&gt;"")*(ISNUMBER(SEARCH($D$7,DB!G$2:G$2576))))*(($F$7="전체")+($F$7&lt;&gt;"전체")*(DB!H$2:H$2576=$F$7))),ROW()-13)-1,"")</f>
        <v/>
      </c>
      <c r="Q1952" t="str" cm="1">
        <f t="array" ref="Q1952">IFERROR(INDEX(DB!G$2:G$2576,P1952),"")</f>
        <v/>
      </c>
      <c r="R1952" t="str" cm="1">
        <f t="array" ref="R1952">IFERROR(INDEX(DB!O$2:O$2576,P1952),"")</f>
        <v/>
      </c>
      <c r="S1952" t="str">
        <f t="shared" si="93"/>
        <v/>
      </c>
      <c r="T1952" t="str">
        <f t="shared" si="94"/>
        <v/>
      </c>
    </row>
    <row r="1953" spans="1:20" ht="100" customHeight="1">
      <c r="A1953" s="26"/>
      <c r="B1953" s="42" t="str">
        <f t="shared" si="92"/>
        <v/>
      </c>
      <c r="C1953" s="43"/>
      <c r="D1953" s="51" t="str" cm="1">
        <f t="array" ref="D1953">IFERROR(INDEX(DB!G$2:G$2576,T1953),"")</f>
        <v/>
      </c>
      <c r="E1953" s="43"/>
      <c r="F1953" s="52" t="str" cm="1">
        <f t="array" ref="F1953">IFERROR(INDEX(DB!O$2:O$2576,T1953),"")</f>
        <v/>
      </c>
      <c r="G1953" s="43"/>
      <c r="H1953" s="40" t="str" cm="1">
        <f t="array" ref="H1953">IFERROR(INDEX(DB!P$2:P$2576,T1953),"")</f>
        <v/>
      </c>
      <c r="I1953" s="43"/>
      <c r="J1953" s="53" t="str" cm="1">
        <f t="array" ref="J1953">IFERROR(INDEX(DB!Q$2:Q$2576,T1953),"")</f>
        <v/>
      </c>
      <c r="K1953" s="43"/>
      <c r="L1953" s="41" t="str" cm="1">
        <f t="array" ref="L1953">IFERROR(INDEX(DB!R$2:R$2576,T1953),"")</f>
        <v/>
      </c>
      <c r="M1953" s="43"/>
      <c r="P1953" t="str" cm="1">
        <f t="array" ref="P1953">IFERROR(_xlfn.AGGREGATE(15,6,ROW(DB!A$2:A$2576)/((($D$3&lt;&gt;"YES")+($D$3="YES")*(DB!E$2:E$2576="YES"))*(($D$4="")+($D$4&lt;&gt;"")*( DB!B$2:B$2576=$D$4))*(($D$5="")+($D$5&lt;&gt;"")*( DB!C$2:C$2576=$D$5))*(($D$6="")+($D$6&lt;&gt;"")*( DB!D$2:D$2576=$D$6))*(($D$7="")+($D$7&lt;&gt;"")*(ISNUMBER(SEARCH($D$7,DB!G$2:G$2576))))*(($F$7="전체")+($F$7&lt;&gt;"전체")*(DB!H$2:H$2576=$F$7))),ROW()-13)-1,"")</f>
        <v/>
      </c>
      <c r="Q1953" t="str" cm="1">
        <f t="array" ref="Q1953">IFERROR(INDEX(DB!G$2:G$2576,P1953),"")</f>
        <v/>
      </c>
      <c r="R1953" t="str" cm="1">
        <f t="array" ref="R1953">IFERROR(INDEX(DB!O$2:O$2576,P1953),"")</f>
        <v/>
      </c>
      <c r="S1953" t="str">
        <f t="shared" si="93"/>
        <v/>
      </c>
      <c r="T1953" t="str">
        <f t="shared" si="94"/>
        <v/>
      </c>
    </row>
    <row r="1954" spans="1:20" ht="100" customHeight="1">
      <c r="A1954" s="26"/>
      <c r="B1954" s="39" t="str">
        <f t="shared" si="92"/>
        <v/>
      </c>
      <c r="C1954" s="43"/>
      <c r="D1954" s="51" t="str" cm="1">
        <f t="array" ref="D1954">IFERROR(INDEX(DB!G$2:G$2576,T1954),"")</f>
        <v/>
      </c>
      <c r="E1954" s="43"/>
      <c r="F1954" s="52" t="str" cm="1">
        <f t="array" ref="F1954">IFERROR(INDEX(DB!O$2:O$2576,T1954),"")</f>
        <v/>
      </c>
      <c r="G1954" s="43"/>
      <c r="H1954" s="40" t="str" cm="1">
        <f t="array" ref="H1954">IFERROR(INDEX(DB!P$2:P$2576,T1954),"")</f>
        <v/>
      </c>
      <c r="I1954" s="43"/>
      <c r="J1954" s="53" t="str" cm="1">
        <f t="array" ref="J1954">IFERROR(INDEX(DB!Q$2:Q$2576,T1954),"")</f>
        <v/>
      </c>
      <c r="K1954" s="43"/>
      <c r="L1954" s="41" t="str" cm="1">
        <f t="array" ref="L1954">IFERROR(INDEX(DB!R$2:R$2576,T1954),"")</f>
        <v/>
      </c>
      <c r="M1954" s="43"/>
      <c r="P1954" t="str" cm="1">
        <f t="array" ref="P1954">IFERROR(_xlfn.AGGREGATE(15,6,ROW(DB!A$2:A$2576)/((($D$3&lt;&gt;"YES")+($D$3="YES")*(DB!E$2:E$2576="YES"))*(($D$4="")+($D$4&lt;&gt;"")*( DB!B$2:B$2576=$D$4))*(($D$5="")+($D$5&lt;&gt;"")*( DB!C$2:C$2576=$D$5))*(($D$6="")+($D$6&lt;&gt;"")*( DB!D$2:D$2576=$D$6))*(($D$7="")+($D$7&lt;&gt;"")*(ISNUMBER(SEARCH($D$7,DB!G$2:G$2576))))*(($F$7="전체")+($F$7&lt;&gt;"전체")*(DB!H$2:H$2576=$F$7))),ROW()-13)-1,"")</f>
        <v/>
      </c>
      <c r="Q1954" t="str" cm="1">
        <f t="array" ref="Q1954">IFERROR(INDEX(DB!G$2:G$2576,P1954),"")</f>
        <v/>
      </c>
      <c r="R1954" t="str" cm="1">
        <f t="array" ref="R1954">IFERROR(INDEX(DB!O$2:O$2576,P1954),"")</f>
        <v/>
      </c>
      <c r="S1954" t="str">
        <f t="shared" si="93"/>
        <v/>
      </c>
      <c r="T1954" t="str">
        <f t="shared" si="94"/>
        <v/>
      </c>
    </row>
    <row r="1955" spans="1:20" ht="100" customHeight="1">
      <c r="A1955" s="26"/>
      <c r="B1955" s="42" t="str">
        <f t="shared" si="92"/>
        <v/>
      </c>
      <c r="C1955" s="43"/>
      <c r="D1955" s="51" t="str" cm="1">
        <f t="array" ref="D1955">IFERROR(INDEX(DB!G$2:G$2576,T1955),"")</f>
        <v/>
      </c>
      <c r="E1955" s="43"/>
      <c r="F1955" s="52" t="str" cm="1">
        <f t="array" ref="F1955">IFERROR(INDEX(DB!O$2:O$2576,T1955),"")</f>
        <v/>
      </c>
      <c r="G1955" s="43"/>
      <c r="H1955" s="40" t="str" cm="1">
        <f t="array" ref="H1955">IFERROR(INDEX(DB!P$2:P$2576,T1955),"")</f>
        <v/>
      </c>
      <c r="I1955" s="43"/>
      <c r="J1955" s="53" t="str" cm="1">
        <f t="array" ref="J1955">IFERROR(INDEX(DB!Q$2:Q$2576,T1955),"")</f>
        <v/>
      </c>
      <c r="K1955" s="43"/>
      <c r="L1955" s="41" t="str" cm="1">
        <f t="array" ref="L1955">IFERROR(INDEX(DB!R$2:R$2576,T1955),"")</f>
        <v/>
      </c>
      <c r="M1955" s="43"/>
      <c r="P1955" t="str" cm="1">
        <f t="array" ref="P1955">IFERROR(_xlfn.AGGREGATE(15,6,ROW(DB!A$2:A$2576)/((($D$3&lt;&gt;"YES")+($D$3="YES")*(DB!E$2:E$2576="YES"))*(($D$4="")+($D$4&lt;&gt;"")*( DB!B$2:B$2576=$D$4))*(($D$5="")+($D$5&lt;&gt;"")*( DB!C$2:C$2576=$D$5))*(($D$6="")+($D$6&lt;&gt;"")*( DB!D$2:D$2576=$D$6))*(($D$7="")+($D$7&lt;&gt;"")*(ISNUMBER(SEARCH($D$7,DB!G$2:G$2576))))*(($F$7="전체")+($F$7&lt;&gt;"전체")*(DB!H$2:H$2576=$F$7))),ROW()-13)-1,"")</f>
        <v/>
      </c>
      <c r="Q1955" t="str" cm="1">
        <f t="array" ref="Q1955">IFERROR(INDEX(DB!G$2:G$2576,P1955),"")</f>
        <v/>
      </c>
      <c r="R1955" t="str" cm="1">
        <f t="array" ref="R1955">IFERROR(INDEX(DB!O$2:O$2576,P1955),"")</f>
        <v/>
      </c>
      <c r="S1955" t="str">
        <f t="shared" si="93"/>
        <v/>
      </c>
      <c r="T1955" t="str">
        <f t="shared" si="94"/>
        <v/>
      </c>
    </row>
    <row r="1956" spans="1:20" ht="100" customHeight="1">
      <c r="A1956" s="26"/>
      <c r="B1956" s="39" t="str">
        <f t="shared" si="92"/>
        <v/>
      </c>
      <c r="C1956" s="43"/>
      <c r="D1956" s="51" t="str" cm="1">
        <f t="array" ref="D1956">IFERROR(INDEX(DB!G$2:G$2576,T1956),"")</f>
        <v/>
      </c>
      <c r="E1956" s="43"/>
      <c r="F1956" s="52" t="str" cm="1">
        <f t="array" ref="F1956">IFERROR(INDEX(DB!O$2:O$2576,T1956),"")</f>
        <v/>
      </c>
      <c r="G1956" s="43"/>
      <c r="H1956" s="40" t="str" cm="1">
        <f t="array" ref="H1956">IFERROR(INDEX(DB!P$2:P$2576,T1956),"")</f>
        <v/>
      </c>
      <c r="I1956" s="43"/>
      <c r="J1956" s="53" t="str" cm="1">
        <f t="array" ref="J1956">IFERROR(INDEX(DB!Q$2:Q$2576,T1956),"")</f>
        <v/>
      </c>
      <c r="K1956" s="43"/>
      <c r="L1956" s="41" t="str" cm="1">
        <f t="array" ref="L1956">IFERROR(INDEX(DB!R$2:R$2576,T1956),"")</f>
        <v/>
      </c>
      <c r="M1956" s="43"/>
      <c r="P1956" t="str" cm="1">
        <f t="array" ref="P1956">IFERROR(_xlfn.AGGREGATE(15,6,ROW(DB!A$2:A$2576)/((($D$3&lt;&gt;"YES")+($D$3="YES")*(DB!E$2:E$2576="YES"))*(($D$4="")+($D$4&lt;&gt;"")*( DB!B$2:B$2576=$D$4))*(($D$5="")+($D$5&lt;&gt;"")*( DB!C$2:C$2576=$D$5))*(($D$6="")+($D$6&lt;&gt;"")*( DB!D$2:D$2576=$D$6))*(($D$7="")+($D$7&lt;&gt;"")*(ISNUMBER(SEARCH($D$7,DB!G$2:G$2576))))*(($F$7="전체")+($F$7&lt;&gt;"전체")*(DB!H$2:H$2576=$F$7))),ROW()-13)-1,"")</f>
        <v/>
      </c>
      <c r="Q1956" t="str" cm="1">
        <f t="array" ref="Q1956">IFERROR(INDEX(DB!G$2:G$2576,P1956),"")</f>
        <v/>
      </c>
      <c r="R1956" t="str" cm="1">
        <f t="array" ref="R1956">IFERROR(INDEX(DB!O$2:O$2576,P1956),"")</f>
        <v/>
      </c>
      <c r="S1956" t="str">
        <f t="shared" si="93"/>
        <v/>
      </c>
      <c r="T1956" t="str">
        <f t="shared" si="94"/>
        <v/>
      </c>
    </row>
    <row r="1957" spans="1:20" ht="100" customHeight="1">
      <c r="A1957" s="26"/>
      <c r="B1957" s="42" t="str">
        <f t="shared" si="92"/>
        <v/>
      </c>
      <c r="C1957" s="43"/>
      <c r="D1957" s="51" t="str" cm="1">
        <f t="array" ref="D1957">IFERROR(INDEX(DB!G$2:G$2576,T1957),"")</f>
        <v/>
      </c>
      <c r="E1957" s="43"/>
      <c r="F1957" s="52" t="str" cm="1">
        <f t="array" ref="F1957">IFERROR(INDEX(DB!O$2:O$2576,T1957),"")</f>
        <v/>
      </c>
      <c r="G1957" s="43"/>
      <c r="H1957" s="40" t="str" cm="1">
        <f t="array" ref="H1957">IFERROR(INDEX(DB!P$2:P$2576,T1957),"")</f>
        <v/>
      </c>
      <c r="I1957" s="43"/>
      <c r="J1957" s="53" t="str" cm="1">
        <f t="array" ref="J1957">IFERROR(INDEX(DB!Q$2:Q$2576,T1957),"")</f>
        <v/>
      </c>
      <c r="K1957" s="43"/>
      <c r="L1957" s="41" t="str" cm="1">
        <f t="array" ref="L1957">IFERROR(INDEX(DB!R$2:R$2576,T1957),"")</f>
        <v/>
      </c>
      <c r="M1957" s="43"/>
      <c r="P1957" t="str" cm="1">
        <f t="array" ref="P1957">IFERROR(_xlfn.AGGREGATE(15,6,ROW(DB!A$2:A$2576)/((($D$3&lt;&gt;"YES")+($D$3="YES")*(DB!E$2:E$2576="YES"))*(($D$4="")+($D$4&lt;&gt;"")*( DB!B$2:B$2576=$D$4))*(($D$5="")+($D$5&lt;&gt;"")*( DB!C$2:C$2576=$D$5))*(($D$6="")+($D$6&lt;&gt;"")*( DB!D$2:D$2576=$D$6))*(($D$7="")+($D$7&lt;&gt;"")*(ISNUMBER(SEARCH($D$7,DB!G$2:G$2576))))*(($F$7="전체")+($F$7&lt;&gt;"전체")*(DB!H$2:H$2576=$F$7))),ROW()-13)-1,"")</f>
        <v/>
      </c>
      <c r="Q1957" t="str" cm="1">
        <f t="array" ref="Q1957">IFERROR(INDEX(DB!G$2:G$2576,P1957),"")</f>
        <v/>
      </c>
      <c r="R1957" t="str" cm="1">
        <f t="array" ref="R1957">IFERROR(INDEX(DB!O$2:O$2576,P1957),"")</f>
        <v/>
      </c>
      <c r="S1957" t="str">
        <f t="shared" si="93"/>
        <v/>
      </c>
      <c r="T1957" t="str">
        <f t="shared" si="94"/>
        <v/>
      </c>
    </row>
    <row r="1958" spans="1:20" ht="100" customHeight="1">
      <c r="A1958" s="26"/>
      <c r="B1958" s="39" t="str">
        <f t="shared" si="92"/>
        <v/>
      </c>
      <c r="C1958" s="43"/>
      <c r="D1958" s="51" t="str" cm="1">
        <f t="array" ref="D1958">IFERROR(INDEX(DB!G$2:G$2576,T1958),"")</f>
        <v/>
      </c>
      <c r="E1958" s="43"/>
      <c r="F1958" s="52" t="str" cm="1">
        <f t="array" ref="F1958">IFERROR(INDEX(DB!O$2:O$2576,T1958),"")</f>
        <v/>
      </c>
      <c r="G1958" s="43"/>
      <c r="H1958" s="40" t="str" cm="1">
        <f t="array" ref="H1958">IFERROR(INDEX(DB!P$2:P$2576,T1958),"")</f>
        <v/>
      </c>
      <c r="I1958" s="43"/>
      <c r="J1958" s="53" t="str" cm="1">
        <f t="array" ref="J1958">IFERROR(INDEX(DB!Q$2:Q$2576,T1958),"")</f>
        <v/>
      </c>
      <c r="K1958" s="43"/>
      <c r="L1958" s="41" t="str" cm="1">
        <f t="array" ref="L1958">IFERROR(INDEX(DB!R$2:R$2576,T1958),"")</f>
        <v/>
      </c>
      <c r="M1958" s="43"/>
      <c r="P1958" t="str" cm="1">
        <f t="array" ref="P1958">IFERROR(_xlfn.AGGREGATE(15,6,ROW(DB!A$2:A$2576)/((($D$3&lt;&gt;"YES")+($D$3="YES")*(DB!E$2:E$2576="YES"))*(($D$4="")+($D$4&lt;&gt;"")*( DB!B$2:B$2576=$D$4))*(($D$5="")+($D$5&lt;&gt;"")*( DB!C$2:C$2576=$D$5))*(($D$6="")+($D$6&lt;&gt;"")*( DB!D$2:D$2576=$D$6))*(($D$7="")+($D$7&lt;&gt;"")*(ISNUMBER(SEARCH($D$7,DB!G$2:G$2576))))*(($F$7="전체")+($F$7&lt;&gt;"전체")*(DB!H$2:H$2576=$F$7))),ROW()-13)-1,"")</f>
        <v/>
      </c>
      <c r="Q1958" t="str" cm="1">
        <f t="array" ref="Q1958">IFERROR(INDEX(DB!G$2:G$2576,P1958),"")</f>
        <v/>
      </c>
      <c r="R1958" t="str" cm="1">
        <f t="array" ref="R1958">IFERROR(INDEX(DB!O$2:O$2576,P1958),"")</f>
        <v/>
      </c>
      <c r="S1958" t="str">
        <f t="shared" si="93"/>
        <v/>
      </c>
      <c r="T1958" t="str">
        <f t="shared" si="94"/>
        <v/>
      </c>
    </row>
    <row r="1959" spans="1:20" ht="100" customHeight="1">
      <c r="A1959" s="26"/>
      <c r="B1959" s="42" t="str">
        <f t="shared" si="92"/>
        <v/>
      </c>
      <c r="C1959" s="43"/>
      <c r="D1959" s="51" t="str" cm="1">
        <f t="array" ref="D1959">IFERROR(INDEX(DB!G$2:G$2576,T1959),"")</f>
        <v/>
      </c>
      <c r="E1959" s="43"/>
      <c r="F1959" s="52" t="str" cm="1">
        <f t="array" ref="F1959">IFERROR(INDEX(DB!O$2:O$2576,T1959),"")</f>
        <v/>
      </c>
      <c r="G1959" s="43"/>
      <c r="H1959" s="40" t="str" cm="1">
        <f t="array" ref="H1959">IFERROR(INDEX(DB!P$2:P$2576,T1959),"")</f>
        <v/>
      </c>
      <c r="I1959" s="43"/>
      <c r="J1959" s="53" t="str" cm="1">
        <f t="array" ref="J1959">IFERROR(INDEX(DB!Q$2:Q$2576,T1959),"")</f>
        <v/>
      </c>
      <c r="K1959" s="43"/>
      <c r="L1959" s="41" t="str" cm="1">
        <f t="array" ref="L1959">IFERROR(INDEX(DB!R$2:R$2576,T1959),"")</f>
        <v/>
      </c>
      <c r="M1959" s="43"/>
      <c r="P1959" t="str" cm="1">
        <f t="array" ref="P1959">IFERROR(_xlfn.AGGREGATE(15,6,ROW(DB!A$2:A$2576)/((($D$3&lt;&gt;"YES")+($D$3="YES")*(DB!E$2:E$2576="YES"))*(($D$4="")+($D$4&lt;&gt;"")*( DB!B$2:B$2576=$D$4))*(($D$5="")+($D$5&lt;&gt;"")*( DB!C$2:C$2576=$D$5))*(($D$6="")+($D$6&lt;&gt;"")*( DB!D$2:D$2576=$D$6))*(($D$7="")+($D$7&lt;&gt;"")*(ISNUMBER(SEARCH($D$7,DB!G$2:G$2576))))*(($F$7="전체")+($F$7&lt;&gt;"전체")*(DB!H$2:H$2576=$F$7))),ROW()-13)-1,"")</f>
        <v/>
      </c>
      <c r="Q1959" t="str" cm="1">
        <f t="array" ref="Q1959">IFERROR(INDEX(DB!G$2:G$2576,P1959),"")</f>
        <v/>
      </c>
      <c r="R1959" t="str" cm="1">
        <f t="array" ref="R1959">IFERROR(INDEX(DB!O$2:O$2576,P1959),"")</f>
        <v/>
      </c>
      <c r="S1959" t="str">
        <f t="shared" si="93"/>
        <v/>
      </c>
      <c r="T1959" t="str">
        <f t="shared" si="94"/>
        <v/>
      </c>
    </row>
    <row r="1960" spans="1:20" ht="100" customHeight="1">
      <c r="A1960" s="26"/>
      <c r="B1960" s="39" t="str">
        <f t="shared" si="92"/>
        <v/>
      </c>
      <c r="C1960" s="43"/>
      <c r="D1960" s="51" t="str" cm="1">
        <f t="array" ref="D1960">IFERROR(INDEX(DB!G$2:G$2576,T1960),"")</f>
        <v/>
      </c>
      <c r="E1960" s="43"/>
      <c r="F1960" s="52" t="str" cm="1">
        <f t="array" ref="F1960">IFERROR(INDEX(DB!O$2:O$2576,T1960),"")</f>
        <v/>
      </c>
      <c r="G1960" s="43"/>
      <c r="H1960" s="40" t="str" cm="1">
        <f t="array" ref="H1960">IFERROR(INDEX(DB!P$2:P$2576,T1960),"")</f>
        <v/>
      </c>
      <c r="I1960" s="43"/>
      <c r="J1960" s="53" t="str" cm="1">
        <f t="array" ref="J1960">IFERROR(INDEX(DB!Q$2:Q$2576,T1960),"")</f>
        <v/>
      </c>
      <c r="K1960" s="43"/>
      <c r="L1960" s="41" t="str" cm="1">
        <f t="array" ref="L1960">IFERROR(INDEX(DB!R$2:R$2576,T1960),"")</f>
        <v/>
      </c>
      <c r="M1960" s="43"/>
      <c r="P1960" t="str" cm="1">
        <f t="array" ref="P1960">IFERROR(_xlfn.AGGREGATE(15,6,ROW(DB!A$2:A$2576)/((($D$3&lt;&gt;"YES")+($D$3="YES")*(DB!E$2:E$2576="YES"))*(($D$4="")+($D$4&lt;&gt;"")*( DB!B$2:B$2576=$D$4))*(($D$5="")+($D$5&lt;&gt;"")*( DB!C$2:C$2576=$D$5))*(($D$6="")+($D$6&lt;&gt;"")*( DB!D$2:D$2576=$D$6))*(($D$7="")+($D$7&lt;&gt;"")*(ISNUMBER(SEARCH($D$7,DB!G$2:G$2576))))*(($F$7="전체")+($F$7&lt;&gt;"전체")*(DB!H$2:H$2576=$F$7))),ROW()-13)-1,"")</f>
        <v/>
      </c>
      <c r="Q1960" t="str" cm="1">
        <f t="array" ref="Q1960">IFERROR(INDEX(DB!G$2:G$2576,P1960),"")</f>
        <v/>
      </c>
      <c r="R1960" t="str" cm="1">
        <f t="array" ref="R1960">IFERROR(INDEX(DB!O$2:O$2576,P1960),"")</f>
        <v/>
      </c>
      <c r="S1960" t="str">
        <f t="shared" si="93"/>
        <v/>
      </c>
      <c r="T1960" t="str">
        <f t="shared" si="94"/>
        <v/>
      </c>
    </row>
    <row r="1961" spans="1:20" ht="100" customHeight="1">
      <c r="A1961" s="26"/>
      <c r="B1961" s="42" t="str">
        <f t="shared" si="92"/>
        <v/>
      </c>
      <c r="C1961" s="43"/>
      <c r="D1961" s="51" t="str" cm="1">
        <f t="array" ref="D1961">IFERROR(INDEX(DB!G$2:G$2576,T1961),"")</f>
        <v/>
      </c>
      <c r="E1961" s="43"/>
      <c r="F1961" s="52" t="str" cm="1">
        <f t="array" ref="F1961">IFERROR(INDEX(DB!O$2:O$2576,T1961),"")</f>
        <v/>
      </c>
      <c r="G1961" s="43"/>
      <c r="H1961" s="40" t="str" cm="1">
        <f t="array" ref="H1961">IFERROR(INDEX(DB!P$2:P$2576,T1961),"")</f>
        <v/>
      </c>
      <c r="I1961" s="43"/>
      <c r="J1961" s="53" t="str" cm="1">
        <f t="array" ref="J1961">IFERROR(INDEX(DB!Q$2:Q$2576,T1961),"")</f>
        <v/>
      </c>
      <c r="K1961" s="43"/>
      <c r="L1961" s="41" t="str" cm="1">
        <f t="array" ref="L1961">IFERROR(INDEX(DB!R$2:R$2576,T1961),"")</f>
        <v/>
      </c>
      <c r="M1961" s="43"/>
      <c r="P1961" t="str" cm="1">
        <f t="array" ref="P1961">IFERROR(_xlfn.AGGREGATE(15,6,ROW(DB!A$2:A$2576)/((($D$3&lt;&gt;"YES")+($D$3="YES")*(DB!E$2:E$2576="YES"))*(($D$4="")+($D$4&lt;&gt;"")*( DB!B$2:B$2576=$D$4))*(($D$5="")+($D$5&lt;&gt;"")*( DB!C$2:C$2576=$D$5))*(($D$6="")+($D$6&lt;&gt;"")*( DB!D$2:D$2576=$D$6))*(($D$7="")+($D$7&lt;&gt;"")*(ISNUMBER(SEARCH($D$7,DB!G$2:G$2576))))*(($F$7="전체")+($F$7&lt;&gt;"전체")*(DB!H$2:H$2576=$F$7))),ROW()-13)-1,"")</f>
        <v/>
      </c>
      <c r="Q1961" t="str" cm="1">
        <f t="array" ref="Q1961">IFERROR(INDEX(DB!G$2:G$2576,P1961),"")</f>
        <v/>
      </c>
      <c r="R1961" t="str" cm="1">
        <f t="array" ref="R1961">IFERROR(INDEX(DB!O$2:O$2576,P1961),"")</f>
        <v/>
      </c>
      <c r="S1961" t="str">
        <f t="shared" si="93"/>
        <v/>
      </c>
      <c r="T1961" t="str">
        <f t="shared" si="94"/>
        <v/>
      </c>
    </row>
    <row r="1962" spans="1:20" ht="100" customHeight="1">
      <c r="A1962" s="26"/>
      <c r="B1962" s="39" t="str">
        <f t="shared" si="92"/>
        <v/>
      </c>
      <c r="C1962" s="43"/>
      <c r="D1962" s="51" t="str" cm="1">
        <f t="array" ref="D1962">IFERROR(INDEX(DB!G$2:G$2576,T1962),"")</f>
        <v/>
      </c>
      <c r="E1962" s="43"/>
      <c r="F1962" s="52" t="str" cm="1">
        <f t="array" ref="F1962">IFERROR(INDEX(DB!O$2:O$2576,T1962),"")</f>
        <v/>
      </c>
      <c r="G1962" s="43"/>
      <c r="H1962" s="40" t="str" cm="1">
        <f t="array" ref="H1962">IFERROR(INDEX(DB!P$2:P$2576,T1962),"")</f>
        <v/>
      </c>
      <c r="I1962" s="43"/>
      <c r="J1962" s="53" t="str" cm="1">
        <f t="array" ref="J1962">IFERROR(INDEX(DB!Q$2:Q$2576,T1962),"")</f>
        <v/>
      </c>
      <c r="K1962" s="43"/>
      <c r="L1962" s="41" t="str" cm="1">
        <f t="array" ref="L1962">IFERROR(INDEX(DB!R$2:R$2576,T1962),"")</f>
        <v/>
      </c>
      <c r="M1962" s="43"/>
      <c r="P1962" t="str" cm="1">
        <f t="array" ref="P1962">IFERROR(_xlfn.AGGREGATE(15,6,ROW(DB!A$2:A$2576)/((($D$3&lt;&gt;"YES")+($D$3="YES")*(DB!E$2:E$2576="YES"))*(($D$4="")+($D$4&lt;&gt;"")*( DB!B$2:B$2576=$D$4))*(($D$5="")+($D$5&lt;&gt;"")*( DB!C$2:C$2576=$D$5))*(($D$6="")+($D$6&lt;&gt;"")*( DB!D$2:D$2576=$D$6))*(($D$7="")+($D$7&lt;&gt;"")*(ISNUMBER(SEARCH($D$7,DB!G$2:G$2576))))*(($F$7="전체")+($F$7&lt;&gt;"전체")*(DB!H$2:H$2576=$F$7))),ROW()-13)-1,"")</f>
        <v/>
      </c>
      <c r="Q1962" t="str" cm="1">
        <f t="array" ref="Q1962">IFERROR(INDEX(DB!G$2:G$2576,P1962),"")</f>
        <v/>
      </c>
      <c r="R1962" t="str" cm="1">
        <f t="array" ref="R1962">IFERROR(INDEX(DB!O$2:O$2576,P1962),"")</f>
        <v/>
      </c>
      <c r="S1962" t="str">
        <f t="shared" si="93"/>
        <v/>
      </c>
      <c r="T1962" t="str">
        <f t="shared" si="94"/>
        <v/>
      </c>
    </row>
    <row r="1963" spans="1:20" ht="100" customHeight="1">
      <c r="A1963" s="26"/>
      <c r="B1963" s="42" t="str">
        <f t="shared" si="92"/>
        <v/>
      </c>
      <c r="C1963" s="43"/>
      <c r="D1963" s="51" t="str" cm="1">
        <f t="array" ref="D1963">IFERROR(INDEX(DB!G$2:G$2576,T1963),"")</f>
        <v/>
      </c>
      <c r="E1963" s="43"/>
      <c r="F1963" s="52" t="str" cm="1">
        <f t="array" ref="F1963">IFERROR(INDEX(DB!O$2:O$2576,T1963),"")</f>
        <v/>
      </c>
      <c r="G1963" s="43"/>
      <c r="H1963" s="40" t="str" cm="1">
        <f t="array" ref="H1963">IFERROR(INDEX(DB!P$2:P$2576,T1963),"")</f>
        <v/>
      </c>
      <c r="I1963" s="43"/>
      <c r="J1963" s="53" t="str" cm="1">
        <f t="array" ref="J1963">IFERROR(INDEX(DB!Q$2:Q$2576,T1963),"")</f>
        <v/>
      </c>
      <c r="K1963" s="43"/>
      <c r="L1963" s="41" t="str" cm="1">
        <f t="array" ref="L1963">IFERROR(INDEX(DB!R$2:R$2576,T1963),"")</f>
        <v/>
      </c>
      <c r="M1963" s="43"/>
      <c r="P1963" t="str" cm="1">
        <f t="array" ref="P1963">IFERROR(_xlfn.AGGREGATE(15,6,ROW(DB!A$2:A$2576)/((($D$3&lt;&gt;"YES")+($D$3="YES")*(DB!E$2:E$2576="YES"))*(($D$4="")+($D$4&lt;&gt;"")*( DB!B$2:B$2576=$D$4))*(($D$5="")+($D$5&lt;&gt;"")*( DB!C$2:C$2576=$D$5))*(($D$6="")+($D$6&lt;&gt;"")*( DB!D$2:D$2576=$D$6))*(($D$7="")+($D$7&lt;&gt;"")*(ISNUMBER(SEARCH($D$7,DB!G$2:G$2576))))*(($F$7="전체")+($F$7&lt;&gt;"전체")*(DB!H$2:H$2576=$F$7))),ROW()-13)-1,"")</f>
        <v/>
      </c>
      <c r="Q1963" t="str" cm="1">
        <f t="array" ref="Q1963">IFERROR(INDEX(DB!G$2:G$2576,P1963),"")</f>
        <v/>
      </c>
      <c r="R1963" t="str" cm="1">
        <f t="array" ref="R1963">IFERROR(INDEX(DB!O$2:O$2576,P1963),"")</f>
        <v/>
      </c>
      <c r="S1963" t="str">
        <f t="shared" si="93"/>
        <v/>
      </c>
      <c r="T1963" t="str">
        <f t="shared" si="94"/>
        <v/>
      </c>
    </row>
    <row r="1964" spans="1:20" ht="100" customHeight="1">
      <c r="A1964" s="26"/>
      <c r="B1964" s="39" t="str">
        <f t="shared" si="92"/>
        <v/>
      </c>
      <c r="C1964" s="43"/>
      <c r="D1964" s="51" t="str" cm="1">
        <f t="array" ref="D1964">IFERROR(INDEX(DB!G$2:G$2576,T1964),"")</f>
        <v/>
      </c>
      <c r="E1964" s="43"/>
      <c r="F1964" s="52" t="str" cm="1">
        <f t="array" ref="F1964">IFERROR(INDEX(DB!O$2:O$2576,T1964),"")</f>
        <v/>
      </c>
      <c r="G1964" s="43"/>
      <c r="H1964" s="40" t="str" cm="1">
        <f t="array" ref="H1964">IFERROR(INDEX(DB!P$2:P$2576,T1964),"")</f>
        <v/>
      </c>
      <c r="I1964" s="43"/>
      <c r="J1964" s="53" t="str" cm="1">
        <f t="array" ref="J1964">IFERROR(INDEX(DB!Q$2:Q$2576,T1964),"")</f>
        <v/>
      </c>
      <c r="K1964" s="43"/>
      <c r="L1964" s="41" t="str" cm="1">
        <f t="array" ref="L1964">IFERROR(INDEX(DB!R$2:R$2576,T1964),"")</f>
        <v/>
      </c>
      <c r="M1964" s="43"/>
      <c r="P1964" t="str" cm="1">
        <f t="array" ref="P1964">IFERROR(_xlfn.AGGREGATE(15,6,ROW(DB!A$2:A$2576)/((($D$3&lt;&gt;"YES")+($D$3="YES")*(DB!E$2:E$2576="YES"))*(($D$4="")+($D$4&lt;&gt;"")*( DB!B$2:B$2576=$D$4))*(($D$5="")+($D$5&lt;&gt;"")*( DB!C$2:C$2576=$D$5))*(($D$6="")+($D$6&lt;&gt;"")*( DB!D$2:D$2576=$D$6))*(($D$7="")+($D$7&lt;&gt;"")*(ISNUMBER(SEARCH($D$7,DB!G$2:G$2576))))*(($F$7="전체")+($F$7&lt;&gt;"전체")*(DB!H$2:H$2576=$F$7))),ROW()-13)-1,"")</f>
        <v/>
      </c>
      <c r="Q1964" t="str" cm="1">
        <f t="array" ref="Q1964">IFERROR(INDEX(DB!G$2:G$2576,P1964),"")</f>
        <v/>
      </c>
      <c r="R1964" t="str" cm="1">
        <f t="array" ref="R1964">IFERROR(INDEX(DB!O$2:O$2576,P1964),"")</f>
        <v/>
      </c>
      <c r="S1964" t="str">
        <f t="shared" si="93"/>
        <v/>
      </c>
      <c r="T1964" t="str">
        <f t="shared" si="94"/>
        <v/>
      </c>
    </row>
    <row r="1965" spans="1:20" ht="100" customHeight="1">
      <c r="A1965" s="26"/>
      <c r="B1965" s="42" t="str">
        <f t="shared" si="92"/>
        <v/>
      </c>
      <c r="C1965" s="43"/>
      <c r="D1965" s="51" t="str" cm="1">
        <f t="array" ref="D1965">IFERROR(INDEX(DB!G$2:G$2576,T1965),"")</f>
        <v/>
      </c>
      <c r="E1965" s="43"/>
      <c r="F1965" s="52" t="str" cm="1">
        <f t="array" ref="F1965">IFERROR(INDEX(DB!O$2:O$2576,T1965),"")</f>
        <v/>
      </c>
      <c r="G1965" s="43"/>
      <c r="H1965" s="40" t="str" cm="1">
        <f t="array" ref="H1965">IFERROR(INDEX(DB!P$2:P$2576,T1965),"")</f>
        <v/>
      </c>
      <c r="I1965" s="43"/>
      <c r="J1965" s="53" t="str" cm="1">
        <f t="array" ref="J1965">IFERROR(INDEX(DB!Q$2:Q$2576,T1965),"")</f>
        <v/>
      </c>
      <c r="K1965" s="43"/>
      <c r="L1965" s="41" t="str" cm="1">
        <f t="array" ref="L1965">IFERROR(INDEX(DB!R$2:R$2576,T1965),"")</f>
        <v/>
      </c>
      <c r="M1965" s="43"/>
      <c r="P1965" t="str" cm="1">
        <f t="array" ref="P1965">IFERROR(_xlfn.AGGREGATE(15,6,ROW(DB!A$2:A$2576)/((($D$3&lt;&gt;"YES")+($D$3="YES")*(DB!E$2:E$2576="YES"))*(($D$4="")+($D$4&lt;&gt;"")*( DB!B$2:B$2576=$D$4))*(($D$5="")+($D$5&lt;&gt;"")*( DB!C$2:C$2576=$D$5))*(($D$6="")+($D$6&lt;&gt;"")*( DB!D$2:D$2576=$D$6))*(($D$7="")+($D$7&lt;&gt;"")*(ISNUMBER(SEARCH($D$7,DB!G$2:G$2576))))*(($F$7="전체")+($F$7&lt;&gt;"전체")*(DB!H$2:H$2576=$F$7))),ROW()-13)-1,"")</f>
        <v/>
      </c>
      <c r="Q1965" t="str" cm="1">
        <f t="array" ref="Q1965">IFERROR(INDEX(DB!G$2:G$2576,P1965),"")</f>
        <v/>
      </c>
      <c r="R1965" t="str" cm="1">
        <f t="array" ref="R1965">IFERROR(INDEX(DB!O$2:O$2576,P1965),"")</f>
        <v/>
      </c>
      <c r="S1965" t="str">
        <f t="shared" si="93"/>
        <v/>
      </c>
      <c r="T1965" t="str">
        <f t="shared" si="94"/>
        <v/>
      </c>
    </row>
    <row r="1966" spans="1:20" ht="100" customHeight="1">
      <c r="A1966" s="26"/>
      <c r="B1966" s="39" t="str">
        <f t="shared" si="92"/>
        <v/>
      </c>
      <c r="C1966" s="43"/>
      <c r="D1966" s="51" t="str" cm="1">
        <f t="array" ref="D1966">IFERROR(INDEX(DB!G$2:G$2576,T1966),"")</f>
        <v/>
      </c>
      <c r="E1966" s="43"/>
      <c r="F1966" s="52" t="str" cm="1">
        <f t="array" ref="F1966">IFERROR(INDEX(DB!O$2:O$2576,T1966),"")</f>
        <v/>
      </c>
      <c r="G1966" s="43"/>
      <c r="H1966" s="40" t="str" cm="1">
        <f t="array" ref="H1966">IFERROR(INDEX(DB!P$2:P$2576,T1966),"")</f>
        <v/>
      </c>
      <c r="I1966" s="43"/>
      <c r="J1966" s="53" t="str" cm="1">
        <f t="array" ref="J1966">IFERROR(INDEX(DB!Q$2:Q$2576,T1966),"")</f>
        <v/>
      </c>
      <c r="K1966" s="43"/>
      <c r="L1966" s="41" t="str" cm="1">
        <f t="array" ref="L1966">IFERROR(INDEX(DB!R$2:R$2576,T1966),"")</f>
        <v/>
      </c>
      <c r="M1966" s="43"/>
      <c r="P1966" t="str" cm="1">
        <f t="array" ref="P1966">IFERROR(_xlfn.AGGREGATE(15,6,ROW(DB!A$2:A$2576)/((($D$3&lt;&gt;"YES")+($D$3="YES")*(DB!E$2:E$2576="YES"))*(($D$4="")+($D$4&lt;&gt;"")*( DB!B$2:B$2576=$D$4))*(($D$5="")+($D$5&lt;&gt;"")*( DB!C$2:C$2576=$D$5))*(($D$6="")+($D$6&lt;&gt;"")*( DB!D$2:D$2576=$D$6))*(($D$7="")+($D$7&lt;&gt;"")*(ISNUMBER(SEARCH($D$7,DB!G$2:G$2576))))*(($F$7="전체")+($F$7&lt;&gt;"전체")*(DB!H$2:H$2576=$F$7))),ROW()-13)-1,"")</f>
        <v/>
      </c>
      <c r="Q1966" t="str" cm="1">
        <f t="array" ref="Q1966">IFERROR(INDEX(DB!G$2:G$2576,P1966),"")</f>
        <v/>
      </c>
      <c r="R1966" t="str" cm="1">
        <f t="array" ref="R1966">IFERROR(INDEX(DB!O$2:O$2576,P1966),"")</f>
        <v/>
      </c>
      <c r="S1966" t="str">
        <f t="shared" si="93"/>
        <v/>
      </c>
      <c r="T1966" t="str">
        <f t="shared" si="94"/>
        <v/>
      </c>
    </row>
    <row r="1967" spans="1:20" ht="100" customHeight="1">
      <c r="A1967" s="26"/>
      <c r="B1967" s="42" t="str">
        <f t="shared" si="92"/>
        <v/>
      </c>
      <c r="C1967" s="43"/>
      <c r="D1967" s="51" t="str" cm="1">
        <f t="array" ref="D1967">IFERROR(INDEX(DB!G$2:G$2576,T1967),"")</f>
        <v/>
      </c>
      <c r="E1967" s="43"/>
      <c r="F1967" s="52" t="str" cm="1">
        <f t="array" ref="F1967">IFERROR(INDEX(DB!O$2:O$2576,T1967),"")</f>
        <v/>
      </c>
      <c r="G1967" s="43"/>
      <c r="H1967" s="40" t="str" cm="1">
        <f t="array" ref="H1967">IFERROR(INDEX(DB!P$2:P$2576,T1967),"")</f>
        <v/>
      </c>
      <c r="I1967" s="43"/>
      <c r="J1967" s="53" t="str" cm="1">
        <f t="array" ref="J1967">IFERROR(INDEX(DB!Q$2:Q$2576,T1967),"")</f>
        <v/>
      </c>
      <c r="K1967" s="43"/>
      <c r="L1967" s="41" t="str" cm="1">
        <f t="array" ref="L1967">IFERROR(INDEX(DB!R$2:R$2576,T1967),"")</f>
        <v/>
      </c>
      <c r="M1967" s="43"/>
      <c r="P1967" t="str" cm="1">
        <f t="array" ref="P1967">IFERROR(_xlfn.AGGREGATE(15,6,ROW(DB!A$2:A$2576)/((($D$3&lt;&gt;"YES")+($D$3="YES")*(DB!E$2:E$2576="YES"))*(($D$4="")+($D$4&lt;&gt;"")*( DB!B$2:B$2576=$D$4))*(($D$5="")+($D$5&lt;&gt;"")*( DB!C$2:C$2576=$D$5))*(($D$6="")+($D$6&lt;&gt;"")*( DB!D$2:D$2576=$D$6))*(($D$7="")+($D$7&lt;&gt;"")*(ISNUMBER(SEARCH($D$7,DB!G$2:G$2576))))*(($F$7="전체")+($F$7&lt;&gt;"전체")*(DB!H$2:H$2576=$F$7))),ROW()-13)-1,"")</f>
        <v/>
      </c>
      <c r="Q1967" t="str" cm="1">
        <f t="array" ref="Q1967">IFERROR(INDEX(DB!G$2:G$2576,P1967),"")</f>
        <v/>
      </c>
      <c r="R1967" t="str" cm="1">
        <f t="array" ref="R1967">IFERROR(INDEX(DB!O$2:O$2576,P1967),"")</f>
        <v/>
      </c>
      <c r="S1967" t="str">
        <f t="shared" si="93"/>
        <v/>
      </c>
      <c r="T1967" t="str">
        <f t="shared" si="94"/>
        <v/>
      </c>
    </row>
    <row r="1968" spans="1:20" ht="100" customHeight="1">
      <c r="A1968" s="26"/>
      <c r="B1968" s="39" t="str">
        <f t="shared" si="92"/>
        <v/>
      </c>
      <c r="C1968" s="43"/>
      <c r="D1968" s="51" t="str" cm="1">
        <f t="array" ref="D1968">IFERROR(INDEX(DB!G$2:G$2576,T1968),"")</f>
        <v/>
      </c>
      <c r="E1968" s="43"/>
      <c r="F1968" s="52" t="str" cm="1">
        <f t="array" ref="F1968">IFERROR(INDEX(DB!O$2:O$2576,T1968),"")</f>
        <v/>
      </c>
      <c r="G1968" s="43"/>
      <c r="H1968" s="40" t="str" cm="1">
        <f t="array" ref="H1968">IFERROR(INDEX(DB!P$2:P$2576,T1968),"")</f>
        <v/>
      </c>
      <c r="I1968" s="43"/>
      <c r="J1968" s="53" t="str" cm="1">
        <f t="array" ref="J1968">IFERROR(INDEX(DB!Q$2:Q$2576,T1968),"")</f>
        <v/>
      </c>
      <c r="K1968" s="43"/>
      <c r="L1968" s="41" t="str" cm="1">
        <f t="array" ref="L1968">IFERROR(INDEX(DB!R$2:R$2576,T1968),"")</f>
        <v/>
      </c>
      <c r="M1968" s="43"/>
      <c r="P1968" t="str" cm="1">
        <f t="array" ref="P1968">IFERROR(_xlfn.AGGREGATE(15,6,ROW(DB!A$2:A$2576)/((($D$3&lt;&gt;"YES")+($D$3="YES")*(DB!E$2:E$2576="YES"))*(($D$4="")+($D$4&lt;&gt;"")*( DB!B$2:B$2576=$D$4))*(($D$5="")+($D$5&lt;&gt;"")*( DB!C$2:C$2576=$D$5))*(($D$6="")+($D$6&lt;&gt;"")*( DB!D$2:D$2576=$D$6))*(($D$7="")+($D$7&lt;&gt;"")*(ISNUMBER(SEARCH($D$7,DB!G$2:G$2576))))*(($F$7="전체")+($F$7&lt;&gt;"전체")*(DB!H$2:H$2576=$F$7))),ROW()-13)-1,"")</f>
        <v/>
      </c>
      <c r="Q1968" t="str" cm="1">
        <f t="array" ref="Q1968">IFERROR(INDEX(DB!G$2:G$2576,P1968),"")</f>
        <v/>
      </c>
      <c r="R1968" t="str" cm="1">
        <f t="array" ref="R1968">IFERROR(INDEX(DB!O$2:O$2576,P1968),"")</f>
        <v/>
      </c>
      <c r="S1968" t="str">
        <f t="shared" si="93"/>
        <v/>
      </c>
      <c r="T1968" t="str">
        <f t="shared" si="94"/>
        <v/>
      </c>
    </row>
    <row r="1969" spans="1:20" ht="100" customHeight="1">
      <c r="A1969" s="26"/>
      <c r="B1969" s="42" t="str">
        <f t="shared" si="92"/>
        <v/>
      </c>
      <c r="C1969" s="43"/>
      <c r="D1969" s="51" t="str" cm="1">
        <f t="array" ref="D1969">IFERROR(INDEX(DB!G$2:G$2576,T1969),"")</f>
        <v/>
      </c>
      <c r="E1969" s="43"/>
      <c r="F1969" s="52" t="str" cm="1">
        <f t="array" ref="F1969">IFERROR(INDEX(DB!O$2:O$2576,T1969),"")</f>
        <v/>
      </c>
      <c r="G1969" s="43"/>
      <c r="H1969" s="40" t="str" cm="1">
        <f t="array" ref="H1969">IFERROR(INDEX(DB!P$2:P$2576,T1969),"")</f>
        <v/>
      </c>
      <c r="I1969" s="43"/>
      <c r="J1969" s="53" t="str" cm="1">
        <f t="array" ref="J1969">IFERROR(INDEX(DB!Q$2:Q$2576,T1969),"")</f>
        <v/>
      </c>
      <c r="K1969" s="43"/>
      <c r="L1969" s="41" t="str" cm="1">
        <f t="array" ref="L1969">IFERROR(INDEX(DB!R$2:R$2576,T1969),"")</f>
        <v/>
      </c>
      <c r="M1969" s="43"/>
      <c r="P1969" t="str" cm="1">
        <f t="array" ref="P1969">IFERROR(_xlfn.AGGREGATE(15,6,ROW(DB!A$2:A$2576)/((($D$3&lt;&gt;"YES")+($D$3="YES")*(DB!E$2:E$2576="YES"))*(($D$4="")+($D$4&lt;&gt;"")*( DB!B$2:B$2576=$D$4))*(($D$5="")+($D$5&lt;&gt;"")*( DB!C$2:C$2576=$D$5))*(($D$6="")+($D$6&lt;&gt;"")*( DB!D$2:D$2576=$D$6))*(($D$7="")+($D$7&lt;&gt;"")*(ISNUMBER(SEARCH($D$7,DB!G$2:G$2576))))*(($F$7="전체")+($F$7&lt;&gt;"전체")*(DB!H$2:H$2576=$F$7))),ROW()-13)-1,"")</f>
        <v/>
      </c>
      <c r="Q1969" t="str" cm="1">
        <f t="array" ref="Q1969">IFERROR(INDEX(DB!G$2:G$2576,P1969),"")</f>
        <v/>
      </c>
      <c r="R1969" t="str" cm="1">
        <f t="array" ref="R1969">IFERROR(INDEX(DB!O$2:O$2576,P1969),"")</f>
        <v/>
      </c>
      <c r="S1969" t="str">
        <f t="shared" si="93"/>
        <v/>
      </c>
      <c r="T1969" t="str">
        <f t="shared" si="94"/>
        <v/>
      </c>
    </row>
    <row r="1970" spans="1:20" ht="100" customHeight="1">
      <c r="A1970" s="26"/>
      <c r="B1970" s="39" t="str">
        <f t="shared" si="92"/>
        <v/>
      </c>
      <c r="C1970" s="43"/>
      <c r="D1970" s="51" t="str" cm="1">
        <f t="array" ref="D1970">IFERROR(INDEX(DB!G$2:G$2576,T1970),"")</f>
        <v/>
      </c>
      <c r="E1970" s="43"/>
      <c r="F1970" s="52" t="str" cm="1">
        <f t="array" ref="F1970">IFERROR(INDEX(DB!O$2:O$2576,T1970),"")</f>
        <v/>
      </c>
      <c r="G1970" s="43"/>
      <c r="H1970" s="40" t="str" cm="1">
        <f t="array" ref="H1970">IFERROR(INDEX(DB!P$2:P$2576,T1970),"")</f>
        <v/>
      </c>
      <c r="I1970" s="43"/>
      <c r="J1970" s="53" t="str" cm="1">
        <f t="array" ref="J1970">IFERROR(INDEX(DB!Q$2:Q$2576,T1970),"")</f>
        <v/>
      </c>
      <c r="K1970" s="43"/>
      <c r="L1970" s="41" t="str" cm="1">
        <f t="array" ref="L1970">IFERROR(INDEX(DB!R$2:R$2576,T1970),"")</f>
        <v/>
      </c>
      <c r="M1970" s="43"/>
      <c r="P1970" t="str" cm="1">
        <f t="array" ref="P1970">IFERROR(_xlfn.AGGREGATE(15,6,ROW(DB!A$2:A$2576)/((($D$3&lt;&gt;"YES")+($D$3="YES")*(DB!E$2:E$2576="YES"))*(($D$4="")+($D$4&lt;&gt;"")*( DB!B$2:B$2576=$D$4))*(($D$5="")+($D$5&lt;&gt;"")*( DB!C$2:C$2576=$D$5))*(($D$6="")+($D$6&lt;&gt;"")*( DB!D$2:D$2576=$D$6))*(($D$7="")+($D$7&lt;&gt;"")*(ISNUMBER(SEARCH($D$7,DB!G$2:G$2576))))*(($F$7="전체")+($F$7&lt;&gt;"전체")*(DB!H$2:H$2576=$F$7))),ROW()-13)-1,"")</f>
        <v/>
      </c>
      <c r="Q1970" t="str" cm="1">
        <f t="array" ref="Q1970">IFERROR(INDEX(DB!G$2:G$2576,P1970),"")</f>
        <v/>
      </c>
      <c r="R1970" t="str" cm="1">
        <f t="array" ref="R1970">IFERROR(INDEX(DB!O$2:O$2576,P1970),"")</f>
        <v/>
      </c>
      <c r="S1970" t="str">
        <f t="shared" si="93"/>
        <v/>
      </c>
      <c r="T1970" t="str">
        <f t="shared" si="94"/>
        <v/>
      </c>
    </row>
    <row r="1971" spans="1:20" ht="100" customHeight="1">
      <c r="A1971" s="26"/>
      <c r="B1971" s="42" t="str">
        <f t="shared" si="92"/>
        <v/>
      </c>
      <c r="C1971" s="43"/>
      <c r="D1971" s="51" t="str" cm="1">
        <f t="array" ref="D1971">IFERROR(INDEX(DB!G$2:G$2576,T1971),"")</f>
        <v/>
      </c>
      <c r="E1971" s="43"/>
      <c r="F1971" s="52" t="str" cm="1">
        <f t="array" ref="F1971">IFERROR(INDEX(DB!O$2:O$2576,T1971),"")</f>
        <v/>
      </c>
      <c r="G1971" s="43"/>
      <c r="H1971" s="40" t="str" cm="1">
        <f t="array" ref="H1971">IFERROR(INDEX(DB!P$2:P$2576,T1971),"")</f>
        <v/>
      </c>
      <c r="I1971" s="43"/>
      <c r="J1971" s="53" t="str" cm="1">
        <f t="array" ref="J1971">IFERROR(INDEX(DB!Q$2:Q$2576,T1971),"")</f>
        <v/>
      </c>
      <c r="K1971" s="43"/>
      <c r="L1971" s="41" t="str" cm="1">
        <f t="array" ref="L1971">IFERROR(INDEX(DB!R$2:R$2576,T1971),"")</f>
        <v/>
      </c>
      <c r="M1971" s="43"/>
      <c r="P1971" t="str" cm="1">
        <f t="array" ref="P1971">IFERROR(_xlfn.AGGREGATE(15,6,ROW(DB!A$2:A$2576)/((($D$3&lt;&gt;"YES")+($D$3="YES")*(DB!E$2:E$2576="YES"))*(($D$4="")+($D$4&lt;&gt;"")*( DB!B$2:B$2576=$D$4))*(($D$5="")+($D$5&lt;&gt;"")*( DB!C$2:C$2576=$D$5))*(($D$6="")+($D$6&lt;&gt;"")*( DB!D$2:D$2576=$D$6))*(($D$7="")+($D$7&lt;&gt;"")*(ISNUMBER(SEARCH($D$7,DB!G$2:G$2576))))*(($F$7="전체")+($F$7&lt;&gt;"전체")*(DB!H$2:H$2576=$F$7))),ROW()-13)-1,"")</f>
        <v/>
      </c>
      <c r="Q1971" t="str" cm="1">
        <f t="array" ref="Q1971">IFERROR(INDEX(DB!G$2:G$2576,P1971),"")</f>
        <v/>
      </c>
      <c r="R1971" t="str" cm="1">
        <f t="array" ref="R1971">IFERROR(INDEX(DB!O$2:O$2576,P1971),"")</f>
        <v/>
      </c>
      <c r="S1971" t="str">
        <f t="shared" si="93"/>
        <v/>
      </c>
      <c r="T1971" t="str">
        <f t="shared" si="94"/>
        <v/>
      </c>
    </row>
    <row r="1972" spans="1:20" ht="100" customHeight="1">
      <c r="A1972" s="26"/>
      <c r="B1972" s="39" t="str">
        <f t="shared" si="92"/>
        <v/>
      </c>
      <c r="C1972" s="43"/>
      <c r="D1972" s="51" t="str" cm="1">
        <f t="array" ref="D1972">IFERROR(INDEX(DB!G$2:G$2576,T1972),"")</f>
        <v/>
      </c>
      <c r="E1972" s="43"/>
      <c r="F1972" s="52" t="str" cm="1">
        <f t="array" ref="F1972">IFERROR(INDEX(DB!O$2:O$2576,T1972),"")</f>
        <v/>
      </c>
      <c r="G1972" s="43"/>
      <c r="H1972" s="40" t="str" cm="1">
        <f t="array" ref="H1972">IFERROR(INDEX(DB!P$2:P$2576,T1972),"")</f>
        <v/>
      </c>
      <c r="I1972" s="43"/>
      <c r="J1972" s="53" t="str" cm="1">
        <f t="array" ref="J1972">IFERROR(INDEX(DB!Q$2:Q$2576,T1972),"")</f>
        <v/>
      </c>
      <c r="K1972" s="43"/>
      <c r="L1972" s="41" t="str" cm="1">
        <f t="array" ref="L1972">IFERROR(INDEX(DB!R$2:R$2576,T1972),"")</f>
        <v/>
      </c>
      <c r="M1972" s="43"/>
      <c r="P1972" t="str" cm="1">
        <f t="array" ref="P1972">IFERROR(_xlfn.AGGREGATE(15,6,ROW(DB!A$2:A$2576)/((($D$3&lt;&gt;"YES")+($D$3="YES")*(DB!E$2:E$2576="YES"))*(($D$4="")+($D$4&lt;&gt;"")*( DB!B$2:B$2576=$D$4))*(($D$5="")+($D$5&lt;&gt;"")*( DB!C$2:C$2576=$D$5))*(($D$6="")+($D$6&lt;&gt;"")*( DB!D$2:D$2576=$D$6))*(($D$7="")+($D$7&lt;&gt;"")*(ISNUMBER(SEARCH($D$7,DB!G$2:G$2576))))*(($F$7="전체")+($F$7&lt;&gt;"전체")*(DB!H$2:H$2576=$F$7))),ROW()-13)-1,"")</f>
        <v/>
      </c>
      <c r="Q1972" t="str" cm="1">
        <f t="array" ref="Q1972">IFERROR(INDEX(DB!G$2:G$2576,P1972),"")</f>
        <v/>
      </c>
      <c r="R1972" t="str" cm="1">
        <f t="array" ref="R1972">IFERROR(INDEX(DB!O$2:O$2576,P1972),"")</f>
        <v/>
      </c>
      <c r="S1972" t="str">
        <f t="shared" si="93"/>
        <v/>
      </c>
      <c r="T1972" t="str">
        <f t="shared" si="94"/>
        <v/>
      </c>
    </row>
    <row r="1973" spans="1:20" ht="100" customHeight="1">
      <c r="A1973" s="26"/>
      <c r="B1973" s="42" t="str">
        <f t="shared" si="92"/>
        <v/>
      </c>
      <c r="C1973" s="43"/>
      <c r="D1973" s="51" t="str" cm="1">
        <f t="array" ref="D1973">IFERROR(INDEX(DB!G$2:G$2576,T1973),"")</f>
        <v/>
      </c>
      <c r="E1973" s="43"/>
      <c r="F1973" s="52" t="str" cm="1">
        <f t="array" ref="F1973">IFERROR(INDEX(DB!O$2:O$2576,T1973),"")</f>
        <v/>
      </c>
      <c r="G1973" s="43"/>
      <c r="H1973" s="40" t="str" cm="1">
        <f t="array" ref="H1973">IFERROR(INDEX(DB!P$2:P$2576,T1973),"")</f>
        <v/>
      </c>
      <c r="I1973" s="43"/>
      <c r="J1973" s="53" t="str" cm="1">
        <f t="array" ref="J1973">IFERROR(INDEX(DB!Q$2:Q$2576,T1973),"")</f>
        <v/>
      </c>
      <c r="K1973" s="43"/>
      <c r="L1973" s="41" t="str" cm="1">
        <f t="array" ref="L1973">IFERROR(INDEX(DB!R$2:R$2576,T1973),"")</f>
        <v/>
      </c>
      <c r="M1973" s="43"/>
      <c r="P1973" t="str" cm="1">
        <f t="array" ref="P1973">IFERROR(_xlfn.AGGREGATE(15,6,ROW(DB!A$2:A$2576)/((($D$3&lt;&gt;"YES")+($D$3="YES")*(DB!E$2:E$2576="YES"))*(($D$4="")+($D$4&lt;&gt;"")*( DB!B$2:B$2576=$D$4))*(($D$5="")+($D$5&lt;&gt;"")*( DB!C$2:C$2576=$D$5))*(($D$6="")+($D$6&lt;&gt;"")*( DB!D$2:D$2576=$D$6))*(($D$7="")+($D$7&lt;&gt;"")*(ISNUMBER(SEARCH($D$7,DB!G$2:G$2576))))*(($F$7="전체")+($F$7&lt;&gt;"전체")*(DB!H$2:H$2576=$F$7))),ROW()-13)-1,"")</f>
        <v/>
      </c>
      <c r="Q1973" t="str" cm="1">
        <f t="array" ref="Q1973">IFERROR(INDEX(DB!G$2:G$2576,P1973),"")</f>
        <v/>
      </c>
      <c r="R1973" t="str" cm="1">
        <f t="array" ref="R1973">IFERROR(INDEX(DB!O$2:O$2576,P1973),"")</f>
        <v/>
      </c>
      <c r="S1973" t="str">
        <f t="shared" si="93"/>
        <v/>
      </c>
      <c r="T1973" t="str">
        <f t="shared" si="94"/>
        <v/>
      </c>
    </row>
    <row r="1974" spans="1:20" ht="100" customHeight="1">
      <c r="A1974" s="26"/>
      <c r="B1974" s="39" t="str">
        <f t="shared" si="92"/>
        <v/>
      </c>
      <c r="C1974" s="43"/>
      <c r="D1974" s="51" t="str" cm="1">
        <f t="array" ref="D1974">IFERROR(INDEX(DB!G$2:G$2576,T1974),"")</f>
        <v/>
      </c>
      <c r="E1974" s="43"/>
      <c r="F1974" s="52" t="str" cm="1">
        <f t="array" ref="F1974">IFERROR(INDEX(DB!O$2:O$2576,T1974),"")</f>
        <v/>
      </c>
      <c r="G1974" s="43"/>
      <c r="H1974" s="40" t="str" cm="1">
        <f t="array" ref="H1974">IFERROR(INDEX(DB!P$2:P$2576,T1974),"")</f>
        <v/>
      </c>
      <c r="I1974" s="43"/>
      <c r="J1974" s="53" t="str" cm="1">
        <f t="array" ref="J1974">IFERROR(INDEX(DB!Q$2:Q$2576,T1974),"")</f>
        <v/>
      </c>
      <c r="K1974" s="43"/>
      <c r="L1974" s="41" t="str" cm="1">
        <f t="array" ref="L1974">IFERROR(INDEX(DB!R$2:R$2576,T1974),"")</f>
        <v/>
      </c>
      <c r="M1974" s="43"/>
      <c r="P1974" t="str" cm="1">
        <f t="array" ref="P1974">IFERROR(_xlfn.AGGREGATE(15,6,ROW(DB!A$2:A$2576)/((($D$3&lt;&gt;"YES")+($D$3="YES")*(DB!E$2:E$2576="YES"))*(($D$4="")+($D$4&lt;&gt;"")*( DB!B$2:B$2576=$D$4))*(($D$5="")+($D$5&lt;&gt;"")*( DB!C$2:C$2576=$D$5))*(($D$6="")+($D$6&lt;&gt;"")*( DB!D$2:D$2576=$D$6))*(($D$7="")+($D$7&lt;&gt;"")*(ISNUMBER(SEARCH($D$7,DB!G$2:G$2576))))*(($F$7="전체")+($F$7&lt;&gt;"전체")*(DB!H$2:H$2576=$F$7))),ROW()-13)-1,"")</f>
        <v/>
      </c>
      <c r="Q1974" t="str" cm="1">
        <f t="array" ref="Q1974">IFERROR(INDEX(DB!G$2:G$2576,P1974),"")</f>
        <v/>
      </c>
      <c r="R1974" t="str" cm="1">
        <f t="array" ref="R1974">IFERROR(INDEX(DB!O$2:O$2576,P1974),"")</f>
        <v/>
      </c>
      <c r="S1974" t="str">
        <f t="shared" si="93"/>
        <v/>
      </c>
      <c r="T1974" t="str">
        <f t="shared" si="94"/>
        <v/>
      </c>
    </row>
    <row r="1975" spans="1:20" ht="100" customHeight="1">
      <c r="A1975" s="26"/>
      <c r="B1975" s="42" t="str">
        <f t="shared" si="92"/>
        <v/>
      </c>
      <c r="C1975" s="43"/>
      <c r="D1975" s="51" t="str" cm="1">
        <f t="array" ref="D1975">IFERROR(INDEX(DB!G$2:G$2576,T1975),"")</f>
        <v/>
      </c>
      <c r="E1975" s="43"/>
      <c r="F1975" s="52" t="str" cm="1">
        <f t="array" ref="F1975">IFERROR(INDEX(DB!O$2:O$2576,T1975),"")</f>
        <v/>
      </c>
      <c r="G1975" s="43"/>
      <c r="H1975" s="40" t="str" cm="1">
        <f t="array" ref="H1975">IFERROR(INDEX(DB!P$2:P$2576,T1975),"")</f>
        <v/>
      </c>
      <c r="I1975" s="43"/>
      <c r="J1975" s="53" t="str" cm="1">
        <f t="array" ref="J1975">IFERROR(INDEX(DB!Q$2:Q$2576,T1975),"")</f>
        <v/>
      </c>
      <c r="K1975" s="43"/>
      <c r="L1975" s="41" t="str" cm="1">
        <f t="array" ref="L1975">IFERROR(INDEX(DB!R$2:R$2576,T1975),"")</f>
        <v/>
      </c>
      <c r="M1975" s="43"/>
      <c r="P1975" t="str" cm="1">
        <f t="array" ref="P1975">IFERROR(_xlfn.AGGREGATE(15,6,ROW(DB!A$2:A$2576)/((($D$3&lt;&gt;"YES")+($D$3="YES")*(DB!E$2:E$2576="YES"))*(($D$4="")+($D$4&lt;&gt;"")*( DB!B$2:B$2576=$D$4))*(($D$5="")+($D$5&lt;&gt;"")*( DB!C$2:C$2576=$D$5))*(($D$6="")+($D$6&lt;&gt;"")*( DB!D$2:D$2576=$D$6))*(($D$7="")+($D$7&lt;&gt;"")*(ISNUMBER(SEARCH($D$7,DB!G$2:G$2576))))*(($F$7="전체")+($F$7&lt;&gt;"전체")*(DB!H$2:H$2576=$F$7))),ROW()-13)-1,"")</f>
        <v/>
      </c>
      <c r="Q1975" t="str" cm="1">
        <f t="array" ref="Q1975">IFERROR(INDEX(DB!G$2:G$2576,P1975),"")</f>
        <v/>
      </c>
      <c r="R1975" t="str" cm="1">
        <f t="array" ref="R1975">IFERROR(INDEX(DB!O$2:O$2576,P1975),"")</f>
        <v/>
      </c>
      <c r="S1975" t="str">
        <f t="shared" si="93"/>
        <v/>
      </c>
      <c r="T1975" t="str">
        <f t="shared" si="94"/>
        <v/>
      </c>
    </row>
    <row r="1976" spans="1:20" ht="100" customHeight="1">
      <c r="A1976" s="26"/>
      <c r="B1976" s="39" t="str">
        <f t="shared" si="92"/>
        <v/>
      </c>
      <c r="C1976" s="43"/>
      <c r="D1976" s="51" t="str" cm="1">
        <f t="array" ref="D1976">IFERROR(INDEX(DB!G$2:G$2576,T1976),"")</f>
        <v/>
      </c>
      <c r="E1976" s="43"/>
      <c r="F1976" s="52" t="str" cm="1">
        <f t="array" ref="F1976">IFERROR(INDEX(DB!O$2:O$2576,T1976),"")</f>
        <v/>
      </c>
      <c r="G1976" s="43"/>
      <c r="H1976" s="40" t="str" cm="1">
        <f t="array" ref="H1976">IFERROR(INDEX(DB!P$2:P$2576,T1976),"")</f>
        <v/>
      </c>
      <c r="I1976" s="43"/>
      <c r="J1976" s="53" t="str" cm="1">
        <f t="array" ref="J1976">IFERROR(INDEX(DB!Q$2:Q$2576,T1976),"")</f>
        <v/>
      </c>
      <c r="K1976" s="43"/>
      <c r="L1976" s="41" t="str" cm="1">
        <f t="array" ref="L1976">IFERROR(INDEX(DB!R$2:R$2576,T1976),"")</f>
        <v/>
      </c>
      <c r="M1976" s="43"/>
      <c r="P1976" t="str" cm="1">
        <f t="array" ref="P1976">IFERROR(_xlfn.AGGREGATE(15,6,ROW(DB!A$2:A$2576)/((($D$3&lt;&gt;"YES")+($D$3="YES")*(DB!E$2:E$2576="YES"))*(($D$4="")+($D$4&lt;&gt;"")*( DB!B$2:B$2576=$D$4))*(($D$5="")+($D$5&lt;&gt;"")*( DB!C$2:C$2576=$D$5))*(($D$6="")+($D$6&lt;&gt;"")*( DB!D$2:D$2576=$D$6))*(($D$7="")+($D$7&lt;&gt;"")*(ISNUMBER(SEARCH($D$7,DB!G$2:G$2576))))*(($F$7="전체")+($F$7&lt;&gt;"전체")*(DB!H$2:H$2576=$F$7))),ROW()-13)-1,"")</f>
        <v/>
      </c>
      <c r="Q1976" t="str" cm="1">
        <f t="array" ref="Q1976">IFERROR(INDEX(DB!G$2:G$2576,P1976),"")</f>
        <v/>
      </c>
      <c r="R1976" t="str" cm="1">
        <f t="array" ref="R1976">IFERROR(INDEX(DB!O$2:O$2576,P1976),"")</f>
        <v/>
      </c>
      <c r="S1976" t="str">
        <f t="shared" si="93"/>
        <v/>
      </c>
      <c r="T1976" t="str">
        <f t="shared" si="94"/>
        <v/>
      </c>
    </row>
    <row r="1977" spans="1:20" ht="100" customHeight="1">
      <c r="A1977" s="26"/>
      <c r="B1977" s="42" t="str">
        <f t="shared" si="92"/>
        <v/>
      </c>
      <c r="C1977" s="43"/>
      <c r="D1977" s="51" t="str" cm="1">
        <f t="array" ref="D1977">IFERROR(INDEX(DB!G$2:G$2576,T1977),"")</f>
        <v/>
      </c>
      <c r="E1977" s="43"/>
      <c r="F1977" s="52" t="str" cm="1">
        <f t="array" ref="F1977">IFERROR(INDEX(DB!O$2:O$2576,T1977),"")</f>
        <v/>
      </c>
      <c r="G1977" s="43"/>
      <c r="H1977" s="40" t="str" cm="1">
        <f t="array" ref="H1977">IFERROR(INDEX(DB!P$2:P$2576,T1977),"")</f>
        <v/>
      </c>
      <c r="I1977" s="43"/>
      <c r="J1977" s="53" t="str" cm="1">
        <f t="array" ref="J1977">IFERROR(INDEX(DB!Q$2:Q$2576,T1977),"")</f>
        <v/>
      </c>
      <c r="K1977" s="43"/>
      <c r="L1977" s="41" t="str" cm="1">
        <f t="array" ref="L1977">IFERROR(INDEX(DB!R$2:R$2576,T1977),"")</f>
        <v/>
      </c>
      <c r="M1977" s="43"/>
      <c r="P1977" t="str" cm="1">
        <f t="array" ref="P1977">IFERROR(_xlfn.AGGREGATE(15,6,ROW(DB!A$2:A$2576)/((($D$3&lt;&gt;"YES")+($D$3="YES")*(DB!E$2:E$2576="YES"))*(($D$4="")+($D$4&lt;&gt;"")*( DB!B$2:B$2576=$D$4))*(($D$5="")+($D$5&lt;&gt;"")*( DB!C$2:C$2576=$D$5))*(($D$6="")+($D$6&lt;&gt;"")*( DB!D$2:D$2576=$D$6))*(($D$7="")+($D$7&lt;&gt;"")*(ISNUMBER(SEARCH($D$7,DB!G$2:G$2576))))*(($F$7="전체")+($F$7&lt;&gt;"전체")*(DB!H$2:H$2576=$F$7))),ROW()-13)-1,"")</f>
        <v/>
      </c>
      <c r="Q1977" t="str" cm="1">
        <f t="array" ref="Q1977">IFERROR(INDEX(DB!G$2:G$2576,P1977),"")</f>
        <v/>
      </c>
      <c r="R1977" t="str" cm="1">
        <f t="array" ref="R1977">IFERROR(INDEX(DB!O$2:O$2576,P1977),"")</f>
        <v/>
      </c>
      <c r="S1977" t="str">
        <f t="shared" si="93"/>
        <v/>
      </c>
      <c r="T1977" t="str">
        <f t="shared" si="94"/>
        <v/>
      </c>
    </row>
    <row r="1978" spans="1:20" ht="100" customHeight="1">
      <c r="A1978" s="26"/>
      <c r="B1978" s="39" t="str">
        <f t="shared" si="92"/>
        <v/>
      </c>
      <c r="C1978" s="43"/>
      <c r="D1978" s="51" t="str" cm="1">
        <f t="array" ref="D1978">IFERROR(INDEX(DB!G$2:G$2576,T1978),"")</f>
        <v/>
      </c>
      <c r="E1978" s="43"/>
      <c r="F1978" s="52" t="str" cm="1">
        <f t="array" ref="F1978">IFERROR(INDEX(DB!O$2:O$2576,T1978),"")</f>
        <v/>
      </c>
      <c r="G1978" s="43"/>
      <c r="H1978" s="40" t="str" cm="1">
        <f t="array" ref="H1978">IFERROR(INDEX(DB!P$2:P$2576,T1978),"")</f>
        <v/>
      </c>
      <c r="I1978" s="43"/>
      <c r="J1978" s="53" t="str" cm="1">
        <f t="array" ref="J1978">IFERROR(INDEX(DB!Q$2:Q$2576,T1978),"")</f>
        <v/>
      </c>
      <c r="K1978" s="43"/>
      <c r="L1978" s="41" t="str" cm="1">
        <f t="array" ref="L1978">IFERROR(INDEX(DB!R$2:R$2576,T1978),"")</f>
        <v/>
      </c>
      <c r="M1978" s="43"/>
      <c r="P1978" t="str" cm="1">
        <f t="array" ref="P1978">IFERROR(_xlfn.AGGREGATE(15,6,ROW(DB!A$2:A$2576)/((($D$3&lt;&gt;"YES")+($D$3="YES")*(DB!E$2:E$2576="YES"))*(($D$4="")+($D$4&lt;&gt;"")*( DB!B$2:B$2576=$D$4))*(($D$5="")+($D$5&lt;&gt;"")*( DB!C$2:C$2576=$D$5))*(($D$6="")+($D$6&lt;&gt;"")*( DB!D$2:D$2576=$D$6))*(($D$7="")+($D$7&lt;&gt;"")*(ISNUMBER(SEARCH($D$7,DB!G$2:G$2576))))*(($F$7="전체")+($F$7&lt;&gt;"전체")*(DB!H$2:H$2576=$F$7))),ROW()-13)-1,"")</f>
        <v/>
      </c>
      <c r="Q1978" t="str" cm="1">
        <f t="array" ref="Q1978">IFERROR(INDEX(DB!G$2:G$2576,P1978),"")</f>
        <v/>
      </c>
      <c r="R1978" t="str" cm="1">
        <f t="array" ref="R1978">IFERROR(INDEX(DB!O$2:O$2576,P1978),"")</f>
        <v/>
      </c>
      <c r="S1978" t="str">
        <f t="shared" si="93"/>
        <v/>
      </c>
      <c r="T1978" t="str">
        <f t="shared" si="94"/>
        <v/>
      </c>
    </row>
    <row r="1979" spans="1:20" ht="100" customHeight="1">
      <c r="A1979" s="26"/>
      <c r="B1979" s="42" t="str">
        <f t="shared" si="92"/>
        <v/>
      </c>
      <c r="C1979" s="43"/>
      <c r="D1979" s="51" t="str" cm="1">
        <f t="array" ref="D1979">IFERROR(INDEX(DB!G$2:G$2576,T1979),"")</f>
        <v/>
      </c>
      <c r="E1979" s="43"/>
      <c r="F1979" s="52" t="str" cm="1">
        <f t="array" ref="F1979">IFERROR(INDEX(DB!O$2:O$2576,T1979),"")</f>
        <v/>
      </c>
      <c r="G1979" s="43"/>
      <c r="H1979" s="40" t="str" cm="1">
        <f t="array" ref="H1979">IFERROR(INDEX(DB!P$2:P$2576,T1979),"")</f>
        <v/>
      </c>
      <c r="I1979" s="43"/>
      <c r="J1979" s="53" t="str" cm="1">
        <f t="array" ref="J1979">IFERROR(INDEX(DB!Q$2:Q$2576,T1979),"")</f>
        <v/>
      </c>
      <c r="K1979" s="43"/>
      <c r="L1979" s="41" t="str" cm="1">
        <f t="array" ref="L1979">IFERROR(INDEX(DB!R$2:R$2576,T1979),"")</f>
        <v/>
      </c>
      <c r="M1979" s="43"/>
      <c r="P1979" t="str" cm="1">
        <f t="array" ref="P1979">IFERROR(_xlfn.AGGREGATE(15,6,ROW(DB!A$2:A$2576)/((($D$3&lt;&gt;"YES")+($D$3="YES")*(DB!E$2:E$2576="YES"))*(($D$4="")+($D$4&lt;&gt;"")*( DB!B$2:B$2576=$D$4))*(($D$5="")+($D$5&lt;&gt;"")*( DB!C$2:C$2576=$D$5))*(($D$6="")+($D$6&lt;&gt;"")*( DB!D$2:D$2576=$D$6))*(($D$7="")+($D$7&lt;&gt;"")*(ISNUMBER(SEARCH($D$7,DB!G$2:G$2576))))*(($F$7="전체")+($F$7&lt;&gt;"전체")*(DB!H$2:H$2576=$F$7))),ROW()-13)-1,"")</f>
        <v/>
      </c>
      <c r="Q1979" t="str" cm="1">
        <f t="array" ref="Q1979">IFERROR(INDEX(DB!G$2:G$2576,P1979),"")</f>
        <v/>
      </c>
      <c r="R1979" t="str" cm="1">
        <f t="array" ref="R1979">IFERROR(INDEX(DB!O$2:O$2576,P1979),"")</f>
        <v/>
      </c>
      <c r="S1979" t="str">
        <f t="shared" si="93"/>
        <v/>
      </c>
      <c r="T1979" t="str">
        <f t="shared" si="94"/>
        <v/>
      </c>
    </row>
    <row r="1980" spans="1:20" ht="100" customHeight="1">
      <c r="A1980" s="26"/>
      <c r="B1980" s="39" t="str">
        <f t="shared" si="92"/>
        <v/>
      </c>
      <c r="C1980" s="43"/>
      <c r="D1980" s="51" t="str" cm="1">
        <f t="array" ref="D1980">IFERROR(INDEX(DB!G$2:G$2576,T1980),"")</f>
        <v/>
      </c>
      <c r="E1980" s="43"/>
      <c r="F1980" s="52" t="str" cm="1">
        <f t="array" ref="F1980">IFERROR(INDEX(DB!O$2:O$2576,T1980),"")</f>
        <v/>
      </c>
      <c r="G1980" s="43"/>
      <c r="H1980" s="40" t="str" cm="1">
        <f t="array" ref="H1980">IFERROR(INDEX(DB!P$2:P$2576,T1980),"")</f>
        <v/>
      </c>
      <c r="I1980" s="43"/>
      <c r="J1980" s="53" t="str" cm="1">
        <f t="array" ref="J1980">IFERROR(INDEX(DB!Q$2:Q$2576,T1980),"")</f>
        <v/>
      </c>
      <c r="K1980" s="43"/>
      <c r="L1980" s="41" t="str" cm="1">
        <f t="array" ref="L1980">IFERROR(INDEX(DB!R$2:R$2576,T1980),"")</f>
        <v/>
      </c>
      <c r="M1980" s="43"/>
      <c r="P1980" t="str" cm="1">
        <f t="array" ref="P1980">IFERROR(_xlfn.AGGREGATE(15,6,ROW(DB!A$2:A$2576)/((($D$3&lt;&gt;"YES")+($D$3="YES")*(DB!E$2:E$2576="YES"))*(($D$4="")+($D$4&lt;&gt;"")*( DB!B$2:B$2576=$D$4))*(($D$5="")+($D$5&lt;&gt;"")*( DB!C$2:C$2576=$D$5))*(($D$6="")+($D$6&lt;&gt;"")*( DB!D$2:D$2576=$D$6))*(($D$7="")+($D$7&lt;&gt;"")*(ISNUMBER(SEARCH($D$7,DB!G$2:G$2576))))*(($F$7="전체")+($F$7&lt;&gt;"전체")*(DB!H$2:H$2576=$F$7))),ROW()-13)-1,"")</f>
        <v/>
      </c>
      <c r="Q1980" t="str" cm="1">
        <f t="array" ref="Q1980">IFERROR(INDEX(DB!G$2:G$2576,P1980),"")</f>
        <v/>
      </c>
      <c r="R1980" t="str" cm="1">
        <f t="array" ref="R1980">IFERROR(INDEX(DB!O$2:O$2576,P1980),"")</f>
        <v/>
      </c>
      <c r="S1980" t="str">
        <f t="shared" si="93"/>
        <v/>
      </c>
      <c r="T1980" t="str">
        <f t="shared" si="94"/>
        <v/>
      </c>
    </row>
    <row r="1981" spans="1:20" ht="100" customHeight="1">
      <c r="A1981" s="26"/>
      <c r="B1981" s="42" t="str">
        <f t="shared" si="92"/>
        <v/>
      </c>
      <c r="C1981" s="43"/>
      <c r="D1981" s="51" t="str" cm="1">
        <f t="array" ref="D1981">IFERROR(INDEX(DB!G$2:G$2576,T1981),"")</f>
        <v/>
      </c>
      <c r="E1981" s="43"/>
      <c r="F1981" s="52" t="str" cm="1">
        <f t="array" ref="F1981">IFERROR(INDEX(DB!O$2:O$2576,T1981),"")</f>
        <v/>
      </c>
      <c r="G1981" s="43"/>
      <c r="H1981" s="40" t="str" cm="1">
        <f t="array" ref="H1981">IFERROR(INDEX(DB!P$2:P$2576,T1981),"")</f>
        <v/>
      </c>
      <c r="I1981" s="43"/>
      <c r="J1981" s="53" t="str" cm="1">
        <f t="array" ref="J1981">IFERROR(INDEX(DB!Q$2:Q$2576,T1981),"")</f>
        <v/>
      </c>
      <c r="K1981" s="43"/>
      <c r="L1981" s="41" t="str" cm="1">
        <f t="array" ref="L1981">IFERROR(INDEX(DB!R$2:R$2576,T1981),"")</f>
        <v/>
      </c>
      <c r="M1981" s="43"/>
      <c r="P1981" t="str" cm="1">
        <f t="array" ref="P1981">IFERROR(_xlfn.AGGREGATE(15,6,ROW(DB!A$2:A$2576)/((($D$3&lt;&gt;"YES")+($D$3="YES")*(DB!E$2:E$2576="YES"))*(($D$4="")+($D$4&lt;&gt;"")*( DB!B$2:B$2576=$D$4))*(($D$5="")+($D$5&lt;&gt;"")*( DB!C$2:C$2576=$D$5))*(($D$6="")+($D$6&lt;&gt;"")*( DB!D$2:D$2576=$D$6))*(($D$7="")+($D$7&lt;&gt;"")*(ISNUMBER(SEARCH($D$7,DB!G$2:G$2576))))*(($F$7="전체")+($F$7&lt;&gt;"전체")*(DB!H$2:H$2576=$F$7))),ROW()-13)-1,"")</f>
        <v/>
      </c>
      <c r="Q1981" t="str" cm="1">
        <f t="array" ref="Q1981">IFERROR(INDEX(DB!G$2:G$2576,P1981),"")</f>
        <v/>
      </c>
      <c r="R1981" t="str" cm="1">
        <f t="array" ref="R1981">IFERROR(INDEX(DB!O$2:O$2576,P1981),"")</f>
        <v/>
      </c>
      <c r="S1981" t="str">
        <f t="shared" si="93"/>
        <v/>
      </c>
      <c r="T1981" t="str">
        <f t="shared" si="94"/>
        <v/>
      </c>
    </row>
    <row r="1982" spans="1:20" ht="100" customHeight="1">
      <c r="A1982" s="26"/>
      <c r="B1982" s="39" t="str">
        <f t="shared" si="92"/>
        <v/>
      </c>
      <c r="C1982" s="43"/>
      <c r="D1982" s="51" t="str" cm="1">
        <f t="array" ref="D1982">IFERROR(INDEX(DB!G$2:G$2576,T1982),"")</f>
        <v/>
      </c>
      <c r="E1982" s="43"/>
      <c r="F1982" s="52" t="str" cm="1">
        <f t="array" ref="F1982">IFERROR(INDEX(DB!O$2:O$2576,T1982),"")</f>
        <v/>
      </c>
      <c r="G1982" s="43"/>
      <c r="H1982" s="40" t="str" cm="1">
        <f t="array" ref="H1982">IFERROR(INDEX(DB!P$2:P$2576,T1982),"")</f>
        <v/>
      </c>
      <c r="I1982" s="43"/>
      <c r="J1982" s="53" t="str" cm="1">
        <f t="array" ref="J1982">IFERROR(INDEX(DB!Q$2:Q$2576,T1982),"")</f>
        <v/>
      </c>
      <c r="K1982" s="43"/>
      <c r="L1982" s="41" t="str" cm="1">
        <f t="array" ref="L1982">IFERROR(INDEX(DB!R$2:R$2576,T1982),"")</f>
        <v/>
      </c>
      <c r="M1982" s="43"/>
      <c r="P1982" t="str" cm="1">
        <f t="array" ref="P1982">IFERROR(_xlfn.AGGREGATE(15,6,ROW(DB!A$2:A$2576)/((($D$3&lt;&gt;"YES")+($D$3="YES")*(DB!E$2:E$2576="YES"))*(($D$4="")+($D$4&lt;&gt;"")*( DB!B$2:B$2576=$D$4))*(($D$5="")+($D$5&lt;&gt;"")*( DB!C$2:C$2576=$D$5))*(($D$6="")+($D$6&lt;&gt;"")*( DB!D$2:D$2576=$D$6))*(($D$7="")+($D$7&lt;&gt;"")*(ISNUMBER(SEARCH($D$7,DB!G$2:G$2576))))*(($F$7="전체")+($F$7&lt;&gt;"전체")*(DB!H$2:H$2576=$F$7))),ROW()-13)-1,"")</f>
        <v/>
      </c>
      <c r="Q1982" t="str" cm="1">
        <f t="array" ref="Q1982">IFERROR(INDEX(DB!G$2:G$2576,P1982),"")</f>
        <v/>
      </c>
      <c r="R1982" t="str" cm="1">
        <f t="array" ref="R1982">IFERROR(INDEX(DB!O$2:O$2576,P1982),"")</f>
        <v/>
      </c>
      <c r="S1982" t="str">
        <f t="shared" si="93"/>
        <v/>
      </c>
      <c r="T1982" t="str">
        <f t="shared" si="94"/>
        <v/>
      </c>
    </row>
    <row r="1983" spans="1:20" ht="100" customHeight="1">
      <c r="A1983" s="26"/>
      <c r="B1983" s="42" t="str">
        <f t="shared" si="92"/>
        <v/>
      </c>
      <c r="C1983" s="43"/>
      <c r="D1983" s="51" t="str" cm="1">
        <f t="array" ref="D1983">IFERROR(INDEX(DB!G$2:G$2576,T1983),"")</f>
        <v/>
      </c>
      <c r="E1983" s="43"/>
      <c r="F1983" s="52" t="str" cm="1">
        <f t="array" ref="F1983">IFERROR(INDEX(DB!O$2:O$2576,T1983),"")</f>
        <v/>
      </c>
      <c r="G1983" s="43"/>
      <c r="H1983" s="40" t="str" cm="1">
        <f t="array" ref="H1983">IFERROR(INDEX(DB!P$2:P$2576,T1983),"")</f>
        <v/>
      </c>
      <c r="I1983" s="43"/>
      <c r="J1983" s="53" t="str" cm="1">
        <f t="array" ref="J1983">IFERROR(INDEX(DB!Q$2:Q$2576,T1983),"")</f>
        <v/>
      </c>
      <c r="K1983" s="43"/>
      <c r="L1983" s="41" t="str" cm="1">
        <f t="array" ref="L1983">IFERROR(INDEX(DB!R$2:R$2576,T1983),"")</f>
        <v/>
      </c>
      <c r="M1983" s="43"/>
      <c r="P1983" t="str" cm="1">
        <f t="array" ref="P1983">IFERROR(_xlfn.AGGREGATE(15,6,ROW(DB!A$2:A$2576)/((($D$3&lt;&gt;"YES")+($D$3="YES")*(DB!E$2:E$2576="YES"))*(($D$4="")+($D$4&lt;&gt;"")*( DB!B$2:B$2576=$D$4))*(($D$5="")+($D$5&lt;&gt;"")*( DB!C$2:C$2576=$D$5))*(($D$6="")+($D$6&lt;&gt;"")*( DB!D$2:D$2576=$D$6))*(($D$7="")+($D$7&lt;&gt;"")*(ISNUMBER(SEARCH($D$7,DB!G$2:G$2576))))*(($F$7="전체")+($F$7&lt;&gt;"전체")*(DB!H$2:H$2576=$F$7))),ROW()-13)-1,"")</f>
        <v/>
      </c>
      <c r="Q1983" t="str" cm="1">
        <f t="array" ref="Q1983">IFERROR(INDEX(DB!G$2:G$2576,P1983),"")</f>
        <v/>
      </c>
      <c r="R1983" t="str" cm="1">
        <f t="array" ref="R1983">IFERROR(INDEX(DB!O$2:O$2576,P1983),"")</f>
        <v/>
      </c>
      <c r="S1983" t="str">
        <f t="shared" si="93"/>
        <v/>
      </c>
      <c r="T1983" t="str">
        <f t="shared" si="94"/>
        <v/>
      </c>
    </row>
    <row r="1984" spans="1:20" ht="100" customHeight="1">
      <c r="A1984" s="26"/>
      <c r="B1984" s="39" t="str">
        <f t="shared" si="92"/>
        <v/>
      </c>
      <c r="C1984" s="43"/>
      <c r="D1984" s="51" t="str" cm="1">
        <f t="array" ref="D1984">IFERROR(INDEX(DB!G$2:G$2576,T1984),"")</f>
        <v/>
      </c>
      <c r="E1984" s="43"/>
      <c r="F1984" s="52" t="str" cm="1">
        <f t="array" ref="F1984">IFERROR(INDEX(DB!O$2:O$2576,T1984),"")</f>
        <v/>
      </c>
      <c r="G1984" s="43"/>
      <c r="H1984" s="40" t="str" cm="1">
        <f t="array" ref="H1984">IFERROR(INDEX(DB!P$2:P$2576,T1984),"")</f>
        <v/>
      </c>
      <c r="I1984" s="43"/>
      <c r="J1984" s="53" t="str" cm="1">
        <f t="array" ref="J1984">IFERROR(INDEX(DB!Q$2:Q$2576,T1984),"")</f>
        <v/>
      </c>
      <c r="K1984" s="43"/>
      <c r="L1984" s="41" t="str" cm="1">
        <f t="array" ref="L1984">IFERROR(INDEX(DB!R$2:R$2576,T1984),"")</f>
        <v/>
      </c>
      <c r="M1984" s="43"/>
      <c r="P1984" t="str" cm="1">
        <f t="array" ref="P1984">IFERROR(_xlfn.AGGREGATE(15,6,ROW(DB!A$2:A$2576)/((($D$3&lt;&gt;"YES")+($D$3="YES")*(DB!E$2:E$2576="YES"))*(($D$4="")+($D$4&lt;&gt;"")*( DB!B$2:B$2576=$D$4))*(($D$5="")+($D$5&lt;&gt;"")*( DB!C$2:C$2576=$D$5))*(($D$6="")+($D$6&lt;&gt;"")*( DB!D$2:D$2576=$D$6))*(($D$7="")+($D$7&lt;&gt;"")*(ISNUMBER(SEARCH($D$7,DB!G$2:G$2576))))*(($F$7="전체")+($F$7&lt;&gt;"전체")*(DB!H$2:H$2576=$F$7))),ROW()-13)-1,"")</f>
        <v/>
      </c>
      <c r="Q1984" t="str" cm="1">
        <f t="array" ref="Q1984">IFERROR(INDEX(DB!G$2:G$2576,P1984),"")</f>
        <v/>
      </c>
      <c r="R1984" t="str" cm="1">
        <f t="array" ref="R1984">IFERROR(INDEX(DB!O$2:O$2576,P1984),"")</f>
        <v/>
      </c>
      <c r="S1984" t="str">
        <f t="shared" si="93"/>
        <v/>
      </c>
      <c r="T1984" t="str">
        <f t="shared" si="94"/>
        <v/>
      </c>
    </row>
    <row r="1985" spans="1:20" ht="100" customHeight="1">
      <c r="A1985" s="26"/>
      <c r="B1985" s="42" t="str">
        <f t="shared" si="92"/>
        <v/>
      </c>
      <c r="C1985" s="43"/>
      <c r="D1985" s="51" t="str" cm="1">
        <f t="array" ref="D1985">IFERROR(INDEX(DB!G$2:G$2576,T1985),"")</f>
        <v/>
      </c>
      <c r="E1985" s="43"/>
      <c r="F1985" s="52" t="str" cm="1">
        <f t="array" ref="F1985">IFERROR(INDEX(DB!O$2:O$2576,T1985),"")</f>
        <v/>
      </c>
      <c r="G1985" s="43"/>
      <c r="H1985" s="40" t="str" cm="1">
        <f t="array" ref="H1985">IFERROR(INDEX(DB!P$2:P$2576,T1985),"")</f>
        <v/>
      </c>
      <c r="I1985" s="43"/>
      <c r="J1985" s="53" t="str" cm="1">
        <f t="array" ref="J1985">IFERROR(INDEX(DB!Q$2:Q$2576,T1985),"")</f>
        <v/>
      </c>
      <c r="K1985" s="43"/>
      <c r="L1985" s="41" t="str" cm="1">
        <f t="array" ref="L1985">IFERROR(INDEX(DB!R$2:R$2576,T1985),"")</f>
        <v/>
      </c>
      <c r="M1985" s="43"/>
      <c r="P1985" t="str" cm="1">
        <f t="array" ref="P1985">IFERROR(_xlfn.AGGREGATE(15,6,ROW(DB!A$2:A$2576)/((($D$3&lt;&gt;"YES")+($D$3="YES")*(DB!E$2:E$2576="YES"))*(($D$4="")+($D$4&lt;&gt;"")*( DB!B$2:B$2576=$D$4))*(($D$5="")+($D$5&lt;&gt;"")*( DB!C$2:C$2576=$D$5))*(($D$6="")+($D$6&lt;&gt;"")*( DB!D$2:D$2576=$D$6))*(($D$7="")+($D$7&lt;&gt;"")*(ISNUMBER(SEARCH($D$7,DB!G$2:G$2576))))*(($F$7="전체")+($F$7&lt;&gt;"전체")*(DB!H$2:H$2576=$F$7))),ROW()-13)-1,"")</f>
        <v/>
      </c>
      <c r="Q1985" t="str" cm="1">
        <f t="array" ref="Q1985">IFERROR(INDEX(DB!G$2:G$2576,P1985),"")</f>
        <v/>
      </c>
      <c r="R1985" t="str" cm="1">
        <f t="array" ref="R1985">IFERROR(INDEX(DB!O$2:O$2576,P1985),"")</f>
        <v/>
      </c>
      <c r="S1985" t="str">
        <f t="shared" si="93"/>
        <v/>
      </c>
      <c r="T1985" t="str">
        <f t="shared" si="94"/>
        <v/>
      </c>
    </row>
    <row r="1986" spans="1:20" ht="100" customHeight="1">
      <c r="A1986" s="26"/>
      <c r="B1986" s="39" t="str">
        <f t="shared" si="92"/>
        <v/>
      </c>
      <c r="C1986" s="43"/>
      <c r="D1986" s="51" t="str" cm="1">
        <f t="array" ref="D1986">IFERROR(INDEX(DB!G$2:G$2576,T1986),"")</f>
        <v/>
      </c>
      <c r="E1986" s="43"/>
      <c r="F1986" s="52" t="str" cm="1">
        <f t="array" ref="F1986">IFERROR(INDEX(DB!O$2:O$2576,T1986),"")</f>
        <v/>
      </c>
      <c r="G1986" s="43"/>
      <c r="H1986" s="40" t="str" cm="1">
        <f t="array" ref="H1986">IFERROR(INDEX(DB!P$2:P$2576,T1986),"")</f>
        <v/>
      </c>
      <c r="I1986" s="43"/>
      <c r="J1986" s="53" t="str" cm="1">
        <f t="array" ref="J1986">IFERROR(INDEX(DB!Q$2:Q$2576,T1986),"")</f>
        <v/>
      </c>
      <c r="K1986" s="43"/>
      <c r="L1986" s="41" t="str" cm="1">
        <f t="array" ref="L1986">IFERROR(INDEX(DB!R$2:R$2576,T1986),"")</f>
        <v/>
      </c>
      <c r="M1986" s="43"/>
      <c r="P1986" t="str" cm="1">
        <f t="array" ref="P1986">IFERROR(_xlfn.AGGREGATE(15,6,ROW(DB!A$2:A$2576)/((($D$3&lt;&gt;"YES")+($D$3="YES")*(DB!E$2:E$2576="YES"))*(($D$4="")+($D$4&lt;&gt;"")*( DB!B$2:B$2576=$D$4))*(($D$5="")+($D$5&lt;&gt;"")*( DB!C$2:C$2576=$D$5))*(($D$6="")+($D$6&lt;&gt;"")*( DB!D$2:D$2576=$D$6))*(($D$7="")+($D$7&lt;&gt;"")*(ISNUMBER(SEARCH($D$7,DB!G$2:G$2576))))*(($F$7="전체")+($F$7&lt;&gt;"전체")*(DB!H$2:H$2576=$F$7))),ROW()-13)-1,"")</f>
        <v/>
      </c>
      <c r="Q1986" t="str" cm="1">
        <f t="array" ref="Q1986">IFERROR(INDEX(DB!G$2:G$2576,P1986),"")</f>
        <v/>
      </c>
      <c r="R1986" t="str" cm="1">
        <f t="array" ref="R1986">IFERROR(INDEX(DB!O$2:O$2576,P1986),"")</f>
        <v/>
      </c>
      <c r="S1986" t="str">
        <f t="shared" si="93"/>
        <v/>
      </c>
      <c r="T1986" t="str">
        <f t="shared" si="94"/>
        <v/>
      </c>
    </row>
    <row r="1987" spans="1:20" ht="100" customHeight="1">
      <c r="A1987" s="26"/>
      <c r="B1987" s="42" t="str">
        <f t="shared" si="92"/>
        <v/>
      </c>
      <c r="C1987" s="43"/>
      <c r="D1987" s="51" t="str" cm="1">
        <f t="array" ref="D1987">IFERROR(INDEX(DB!G$2:G$2576,T1987),"")</f>
        <v/>
      </c>
      <c r="E1987" s="43"/>
      <c r="F1987" s="52" t="str" cm="1">
        <f t="array" ref="F1987">IFERROR(INDEX(DB!O$2:O$2576,T1987),"")</f>
        <v/>
      </c>
      <c r="G1987" s="43"/>
      <c r="H1987" s="40" t="str" cm="1">
        <f t="array" ref="H1987">IFERROR(INDEX(DB!P$2:P$2576,T1987),"")</f>
        <v/>
      </c>
      <c r="I1987" s="43"/>
      <c r="J1987" s="53" t="str" cm="1">
        <f t="array" ref="J1987">IFERROR(INDEX(DB!Q$2:Q$2576,T1987),"")</f>
        <v/>
      </c>
      <c r="K1987" s="43"/>
      <c r="L1987" s="41" t="str" cm="1">
        <f t="array" ref="L1987">IFERROR(INDEX(DB!R$2:R$2576,T1987),"")</f>
        <v/>
      </c>
      <c r="M1987" s="43"/>
      <c r="P1987" t="str" cm="1">
        <f t="array" ref="P1987">IFERROR(_xlfn.AGGREGATE(15,6,ROW(DB!A$2:A$2576)/((($D$3&lt;&gt;"YES")+($D$3="YES")*(DB!E$2:E$2576="YES"))*(($D$4="")+($D$4&lt;&gt;"")*( DB!B$2:B$2576=$D$4))*(($D$5="")+($D$5&lt;&gt;"")*( DB!C$2:C$2576=$D$5))*(($D$6="")+($D$6&lt;&gt;"")*( DB!D$2:D$2576=$D$6))*(($D$7="")+($D$7&lt;&gt;"")*(ISNUMBER(SEARCH($D$7,DB!G$2:G$2576))))*(($F$7="전체")+($F$7&lt;&gt;"전체")*(DB!H$2:H$2576=$F$7))),ROW()-13)-1,"")</f>
        <v/>
      </c>
      <c r="Q1987" t="str" cm="1">
        <f t="array" ref="Q1987">IFERROR(INDEX(DB!G$2:G$2576,P1987),"")</f>
        <v/>
      </c>
      <c r="R1987" t="str" cm="1">
        <f t="array" ref="R1987">IFERROR(INDEX(DB!O$2:O$2576,P1987),"")</f>
        <v/>
      </c>
      <c r="S1987" t="str">
        <f t="shared" si="93"/>
        <v/>
      </c>
      <c r="T1987" t="str">
        <f t="shared" si="94"/>
        <v/>
      </c>
    </row>
    <row r="1988" spans="1:20" ht="100" customHeight="1">
      <c r="A1988" s="26"/>
      <c r="B1988" s="39" t="str">
        <f t="shared" si="92"/>
        <v/>
      </c>
      <c r="C1988" s="43"/>
      <c r="D1988" s="51" t="str" cm="1">
        <f t="array" ref="D1988">IFERROR(INDEX(DB!G$2:G$2576,T1988),"")</f>
        <v/>
      </c>
      <c r="E1988" s="43"/>
      <c r="F1988" s="52" t="str" cm="1">
        <f t="array" ref="F1988">IFERROR(INDEX(DB!O$2:O$2576,T1988),"")</f>
        <v/>
      </c>
      <c r="G1988" s="43"/>
      <c r="H1988" s="40" t="str" cm="1">
        <f t="array" ref="H1988">IFERROR(INDEX(DB!P$2:P$2576,T1988),"")</f>
        <v/>
      </c>
      <c r="I1988" s="43"/>
      <c r="J1988" s="53" t="str" cm="1">
        <f t="array" ref="J1988">IFERROR(INDEX(DB!Q$2:Q$2576,T1988),"")</f>
        <v/>
      </c>
      <c r="K1988" s="43"/>
      <c r="L1988" s="41" t="str" cm="1">
        <f t="array" ref="L1988">IFERROR(INDEX(DB!R$2:R$2576,T1988),"")</f>
        <v/>
      </c>
      <c r="M1988" s="43"/>
      <c r="P1988" t="str" cm="1">
        <f t="array" ref="P1988">IFERROR(_xlfn.AGGREGATE(15,6,ROW(DB!A$2:A$2576)/((($D$3&lt;&gt;"YES")+($D$3="YES")*(DB!E$2:E$2576="YES"))*(($D$4="")+($D$4&lt;&gt;"")*( DB!B$2:B$2576=$D$4))*(($D$5="")+($D$5&lt;&gt;"")*( DB!C$2:C$2576=$D$5))*(($D$6="")+($D$6&lt;&gt;"")*( DB!D$2:D$2576=$D$6))*(($D$7="")+($D$7&lt;&gt;"")*(ISNUMBER(SEARCH($D$7,DB!G$2:G$2576))))*(($F$7="전체")+($F$7&lt;&gt;"전체")*(DB!H$2:H$2576=$F$7))),ROW()-13)-1,"")</f>
        <v/>
      </c>
      <c r="Q1988" t="str" cm="1">
        <f t="array" ref="Q1988">IFERROR(INDEX(DB!G$2:G$2576,P1988),"")</f>
        <v/>
      </c>
      <c r="R1988" t="str" cm="1">
        <f t="array" ref="R1988">IFERROR(INDEX(DB!O$2:O$2576,P1988),"")</f>
        <v/>
      </c>
      <c r="S1988" t="str">
        <f t="shared" si="93"/>
        <v/>
      </c>
      <c r="T1988" t="str">
        <f t="shared" si="94"/>
        <v/>
      </c>
    </row>
    <row r="1989" spans="1:20" ht="100" customHeight="1">
      <c r="A1989" s="26"/>
      <c r="B1989" s="42" t="str">
        <f t="shared" si="92"/>
        <v/>
      </c>
      <c r="C1989" s="43"/>
      <c r="D1989" s="51" t="str" cm="1">
        <f t="array" ref="D1989">IFERROR(INDEX(DB!G$2:G$2576,T1989),"")</f>
        <v/>
      </c>
      <c r="E1989" s="43"/>
      <c r="F1989" s="52" t="str" cm="1">
        <f t="array" ref="F1989">IFERROR(INDEX(DB!O$2:O$2576,T1989),"")</f>
        <v/>
      </c>
      <c r="G1989" s="43"/>
      <c r="H1989" s="40" t="str" cm="1">
        <f t="array" ref="H1989">IFERROR(INDEX(DB!P$2:P$2576,T1989),"")</f>
        <v/>
      </c>
      <c r="I1989" s="43"/>
      <c r="J1989" s="53" t="str" cm="1">
        <f t="array" ref="J1989">IFERROR(INDEX(DB!Q$2:Q$2576,T1989),"")</f>
        <v/>
      </c>
      <c r="K1989" s="43"/>
      <c r="L1989" s="41" t="str" cm="1">
        <f t="array" ref="L1989">IFERROR(INDEX(DB!R$2:R$2576,T1989),"")</f>
        <v/>
      </c>
      <c r="M1989" s="43"/>
      <c r="P1989" t="str" cm="1">
        <f t="array" ref="P1989">IFERROR(_xlfn.AGGREGATE(15,6,ROW(DB!A$2:A$2576)/((($D$3&lt;&gt;"YES")+($D$3="YES")*(DB!E$2:E$2576="YES"))*(($D$4="")+($D$4&lt;&gt;"")*( DB!B$2:B$2576=$D$4))*(($D$5="")+($D$5&lt;&gt;"")*( DB!C$2:C$2576=$D$5))*(($D$6="")+($D$6&lt;&gt;"")*( DB!D$2:D$2576=$D$6))*(($D$7="")+($D$7&lt;&gt;"")*(ISNUMBER(SEARCH($D$7,DB!G$2:G$2576))))*(($F$7="전체")+($F$7&lt;&gt;"전체")*(DB!H$2:H$2576=$F$7))),ROW()-13)-1,"")</f>
        <v/>
      </c>
      <c r="Q1989" t="str" cm="1">
        <f t="array" ref="Q1989">IFERROR(INDEX(DB!G$2:G$2576,P1989),"")</f>
        <v/>
      </c>
      <c r="R1989" t="str" cm="1">
        <f t="array" ref="R1989">IFERROR(INDEX(DB!O$2:O$2576,P1989),"")</f>
        <v/>
      </c>
      <c r="S1989" t="str">
        <f t="shared" si="93"/>
        <v/>
      </c>
      <c r="T1989" t="str">
        <f t="shared" si="94"/>
        <v/>
      </c>
    </row>
    <row r="1990" spans="1:20" ht="100" customHeight="1">
      <c r="A1990" s="26"/>
      <c r="B1990" s="39" t="str">
        <f t="shared" si="92"/>
        <v/>
      </c>
      <c r="C1990" s="43"/>
      <c r="D1990" s="51" t="str" cm="1">
        <f t="array" ref="D1990">IFERROR(INDEX(DB!G$2:G$2576,T1990),"")</f>
        <v/>
      </c>
      <c r="E1990" s="43"/>
      <c r="F1990" s="52" t="str" cm="1">
        <f t="array" ref="F1990">IFERROR(INDEX(DB!O$2:O$2576,T1990),"")</f>
        <v/>
      </c>
      <c r="G1990" s="43"/>
      <c r="H1990" s="40" t="str" cm="1">
        <f t="array" ref="H1990">IFERROR(INDEX(DB!P$2:P$2576,T1990),"")</f>
        <v/>
      </c>
      <c r="I1990" s="43"/>
      <c r="J1990" s="53" t="str" cm="1">
        <f t="array" ref="J1990">IFERROR(INDEX(DB!Q$2:Q$2576,T1990),"")</f>
        <v/>
      </c>
      <c r="K1990" s="43"/>
      <c r="L1990" s="41" t="str" cm="1">
        <f t="array" ref="L1990">IFERROR(INDEX(DB!R$2:R$2576,T1990),"")</f>
        <v/>
      </c>
      <c r="M1990" s="43"/>
      <c r="P1990" t="str" cm="1">
        <f t="array" ref="P1990">IFERROR(_xlfn.AGGREGATE(15,6,ROW(DB!A$2:A$2576)/((($D$3&lt;&gt;"YES")+($D$3="YES")*(DB!E$2:E$2576="YES"))*(($D$4="")+($D$4&lt;&gt;"")*( DB!B$2:B$2576=$D$4))*(($D$5="")+($D$5&lt;&gt;"")*( DB!C$2:C$2576=$D$5))*(($D$6="")+($D$6&lt;&gt;"")*( DB!D$2:D$2576=$D$6))*(($D$7="")+($D$7&lt;&gt;"")*(ISNUMBER(SEARCH($D$7,DB!G$2:G$2576))))*(($F$7="전체")+($F$7&lt;&gt;"전체")*(DB!H$2:H$2576=$F$7))),ROW()-13)-1,"")</f>
        <v/>
      </c>
      <c r="Q1990" t="str" cm="1">
        <f t="array" ref="Q1990">IFERROR(INDEX(DB!G$2:G$2576,P1990),"")</f>
        <v/>
      </c>
      <c r="R1990" t="str" cm="1">
        <f t="array" ref="R1990">IFERROR(INDEX(DB!O$2:O$2576,P1990),"")</f>
        <v/>
      </c>
      <c r="S1990" t="str">
        <f t="shared" si="93"/>
        <v/>
      </c>
      <c r="T1990" t="str">
        <f t="shared" si="94"/>
        <v/>
      </c>
    </row>
    <row r="1991" spans="1:20" ht="100" customHeight="1">
      <c r="A1991" s="26"/>
      <c r="B1991" s="42" t="str">
        <f t="shared" si="92"/>
        <v/>
      </c>
      <c r="C1991" s="43"/>
      <c r="D1991" s="51" t="str" cm="1">
        <f t="array" ref="D1991">IFERROR(INDEX(DB!G$2:G$2576,T1991),"")</f>
        <v/>
      </c>
      <c r="E1991" s="43"/>
      <c r="F1991" s="52" t="str" cm="1">
        <f t="array" ref="F1991">IFERROR(INDEX(DB!O$2:O$2576,T1991),"")</f>
        <v/>
      </c>
      <c r="G1991" s="43"/>
      <c r="H1991" s="40" t="str" cm="1">
        <f t="array" ref="H1991">IFERROR(INDEX(DB!P$2:P$2576,T1991),"")</f>
        <v/>
      </c>
      <c r="I1991" s="43"/>
      <c r="J1991" s="53" t="str" cm="1">
        <f t="array" ref="J1991">IFERROR(INDEX(DB!Q$2:Q$2576,T1991),"")</f>
        <v/>
      </c>
      <c r="K1991" s="43"/>
      <c r="L1991" s="41" t="str" cm="1">
        <f t="array" ref="L1991">IFERROR(INDEX(DB!R$2:R$2576,T1991),"")</f>
        <v/>
      </c>
      <c r="M1991" s="43"/>
      <c r="P1991" t="str" cm="1">
        <f t="array" ref="P1991">IFERROR(_xlfn.AGGREGATE(15,6,ROW(DB!A$2:A$2576)/((($D$3&lt;&gt;"YES")+($D$3="YES")*(DB!E$2:E$2576="YES"))*(($D$4="")+($D$4&lt;&gt;"")*( DB!B$2:B$2576=$D$4))*(($D$5="")+($D$5&lt;&gt;"")*( DB!C$2:C$2576=$D$5))*(($D$6="")+($D$6&lt;&gt;"")*( DB!D$2:D$2576=$D$6))*(($D$7="")+($D$7&lt;&gt;"")*(ISNUMBER(SEARCH($D$7,DB!G$2:G$2576))))*(($F$7="전체")+($F$7&lt;&gt;"전체")*(DB!H$2:H$2576=$F$7))),ROW()-13)-1,"")</f>
        <v/>
      </c>
      <c r="Q1991" t="str" cm="1">
        <f t="array" ref="Q1991">IFERROR(INDEX(DB!G$2:G$2576,P1991),"")</f>
        <v/>
      </c>
      <c r="R1991" t="str" cm="1">
        <f t="array" ref="R1991">IFERROR(INDEX(DB!O$2:O$2576,P1991),"")</f>
        <v/>
      </c>
      <c r="S1991" t="str">
        <f t="shared" si="93"/>
        <v/>
      </c>
      <c r="T1991" t="str">
        <f t="shared" si="94"/>
        <v/>
      </c>
    </row>
    <row r="1992" spans="1:20" ht="100" customHeight="1">
      <c r="A1992" s="26"/>
      <c r="B1992" s="39" t="str">
        <f t="shared" si="92"/>
        <v/>
      </c>
      <c r="C1992" s="43"/>
      <c r="D1992" s="51" t="str" cm="1">
        <f t="array" ref="D1992">IFERROR(INDEX(DB!G$2:G$2576,T1992),"")</f>
        <v/>
      </c>
      <c r="E1992" s="43"/>
      <c r="F1992" s="52" t="str" cm="1">
        <f t="array" ref="F1992">IFERROR(INDEX(DB!O$2:O$2576,T1992),"")</f>
        <v/>
      </c>
      <c r="G1992" s="43"/>
      <c r="H1992" s="40" t="str" cm="1">
        <f t="array" ref="H1992">IFERROR(INDEX(DB!P$2:P$2576,T1992),"")</f>
        <v/>
      </c>
      <c r="I1992" s="43"/>
      <c r="J1992" s="53" t="str" cm="1">
        <f t="array" ref="J1992">IFERROR(INDEX(DB!Q$2:Q$2576,T1992),"")</f>
        <v/>
      </c>
      <c r="K1992" s="43"/>
      <c r="L1992" s="41" t="str" cm="1">
        <f t="array" ref="L1992">IFERROR(INDEX(DB!R$2:R$2576,T1992),"")</f>
        <v/>
      </c>
      <c r="M1992" s="43"/>
      <c r="P1992" t="str" cm="1">
        <f t="array" ref="P1992">IFERROR(_xlfn.AGGREGATE(15,6,ROW(DB!A$2:A$2576)/((($D$3&lt;&gt;"YES")+($D$3="YES")*(DB!E$2:E$2576="YES"))*(($D$4="")+($D$4&lt;&gt;"")*( DB!B$2:B$2576=$D$4))*(($D$5="")+($D$5&lt;&gt;"")*( DB!C$2:C$2576=$D$5))*(($D$6="")+($D$6&lt;&gt;"")*( DB!D$2:D$2576=$D$6))*(($D$7="")+($D$7&lt;&gt;"")*(ISNUMBER(SEARCH($D$7,DB!G$2:G$2576))))*(($F$7="전체")+($F$7&lt;&gt;"전체")*(DB!H$2:H$2576=$F$7))),ROW()-13)-1,"")</f>
        <v/>
      </c>
      <c r="Q1992" t="str" cm="1">
        <f t="array" ref="Q1992">IFERROR(INDEX(DB!G$2:G$2576,P1992),"")</f>
        <v/>
      </c>
      <c r="R1992" t="str" cm="1">
        <f t="array" ref="R1992">IFERROR(INDEX(DB!O$2:O$2576,P1992),"")</f>
        <v/>
      </c>
      <c r="S1992" t="str">
        <f t="shared" si="93"/>
        <v/>
      </c>
      <c r="T1992" t="str">
        <f t="shared" si="94"/>
        <v/>
      </c>
    </row>
    <row r="1993" spans="1:20" ht="100" customHeight="1">
      <c r="A1993" s="26"/>
      <c r="B1993" s="42" t="str">
        <f t="shared" si="92"/>
        <v/>
      </c>
      <c r="C1993" s="43"/>
      <c r="D1993" s="51" t="str" cm="1">
        <f t="array" ref="D1993">IFERROR(INDEX(DB!G$2:G$2576,T1993),"")</f>
        <v/>
      </c>
      <c r="E1993" s="43"/>
      <c r="F1993" s="52" t="str" cm="1">
        <f t="array" ref="F1993">IFERROR(INDEX(DB!O$2:O$2576,T1993),"")</f>
        <v/>
      </c>
      <c r="G1993" s="43"/>
      <c r="H1993" s="40" t="str" cm="1">
        <f t="array" ref="H1993">IFERROR(INDEX(DB!P$2:P$2576,T1993),"")</f>
        <v/>
      </c>
      <c r="I1993" s="43"/>
      <c r="J1993" s="53" t="str" cm="1">
        <f t="array" ref="J1993">IFERROR(INDEX(DB!Q$2:Q$2576,T1993),"")</f>
        <v/>
      </c>
      <c r="K1993" s="43"/>
      <c r="L1993" s="41" t="str" cm="1">
        <f t="array" ref="L1993">IFERROR(INDEX(DB!R$2:R$2576,T1993),"")</f>
        <v/>
      </c>
      <c r="M1993" s="43"/>
      <c r="P1993" t="str" cm="1">
        <f t="array" ref="P1993">IFERROR(_xlfn.AGGREGATE(15,6,ROW(DB!A$2:A$2576)/((($D$3&lt;&gt;"YES")+($D$3="YES")*(DB!E$2:E$2576="YES"))*(($D$4="")+($D$4&lt;&gt;"")*( DB!B$2:B$2576=$D$4))*(($D$5="")+($D$5&lt;&gt;"")*( DB!C$2:C$2576=$D$5))*(($D$6="")+($D$6&lt;&gt;"")*( DB!D$2:D$2576=$D$6))*(($D$7="")+($D$7&lt;&gt;"")*(ISNUMBER(SEARCH($D$7,DB!G$2:G$2576))))*(($F$7="전체")+($F$7&lt;&gt;"전체")*(DB!H$2:H$2576=$F$7))),ROW()-13)-1,"")</f>
        <v/>
      </c>
      <c r="Q1993" t="str" cm="1">
        <f t="array" ref="Q1993">IFERROR(INDEX(DB!G$2:G$2576,P1993),"")</f>
        <v/>
      </c>
      <c r="R1993" t="str" cm="1">
        <f t="array" ref="R1993">IFERROR(INDEX(DB!O$2:O$2576,P1993),"")</f>
        <v/>
      </c>
      <c r="S1993" t="str">
        <f t="shared" si="93"/>
        <v/>
      </c>
      <c r="T1993" t="str">
        <f t="shared" si="94"/>
        <v/>
      </c>
    </row>
    <row r="1994" spans="1:20" ht="100" customHeight="1">
      <c r="A1994" s="26"/>
      <c r="B1994" s="39" t="str">
        <f t="shared" si="92"/>
        <v/>
      </c>
      <c r="C1994" s="43"/>
      <c r="D1994" s="51" t="str" cm="1">
        <f t="array" ref="D1994">IFERROR(INDEX(DB!G$2:G$2576,T1994),"")</f>
        <v/>
      </c>
      <c r="E1994" s="43"/>
      <c r="F1994" s="52" t="str" cm="1">
        <f t="array" ref="F1994">IFERROR(INDEX(DB!O$2:O$2576,T1994),"")</f>
        <v/>
      </c>
      <c r="G1994" s="43"/>
      <c r="H1994" s="40" t="str" cm="1">
        <f t="array" ref="H1994">IFERROR(INDEX(DB!P$2:P$2576,T1994),"")</f>
        <v/>
      </c>
      <c r="I1994" s="43"/>
      <c r="J1994" s="53" t="str" cm="1">
        <f t="array" ref="J1994">IFERROR(INDEX(DB!Q$2:Q$2576,T1994),"")</f>
        <v/>
      </c>
      <c r="K1994" s="43"/>
      <c r="L1994" s="41" t="str" cm="1">
        <f t="array" ref="L1994">IFERROR(INDEX(DB!R$2:R$2576,T1994),"")</f>
        <v/>
      </c>
      <c r="M1994" s="43"/>
      <c r="P1994" t="str" cm="1">
        <f t="array" ref="P1994">IFERROR(_xlfn.AGGREGATE(15,6,ROW(DB!A$2:A$2576)/((($D$3&lt;&gt;"YES")+($D$3="YES")*(DB!E$2:E$2576="YES"))*(($D$4="")+($D$4&lt;&gt;"")*( DB!B$2:B$2576=$D$4))*(($D$5="")+($D$5&lt;&gt;"")*( DB!C$2:C$2576=$D$5))*(($D$6="")+($D$6&lt;&gt;"")*( DB!D$2:D$2576=$D$6))*(($D$7="")+($D$7&lt;&gt;"")*(ISNUMBER(SEARCH($D$7,DB!G$2:G$2576))))*(($F$7="전체")+($F$7&lt;&gt;"전체")*(DB!H$2:H$2576=$F$7))),ROW()-13)-1,"")</f>
        <v/>
      </c>
      <c r="Q1994" t="str" cm="1">
        <f t="array" ref="Q1994">IFERROR(INDEX(DB!G$2:G$2576,P1994),"")</f>
        <v/>
      </c>
      <c r="R1994" t="str" cm="1">
        <f t="array" ref="R1994">IFERROR(INDEX(DB!O$2:O$2576,P1994),"")</f>
        <v/>
      </c>
      <c r="S1994" t="str">
        <f t="shared" si="93"/>
        <v/>
      </c>
      <c r="T1994" t="str">
        <f t="shared" si="94"/>
        <v/>
      </c>
    </row>
    <row r="1995" spans="1:20" ht="100" customHeight="1">
      <c r="A1995" s="26"/>
      <c r="B1995" s="42" t="str">
        <f t="shared" si="92"/>
        <v/>
      </c>
      <c r="C1995" s="43"/>
      <c r="D1995" s="51" t="str" cm="1">
        <f t="array" ref="D1995">IFERROR(INDEX(DB!G$2:G$2576,T1995),"")</f>
        <v/>
      </c>
      <c r="E1995" s="43"/>
      <c r="F1995" s="52" t="str" cm="1">
        <f t="array" ref="F1995">IFERROR(INDEX(DB!O$2:O$2576,T1995),"")</f>
        <v/>
      </c>
      <c r="G1995" s="43"/>
      <c r="H1995" s="40" t="str" cm="1">
        <f t="array" ref="H1995">IFERROR(INDEX(DB!P$2:P$2576,T1995),"")</f>
        <v/>
      </c>
      <c r="I1995" s="43"/>
      <c r="J1995" s="53" t="str" cm="1">
        <f t="array" ref="J1995">IFERROR(INDEX(DB!Q$2:Q$2576,T1995),"")</f>
        <v/>
      </c>
      <c r="K1995" s="43"/>
      <c r="L1995" s="41" t="str" cm="1">
        <f t="array" ref="L1995">IFERROR(INDEX(DB!R$2:R$2576,T1995),"")</f>
        <v/>
      </c>
      <c r="M1995" s="43"/>
      <c r="P1995" t="str" cm="1">
        <f t="array" ref="P1995">IFERROR(_xlfn.AGGREGATE(15,6,ROW(DB!A$2:A$2576)/((($D$3&lt;&gt;"YES")+($D$3="YES")*(DB!E$2:E$2576="YES"))*(($D$4="")+($D$4&lt;&gt;"")*( DB!B$2:B$2576=$D$4))*(($D$5="")+($D$5&lt;&gt;"")*( DB!C$2:C$2576=$D$5))*(($D$6="")+($D$6&lt;&gt;"")*( DB!D$2:D$2576=$D$6))*(($D$7="")+($D$7&lt;&gt;"")*(ISNUMBER(SEARCH($D$7,DB!G$2:G$2576))))*(($F$7="전체")+($F$7&lt;&gt;"전체")*(DB!H$2:H$2576=$F$7))),ROW()-13)-1,"")</f>
        <v/>
      </c>
      <c r="Q1995" t="str" cm="1">
        <f t="array" ref="Q1995">IFERROR(INDEX(DB!G$2:G$2576,P1995),"")</f>
        <v/>
      </c>
      <c r="R1995" t="str" cm="1">
        <f t="array" ref="R1995">IFERROR(INDEX(DB!O$2:O$2576,P1995),"")</f>
        <v/>
      </c>
      <c r="S1995" t="str">
        <f t="shared" si="93"/>
        <v/>
      </c>
      <c r="T1995" t="str">
        <f t="shared" si="94"/>
        <v/>
      </c>
    </row>
    <row r="1996" spans="1:20" ht="100" customHeight="1">
      <c r="A1996" s="26"/>
      <c r="B1996" s="39" t="str">
        <f t="shared" si="92"/>
        <v/>
      </c>
      <c r="C1996" s="43"/>
      <c r="D1996" s="51" t="str" cm="1">
        <f t="array" ref="D1996">IFERROR(INDEX(DB!G$2:G$2576,T1996),"")</f>
        <v/>
      </c>
      <c r="E1996" s="43"/>
      <c r="F1996" s="52" t="str" cm="1">
        <f t="array" ref="F1996">IFERROR(INDEX(DB!O$2:O$2576,T1996),"")</f>
        <v/>
      </c>
      <c r="G1996" s="43"/>
      <c r="H1996" s="40" t="str" cm="1">
        <f t="array" ref="H1996">IFERROR(INDEX(DB!P$2:P$2576,T1996),"")</f>
        <v/>
      </c>
      <c r="I1996" s="43"/>
      <c r="J1996" s="53" t="str" cm="1">
        <f t="array" ref="J1996">IFERROR(INDEX(DB!Q$2:Q$2576,T1996),"")</f>
        <v/>
      </c>
      <c r="K1996" s="43"/>
      <c r="L1996" s="41" t="str" cm="1">
        <f t="array" ref="L1996">IFERROR(INDEX(DB!R$2:R$2576,T1996),"")</f>
        <v/>
      </c>
      <c r="M1996" s="43"/>
      <c r="P1996" t="str" cm="1">
        <f t="array" ref="P1996">IFERROR(_xlfn.AGGREGATE(15,6,ROW(DB!A$2:A$2576)/((($D$3&lt;&gt;"YES")+($D$3="YES")*(DB!E$2:E$2576="YES"))*(($D$4="")+($D$4&lt;&gt;"")*( DB!B$2:B$2576=$D$4))*(($D$5="")+($D$5&lt;&gt;"")*( DB!C$2:C$2576=$D$5))*(($D$6="")+($D$6&lt;&gt;"")*( DB!D$2:D$2576=$D$6))*(($D$7="")+($D$7&lt;&gt;"")*(ISNUMBER(SEARCH($D$7,DB!G$2:G$2576))))*(($F$7="전체")+($F$7&lt;&gt;"전체")*(DB!H$2:H$2576=$F$7))),ROW()-13)-1,"")</f>
        <v/>
      </c>
      <c r="Q1996" t="str" cm="1">
        <f t="array" ref="Q1996">IFERROR(INDEX(DB!G$2:G$2576,P1996),"")</f>
        <v/>
      </c>
      <c r="R1996" t="str" cm="1">
        <f t="array" ref="R1996">IFERROR(INDEX(DB!O$2:O$2576,P1996),"")</f>
        <v/>
      </c>
      <c r="S1996" t="str">
        <f t="shared" si="93"/>
        <v/>
      </c>
      <c r="T1996" t="str">
        <f t="shared" si="94"/>
        <v/>
      </c>
    </row>
    <row r="1997" spans="1:20" ht="100" customHeight="1">
      <c r="A1997" s="26"/>
      <c r="B1997" s="42" t="str">
        <f t="shared" si="92"/>
        <v/>
      </c>
      <c r="C1997" s="43"/>
      <c r="D1997" s="51" t="str" cm="1">
        <f t="array" ref="D1997">IFERROR(INDEX(DB!G$2:G$2576,T1997),"")</f>
        <v/>
      </c>
      <c r="E1997" s="43"/>
      <c r="F1997" s="52" t="str" cm="1">
        <f t="array" ref="F1997">IFERROR(INDEX(DB!O$2:O$2576,T1997),"")</f>
        <v/>
      </c>
      <c r="G1997" s="43"/>
      <c r="H1997" s="40" t="str" cm="1">
        <f t="array" ref="H1997">IFERROR(INDEX(DB!P$2:P$2576,T1997),"")</f>
        <v/>
      </c>
      <c r="I1997" s="43"/>
      <c r="J1997" s="53" t="str" cm="1">
        <f t="array" ref="J1997">IFERROR(INDEX(DB!Q$2:Q$2576,T1997),"")</f>
        <v/>
      </c>
      <c r="K1997" s="43"/>
      <c r="L1997" s="41" t="str" cm="1">
        <f t="array" ref="L1997">IFERROR(INDEX(DB!R$2:R$2576,T1997),"")</f>
        <v/>
      </c>
      <c r="M1997" s="43"/>
      <c r="P1997" t="str" cm="1">
        <f t="array" ref="P1997">IFERROR(_xlfn.AGGREGATE(15,6,ROW(DB!A$2:A$2576)/((($D$3&lt;&gt;"YES")+($D$3="YES")*(DB!E$2:E$2576="YES"))*(($D$4="")+($D$4&lt;&gt;"")*( DB!B$2:B$2576=$D$4))*(($D$5="")+($D$5&lt;&gt;"")*( DB!C$2:C$2576=$D$5))*(($D$6="")+($D$6&lt;&gt;"")*( DB!D$2:D$2576=$D$6))*(($D$7="")+($D$7&lt;&gt;"")*(ISNUMBER(SEARCH($D$7,DB!G$2:G$2576))))*(($F$7="전체")+($F$7&lt;&gt;"전체")*(DB!H$2:H$2576=$F$7))),ROW()-13)-1,"")</f>
        <v/>
      </c>
      <c r="Q1997" t="str" cm="1">
        <f t="array" ref="Q1997">IFERROR(INDEX(DB!G$2:G$2576,P1997),"")</f>
        <v/>
      </c>
      <c r="R1997" t="str" cm="1">
        <f t="array" ref="R1997">IFERROR(INDEX(DB!O$2:O$2576,P1997),"")</f>
        <v/>
      </c>
      <c r="S1997" t="str">
        <f t="shared" si="93"/>
        <v/>
      </c>
      <c r="T1997" t="str">
        <f t="shared" si="94"/>
        <v/>
      </c>
    </row>
    <row r="1998" spans="1:20" ht="100" customHeight="1">
      <c r="A1998" s="26"/>
      <c r="B1998" s="39" t="str">
        <f t="shared" si="92"/>
        <v/>
      </c>
      <c r="C1998" s="43"/>
      <c r="D1998" s="51" t="str" cm="1">
        <f t="array" ref="D1998">IFERROR(INDEX(DB!G$2:G$2576,T1998),"")</f>
        <v/>
      </c>
      <c r="E1998" s="43"/>
      <c r="F1998" s="52" t="str" cm="1">
        <f t="array" ref="F1998">IFERROR(INDEX(DB!O$2:O$2576,T1998),"")</f>
        <v/>
      </c>
      <c r="G1998" s="43"/>
      <c r="H1998" s="40" t="str" cm="1">
        <f t="array" ref="H1998">IFERROR(INDEX(DB!P$2:P$2576,T1998),"")</f>
        <v/>
      </c>
      <c r="I1998" s="43"/>
      <c r="J1998" s="53" t="str" cm="1">
        <f t="array" ref="J1998">IFERROR(INDEX(DB!Q$2:Q$2576,T1998),"")</f>
        <v/>
      </c>
      <c r="K1998" s="43"/>
      <c r="L1998" s="41" t="str" cm="1">
        <f t="array" ref="L1998">IFERROR(INDEX(DB!R$2:R$2576,T1998),"")</f>
        <v/>
      </c>
      <c r="M1998" s="43"/>
      <c r="P1998" t="str" cm="1">
        <f t="array" ref="P1998">IFERROR(_xlfn.AGGREGATE(15,6,ROW(DB!A$2:A$2576)/((($D$3&lt;&gt;"YES")+($D$3="YES")*(DB!E$2:E$2576="YES"))*(($D$4="")+($D$4&lt;&gt;"")*( DB!B$2:B$2576=$D$4))*(($D$5="")+($D$5&lt;&gt;"")*( DB!C$2:C$2576=$D$5))*(($D$6="")+($D$6&lt;&gt;"")*( DB!D$2:D$2576=$D$6))*(($D$7="")+($D$7&lt;&gt;"")*(ISNUMBER(SEARCH($D$7,DB!G$2:G$2576))))*(($F$7="전체")+($F$7&lt;&gt;"전체")*(DB!H$2:H$2576=$F$7))),ROW()-13)-1,"")</f>
        <v/>
      </c>
      <c r="Q1998" t="str" cm="1">
        <f t="array" ref="Q1998">IFERROR(INDEX(DB!G$2:G$2576,P1998),"")</f>
        <v/>
      </c>
      <c r="R1998" t="str" cm="1">
        <f t="array" ref="R1998">IFERROR(INDEX(DB!O$2:O$2576,P1998),"")</f>
        <v/>
      </c>
      <c r="S1998" t="str">
        <f t="shared" si="93"/>
        <v/>
      </c>
      <c r="T1998" t="str">
        <f t="shared" si="94"/>
        <v/>
      </c>
    </row>
    <row r="1999" spans="1:20" ht="100" customHeight="1">
      <c r="A1999" s="26"/>
      <c r="B1999" s="42" t="str">
        <f t="shared" ref="B1999:B2062" si="95">IFERROR(IF(T1999="","",ROW()-13),"")</f>
        <v/>
      </c>
      <c r="C1999" s="43"/>
      <c r="D1999" s="51" t="str" cm="1">
        <f t="array" ref="D1999">IFERROR(INDEX(DB!G$2:G$2576,T1999),"")</f>
        <v/>
      </c>
      <c r="E1999" s="43"/>
      <c r="F1999" s="52" t="str" cm="1">
        <f t="array" ref="F1999">IFERROR(INDEX(DB!O$2:O$2576,T1999),"")</f>
        <v/>
      </c>
      <c r="G1999" s="43"/>
      <c r="H1999" s="40" t="str" cm="1">
        <f t="array" ref="H1999">IFERROR(INDEX(DB!P$2:P$2576,T1999),"")</f>
        <v/>
      </c>
      <c r="I1999" s="43"/>
      <c r="J1999" s="53" t="str" cm="1">
        <f t="array" ref="J1999">IFERROR(INDEX(DB!Q$2:Q$2576,T1999),"")</f>
        <v/>
      </c>
      <c r="K1999" s="43"/>
      <c r="L1999" s="41" t="str" cm="1">
        <f t="array" ref="L1999">IFERROR(INDEX(DB!R$2:R$2576,T1999),"")</f>
        <v/>
      </c>
      <c r="M1999" s="43"/>
      <c r="P1999" t="str" cm="1">
        <f t="array" ref="P1999">IFERROR(_xlfn.AGGREGATE(15,6,ROW(DB!A$2:A$2576)/((($D$3&lt;&gt;"YES")+($D$3="YES")*(DB!E$2:E$2576="YES"))*(($D$4="")+($D$4&lt;&gt;"")*( DB!B$2:B$2576=$D$4))*(($D$5="")+($D$5&lt;&gt;"")*( DB!C$2:C$2576=$D$5))*(($D$6="")+($D$6&lt;&gt;"")*( DB!D$2:D$2576=$D$6))*(($D$7="")+($D$7&lt;&gt;"")*(ISNUMBER(SEARCH($D$7,DB!G$2:G$2576))))*(($F$7="전체")+($F$7&lt;&gt;"전체")*(DB!H$2:H$2576=$F$7))),ROW()-13)-1,"")</f>
        <v/>
      </c>
      <c r="Q1999" t="str" cm="1">
        <f t="array" ref="Q1999">IFERROR(INDEX(DB!G$2:G$2576,P1999),"")</f>
        <v/>
      </c>
      <c r="R1999" t="str" cm="1">
        <f t="array" ref="R1999">IFERROR(INDEX(DB!O$2:O$2576,P1999),"")</f>
        <v/>
      </c>
      <c r="S1999" t="str">
        <f t="shared" ref="S1999:S2062" si="96">IF(P1999="","",COUNTIF($Q$14:$Q$2587,"&lt;"&amp;Q1999)*100+COUNTIF($R$14:$R$2587,"&lt;"&amp;R1999)+(ROW()-13)*0.001)</f>
        <v/>
      </c>
      <c r="T1999" t="str">
        <f t="shared" ref="T1999:T2062" si="97">IFERROR(INDEX($P$14:$P$2587,MATCH(SMALL($S$14:$S$2587,ROW()-13),$S$14:$S$2587,0)),"")</f>
        <v/>
      </c>
    </row>
    <row r="2000" spans="1:20" ht="100" customHeight="1">
      <c r="A2000" s="26"/>
      <c r="B2000" s="39" t="str">
        <f t="shared" si="95"/>
        <v/>
      </c>
      <c r="C2000" s="43"/>
      <c r="D2000" s="51" t="str" cm="1">
        <f t="array" ref="D2000">IFERROR(INDEX(DB!G$2:G$2576,T2000),"")</f>
        <v/>
      </c>
      <c r="E2000" s="43"/>
      <c r="F2000" s="52" t="str" cm="1">
        <f t="array" ref="F2000">IFERROR(INDEX(DB!O$2:O$2576,T2000),"")</f>
        <v/>
      </c>
      <c r="G2000" s="43"/>
      <c r="H2000" s="40" t="str" cm="1">
        <f t="array" ref="H2000">IFERROR(INDEX(DB!P$2:P$2576,T2000),"")</f>
        <v/>
      </c>
      <c r="I2000" s="43"/>
      <c r="J2000" s="53" t="str" cm="1">
        <f t="array" ref="J2000">IFERROR(INDEX(DB!Q$2:Q$2576,T2000),"")</f>
        <v/>
      </c>
      <c r="K2000" s="43"/>
      <c r="L2000" s="41" t="str" cm="1">
        <f t="array" ref="L2000">IFERROR(INDEX(DB!R$2:R$2576,T2000),"")</f>
        <v/>
      </c>
      <c r="M2000" s="43"/>
      <c r="P2000" t="str" cm="1">
        <f t="array" ref="P2000">IFERROR(_xlfn.AGGREGATE(15,6,ROW(DB!A$2:A$2576)/((($D$3&lt;&gt;"YES")+($D$3="YES")*(DB!E$2:E$2576="YES"))*(($D$4="")+($D$4&lt;&gt;"")*( DB!B$2:B$2576=$D$4))*(($D$5="")+($D$5&lt;&gt;"")*( DB!C$2:C$2576=$D$5))*(($D$6="")+($D$6&lt;&gt;"")*( DB!D$2:D$2576=$D$6))*(($D$7="")+($D$7&lt;&gt;"")*(ISNUMBER(SEARCH($D$7,DB!G$2:G$2576))))*(($F$7="전체")+($F$7&lt;&gt;"전체")*(DB!H$2:H$2576=$F$7))),ROW()-13)-1,"")</f>
        <v/>
      </c>
      <c r="Q2000" t="str" cm="1">
        <f t="array" ref="Q2000">IFERROR(INDEX(DB!G$2:G$2576,P2000),"")</f>
        <v/>
      </c>
      <c r="R2000" t="str" cm="1">
        <f t="array" ref="R2000">IFERROR(INDEX(DB!O$2:O$2576,P2000),"")</f>
        <v/>
      </c>
      <c r="S2000" t="str">
        <f t="shared" si="96"/>
        <v/>
      </c>
      <c r="T2000" t="str">
        <f t="shared" si="97"/>
        <v/>
      </c>
    </row>
    <row r="2001" spans="1:20" ht="100" customHeight="1">
      <c r="A2001" s="26"/>
      <c r="B2001" s="42" t="str">
        <f t="shared" si="95"/>
        <v/>
      </c>
      <c r="C2001" s="43"/>
      <c r="D2001" s="51" t="str" cm="1">
        <f t="array" ref="D2001">IFERROR(INDEX(DB!G$2:G$2576,T2001),"")</f>
        <v/>
      </c>
      <c r="E2001" s="43"/>
      <c r="F2001" s="52" t="str" cm="1">
        <f t="array" ref="F2001">IFERROR(INDEX(DB!O$2:O$2576,T2001),"")</f>
        <v/>
      </c>
      <c r="G2001" s="43"/>
      <c r="H2001" s="40" t="str" cm="1">
        <f t="array" ref="H2001">IFERROR(INDEX(DB!P$2:P$2576,T2001),"")</f>
        <v/>
      </c>
      <c r="I2001" s="43"/>
      <c r="J2001" s="53" t="str" cm="1">
        <f t="array" ref="J2001">IFERROR(INDEX(DB!Q$2:Q$2576,T2001),"")</f>
        <v/>
      </c>
      <c r="K2001" s="43"/>
      <c r="L2001" s="41" t="str" cm="1">
        <f t="array" ref="L2001">IFERROR(INDEX(DB!R$2:R$2576,T2001),"")</f>
        <v/>
      </c>
      <c r="M2001" s="43"/>
      <c r="P2001" t="str" cm="1">
        <f t="array" ref="P2001">IFERROR(_xlfn.AGGREGATE(15,6,ROW(DB!A$2:A$2576)/((($D$3&lt;&gt;"YES")+($D$3="YES")*(DB!E$2:E$2576="YES"))*(($D$4="")+($D$4&lt;&gt;"")*( DB!B$2:B$2576=$D$4))*(($D$5="")+($D$5&lt;&gt;"")*( DB!C$2:C$2576=$D$5))*(($D$6="")+($D$6&lt;&gt;"")*( DB!D$2:D$2576=$D$6))*(($D$7="")+($D$7&lt;&gt;"")*(ISNUMBER(SEARCH($D$7,DB!G$2:G$2576))))*(($F$7="전체")+($F$7&lt;&gt;"전체")*(DB!H$2:H$2576=$F$7))),ROW()-13)-1,"")</f>
        <v/>
      </c>
      <c r="Q2001" t="str" cm="1">
        <f t="array" ref="Q2001">IFERROR(INDEX(DB!G$2:G$2576,P2001),"")</f>
        <v/>
      </c>
      <c r="R2001" t="str" cm="1">
        <f t="array" ref="R2001">IFERROR(INDEX(DB!O$2:O$2576,P2001),"")</f>
        <v/>
      </c>
      <c r="S2001" t="str">
        <f t="shared" si="96"/>
        <v/>
      </c>
      <c r="T2001" t="str">
        <f t="shared" si="97"/>
        <v/>
      </c>
    </row>
    <row r="2002" spans="1:20" ht="100" customHeight="1">
      <c r="A2002" s="26"/>
      <c r="B2002" s="39" t="str">
        <f t="shared" si="95"/>
        <v/>
      </c>
      <c r="C2002" s="43"/>
      <c r="D2002" s="51" t="str" cm="1">
        <f t="array" ref="D2002">IFERROR(INDEX(DB!G$2:G$2576,T2002),"")</f>
        <v/>
      </c>
      <c r="E2002" s="43"/>
      <c r="F2002" s="52" t="str" cm="1">
        <f t="array" ref="F2002">IFERROR(INDEX(DB!O$2:O$2576,T2002),"")</f>
        <v/>
      </c>
      <c r="G2002" s="43"/>
      <c r="H2002" s="40" t="str" cm="1">
        <f t="array" ref="H2002">IFERROR(INDEX(DB!P$2:P$2576,T2002),"")</f>
        <v/>
      </c>
      <c r="I2002" s="43"/>
      <c r="J2002" s="53" t="str" cm="1">
        <f t="array" ref="J2002">IFERROR(INDEX(DB!Q$2:Q$2576,T2002),"")</f>
        <v/>
      </c>
      <c r="K2002" s="43"/>
      <c r="L2002" s="41" t="str" cm="1">
        <f t="array" ref="L2002">IFERROR(INDEX(DB!R$2:R$2576,T2002),"")</f>
        <v/>
      </c>
      <c r="M2002" s="43"/>
      <c r="P2002" t="str" cm="1">
        <f t="array" ref="P2002">IFERROR(_xlfn.AGGREGATE(15,6,ROW(DB!A$2:A$2576)/((($D$3&lt;&gt;"YES")+($D$3="YES")*(DB!E$2:E$2576="YES"))*(($D$4="")+($D$4&lt;&gt;"")*( DB!B$2:B$2576=$D$4))*(($D$5="")+($D$5&lt;&gt;"")*( DB!C$2:C$2576=$D$5))*(($D$6="")+($D$6&lt;&gt;"")*( DB!D$2:D$2576=$D$6))*(($D$7="")+($D$7&lt;&gt;"")*(ISNUMBER(SEARCH($D$7,DB!G$2:G$2576))))*(($F$7="전체")+($F$7&lt;&gt;"전체")*(DB!H$2:H$2576=$F$7))),ROW()-13)-1,"")</f>
        <v/>
      </c>
      <c r="Q2002" t="str" cm="1">
        <f t="array" ref="Q2002">IFERROR(INDEX(DB!G$2:G$2576,P2002),"")</f>
        <v/>
      </c>
      <c r="R2002" t="str" cm="1">
        <f t="array" ref="R2002">IFERROR(INDEX(DB!O$2:O$2576,P2002),"")</f>
        <v/>
      </c>
      <c r="S2002" t="str">
        <f t="shared" si="96"/>
        <v/>
      </c>
      <c r="T2002" t="str">
        <f t="shared" si="97"/>
        <v/>
      </c>
    </row>
    <row r="2003" spans="1:20" ht="100" customHeight="1">
      <c r="A2003" s="26"/>
      <c r="B2003" s="42" t="str">
        <f t="shared" si="95"/>
        <v/>
      </c>
      <c r="C2003" s="43"/>
      <c r="D2003" s="51" t="str" cm="1">
        <f t="array" ref="D2003">IFERROR(INDEX(DB!G$2:G$2576,T2003),"")</f>
        <v/>
      </c>
      <c r="E2003" s="43"/>
      <c r="F2003" s="52" t="str" cm="1">
        <f t="array" ref="F2003">IFERROR(INDEX(DB!O$2:O$2576,T2003),"")</f>
        <v/>
      </c>
      <c r="G2003" s="43"/>
      <c r="H2003" s="40" t="str" cm="1">
        <f t="array" ref="H2003">IFERROR(INDEX(DB!P$2:P$2576,T2003),"")</f>
        <v/>
      </c>
      <c r="I2003" s="43"/>
      <c r="J2003" s="53" t="str" cm="1">
        <f t="array" ref="J2003">IFERROR(INDEX(DB!Q$2:Q$2576,T2003),"")</f>
        <v/>
      </c>
      <c r="K2003" s="43"/>
      <c r="L2003" s="41" t="str" cm="1">
        <f t="array" ref="L2003">IFERROR(INDEX(DB!R$2:R$2576,T2003),"")</f>
        <v/>
      </c>
      <c r="M2003" s="43"/>
      <c r="P2003" t="str" cm="1">
        <f t="array" ref="P2003">IFERROR(_xlfn.AGGREGATE(15,6,ROW(DB!A$2:A$2576)/((($D$3&lt;&gt;"YES")+($D$3="YES")*(DB!E$2:E$2576="YES"))*(($D$4="")+($D$4&lt;&gt;"")*( DB!B$2:B$2576=$D$4))*(($D$5="")+($D$5&lt;&gt;"")*( DB!C$2:C$2576=$D$5))*(($D$6="")+($D$6&lt;&gt;"")*( DB!D$2:D$2576=$D$6))*(($D$7="")+($D$7&lt;&gt;"")*(ISNUMBER(SEARCH($D$7,DB!G$2:G$2576))))*(($F$7="전체")+($F$7&lt;&gt;"전체")*(DB!H$2:H$2576=$F$7))),ROW()-13)-1,"")</f>
        <v/>
      </c>
      <c r="Q2003" t="str" cm="1">
        <f t="array" ref="Q2003">IFERROR(INDEX(DB!G$2:G$2576,P2003),"")</f>
        <v/>
      </c>
      <c r="R2003" t="str" cm="1">
        <f t="array" ref="R2003">IFERROR(INDEX(DB!O$2:O$2576,P2003),"")</f>
        <v/>
      </c>
      <c r="S2003" t="str">
        <f t="shared" si="96"/>
        <v/>
      </c>
      <c r="T2003" t="str">
        <f t="shared" si="97"/>
        <v/>
      </c>
    </row>
    <row r="2004" spans="1:20" ht="100" customHeight="1">
      <c r="A2004" s="26"/>
      <c r="B2004" s="39" t="str">
        <f t="shared" si="95"/>
        <v/>
      </c>
      <c r="C2004" s="43"/>
      <c r="D2004" s="51" t="str" cm="1">
        <f t="array" ref="D2004">IFERROR(INDEX(DB!G$2:G$2576,T2004),"")</f>
        <v/>
      </c>
      <c r="E2004" s="43"/>
      <c r="F2004" s="52" t="str" cm="1">
        <f t="array" ref="F2004">IFERROR(INDEX(DB!O$2:O$2576,T2004),"")</f>
        <v/>
      </c>
      <c r="G2004" s="43"/>
      <c r="H2004" s="40" t="str" cm="1">
        <f t="array" ref="H2004">IFERROR(INDEX(DB!P$2:P$2576,T2004),"")</f>
        <v/>
      </c>
      <c r="I2004" s="43"/>
      <c r="J2004" s="53" t="str" cm="1">
        <f t="array" ref="J2004">IFERROR(INDEX(DB!Q$2:Q$2576,T2004),"")</f>
        <v/>
      </c>
      <c r="K2004" s="43"/>
      <c r="L2004" s="41" t="str" cm="1">
        <f t="array" ref="L2004">IFERROR(INDEX(DB!R$2:R$2576,T2004),"")</f>
        <v/>
      </c>
      <c r="M2004" s="43"/>
      <c r="P2004" t="str" cm="1">
        <f t="array" ref="P2004">IFERROR(_xlfn.AGGREGATE(15,6,ROW(DB!A$2:A$2576)/((($D$3&lt;&gt;"YES")+($D$3="YES")*(DB!E$2:E$2576="YES"))*(($D$4="")+($D$4&lt;&gt;"")*( DB!B$2:B$2576=$D$4))*(($D$5="")+($D$5&lt;&gt;"")*( DB!C$2:C$2576=$D$5))*(($D$6="")+($D$6&lt;&gt;"")*( DB!D$2:D$2576=$D$6))*(($D$7="")+($D$7&lt;&gt;"")*(ISNUMBER(SEARCH($D$7,DB!G$2:G$2576))))*(($F$7="전체")+($F$7&lt;&gt;"전체")*(DB!H$2:H$2576=$F$7))),ROW()-13)-1,"")</f>
        <v/>
      </c>
      <c r="Q2004" t="str" cm="1">
        <f t="array" ref="Q2004">IFERROR(INDEX(DB!G$2:G$2576,P2004),"")</f>
        <v/>
      </c>
      <c r="R2004" t="str" cm="1">
        <f t="array" ref="R2004">IFERROR(INDEX(DB!O$2:O$2576,P2004),"")</f>
        <v/>
      </c>
      <c r="S2004" t="str">
        <f t="shared" si="96"/>
        <v/>
      </c>
      <c r="T2004" t="str">
        <f t="shared" si="97"/>
        <v/>
      </c>
    </row>
    <row r="2005" spans="1:20" ht="100" customHeight="1">
      <c r="A2005" s="26"/>
      <c r="B2005" s="42" t="str">
        <f t="shared" si="95"/>
        <v/>
      </c>
      <c r="C2005" s="43"/>
      <c r="D2005" s="51" t="str" cm="1">
        <f t="array" ref="D2005">IFERROR(INDEX(DB!G$2:G$2576,T2005),"")</f>
        <v/>
      </c>
      <c r="E2005" s="43"/>
      <c r="F2005" s="52" t="str" cm="1">
        <f t="array" ref="F2005">IFERROR(INDEX(DB!O$2:O$2576,T2005),"")</f>
        <v/>
      </c>
      <c r="G2005" s="43"/>
      <c r="H2005" s="40" t="str" cm="1">
        <f t="array" ref="H2005">IFERROR(INDEX(DB!P$2:P$2576,T2005),"")</f>
        <v/>
      </c>
      <c r="I2005" s="43"/>
      <c r="J2005" s="53" t="str" cm="1">
        <f t="array" ref="J2005">IFERROR(INDEX(DB!Q$2:Q$2576,T2005),"")</f>
        <v/>
      </c>
      <c r="K2005" s="43"/>
      <c r="L2005" s="41" t="str" cm="1">
        <f t="array" ref="L2005">IFERROR(INDEX(DB!R$2:R$2576,T2005),"")</f>
        <v/>
      </c>
      <c r="M2005" s="43"/>
      <c r="P2005" t="str" cm="1">
        <f t="array" ref="P2005">IFERROR(_xlfn.AGGREGATE(15,6,ROW(DB!A$2:A$2576)/((($D$3&lt;&gt;"YES")+($D$3="YES")*(DB!E$2:E$2576="YES"))*(($D$4="")+($D$4&lt;&gt;"")*( DB!B$2:B$2576=$D$4))*(($D$5="")+($D$5&lt;&gt;"")*( DB!C$2:C$2576=$D$5))*(($D$6="")+($D$6&lt;&gt;"")*( DB!D$2:D$2576=$D$6))*(($D$7="")+($D$7&lt;&gt;"")*(ISNUMBER(SEARCH($D$7,DB!G$2:G$2576))))*(($F$7="전체")+($F$7&lt;&gt;"전체")*(DB!H$2:H$2576=$F$7))),ROW()-13)-1,"")</f>
        <v/>
      </c>
      <c r="Q2005" t="str" cm="1">
        <f t="array" ref="Q2005">IFERROR(INDEX(DB!G$2:G$2576,P2005),"")</f>
        <v/>
      </c>
      <c r="R2005" t="str" cm="1">
        <f t="array" ref="R2005">IFERROR(INDEX(DB!O$2:O$2576,P2005),"")</f>
        <v/>
      </c>
      <c r="S2005" t="str">
        <f t="shared" si="96"/>
        <v/>
      </c>
      <c r="T2005" t="str">
        <f t="shared" si="97"/>
        <v/>
      </c>
    </row>
    <row r="2006" spans="1:20" ht="100" customHeight="1">
      <c r="A2006" s="26"/>
      <c r="B2006" s="39" t="str">
        <f t="shared" si="95"/>
        <v/>
      </c>
      <c r="C2006" s="43"/>
      <c r="D2006" s="51" t="str" cm="1">
        <f t="array" ref="D2006">IFERROR(INDEX(DB!G$2:G$2576,T2006),"")</f>
        <v/>
      </c>
      <c r="E2006" s="43"/>
      <c r="F2006" s="52" t="str" cm="1">
        <f t="array" ref="F2006">IFERROR(INDEX(DB!O$2:O$2576,T2006),"")</f>
        <v/>
      </c>
      <c r="G2006" s="43"/>
      <c r="H2006" s="40" t="str" cm="1">
        <f t="array" ref="H2006">IFERROR(INDEX(DB!P$2:P$2576,T2006),"")</f>
        <v/>
      </c>
      <c r="I2006" s="43"/>
      <c r="J2006" s="53" t="str" cm="1">
        <f t="array" ref="J2006">IFERROR(INDEX(DB!Q$2:Q$2576,T2006),"")</f>
        <v/>
      </c>
      <c r="K2006" s="43"/>
      <c r="L2006" s="41" t="str" cm="1">
        <f t="array" ref="L2006">IFERROR(INDEX(DB!R$2:R$2576,T2006),"")</f>
        <v/>
      </c>
      <c r="M2006" s="43"/>
      <c r="P2006" t="str" cm="1">
        <f t="array" ref="P2006">IFERROR(_xlfn.AGGREGATE(15,6,ROW(DB!A$2:A$2576)/((($D$3&lt;&gt;"YES")+($D$3="YES")*(DB!E$2:E$2576="YES"))*(($D$4="")+($D$4&lt;&gt;"")*( DB!B$2:B$2576=$D$4))*(($D$5="")+($D$5&lt;&gt;"")*( DB!C$2:C$2576=$D$5))*(($D$6="")+($D$6&lt;&gt;"")*( DB!D$2:D$2576=$D$6))*(($D$7="")+($D$7&lt;&gt;"")*(ISNUMBER(SEARCH($D$7,DB!G$2:G$2576))))*(($F$7="전체")+($F$7&lt;&gt;"전체")*(DB!H$2:H$2576=$F$7))),ROW()-13)-1,"")</f>
        <v/>
      </c>
      <c r="Q2006" t="str" cm="1">
        <f t="array" ref="Q2006">IFERROR(INDEX(DB!G$2:G$2576,P2006),"")</f>
        <v/>
      </c>
      <c r="R2006" t="str" cm="1">
        <f t="array" ref="R2006">IFERROR(INDEX(DB!O$2:O$2576,P2006),"")</f>
        <v/>
      </c>
      <c r="S2006" t="str">
        <f t="shared" si="96"/>
        <v/>
      </c>
      <c r="T2006" t="str">
        <f t="shared" si="97"/>
        <v/>
      </c>
    </row>
    <row r="2007" spans="1:20" ht="100" customHeight="1">
      <c r="A2007" s="26"/>
      <c r="B2007" s="42" t="str">
        <f t="shared" si="95"/>
        <v/>
      </c>
      <c r="C2007" s="43"/>
      <c r="D2007" s="51" t="str" cm="1">
        <f t="array" ref="D2007">IFERROR(INDEX(DB!G$2:G$2576,T2007),"")</f>
        <v/>
      </c>
      <c r="E2007" s="43"/>
      <c r="F2007" s="52" t="str" cm="1">
        <f t="array" ref="F2007">IFERROR(INDEX(DB!O$2:O$2576,T2007),"")</f>
        <v/>
      </c>
      <c r="G2007" s="43"/>
      <c r="H2007" s="40" t="str" cm="1">
        <f t="array" ref="H2007">IFERROR(INDEX(DB!P$2:P$2576,T2007),"")</f>
        <v/>
      </c>
      <c r="I2007" s="43"/>
      <c r="J2007" s="53" t="str" cm="1">
        <f t="array" ref="J2007">IFERROR(INDEX(DB!Q$2:Q$2576,T2007),"")</f>
        <v/>
      </c>
      <c r="K2007" s="43"/>
      <c r="L2007" s="41" t="str" cm="1">
        <f t="array" ref="L2007">IFERROR(INDEX(DB!R$2:R$2576,T2007),"")</f>
        <v/>
      </c>
      <c r="M2007" s="43"/>
      <c r="P2007" t="str" cm="1">
        <f t="array" ref="P2007">IFERROR(_xlfn.AGGREGATE(15,6,ROW(DB!A$2:A$2576)/((($D$3&lt;&gt;"YES")+($D$3="YES")*(DB!E$2:E$2576="YES"))*(($D$4="")+($D$4&lt;&gt;"")*( DB!B$2:B$2576=$D$4))*(($D$5="")+($D$5&lt;&gt;"")*( DB!C$2:C$2576=$D$5))*(($D$6="")+($D$6&lt;&gt;"")*( DB!D$2:D$2576=$D$6))*(($D$7="")+($D$7&lt;&gt;"")*(ISNUMBER(SEARCH($D$7,DB!G$2:G$2576))))*(($F$7="전체")+($F$7&lt;&gt;"전체")*(DB!H$2:H$2576=$F$7))),ROW()-13)-1,"")</f>
        <v/>
      </c>
      <c r="Q2007" t="str" cm="1">
        <f t="array" ref="Q2007">IFERROR(INDEX(DB!G$2:G$2576,P2007),"")</f>
        <v/>
      </c>
      <c r="R2007" t="str" cm="1">
        <f t="array" ref="R2007">IFERROR(INDEX(DB!O$2:O$2576,P2007),"")</f>
        <v/>
      </c>
      <c r="S2007" t="str">
        <f t="shared" si="96"/>
        <v/>
      </c>
      <c r="T2007" t="str">
        <f t="shared" si="97"/>
        <v/>
      </c>
    </row>
    <row r="2008" spans="1:20" ht="100" customHeight="1">
      <c r="A2008" s="26"/>
      <c r="B2008" s="39" t="str">
        <f t="shared" si="95"/>
        <v/>
      </c>
      <c r="C2008" s="43"/>
      <c r="D2008" s="51" t="str" cm="1">
        <f t="array" ref="D2008">IFERROR(INDEX(DB!G$2:G$2576,T2008),"")</f>
        <v/>
      </c>
      <c r="E2008" s="43"/>
      <c r="F2008" s="52" t="str" cm="1">
        <f t="array" ref="F2008">IFERROR(INDEX(DB!O$2:O$2576,T2008),"")</f>
        <v/>
      </c>
      <c r="G2008" s="43"/>
      <c r="H2008" s="40" t="str" cm="1">
        <f t="array" ref="H2008">IFERROR(INDEX(DB!P$2:P$2576,T2008),"")</f>
        <v/>
      </c>
      <c r="I2008" s="43"/>
      <c r="J2008" s="53" t="str" cm="1">
        <f t="array" ref="J2008">IFERROR(INDEX(DB!Q$2:Q$2576,T2008),"")</f>
        <v/>
      </c>
      <c r="K2008" s="43"/>
      <c r="L2008" s="41" t="str" cm="1">
        <f t="array" ref="L2008">IFERROR(INDEX(DB!R$2:R$2576,T2008),"")</f>
        <v/>
      </c>
      <c r="M2008" s="43"/>
      <c r="P2008" t="str" cm="1">
        <f t="array" ref="P2008">IFERROR(_xlfn.AGGREGATE(15,6,ROW(DB!A$2:A$2576)/((($D$3&lt;&gt;"YES")+($D$3="YES")*(DB!E$2:E$2576="YES"))*(($D$4="")+($D$4&lt;&gt;"")*( DB!B$2:B$2576=$D$4))*(($D$5="")+($D$5&lt;&gt;"")*( DB!C$2:C$2576=$D$5))*(($D$6="")+($D$6&lt;&gt;"")*( DB!D$2:D$2576=$D$6))*(($D$7="")+($D$7&lt;&gt;"")*(ISNUMBER(SEARCH($D$7,DB!G$2:G$2576))))*(($F$7="전체")+($F$7&lt;&gt;"전체")*(DB!H$2:H$2576=$F$7))),ROW()-13)-1,"")</f>
        <v/>
      </c>
      <c r="Q2008" t="str" cm="1">
        <f t="array" ref="Q2008">IFERROR(INDEX(DB!G$2:G$2576,P2008),"")</f>
        <v/>
      </c>
      <c r="R2008" t="str" cm="1">
        <f t="array" ref="R2008">IFERROR(INDEX(DB!O$2:O$2576,P2008),"")</f>
        <v/>
      </c>
      <c r="S2008" t="str">
        <f t="shared" si="96"/>
        <v/>
      </c>
      <c r="T2008" t="str">
        <f t="shared" si="97"/>
        <v/>
      </c>
    </row>
    <row r="2009" spans="1:20" ht="100" customHeight="1">
      <c r="A2009" s="26"/>
      <c r="B2009" s="42" t="str">
        <f t="shared" si="95"/>
        <v/>
      </c>
      <c r="C2009" s="43"/>
      <c r="D2009" s="51" t="str" cm="1">
        <f t="array" ref="D2009">IFERROR(INDEX(DB!G$2:G$2576,T2009),"")</f>
        <v/>
      </c>
      <c r="E2009" s="43"/>
      <c r="F2009" s="52" t="str" cm="1">
        <f t="array" ref="F2009">IFERROR(INDEX(DB!O$2:O$2576,T2009),"")</f>
        <v/>
      </c>
      <c r="G2009" s="43"/>
      <c r="H2009" s="40" t="str" cm="1">
        <f t="array" ref="H2009">IFERROR(INDEX(DB!P$2:P$2576,T2009),"")</f>
        <v/>
      </c>
      <c r="I2009" s="43"/>
      <c r="J2009" s="53" t="str" cm="1">
        <f t="array" ref="J2009">IFERROR(INDEX(DB!Q$2:Q$2576,T2009),"")</f>
        <v/>
      </c>
      <c r="K2009" s="43"/>
      <c r="L2009" s="41" t="str" cm="1">
        <f t="array" ref="L2009">IFERROR(INDEX(DB!R$2:R$2576,T2009),"")</f>
        <v/>
      </c>
      <c r="M2009" s="43"/>
      <c r="P2009" t="str" cm="1">
        <f t="array" ref="P2009">IFERROR(_xlfn.AGGREGATE(15,6,ROW(DB!A$2:A$2576)/((($D$3&lt;&gt;"YES")+($D$3="YES")*(DB!E$2:E$2576="YES"))*(($D$4="")+($D$4&lt;&gt;"")*( DB!B$2:B$2576=$D$4))*(($D$5="")+($D$5&lt;&gt;"")*( DB!C$2:C$2576=$D$5))*(($D$6="")+($D$6&lt;&gt;"")*( DB!D$2:D$2576=$D$6))*(($D$7="")+($D$7&lt;&gt;"")*(ISNUMBER(SEARCH($D$7,DB!G$2:G$2576))))*(($F$7="전체")+($F$7&lt;&gt;"전체")*(DB!H$2:H$2576=$F$7))),ROW()-13)-1,"")</f>
        <v/>
      </c>
      <c r="Q2009" t="str" cm="1">
        <f t="array" ref="Q2009">IFERROR(INDEX(DB!G$2:G$2576,P2009),"")</f>
        <v/>
      </c>
      <c r="R2009" t="str" cm="1">
        <f t="array" ref="R2009">IFERROR(INDEX(DB!O$2:O$2576,P2009),"")</f>
        <v/>
      </c>
      <c r="S2009" t="str">
        <f t="shared" si="96"/>
        <v/>
      </c>
      <c r="T2009" t="str">
        <f t="shared" si="97"/>
        <v/>
      </c>
    </row>
    <row r="2010" spans="1:20" ht="100" customHeight="1">
      <c r="A2010" s="26"/>
      <c r="B2010" s="39" t="str">
        <f t="shared" si="95"/>
        <v/>
      </c>
      <c r="C2010" s="43"/>
      <c r="D2010" s="51" t="str" cm="1">
        <f t="array" ref="D2010">IFERROR(INDEX(DB!G$2:G$2576,T2010),"")</f>
        <v/>
      </c>
      <c r="E2010" s="43"/>
      <c r="F2010" s="52" t="str" cm="1">
        <f t="array" ref="F2010">IFERROR(INDEX(DB!O$2:O$2576,T2010),"")</f>
        <v/>
      </c>
      <c r="G2010" s="43"/>
      <c r="H2010" s="40" t="str" cm="1">
        <f t="array" ref="H2010">IFERROR(INDEX(DB!P$2:P$2576,T2010),"")</f>
        <v/>
      </c>
      <c r="I2010" s="43"/>
      <c r="J2010" s="53" t="str" cm="1">
        <f t="array" ref="J2010">IFERROR(INDEX(DB!Q$2:Q$2576,T2010),"")</f>
        <v/>
      </c>
      <c r="K2010" s="43"/>
      <c r="L2010" s="41" t="str" cm="1">
        <f t="array" ref="L2010">IFERROR(INDEX(DB!R$2:R$2576,T2010),"")</f>
        <v/>
      </c>
      <c r="M2010" s="43"/>
      <c r="P2010" t="str" cm="1">
        <f t="array" ref="P2010">IFERROR(_xlfn.AGGREGATE(15,6,ROW(DB!A$2:A$2576)/((($D$3&lt;&gt;"YES")+($D$3="YES")*(DB!E$2:E$2576="YES"))*(($D$4="")+($D$4&lt;&gt;"")*( DB!B$2:B$2576=$D$4))*(($D$5="")+($D$5&lt;&gt;"")*( DB!C$2:C$2576=$D$5))*(($D$6="")+($D$6&lt;&gt;"")*( DB!D$2:D$2576=$D$6))*(($D$7="")+($D$7&lt;&gt;"")*(ISNUMBER(SEARCH($D$7,DB!G$2:G$2576))))*(($F$7="전체")+($F$7&lt;&gt;"전체")*(DB!H$2:H$2576=$F$7))),ROW()-13)-1,"")</f>
        <v/>
      </c>
      <c r="Q2010" t="str" cm="1">
        <f t="array" ref="Q2010">IFERROR(INDEX(DB!G$2:G$2576,P2010),"")</f>
        <v/>
      </c>
      <c r="R2010" t="str" cm="1">
        <f t="array" ref="R2010">IFERROR(INDEX(DB!O$2:O$2576,P2010),"")</f>
        <v/>
      </c>
      <c r="S2010" t="str">
        <f t="shared" si="96"/>
        <v/>
      </c>
      <c r="T2010" t="str">
        <f t="shared" si="97"/>
        <v/>
      </c>
    </row>
    <row r="2011" spans="1:20" ht="100" customHeight="1">
      <c r="A2011" s="26"/>
      <c r="B2011" s="42" t="str">
        <f t="shared" si="95"/>
        <v/>
      </c>
      <c r="C2011" s="43"/>
      <c r="D2011" s="51" t="str" cm="1">
        <f t="array" ref="D2011">IFERROR(INDEX(DB!G$2:G$2576,T2011),"")</f>
        <v/>
      </c>
      <c r="E2011" s="43"/>
      <c r="F2011" s="52" t="str" cm="1">
        <f t="array" ref="F2011">IFERROR(INDEX(DB!O$2:O$2576,T2011),"")</f>
        <v/>
      </c>
      <c r="G2011" s="43"/>
      <c r="H2011" s="40" t="str" cm="1">
        <f t="array" ref="H2011">IFERROR(INDEX(DB!P$2:P$2576,T2011),"")</f>
        <v/>
      </c>
      <c r="I2011" s="43"/>
      <c r="J2011" s="53" t="str" cm="1">
        <f t="array" ref="J2011">IFERROR(INDEX(DB!Q$2:Q$2576,T2011),"")</f>
        <v/>
      </c>
      <c r="K2011" s="43"/>
      <c r="L2011" s="41" t="str" cm="1">
        <f t="array" ref="L2011">IFERROR(INDEX(DB!R$2:R$2576,T2011),"")</f>
        <v/>
      </c>
      <c r="M2011" s="43"/>
      <c r="P2011" t="str" cm="1">
        <f t="array" ref="P2011">IFERROR(_xlfn.AGGREGATE(15,6,ROW(DB!A$2:A$2576)/((($D$3&lt;&gt;"YES")+($D$3="YES")*(DB!E$2:E$2576="YES"))*(($D$4="")+($D$4&lt;&gt;"")*( DB!B$2:B$2576=$D$4))*(($D$5="")+($D$5&lt;&gt;"")*( DB!C$2:C$2576=$D$5))*(($D$6="")+($D$6&lt;&gt;"")*( DB!D$2:D$2576=$D$6))*(($D$7="")+($D$7&lt;&gt;"")*(ISNUMBER(SEARCH($D$7,DB!G$2:G$2576))))*(($F$7="전체")+($F$7&lt;&gt;"전체")*(DB!H$2:H$2576=$F$7))),ROW()-13)-1,"")</f>
        <v/>
      </c>
      <c r="Q2011" t="str" cm="1">
        <f t="array" ref="Q2011">IFERROR(INDEX(DB!G$2:G$2576,P2011),"")</f>
        <v/>
      </c>
      <c r="R2011" t="str" cm="1">
        <f t="array" ref="R2011">IFERROR(INDEX(DB!O$2:O$2576,P2011),"")</f>
        <v/>
      </c>
      <c r="S2011" t="str">
        <f t="shared" si="96"/>
        <v/>
      </c>
      <c r="T2011" t="str">
        <f t="shared" si="97"/>
        <v/>
      </c>
    </row>
    <row r="2012" spans="1:20" ht="100" customHeight="1">
      <c r="A2012" s="26"/>
      <c r="B2012" s="39" t="str">
        <f t="shared" si="95"/>
        <v/>
      </c>
      <c r="C2012" s="43"/>
      <c r="D2012" s="51" t="str" cm="1">
        <f t="array" ref="D2012">IFERROR(INDEX(DB!G$2:G$2576,T2012),"")</f>
        <v/>
      </c>
      <c r="E2012" s="43"/>
      <c r="F2012" s="52" t="str" cm="1">
        <f t="array" ref="F2012">IFERROR(INDEX(DB!O$2:O$2576,T2012),"")</f>
        <v/>
      </c>
      <c r="G2012" s="43"/>
      <c r="H2012" s="40" t="str" cm="1">
        <f t="array" ref="H2012">IFERROR(INDEX(DB!P$2:P$2576,T2012),"")</f>
        <v/>
      </c>
      <c r="I2012" s="43"/>
      <c r="J2012" s="53" t="str" cm="1">
        <f t="array" ref="J2012">IFERROR(INDEX(DB!Q$2:Q$2576,T2012),"")</f>
        <v/>
      </c>
      <c r="K2012" s="43"/>
      <c r="L2012" s="41" t="str" cm="1">
        <f t="array" ref="L2012">IFERROR(INDEX(DB!R$2:R$2576,T2012),"")</f>
        <v/>
      </c>
      <c r="M2012" s="43"/>
      <c r="P2012" t="str" cm="1">
        <f t="array" ref="P2012">IFERROR(_xlfn.AGGREGATE(15,6,ROW(DB!A$2:A$2576)/((($D$3&lt;&gt;"YES")+($D$3="YES")*(DB!E$2:E$2576="YES"))*(($D$4="")+($D$4&lt;&gt;"")*( DB!B$2:B$2576=$D$4))*(($D$5="")+($D$5&lt;&gt;"")*( DB!C$2:C$2576=$D$5))*(($D$6="")+($D$6&lt;&gt;"")*( DB!D$2:D$2576=$D$6))*(($D$7="")+($D$7&lt;&gt;"")*(ISNUMBER(SEARCH($D$7,DB!G$2:G$2576))))*(($F$7="전체")+($F$7&lt;&gt;"전체")*(DB!H$2:H$2576=$F$7))),ROW()-13)-1,"")</f>
        <v/>
      </c>
      <c r="Q2012" t="str" cm="1">
        <f t="array" ref="Q2012">IFERROR(INDEX(DB!G$2:G$2576,P2012),"")</f>
        <v/>
      </c>
      <c r="R2012" t="str" cm="1">
        <f t="array" ref="R2012">IFERROR(INDEX(DB!O$2:O$2576,P2012),"")</f>
        <v/>
      </c>
      <c r="S2012" t="str">
        <f t="shared" si="96"/>
        <v/>
      </c>
      <c r="T2012" t="str">
        <f t="shared" si="97"/>
        <v/>
      </c>
    </row>
    <row r="2013" spans="1:20" ht="100" customHeight="1">
      <c r="A2013" s="26"/>
      <c r="B2013" s="42" t="str">
        <f t="shared" si="95"/>
        <v/>
      </c>
      <c r="C2013" s="43"/>
      <c r="D2013" s="51" t="str" cm="1">
        <f t="array" ref="D2013">IFERROR(INDEX(DB!G$2:G$2576,T2013),"")</f>
        <v/>
      </c>
      <c r="E2013" s="43"/>
      <c r="F2013" s="52" t="str" cm="1">
        <f t="array" ref="F2013">IFERROR(INDEX(DB!O$2:O$2576,T2013),"")</f>
        <v/>
      </c>
      <c r="G2013" s="43"/>
      <c r="H2013" s="40" t="str" cm="1">
        <f t="array" ref="H2013">IFERROR(INDEX(DB!P$2:P$2576,T2013),"")</f>
        <v/>
      </c>
      <c r="I2013" s="43"/>
      <c r="J2013" s="53" t="str" cm="1">
        <f t="array" ref="J2013">IFERROR(INDEX(DB!Q$2:Q$2576,T2013),"")</f>
        <v/>
      </c>
      <c r="K2013" s="43"/>
      <c r="L2013" s="41" t="str" cm="1">
        <f t="array" ref="L2013">IFERROR(INDEX(DB!R$2:R$2576,T2013),"")</f>
        <v/>
      </c>
      <c r="M2013" s="43"/>
      <c r="P2013" t="str" cm="1">
        <f t="array" ref="P2013">IFERROR(_xlfn.AGGREGATE(15,6,ROW(DB!A$2:A$2576)/((($D$3&lt;&gt;"YES")+($D$3="YES")*(DB!E$2:E$2576="YES"))*(($D$4="")+($D$4&lt;&gt;"")*( DB!B$2:B$2576=$D$4))*(($D$5="")+($D$5&lt;&gt;"")*( DB!C$2:C$2576=$D$5))*(($D$6="")+($D$6&lt;&gt;"")*( DB!D$2:D$2576=$D$6))*(($D$7="")+($D$7&lt;&gt;"")*(ISNUMBER(SEARCH($D$7,DB!G$2:G$2576))))*(($F$7="전체")+($F$7&lt;&gt;"전체")*(DB!H$2:H$2576=$F$7))),ROW()-13)-1,"")</f>
        <v/>
      </c>
      <c r="Q2013" t="str" cm="1">
        <f t="array" ref="Q2013">IFERROR(INDEX(DB!G$2:G$2576,P2013),"")</f>
        <v/>
      </c>
      <c r="R2013" t="str" cm="1">
        <f t="array" ref="R2013">IFERROR(INDEX(DB!O$2:O$2576,P2013),"")</f>
        <v/>
      </c>
      <c r="S2013" t="str">
        <f t="shared" si="96"/>
        <v/>
      </c>
      <c r="T2013" t="str">
        <f t="shared" si="97"/>
        <v/>
      </c>
    </row>
    <row r="2014" spans="1:20" ht="100" customHeight="1">
      <c r="A2014" s="26"/>
      <c r="B2014" s="39" t="str">
        <f t="shared" si="95"/>
        <v/>
      </c>
      <c r="C2014" s="43"/>
      <c r="D2014" s="51" t="str" cm="1">
        <f t="array" ref="D2014">IFERROR(INDEX(DB!G$2:G$2576,T2014),"")</f>
        <v/>
      </c>
      <c r="E2014" s="43"/>
      <c r="F2014" s="52" t="str" cm="1">
        <f t="array" ref="F2014">IFERROR(INDEX(DB!O$2:O$2576,T2014),"")</f>
        <v/>
      </c>
      <c r="G2014" s="43"/>
      <c r="H2014" s="40" t="str" cm="1">
        <f t="array" ref="H2014">IFERROR(INDEX(DB!P$2:P$2576,T2014),"")</f>
        <v/>
      </c>
      <c r="I2014" s="43"/>
      <c r="J2014" s="53" t="str" cm="1">
        <f t="array" ref="J2014">IFERROR(INDEX(DB!Q$2:Q$2576,T2014),"")</f>
        <v/>
      </c>
      <c r="K2014" s="43"/>
      <c r="L2014" s="41" t="str" cm="1">
        <f t="array" ref="L2014">IFERROR(INDEX(DB!R$2:R$2576,T2014),"")</f>
        <v/>
      </c>
      <c r="M2014" s="43"/>
      <c r="P2014" t="str" cm="1">
        <f t="array" ref="P2014">IFERROR(_xlfn.AGGREGATE(15,6,ROW(DB!A$2:A$2576)/((($D$3&lt;&gt;"YES")+($D$3="YES")*(DB!E$2:E$2576="YES"))*(($D$4="")+($D$4&lt;&gt;"")*( DB!B$2:B$2576=$D$4))*(($D$5="")+($D$5&lt;&gt;"")*( DB!C$2:C$2576=$D$5))*(($D$6="")+($D$6&lt;&gt;"")*( DB!D$2:D$2576=$D$6))*(($D$7="")+($D$7&lt;&gt;"")*(ISNUMBER(SEARCH($D$7,DB!G$2:G$2576))))*(($F$7="전체")+($F$7&lt;&gt;"전체")*(DB!H$2:H$2576=$F$7))),ROW()-13)-1,"")</f>
        <v/>
      </c>
      <c r="Q2014" t="str" cm="1">
        <f t="array" ref="Q2014">IFERROR(INDEX(DB!G$2:G$2576,P2014),"")</f>
        <v/>
      </c>
      <c r="R2014" t="str" cm="1">
        <f t="array" ref="R2014">IFERROR(INDEX(DB!O$2:O$2576,P2014),"")</f>
        <v/>
      </c>
      <c r="S2014" t="str">
        <f t="shared" si="96"/>
        <v/>
      </c>
      <c r="T2014" t="str">
        <f t="shared" si="97"/>
        <v/>
      </c>
    </row>
    <row r="2015" spans="1:20" ht="100" customHeight="1">
      <c r="A2015" s="26"/>
      <c r="B2015" s="42" t="str">
        <f t="shared" si="95"/>
        <v/>
      </c>
      <c r="C2015" s="43"/>
      <c r="D2015" s="51" t="str" cm="1">
        <f t="array" ref="D2015">IFERROR(INDEX(DB!G$2:G$2576,T2015),"")</f>
        <v/>
      </c>
      <c r="E2015" s="43"/>
      <c r="F2015" s="52" t="str" cm="1">
        <f t="array" ref="F2015">IFERROR(INDEX(DB!O$2:O$2576,T2015),"")</f>
        <v/>
      </c>
      <c r="G2015" s="43"/>
      <c r="H2015" s="40" t="str" cm="1">
        <f t="array" ref="H2015">IFERROR(INDEX(DB!P$2:P$2576,T2015),"")</f>
        <v/>
      </c>
      <c r="I2015" s="43"/>
      <c r="J2015" s="53" t="str" cm="1">
        <f t="array" ref="J2015">IFERROR(INDEX(DB!Q$2:Q$2576,T2015),"")</f>
        <v/>
      </c>
      <c r="K2015" s="43"/>
      <c r="L2015" s="41" t="str" cm="1">
        <f t="array" ref="L2015">IFERROR(INDEX(DB!R$2:R$2576,T2015),"")</f>
        <v/>
      </c>
      <c r="M2015" s="43"/>
      <c r="P2015" t="str" cm="1">
        <f t="array" ref="P2015">IFERROR(_xlfn.AGGREGATE(15,6,ROW(DB!A$2:A$2576)/((($D$3&lt;&gt;"YES")+($D$3="YES")*(DB!E$2:E$2576="YES"))*(($D$4="")+($D$4&lt;&gt;"")*( DB!B$2:B$2576=$D$4))*(($D$5="")+($D$5&lt;&gt;"")*( DB!C$2:C$2576=$D$5))*(($D$6="")+($D$6&lt;&gt;"")*( DB!D$2:D$2576=$D$6))*(($D$7="")+($D$7&lt;&gt;"")*(ISNUMBER(SEARCH($D$7,DB!G$2:G$2576))))*(($F$7="전체")+($F$7&lt;&gt;"전체")*(DB!H$2:H$2576=$F$7))),ROW()-13)-1,"")</f>
        <v/>
      </c>
      <c r="Q2015" t="str" cm="1">
        <f t="array" ref="Q2015">IFERROR(INDEX(DB!G$2:G$2576,P2015),"")</f>
        <v/>
      </c>
      <c r="R2015" t="str" cm="1">
        <f t="array" ref="R2015">IFERROR(INDEX(DB!O$2:O$2576,P2015),"")</f>
        <v/>
      </c>
      <c r="S2015" t="str">
        <f t="shared" si="96"/>
        <v/>
      </c>
      <c r="T2015" t="str">
        <f t="shared" si="97"/>
        <v/>
      </c>
    </row>
    <row r="2016" spans="1:20" ht="100" customHeight="1">
      <c r="A2016" s="26"/>
      <c r="B2016" s="39" t="str">
        <f t="shared" si="95"/>
        <v/>
      </c>
      <c r="C2016" s="43"/>
      <c r="D2016" s="51" t="str" cm="1">
        <f t="array" ref="D2016">IFERROR(INDEX(DB!G$2:G$2576,T2016),"")</f>
        <v/>
      </c>
      <c r="E2016" s="43"/>
      <c r="F2016" s="52" t="str" cm="1">
        <f t="array" ref="F2016">IFERROR(INDEX(DB!O$2:O$2576,T2016),"")</f>
        <v/>
      </c>
      <c r="G2016" s="43"/>
      <c r="H2016" s="40" t="str" cm="1">
        <f t="array" ref="H2016">IFERROR(INDEX(DB!P$2:P$2576,T2016),"")</f>
        <v/>
      </c>
      <c r="I2016" s="43"/>
      <c r="J2016" s="53" t="str" cm="1">
        <f t="array" ref="J2016">IFERROR(INDEX(DB!Q$2:Q$2576,T2016),"")</f>
        <v/>
      </c>
      <c r="K2016" s="43"/>
      <c r="L2016" s="41" t="str" cm="1">
        <f t="array" ref="L2016">IFERROR(INDEX(DB!R$2:R$2576,T2016),"")</f>
        <v/>
      </c>
      <c r="M2016" s="43"/>
      <c r="P2016" t="str" cm="1">
        <f t="array" ref="P2016">IFERROR(_xlfn.AGGREGATE(15,6,ROW(DB!A$2:A$2576)/((($D$3&lt;&gt;"YES")+($D$3="YES")*(DB!E$2:E$2576="YES"))*(($D$4="")+($D$4&lt;&gt;"")*( DB!B$2:B$2576=$D$4))*(($D$5="")+($D$5&lt;&gt;"")*( DB!C$2:C$2576=$D$5))*(($D$6="")+($D$6&lt;&gt;"")*( DB!D$2:D$2576=$D$6))*(($D$7="")+($D$7&lt;&gt;"")*(ISNUMBER(SEARCH($D$7,DB!G$2:G$2576))))*(($F$7="전체")+($F$7&lt;&gt;"전체")*(DB!H$2:H$2576=$F$7))),ROW()-13)-1,"")</f>
        <v/>
      </c>
      <c r="Q2016" t="str" cm="1">
        <f t="array" ref="Q2016">IFERROR(INDEX(DB!G$2:G$2576,P2016),"")</f>
        <v/>
      </c>
      <c r="R2016" t="str" cm="1">
        <f t="array" ref="R2016">IFERROR(INDEX(DB!O$2:O$2576,P2016),"")</f>
        <v/>
      </c>
      <c r="S2016" t="str">
        <f t="shared" si="96"/>
        <v/>
      </c>
      <c r="T2016" t="str">
        <f t="shared" si="97"/>
        <v/>
      </c>
    </row>
    <row r="2017" spans="1:20" ht="100" customHeight="1">
      <c r="A2017" s="26"/>
      <c r="B2017" s="42" t="str">
        <f t="shared" si="95"/>
        <v/>
      </c>
      <c r="C2017" s="43"/>
      <c r="D2017" s="51" t="str" cm="1">
        <f t="array" ref="D2017">IFERROR(INDEX(DB!G$2:G$2576,T2017),"")</f>
        <v/>
      </c>
      <c r="E2017" s="43"/>
      <c r="F2017" s="52" t="str" cm="1">
        <f t="array" ref="F2017">IFERROR(INDEX(DB!O$2:O$2576,T2017),"")</f>
        <v/>
      </c>
      <c r="G2017" s="43"/>
      <c r="H2017" s="40" t="str" cm="1">
        <f t="array" ref="H2017">IFERROR(INDEX(DB!P$2:P$2576,T2017),"")</f>
        <v/>
      </c>
      <c r="I2017" s="43"/>
      <c r="J2017" s="53" t="str" cm="1">
        <f t="array" ref="J2017">IFERROR(INDEX(DB!Q$2:Q$2576,T2017),"")</f>
        <v/>
      </c>
      <c r="K2017" s="43"/>
      <c r="L2017" s="41" t="str" cm="1">
        <f t="array" ref="L2017">IFERROR(INDEX(DB!R$2:R$2576,T2017),"")</f>
        <v/>
      </c>
      <c r="M2017" s="43"/>
      <c r="P2017" t="str" cm="1">
        <f t="array" ref="P2017">IFERROR(_xlfn.AGGREGATE(15,6,ROW(DB!A$2:A$2576)/((($D$3&lt;&gt;"YES")+($D$3="YES")*(DB!E$2:E$2576="YES"))*(($D$4="")+($D$4&lt;&gt;"")*( DB!B$2:B$2576=$D$4))*(($D$5="")+($D$5&lt;&gt;"")*( DB!C$2:C$2576=$D$5))*(($D$6="")+($D$6&lt;&gt;"")*( DB!D$2:D$2576=$D$6))*(($D$7="")+($D$7&lt;&gt;"")*(ISNUMBER(SEARCH($D$7,DB!G$2:G$2576))))*(($F$7="전체")+($F$7&lt;&gt;"전체")*(DB!H$2:H$2576=$F$7))),ROW()-13)-1,"")</f>
        <v/>
      </c>
      <c r="Q2017" t="str" cm="1">
        <f t="array" ref="Q2017">IFERROR(INDEX(DB!G$2:G$2576,P2017),"")</f>
        <v/>
      </c>
      <c r="R2017" t="str" cm="1">
        <f t="array" ref="R2017">IFERROR(INDEX(DB!O$2:O$2576,P2017),"")</f>
        <v/>
      </c>
      <c r="S2017" t="str">
        <f t="shared" si="96"/>
        <v/>
      </c>
      <c r="T2017" t="str">
        <f t="shared" si="97"/>
        <v/>
      </c>
    </row>
    <row r="2018" spans="1:20" ht="100" customHeight="1">
      <c r="A2018" s="26"/>
      <c r="B2018" s="39" t="str">
        <f t="shared" si="95"/>
        <v/>
      </c>
      <c r="C2018" s="43"/>
      <c r="D2018" s="51" t="str" cm="1">
        <f t="array" ref="D2018">IFERROR(INDEX(DB!G$2:G$2576,T2018),"")</f>
        <v/>
      </c>
      <c r="E2018" s="43"/>
      <c r="F2018" s="52" t="str" cm="1">
        <f t="array" ref="F2018">IFERROR(INDEX(DB!O$2:O$2576,T2018),"")</f>
        <v/>
      </c>
      <c r="G2018" s="43"/>
      <c r="H2018" s="40" t="str" cm="1">
        <f t="array" ref="H2018">IFERROR(INDEX(DB!P$2:P$2576,T2018),"")</f>
        <v/>
      </c>
      <c r="I2018" s="43"/>
      <c r="J2018" s="53" t="str" cm="1">
        <f t="array" ref="J2018">IFERROR(INDEX(DB!Q$2:Q$2576,T2018),"")</f>
        <v/>
      </c>
      <c r="K2018" s="43"/>
      <c r="L2018" s="41" t="str" cm="1">
        <f t="array" ref="L2018">IFERROR(INDEX(DB!R$2:R$2576,T2018),"")</f>
        <v/>
      </c>
      <c r="M2018" s="43"/>
      <c r="P2018" t="str" cm="1">
        <f t="array" ref="P2018">IFERROR(_xlfn.AGGREGATE(15,6,ROW(DB!A$2:A$2576)/((($D$3&lt;&gt;"YES")+($D$3="YES")*(DB!E$2:E$2576="YES"))*(($D$4="")+($D$4&lt;&gt;"")*( DB!B$2:B$2576=$D$4))*(($D$5="")+($D$5&lt;&gt;"")*( DB!C$2:C$2576=$D$5))*(($D$6="")+($D$6&lt;&gt;"")*( DB!D$2:D$2576=$D$6))*(($D$7="")+($D$7&lt;&gt;"")*(ISNUMBER(SEARCH($D$7,DB!G$2:G$2576))))*(($F$7="전체")+($F$7&lt;&gt;"전체")*(DB!H$2:H$2576=$F$7))),ROW()-13)-1,"")</f>
        <v/>
      </c>
      <c r="Q2018" t="str" cm="1">
        <f t="array" ref="Q2018">IFERROR(INDEX(DB!G$2:G$2576,P2018),"")</f>
        <v/>
      </c>
      <c r="R2018" t="str" cm="1">
        <f t="array" ref="R2018">IFERROR(INDEX(DB!O$2:O$2576,P2018),"")</f>
        <v/>
      </c>
      <c r="S2018" t="str">
        <f t="shared" si="96"/>
        <v/>
      </c>
      <c r="T2018" t="str">
        <f t="shared" si="97"/>
        <v/>
      </c>
    </row>
    <row r="2019" spans="1:20" ht="100" customHeight="1">
      <c r="A2019" s="26"/>
      <c r="B2019" s="42" t="str">
        <f t="shared" si="95"/>
        <v/>
      </c>
      <c r="C2019" s="43"/>
      <c r="D2019" s="51" t="str" cm="1">
        <f t="array" ref="D2019">IFERROR(INDEX(DB!G$2:G$2576,T2019),"")</f>
        <v/>
      </c>
      <c r="E2019" s="43"/>
      <c r="F2019" s="52" t="str" cm="1">
        <f t="array" ref="F2019">IFERROR(INDEX(DB!O$2:O$2576,T2019),"")</f>
        <v/>
      </c>
      <c r="G2019" s="43"/>
      <c r="H2019" s="40" t="str" cm="1">
        <f t="array" ref="H2019">IFERROR(INDEX(DB!P$2:P$2576,T2019),"")</f>
        <v/>
      </c>
      <c r="I2019" s="43"/>
      <c r="J2019" s="53" t="str" cm="1">
        <f t="array" ref="J2019">IFERROR(INDEX(DB!Q$2:Q$2576,T2019),"")</f>
        <v/>
      </c>
      <c r="K2019" s="43"/>
      <c r="L2019" s="41" t="str" cm="1">
        <f t="array" ref="L2019">IFERROR(INDEX(DB!R$2:R$2576,T2019),"")</f>
        <v/>
      </c>
      <c r="M2019" s="43"/>
      <c r="P2019" t="str" cm="1">
        <f t="array" ref="P2019">IFERROR(_xlfn.AGGREGATE(15,6,ROW(DB!A$2:A$2576)/((($D$3&lt;&gt;"YES")+($D$3="YES")*(DB!E$2:E$2576="YES"))*(($D$4="")+($D$4&lt;&gt;"")*( DB!B$2:B$2576=$D$4))*(($D$5="")+($D$5&lt;&gt;"")*( DB!C$2:C$2576=$D$5))*(($D$6="")+($D$6&lt;&gt;"")*( DB!D$2:D$2576=$D$6))*(($D$7="")+($D$7&lt;&gt;"")*(ISNUMBER(SEARCH($D$7,DB!G$2:G$2576))))*(($F$7="전체")+($F$7&lt;&gt;"전체")*(DB!H$2:H$2576=$F$7))),ROW()-13)-1,"")</f>
        <v/>
      </c>
      <c r="Q2019" t="str" cm="1">
        <f t="array" ref="Q2019">IFERROR(INDEX(DB!G$2:G$2576,P2019),"")</f>
        <v/>
      </c>
      <c r="R2019" t="str" cm="1">
        <f t="array" ref="R2019">IFERROR(INDEX(DB!O$2:O$2576,P2019),"")</f>
        <v/>
      </c>
      <c r="S2019" t="str">
        <f t="shared" si="96"/>
        <v/>
      </c>
      <c r="T2019" t="str">
        <f t="shared" si="97"/>
        <v/>
      </c>
    </row>
    <row r="2020" spans="1:20" ht="100" customHeight="1">
      <c r="A2020" s="26"/>
      <c r="B2020" s="39" t="str">
        <f t="shared" si="95"/>
        <v/>
      </c>
      <c r="C2020" s="43"/>
      <c r="D2020" s="51" t="str" cm="1">
        <f t="array" ref="D2020">IFERROR(INDEX(DB!G$2:G$2576,T2020),"")</f>
        <v/>
      </c>
      <c r="E2020" s="43"/>
      <c r="F2020" s="52" t="str" cm="1">
        <f t="array" ref="F2020">IFERROR(INDEX(DB!O$2:O$2576,T2020),"")</f>
        <v/>
      </c>
      <c r="G2020" s="43"/>
      <c r="H2020" s="40" t="str" cm="1">
        <f t="array" ref="H2020">IFERROR(INDEX(DB!P$2:P$2576,T2020),"")</f>
        <v/>
      </c>
      <c r="I2020" s="43"/>
      <c r="J2020" s="53" t="str" cm="1">
        <f t="array" ref="J2020">IFERROR(INDEX(DB!Q$2:Q$2576,T2020),"")</f>
        <v/>
      </c>
      <c r="K2020" s="43"/>
      <c r="L2020" s="41" t="str" cm="1">
        <f t="array" ref="L2020">IFERROR(INDEX(DB!R$2:R$2576,T2020),"")</f>
        <v/>
      </c>
      <c r="M2020" s="43"/>
      <c r="P2020" t="str" cm="1">
        <f t="array" ref="P2020">IFERROR(_xlfn.AGGREGATE(15,6,ROW(DB!A$2:A$2576)/((($D$3&lt;&gt;"YES")+($D$3="YES")*(DB!E$2:E$2576="YES"))*(($D$4="")+($D$4&lt;&gt;"")*( DB!B$2:B$2576=$D$4))*(($D$5="")+($D$5&lt;&gt;"")*( DB!C$2:C$2576=$D$5))*(($D$6="")+($D$6&lt;&gt;"")*( DB!D$2:D$2576=$D$6))*(($D$7="")+($D$7&lt;&gt;"")*(ISNUMBER(SEARCH($D$7,DB!G$2:G$2576))))*(($F$7="전체")+($F$7&lt;&gt;"전체")*(DB!H$2:H$2576=$F$7))),ROW()-13)-1,"")</f>
        <v/>
      </c>
      <c r="Q2020" t="str" cm="1">
        <f t="array" ref="Q2020">IFERROR(INDEX(DB!G$2:G$2576,P2020),"")</f>
        <v/>
      </c>
      <c r="R2020" t="str" cm="1">
        <f t="array" ref="R2020">IFERROR(INDEX(DB!O$2:O$2576,P2020),"")</f>
        <v/>
      </c>
      <c r="S2020" t="str">
        <f t="shared" si="96"/>
        <v/>
      </c>
      <c r="T2020" t="str">
        <f t="shared" si="97"/>
        <v/>
      </c>
    </row>
    <row r="2021" spans="1:20" ht="100" customHeight="1">
      <c r="A2021" s="26"/>
      <c r="B2021" s="42" t="str">
        <f t="shared" si="95"/>
        <v/>
      </c>
      <c r="C2021" s="43"/>
      <c r="D2021" s="51" t="str" cm="1">
        <f t="array" ref="D2021">IFERROR(INDEX(DB!G$2:G$2576,T2021),"")</f>
        <v/>
      </c>
      <c r="E2021" s="43"/>
      <c r="F2021" s="52" t="str" cm="1">
        <f t="array" ref="F2021">IFERROR(INDEX(DB!O$2:O$2576,T2021),"")</f>
        <v/>
      </c>
      <c r="G2021" s="43"/>
      <c r="H2021" s="40" t="str" cm="1">
        <f t="array" ref="H2021">IFERROR(INDEX(DB!P$2:P$2576,T2021),"")</f>
        <v/>
      </c>
      <c r="I2021" s="43"/>
      <c r="J2021" s="53" t="str" cm="1">
        <f t="array" ref="J2021">IFERROR(INDEX(DB!Q$2:Q$2576,T2021),"")</f>
        <v/>
      </c>
      <c r="K2021" s="43"/>
      <c r="L2021" s="41" t="str" cm="1">
        <f t="array" ref="L2021">IFERROR(INDEX(DB!R$2:R$2576,T2021),"")</f>
        <v/>
      </c>
      <c r="M2021" s="43"/>
      <c r="P2021" t="str" cm="1">
        <f t="array" ref="P2021">IFERROR(_xlfn.AGGREGATE(15,6,ROW(DB!A$2:A$2576)/((($D$3&lt;&gt;"YES")+($D$3="YES")*(DB!E$2:E$2576="YES"))*(($D$4="")+($D$4&lt;&gt;"")*( DB!B$2:B$2576=$D$4))*(($D$5="")+($D$5&lt;&gt;"")*( DB!C$2:C$2576=$D$5))*(($D$6="")+($D$6&lt;&gt;"")*( DB!D$2:D$2576=$D$6))*(($D$7="")+($D$7&lt;&gt;"")*(ISNUMBER(SEARCH($D$7,DB!G$2:G$2576))))*(($F$7="전체")+($F$7&lt;&gt;"전체")*(DB!H$2:H$2576=$F$7))),ROW()-13)-1,"")</f>
        <v/>
      </c>
      <c r="Q2021" t="str" cm="1">
        <f t="array" ref="Q2021">IFERROR(INDEX(DB!G$2:G$2576,P2021),"")</f>
        <v/>
      </c>
      <c r="R2021" t="str" cm="1">
        <f t="array" ref="R2021">IFERROR(INDEX(DB!O$2:O$2576,P2021),"")</f>
        <v/>
      </c>
      <c r="S2021" t="str">
        <f t="shared" si="96"/>
        <v/>
      </c>
      <c r="T2021" t="str">
        <f t="shared" si="97"/>
        <v/>
      </c>
    </row>
    <row r="2022" spans="1:20" ht="100" customHeight="1">
      <c r="A2022" s="26"/>
      <c r="B2022" s="39" t="str">
        <f t="shared" si="95"/>
        <v/>
      </c>
      <c r="C2022" s="43"/>
      <c r="D2022" s="51" t="str" cm="1">
        <f t="array" ref="D2022">IFERROR(INDEX(DB!G$2:G$2576,T2022),"")</f>
        <v/>
      </c>
      <c r="E2022" s="43"/>
      <c r="F2022" s="52" t="str" cm="1">
        <f t="array" ref="F2022">IFERROR(INDEX(DB!O$2:O$2576,T2022),"")</f>
        <v/>
      </c>
      <c r="G2022" s="43"/>
      <c r="H2022" s="40" t="str" cm="1">
        <f t="array" ref="H2022">IFERROR(INDEX(DB!P$2:P$2576,T2022),"")</f>
        <v/>
      </c>
      <c r="I2022" s="43"/>
      <c r="J2022" s="53" t="str" cm="1">
        <f t="array" ref="J2022">IFERROR(INDEX(DB!Q$2:Q$2576,T2022),"")</f>
        <v/>
      </c>
      <c r="K2022" s="43"/>
      <c r="L2022" s="41" t="str" cm="1">
        <f t="array" ref="L2022">IFERROR(INDEX(DB!R$2:R$2576,T2022),"")</f>
        <v/>
      </c>
      <c r="M2022" s="43"/>
      <c r="P2022" t="str" cm="1">
        <f t="array" ref="P2022">IFERROR(_xlfn.AGGREGATE(15,6,ROW(DB!A$2:A$2576)/((($D$3&lt;&gt;"YES")+($D$3="YES")*(DB!E$2:E$2576="YES"))*(($D$4="")+($D$4&lt;&gt;"")*( DB!B$2:B$2576=$D$4))*(($D$5="")+($D$5&lt;&gt;"")*( DB!C$2:C$2576=$D$5))*(($D$6="")+($D$6&lt;&gt;"")*( DB!D$2:D$2576=$D$6))*(($D$7="")+($D$7&lt;&gt;"")*(ISNUMBER(SEARCH($D$7,DB!G$2:G$2576))))*(($F$7="전체")+($F$7&lt;&gt;"전체")*(DB!H$2:H$2576=$F$7))),ROW()-13)-1,"")</f>
        <v/>
      </c>
      <c r="Q2022" t="str" cm="1">
        <f t="array" ref="Q2022">IFERROR(INDEX(DB!G$2:G$2576,P2022),"")</f>
        <v/>
      </c>
      <c r="R2022" t="str" cm="1">
        <f t="array" ref="R2022">IFERROR(INDEX(DB!O$2:O$2576,P2022),"")</f>
        <v/>
      </c>
      <c r="S2022" t="str">
        <f t="shared" si="96"/>
        <v/>
      </c>
      <c r="T2022" t="str">
        <f t="shared" si="97"/>
        <v/>
      </c>
    </row>
    <row r="2023" spans="1:20" ht="100" customHeight="1">
      <c r="A2023" s="26"/>
      <c r="B2023" s="42" t="str">
        <f t="shared" si="95"/>
        <v/>
      </c>
      <c r="C2023" s="43"/>
      <c r="D2023" s="51" t="str" cm="1">
        <f t="array" ref="D2023">IFERROR(INDEX(DB!G$2:G$2576,T2023),"")</f>
        <v/>
      </c>
      <c r="E2023" s="43"/>
      <c r="F2023" s="52" t="str" cm="1">
        <f t="array" ref="F2023">IFERROR(INDEX(DB!O$2:O$2576,T2023),"")</f>
        <v/>
      </c>
      <c r="G2023" s="43"/>
      <c r="H2023" s="40" t="str" cm="1">
        <f t="array" ref="H2023">IFERROR(INDEX(DB!P$2:P$2576,T2023),"")</f>
        <v/>
      </c>
      <c r="I2023" s="43"/>
      <c r="J2023" s="53" t="str" cm="1">
        <f t="array" ref="J2023">IFERROR(INDEX(DB!Q$2:Q$2576,T2023),"")</f>
        <v/>
      </c>
      <c r="K2023" s="43"/>
      <c r="L2023" s="41" t="str" cm="1">
        <f t="array" ref="L2023">IFERROR(INDEX(DB!R$2:R$2576,T2023),"")</f>
        <v/>
      </c>
      <c r="M2023" s="43"/>
      <c r="P2023" t="str" cm="1">
        <f t="array" ref="P2023">IFERROR(_xlfn.AGGREGATE(15,6,ROW(DB!A$2:A$2576)/((($D$3&lt;&gt;"YES")+($D$3="YES")*(DB!E$2:E$2576="YES"))*(($D$4="")+($D$4&lt;&gt;"")*( DB!B$2:B$2576=$D$4))*(($D$5="")+($D$5&lt;&gt;"")*( DB!C$2:C$2576=$D$5))*(($D$6="")+($D$6&lt;&gt;"")*( DB!D$2:D$2576=$D$6))*(($D$7="")+($D$7&lt;&gt;"")*(ISNUMBER(SEARCH($D$7,DB!G$2:G$2576))))*(($F$7="전체")+($F$7&lt;&gt;"전체")*(DB!H$2:H$2576=$F$7))),ROW()-13)-1,"")</f>
        <v/>
      </c>
      <c r="Q2023" t="str" cm="1">
        <f t="array" ref="Q2023">IFERROR(INDEX(DB!G$2:G$2576,P2023),"")</f>
        <v/>
      </c>
      <c r="R2023" t="str" cm="1">
        <f t="array" ref="R2023">IFERROR(INDEX(DB!O$2:O$2576,P2023),"")</f>
        <v/>
      </c>
      <c r="S2023" t="str">
        <f t="shared" si="96"/>
        <v/>
      </c>
      <c r="T2023" t="str">
        <f t="shared" si="97"/>
        <v/>
      </c>
    </row>
    <row r="2024" spans="1:20" ht="100" customHeight="1">
      <c r="A2024" s="26"/>
      <c r="B2024" s="39" t="str">
        <f t="shared" si="95"/>
        <v/>
      </c>
      <c r="C2024" s="43"/>
      <c r="D2024" s="51" t="str" cm="1">
        <f t="array" ref="D2024">IFERROR(INDEX(DB!G$2:G$2576,T2024),"")</f>
        <v/>
      </c>
      <c r="E2024" s="43"/>
      <c r="F2024" s="52" t="str" cm="1">
        <f t="array" ref="F2024">IFERROR(INDEX(DB!O$2:O$2576,T2024),"")</f>
        <v/>
      </c>
      <c r="G2024" s="43"/>
      <c r="H2024" s="40" t="str" cm="1">
        <f t="array" ref="H2024">IFERROR(INDEX(DB!P$2:P$2576,T2024),"")</f>
        <v/>
      </c>
      <c r="I2024" s="43"/>
      <c r="J2024" s="53" t="str" cm="1">
        <f t="array" ref="J2024">IFERROR(INDEX(DB!Q$2:Q$2576,T2024),"")</f>
        <v/>
      </c>
      <c r="K2024" s="43"/>
      <c r="L2024" s="41" t="str" cm="1">
        <f t="array" ref="L2024">IFERROR(INDEX(DB!R$2:R$2576,T2024),"")</f>
        <v/>
      </c>
      <c r="M2024" s="43"/>
      <c r="P2024" t="str" cm="1">
        <f t="array" ref="P2024">IFERROR(_xlfn.AGGREGATE(15,6,ROW(DB!A$2:A$2576)/((($D$3&lt;&gt;"YES")+($D$3="YES")*(DB!E$2:E$2576="YES"))*(($D$4="")+($D$4&lt;&gt;"")*( DB!B$2:B$2576=$D$4))*(($D$5="")+($D$5&lt;&gt;"")*( DB!C$2:C$2576=$D$5))*(($D$6="")+($D$6&lt;&gt;"")*( DB!D$2:D$2576=$D$6))*(($D$7="")+($D$7&lt;&gt;"")*(ISNUMBER(SEARCH($D$7,DB!G$2:G$2576))))*(($F$7="전체")+($F$7&lt;&gt;"전체")*(DB!H$2:H$2576=$F$7))),ROW()-13)-1,"")</f>
        <v/>
      </c>
      <c r="Q2024" t="str" cm="1">
        <f t="array" ref="Q2024">IFERROR(INDEX(DB!G$2:G$2576,P2024),"")</f>
        <v/>
      </c>
      <c r="R2024" t="str" cm="1">
        <f t="array" ref="R2024">IFERROR(INDEX(DB!O$2:O$2576,P2024),"")</f>
        <v/>
      </c>
      <c r="S2024" t="str">
        <f t="shared" si="96"/>
        <v/>
      </c>
      <c r="T2024" t="str">
        <f t="shared" si="97"/>
        <v/>
      </c>
    </row>
    <row r="2025" spans="1:20" ht="100" customHeight="1">
      <c r="A2025" s="26"/>
      <c r="B2025" s="42" t="str">
        <f t="shared" si="95"/>
        <v/>
      </c>
      <c r="C2025" s="43"/>
      <c r="D2025" s="51" t="str" cm="1">
        <f t="array" ref="D2025">IFERROR(INDEX(DB!G$2:G$2576,T2025),"")</f>
        <v/>
      </c>
      <c r="E2025" s="43"/>
      <c r="F2025" s="52" t="str" cm="1">
        <f t="array" ref="F2025">IFERROR(INDEX(DB!O$2:O$2576,T2025),"")</f>
        <v/>
      </c>
      <c r="G2025" s="43"/>
      <c r="H2025" s="40" t="str" cm="1">
        <f t="array" ref="H2025">IFERROR(INDEX(DB!P$2:P$2576,T2025),"")</f>
        <v/>
      </c>
      <c r="I2025" s="43"/>
      <c r="J2025" s="53" t="str" cm="1">
        <f t="array" ref="J2025">IFERROR(INDEX(DB!Q$2:Q$2576,T2025),"")</f>
        <v/>
      </c>
      <c r="K2025" s="43"/>
      <c r="L2025" s="41" t="str" cm="1">
        <f t="array" ref="L2025">IFERROR(INDEX(DB!R$2:R$2576,T2025),"")</f>
        <v/>
      </c>
      <c r="M2025" s="43"/>
      <c r="P2025" t="str" cm="1">
        <f t="array" ref="P2025">IFERROR(_xlfn.AGGREGATE(15,6,ROW(DB!A$2:A$2576)/((($D$3&lt;&gt;"YES")+($D$3="YES")*(DB!E$2:E$2576="YES"))*(($D$4="")+($D$4&lt;&gt;"")*( DB!B$2:B$2576=$D$4))*(($D$5="")+($D$5&lt;&gt;"")*( DB!C$2:C$2576=$D$5))*(($D$6="")+($D$6&lt;&gt;"")*( DB!D$2:D$2576=$D$6))*(($D$7="")+($D$7&lt;&gt;"")*(ISNUMBER(SEARCH($D$7,DB!G$2:G$2576))))*(($F$7="전체")+($F$7&lt;&gt;"전체")*(DB!H$2:H$2576=$F$7))),ROW()-13)-1,"")</f>
        <v/>
      </c>
      <c r="Q2025" t="str" cm="1">
        <f t="array" ref="Q2025">IFERROR(INDEX(DB!G$2:G$2576,P2025),"")</f>
        <v/>
      </c>
      <c r="R2025" t="str" cm="1">
        <f t="array" ref="R2025">IFERROR(INDEX(DB!O$2:O$2576,P2025),"")</f>
        <v/>
      </c>
      <c r="S2025" t="str">
        <f t="shared" si="96"/>
        <v/>
      </c>
      <c r="T2025" t="str">
        <f t="shared" si="97"/>
        <v/>
      </c>
    </row>
    <row r="2026" spans="1:20" ht="100" customHeight="1">
      <c r="A2026" s="26"/>
      <c r="B2026" s="39" t="str">
        <f t="shared" si="95"/>
        <v/>
      </c>
      <c r="C2026" s="43"/>
      <c r="D2026" s="51" t="str" cm="1">
        <f t="array" ref="D2026">IFERROR(INDEX(DB!G$2:G$2576,T2026),"")</f>
        <v/>
      </c>
      <c r="E2026" s="43"/>
      <c r="F2026" s="52" t="str" cm="1">
        <f t="array" ref="F2026">IFERROR(INDEX(DB!O$2:O$2576,T2026),"")</f>
        <v/>
      </c>
      <c r="G2026" s="43"/>
      <c r="H2026" s="40" t="str" cm="1">
        <f t="array" ref="H2026">IFERROR(INDEX(DB!P$2:P$2576,T2026),"")</f>
        <v/>
      </c>
      <c r="I2026" s="43"/>
      <c r="J2026" s="53" t="str" cm="1">
        <f t="array" ref="J2026">IFERROR(INDEX(DB!Q$2:Q$2576,T2026),"")</f>
        <v/>
      </c>
      <c r="K2026" s="43"/>
      <c r="L2026" s="41" t="str" cm="1">
        <f t="array" ref="L2026">IFERROR(INDEX(DB!R$2:R$2576,T2026),"")</f>
        <v/>
      </c>
      <c r="M2026" s="43"/>
      <c r="P2026" t="str" cm="1">
        <f t="array" ref="P2026">IFERROR(_xlfn.AGGREGATE(15,6,ROW(DB!A$2:A$2576)/((($D$3&lt;&gt;"YES")+($D$3="YES")*(DB!E$2:E$2576="YES"))*(($D$4="")+($D$4&lt;&gt;"")*( DB!B$2:B$2576=$D$4))*(($D$5="")+($D$5&lt;&gt;"")*( DB!C$2:C$2576=$D$5))*(($D$6="")+($D$6&lt;&gt;"")*( DB!D$2:D$2576=$D$6))*(($D$7="")+($D$7&lt;&gt;"")*(ISNUMBER(SEARCH($D$7,DB!G$2:G$2576))))*(($F$7="전체")+($F$7&lt;&gt;"전체")*(DB!H$2:H$2576=$F$7))),ROW()-13)-1,"")</f>
        <v/>
      </c>
      <c r="Q2026" t="str" cm="1">
        <f t="array" ref="Q2026">IFERROR(INDEX(DB!G$2:G$2576,P2026),"")</f>
        <v/>
      </c>
      <c r="R2026" t="str" cm="1">
        <f t="array" ref="R2026">IFERROR(INDEX(DB!O$2:O$2576,P2026),"")</f>
        <v/>
      </c>
      <c r="S2026" t="str">
        <f t="shared" si="96"/>
        <v/>
      </c>
      <c r="T2026" t="str">
        <f t="shared" si="97"/>
        <v/>
      </c>
    </row>
    <row r="2027" spans="1:20" ht="100" customHeight="1">
      <c r="A2027" s="26"/>
      <c r="B2027" s="42" t="str">
        <f t="shared" si="95"/>
        <v/>
      </c>
      <c r="C2027" s="43"/>
      <c r="D2027" s="51" t="str" cm="1">
        <f t="array" ref="D2027">IFERROR(INDEX(DB!G$2:G$2576,T2027),"")</f>
        <v/>
      </c>
      <c r="E2027" s="43"/>
      <c r="F2027" s="52" t="str" cm="1">
        <f t="array" ref="F2027">IFERROR(INDEX(DB!O$2:O$2576,T2027),"")</f>
        <v/>
      </c>
      <c r="G2027" s="43"/>
      <c r="H2027" s="40" t="str" cm="1">
        <f t="array" ref="H2027">IFERROR(INDEX(DB!P$2:P$2576,T2027),"")</f>
        <v/>
      </c>
      <c r="I2027" s="43"/>
      <c r="J2027" s="53" t="str" cm="1">
        <f t="array" ref="J2027">IFERROR(INDEX(DB!Q$2:Q$2576,T2027),"")</f>
        <v/>
      </c>
      <c r="K2027" s="43"/>
      <c r="L2027" s="41" t="str" cm="1">
        <f t="array" ref="L2027">IFERROR(INDEX(DB!R$2:R$2576,T2027),"")</f>
        <v/>
      </c>
      <c r="M2027" s="43"/>
      <c r="P2027" t="str" cm="1">
        <f t="array" ref="P2027">IFERROR(_xlfn.AGGREGATE(15,6,ROW(DB!A$2:A$2576)/((($D$3&lt;&gt;"YES")+($D$3="YES")*(DB!E$2:E$2576="YES"))*(($D$4="")+($D$4&lt;&gt;"")*( DB!B$2:B$2576=$D$4))*(($D$5="")+($D$5&lt;&gt;"")*( DB!C$2:C$2576=$D$5))*(($D$6="")+($D$6&lt;&gt;"")*( DB!D$2:D$2576=$D$6))*(($D$7="")+($D$7&lt;&gt;"")*(ISNUMBER(SEARCH($D$7,DB!G$2:G$2576))))*(($F$7="전체")+($F$7&lt;&gt;"전체")*(DB!H$2:H$2576=$F$7))),ROW()-13)-1,"")</f>
        <v/>
      </c>
      <c r="Q2027" t="str" cm="1">
        <f t="array" ref="Q2027">IFERROR(INDEX(DB!G$2:G$2576,P2027),"")</f>
        <v/>
      </c>
      <c r="R2027" t="str" cm="1">
        <f t="array" ref="R2027">IFERROR(INDEX(DB!O$2:O$2576,P2027),"")</f>
        <v/>
      </c>
      <c r="S2027" t="str">
        <f t="shared" si="96"/>
        <v/>
      </c>
      <c r="T2027" t="str">
        <f t="shared" si="97"/>
        <v/>
      </c>
    </row>
    <row r="2028" spans="1:20" ht="100" customHeight="1">
      <c r="A2028" s="26"/>
      <c r="B2028" s="39" t="str">
        <f t="shared" si="95"/>
        <v/>
      </c>
      <c r="C2028" s="43"/>
      <c r="D2028" s="51" t="str" cm="1">
        <f t="array" ref="D2028">IFERROR(INDEX(DB!G$2:G$2576,T2028),"")</f>
        <v/>
      </c>
      <c r="E2028" s="43"/>
      <c r="F2028" s="52" t="str" cm="1">
        <f t="array" ref="F2028">IFERROR(INDEX(DB!O$2:O$2576,T2028),"")</f>
        <v/>
      </c>
      <c r="G2028" s="43"/>
      <c r="H2028" s="40" t="str" cm="1">
        <f t="array" ref="H2028">IFERROR(INDEX(DB!P$2:P$2576,T2028),"")</f>
        <v/>
      </c>
      <c r="I2028" s="43"/>
      <c r="J2028" s="53" t="str" cm="1">
        <f t="array" ref="J2028">IFERROR(INDEX(DB!Q$2:Q$2576,T2028),"")</f>
        <v/>
      </c>
      <c r="K2028" s="43"/>
      <c r="L2028" s="41" t="str" cm="1">
        <f t="array" ref="L2028">IFERROR(INDEX(DB!R$2:R$2576,T2028),"")</f>
        <v/>
      </c>
      <c r="M2028" s="43"/>
      <c r="P2028" t="str" cm="1">
        <f t="array" ref="P2028">IFERROR(_xlfn.AGGREGATE(15,6,ROW(DB!A$2:A$2576)/((($D$3&lt;&gt;"YES")+($D$3="YES")*(DB!E$2:E$2576="YES"))*(($D$4="")+($D$4&lt;&gt;"")*( DB!B$2:B$2576=$D$4))*(($D$5="")+($D$5&lt;&gt;"")*( DB!C$2:C$2576=$D$5))*(($D$6="")+($D$6&lt;&gt;"")*( DB!D$2:D$2576=$D$6))*(($D$7="")+($D$7&lt;&gt;"")*(ISNUMBER(SEARCH($D$7,DB!G$2:G$2576))))*(($F$7="전체")+($F$7&lt;&gt;"전체")*(DB!H$2:H$2576=$F$7))),ROW()-13)-1,"")</f>
        <v/>
      </c>
      <c r="Q2028" t="str" cm="1">
        <f t="array" ref="Q2028">IFERROR(INDEX(DB!G$2:G$2576,P2028),"")</f>
        <v/>
      </c>
      <c r="R2028" t="str" cm="1">
        <f t="array" ref="R2028">IFERROR(INDEX(DB!O$2:O$2576,P2028),"")</f>
        <v/>
      </c>
      <c r="S2028" t="str">
        <f t="shared" si="96"/>
        <v/>
      </c>
      <c r="T2028" t="str">
        <f t="shared" si="97"/>
        <v/>
      </c>
    </row>
    <row r="2029" spans="1:20" ht="100" customHeight="1">
      <c r="A2029" s="26"/>
      <c r="B2029" s="42" t="str">
        <f t="shared" si="95"/>
        <v/>
      </c>
      <c r="C2029" s="43"/>
      <c r="D2029" s="51" t="str" cm="1">
        <f t="array" ref="D2029">IFERROR(INDEX(DB!G$2:G$2576,T2029),"")</f>
        <v/>
      </c>
      <c r="E2029" s="43"/>
      <c r="F2029" s="52" t="str" cm="1">
        <f t="array" ref="F2029">IFERROR(INDEX(DB!O$2:O$2576,T2029),"")</f>
        <v/>
      </c>
      <c r="G2029" s="43"/>
      <c r="H2029" s="40" t="str" cm="1">
        <f t="array" ref="H2029">IFERROR(INDEX(DB!P$2:P$2576,T2029),"")</f>
        <v/>
      </c>
      <c r="I2029" s="43"/>
      <c r="J2029" s="53" t="str" cm="1">
        <f t="array" ref="J2029">IFERROR(INDEX(DB!Q$2:Q$2576,T2029),"")</f>
        <v/>
      </c>
      <c r="K2029" s="43"/>
      <c r="L2029" s="41" t="str" cm="1">
        <f t="array" ref="L2029">IFERROR(INDEX(DB!R$2:R$2576,T2029),"")</f>
        <v/>
      </c>
      <c r="M2029" s="43"/>
      <c r="P2029" t="str" cm="1">
        <f t="array" ref="P2029">IFERROR(_xlfn.AGGREGATE(15,6,ROW(DB!A$2:A$2576)/((($D$3&lt;&gt;"YES")+($D$3="YES")*(DB!E$2:E$2576="YES"))*(($D$4="")+($D$4&lt;&gt;"")*( DB!B$2:B$2576=$D$4))*(($D$5="")+($D$5&lt;&gt;"")*( DB!C$2:C$2576=$D$5))*(($D$6="")+($D$6&lt;&gt;"")*( DB!D$2:D$2576=$D$6))*(($D$7="")+($D$7&lt;&gt;"")*(ISNUMBER(SEARCH($D$7,DB!G$2:G$2576))))*(($F$7="전체")+($F$7&lt;&gt;"전체")*(DB!H$2:H$2576=$F$7))),ROW()-13)-1,"")</f>
        <v/>
      </c>
      <c r="Q2029" t="str" cm="1">
        <f t="array" ref="Q2029">IFERROR(INDEX(DB!G$2:G$2576,P2029),"")</f>
        <v/>
      </c>
      <c r="R2029" t="str" cm="1">
        <f t="array" ref="R2029">IFERROR(INDEX(DB!O$2:O$2576,P2029),"")</f>
        <v/>
      </c>
      <c r="S2029" t="str">
        <f t="shared" si="96"/>
        <v/>
      </c>
      <c r="T2029" t="str">
        <f t="shared" si="97"/>
        <v/>
      </c>
    </row>
    <row r="2030" spans="1:20" ht="100" customHeight="1">
      <c r="A2030" s="26"/>
      <c r="B2030" s="39" t="str">
        <f t="shared" si="95"/>
        <v/>
      </c>
      <c r="C2030" s="43"/>
      <c r="D2030" s="51" t="str" cm="1">
        <f t="array" ref="D2030">IFERROR(INDEX(DB!G$2:G$2576,T2030),"")</f>
        <v/>
      </c>
      <c r="E2030" s="43"/>
      <c r="F2030" s="52" t="str" cm="1">
        <f t="array" ref="F2030">IFERROR(INDEX(DB!O$2:O$2576,T2030),"")</f>
        <v/>
      </c>
      <c r="G2030" s="43"/>
      <c r="H2030" s="40" t="str" cm="1">
        <f t="array" ref="H2030">IFERROR(INDEX(DB!P$2:P$2576,T2030),"")</f>
        <v/>
      </c>
      <c r="I2030" s="43"/>
      <c r="J2030" s="53" t="str" cm="1">
        <f t="array" ref="J2030">IFERROR(INDEX(DB!Q$2:Q$2576,T2030),"")</f>
        <v/>
      </c>
      <c r="K2030" s="43"/>
      <c r="L2030" s="41" t="str" cm="1">
        <f t="array" ref="L2030">IFERROR(INDEX(DB!R$2:R$2576,T2030),"")</f>
        <v/>
      </c>
      <c r="M2030" s="43"/>
      <c r="P2030" t="str" cm="1">
        <f t="array" ref="P2030">IFERROR(_xlfn.AGGREGATE(15,6,ROW(DB!A$2:A$2576)/((($D$3&lt;&gt;"YES")+($D$3="YES")*(DB!E$2:E$2576="YES"))*(($D$4="")+($D$4&lt;&gt;"")*( DB!B$2:B$2576=$D$4))*(($D$5="")+($D$5&lt;&gt;"")*( DB!C$2:C$2576=$D$5))*(($D$6="")+($D$6&lt;&gt;"")*( DB!D$2:D$2576=$D$6))*(($D$7="")+($D$7&lt;&gt;"")*(ISNUMBER(SEARCH($D$7,DB!G$2:G$2576))))*(($F$7="전체")+($F$7&lt;&gt;"전체")*(DB!H$2:H$2576=$F$7))),ROW()-13)-1,"")</f>
        <v/>
      </c>
      <c r="Q2030" t="str" cm="1">
        <f t="array" ref="Q2030">IFERROR(INDEX(DB!G$2:G$2576,P2030),"")</f>
        <v/>
      </c>
      <c r="R2030" t="str" cm="1">
        <f t="array" ref="R2030">IFERROR(INDEX(DB!O$2:O$2576,P2030),"")</f>
        <v/>
      </c>
      <c r="S2030" t="str">
        <f t="shared" si="96"/>
        <v/>
      </c>
      <c r="T2030" t="str">
        <f t="shared" si="97"/>
        <v/>
      </c>
    </row>
    <row r="2031" spans="1:20" ht="100" customHeight="1">
      <c r="A2031" s="26"/>
      <c r="B2031" s="42" t="str">
        <f t="shared" si="95"/>
        <v/>
      </c>
      <c r="C2031" s="43"/>
      <c r="D2031" s="51" t="str" cm="1">
        <f t="array" ref="D2031">IFERROR(INDEX(DB!G$2:G$2576,T2031),"")</f>
        <v/>
      </c>
      <c r="E2031" s="43"/>
      <c r="F2031" s="52" t="str" cm="1">
        <f t="array" ref="F2031">IFERROR(INDEX(DB!O$2:O$2576,T2031),"")</f>
        <v/>
      </c>
      <c r="G2031" s="43"/>
      <c r="H2031" s="40" t="str" cm="1">
        <f t="array" ref="H2031">IFERROR(INDEX(DB!P$2:P$2576,T2031),"")</f>
        <v/>
      </c>
      <c r="I2031" s="43"/>
      <c r="J2031" s="53" t="str" cm="1">
        <f t="array" ref="J2031">IFERROR(INDEX(DB!Q$2:Q$2576,T2031),"")</f>
        <v/>
      </c>
      <c r="K2031" s="43"/>
      <c r="L2031" s="41" t="str" cm="1">
        <f t="array" ref="L2031">IFERROR(INDEX(DB!R$2:R$2576,T2031),"")</f>
        <v/>
      </c>
      <c r="M2031" s="43"/>
      <c r="P2031" t="str" cm="1">
        <f t="array" ref="P2031">IFERROR(_xlfn.AGGREGATE(15,6,ROW(DB!A$2:A$2576)/((($D$3&lt;&gt;"YES")+($D$3="YES")*(DB!E$2:E$2576="YES"))*(($D$4="")+($D$4&lt;&gt;"")*( DB!B$2:B$2576=$D$4))*(($D$5="")+($D$5&lt;&gt;"")*( DB!C$2:C$2576=$D$5))*(($D$6="")+($D$6&lt;&gt;"")*( DB!D$2:D$2576=$D$6))*(($D$7="")+($D$7&lt;&gt;"")*(ISNUMBER(SEARCH($D$7,DB!G$2:G$2576))))*(($F$7="전체")+($F$7&lt;&gt;"전체")*(DB!H$2:H$2576=$F$7))),ROW()-13)-1,"")</f>
        <v/>
      </c>
      <c r="Q2031" t="str" cm="1">
        <f t="array" ref="Q2031">IFERROR(INDEX(DB!G$2:G$2576,P2031),"")</f>
        <v/>
      </c>
      <c r="R2031" t="str" cm="1">
        <f t="array" ref="R2031">IFERROR(INDEX(DB!O$2:O$2576,P2031),"")</f>
        <v/>
      </c>
      <c r="S2031" t="str">
        <f t="shared" si="96"/>
        <v/>
      </c>
      <c r="T2031" t="str">
        <f t="shared" si="97"/>
        <v/>
      </c>
    </row>
    <row r="2032" spans="1:20" ht="100" customHeight="1">
      <c r="A2032" s="26"/>
      <c r="B2032" s="39" t="str">
        <f t="shared" si="95"/>
        <v/>
      </c>
      <c r="C2032" s="43"/>
      <c r="D2032" s="51" t="str" cm="1">
        <f t="array" ref="D2032">IFERROR(INDEX(DB!G$2:G$2576,T2032),"")</f>
        <v/>
      </c>
      <c r="E2032" s="43"/>
      <c r="F2032" s="52" t="str" cm="1">
        <f t="array" ref="F2032">IFERROR(INDEX(DB!O$2:O$2576,T2032),"")</f>
        <v/>
      </c>
      <c r="G2032" s="43"/>
      <c r="H2032" s="40" t="str" cm="1">
        <f t="array" ref="H2032">IFERROR(INDEX(DB!P$2:P$2576,T2032),"")</f>
        <v/>
      </c>
      <c r="I2032" s="43"/>
      <c r="J2032" s="53" t="str" cm="1">
        <f t="array" ref="J2032">IFERROR(INDEX(DB!Q$2:Q$2576,T2032),"")</f>
        <v/>
      </c>
      <c r="K2032" s="43"/>
      <c r="L2032" s="41" t="str" cm="1">
        <f t="array" ref="L2032">IFERROR(INDEX(DB!R$2:R$2576,T2032),"")</f>
        <v/>
      </c>
      <c r="M2032" s="43"/>
      <c r="P2032" t="str" cm="1">
        <f t="array" ref="P2032">IFERROR(_xlfn.AGGREGATE(15,6,ROW(DB!A$2:A$2576)/((($D$3&lt;&gt;"YES")+($D$3="YES")*(DB!E$2:E$2576="YES"))*(($D$4="")+($D$4&lt;&gt;"")*( DB!B$2:B$2576=$D$4))*(($D$5="")+($D$5&lt;&gt;"")*( DB!C$2:C$2576=$D$5))*(($D$6="")+($D$6&lt;&gt;"")*( DB!D$2:D$2576=$D$6))*(($D$7="")+($D$7&lt;&gt;"")*(ISNUMBER(SEARCH($D$7,DB!G$2:G$2576))))*(($F$7="전체")+($F$7&lt;&gt;"전체")*(DB!H$2:H$2576=$F$7))),ROW()-13)-1,"")</f>
        <v/>
      </c>
      <c r="Q2032" t="str" cm="1">
        <f t="array" ref="Q2032">IFERROR(INDEX(DB!G$2:G$2576,P2032),"")</f>
        <v/>
      </c>
      <c r="R2032" t="str" cm="1">
        <f t="array" ref="R2032">IFERROR(INDEX(DB!O$2:O$2576,P2032),"")</f>
        <v/>
      </c>
      <c r="S2032" t="str">
        <f t="shared" si="96"/>
        <v/>
      </c>
      <c r="T2032" t="str">
        <f t="shared" si="97"/>
        <v/>
      </c>
    </row>
    <row r="2033" spans="1:20" ht="100" customHeight="1">
      <c r="A2033" s="26"/>
      <c r="B2033" s="42" t="str">
        <f t="shared" si="95"/>
        <v/>
      </c>
      <c r="C2033" s="43"/>
      <c r="D2033" s="51" t="str" cm="1">
        <f t="array" ref="D2033">IFERROR(INDEX(DB!G$2:G$2576,T2033),"")</f>
        <v/>
      </c>
      <c r="E2033" s="43"/>
      <c r="F2033" s="52" t="str" cm="1">
        <f t="array" ref="F2033">IFERROR(INDEX(DB!O$2:O$2576,T2033),"")</f>
        <v/>
      </c>
      <c r="G2033" s="43"/>
      <c r="H2033" s="40" t="str" cm="1">
        <f t="array" ref="H2033">IFERROR(INDEX(DB!P$2:P$2576,T2033),"")</f>
        <v/>
      </c>
      <c r="I2033" s="43"/>
      <c r="J2033" s="53" t="str" cm="1">
        <f t="array" ref="J2033">IFERROR(INDEX(DB!Q$2:Q$2576,T2033),"")</f>
        <v/>
      </c>
      <c r="K2033" s="43"/>
      <c r="L2033" s="41" t="str" cm="1">
        <f t="array" ref="L2033">IFERROR(INDEX(DB!R$2:R$2576,T2033),"")</f>
        <v/>
      </c>
      <c r="M2033" s="43"/>
      <c r="P2033" t="str" cm="1">
        <f t="array" ref="P2033">IFERROR(_xlfn.AGGREGATE(15,6,ROW(DB!A$2:A$2576)/((($D$3&lt;&gt;"YES")+($D$3="YES")*(DB!E$2:E$2576="YES"))*(($D$4="")+($D$4&lt;&gt;"")*( DB!B$2:B$2576=$D$4))*(($D$5="")+($D$5&lt;&gt;"")*( DB!C$2:C$2576=$D$5))*(($D$6="")+($D$6&lt;&gt;"")*( DB!D$2:D$2576=$D$6))*(($D$7="")+($D$7&lt;&gt;"")*(ISNUMBER(SEARCH($D$7,DB!G$2:G$2576))))*(($F$7="전체")+($F$7&lt;&gt;"전체")*(DB!H$2:H$2576=$F$7))),ROW()-13)-1,"")</f>
        <v/>
      </c>
      <c r="Q2033" t="str" cm="1">
        <f t="array" ref="Q2033">IFERROR(INDEX(DB!G$2:G$2576,P2033),"")</f>
        <v/>
      </c>
      <c r="R2033" t="str" cm="1">
        <f t="array" ref="R2033">IFERROR(INDEX(DB!O$2:O$2576,P2033),"")</f>
        <v/>
      </c>
      <c r="S2033" t="str">
        <f t="shared" si="96"/>
        <v/>
      </c>
      <c r="T2033" t="str">
        <f t="shared" si="97"/>
        <v/>
      </c>
    </row>
    <row r="2034" spans="1:20" ht="100" customHeight="1">
      <c r="A2034" s="26"/>
      <c r="B2034" s="39" t="str">
        <f t="shared" si="95"/>
        <v/>
      </c>
      <c r="C2034" s="43"/>
      <c r="D2034" s="51" t="str" cm="1">
        <f t="array" ref="D2034">IFERROR(INDEX(DB!G$2:G$2576,T2034),"")</f>
        <v/>
      </c>
      <c r="E2034" s="43"/>
      <c r="F2034" s="52" t="str" cm="1">
        <f t="array" ref="F2034">IFERROR(INDEX(DB!O$2:O$2576,T2034),"")</f>
        <v/>
      </c>
      <c r="G2034" s="43"/>
      <c r="H2034" s="40" t="str" cm="1">
        <f t="array" ref="H2034">IFERROR(INDEX(DB!P$2:P$2576,T2034),"")</f>
        <v/>
      </c>
      <c r="I2034" s="43"/>
      <c r="J2034" s="53" t="str" cm="1">
        <f t="array" ref="J2034">IFERROR(INDEX(DB!Q$2:Q$2576,T2034),"")</f>
        <v/>
      </c>
      <c r="K2034" s="43"/>
      <c r="L2034" s="41" t="str" cm="1">
        <f t="array" ref="L2034">IFERROR(INDEX(DB!R$2:R$2576,T2034),"")</f>
        <v/>
      </c>
      <c r="M2034" s="43"/>
      <c r="P2034" t="str" cm="1">
        <f t="array" ref="P2034">IFERROR(_xlfn.AGGREGATE(15,6,ROW(DB!A$2:A$2576)/((($D$3&lt;&gt;"YES")+($D$3="YES")*(DB!E$2:E$2576="YES"))*(($D$4="")+($D$4&lt;&gt;"")*( DB!B$2:B$2576=$D$4))*(($D$5="")+($D$5&lt;&gt;"")*( DB!C$2:C$2576=$D$5))*(($D$6="")+($D$6&lt;&gt;"")*( DB!D$2:D$2576=$D$6))*(($D$7="")+($D$7&lt;&gt;"")*(ISNUMBER(SEARCH($D$7,DB!G$2:G$2576))))*(($F$7="전체")+($F$7&lt;&gt;"전체")*(DB!H$2:H$2576=$F$7))),ROW()-13)-1,"")</f>
        <v/>
      </c>
      <c r="Q2034" t="str" cm="1">
        <f t="array" ref="Q2034">IFERROR(INDEX(DB!G$2:G$2576,P2034),"")</f>
        <v/>
      </c>
      <c r="R2034" t="str" cm="1">
        <f t="array" ref="R2034">IFERROR(INDEX(DB!O$2:O$2576,P2034),"")</f>
        <v/>
      </c>
      <c r="S2034" t="str">
        <f t="shared" si="96"/>
        <v/>
      </c>
      <c r="T2034" t="str">
        <f t="shared" si="97"/>
        <v/>
      </c>
    </row>
    <row r="2035" spans="1:20" ht="100" customHeight="1">
      <c r="A2035" s="26"/>
      <c r="B2035" s="42" t="str">
        <f t="shared" si="95"/>
        <v/>
      </c>
      <c r="C2035" s="43"/>
      <c r="D2035" s="51" t="str" cm="1">
        <f t="array" ref="D2035">IFERROR(INDEX(DB!G$2:G$2576,T2035),"")</f>
        <v/>
      </c>
      <c r="E2035" s="43"/>
      <c r="F2035" s="52" t="str" cm="1">
        <f t="array" ref="F2035">IFERROR(INDEX(DB!O$2:O$2576,T2035),"")</f>
        <v/>
      </c>
      <c r="G2035" s="43"/>
      <c r="H2035" s="40" t="str" cm="1">
        <f t="array" ref="H2035">IFERROR(INDEX(DB!P$2:P$2576,T2035),"")</f>
        <v/>
      </c>
      <c r="I2035" s="43"/>
      <c r="J2035" s="53" t="str" cm="1">
        <f t="array" ref="J2035">IFERROR(INDEX(DB!Q$2:Q$2576,T2035),"")</f>
        <v/>
      </c>
      <c r="K2035" s="43"/>
      <c r="L2035" s="41" t="str" cm="1">
        <f t="array" ref="L2035">IFERROR(INDEX(DB!R$2:R$2576,T2035),"")</f>
        <v/>
      </c>
      <c r="M2035" s="43"/>
      <c r="P2035" t="str" cm="1">
        <f t="array" ref="P2035">IFERROR(_xlfn.AGGREGATE(15,6,ROW(DB!A$2:A$2576)/((($D$3&lt;&gt;"YES")+($D$3="YES")*(DB!E$2:E$2576="YES"))*(($D$4="")+($D$4&lt;&gt;"")*( DB!B$2:B$2576=$D$4))*(($D$5="")+($D$5&lt;&gt;"")*( DB!C$2:C$2576=$D$5))*(($D$6="")+($D$6&lt;&gt;"")*( DB!D$2:D$2576=$D$6))*(($D$7="")+($D$7&lt;&gt;"")*(ISNUMBER(SEARCH($D$7,DB!G$2:G$2576))))*(($F$7="전체")+($F$7&lt;&gt;"전체")*(DB!H$2:H$2576=$F$7))),ROW()-13)-1,"")</f>
        <v/>
      </c>
      <c r="Q2035" t="str" cm="1">
        <f t="array" ref="Q2035">IFERROR(INDEX(DB!G$2:G$2576,P2035),"")</f>
        <v/>
      </c>
      <c r="R2035" t="str" cm="1">
        <f t="array" ref="R2035">IFERROR(INDEX(DB!O$2:O$2576,P2035),"")</f>
        <v/>
      </c>
      <c r="S2035" t="str">
        <f t="shared" si="96"/>
        <v/>
      </c>
      <c r="T2035" t="str">
        <f t="shared" si="97"/>
        <v/>
      </c>
    </row>
    <row r="2036" spans="1:20" ht="100" customHeight="1">
      <c r="A2036" s="26"/>
      <c r="B2036" s="39" t="str">
        <f t="shared" si="95"/>
        <v/>
      </c>
      <c r="C2036" s="43"/>
      <c r="D2036" s="51" t="str" cm="1">
        <f t="array" ref="D2036">IFERROR(INDEX(DB!G$2:G$2576,T2036),"")</f>
        <v/>
      </c>
      <c r="E2036" s="43"/>
      <c r="F2036" s="52" t="str" cm="1">
        <f t="array" ref="F2036">IFERROR(INDEX(DB!O$2:O$2576,T2036),"")</f>
        <v/>
      </c>
      <c r="G2036" s="43"/>
      <c r="H2036" s="40" t="str" cm="1">
        <f t="array" ref="H2036">IFERROR(INDEX(DB!P$2:P$2576,T2036),"")</f>
        <v/>
      </c>
      <c r="I2036" s="43"/>
      <c r="J2036" s="53" t="str" cm="1">
        <f t="array" ref="J2036">IFERROR(INDEX(DB!Q$2:Q$2576,T2036),"")</f>
        <v/>
      </c>
      <c r="K2036" s="43"/>
      <c r="L2036" s="41" t="str" cm="1">
        <f t="array" ref="L2036">IFERROR(INDEX(DB!R$2:R$2576,T2036),"")</f>
        <v/>
      </c>
      <c r="M2036" s="43"/>
      <c r="P2036" t="str" cm="1">
        <f t="array" ref="P2036">IFERROR(_xlfn.AGGREGATE(15,6,ROW(DB!A$2:A$2576)/((($D$3&lt;&gt;"YES")+($D$3="YES")*(DB!E$2:E$2576="YES"))*(($D$4="")+($D$4&lt;&gt;"")*( DB!B$2:B$2576=$D$4))*(($D$5="")+($D$5&lt;&gt;"")*( DB!C$2:C$2576=$D$5))*(($D$6="")+($D$6&lt;&gt;"")*( DB!D$2:D$2576=$D$6))*(($D$7="")+($D$7&lt;&gt;"")*(ISNUMBER(SEARCH($D$7,DB!G$2:G$2576))))*(($F$7="전체")+($F$7&lt;&gt;"전체")*(DB!H$2:H$2576=$F$7))),ROW()-13)-1,"")</f>
        <v/>
      </c>
      <c r="Q2036" t="str" cm="1">
        <f t="array" ref="Q2036">IFERROR(INDEX(DB!G$2:G$2576,P2036),"")</f>
        <v/>
      </c>
      <c r="R2036" t="str" cm="1">
        <f t="array" ref="R2036">IFERROR(INDEX(DB!O$2:O$2576,P2036),"")</f>
        <v/>
      </c>
      <c r="S2036" t="str">
        <f t="shared" si="96"/>
        <v/>
      </c>
      <c r="T2036" t="str">
        <f t="shared" si="97"/>
        <v/>
      </c>
    </row>
    <row r="2037" spans="1:20" ht="100" customHeight="1">
      <c r="A2037" s="26"/>
      <c r="B2037" s="42" t="str">
        <f t="shared" si="95"/>
        <v/>
      </c>
      <c r="C2037" s="43"/>
      <c r="D2037" s="51" t="str" cm="1">
        <f t="array" ref="D2037">IFERROR(INDEX(DB!G$2:G$2576,T2037),"")</f>
        <v/>
      </c>
      <c r="E2037" s="43"/>
      <c r="F2037" s="52" t="str" cm="1">
        <f t="array" ref="F2037">IFERROR(INDEX(DB!O$2:O$2576,T2037),"")</f>
        <v/>
      </c>
      <c r="G2037" s="43"/>
      <c r="H2037" s="40" t="str" cm="1">
        <f t="array" ref="H2037">IFERROR(INDEX(DB!P$2:P$2576,T2037),"")</f>
        <v/>
      </c>
      <c r="I2037" s="43"/>
      <c r="J2037" s="53" t="str" cm="1">
        <f t="array" ref="J2037">IFERROR(INDEX(DB!Q$2:Q$2576,T2037),"")</f>
        <v/>
      </c>
      <c r="K2037" s="43"/>
      <c r="L2037" s="41" t="str" cm="1">
        <f t="array" ref="L2037">IFERROR(INDEX(DB!R$2:R$2576,T2037),"")</f>
        <v/>
      </c>
      <c r="M2037" s="43"/>
      <c r="P2037" t="str" cm="1">
        <f t="array" ref="P2037">IFERROR(_xlfn.AGGREGATE(15,6,ROW(DB!A$2:A$2576)/((($D$3&lt;&gt;"YES")+($D$3="YES")*(DB!E$2:E$2576="YES"))*(($D$4="")+($D$4&lt;&gt;"")*( DB!B$2:B$2576=$D$4))*(($D$5="")+($D$5&lt;&gt;"")*( DB!C$2:C$2576=$D$5))*(($D$6="")+($D$6&lt;&gt;"")*( DB!D$2:D$2576=$D$6))*(($D$7="")+($D$7&lt;&gt;"")*(ISNUMBER(SEARCH($D$7,DB!G$2:G$2576))))*(($F$7="전체")+($F$7&lt;&gt;"전체")*(DB!H$2:H$2576=$F$7))),ROW()-13)-1,"")</f>
        <v/>
      </c>
      <c r="Q2037" t="str" cm="1">
        <f t="array" ref="Q2037">IFERROR(INDEX(DB!G$2:G$2576,P2037),"")</f>
        <v/>
      </c>
      <c r="R2037" t="str" cm="1">
        <f t="array" ref="R2037">IFERROR(INDEX(DB!O$2:O$2576,P2037),"")</f>
        <v/>
      </c>
      <c r="S2037" t="str">
        <f t="shared" si="96"/>
        <v/>
      </c>
      <c r="T2037" t="str">
        <f t="shared" si="97"/>
        <v/>
      </c>
    </row>
    <row r="2038" spans="1:20" ht="100" customHeight="1">
      <c r="A2038" s="26"/>
      <c r="B2038" s="39" t="str">
        <f t="shared" si="95"/>
        <v/>
      </c>
      <c r="C2038" s="43"/>
      <c r="D2038" s="51" t="str" cm="1">
        <f t="array" ref="D2038">IFERROR(INDEX(DB!G$2:G$2576,T2038),"")</f>
        <v/>
      </c>
      <c r="E2038" s="43"/>
      <c r="F2038" s="52" t="str" cm="1">
        <f t="array" ref="F2038">IFERROR(INDEX(DB!O$2:O$2576,T2038),"")</f>
        <v/>
      </c>
      <c r="G2038" s="43"/>
      <c r="H2038" s="40" t="str" cm="1">
        <f t="array" ref="H2038">IFERROR(INDEX(DB!P$2:P$2576,T2038),"")</f>
        <v/>
      </c>
      <c r="I2038" s="43"/>
      <c r="J2038" s="53" t="str" cm="1">
        <f t="array" ref="J2038">IFERROR(INDEX(DB!Q$2:Q$2576,T2038),"")</f>
        <v/>
      </c>
      <c r="K2038" s="43"/>
      <c r="L2038" s="41" t="str" cm="1">
        <f t="array" ref="L2038">IFERROR(INDEX(DB!R$2:R$2576,T2038),"")</f>
        <v/>
      </c>
      <c r="M2038" s="43"/>
      <c r="P2038" t="str" cm="1">
        <f t="array" ref="P2038">IFERROR(_xlfn.AGGREGATE(15,6,ROW(DB!A$2:A$2576)/((($D$3&lt;&gt;"YES")+($D$3="YES")*(DB!E$2:E$2576="YES"))*(($D$4="")+($D$4&lt;&gt;"")*( DB!B$2:B$2576=$D$4))*(($D$5="")+($D$5&lt;&gt;"")*( DB!C$2:C$2576=$D$5))*(($D$6="")+($D$6&lt;&gt;"")*( DB!D$2:D$2576=$D$6))*(($D$7="")+($D$7&lt;&gt;"")*(ISNUMBER(SEARCH($D$7,DB!G$2:G$2576))))*(($F$7="전체")+($F$7&lt;&gt;"전체")*(DB!H$2:H$2576=$F$7))),ROW()-13)-1,"")</f>
        <v/>
      </c>
      <c r="Q2038" t="str" cm="1">
        <f t="array" ref="Q2038">IFERROR(INDEX(DB!G$2:G$2576,P2038),"")</f>
        <v/>
      </c>
      <c r="R2038" t="str" cm="1">
        <f t="array" ref="R2038">IFERROR(INDEX(DB!O$2:O$2576,P2038),"")</f>
        <v/>
      </c>
      <c r="S2038" t="str">
        <f t="shared" si="96"/>
        <v/>
      </c>
      <c r="T2038" t="str">
        <f t="shared" si="97"/>
        <v/>
      </c>
    </row>
    <row r="2039" spans="1:20" ht="100" customHeight="1">
      <c r="A2039" s="26"/>
      <c r="B2039" s="42" t="str">
        <f t="shared" si="95"/>
        <v/>
      </c>
      <c r="C2039" s="43"/>
      <c r="D2039" s="51" t="str" cm="1">
        <f t="array" ref="D2039">IFERROR(INDEX(DB!G$2:G$2576,T2039),"")</f>
        <v/>
      </c>
      <c r="E2039" s="43"/>
      <c r="F2039" s="52" t="str" cm="1">
        <f t="array" ref="F2039">IFERROR(INDEX(DB!O$2:O$2576,T2039),"")</f>
        <v/>
      </c>
      <c r="G2039" s="43"/>
      <c r="H2039" s="40" t="str" cm="1">
        <f t="array" ref="H2039">IFERROR(INDEX(DB!P$2:P$2576,T2039),"")</f>
        <v/>
      </c>
      <c r="I2039" s="43"/>
      <c r="J2039" s="53" t="str" cm="1">
        <f t="array" ref="J2039">IFERROR(INDEX(DB!Q$2:Q$2576,T2039),"")</f>
        <v/>
      </c>
      <c r="K2039" s="43"/>
      <c r="L2039" s="41" t="str" cm="1">
        <f t="array" ref="L2039">IFERROR(INDEX(DB!R$2:R$2576,T2039),"")</f>
        <v/>
      </c>
      <c r="M2039" s="43"/>
      <c r="P2039" t="str" cm="1">
        <f t="array" ref="P2039">IFERROR(_xlfn.AGGREGATE(15,6,ROW(DB!A$2:A$2576)/((($D$3&lt;&gt;"YES")+($D$3="YES")*(DB!E$2:E$2576="YES"))*(($D$4="")+($D$4&lt;&gt;"")*( DB!B$2:B$2576=$D$4))*(($D$5="")+($D$5&lt;&gt;"")*( DB!C$2:C$2576=$D$5))*(($D$6="")+($D$6&lt;&gt;"")*( DB!D$2:D$2576=$D$6))*(($D$7="")+($D$7&lt;&gt;"")*(ISNUMBER(SEARCH($D$7,DB!G$2:G$2576))))*(($F$7="전체")+($F$7&lt;&gt;"전체")*(DB!H$2:H$2576=$F$7))),ROW()-13)-1,"")</f>
        <v/>
      </c>
      <c r="Q2039" t="str" cm="1">
        <f t="array" ref="Q2039">IFERROR(INDEX(DB!G$2:G$2576,P2039),"")</f>
        <v/>
      </c>
      <c r="R2039" t="str" cm="1">
        <f t="array" ref="R2039">IFERROR(INDEX(DB!O$2:O$2576,P2039),"")</f>
        <v/>
      </c>
      <c r="S2039" t="str">
        <f t="shared" si="96"/>
        <v/>
      </c>
      <c r="T2039" t="str">
        <f t="shared" si="97"/>
        <v/>
      </c>
    </row>
    <row r="2040" spans="1:20" ht="100" customHeight="1">
      <c r="A2040" s="26"/>
      <c r="B2040" s="39" t="str">
        <f t="shared" si="95"/>
        <v/>
      </c>
      <c r="C2040" s="43"/>
      <c r="D2040" s="51" t="str" cm="1">
        <f t="array" ref="D2040">IFERROR(INDEX(DB!G$2:G$2576,T2040),"")</f>
        <v/>
      </c>
      <c r="E2040" s="43"/>
      <c r="F2040" s="52" t="str" cm="1">
        <f t="array" ref="F2040">IFERROR(INDEX(DB!O$2:O$2576,T2040),"")</f>
        <v/>
      </c>
      <c r="G2040" s="43"/>
      <c r="H2040" s="40" t="str" cm="1">
        <f t="array" ref="H2040">IFERROR(INDEX(DB!P$2:P$2576,T2040),"")</f>
        <v/>
      </c>
      <c r="I2040" s="43"/>
      <c r="J2040" s="53" t="str" cm="1">
        <f t="array" ref="J2040">IFERROR(INDEX(DB!Q$2:Q$2576,T2040),"")</f>
        <v/>
      </c>
      <c r="K2040" s="43"/>
      <c r="L2040" s="41" t="str" cm="1">
        <f t="array" ref="L2040">IFERROR(INDEX(DB!R$2:R$2576,T2040),"")</f>
        <v/>
      </c>
      <c r="M2040" s="43"/>
      <c r="P2040" t="str" cm="1">
        <f t="array" ref="P2040">IFERROR(_xlfn.AGGREGATE(15,6,ROW(DB!A$2:A$2576)/((($D$3&lt;&gt;"YES")+($D$3="YES")*(DB!E$2:E$2576="YES"))*(($D$4="")+($D$4&lt;&gt;"")*( DB!B$2:B$2576=$D$4))*(($D$5="")+($D$5&lt;&gt;"")*( DB!C$2:C$2576=$D$5))*(($D$6="")+($D$6&lt;&gt;"")*( DB!D$2:D$2576=$D$6))*(($D$7="")+($D$7&lt;&gt;"")*(ISNUMBER(SEARCH($D$7,DB!G$2:G$2576))))*(($F$7="전체")+($F$7&lt;&gt;"전체")*(DB!H$2:H$2576=$F$7))),ROW()-13)-1,"")</f>
        <v/>
      </c>
      <c r="Q2040" t="str" cm="1">
        <f t="array" ref="Q2040">IFERROR(INDEX(DB!G$2:G$2576,P2040),"")</f>
        <v/>
      </c>
      <c r="R2040" t="str" cm="1">
        <f t="array" ref="R2040">IFERROR(INDEX(DB!O$2:O$2576,P2040),"")</f>
        <v/>
      </c>
      <c r="S2040" t="str">
        <f t="shared" si="96"/>
        <v/>
      </c>
      <c r="T2040" t="str">
        <f t="shared" si="97"/>
        <v/>
      </c>
    </row>
    <row r="2041" spans="1:20" ht="100" customHeight="1">
      <c r="A2041" s="26"/>
      <c r="B2041" s="42" t="str">
        <f t="shared" si="95"/>
        <v/>
      </c>
      <c r="C2041" s="43"/>
      <c r="D2041" s="51" t="str" cm="1">
        <f t="array" ref="D2041">IFERROR(INDEX(DB!G$2:G$2576,T2041),"")</f>
        <v/>
      </c>
      <c r="E2041" s="43"/>
      <c r="F2041" s="52" t="str" cm="1">
        <f t="array" ref="F2041">IFERROR(INDEX(DB!O$2:O$2576,T2041),"")</f>
        <v/>
      </c>
      <c r="G2041" s="43"/>
      <c r="H2041" s="40" t="str" cm="1">
        <f t="array" ref="H2041">IFERROR(INDEX(DB!P$2:P$2576,T2041),"")</f>
        <v/>
      </c>
      <c r="I2041" s="43"/>
      <c r="J2041" s="53" t="str" cm="1">
        <f t="array" ref="J2041">IFERROR(INDEX(DB!Q$2:Q$2576,T2041),"")</f>
        <v/>
      </c>
      <c r="K2041" s="43"/>
      <c r="L2041" s="41" t="str" cm="1">
        <f t="array" ref="L2041">IFERROR(INDEX(DB!R$2:R$2576,T2041),"")</f>
        <v/>
      </c>
      <c r="M2041" s="43"/>
      <c r="P2041" t="str" cm="1">
        <f t="array" ref="P2041">IFERROR(_xlfn.AGGREGATE(15,6,ROW(DB!A$2:A$2576)/((($D$3&lt;&gt;"YES")+($D$3="YES")*(DB!E$2:E$2576="YES"))*(($D$4="")+($D$4&lt;&gt;"")*( DB!B$2:B$2576=$D$4))*(($D$5="")+($D$5&lt;&gt;"")*( DB!C$2:C$2576=$D$5))*(($D$6="")+($D$6&lt;&gt;"")*( DB!D$2:D$2576=$D$6))*(($D$7="")+($D$7&lt;&gt;"")*(ISNUMBER(SEARCH($D$7,DB!G$2:G$2576))))*(($F$7="전체")+($F$7&lt;&gt;"전체")*(DB!H$2:H$2576=$F$7))),ROW()-13)-1,"")</f>
        <v/>
      </c>
      <c r="Q2041" t="str" cm="1">
        <f t="array" ref="Q2041">IFERROR(INDEX(DB!G$2:G$2576,P2041),"")</f>
        <v/>
      </c>
      <c r="R2041" t="str" cm="1">
        <f t="array" ref="R2041">IFERROR(INDEX(DB!O$2:O$2576,P2041),"")</f>
        <v/>
      </c>
      <c r="S2041" t="str">
        <f t="shared" si="96"/>
        <v/>
      </c>
      <c r="T2041" t="str">
        <f t="shared" si="97"/>
        <v/>
      </c>
    </row>
    <row r="2042" spans="1:20" ht="100" customHeight="1">
      <c r="A2042" s="26"/>
      <c r="B2042" s="39" t="str">
        <f t="shared" si="95"/>
        <v/>
      </c>
      <c r="C2042" s="43"/>
      <c r="D2042" s="51" t="str" cm="1">
        <f t="array" ref="D2042">IFERROR(INDEX(DB!G$2:G$2576,T2042),"")</f>
        <v/>
      </c>
      <c r="E2042" s="43"/>
      <c r="F2042" s="52" t="str" cm="1">
        <f t="array" ref="F2042">IFERROR(INDEX(DB!O$2:O$2576,T2042),"")</f>
        <v/>
      </c>
      <c r="G2042" s="43"/>
      <c r="H2042" s="40" t="str" cm="1">
        <f t="array" ref="H2042">IFERROR(INDEX(DB!P$2:P$2576,T2042),"")</f>
        <v/>
      </c>
      <c r="I2042" s="43"/>
      <c r="J2042" s="53" t="str" cm="1">
        <f t="array" ref="J2042">IFERROR(INDEX(DB!Q$2:Q$2576,T2042),"")</f>
        <v/>
      </c>
      <c r="K2042" s="43"/>
      <c r="L2042" s="41" t="str" cm="1">
        <f t="array" ref="L2042">IFERROR(INDEX(DB!R$2:R$2576,T2042),"")</f>
        <v/>
      </c>
      <c r="M2042" s="43"/>
      <c r="P2042" t="str" cm="1">
        <f t="array" ref="P2042">IFERROR(_xlfn.AGGREGATE(15,6,ROW(DB!A$2:A$2576)/((($D$3&lt;&gt;"YES")+($D$3="YES")*(DB!E$2:E$2576="YES"))*(($D$4="")+($D$4&lt;&gt;"")*( DB!B$2:B$2576=$D$4))*(($D$5="")+($D$5&lt;&gt;"")*( DB!C$2:C$2576=$D$5))*(($D$6="")+($D$6&lt;&gt;"")*( DB!D$2:D$2576=$D$6))*(($D$7="")+($D$7&lt;&gt;"")*(ISNUMBER(SEARCH($D$7,DB!G$2:G$2576))))*(($F$7="전체")+($F$7&lt;&gt;"전체")*(DB!H$2:H$2576=$F$7))),ROW()-13)-1,"")</f>
        <v/>
      </c>
      <c r="Q2042" t="str" cm="1">
        <f t="array" ref="Q2042">IFERROR(INDEX(DB!G$2:G$2576,P2042),"")</f>
        <v/>
      </c>
      <c r="R2042" t="str" cm="1">
        <f t="array" ref="R2042">IFERROR(INDEX(DB!O$2:O$2576,P2042),"")</f>
        <v/>
      </c>
      <c r="S2042" t="str">
        <f t="shared" si="96"/>
        <v/>
      </c>
      <c r="T2042" t="str">
        <f t="shared" si="97"/>
        <v/>
      </c>
    </row>
    <row r="2043" spans="1:20" ht="100" customHeight="1">
      <c r="A2043" s="26"/>
      <c r="B2043" s="42" t="str">
        <f t="shared" si="95"/>
        <v/>
      </c>
      <c r="C2043" s="43"/>
      <c r="D2043" s="51" t="str" cm="1">
        <f t="array" ref="D2043">IFERROR(INDEX(DB!G$2:G$2576,T2043),"")</f>
        <v/>
      </c>
      <c r="E2043" s="43"/>
      <c r="F2043" s="52" t="str" cm="1">
        <f t="array" ref="F2043">IFERROR(INDEX(DB!O$2:O$2576,T2043),"")</f>
        <v/>
      </c>
      <c r="G2043" s="43"/>
      <c r="H2043" s="40" t="str" cm="1">
        <f t="array" ref="H2043">IFERROR(INDEX(DB!P$2:P$2576,T2043),"")</f>
        <v/>
      </c>
      <c r="I2043" s="43"/>
      <c r="J2043" s="53" t="str" cm="1">
        <f t="array" ref="J2043">IFERROR(INDEX(DB!Q$2:Q$2576,T2043),"")</f>
        <v/>
      </c>
      <c r="K2043" s="43"/>
      <c r="L2043" s="41" t="str" cm="1">
        <f t="array" ref="L2043">IFERROR(INDEX(DB!R$2:R$2576,T2043),"")</f>
        <v/>
      </c>
      <c r="M2043" s="43"/>
      <c r="P2043" t="str" cm="1">
        <f t="array" ref="P2043">IFERROR(_xlfn.AGGREGATE(15,6,ROW(DB!A$2:A$2576)/((($D$3&lt;&gt;"YES")+($D$3="YES")*(DB!E$2:E$2576="YES"))*(($D$4="")+($D$4&lt;&gt;"")*( DB!B$2:B$2576=$D$4))*(($D$5="")+($D$5&lt;&gt;"")*( DB!C$2:C$2576=$D$5))*(($D$6="")+($D$6&lt;&gt;"")*( DB!D$2:D$2576=$D$6))*(($D$7="")+($D$7&lt;&gt;"")*(ISNUMBER(SEARCH($D$7,DB!G$2:G$2576))))*(($F$7="전체")+($F$7&lt;&gt;"전체")*(DB!H$2:H$2576=$F$7))),ROW()-13)-1,"")</f>
        <v/>
      </c>
      <c r="Q2043" t="str" cm="1">
        <f t="array" ref="Q2043">IFERROR(INDEX(DB!G$2:G$2576,P2043),"")</f>
        <v/>
      </c>
      <c r="R2043" t="str" cm="1">
        <f t="array" ref="R2043">IFERROR(INDEX(DB!O$2:O$2576,P2043),"")</f>
        <v/>
      </c>
      <c r="S2043" t="str">
        <f t="shared" si="96"/>
        <v/>
      </c>
      <c r="T2043" t="str">
        <f t="shared" si="97"/>
        <v/>
      </c>
    </row>
    <row r="2044" spans="1:20" ht="100" customHeight="1">
      <c r="A2044" s="26"/>
      <c r="B2044" s="39" t="str">
        <f t="shared" si="95"/>
        <v/>
      </c>
      <c r="C2044" s="43"/>
      <c r="D2044" s="51" t="str" cm="1">
        <f t="array" ref="D2044">IFERROR(INDEX(DB!G$2:G$2576,T2044),"")</f>
        <v/>
      </c>
      <c r="E2044" s="43"/>
      <c r="F2044" s="52" t="str" cm="1">
        <f t="array" ref="F2044">IFERROR(INDEX(DB!O$2:O$2576,T2044),"")</f>
        <v/>
      </c>
      <c r="G2044" s="43"/>
      <c r="H2044" s="40" t="str" cm="1">
        <f t="array" ref="H2044">IFERROR(INDEX(DB!P$2:P$2576,T2044),"")</f>
        <v/>
      </c>
      <c r="I2044" s="43"/>
      <c r="J2044" s="53" t="str" cm="1">
        <f t="array" ref="J2044">IFERROR(INDEX(DB!Q$2:Q$2576,T2044),"")</f>
        <v/>
      </c>
      <c r="K2044" s="43"/>
      <c r="L2044" s="41" t="str" cm="1">
        <f t="array" ref="L2044">IFERROR(INDEX(DB!R$2:R$2576,T2044),"")</f>
        <v/>
      </c>
      <c r="M2044" s="43"/>
      <c r="P2044" t="str" cm="1">
        <f t="array" ref="P2044">IFERROR(_xlfn.AGGREGATE(15,6,ROW(DB!A$2:A$2576)/((($D$3&lt;&gt;"YES")+($D$3="YES")*(DB!E$2:E$2576="YES"))*(($D$4="")+($D$4&lt;&gt;"")*( DB!B$2:B$2576=$D$4))*(($D$5="")+($D$5&lt;&gt;"")*( DB!C$2:C$2576=$D$5))*(($D$6="")+($D$6&lt;&gt;"")*( DB!D$2:D$2576=$D$6))*(($D$7="")+($D$7&lt;&gt;"")*(ISNUMBER(SEARCH($D$7,DB!G$2:G$2576))))*(($F$7="전체")+($F$7&lt;&gt;"전체")*(DB!H$2:H$2576=$F$7))),ROW()-13)-1,"")</f>
        <v/>
      </c>
      <c r="Q2044" t="str" cm="1">
        <f t="array" ref="Q2044">IFERROR(INDEX(DB!G$2:G$2576,P2044),"")</f>
        <v/>
      </c>
      <c r="R2044" t="str" cm="1">
        <f t="array" ref="R2044">IFERROR(INDEX(DB!O$2:O$2576,P2044),"")</f>
        <v/>
      </c>
      <c r="S2044" t="str">
        <f t="shared" si="96"/>
        <v/>
      </c>
      <c r="T2044" t="str">
        <f t="shared" si="97"/>
        <v/>
      </c>
    </row>
    <row r="2045" spans="1:20" ht="100" customHeight="1">
      <c r="A2045" s="26"/>
      <c r="B2045" s="42" t="str">
        <f t="shared" si="95"/>
        <v/>
      </c>
      <c r="C2045" s="43"/>
      <c r="D2045" s="51" t="str" cm="1">
        <f t="array" ref="D2045">IFERROR(INDEX(DB!G$2:G$2576,T2045),"")</f>
        <v/>
      </c>
      <c r="E2045" s="43"/>
      <c r="F2045" s="52" t="str" cm="1">
        <f t="array" ref="F2045">IFERROR(INDEX(DB!O$2:O$2576,T2045),"")</f>
        <v/>
      </c>
      <c r="G2045" s="43"/>
      <c r="H2045" s="40" t="str" cm="1">
        <f t="array" ref="H2045">IFERROR(INDEX(DB!P$2:P$2576,T2045),"")</f>
        <v/>
      </c>
      <c r="I2045" s="43"/>
      <c r="J2045" s="53" t="str" cm="1">
        <f t="array" ref="J2045">IFERROR(INDEX(DB!Q$2:Q$2576,T2045),"")</f>
        <v/>
      </c>
      <c r="K2045" s="43"/>
      <c r="L2045" s="41" t="str" cm="1">
        <f t="array" ref="L2045">IFERROR(INDEX(DB!R$2:R$2576,T2045),"")</f>
        <v/>
      </c>
      <c r="M2045" s="43"/>
      <c r="P2045" t="str" cm="1">
        <f t="array" ref="P2045">IFERROR(_xlfn.AGGREGATE(15,6,ROW(DB!A$2:A$2576)/((($D$3&lt;&gt;"YES")+($D$3="YES")*(DB!E$2:E$2576="YES"))*(($D$4="")+($D$4&lt;&gt;"")*( DB!B$2:B$2576=$D$4))*(($D$5="")+($D$5&lt;&gt;"")*( DB!C$2:C$2576=$D$5))*(($D$6="")+($D$6&lt;&gt;"")*( DB!D$2:D$2576=$D$6))*(($D$7="")+($D$7&lt;&gt;"")*(ISNUMBER(SEARCH($D$7,DB!G$2:G$2576))))*(($F$7="전체")+($F$7&lt;&gt;"전체")*(DB!H$2:H$2576=$F$7))),ROW()-13)-1,"")</f>
        <v/>
      </c>
      <c r="Q2045" t="str" cm="1">
        <f t="array" ref="Q2045">IFERROR(INDEX(DB!G$2:G$2576,P2045),"")</f>
        <v/>
      </c>
      <c r="R2045" t="str" cm="1">
        <f t="array" ref="R2045">IFERROR(INDEX(DB!O$2:O$2576,P2045),"")</f>
        <v/>
      </c>
      <c r="S2045" t="str">
        <f t="shared" si="96"/>
        <v/>
      </c>
      <c r="T2045" t="str">
        <f t="shared" si="97"/>
        <v/>
      </c>
    </row>
    <row r="2046" spans="1:20" ht="100" customHeight="1">
      <c r="A2046" s="26"/>
      <c r="B2046" s="39" t="str">
        <f t="shared" si="95"/>
        <v/>
      </c>
      <c r="C2046" s="43"/>
      <c r="D2046" s="51" t="str" cm="1">
        <f t="array" ref="D2046">IFERROR(INDEX(DB!G$2:G$2576,T2046),"")</f>
        <v/>
      </c>
      <c r="E2046" s="43"/>
      <c r="F2046" s="52" t="str" cm="1">
        <f t="array" ref="F2046">IFERROR(INDEX(DB!O$2:O$2576,T2046),"")</f>
        <v/>
      </c>
      <c r="G2046" s="43"/>
      <c r="H2046" s="40" t="str" cm="1">
        <f t="array" ref="H2046">IFERROR(INDEX(DB!P$2:P$2576,T2046),"")</f>
        <v/>
      </c>
      <c r="I2046" s="43"/>
      <c r="J2046" s="53" t="str" cm="1">
        <f t="array" ref="J2046">IFERROR(INDEX(DB!Q$2:Q$2576,T2046),"")</f>
        <v/>
      </c>
      <c r="K2046" s="43"/>
      <c r="L2046" s="41" t="str" cm="1">
        <f t="array" ref="L2046">IFERROR(INDEX(DB!R$2:R$2576,T2046),"")</f>
        <v/>
      </c>
      <c r="M2046" s="43"/>
      <c r="P2046" t="str" cm="1">
        <f t="array" ref="P2046">IFERROR(_xlfn.AGGREGATE(15,6,ROW(DB!A$2:A$2576)/((($D$3&lt;&gt;"YES")+($D$3="YES")*(DB!E$2:E$2576="YES"))*(($D$4="")+($D$4&lt;&gt;"")*( DB!B$2:B$2576=$D$4))*(($D$5="")+($D$5&lt;&gt;"")*( DB!C$2:C$2576=$D$5))*(($D$6="")+($D$6&lt;&gt;"")*( DB!D$2:D$2576=$D$6))*(($D$7="")+($D$7&lt;&gt;"")*(ISNUMBER(SEARCH($D$7,DB!G$2:G$2576))))*(($F$7="전체")+($F$7&lt;&gt;"전체")*(DB!H$2:H$2576=$F$7))),ROW()-13)-1,"")</f>
        <v/>
      </c>
      <c r="Q2046" t="str" cm="1">
        <f t="array" ref="Q2046">IFERROR(INDEX(DB!G$2:G$2576,P2046),"")</f>
        <v/>
      </c>
      <c r="R2046" t="str" cm="1">
        <f t="array" ref="R2046">IFERROR(INDEX(DB!O$2:O$2576,P2046),"")</f>
        <v/>
      </c>
      <c r="S2046" t="str">
        <f t="shared" si="96"/>
        <v/>
      </c>
      <c r="T2046" t="str">
        <f t="shared" si="97"/>
        <v/>
      </c>
    </row>
    <row r="2047" spans="1:20" ht="100" customHeight="1">
      <c r="A2047" s="26"/>
      <c r="B2047" s="42" t="str">
        <f t="shared" si="95"/>
        <v/>
      </c>
      <c r="C2047" s="43"/>
      <c r="D2047" s="51" t="str" cm="1">
        <f t="array" ref="D2047">IFERROR(INDEX(DB!G$2:G$2576,T2047),"")</f>
        <v/>
      </c>
      <c r="E2047" s="43"/>
      <c r="F2047" s="52" t="str" cm="1">
        <f t="array" ref="F2047">IFERROR(INDEX(DB!O$2:O$2576,T2047),"")</f>
        <v/>
      </c>
      <c r="G2047" s="43"/>
      <c r="H2047" s="40" t="str" cm="1">
        <f t="array" ref="H2047">IFERROR(INDEX(DB!P$2:P$2576,T2047),"")</f>
        <v/>
      </c>
      <c r="I2047" s="43"/>
      <c r="J2047" s="53" t="str" cm="1">
        <f t="array" ref="J2047">IFERROR(INDEX(DB!Q$2:Q$2576,T2047),"")</f>
        <v/>
      </c>
      <c r="K2047" s="43"/>
      <c r="L2047" s="41" t="str" cm="1">
        <f t="array" ref="L2047">IFERROR(INDEX(DB!R$2:R$2576,T2047),"")</f>
        <v/>
      </c>
      <c r="M2047" s="43"/>
      <c r="P2047" t="str" cm="1">
        <f t="array" ref="P2047">IFERROR(_xlfn.AGGREGATE(15,6,ROW(DB!A$2:A$2576)/((($D$3&lt;&gt;"YES")+($D$3="YES")*(DB!E$2:E$2576="YES"))*(($D$4="")+($D$4&lt;&gt;"")*( DB!B$2:B$2576=$D$4))*(($D$5="")+($D$5&lt;&gt;"")*( DB!C$2:C$2576=$D$5))*(($D$6="")+($D$6&lt;&gt;"")*( DB!D$2:D$2576=$D$6))*(($D$7="")+($D$7&lt;&gt;"")*(ISNUMBER(SEARCH($D$7,DB!G$2:G$2576))))*(($F$7="전체")+($F$7&lt;&gt;"전체")*(DB!H$2:H$2576=$F$7))),ROW()-13)-1,"")</f>
        <v/>
      </c>
      <c r="Q2047" t="str" cm="1">
        <f t="array" ref="Q2047">IFERROR(INDEX(DB!G$2:G$2576,P2047),"")</f>
        <v/>
      </c>
      <c r="R2047" t="str" cm="1">
        <f t="array" ref="R2047">IFERROR(INDEX(DB!O$2:O$2576,P2047),"")</f>
        <v/>
      </c>
      <c r="S2047" t="str">
        <f t="shared" si="96"/>
        <v/>
      </c>
      <c r="T2047" t="str">
        <f t="shared" si="97"/>
        <v/>
      </c>
    </row>
    <row r="2048" spans="1:20" ht="100" customHeight="1">
      <c r="A2048" s="26"/>
      <c r="B2048" s="39" t="str">
        <f t="shared" si="95"/>
        <v/>
      </c>
      <c r="C2048" s="43"/>
      <c r="D2048" s="51" t="str" cm="1">
        <f t="array" ref="D2048">IFERROR(INDEX(DB!G$2:G$2576,T2048),"")</f>
        <v/>
      </c>
      <c r="E2048" s="43"/>
      <c r="F2048" s="52" t="str" cm="1">
        <f t="array" ref="F2048">IFERROR(INDEX(DB!O$2:O$2576,T2048),"")</f>
        <v/>
      </c>
      <c r="G2048" s="43"/>
      <c r="H2048" s="40" t="str" cm="1">
        <f t="array" ref="H2048">IFERROR(INDEX(DB!P$2:P$2576,T2048),"")</f>
        <v/>
      </c>
      <c r="I2048" s="43"/>
      <c r="J2048" s="53" t="str" cm="1">
        <f t="array" ref="J2048">IFERROR(INDEX(DB!Q$2:Q$2576,T2048),"")</f>
        <v/>
      </c>
      <c r="K2048" s="43"/>
      <c r="L2048" s="41" t="str" cm="1">
        <f t="array" ref="L2048">IFERROR(INDEX(DB!R$2:R$2576,T2048),"")</f>
        <v/>
      </c>
      <c r="M2048" s="43"/>
      <c r="P2048" t="str" cm="1">
        <f t="array" ref="P2048">IFERROR(_xlfn.AGGREGATE(15,6,ROW(DB!A$2:A$2576)/((($D$3&lt;&gt;"YES")+($D$3="YES")*(DB!E$2:E$2576="YES"))*(($D$4="")+($D$4&lt;&gt;"")*( DB!B$2:B$2576=$D$4))*(($D$5="")+($D$5&lt;&gt;"")*( DB!C$2:C$2576=$D$5))*(($D$6="")+($D$6&lt;&gt;"")*( DB!D$2:D$2576=$D$6))*(($D$7="")+($D$7&lt;&gt;"")*(ISNUMBER(SEARCH($D$7,DB!G$2:G$2576))))*(($F$7="전체")+($F$7&lt;&gt;"전체")*(DB!H$2:H$2576=$F$7))),ROW()-13)-1,"")</f>
        <v/>
      </c>
      <c r="Q2048" t="str" cm="1">
        <f t="array" ref="Q2048">IFERROR(INDEX(DB!G$2:G$2576,P2048),"")</f>
        <v/>
      </c>
      <c r="R2048" t="str" cm="1">
        <f t="array" ref="R2048">IFERROR(INDEX(DB!O$2:O$2576,P2048),"")</f>
        <v/>
      </c>
      <c r="S2048" t="str">
        <f t="shared" si="96"/>
        <v/>
      </c>
      <c r="T2048" t="str">
        <f t="shared" si="97"/>
        <v/>
      </c>
    </row>
    <row r="2049" spans="1:20" ht="100" customHeight="1">
      <c r="A2049" s="26"/>
      <c r="B2049" s="42" t="str">
        <f t="shared" si="95"/>
        <v/>
      </c>
      <c r="C2049" s="43"/>
      <c r="D2049" s="51" t="str" cm="1">
        <f t="array" ref="D2049">IFERROR(INDEX(DB!G$2:G$2576,T2049),"")</f>
        <v/>
      </c>
      <c r="E2049" s="43"/>
      <c r="F2049" s="52" t="str" cm="1">
        <f t="array" ref="F2049">IFERROR(INDEX(DB!O$2:O$2576,T2049),"")</f>
        <v/>
      </c>
      <c r="G2049" s="43"/>
      <c r="H2049" s="40" t="str" cm="1">
        <f t="array" ref="H2049">IFERROR(INDEX(DB!P$2:P$2576,T2049),"")</f>
        <v/>
      </c>
      <c r="I2049" s="43"/>
      <c r="J2049" s="53" t="str" cm="1">
        <f t="array" ref="J2049">IFERROR(INDEX(DB!Q$2:Q$2576,T2049),"")</f>
        <v/>
      </c>
      <c r="K2049" s="43"/>
      <c r="L2049" s="41" t="str" cm="1">
        <f t="array" ref="L2049">IFERROR(INDEX(DB!R$2:R$2576,T2049),"")</f>
        <v/>
      </c>
      <c r="M2049" s="43"/>
      <c r="P2049" t="str" cm="1">
        <f t="array" ref="P2049">IFERROR(_xlfn.AGGREGATE(15,6,ROW(DB!A$2:A$2576)/((($D$3&lt;&gt;"YES")+($D$3="YES")*(DB!E$2:E$2576="YES"))*(($D$4="")+($D$4&lt;&gt;"")*( DB!B$2:B$2576=$D$4))*(($D$5="")+($D$5&lt;&gt;"")*( DB!C$2:C$2576=$D$5))*(($D$6="")+($D$6&lt;&gt;"")*( DB!D$2:D$2576=$D$6))*(($D$7="")+($D$7&lt;&gt;"")*(ISNUMBER(SEARCH($D$7,DB!G$2:G$2576))))*(($F$7="전체")+($F$7&lt;&gt;"전체")*(DB!H$2:H$2576=$F$7))),ROW()-13)-1,"")</f>
        <v/>
      </c>
      <c r="Q2049" t="str" cm="1">
        <f t="array" ref="Q2049">IFERROR(INDEX(DB!G$2:G$2576,P2049),"")</f>
        <v/>
      </c>
      <c r="R2049" t="str" cm="1">
        <f t="array" ref="R2049">IFERROR(INDEX(DB!O$2:O$2576,P2049),"")</f>
        <v/>
      </c>
      <c r="S2049" t="str">
        <f t="shared" si="96"/>
        <v/>
      </c>
      <c r="T2049" t="str">
        <f t="shared" si="97"/>
        <v/>
      </c>
    </row>
    <row r="2050" spans="1:20" ht="100" customHeight="1">
      <c r="A2050" s="26"/>
      <c r="B2050" s="39" t="str">
        <f t="shared" si="95"/>
        <v/>
      </c>
      <c r="C2050" s="43"/>
      <c r="D2050" s="51" t="str" cm="1">
        <f t="array" ref="D2050">IFERROR(INDEX(DB!G$2:G$2576,T2050),"")</f>
        <v/>
      </c>
      <c r="E2050" s="43"/>
      <c r="F2050" s="52" t="str" cm="1">
        <f t="array" ref="F2050">IFERROR(INDEX(DB!O$2:O$2576,T2050),"")</f>
        <v/>
      </c>
      <c r="G2050" s="43"/>
      <c r="H2050" s="40" t="str" cm="1">
        <f t="array" ref="H2050">IFERROR(INDEX(DB!P$2:P$2576,T2050),"")</f>
        <v/>
      </c>
      <c r="I2050" s="43"/>
      <c r="J2050" s="53" t="str" cm="1">
        <f t="array" ref="J2050">IFERROR(INDEX(DB!Q$2:Q$2576,T2050),"")</f>
        <v/>
      </c>
      <c r="K2050" s="43"/>
      <c r="L2050" s="41" t="str" cm="1">
        <f t="array" ref="L2050">IFERROR(INDEX(DB!R$2:R$2576,T2050),"")</f>
        <v/>
      </c>
      <c r="M2050" s="43"/>
      <c r="P2050" t="str" cm="1">
        <f t="array" ref="P2050">IFERROR(_xlfn.AGGREGATE(15,6,ROW(DB!A$2:A$2576)/((($D$3&lt;&gt;"YES")+($D$3="YES")*(DB!E$2:E$2576="YES"))*(($D$4="")+($D$4&lt;&gt;"")*( DB!B$2:B$2576=$D$4))*(($D$5="")+($D$5&lt;&gt;"")*( DB!C$2:C$2576=$D$5))*(($D$6="")+($D$6&lt;&gt;"")*( DB!D$2:D$2576=$D$6))*(($D$7="")+($D$7&lt;&gt;"")*(ISNUMBER(SEARCH($D$7,DB!G$2:G$2576))))*(($F$7="전체")+($F$7&lt;&gt;"전체")*(DB!H$2:H$2576=$F$7))),ROW()-13)-1,"")</f>
        <v/>
      </c>
      <c r="Q2050" t="str" cm="1">
        <f t="array" ref="Q2050">IFERROR(INDEX(DB!G$2:G$2576,P2050),"")</f>
        <v/>
      </c>
      <c r="R2050" t="str" cm="1">
        <f t="array" ref="R2050">IFERROR(INDEX(DB!O$2:O$2576,P2050),"")</f>
        <v/>
      </c>
      <c r="S2050" t="str">
        <f t="shared" si="96"/>
        <v/>
      </c>
      <c r="T2050" t="str">
        <f t="shared" si="97"/>
        <v/>
      </c>
    </row>
    <row r="2051" spans="1:20" ht="100" customHeight="1">
      <c r="A2051" s="26"/>
      <c r="B2051" s="42" t="str">
        <f t="shared" si="95"/>
        <v/>
      </c>
      <c r="C2051" s="43"/>
      <c r="D2051" s="51" t="str" cm="1">
        <f t="array" ref="D2051">IFERROR(INDEX(DB!G$2:G$2576,T2051),"")</f>
        <v/>
      </c>
      <c r="E2051" s="43"/>
      <c r="F2051" s="52" t="str" cm="1">
        <f t="array" ref="F2051">IFERROR(INDEX(DB!O$2:O$2576,T2051),"")</f>
        <v/>
      </c>
      <c r="G2051" s="43"/>
      <c r="H2051" s="40" t="str" cm="1">
        <f t="array" ref="H2051">IFERROR(INDEX(DB!P$2:P$2576,T2051),"")</f>
        <v/>
      </c>
      <c r="I2051" s="43"/>
      <c r="J2051" s="53" t="str" cm="1">
        <f t="array" ref="J2051">IFERROR(INDEX(DB!Q$2:Q$2576,T2051),"")</f>
        <v/>
      </c>
      <c r="K2051" s="43"/>
      <c r="L2051" s="41" t="str" cm="1">
        <f t="array" ref="L2051">IFERROR(INDEX(DB!R$2:R$2576,T2051),"")</f>
        <v/>
      </c>
      <c r="M2051" s="43"/>
      <c r="P2051" t="str" cm="1">
        <f t="array" ref="P2051">IFERROR(_xlfn.AGGREGATE(15,6,ROW(DB!A$2:A$2576)/((($D$3&lt;&gt;"YES")+($D$3="YES")*(DB!E$2:E$2576="YES"))*(($D$4="")+($D$4&lt;&gt;"")*( DB!B$2:B$2576=$D$4))*(($D$5="")+($D$5&lt;&gt;"")*( DB!C$2:C$2576=$D$5))*(($D$6="")+($D$6&lt;&gt;"")*( DB!D$2:D$2576=$D$6))*(($D$7="")+($D$7&lt;&gt;"")*(ISNUMBER(SEARCH($D$7,DB!G$2:G$2576))))*(($F$7="전체")+($F$7&lt;&gt;"전체")*(DB!H$2:H$2576=$F$7))),ROW()-13)-1,"")</f>
        <v/>
      </c>
      <c r="Q2051" t="str" cm="1">
        <f t="array" ref="Q2051">IFERROR(INDEX(DB!G$2:G$2576,P2051),"")</f>
        <v/>
      </c>
      <c r="R2051" t="str" cm="1">
        <f t="array" ref="R2051">IFERROR(INDEX(DB!O$2:O$2576,P2051),"")</f>
        <v/>
      </c>
      <c r="S2051" t="str">
        <f t="shared" si="96"/>
        <v/>
      </c>
      <c r="T2051" t="str">
        <f t="shared" si="97"/>
        <v/>
      </c>
    </row>
    <row r="2052" spans="1:20" ht="100" customHeight="1">
      <c r="A2052" s="26"/>
      <c r="B2052" s="39" t="str">
        <f t="shared" si="95"/>
        <v/>
      </c>
      <c r="C2052" s="43"/>
      <c r="D2052" s="51" t="str" cm="1">
        <f t="array" ref="D2052">IFERROR(INDEX(DB!G$2:G$2576,T2052),"")</f>
        <v/>
      </c>
      <c r="E2052" s="43"/>
      <c r="F2052" s="52" t="str" cm="1">
        <f t="array" ref="F2052">IFERROR(INDEX(DB!O$2:O$2576,T2052),"")</f>
        <v/>
      </c>
      <c r="G2052" s="43"/>
      <c r="H2052" s="40" t="str" cm="1">
        <f t="array" ref="H2052">IFERROR(INDEX(DB!P$2:P$2576,T2052),"")</f>
        <v/>
      </c>
      <c r="I2052" s="43"/>
      <c r="J2052" s="53" t="str" cm="1">
        <f t="array" ref="J2052">IFERROR(INDEX(DB!Q$2:Q$2576,T2052),"")</f>
        <v/>
      </c>
      <c r="K2052" s="43"/>
      <c r="L2052" s="41" t="str" cm="1">
        <f t="array" ref="L2052">IFERROR(INDEX(DB!R$2:R$2576,T2052),"")</f>
        <v/>
      </c>
      <c r="M2052" s="43"/>
      <c r="P2052" t="str" cm="1">
        <f t="array" ref="P2052">IFERROR(_xlfn.AGGREGATE(15,6,ROW(DB!A$2:A$2576)/((($D$3&lt;&gt;"YES")+($D$3="YES")*(DB!E$2:E$2576="YES"))*(($D$4="")+($D$4&lt;&gt;"")*( DB!B$2:B$2576=$D$4))*(($D$5="")+($D$5&lt;&gt;"")*( DB!C$2:C$2576=$D$5))*(($D$6="")+($D$6&lt;&gt;"")*( DB!D$2:D$2576=$D$6))*(($D$7="")+($D$7&lt;&gt;"")*(ISNUMBER(SEARCH($D$7,DB!G$2:G$2576))))*(($F$7="전체")+($F$7&lt;&gt;"전체")*(DB!H$2:H$2576=$F$7))),ROW()-13)-1,"")</f>
        <v/>
      </c>
      <c r="Q2052" t="str" cm="1">
        <f t="array" ref="Q2052">IFERROR(INDEX(DB!G$2:G$2576,P2052),"")</f>
        <v/>
      </c>
      <c r="R2052" t="str" cm="1">
        <f t="array" ref="R2052">IFERROR(INDEX(DB!O$2:O$2576,P2052),"")</f>
        <v/>
      </c>
      <c r="S2052" t="str">
        <f t="shared" si="96"/>
        <v/>
      </c>
      <c r="T2052" t="str">
        <f t="shared" si="97"/>
        <v/>
      </c>
    </row>
    <row r="2053" spans="1:20" ht="100" customHeight="1">
      <c r="A2053" s="26"/>
      <c r="B2053" s="42" t="str">
        <f t="shared" si="95"/>
        <v/>
      </c>
      <c r="C2053" s="43"/>
      <c r="D2053" s="51" t="str" cm="1">
        <f t="array" ref="D2053">IFERROR(INDEX(DB!G$2:G$2576,T2053),"")</f>
        <v/>
      </c>
      <c r="E2053" s="43"/>
      <c r="F2053" s="52" t="str" cm="1">
        <f t="array" ref="F2053">IFERROR(INDEX(DB!O$2:O$2576,T2053),"")</f>
        <v/>
      </c>
      <c r="G2053" s="43"/>
      <c r="H2053" s="40" t="str" cm="1">
        <f t="array" ref="H2053">IFERROR(INDEX(DB!P$2:P$2576,T2053),"")</f>
        <v/>
      </c>
      <c r="I2053" s="43"/>
      <c r="J2053" s="53" t="str" cm="1">
        <f t="array" ref="J2053">IFERROR(INDEX(DB!Q$2:Q$2576,T2053),"")</f>
        <v/>
      </c>
      <c r="K2053" s="43"/>
      <c r="L2053" s="41" t="str" cm="1">
        <f t="array" ref="L2053">IFERROR(INDEX(DB!R$2:R$2576,T2053),"")</f>
        <v/>
      </c>
      <c r="M2053" s="43"/>
      <c r="P2053" t="str" cm="1">
        <f t="array" ref="P2053">IFERROR(_xlfn.AGGREGATE(15,6,ROW(DB!A$2:A$2576)/((($D$3&lt;&gt;"YES")+($D$3="YES")*(DB!E$2:E$2576="YES"))*(($D$4="")+($D$4&lt;&gt;"")*( DB!B$2:B$2576=$D$4))*(($D$5="")+($D$5&lt;&gt;"")*( DB!C$2:C$2576=$D$5))*(($D$6="")+($D$6&lt;&gt;"")*( DB!D$2:D$2576=$D$6))*(($D$7="")+($D$7&lt;&gt;"")*(ISNUMBER(SEARCH($D$7,DB!G$2:G$2576))))*(($F$7="전체")+($F$7&lt;&gt;"전체")*(DB!H$2:H$2576=$F$7))),ROW()-13)-1,"")</f>
        <v/>
      </c>
      <c r="Q2053" t="str" cm="1">
        <f t="array" ref="Q2053">IFERROR(INDEX(DB!G$2:G$2576,P2053),"")</f>
        <v/>
      </c>
      <c r="R2053" t="str" cm="1">
        <f t="array" ref="R2053">IFERROR(INDEX(DB!O$2:O$2576,P2053),"")</f>
        <v/>
      </c>
      <c r="S2053" t="str">
        <f t="shared" si="96"/>
        <v/>
      </c>
      <c r="T2053" t="str">
        <f t="shared" si="97"/>
        <v/>
      </c>
    </row>
    <row r="2054" spans="1:20" ht="100" customHeight="1">
      <c r="A2054" s="26"/>
      <c r="B2054" s="39" t="str">
        <f t="shared" si="95"/>
        <v/>
      </c>
      <c r="C2054" s="43"/>
      <c r="D2054" s="51" t="str" cm="1">
        <f t="array" ref="D2054">IFERROR(INDEX(DB!G$2:G$2576,T2054),"")</f>
        <v/>
      </c>
      <c r="E2054" s="43"/>
      <c r="F2054" s="52" t="str" cm="1">
        <f t="array" ref="F2054">IFERROR(INDEX(DB!O$2:O$2576,T2054),"")</f>
        <v/>
      </c>
      <c r="G2054" s="43"/>
      <c r="H2054" s="40" t="str" cm="1">
        <f t="array" ref="H2054">IFERROR(INDEX(DB!P$2:P$2576,T2054),"")</f>
        <v/>
      </c>
      <c r="I2054" s="43"/>
      <c r="J2054" s="53" t="str" cm="1">
        <f t="array" ref="J2054">IFERROR(INDEX(DB!Q$2:Q$2576,T2054),"")</f>
        <v/>
      </c>
      <c r="K2054" s="43"/>
      <c r="L2054" s="41" t="str" cm="1">
        <f t="array" ref="L2054">IFERROR(INDEX(DB!R$2:R$2576,T2054),"")</f>
        <v/>
      </c>
      <c r="M2054" s="43"/>
      <c r="P2054" t="str" cm="1">
        <f t="array" ref="P2054">IFERROR(_xlfn.AGGREGATE(15,6,ROW(DB!A$2:A$2576)/((($D$3&lt;&gt;"YES")+($D$3="YES")*(DB!E$2:E$2576="YES"))*(($D$4="")+($D$4&lt;&gt;"")*( DB!B$2:B$2576=$D$4))*(($D$5="")+($D$5&lt;&gt;"")*( DB!C$2:C$2576=$D$5))*(($D$6="")+($D$6&lt;&gt;"")*( DB!D$2:D$2576=$D$6))*(($D$7="")+($D$7&lt;&gt;"")*(ISNUMBER(SEARCH($D$7,DB!G$2:G$2576))))*(($F$7="전체")+($F$7&lt;&gt;"전체")*(DB!H$2:H$2576=$F$7))),ROW()-13)-1,"")</f>
        <v/>
      </c>
      <c r="Q2054" t="str" cm="1">
        <f t="array" ref="Q2054">IFERROR(INDEX(DB!G$2:G$2576,P2054),"")</f>
        <v/>
      </c>
      <c r="R2054" t="str" cm="1">
        <f t="array" ref="R2054">IFERROR(INDEX(DB!O$2:O$2576,P2054),"")</f>
        <v/>
      </c>
      <c r="S2054" t="str">
        <f t="shared" si="96"/>
        <v/>
      </c>
      <c r="T2054" t="str">
        <f t="shared" si="97"/>
        <v/>
      </c>
    </row>
    <row r="2055" spans="1:20" ht="100" customHeight="1">
      <c r="A2055" s="26"/>
      <c r="B2055" s="42" t="str">
        <f t="shared" si="95"/>
        <v/>
      </c>
      <c r="C2055" s="43"/>
      <c r="D2055" s="51" t="str" cm="1">
        <f t="array" ref="D2055">IFERROR(INDEX(DB!G$2:G$2576,T2055),"")</f>
        <v/>
      </c>
      <c r="E2055" s="43"/>
      <c r="F2055" s="52" t="str" cm="1">
        <f t="array" ref="F2055">IFERROR(INDEX(DB!O$2:O$2576,T2055),"")</f>
        <v/>
      </c>
      <c r="G2055" s="43"/>
      <c r="H2055" s="40" t="str" cm="1">
        <f t="array" ref="H2055">IFERROR(INDEX(DB!P$2:P$2576,T2055),"")</f>
        <v/>
      </c>
      <c r="I2055" s="43"/>
      <c r="J2055" s="53" t="str" cm="1">
        <f t="array" ref="J2055">IFERROR(INDEX(DB!Q$2:Q$2576,T2055),"")</f>
        <v/>
      </c>
      <c r="K2055" s="43"/>
      <c r="L2055" s="41" t="str" cm="1">
        <f t="array" ref="L2055">IFERROR(INDEX(DB!R$2:R$2576,T2055),"")</f>
        <v/>
      </c>
      <c r="M2055" s="43"/>
      <c r="P2055" t="str" cm="1">
        <f t="array" ref="P2055">IFERROR(_xlfn.AGGREGATE(15,6,ROW(DB!A$2:A$2576)/((($D$3&lt;&gt;"YES")+($D$3="YES")*(DB!E$2:E$2576="YES"))*(($D$4="")+($D$4&lt;&gt;"")*( DB!B$2:B$2576=$D$4))*(($D$5="")+($D$5&lt;&gt;"")*( DB!C$2:C$2576=$D$5))*(($D$6="")+($D$6&lt;&gt;"")*( DB!D$2:D$2576=$D$6))*(($D$7="")+($D$7&lt;&gt;"")*(ISNUMBER(SEARCH($D$7,DB!G$2:G$2576))))*(($F$7="전체")+($F$7&lt;&gt;"전체")*(DB!H$2:H$2576=$F$7))),ROW()-13)-1,"")</f>
        <v/>
      </c>
      <c r="Q2055" t="str" cm="1">
        <f t="array" ref="Q2055">IFERROR(INDEX(DB!G$2:G$2576,P2055),"")</f>
        <v/>
      </c>
      <c r="R2055" t="str" cm="1">
        <f t="array" ref="R2055">IFERROR(INDEX(DB!O$2:O$2576,P2055),"")</f>
        <v/>
      </c>
      <c r="S2055" t="str">
        <f t="shared" si="96"/>
        <v/>
      </c>
      <c r="T2055" t="str">
        <f t="shared" si="97"/>
        <v/>
      </c>
    </row>
    <row r="2056" spans="1:20" ht="100" customHeight="1">
      <c r="A2056" s="26"/>
      <c r="B2056" s="39" t="str">
        <f t="shared" si="95"/>
        <v/>
      </c>
      <c r="C2056" s="43"/>
      <c r="D2056" s="51" t="str" cm="1">
        <f t="array" ref="D2056">IFERROR(INDEX(DB!G$2:G$2576,T2056),"")</f>
        <v/>
      </c>
      <c r="E2056" s="43"/>
      <c r="F2056" s="52" t="str" cm="1">
        <f t="array" ref="F2056">IFERROR(INDEX(DB!O$2:O$2576,T2056),"")</f>
        <v/>
      </c>
      <c r="G2056" s="43"/>
      <c r="H2056" s="40" t="str" cm="1">
        <f t="array" ref="H2056">IFERROR(INDEX(DB!P$2:P$2576,T2056),"")</f>
        <v/>
      </c>
      <c r="I2056" s="43"/>
      <c r="J2056" s="53" t="str" cm="1">
        <f t="array" ref="J2056">IFERROR(INDEX(DB!Q$2:Q$2576,T2056),"")</f>
        <v/>
      </c>
      <c r="K2056" s="43"/>
      <c r="L2056" s="41" t="str" cm="1">
        <f t="array" ref="L2056">IFERROR(INDEX(DB!R$2:R$2576,T2056),"")</f>
        <v/>
      </c>
      <c r="M2056" s="43"/>
      <c r="P2056" t="str" cm="1">
        <f t="array" ref="P2056">IFERROR(_xlfn.AGGREGATE(15,6,ROW(DB!A$2:A$2576)/((($D$3&lt;&gt;"YES")+($D$3="YES")*(DB!E$2:E$2576="YES"))*(($D$4="")+($D$4&lt;&gt;"")*( DB!B$2:B$2576=$D$4))*(($D$5="")+($D$5&lt;&gt;"")*( DB!C$2:C$2576=$D$5))*(($D$6="")+($D$6&lt;&gt;"")*( DB!D$2:D$2576=$D$6))*(($D$7="")+($D$7&lt;&gt;"")*(ISNUMBER(SEARCH($D$7,DB!G$2:G$2576))))*(($F$7="전체")+($F$7&lt;&gt;"전체")*(DB!H$2:H$2576=$F$7))),ROW()-13)-1,"")</f>
        <v/>
      </c>
      <c r="Q2056" t="str" cm="1">
        <f t="array" ref="Q2056">IFERROR(INDEX(DB!G$2:G$2576,P2056),"")</f>
        <v/>
      </c>
      <c r="R2056" t="str" cm="1">
        <f t="array" ref="R2056">IFERROR(INDEX(DB!O$2:O$2576,P2056),"")</f>
        <v/>
      </c>
      <c r="S2056" t="str">
        <f t="shared" si="96"/>
        <v/>
      </c>
      <c r="T2056" t="str">
        <f t="shared" si="97"/>
        <v/>
      </c>
    </row>
    <row r="2057" spans="1:20" ht="100" customHeight="1">
      <c r="A2057" s="26"/>
      <c r="B2057" s="42" t="str">
        <f t="shared" si="95"/>
        <v/>
      </c>
      <c r="C2057" s="43"/>
      <c r="D2057" s="51" t="str" cm="1">
        <f t="array" ref="D2057">IFERROR(INDEX(DB!G$2:G$2576,T2057),"")</f>
        <v/>
      </c>
      <c r="E2057" s="43"/>
      <c r="F2057" s="52" t="str" cm="1">
        <f t="array" ref="F2057">IFERROR(INDEX(DB!O$2:O$2576,T2057),"")</f>
        <v/>
      </c>
      <c r="G2057" s="43"/>
      <c r="H2057" s="40" t="str" cm="1">
        <f t="array" ref="H2057">IFERROR(INDEX(DB!P$2:P$2576,T2057),"")</f>
        <v/>
      </c>
      <c r="I2057" s="43"/>
      <c r="J2057" s="53" t="str" cm="1">
        <f t="array" ref="J2057">IFERROR(INDEX(DB!Q$2:Q$2576,T2057),"")</f>
        <v/>
      </c>
      <c r="K2057" s="43"/>
      <c r="L2057" s="41" t="str" cm="1">
        <f t="array" ref="L2057">IFERROR(INDEX(DB!R$2:R$2576,T2057),"")</f>
        <v/>
      </c>
      <c r="M2057" s="43"/>
      <c r="P2057" t="str" cm="1">
        <f t="array" ref="P2057">IFERROR(_xlfn.AGGREGATE(15,6,ROW(DB!A$2:A$2576)/((($D$3&lt;&gt;"YES")+($D$3="YES")*(DB!E$2:E$2576="YES"))*(($D$4="")+($D$4&lt;&gt;"")*( DB!B$2:B$2576=$D$4))*(($D$5="")+($D$5&lt;&gt;"")*( DB!C$2:C$2576=$D$5))*(($D$6="")+($D$6&lt;&gt;"")*( DB!D$2:D$2576=$D$6))*(($D$7="")+($D$7&lt;&gt;"")*(ISNUMBER(SEARCH($D$7,DB!G$2:G$2576))))*(($F$7="전체")+($F$7&lt;&gt;"전체")*(DB!H$2:H$2576=$F$7))),ROW()-13)-1,"")</f>
        <v/>
      </c>
      <c r="Q2057" t="str" cm="1">
        <f t="array" ref="Q2057">IFERROR(INDEX(DB!G$2:G$2576,P2057),"")</f>
        <v/>
      </c>
      <c r="R2057" t="str" cm="1">
        <f t="array" ref="R2057">IFERROR(INDEX(DB!O$2:O$2576,P2057),"")</f>
        <v/>
      </c>
      <c r="S2057" t="str">
        <f t="shared" si="96"/>
        <v/>
      </c>
      <c r="T2057" t="str">
        <f t="shared" si="97"/>
        <v/>
      </c>
    </row>
    <row r="2058" spans="1:20" ht="100" customHeight="1">
      <c r="A2058" s="26"/>
      <c r="B2058" s="39" t="str">
        <f t="shared" si="95"/>
        <v/>
      </c>
      <c r="C2058" s="43"/>
      <c r="D2058" s="51" t="str" cm="1">
        <f t="array" ref="D2058">IFERROR(INDEX(DB!G$2:G$2576,T2058),"")</f>
        <v/>
      </c>
      <c r="E2058" s="43"/>
      <c r="F2058" s="52" t="str" cm="1">
        <f t="array" ref="F2058">IFERROR(INDEX(DB!O$2:O$2576,T2058),"")</f>
        <v/>
      </c>
      <c r="G2058" s="43"/>
      <c r="H2058" s="40" t="str" cm="1">
        <f t="array" ref="H2058">IFERROR(INDEX(DB!P$2:P$2576,T2058),"")</f>
        <v/>
      </c>
      <c r="I2058" s="43"/>
      <c r="J2058" s="53" t="str" cm="1">
        <f t="array" ref="J2058">IFERROR(INDEX(DB!Q$2:Q$2576,T2058),"")</f>
        <v/>
      </c>
      <c r="K2058" s="43"/>
      <c r="L2058" s="41" t="str" cm="1">
        <f t="array" ref="L2058">IFERROR(INDEX(DB!R$2:R$2576,T2058),"")</f>
        <v/>
      </c>
      <c r="M2058" s="43"/>
      <c r="P2058" t="str" cm="1">
        <f t="array" ref="P2058">IFERROR(_xlfn.AGGREGATE(15,6,ROW(DB!A$2:A$2576)/((($D$3&lt;&gt;"YES")+($D$3="YES")*(DB!E$2:E$2576="YES"))*(($D$4="")+($D$4&lt;&gt;"")*( DB!B$2:B$2576=$D$4))*(($D$5="")+($D$5&lt;&gt;"")*( DB!C$2:C$2576=$D$5))*(($D$6="")+($D$6&lt;&gt;"")*( DB!D$2:D$2576=$D$6))*(($D$7="")+($D$7&lt;&gt;"")*(ISNUMBER(SEARCH($D$7,DB!G$2:G$2576))))*(($F$7="전체")+($F$7&lt;&gt;"전체")*(DB!H$2:H$2576=$F$7))),ROW()-13)-1,"")</f>
        <v/>
      </c>
      <c r="Q2058" t="str" cm="1">
        <f t="array" ref="Q2058">IFERROR(INDEX(DB!G$2:G$2576,P2058),"")</f>
        <v/>
      </c>
      <c r="R2058" t="str" cm="1">
        <f t="array" ref="R2058">IFERROR(INDEX(DB!O$2:O$2576,P2058),"")</f>
        <v/>
      </c>
      <c r="S2058" t="str">
        <f t="shared" si="96"/>
        <v/>
      </c>
      <c r="T2058" t="str">
        <f t="shared" si="97"/>
        <v/>
      </c>
    </row>
    <row r="2059" spans="1:20" ht="100" customHeight="1">
      <c r="A2059" s="26"/>
      <c r="B2059" s="42" t="str">
        <f t="shared" si="95"/>
        <v/>
      </c>
      <c r="C2059" s="43"/>
      <c r="D2059" s="51" t="str" cm="1">
        <f t="array" ref="D2059">IFERROR(INDEX(DB!G$2:G$2576,T2059),"")</f>
        <v/>
      </c>
      <c r="E2059" s="43"/>
      <c r="F2059" s="52" t="str" cm="1">
        <f t="array" ref="F2059">IFERROR(INDEX(DB!O$2:O$2576,T2059),"")</f>
        <v/>
      </c>
      <c r="G2059" s="43"/>
      <c r="H2059" s="40" t="str" cm="1">
        <f t="array" ref="H2059">IFERROR(INDEX(DB!P$2:P$2576,T2059),"")</f>
        <v/>
      </c>
      <c r="I2059" s="43"/>
      <c r="J2059" s="53" t="str" cm="1">
        <f t="array" ref="J2059">IFERROR(INDEX(DB!Q$2:Q$2576,T2059),"")</f>
        <v/>
      </c>
      <c r="K2059" s="43"/>
      <c r="L2059" s="41" t="str" cm="1">
        <f t="array" ref="L2059">IFERROR(INDEX(DB!R$2:R$2576,T2059),"")</f>
        <v/>
      </c>
      <c r="M2059" s="43"/>
      <c r="P2059" t="str" cm="1">
        <f t="array" ref="P2059">IFERROR(_xlfn.AGGREGATE(15,6,ROW(DB!A$2:A$2576)/((($D$3&lt;&gt;"YES")+($D$3="YES")*(DB!E$2:E$2576="YES"))*(($D$4="")+($D$4&lt;&gt;"")*( DB!B$2:B$2576=$D$4))*(($D$5="")+($D$5&lt;&gt;"")*( DB!C$2:C$2576=$D$5))*(($D$6="")+($D$6&lt;&gt;"")*( DB!D$2:D$2576=$D$6))*(($D$7="")+($D$7&lt;&gt;"")*(ISNUMBER(SEARCH($D$7,DB!G$2:G$2576))))*(($F$7="전체")+($F$7&lt;&gt;"전체")*(DB!H$2:H$2576=$F$7))),ROW()-13)-1,"")</f>
        <v/>
      </c>
      <c r="Q2059" t="str" cm="1">
        <f t="array" ref="Q2059">IFERROR(INDEX(DB!G$2:G$2576,P2059),"")</f>
        <v/>
      </c>
      <c r="R2059" t="str" cm="1">
        <f t="array" ref="R2059">IFERROR(INDEX(DB!O$2:O$2576,P2059),"")</f>
        <v/>
      </c>
      <c r="S2059" t="str">
        <f t="shared" si="96"/>
        <v/>
      </c>
      <c r="T2059" t="str">
        <f t="shared" si="97"/>
        <v/>
      </c>
    </row>
    <row r="2060" spans="1:20" ht="100" customHeight="1">
      <c r="A2060" s="26"/>
      <c r="B2060" s="39" t="str">
        <f t="shared" si="95"/>
        <v/>
      </c>
      <c r="C2060" s="43"/>
      <c r="D2060" s="51" t="str" cm="1">
        <f t="array" ref="D2060">IFERROR(INDEX(DB!G$2:G$2576,T2060),"")</f>
        <v/>
      </c>
      <c r="E2060" s="43"/>
      <c r="F2060" s="52" t="str" cm="1">
        <f t="array" ref="F2060">IFERROR(INDEX(DB!O$2:O$2576,T2060),"")</f>
        <v/>
      </c>
      <c r="G2060" s="43"/>
      <c r="H2060" s="40" t="str" cm="1">
        <f t="array" ref="H2060">IFERROR(INDEX(DB!P$2:P$2576,T2060),"")</f>
        <v/>
      </c>
      <c r="I2060" s="43"/>
      <c r="J2060" s="53" t="str" cm="1">
        <f t="array" ref="J2060">IFERROR(INDEX(DB!Q$2:Q$2576,T2060),"")</f>
        <v/>
      </c>
      <c r="K2060" s="43"/>
      <c r="L2060" s="41" t="str" cm="1">
        <f t="array" ref="L2060">IFERROR(INDEX(DB!R$2:R$2576,T2060),"")</f>
        <v/>
      </c>
      <c r="M2060" s="43"/>
      <c r="P2060" t="str" cm="1">
        <f t="array" ref="P2060">IFERROR(_xlfn.AGGREGATE(15,6,ROW(DB!A$2:A$2576)/((($D$3&lt;&gt;"YES")+($D$3="YES")*(DB!E$2:E$2576="YES"))*(($D$4="")+($D$4&lt;&gt;"")*( DB!B$2:B$2576=$D$4))*(($D$5="")+($D$5&lt;&gt;"")*( DB!C$2:C$2576=$D$5))*(($D$6="")+($D$6&lt;&gt;"")*( DB!D$2:D$2576=$D$6))*(($D$7="")+($D$7&lt;&gt;"")*(ISNUMBER(SEARCH($D$7,DB!G$2:G$2576))))*(($F$7="전체")+($F$7&lt;&gt;"전체")*(DB!H$2:H$2576=$F$7))),ROW()-13)-1,"")</f>
        <v/>
      </c>
      <c r="Q2060" t="str" cm="1">
        <f t="array" ref="Q2060">IFERROR(INDEX(DB!G$2:G$2576,P2060),"")</f>
        <v/>
      </c>
      <c r="R2060" t="str" cm="1">
        <f t="array" ref="R2060">IFERROR(INDEX(DB!O$2:O$2576,P2060),"")</f>
        <v/>
      </c>
      <c r="S2060" t="str">
        <f t="shared" si="96"/>
        <v/>
      </c>
      <c r="T2060" t="str">
        <f t="shared" si="97"/>
        <v/>
      </c>
    </row>
    <row r="2061" spans="1:20" ht="100" customHeight="1">
      <c r="A2061" s="26"/>
      <c r="B2061" s="42" t="str">
        <f t="shared" si="95"/>
        <v/>
      </c>
      <c r="C2061" s="43"/>
      <c r="D2061" s="51" t="str" cm="1">
        <f t="array" ref="D2061">IFERROR(INDEX(DB!G$2:G$2576,T2061),"")</f>
        <v/>
      </c>
      <c r="E2061" s="43"/>
      <c r="F2061" s="52" t="str" cm="1">
        <f t="array" ref="F2061">IFERROR(INDEX(DB!O$2:O$2576,T2061),"")</f>
        <v/>
      </c>
      <c r="G2061" s="43"/>
      <c r="H2061" s="40" t="str" cm="1">
        <f t="array" ref="H2061">IFERROR(INDEX(DB!P$2:P$2576,T2061),"")</f>
        <v/>
      </c>
      <c r="I2061" s="43"/>
      <c r="J2061" s="53" t="str" cm="1">
        <f t="array" ref="J2061">IFERROR(INDEX(DB!Q$2:Q$2576,T2061),"")</f>
        <v/>
      </c>
      <c r="K2061" s="43"/>
      <c r="L2061" s="41" t="str" cm="1">
        <f t="array" ref="L2061">IFERROR(INDEX(DB!R$2:R$2576,T2061),"")</f>
        <v/>
      </c>
      <c r="M2061" s="43"/>
      <c r="P2061" t="str" cm="1">
        <f t="array" ref="P2061">IFERROR(_xlfn.AGGREGATE(15,6,ROW(DB!A$2:A$2576)/((($D$3&lt;&gt;"YES")+($D$3="YES")*(DB!E$2:E$2576="YES"))*(($D$4="")+($D$4&lt;&gt;"")*( DB!B$2:B$2576=$D$4))*(($D$5="")+($D$5&lt;&gt;"")*( DB!C$2:C$2576=$D$5))*(($D$6="")+($D$6&lt;&gt;"")*( DB!D$2:D$2576=$D$6))*(($D$7="")+($D$7&lt;&gt;"")*(ISNUMBER(SEARCH($D$7,DB!G$2:G$2576))))*(($F$7="전체")+($F$7&lt;&gt;"전체")*(DB!H$2:H$2576=$F$7))),ROW()-13)-1,"")</f>
        <v/>
      </c>
      <c r="Q2061" t="str" cm="1">
        <f t="array" ref="Q2061">IFERROR(INDEX(DB!G$2:G$2576,P2061),"")</f>
        <v/>
      </c>
      <c r="R2061" t="str" cm="1">
        <f t="array" ref="R2061">IFERROR(INDEX(DB!O$2:O$2576,P2061),"")</f>
        <v/>
      </c>
      <c r="S2061" t="str">
        <f t="shared" si="96"/>
        <v/>
      </c>
      <c r="T2061" t="str">
        <f t="shared" si="97"/>
        <v/>
      </c>
    </row>
    <row r="2062" spans="1:20" ht="100" customHeight="1">
      <c r="A2062" s="26"/>
      <c r="B2062" s="39" t="str">
        <f t="shared" si="95"/>
        <v/>
      </c>
      <c r="C2062" s="43"/>
      <c r="D2062" s="51" t="str" cm="1">
        <f t="array" ref="D2062">IFERROR(INDEX(DB!G$2:G$2576,T2062),"")</f>
        <v/>
      </c>
      <c r="E2062" s="43"/>
      <c r="F2062" s="52" t="str" cm="1">
        <f t="array" ref="F2062">IFERROR(INDEX(DB!O$2:O$2576,T2062),"")</f>
        <v/>
      </c>
      <c r="G2062" s="43"/>
      <c r="H2062" s="40" t="str" cm="1">
        <f t="array" ref="H2062">IFERROR(INDEX(DB!P$2:P$2576,T2062),"")</f>
        <v/>
      </c>
      <c r="I2062" s="43"/>
      <c r="J2062" s="53" t="str" cm="1">
        <f t="array" ref="J2062">IFERROR(INDEX(DB!Q$2:Q$2576,T2062),"")</f>
        <v/>
      </c>
      <c r="K2062" s="43"/>
      <c r="L2062" s="41" t="str" cm="1">
        <f t="array" ref="L2062">IFERROR(INDEX(DB!R$2:R$2576,T2062),"")</f>
        <v/>
      </c>
      <c r="M2062" s="43"/>
      <c r="P2062" t="str" cm="1">
        <f t="array" ref="P2062">IFERROR(_xlfn.AGGREGATE(15,6,ROW(DB!A$2:A$2576)/((($D$3&lt;&gt;"YES")+($D$3="YES")*(DB!E$2:E$2576="YES"))*(($D$4="")+($D$4&lt;&gt;"")*( DB!B$2:B$2576=$D$4))*(($D$5="")+($D$5&lt;&gt;"")*( DB!C$2:C$2576=$D$5))*(($D$6="")+($D$6&lt;&gt;"")*( DB!D$2:D$2576=$D$6))*(($D$7="")+($D$7&lt;&gt;"")*(ISNUMBER(SEARCH($D$7,DB!G$2:G$2576))))*(($F$7="전체")+($F$7&lt;&gt;"전체")*(DB!H$2:H$2576=$F$7))),ROW()-13)-1,"")</f>
        <v/>
      </c>
      <c r="Q2062" t="str" cm="1">
        <f t="array" ref="Q2062">IFERROR(INDEX(DB!G$2:G$2576,P2062),"")</f>
        <v/>
      </c>
      <c r="R2062" t="str" cm="1">
        <f t="array" ref="R2062">IFERROR(INDEX(DB!O$2:O$2576,P2062),"")</f>
        <v/>
      </c>
      <c r="S2062" t="str">
        <f t="shared" si="96"/>
        <v/>
      </c>
      <c r="T2062" t="str">
        <f t="shared" si="97"/>
        <v/>
      </c>
    </row>
    <row r="2063" spans="1:20" ht="100" customHeight="1">
      <c r="A2063" s="26"/>
      <c r="B2063" s="42" t="str">
        <f t="shared" ref="B2063:B2126" si="98">IFERROR(IF(T2063="","",ROW()-13),"")</f>
        <v/>
      </c>
      <c r="C2063" s="43"/>
      <c r="D2063" s="51" t="str" cm="1">
        <f t="array" ref="D2063">IFERROR(INDEX(DB!G$2:G$2576,T2063),"")</f>
        <v/>
      </c>
      <c r="E2063" s="43"/>
      <c r="F2063" s="52" t="str" cm="1">
        <f t="array" ref="F2063">IFERROR(INDEX(DB!O$2:O$2576,T2063),"")</f>
        <v/>
      </c>
      <c r="G2063" s="43"/>
      <c r="H2063" s="40" t="str" cm="1">
        <f t="array" ref="H2063">IFERROR(INDEX(DB!P$2:P$2576,T2063),"")</f>
        <v/>
      </c>
      <c r="I2063" s="43"/>
      <c r="J2063" s="53" t="str" cm="1">
        <f t="array" ref="J2063">IFERROR(INDEX(DB!Q$2:Q$2576,T2063),"")</f>
        <v/>
      </c>
      <c r="K2063" s="43"/>
      <c r="L2063" s="41" t="str" cm="1">
        <f t="array" ref="L2063">IFERROR(INDEX(DB!R$2:R$2576,T2063),"")</f>
        <v/>
      </c>
      <c r="M2063" s="43"/>
      <c r="P2063" t="str" cm="1">
        <f t="array" ref="P2063">IFERROR(_xlfn.AGGREGATE(15,6,ROW(DB!A$2:A$2576)/((($D$3&lt;&gt;"YES")+($D$3="YES")*(DB!E$2:E$2576="YES"))*(($D$4="")+($D$4&lt;&gt;"")*( DB!B$2:B$2576=$D$4))*(($D$5="")+($D$5&lt;&gt;"")*( DB!C$2:C$2576=$D$5))*(($D$6="")+($D$6&lt;&gt;"")*( DB!D$2:D$2576=$D$6))*(($D$7="")+($D$7&lt;&gt;"")*(ISNUMBER(SEARCH($D$7,DB!G$2:G$2576))))*(($F$7="전체")+($F$7&lt;&gt;"전체")*(DB!H$2:H$2576=$F$7))),ROW()-13)-1,"")</f>
        <v/>
      </c>
      <c r="Q2063" t="str" cm="1">
        <f t="array" ref="Q2063">IFERROR(INDEX(DB!G$2:G$2576,P2063),"")</f>
        <v/>
      </c>
      <c r="R2063" t="str" cm="1">
        <f t="array" ref="R2063">IFERROR(INDEX(DB!O$2:O$2576,P2063),"")</f>
        <v/>
      </c>
      <c r="S2063" t="str">
        <f t="shared" ref="S2063:S2126" si="99">IF(P2063="","",COUNTIF($Q$14:$Q$2587,"&lt;"&amp;Q2063)*100+COUNTIF($R$14:$R$2587,"&lt;"&amp;R2063)+(ROW()-13)*0.001)</f>
        <v/>
      </c>
      <c r="T2063" t="str">
        <f t="shared" ref="T2063:T2126" si="100">IFERROR(INDEX($P$14:$P$2587,MATCH(SMALL($S$14:$S$2587,ROW()-13),$S$14:$S$2587,0)),"")</f>
        <v/>
      </c>
    </row>
    <row r="2064" spans="1:20" ht="100" customHeight="1">
      <c r="A2064" s="26"/>
      <c r="B2064" s="39" t="str">
        <f t="shared" si="98"/>
        <v/>
      </c>
      <c r="C2064" s="43"/>
      <c r="D2064" s="51" t="str" cm="1">
        <f t="array" ref="D2064">IFERROR(INDEX(DB!G$2:G$2576,T2064),"")</f>
        <v/>
      </c>
      <c r="E2064" s="43"/>
      <c r="F2064" s="52" t="str" cm="1">
        <f t="array" ref="F2064">IFERROR(INDEX(DB!O$2:O$2576,T2064),"")</f>
        <v/>
      </c>
      <c r="G2064" s="43"/>
      <c r="H2064" s="40" t="str" cm="1">
        <f t="array" ref="H2064">IFERROR(INDEX(DB!P$2:P$2576,T2064),"")</f>
        <v/>
      </c>
      <c r="I2064" s="43"/>
      <c r="J2064" s="53" t="str" cm="1">
        <f t="array" ref="J2064">IFERROR(INDEX(DB!Q$2:Q$2576,T2064),"")</f>
        <v/>
      </c>
      <c r="K2064" s="43"/>
      <c r="L2064" s="41" t="str" cm="1">
        <f t="array" ref="L2064">IFERROR(INDEX(DB!R$2:R$2576,T2064),"")</f>
        <v/>
      </c>
      <c r="M2064" s="43"/>
      <c r="P2064" t="str" cm="1">
        <f t="array" ref="P2064">IFERROR(_xlfn.AGGREGATE(15,6,ROW(DB!A$2:A$2576)/((($D$3&lt;&gt;"YES")+($D$3="YES")*(DB!E$2:E$2576="YES"))*(($D$4="")+($D$4&lt;&gt;"")*( DB!B$2:B$2576=$D$4))*(($D$5="")+($D$5&lt;&gt;"")*( DB!C$2:C$2576=$D$5))*(($D$6="")+($D$6&lt;&gt;"")*( DB!D$2:D$2576=$D$6))*(($D$7="")+($D$7&lt;&gt;"")*(ISNUMBER(SEARCH($D$7,DB!G$2:G$2576))))*(($F$7="전체")+($F$7&lt;&gt;"전체")*(DB!H$2:H$2576=$F$7))),ROW()-13)-1,"")</f>
        <v/>
      </c>
      <c r="Q2064" t="str" cm="1">
        <f t="array" ref="Q2064">IFERROR(INDEX(DB!G$2:G$2576,P2064),"")</f>
        <v/>
      </c>
      <c r="R2064" t="str" cm="1">
        <f t="array" ref="R2064">IFERROR(INDEX(DB!O$2:O$2576,P2064),"")</f>
        <v/>
      </c>
      <c r="S2064" t="str">
        <f t="shared" si="99"/>
        <v/>
      </c>
      <c r="T2064" t="str">
        <f t="shared" si="100"/>
        <v/>
      </c>
    </row>
    <row r="2065" spans="1:20" ht="100" customHeight="1">
      <c r="A2065" s="26"/>
      <c r="B2065" s="42" t="str">
        <f t="shared" si="98"/>
        <v/>
      </c>
      <c r="C2065" s="43"/>
      <c r="D2065" s="51" t="str" cm="1">
        <f t="array" ref="D2065">IFERROR(INDEX(DB!G$2:G$2576,T2065),"")</f>
        <v/>
      </c>
      <c r="E2065" s="43"/>
      <c r="F2065" s="52" t="str" cm="1">
        <f t="array" ref="F2065">IFERROR(INDEX(DB!O$2:O$2576,T2065),"")</f>
        <v/>
      </c>
      <c r="G2065" s="43"/>
      <c r="H2065" s="40" t="str" cm="1">
        <f t="array" ref="H2065">IFERROR(INDEX(DB!P$2:P$2576,T2065),"")</f>
        <v/>
      </c>
      <c r="I2065" s="43"/>
      <c r="J2065" s="53" t="str" cm="1">
        <f t="array" ref="J2065">IFERROR(INDEX(DB!Q$2:Q$2576,T2065),"")</f>
        <v/>
      </c>
      <c r="K2065" s="43"/>
      <c r="L2065" s="41" t="str" cm="1">
        <f t="array" ref="L2065">IFERROR(INDEX(DB!R$2:R$2576,T2065),"")</f>
        <v/>
      </c>
      <c r="M2065" s="43"/>
      <c r="P2065" t="str" cm="1">
        <f t="array" ref="P2065">IFERROR(_xlfn.AGGREGATE(15,6,ROW(DB!A$2:A$2576)/((($D$3&lt;&gt;"YES")+($D$3="YES")*(DB!E$2:E$2576="YES"))*(($D$4="")+($D$4&lt;&gt;"")*( DB!B$2:B$2576=$D$4))*(($D$5="")+($D$5&lt;&gt;"")*( DB!C$2:C$2576=$D$5))*(($D$6="")+($D$6&lt;&gt;"")*( DB!D$2:D$2576=$D$6))*(($D$7="")+($D$7&lt;&gt;"")*(ISNUMBER(SEARCH($D$7,DB!G$2:G$2576))))*(($F$7="전체")+($F$7&lt;&gt;"전체")*(DB!H$2:H$2576=$F$7))),ROW()-13)-1,"")</f>
        <v/>
      </c>
      <c r="Q2065" t="str" cm="1">
        <f t="array" ref="Q2065">IFERROR(INDEX(DB!G$2:G$2576,P2065),"")</f>
        <v/>
      </c>
      <c r="R2065" t="str" cm="1">
        <f t="array" ref="R2065">IFERROR(INDEX(DB!O$2:O$2576,P2065),"")</f>
        <v/>
      </c>
      <c r="S2065" t="str">
        <f t="shared" si="99"/>
        <v/>
      </c>
      <c r="T2065" t="str">
        <f t="shared" si="100"/>
        <v/>
      </c>
    </row>
    <row r="2066" spans="1:20" ht="100" customHeight="1">
      <c r="A2066" s="26"/>
      <c r="B2066" s="39" t="str">
        <f t="shared" si="98"/>
        <v/>
      </c>
      <c r="C2066" s="43"/>
      <c r="D2066" s="51" t="str" cm="1">
        <f t="array" ref="D2066">IFERROR(INDEX(DB!G$2:G$2576,T2066),"")</f>
        <v/>
      </c>
      <c r="E2066" s="43"/>
      <c r="F2066" s="52" t="str" cm="1">
        <f t="array" ref="F2066">IFERROR(INDEX(DB!O$2:O$2576,T2066),"")</f>
        <v/>
      </c>
      <c r="G2066" s="43"/>
      <c r="H2066" s="40" t="str" cm="1">
        <f t="array" ref="H2066">IFERROR(INDEX(DB!P$2:P$2576,T2066),"")</f>
        <v/>
      </c>
      <c r="I2066" s="43"/>
      <c r="J2066" s="53" t="str" cm="1">
        <f t="array" ref="J2066">IFERROR(INDEX(DB!Q$2:Q$2576,T2066),"")</f>
        <v/>
      </c>
      <c r="K2066" s="43"/>
      <c r="L2066" s="41" t="str" cm="1">
        <f t="array" ref="L2066">IFERROR(INDEX(DB!R$2:R$2576,T2066),"")</f>
        <v/>
      </c>
      <c r="M2066" s="43"/>
      <c r="P2066" t="str" cm="1">
        <f t="array" ref="P2066">IFERROR(_xlfn.AGGREGATE(15,6,ROW(DB!A$2:A$2576)/((($D$3&lt;&gt;"YES")+($D$3="YES")*(DB!E$2:E$2576="YES"))*(($D$4="")+($D$4&lt;&gt;"")*( DB!B$2:B$2576=$D$4))*(($D$5="")+($D$5&lt;&gt;"")*( DB!C$2:C$2576=$D$5))*(($D$6="")+($D$6&lt;&gt;"")*( DB!D$2:D$2576=$D$6))*(($D$7="")+($D$7&lt;&gt;"")*(ISNUMBER(SEARCH($D$7,DB!G$2:G$2576))))*(($F$7="전체")+($F$7&lt;&gt;"전체")*(DB!H$2:H$2576=$F$7))),ROW()-13)-1,"")</f>
        <v/>
      </c>
      <c r="Q2066" t="str" cm="1">
        <f t="array" ref="Q2066">IFERROR(INDEX(DB!G$2:G$2576,P2066),"")</f>
        <v/>
      </c>
      <c r="R2066" t="str" cm="1">
        <f t="array" ref="R2066">IFERROR(INDEX(DB!O$2:O$2576,P2066),"")</f>
        <v/>
      </c>
      <c r="S2066" t="str">
        <f t="shared" si="99"/>
        <v/>
      </c>
      <c r="T2066" t="str">
        <f t="shared" si="100"/>
        <v/>
      </c>
    </row>
    <row r="2067" spans="1:20" ht="100" customHeight="1">
      <c r="A2067" s="26"/>
      <c r="B2067" s="42" t="str">
        <f t="shared" si="98"/>
        <v/>
      </c>
      <c r="C2067" s="43"/>
      <c r="D2067" s="51" t="str" cm="1">
        <f t="array" ref="D2067">IFERROR(INDEX(DB!G$2:G$2576,T2067),"")</f>
        <v/>
      </c>
      <c r="E2067" s="43"/>
      <c r="F2067" s="52" t="str" cm="1">
        <f t="array" ref="F2067">IFERROR(INDEX(DB!O$2:O$2576,T2067),"")</f>
        <v/>
      </c>
      <c r="G2067" s="43"/>
      <c r="H2067" s="40" t="str" cm="1">
        <f t="array" ref="H2067">IFERROR(INDEX(DB!P$2:P$2576,T2067),"")</f>
        <v/>
      </c>
      <c r="I2067" s="43"/>
      <c r="J2067" s="53" t="str" cm="1">
        <f t="array" ref="J2067">IFERROR(INDEX(DB!Q$2:Q$2576,T2067),"")</f>
        <v/>
      </c>
      <c r="K2067" s="43"/>
      <c r="L2067" s="41" t="str" cm="1">
        <f t="array" ref="L2067">IFERROR(INDEX(DB!R$2:R$2576,T2067),"")</f>
        <v/>
      </c>
      <c r="M2067" s="43"/>
      <c r="P2067" t="str" cm="1">
        <f t="array" ref="P2067">IFERROR(_xlfn.AGGREGATE(15,6,ROW(DB!A$2:A$2576)/((($D$3&lt;&gt;"YES")+($D$3="YES")*(DB!E$2:E$2576="YES"))*(($D$4="")+($D$4&lt;&gt;"")*( DB!B$2:B$2576=$D$4))*(($D$5="")+($D$5&lt;&gt;"")*( DB!C$2:C$2576=$D$5))*(($D$6="")+($D$6&lt;&gt;"")*( DB!D$2:D$2576=$D$6))*(($D$7="")+($D$7&lt;&gt;"")*(ISNUMBER(SEARCH($D$7,DB!G$2:G$2576))))*(($F$7="전체")+($F$7&lt;&gt;"전체")*(DB!H$2:H$2576=$F$7))),ROW()-13)-1,"")</f>
        <v/>
      </c>
      <c r="Q2067" t="str" cm="1">
        <f t="array" ref="Q2067">IFERROR(INDEX(DB!G$2:G$2576,P2067),"")</f>
        <v/>
      </c>
      <c r="R2067" t="str" cm="1">
        <f t="array" ref="R2067">IFERROR(INDEX(DB!O$2:O$2576,P2067),"")</f>
        <v/>
      </c>
      <c r="S2067" t="str">
        <f t="shared" si="99"/>
        <v/>
      </c>
      <c r="T2067" t="str">
        <f t="shared" si="100"/>
        <v/>
      </c>
    </row>
    <row r="2068" spans="1:20" ht="100" customHeight="1">
      <c r="A2068" s="26"/>
      <c r="B2068" s="39" t="str">
        <f t="shared" si="98"/>
        <v/>
      </c>
      <c r="C2068" s="43"/>
      <c r="D2068" s="51" t="str" cm="1">
        <f t="array" ref="D2068">IFERROR(INDEX(DB!G$2:G$2576,T2068),"")</f>
        <v/>
      </c>
      <c r="E2068" s="43"/>
      <c r="F2068" s="52" t="str" cm="1">
        <f t="array" ref="F2068">IFERROR(INDEX(DB!O$2:O$2576,T2068),"")</f>
        <v/>
      </c>
      <c r="G2068" s="43"/>
      <c r="H2068" s="40" t="str" cm="1">
        <f t="array" ref="H2068">IFERROR(INDEX(DB!P$2:P$2576,T2068),"")</f>
        <v/>
      </c>
      <c r="I2068" s="43"/>
      <c r="J2068" s="53" t="str" cm="1">
        <f t="array" ref="J2068">IFERROR(INDEX(DB!Q$2:Q$2576,T2068),"")</f>
        <v/>
      </c>
      <c r="K2068" s="43"/>
      <c r="L2068" s="41" t="str" cm="1">
        <f t="array" ref="L2068">IFERROR(INDEX(DB!R$2:R$2576,T2068),"")</f>
        <v/>
      </c>
      <c r="M2068" s="43"/>
      <c r="P2068" t="str" cm="1">
        <f t="array" ref="P2068">IFERROR(_xlfn.AGGREGATE(15,6,ROW(DB!A$2:A$2576)/((($D$3&lt;&gt;"YES")+($D$3="YES")*(DB!E$2:E$2576="YES"))*(($D$4="")+($D$4&lt;&gt;"")*( DB!B$2:B$2576=$D$4))*(($D$5="")+($D$5&lt;&gt;"")*( DB!C$2:C$2576=$D$5))*(($D$6="")+($D$6&lt;&gt;"")*( DB!D$2:D$2576=$D$6))*(($D$7="")+($D$7&lt;&gt;"")*(ISNUMBER(SEARCH($D$7,DB!G$2:G$2576))))*(($F$7="전체")+($F$7&lt;&gt;"전체")*(DB!H$2:H$2576=$F$7))),ROW()-13)-1,"")</f>
        <v/>
      </c>
      <c r="Q2068" t="str" cm="1">
        <f t="array" ref="Q2068">IFERROR(INDEX(DB!G$2:G$2576,P2068),"")</f>
        <v/>
      </c>
      <c r="R2068" t="str" cm="1">
        <f t="array" ref="R2068">IFERROR(INDEX(DB!O$2:O$2576,P2068),"")</f>
        <v/>
      </c>
      <c r="S2068" t="str">
        <f t="shared" si="99"/>
        <v/>
      </c>
      <c r="T2068" t="str">
        <f t="shared" si="100"/>
        <v/>
      </c>
    </row>
    <row r="2069" spans="1:20" ht="100" customHeight="1">
      <c r="A2069" s="26"/>
      <c r="B2069" s="42" t="str">
        <f t="shared" si="98"/>
        <v/>
      </c>
      <c r="C2069" s="43"/>
      <c r="D2069" s="51" t="str" cm="1">
        <f t="array" ref="D2069">IFERROR(INDEX(DB!G$2:G$2576,T2069),"")</f>
        <v/>
      </c>
      <c r="E2069" s="43"/>
      <c r="F2069" s="52" t="str" cm="1">
        <f t="array" ref="F2069">IFERROR(INDEX(DB!O$2:O$2576,T2069),"")</f>
        <v/>
      </c>
      <c r="G2069" s="43"/>
      <c r="H2069" s="40" t="str" cm="1">
        <f t="array" ref="H2069">IFERROR(INDEX(DB!P$2:P$2576,T2069),"")</f>
        <v/>
      </c>
      <c r="I2069" s="43"/>
      <c r="J2069" s="53" t="str" cm="1">
        <f t="array" ref="J2069">IFERROR(INDEX(DB!Q$2:Q$2576,T2069),"")</f>
        <v/>
      </c>
      <c r="K2069" s="43"/>
      <c r="L2069" s="41" t="str" cm="1">
        <f t="array" ref="L2069">IFERROR(INDEX(DB!R$2:R$2576,T2069),"")</f>
        <v/>
      </c>
      <c r="M2069" s="43"/>
      <c r="P2069" t="str" cm="1">
        <f t="array" ref="P2069">IFERROR(_xlfn.AGGREGATE(15,6,ROW(DB!A$2:A$2576)/((($D$3&lt;&gt;"YES")+($D$3="YES")*(DB!E$2:E$2576="YES"))*(($D$4="")+($D$4&lt;&gt;"")*( DB!B$2:B$2576=$D$4))*(($D$5="")+($D$5&lt;&gt;"")*( DB!C$2:C$2576=$D$5))*(($D$6="")+($D$6&lt;&gt;"")*( DB!D$2:D$2576=$D$6))*(($D$7="")+($D$7&lt;&gt;"")*(ISNUMBER(SEARCH($D$7,DB!G$2:G$2576))))*(($F$7="전체")+($F$7&lt;&gt;"전체")*(DB!H$2:H$2576=$F$7))),ROW()-13)-1,"")</f>
        <v/>
      </c>
      <c r="Q2069" t="str" cm="1">
        <f t="array" ref="Q2069">IFERROR(INDEX(DB!G$2:G$2576,P2069),"")</f>
        <v/>
      </c>
      <c r="R2069" t="str" cm="1">
        <f t="array" ref="R2069">IFERROR(INDEX(DB!O$2:O$2576,P2069),"")</f>
        <v/>
      </c>
      <c r="S2069" t="str">
        <f t="shared" si="99"/>
        <v/>
      </c>
      <c r="T2069" t="str">
        <f t="shared" si="100"/>
        <v/>
      </c>
    </row>
    <row r="2070" spans="1:20" ht="100" customHeight="1">
      <c r="A2070" s="26"/>
      <c r="B2070" s="39" t="str">
        <f t="shared" si="98"/>
        <v/>
      </c>
      <c r="C2070" s="43"/>
      <c r="D2070" s="51" t="str" cm="1">
        <f t="array" ref="D2070">IFERROR(INDEX(DB!G$2:G$2576,T2070),"")</f>
        <v/>
      </c>
      <c r="E2070" s="43"/>
      <c r="F2070" s="52" t="str" cm="1">
        <f t="array" ref="F2070">IFERROR(INDEX(DB!O$2:O$2576,T2070),"")</f>
        <v/>
      </c>
      <c r="G2070" s="43"/>
      <c r="H2070" s="40" t="str" cm="1">
        <f t="array" ref="H2070">IFERROR(INDEX(DB!P$2:P$2576,T2070),"")</f>
        <v/>
      </c>
      <c r="I2070" s="43"/>
      <c r="J2070" s="53" t="str" cm="1">
        <f t="array" ref="J2070">IFERROR(INDEX(DB!Q$2:Q$2576,T2070),"")</f>
        <v/>
      </c>
      <c r="K2070" s="43"/>
      <c r="L2070" s="41" t="str" cm="1">
        <f t="array" ref="L2070">IFERROR(INDEX(DB!R$2:R$2576,T2070),"")</f>
        <v/>
      </c>
      <c r="M2070" s="43"/>
      <c r="P2070" t="str" cm="1">
        <f t="array" ref="P2070">IFERROR(_xlfn.AGGREGATE(15,6,ROW(DB!A$2:A$2576)/((($D$3&lt;&gt;"YES")+($D$3="YES")*(DB!E$2:E$2576="YES"))*(($D$4="")+($D$4&lt;&gt;"")*( DB!B$2:B$2576=$D$4))*(($D$5="")+($D$5&lt;&gt;"")*( DB!C$2:C$2576=$D$5))*(($D$6="")+($D$6&lt;&gt;"")*( DB!D$2:D$2576=$D$6))*(($D$7="")+($D$7&lt;&gt;"")*(ISNUMBER(SEARCH($D$7,DB!G$2:G$2576))))*(($F$7="전체")+($F$7&lt;&gt;"전체")*(DB!H$2:H$2576=$F$7))),ROW()-13)-1,"")</f>
        <v/>
      </c>
      <c r="Q2070" t="str" cm="1">
        <f t="array" ref="Q2070">IFERROR(INDEX(DB!G$2:G$2576,P2070),"")</f>
        <v/>
      </c>
      <c r="R2070" t="str" cm="1">
        <f t="array" ref="R2070">IFERROR(INDEX(DB!O$2:O$2576,P2070),"")</f>
        <v/>
      </c>
      <c r="S2070" t="str">
        <f t="shared" si="99"/>
        <v/>
      </c>
      <c r="T2070" t="str">
        <f t="shared" si="100"/>
        <v/>
      </c>
    </row>
    <row r="2071" spans="1:20" ht="100" customHeight="1">
      <c r="A2071" s="26"/>
      <c r="B2071" s="42" t="str">
        <f t="shared" si="98"/>
        <v/>
      </c>
      <c r="C2071" s="43"/>
      <c r="D2071" s="51" t="str" cm="1">
        <f t="array" ref="D2071">IFERROR(INDEX(DB!G$2:G$2576,T2071),"")</f>
        <v/>
      </c>
      <c r="E2071" s="43"/>
      <c r="F2071" s="52" t="str" cm="1">
        <f t="array" ref="F2071">IFERROR(INDEX(DB!O$2:O$2576,T2071),"")</f>
        <v/>
      </c>
      <c r="G2071" s="43"/>
      <c r="H2071" s="40" t="str" cm="1">
        <f t="array" ref="H2071">IFERROR(INDEX(DB!P$2:P$2576,T2071),"")</f>
        <v/>
      </c>
      <c r="I2071" s="43"/>
      <c r="J2071" s="53" t="str" cm="1">
        <f t="array" ref="J2071">IFERROR(INDEX(DB!Q$2:Q$2576,T2071),"")</f>
        <v/>
      </c>
      <c r="K2071" s="43"/>
      <c r="L2071" s="41" t="str" cm="1">
        <f t="array" ref="L2071">IFERROR(INDEX(DB!R$2:R$2576,T2071),"")</f>
        <v/>
      </c>
      <c r="M2071" s="43"/>
      <c r="P2071" t="str" cm="1">
        <f t="array" ref="P2071">IFERROR(_xlfn.AGGREGATE(15,6,ROW(DB!A$2:A$2576)/((($D$3&lt;&gt;"YES")+($D$3="YES")*(DB!E$2:E$2576="YES"))*(($D$4="")+($D$4&lt;&gt;"")*( DB!B$2:B$2576=$D$4))*(($D$5="")+($D$5&lt;&gt;"")*( DB!C$2:C$2576=$D$5))*(($D$6="")+($D$6&lt;&gt;"")*( DB!D$2:D$2576=$D$6))*(($D$7="")+($D$7&lt;&gt;"")*(ISNUMBER(SEARCH($D$7,DB!G$2:G$2576))))*(($F$7="전체")+($F$7&lt;&gt;"전체")*(DB!H$2:H$2576=$F$7))),ROW()-13)-1,"")</f>
        <v/>
      </c>
      <c r="Q2071" t="str" cm="1">
        <f t="array" ref="Q2071">IFERROR(INDEX(DB!G$2:G$2576,P2071),"")</f>
        <v/>
      </c>
      <c r="R2071" t="str" cm="1">
        <f t="array" ref="R2071">IFERROR(INDEX(DB!O$2:O$2576,P2071),"")</f>
        <v/>
      </c>
      <c r="S2071" t="str">
        <f t="shared" si="99"/>
        <v/>
      </c>
      <c r="T2071" t="str">
        <f t="shared" si="100"/>
        <v/>
      </c>
    </row>
    <row r="2072" spans="1:20" ht="100" customHeight="1">
      <c r="A2072" s="26"/>
      <c r="B2072" s="39" t="str">
        <f t="shared" si="98"/>
        <v/>
      </c>
      <c r="C2072" s="43"/>
      <c r="D2072" s="51" t="str" cm="1">
        <f t="array" ref="D2072">IFERROR(INDEX(DB!G$2:G$2576,T2072),"")</f>
        <v/>
      </c>
      <c r="E2072" s="43"/>
      <c r="F2072" s="52" t="str" cm="1">
        <f t="array" ref="F2072">IFERROR(INDEX(DB!O$2:O$2576,T2072),"")</f>
        <v/>
      </c>
      <c r="G2072" s="43"/>
      <c r="H2072" s="40" t="str" cm="1">
        <f t="array" ref="H2072">IFERROR(INDEX(DB!P$2:P$2576,T2072),"")</f>
        <v/>
      </c>
      <c r="I2072" s="43"/>
      <c r="J2072" s="53" t="str" cm="1">
        <f t="array" ref="J2072">IFERROR(INDEX(DB!Q$2:Q$2576,T2072),"")</f>
        <v/>
      </c>
      <c r="K2072" s="43"/>
      <c r="L2072" s="41" t="str" cm="1">
        <f t="array" ref="L2072">IFERROR(INDEX(DB!R$2:R$2576,T2072),"")</f>
        <v/>
      </c>
      <c r="M2072" s="43"/>
      <c r="P2072" t="str" cm="1">
        <f t="array" ref="P2072">IFERROR(_xlfn.AGGREGATE(15,6,ROW(DB!A$2:A$2576)/((($D$3&lt;&gt;"YES")+($D$3="YES")*(DB!E$2:E$2576="YES"))*(($D$4="")+($D$4&lt;&gt;"")*( DB!B$2:B$2576=$D$4))*(($D$5="")+($D$5&lt;&gt;"")*( DB!C$2:C$2576=$D$5))*(($D$6="")+($D$6&lt;&gt;"")*( DB!D$2:D$2576=$D$6))*(($D$7="")+($D$7&lt;&gt;"")*(ISNUMBER(SEARCH($D$7,DB!G$2:G$2576))))*(($F$7="전체")+($F$7&lt;&gt;"전체")*(DB!H$2:H$2576=$F$7))),ROW()-13)-1,"")</f>
        <v/>
      </c>
      <c r="Q2072" t="str" cm="1">
        <f t="array" ref="Q2072">IFERROR(INDEX(DB!G$2:G$2576,P2072),"")</f>
        <v/>
      </c>
      <c r="R2072" t="str" cm="1">
        <f t="array" ref="R2072">IFERROR(INDEX(DB!O$2:O$2576,P2072),"")</f>
        <v/>
      </c>
      <c r="S2072" t="str">
        <f t="shared" si="99"/>
        <v/>
      </c>
      <c r="T2072" t="str">
        <f t="shared" si="100"/>
        <v/>
      </c>
    </row>
    <row r="2073" spans="1:20" ht="100" customHeight="1">
      <c r="A2073" s="26"/>
      <c r="B2073" s="42" t="str">
        <f t="shared" si="98"/>
        <v/>
      </c>
      <c r="C2073" s="43"/>
      <c r="D2073" s="51" t="str" cm="1">
        <f t="array" ref="D2073">IFERROR(INDEX(DB!G$2:G$2576,T2073),"")</f>
        <v/>
      </c>
      <c r="E2073" s="43"/>
      <c r="F2073" s="52" t="str" cm="1">
        <f t="array" ref="F2073">IFERROR(INDEX(DB!O$2:O$2576,T2073),"")</f>
        <v/>
      </c>
      <c r="G2073" s="43"/>
      <c r="H2073" s="40" t="str" cm="1">
        <f t="array" ref="H2073">IFERROR(INDEX(DB!P$2:P$2576,T2073),"")</f>
        <v/>
      </c>
      <c r="I2073" s="43"/>
      <c r="J2073" s="53" t="str" cm="1">
        <f t="array" ref="J2073">IFERROR(INDEX(DB!Q$2:Q$2576,T2073),"")</f>
        <v/>
      </c>
      <c r="K2073" s="43"/>
      <c r="L2073" s="41" t="str" cm="1">
        <f t="array" ref="L2073">IFERROR(INDEX(DB!R$2:R$2576,T2073),"")</f>
        <v/>
      </c>
      <c r="M2073" s="43"/>
      <c r="P2073" t="str" cm="1">
        <f t="array" ref="P2073">IFERROR(_xlfn.AGGREGATE(15,6,ROW(DB!A$2:A$2576)/((($D$3&lt;&gt;"YES")+($D$3="YES")*(DB!E$2:E$2576="YES"))*(($D$4="")+($D$4&lt;&gt;"")*( DB!B$2:B$2576=$D$4))*(($D$5="")+($D$5&lt;&gt;"")*( DB!C$2:C$2576=$D$5))*(($D$6="")+($D$6&lt;&gt;"")*( DB!D$2:D$2576=$D$6))*(($D$7="")+($D$7&lt;&gt;"")*(ISNUMBER(SEARCH($D$7,DB!G$2:G$2576))))*(($F$7="전체")+($F$7&lt;&gt;"전체")*(DB!H$2:H$2576=$F$7))),ROW()-13)-1,"")</f>
        <v/>
      </c>
      <c r="Q2073" t="str" cm="1">
        <f t="array" ref="Q2073">IFERROR(INDEX(DB!G$2:G$2576,P2073),"")</f>
        <v/>
      </c>
      <c r="R2073" t="str" cm="1">
        <f t="array" ref="R2073">IFERROR(INDEX(DB!O$2:O$2576,P2073),"")</f>
        <v/>
      </c>
      <c r="S2073" t="str">
        <f t="shared" si="99"/>
        <v/>
      </c>
      <c r="T2073" t="str">
        <f t="shared" si="100"/>
        <v/>
      </c>
    </row>
    <row r="2074" spans="1:20" ht="100" customHeight="1">
      <c r="A2074" s="26"/>
      <c r="B2074" s="39" t="str">
        <f t="shared" si="98"/>
        <v/>
      </c>
      <c r="C2074" s="43"/>
      <c r="D2074" s="51" t="str" cm="1">
        <f t="array" ref="D2074">IFERROR(INDEX(DB!G$2:G$2576,T2074),"")</f>
        <v/>
      </c>
      <c r="E2074" s="43"/>
      <c r="F2074" s="52" t="str" cm="1">
        <f t="array" ref="F2074">IFERROR(INDEX(DB!O$2:O$2576,T2074),"")</f>
        <v/>
      </c>
      <c r="G2074" s="43"/>
      <c r="H2074" s="40" t="str" cm="1">
        <f t="array" ref="H2074">IFERROR(INDEX(DB!P$2:P$2576,T2074),"")</f>
        <v/>
      </c>
      <c r="I2074" s="43"/>
      <c r="J2074" s="53" t="str" cm="1">
        <f t="array" ref="J2074">IFERROR(INDEX(DB!Q$2:Q$2576,T2074),"")</f>
        <v/>
      </c>
      <c r="K2074" s="43"/>
      <c r="L2074" s="41" t="str" cm="1">
        <f t="array" ref="L2074">IFERROR(INDEX(DB!R$2:R$2576,T2074),"")</f>
        <v/>
      </c>
      <c r="M2074" s="43"/>
      <c r="P2074" t="str" cm="1">
        <f t="array" ref="P2074">IFERROR(_xlfn.AGGREGATE(15,6,ROW(DB!A$2:A$2576)/((($D$3&lt;&gt;"YES")+($D$3="YES")*(DB!E$2:E$2576="YES"))*(($D$4="")+($D$4&lt;&gt;"")*( DB!B$2:B$2576=$D$4))*(($D$5="")+($D$5&lt;&gt;"")*( DB!C$2:C$2576=$D$5))*(($D$6="")+($D$6&lt;&gt;"")*( DB!D$2:D$2576=$D$6))*(($D$7="")+($D$7&lt;&gt;"")*(ISNUMBER(SEARCH($D$7,DB!G$2:G$2576))))*(($F$7="전체")+($F$7&lt;&gt;"전체")*(DB!H$2:H$2576=$F$7))),ROW()-13)-1,"")</f>
        <v/>
      </c>
      <c r="Q2074" t="str" cm="1">
        <f t="array" ref="Q2074">IFERROR(INDEX(DB!G$2:G$2576,P2074),"")</f>
        <v/>
      </c>
      <c r="R2074" t="str" cm="1">
        <f t="array" ref="R2074">IFERROR(INDEX(DB!O$2:O$2576,P2074),"")</f>
        <v/>
      </c>
      <c r="S2074" t="str">
        <f t="shared" si="99"/>
        <v/>
      </c>
      <c r="T2074" t="str">
        <f t="shared" si="100"/>
        <v/>
      </c>
    </row>
    <row r="2075" spans="1:20" ht="100" customHeight="1">
      <c r="A2075" s="26"/>
      <c r="B2075" s="42" t="str">
        <f t="shared" si="98"/>
        <v/>
      </c>
      <c r="C2075" s="43"/>
      <c r="D2075" s="51" t="str" cm="1">
        <f t="array" ref="D2075">IFERROR(INDEX(DB!G$2:G$2576,T2075),"")</f>
        <v/>
      </c>
      <c r="E2075" s="43"/>
      <c r="F2075" s="52" t="str" cm="1">
        <f t="array" ref="F2075">IFERROR(INDEX(DB!O$2:O$2576,T2075),"")</f>
        <v/>
      </c>
      <c r="G2075" s="43"/>
      <c r="H2075" s="40" t="str" cm="1">
        <f t="array" ref="H2075">IFERROR(INDEX(DB!P$2:P$2576,T2075),"")</f>
        <v/>
      </c>
      <c r="I2075" s="43"/>
      <c r="J2075" s="53" t="str" cm="1">
        <f t="array" ref="J2075">IFERROR(INDEX(DB!Q$2:Q$2576,T2075),"")</f>
        <v/>
      </c>
      <c r="K2075" s="43"/>
      <c r="L2075" s="41" t="str" cm="1">
        <f t="array" ref="L2075">IFERROR(INDEX(DB!R$2:R$2576,T2075),"")</f>
        <v/>
      </c>
      <c r="M2075" s="43"/>
      <c r="P2075" t="str" cm="1">
        <f t="array" ref="P2075">IFERROR(_xlfn.AGGREGATE(15,6,ROW(DB!A$2:A$2576)/((($D$3&lt;&gt;"YES")+($D$3="YES")*(DB!E$2:E$2576="YES"))*(($D$4="")+($D$4&lt;&gt;"")*( DB!B$2:B$2576=$D$4))*(($D$5="")+($D$5&lt;&gt;"")*( DB!C$2:C$2576=$D$5))*(($D$6="")+($D$6&lt;&gt;"")*( DB!D$2:D$2576=$D$6))*(($D$7="")+($D$7&lt;&gt;"")*(ISNUMBER(SEARCH($D$7,DB!G$2:G$2576))))*(($F$7="전체")+($F$7&lt;&gt;"전체")*(DB!H$2:H$2576=$F$7))),ROW()-13)-1,"")</f>
        <v/>
      </c>
      <c r="Q2075" t="str" cm="1">
        <f t="array" ref="Q2075">IFERROR(INDEX(DB!G$2:G$2576,P2075),"")</f>
        <v/>
      </c>
      <c r="R2075" t="str" cm="1">
        <f t="array" ref="R2075">IFERROR(INDEX(DB!O$2:O$2576,P2075),"")</f>
        <v/>
      </c>
      <c r="S2075" t="str">
        <f t="shared" si="99"/>
        <v/>
      </c>
      <c r="T2075" t="str">
        <f t="shared" si="100"/>
        <v/>
      </c>
    </row>
    <row r="2076" spans="1:20" ht="100" customHeight="1">
      <c r="A2076" s="26"/>
      <c r="B2076" s="39" t="str">
        <f t="shared" si="98"/>
        <v/>
      </c>
      <c r="C2076" s="43"/>
      <c r="D2076" s="51" t="str" cm="1">
        <f t="array" ref="D2076">IFERROR(INDEX(DB!G$2:G$2576,T2076),"")</f>
        <v/>
      </c>
      <c r="E2076" s="43"/>
      <c r="F2076" s="52" t="str" cm="1">
        <f t="array" ref="F2076">IFERROR(INDEX(DB!O$2:O$2576,T2076),"")</f>
        <v/>
      </c>
      <c r="G2076" s="43"/>
      <c r="H2076" s="40" t="str" cm="1">
        <f t="array" ref="H2076">IFERROR(INDEX(DB!P$2:P$2576,T2076),"")</f>
        <v/>
      </c>
      <c r="I2076" s="43"/>
      <c r="J2076" s="53" t="str" cm="1">
        <f t="array" ref="J2076">IFERROR(INDEX(DB!Q$2:Q$2576,T2076),"")</f>
        <v/>
      </c>
      <c r="K2076" s="43"/>
      <c r="L2076" s="41" t="str" cm="1">
        <f t="array" ref="L2076">IFERROR(INDEX(DB!R$2:R$2576,T2076),"")</f>
        <v/>
      </c>
      <c r="M2076" s="43"/>
      <c r="P2076" t="str" cm="1">
        <f t="array" ref="P2076">IFERROR(_xlfn.AGGREGATE(15,6,ROW(DB!A$2:A$2576)/((($D$3&lt;&gt;"YES")+($D$3="YES")*(DB!E$2:E$2576="YES"))*(($D$4="")+($D$4&lt;&gt;"")*( DB!B$2:B$2576=$D$4))*(($D$5="")+($D$5&lt;&gt;"")*( DB!C$2:C$2576=$D$5))*(($D$6="")+($D$6&lt;&gt;"")*( DB!D$2:D$2576=$D$6))*(($D$7="")+($D$7&lt;&gt;"")*(ISNUMBER(SEARCH($D$7,DB!G$2:G$2576))))*(($F$7="전체")+($F$7&lt;&gt;"전체")*(DB!H$2:H$2576=$F$7))),ROW()-13)-1,"")</f>
        <v/>
      </c>
      <c r="Q2076" t="str" cm="1">
        <f t="array" ref="Q2076">IFERROR(INDEX(DB!G$2:G$2576,P2076),"")</f>
        <v/>
      </c>
      <c r="R2076" t="str" cm="1">
        <f t="array" ref="R2076">IFERROR(INDEX(DB!O$2:O$2576,P2076),"")</f>
        <v/>
      </c>
      <c r="S2076" t="str">
        <f t="shared" si="99"/>
        <v/>
      </c>
      <c r="T2076" t="str">
        <f t="shared" si="100"/>
        <v/>
      </c>
    </row>
    <row r="2077" spans="1:20" ht="100" customHeight="1">
      <c r="A2077" s="26"/>
      <c r="B2077" s="42" t="str">
        <f t="shared" si="98"/>
        <v/>
      </c>
      <c r="C2077" s="43"/>
      <c r="D2077" s="51" t="str" cm="1">
        <f t="array" ref="D2077">IFERROR(INDEX(DB!G$2:G$2576,T2077),"")</f>
        <v/>
      </c>
      <c r="E2077" s="43"/>
      <c r="F2077" s="52" t="str" cm="1">
        <f t="array" ref="F2077">IFERROR(INDEX(DB!O$2:O$2576,T2077),"")</f>
        <v/>
      </c>
      <c r="G2077" s="43"/>
      <c r="H2077" s="40" t="str" cm="1">
        <f t="array" ref="H2077">IFERROR(INDEX(DB!P$2:P$2576,T2077),"")</f>
        <v/>
      </c>
      <c r="I2077" s="43"/>
      <c r="J2077" s="53" t="str" cm="1">
        <f t="array" ref="J2077">IFERROR(INDEX(DB!Q$2:Q$2576,T2077),"")</f>
        <v/>
      </c>
      <c r="K2077" s="43"/>
      <c r="L2077" s="41" t="str" cm="1">
        <f t="array" ref="L2077">IFERROR(INDEX(DB!R$2:R$2576,T2077),"")</f>
        <v/>
      </c>
      <c r="M2077" s="43"/>
      <c r="P2077" t="str" cm="1">
        <f t="array" ref="P2077">IFERROR(_xlfn.AGGREGATE(15,6,ROW(DB!A$2:A$2576)/((($D$3&lt;&gt;"YES")+($D$3="YES")*(DB!E$2:E$2576="YES"))*(($D$4="")+($D$4&lt;&gt;"")*( DB!B$2:B$2576=$D$4))*(($D$5="")+($D$5&lt;&gt;"")*( DB!C$2:C$2576=$D$5))*(($D$6="")+($D$6&lt;&gt;"")*( DB!D$2:D$2576=$D$6))*(($D$7="")+($D$7&lt;&gt;"")*(ISNUMBER(SEARCH($D$7,DB!G$2:G$2576))))*(($F$7="전체")+($F$7&lt;&gt;"전체")*(DB!H$2:H$2576=$F$7))),ROW()-13)-1,"")</f>
        <v/>
      </c>
      <c r="Q2077" t="str" cm="1">
        <f t="array" ref="Q2077">IFERROR(INDEX(DB!G$2:G$2576,P2077),"")</f>
        <v/>
      </c>
      <c r="R2077" t="str" cm="1">
        <f t="array" ref="R2077">IFERROR(INDEX(DB!O$2:O$2576,P2077),"")</f>
        <v/>
      </c>
      <c r="S2077" t="str">
        <f t="shared" si="99"/>
        <v/>
      </c>
      <c r="T2077" t="str">
        <f t="shared" si="100"/>
        <v/>
      </c>
    </row>
    <row r="2078" spans="1:20" ht="100" customHeight="1">
      <c r="A2078" s="26"/>
      <c r="B2078" s="39" t="str">
        <f t="shared" si="98"/>
        <v/>
      </c>
      <c r="C2078" s="43"/>
      <c r="D2078" s="51" t="str" cm="1">
        <f t="array" ref="D2078">IFERROR(INDEX(DB!G$2:G$2576,T2078),"")</f>
        <v/>
      </c>
      <c r="E2078" s="43"/>
      <c r="F2078" s="52" t="str" cm="1">
        <f t="array" ref="F2078">IFERROR(INDEX(DB!O$2:O$2576,T2078),"")</f>
        <v/>
      </c>
      <c r="G2078" s="43"/>
      <c r="H2078" s="40" t="str" cm="1">
        <f t="array" ref="H2078">IFERROR(INDEX(DB!P$2:P$2576,T2078),"")</f>
        <v/>
      </c>
      <c r="I2078" s="43"/>
      <c r="J2078" s="53" t="str" cm="1">
        <f t="array" ref="J2078">IFERROR(INDEX(DB!Q$2:Q$2576,T2078),"")</f>
        <v/>
      </c>
      <c r="K2078" s="43"/>
      <c r="L2078" s="41" t="str" cm="1">
        <f t="array" ref="L2078">IFERROR(INDEX(DB!R$2:R$2576,T2078),"")</f>
        <v/>
      </c>
      <c r="M2078" s="43"/>
      <c r="P2078" t="str" cm="1">
        <f t="array" ref="P2078">IFERROR(_xlfn.AGGREGATE(15,6,ROW(DB!A$2:A$2576)/((($D$3&lt;&gt;"YES")+($D$3="YES")*(DB!E$2:E$2576="YES"))*(($D$4="")+($D$4&lt;&gt;"")*( DB!B$2:B$2576=$D$4))*(($D$5="")+($D$5&lt;&gt;"")*( DB!C$2:C$2576=$D$5))*(($D$6="")+($D$6&lt;&gt;"")*( DB!D$2:D$2576=$D$6))*(($D$7="")+($D$7&lt;&gt;"")*(ISNUMBER(SEARCH($D$7,DB!G$2:G$2576))))*(($F$7="전체")+($F$7&lt;&gt;"전체")*(DB!H$2:H$2576=$F$7))),ROW()-13)-1,"")</f>
        <v/>
      </c>
      <c r="Q2078" t="str" cm="1">
        <f t="array" ref="Q2078">IFERROR(INDEX(DB!G$2:G$2576,P2078),"")</f>
        <v/>
      </c>
      <c r="R2078" t="str" cm="1">
        <f t="array" ref="R2078">IFERROR(INDEX(DB!O$2:O$2576,P2078),"")</f>
        <v/>
      </c>
      <c r="S2078" t="str">
        <f t="shared" si="99"/>
        <v/>
      </c>
      <c r="T2078" t="str">
        <f t="shared" si="100"/>
        <v/>
      </c>
    </row>
    <row r="2079" spans="1:20" ht="100" customHeight="1">
      <c r="A2079" s="26"/>
      <c r="B2079" s="42" t="str">
        <f t="shared" si="98"/>
        <v/>
      </c>
      <c r="C2079" s="43"/>
      <c r="D2079" s="51" t="str" cm="1">
        <f t="array" ref="D2079">IFERROR(INDEX(DB!G$2:G$2576,T2079),"")</f>
        <v/>
      </c>
      <c r="E2079" s="43"/>
      <c r="F2079" s="52" t="str" cm="1">
        <f t="array" ref="F2079">IFERROR(INDEX(DB!O$2:O$2576,T2079),"")</f>
        <v/>
      </c>
      <c r="G2079" s="43"/>
      <c r="H2079" s="40" t="str" cm="1">
        <f t="array" ref="H2079">IFERROR(INDEX(DB!P$2:P$2576,T2079),"")</f>
        <v/>
      </c>
      <c r="I2079" s="43"/>
      <c r="J2079" s="53" t="str" cm="1">
        <f t="array" ref="J2079">IFERROR(INDEX(DB!Q$2:Q$2576,T2079),"")</f>
        <v/>
      </c>
      <c r="K2079" s="43"/>
      <c r="L2079" s="41" t="str" cm="1">
        <f t="array" ref="L2079">IFERROR(INDEX(DB!R$2:R$2576,T2079),"")</f>
        <v/>
      </c>
      <c r="M2079" s="43"/>
      <c r="P2079" t="str" cm="1">
        <f t="array" ref="P2079">IFERROR(_xlfn.AGGREGATE(15,6,ROW(DB!A$2:A$2576)/((($D$3&lt;&gt;"YES")+($D$3="YES")*(DB!E$2:E$2576="YES"))*(($D$4="")+($D$4&lt;&gt;"")*( DB!B$2:B$2576=$D$4))*(($D$5="")+($D$5&lt;&gt;"")*( DB!C$2:C$2576=$D$5))*(($D$6="")+($D$6&lt;&gt;"")*( DB!D$2:D$2576=$D$6))*(($D$7="")+($D$7&lt;&gt;"")*(ISNUMBER(SEARCH($D$7,DB!G$2:G$2576))))*(($F$7="전체")+($F$7&lt;&gt;"전체")*(DB!H$2:H$2576=$F$7))),ROW()-13)-1,"")</f>
        <v/>
      </c>
      <c r="Q2079" t="str" cm="1">
        <f t="array" ref="Q2079">IFERROR(INDEX(DB!G$2:G$2576,P2079),"")</f>
        <v/>
      </c>
      <c r="R2079" t="str" cm="1">
        <f t="array" ref="R2079">IFERROR(INDEX(DB!O$2:O$2576,P2079),"")</f>
        <v/>
      </c>
      <c r="S2079" t="str">
        <f t="shared" si="99"/>
        <v/>
      </c>
      <c r="T2079" t="str">
        <f t="shared" si="100"/>
        <v/>
      </c>
    </row>
    <row r="2080" spans="1:20" ht="100" customHeight="1">
      <c r="A2080" s="26"/>
      <c r="B2080" s="39" t="str">
        <f t="shared" si="98"/>
        <v/>
      </c>
      <c r="C2080" s="43"/>
      <c r="D2080" s="51" t="str" cm="1">
        <f t="array" ref="D2080">IFERROR(INDEX(DB!G$2:G$2576,T2080),"")</f>
        <v/>
      </c>
      <c r="E2080" s="43"/>
      <c r="F2080" s="52" t="str" cm="1">
        <f t="array" ref="F2080">IFERROR(INDEX(DB!O$2:O$2576,T2080),"")</f>
        <v/>
      </c>
      <c r="G2080" s="43"/>
      <c r="H2080" s="40" t="str" cm="1">
        <f t="array" ref="H2080">IFERROR(INDEX(DB!P$2:P$2576,T2080),"")</f>
        <v/>
      </c>
      <c r="I2080" s="43"/>
      <c r="J2080" s="53" t="str" cm="1">
        <f t="array" ref="J2080">IFERROR(INDEX(DB!Q$2:Q$2576,T2080),"")</f>
        <v/>
      </c>
      <c r="K2080" s="43"/>
      <c r="L2080" s="41" t="str" cm="1">
        <f t="array" ref="L2080">IFERROR(INDEX(DB!R$2:R$2576,T2080),"")</f>
        <v/>
      </c>
      <c r="M2080" s="43"/>
      <c r="P2080" t="str" cm="1">
        <f t="array" ref="P2080">IFERROR(_xlfn.AGGREGATE(15,6,ROW(DB!A$2:A$2576)/((($D$3&lt;&gt;"YES")+($D$3="YES")*(DB!E$2:E$2576="YES"))*(($D$4="")+($D$4&lt;&gt;"")*( DB!B$2:B$2576=$D$4))*(($D$5="")+($D$5&lt;&gt;"")*( DB!C$2:C$2576=$D$5))*(($D$6="")+($D$6&lt;&gt;"")*( DB!D$2:D$2576=$D$6))*(($D$7="")+($D$7&lt;&gt;"")*(ISNUMBER(SEARCH($D$7,DB!G$2:G$2576))))*(($F$7="전체")+($F$7&lt;&gt;"전체")*(DB!H$2:H$2576=$F$7))),ROW()-13)-1,"")</f>
        <v/>
      </c>
      <c r="Q2080" t="str" cm="1">
        <f t="array" ref="Q2080">IFERROR(INDEX(DB!G$2:G$2576,P2080),"")</f>
        <v/>
      </c>
      <c r="R2080" t="str" cm="1">
        <f t="array" ref="R2080">IFERROR(INDEX(DB!O$2:O$2576,P2080),"")</f>
        <v/>
      </c>
      <c r="S2080" t="str">
        <f t="shared" si="99"/>
        <v/>
      </c>
      <c r="T2080" t="str">
        <f t="shared" si="100"/>
        <v/>
      </c>
    </row>
    <row r="2081" spans="1:20" ht="100" customHeight="1">
      <c r="A2081" s="26"/>
      <c r="B2081" s="42" t="str">
        <f t="shared" si="98"/>
        <v/>
      </c>
      <c r="C2081" s="43"/>
      <c r="D2081" s="51" t="str" cm="1">
        <f t="array" ref="D2081">IFERROR(INDEX(DB!G$2:G$2576,T2081),"")</f>
        <v/>
      </c>
      <c r="E2081" s="43"/>
      <c r="F2081" s="52" t="str" cm="1">
        <f t="array" ref="F2081">IFERROR(INDEX(DB!O$2:O$2576,T2081),"")</f>
        <v/>
      </c>
      <c r="G2081" s="43"/>
      <c r="H2081" s="40" t="str" cm="1">
        <f t="array" ref="H2081">IFERROR(INDEX(DB!P$2:P$2576,T2081),"")</f>
        <v/>
      </c>
      <c r="I2081" s="43"/>
      <c r="J2081" s="53" t="str" cm="1">
        <f t="array" ref="J2081">IFERROR(INDEX(DB!Q$2:Q$2576,T2081),"")</f>
        <v/>
      </c>
      <c r="K2081" s="43"/>
      <c r="L2081" s="41" t="str" cm="1">
        <f t="array" ref="L2081">IFERROR(INDEX(DB!R$2:R$2576,T2081),"")</f>
        <v/>
      </c>
      <c r="M2081" s="43"/>
      <c r="P2081" t="str" cm="1">
        <f t="array" ref="P2081">IFERROR(_xlfn.AGGREGATE(15,6,ROW(DB!A$2:A$2576)/((($D$3&lt;&gt;"YES")+($D$3="YES")*(DB!E$2:E$2576="YES"))*(($D$4="")+($D$4&lt;&gt;"")*( DB!B$2:B$2576=$D$4))*(($D$5="")+($D$5&lt;&gt;"")*( DB!C$2:C$2576=$D$5))*(($D$6="")+($D$6&lt;&gt;"")*( DB!D$2:D$2576=$D$6))*(($D$7="")+($D$7&lt;&gt;"")*(ISNUMBER(SEARCH($D$7,DB!G$2:G$2576))))*(($F$7="전체")+($F$7&lt;&gt;"전체")*(DB!H$2:H$2576=$F$7))),ROW()-13)-1,"")</f>
        <v/>
      </c>
      <c r="Q2081" t="str" cm="1">
        <f t="array" ref="Q2081">IFERROR(INDEX(DB!G$2:G$2576,P2081),"")</f>
        <v/>
      </c>
      <c r="R2081" t="str" cm="1">
        <f t="array" ref="R2081">IFERROR(INDEX(DB!O$2:O$2576,P2081),"")</f>
        <v/>
      </c>
      <c r="S2081" t="str">
        <f t="shared" si="99"/>
        <v/>
      </c>
      <c r="T2081" t="str">
        <f t="shared" si="100"/>
        <v/>
      </c>
    </row>
    <row r="2082" spans="1:20" ht="100" customHeight="1">
      <c r="A2082" s="26"/>
      <c r="B2082" s="39" t="str">
        <f t="shared" si="98"/>
        <v/>
      </c>
      <c r="C2082" s="43"/>
      <c r="D2082" s="51" t="str" cm="1">
        <f t="array" ref="D2082">IFERROR(INDEX(DB!G$2:G$2576,T2082),"")</f>
        <v/>
      </c>
      <c r="E2082" s="43"/>
      <c r="F2082" s="52" t="str" cm="1">
        <f t="array" ref="F2082">IFERROR(INDEX(DB!O$2:O$2576,T2082),"")</f>
        <v/>
      </c>
      <c r="G2082" s="43"/>
      <c r="H2082" s="40" t="str" cm="1">
        <f t="array" ref="H2082">IFERROR(INDEX(DB!P$2:P$2576,T2082),"")</f>
        <v/>
      </c>
      <c r="I2082" s="43"/>
      <c r="J2082" s="53" t="str" cm="1">
        <f t="array" ref="J2082">IFERROR(INDEX(DB!Q$2:Q$2576,T2082),"")</f>
        <v/>
      </c>
      <c r="K2082" s="43"/>
      <c r="L2082" s="41" t="str" cm="1">
        <f t="array" ref="L2082">IFERROR(INDEX(DB!R$2:R$2576,T2082),"")</f>
        <v/>
      </c>
      <c r="M2082" s="43"/>
      <c r="P2082" t="str" cm="1">
        <f t="array" ref="P2082">IFERROR(_xlfn.AGGREGATE(15,6,ROW(DB!A$2:A$2576)/((($D$3&lt;&gt;"YES")+($D$3="YES")*(DB!E$2:E$2576="YES"))*(($D$4="")+($D$4&lt;&gt;"")*( DB!B$2:B$2576=$D$4))*(($D$5="")+($D$5&lt;&gt;"")*( DB!C$2:C$2576=$D$5))*(($D$6="")+($D$6&lt;&gt;"")*( DB!D$2:D$2576=$D$6))*(($D$7="")+($D$7&lt;&gt;"")*(ISNUMBER(SEARCH($D$7,DB!G$2:G$2576))))*(($F$7="전체")+($F$7&lt;&gt;"전체")*(DB!H$2:H$2576=$F$7))),ROW()-13)-1,"")</f>
        <v/>
      </c>
      <c r="Q2082" t="str" cm="1">
        <f t="array" ref="Q2082">IFERROR(INDEX(DB!G$2:G$2576,P2082),"")</f>
        <v/>
      </c>
      <c r="R2082" t="str" cm="1">
        <f t="array" ref="R2082">IFERROR(INDEX(DB!O$2:O$2576,P2082),"")</f>
        <v/>
      </c>
      <c r="S2082" t="str">
        <f t="shared" si="99"/>
        <v/>
      </c>
      <c r="T2082" t="str">
        <f t="shared" si="100"/>
        <v/>
      </c>
    </row>
    <row r="2083" spans="1:20" ht="100" customHeight="1">
      <c r="A2083" s="26"/>
      <c r="B2083" s="42" t="str">
        <f t="shared" si="98"/>
        <v/>
      </c>
      <c r="C2083" s="43"/>
      <c r="D2083" s="51" t="str" cm="1">
        <f t="array" ref="D2083">IFERROR(INDEX(DB!G$2:G$2576,T2083),"")</f>
        <v/>
      </c>
      <c r="E2083" s="43"/>
      <c r="F2083" s="52" t="str" cm="1">
        <f t="array" ref="F2083">IFERROR(INDEX(DB!O$2:O$2576,T2083),"")</f>
        <v/>
      </c>
      <c r="G2083" s="43"/>
      <c r="H2083" s="40" t="str" cm="1">
        <f t="array" ref="H2083">IFERROR(INDEX(DB!P$2:P$2576,T2083),"")</f>
        <v/>
      </c>
      <c r="I2083" s="43"/>
      <c r="J2083" s="53" t="str" cm="1">
        <f t="array" ref="J2083">IFERROR(INDEX(DB!Q$2:Q$2576,T2083),"")</f>
        <v/>
      </c>
      <c r="K2083" s="43"/>
      <c r="L2083" s="41" t="str" cm="1">
        <f t="array" ref="L2083">IFERROR(INDEX(DB!R$2:R$2576,T2083),"")</f>
        <v/>
      </c>
      <c r="M2083" s="43"/>
      <c r="P2083" t="str" cm="1">
        <f t="array" ref="P2083">IFERROR(_xlfn.AGGREGATE(15,6,ROW(DB!A$2:A$2576)/((($D$3&lt;&gt;"YES")+($D$3="YES")*(DB!E$2:E$2576="YES"))*(($D$4="")+($D$4&lt;&gt;"")*( DB!B$2:B$2576=$D$4))*(($D$5="")+($D$5&lt;&gt;"")*( DB!C$2:C$2576=$D$5))*(($D$6="")+($D$6&lt;&gt;"")*( DB!D$2:D$2576=$D$6))*(($D$7="")+($D$7&lt;&gt;"")*(ISNUMBER(SEARCH($D$7,DB!G$2:G$2576))))*(($F$7="전체")+($F$7&lt;&gt;"전체")*(DB!H$2:H$2576=$F$7))),ROW()-13)-1,"")</f>
        <v/>
      </c>
      <c r="Q2083" t="str" cm="1">
        <f t="array" ref="Q2083">IFERROR(INDEX(DB!G$2:G$2576,P2083),"")</f>
        <v/>
      </c>
      <c r="R2083" t="str" cm="1">
        <f t="array" ref="R2083">IFERROR(INDEX(DB!O$2:O$2576,P2083),"")</f>
        <v/>
      </c>
      <c r="S2083" t="str">
        <f t="shared" si="99"/>
        <v/>
      </c>
      <c r="T2083" t="str">
        <f t="shared" si="100"/>
        <v/>
      </c>
    </row>
    <row r="2084" spans="1:20" ht="100" customHeight="1">
      <c r="A2084" s="26"/>
      <c r="B2084" s="39" t="str">
        <f t="shared" si="98"/>
        <v/>
      </c>
      <c r="C2084" s="43"/>
      <c r="D2084" s="51" t="str" cm="1">
        <f t="array" ref="D2084">IFERROR(INDEX(DB!G$2:G$2576,T2084),"")</f>
        <v/>
      </c>
      <c r="E2084" s="43"/>
      <c r="F2084" s="52" t="str" cm="1">
        <f t="array" ref="F2084">IFERROR(INDEX(DB!O$2:O$2576,T2084),"")</f>
        <v/>
      </c>
      <c r="G2084" s="43"/>
      <c r="H2084" s="40" t="str" cm="1">
        <f t="array" ref="H2084">IFERROR(INDEX(DB!P$2:P$2576,T2084),"")</f>
        <v/>
      </c>
      <c r="I2084" s="43"/>
      <c r="J2084" s="53" t="str" cm="1">
        <f t="array" ref="J2084">IFERROR(INDEX(DB!Q$2:Q$2576,T2084),"")</f>
        <v/>
      </c>
      <c r="K2084" s="43"/>
      <c r="L2084" s="41" t="str" cm="1">
        <f t="array" ref="L2084">IFERROR(INDEX(DB!R$2:R$2576,T2084),"")</f>
        <v/>
      </c>
      <c r="M2084" s="43"/>
      <c r="P2084" t="str" cm="1">
        <f t="array" ref="P2084">IFERROR(_xlfn.AGGREGATE(15,6,ROW(DB!A$2:A$2576)/((($D$3&lt;&gt;"YES")+($D$3="YES")*(DB!E$2:E$2576="YES"))*(($D$4="")+($D$4&lt;&gt;"")*( DB!B$2:B$2576=$D$4))*(($D$5="")+($D$5&lt;&gt;"")*( DB!C$2:C$2576=$D$5))*(($D$6="")+($D$6&lt;&gt;"")*( DB!D$2:D$2576=$D$6))*(($D$7="")+($D$7&lt;&gt;"")*(ISNUMBER(SEARCH($D$7,DB!G$2:G$2576))))*(($F$7="전체")+($F$7&lt;&gt;"전체")*(DB!H$2:H$2576=$F$7))),ROW()-13)-1,"")</f>
        <v/>
      </c>
      <c r="Q2084" t="str" cm="1">
        <f t="array" ref="Q2084">IFERROR(INDEX(DB!G$2:G$2576,P2084),"")</f>
        <v/>
      </c>
      <c r="R2084" t="str" cm="1">
        <f t="array" ref="R2084">IFERROR(INDEX(DB!O$2:O$2576,P2084),"")</f>
        <v/>
      </c>
      <c r="S2084" t="str">
        <f t="shared" si="99"/>
        <v/>
      </c>
      <c r="T2084" t="str">
        <f t="shared" si="100"/>
        <v/>
      </c>
    </row>
    <row r="2085" spans="1:20" ht="100" customHeight="1">
      <c r="A2085" s="26"/>
      <c r="B2085" s="42" t="str">
        <f t="shared" si="98"/>
        <v/>
      </c>
      <c r="C2085" s="43"/>
      <c r="D2085" s="51" t="str" cm="1">
        <f t="array" ref="D2085">IFERROR(INDEX(DB!G$2:G$2576,T2085),"")</f>
        <v/>
      </c>
      <c r="E2085" s="43"/>
      <c r="F2085" s="52" t="str" cm="1">
        <f t="array" ref="F2085">IFERROR(INDEX(DB!O$2:O$2576,T2085),"")</f>
        <v/>
      </c>
      <c r="G2085" s="43"/>
      <c r="H2085" s="40" t="str" cm="1">
        <f t="array" ref="H2085">IFERROR(INDEX(DB!P$2:P$2576,T2085),"")</f>
        <v/>
      </c>
      <c r="I2085" s="43"/>
      <c r="J2085" s="53" t="str" cm="1">
        <f t="array" ref="J2085">IFERROR(INDEX(DB!Q$2:Q$2576,T2085),"")</f>
        <v/>
      </c>
      <c r="K2085" s="43"/>
      <c r="L2085" s="41" t="str" cm="1">
        <f t="array" ref="L2085">IFERROR(INDEX(DB!R$2:R$2576,T2085),"")</f>
        <v/>
      </c>
      <c r="M2085" s="43"/>
      <c r="P2085" t="str" cm="1">
        <f t="array" ref="P2085">IFERROR(_xlfn.AGGREGATE(15,6,ROW(DB!A$2:A$2576)/((($D$3&lt;&gt;"YES")+($D$3="YES")*(DB!E$2:E$2576="YES"))*(($D$4="")+($D$4&lt;&gt;"")*( DB!B$2:B$2576=$D$4))*(($D$5="")+($D$5&lt;&gt;"")*( DB!C$2:C$2576=$D$5))*(($D$6="")+($D$6&lt;&gt;"")*( DB!D$2:D$2576=$D$6))*(($D$7="")+($D$7&lt;&gt;"")*(ISNUMBER(SEARCH($D$7,DB!G$2:G$2576))))*(($F$7="전체")+($F$7&lt;&gt;"전체")*(DB!H$2:H$2576=$F$7))),ROW()-13)-1,"")</f>
        <v/>
      </c>
      <c r="Q2085" t="str" cm="1">
        <f t="array" ref="Q2085">IFERROR(INDEX(DB!G$2:G$2576,P2085),"")</f>
        <v/>
      </c>
      <c r="R2085" t="str" cm="1">
        <f t="array" ref="R2085">IFERROR(INDEX(DB!O$2:O$2576,P2085),"")</f>
        <v/>
      </c>
      <c r="S2085" t="str">
        <f t="shared" si="99"/>
        <v/>
      </c>
      <c r="T2085" t="str">
        <f t="shared" si="100"/>
        <v/>
      </c>
    </row>
    <row r="2086" spans="1:20" ht="100" customHeight="1">
      <c r="A2086" s="26"/>
      <c r="B2086" s="39" t="str">
        <f t="shared" si="98"/>
        <v/>
      </c>
      <c r="C2086" s="43"/>
      <c r="D2086" s="51" t="str" cm="1">
        <f t="array" ref="D2086">IFERROR(INDEX(DB!G$2:G$2576,T2086),"")</f>
        <v/>
      </c>
      <c r="E2086" s="43"/>
      <c r="F2086" s="52" t="str" cm="1">
        <f t="array" ref="F2086">IFERROR(INDEX(DB!O$2:O$2576,T2086),"")</f>
        <v/>
      </c>
      <c r="G2086" s="43"/>
      <c r="H2086" s="40" t="str" cm="1">
        <f t="array" ref="H2086">IFERROR(INDEX(DB!P$2:P$2576,T2086),"")</f>
        <v/>
      </c>
      <c r="I2086" s="43"/>
      <c r="J2086" s="53" t="str" cm="1">
        <f t="array" ref="J2086">IFERROR(INDEX(DB!Q$2:Q$2576,T2086),"")</f>
        <v/>
      </c>
      <c r="K2086" s="43"/>
      <c r="L2086" s="41" t="str" cm="1">
        <f t="array" ref="L2086">IFERROR(INDEX(DB!R$2:R$2576,T2086),"")</f>
        <v/>
      </c>
      <c r="M2086" s="43"/>
      <c r="P2086" t="str" cm="1">
        <f t="array" ref="P2086">IFERROR(_xlfn.AGGREGATE(15,6,ROW(DB!A$2:A$2576)/((($D$3&lt;&gt;"YES")+($D$3="YES")*(DB!E$2:E$2576="YES"))*(($D$4="")+($D$4&lt;&gt;"")*( DB!B$2:B$2576=$D$4))*(($D$5="")+($D$5&lt;&gt;"")*( DB!C$2:C$2576=$D$5))*(($D$6="")+($D$6&lt;&gt;"")*( DB!D$2:D$2576=$D$6))*(($D$7="")+($D$7&lt;&gt;"")*(ISNUMBER(SEARCH($D$7,DB!G$2:G$2576))))*(($F$7="전체")+($F$7&lt;&gt;"전체")*(DB!H$2:H$2576=$F$7))),ROW()-13)-1,"")</f>
        <v/>
      </c>
      <c r="Q2086" t="str" cm="1">
        <f t="array" ref="Q2086">IFERROR(INDEX(DB!G$2:G$2576,P2086),"")</f>
        <v/>
      </c>
      <c r="R2086" t="str" cm="1">
        <f t="array" ref="R2086">IFERROR(INDEX(DB!O$2:O$2576,P2086),"")</f>
        <v/>
      </c>
      <c r="S2086" t="str">
        <f t="shared" si="99"/>
        <v/>
      </c>
      <c r="T2086" t="str">
        <f t="shared" si="100"/>
        <v/>
      </c>
    </row>
    <row r="2087" spans="1:20" ht="100" customHeight="1">
      <c r="A2087" s="26"/>
      <c r="B2087" s="42" t="str">
        <f t="shared" si="98"/>
        <v/>
      </c>
      <c r="C2087" s="43"/>
      <c r="D2087" s="51" t="str" cm="1">
        <f t="array" ref="D2087">IFERROR(INDEX(DB!G$2:G$2576,T2087),"")</f>
        <v/>
      </c>
      <c r="E2087" s="43"/>
      <c r="F2087" s="52" t="str" cm="1">
        <f t="array" ref="F2087">IFERROR(INDEX(DB!O$2:O$2576,T2087),"")</f>
        <v/>
      </c>
      <c r="G2087" s="43"/>
      <c r="H2087" s="40" t="str" cm="1">
        <f t="array" ref="H2087">IFERROR(INDEX(DB!P$2:P$2576,T2087),"")</f>
        <v/>
      </c>
      <c r="I2087" s="43"/>
      <c r="J2087" s="53" t="str" cm="1">
        <f t="array" ref="J2087">IFERROR(INDEX(DB!Q$2:Q$2576,T2087),"")</f>
        <v/>
      </c>
      <c r="K2087" s="43"/>
      <c r="L2087" s="41" t="str" cm="1">
        <f t="array" ref="L2087">IFERROR(INDEX(DB!R$2:R$2576,T2087),"")</f>
        <v/>
      </c>
      <c r="M2087" s="43"/>
      <c r="P2087" t="str" cm="1">
        <f t="array" ref="P2087">IFERROR(_xlfn.AGGREGATE(15,6,ROW(DB!A$2:A$2576)/((($D$3&lt;&gt;"YES")+($D$3="YES")*(DB!E$2:E$2576="YES"))*(($D$4="")+($D$4&lt;&gt;"")*( DB!B$2:B$2576=$D$4))*(($D$5="")+($D$5&lt;&gt;"")*( DB!C$2:C$2576=$D$5))*(($D$6="")+($D$6&lt;&gt;"")*( DB!D$2:D$2576=$D$6))*(($D$7="")+($D$7&lt;&gt;"")*(ISNUMBER(SEARCH($D$7,DB!G$2:G$2576))))*(($F$7="전체")+($F$7&lt;&gt;"전체")*(DB!H$2:H$2576=$F$7))),ROW()-13)-1,"")</f>
        <v/>
      </c>
      <c r="Q2087" t="str" cm="1">
        <f t="array" ref="Q2087">IFERROR(INDEX(DB!G$2:G$2576,P2087),"")</f>
        <v/>
      </c>
      <c r="R2087" t="str" cm="1">
        <f t="array" ref="R2087">IFERROR(INDEX(DB!O$2:O$2576,P2087),"")</f>
        <v/>
      </c>
      <c r="S2087" t="str">
        <f t="shared" si="99"/>
        <v/>
      </c>
      <c r="T2087" t="str">
        <f t="shared" si="100"/>
        <v/>
      </c>
    </row>
    <row r="2088" spans="1:20" ht="100" customHeight="1">
      <c r="A2088" s="26"/>
      <c r="B2088" s="39" t="str">
        <f t="shared" si="98"/>
        <v/>
      </c>
      <c r="C2088" s="43"/>
      <c r="D2088" s="51" t="str" cm="1">
        <f t="array" ref="D2088">IFERROR(INDEX(DB!G$2:G$2576,T2088),"")</f>
        <v/>
      </c>
      <c r="E2088" s="43"/>
      <c r="F2088" s="52" t="str" cm="1">
        <f t="array" ref="F2088">IFERROR(INDEX(DB!O$2:O$2576,T2088),"")</f>
        <v/>
      </c>
      <c r="G2088" s="43"/>
      <c r="H2088" s="40" t="str" cm="1">
        <f t="array" ref="H2088">IFERROR(INDEX(DB!P$2:P$2576,T2088),"")</f>
        <v/>
      </c>
      <c r="I2088" s="43"/>
      <c r="J2088" s="53" t="str" cm="1">
        <f t="array" ref="J2088">IFERROR(INDEX(DB!Q$2:Q$2576,T2088),"")</f>
        <v/>
      </c>
      <c r="K2088" s="43"/>
      <c r="L2088" s="41" t="str" cm="1">
        <f t="array" ref="L2088">IFERROR(INDEX(DB!R$2:R$2576,T2088),"")</f>
        <v/>
      </c>
      <c r="M2088" s="43"/>
      <c r="P2088" t="str" cm="1">
        <f t="array" ref="P2088">IFERROR(_xlfn.AGGREGATE(15,6,ROW(DB!A$2:A$2576)/((($D$3&lt;&gt;"YES")+($D$3="YES")*(DB!E$2:E$2576="YES"))*(($D$4="")+($D$4&lt;&gt;"")*( DB!B$2:B$2576=$D$4))*(($D$5="")+($D$5&lt;&gt;"")*( DB!C$2:C$2576=$D$5))*(($D$6="")+($D$6&lt;&gt;"")*( DB!D$2:D$2576=$D$6))*(($D$7="")+($D$7&lt;&gt;"")*(ISNUMBER(SEARCH($D$7,DB!G$2:G$2576))))*(($F$7="전체")+($F$7&lt;&gt;"전체")*(DB!H$2:H$2576=$F$7))),ROW()-13)-1,"")</f>
        <v/>
      </c>
      <c r="Q2088" t="str" cm="1">
        <f t="array" ref="Q2088">IFERROR(INDEX(DB!G$2:G$2576,P2088),"")</f>
        <v/>
      </c>
      <c r="R2088" t="str" cm="1">
        <f t="array" ref="R2088">IFERROR(INDEX(DB!O$2:O$2576,P2088),"")</f>
        <v/>
      </c>
      <c r="S2088" t="str">
        <f t="shared" si="99"/>
        <v/>
      </c>
      <c r="T2088" t="str">
        <f t="shared" si="100"/>
        <v/>
      </c>
    </row>
    <row r="2089" spans="1:20" ht="100" customHeight="1">
      <c r="A2089" s="26"/>
      <c r="B2089" s="42" t="str">
        <f t="shared" si="98"/>
        <v/>
      </c>
      <c r="C2089" s="43"/>
      <c r="D2089" s="51" t="str" cm="1">
        <f t="array" ref="D2089">IFERROR(INDEX(DB!G$2:G$2576,T2089),"")</f>
        <v/>
      </c>
      <c r="E2089" s="43"/>
      <c r="F2089" s="52" t="str" cm="1">
        <f t="array" ref="F2089">IFERROR(INDEX(DB!O$2:O$2576,T2089),"")</f>
        <v/>
      </c>
      <c r="G2089" s="43"/>
      <c r="H2089" s="40" t="str" cm="1">
        <f t="array" ref="H2089">IFERROR(INDEX(DB!P$2:P$2576,T2089),"")</f>
        <v/>
      </c>
      <c r="I2089" s="43"/>
      <c r="J2089" s="53" t="str" cm="1">
        <f t="array" ref="J2089">IFERROR(INDEX(DB!Q$2:Q$2576,T2089),"")</f>
        <v/>
      </c>
      <c r="K2089" s="43"/>
      <c r="L2089" s="41" t="str" cm="1">
        <f t="array" ref="L2089">IFERROR(INDEX(DB!R$2:R$2576,T2089),"")</f>
        <v/>
      </c>
      <c r="M2089" s="43"/>
      <c r="P2089" t="str" cm="1">
        <f t="array" ref="P2089">IFERROR(_xlfn.AGGREGATE(15,6,ROW(DB!A$2:A$2576)/((($D$3&lt;&gt;"YES")+($D$3="YES")*(DB!E$2:E$2576="YES"))*(($D$4="")+($D$4&lt;&gt;"")*( DB!B$2:B$2576=$D$4))*(($D$5="")+($D$5&lt;&gt;"")*( DB!C$2:C$2576=$D$5))*(($D$6="")+($D$6&lt;&gt;"")*( DB!D$2:D$2576=$D$6))*(($D$7="")+($D$7&lt;&gt;"")*(ISNUMBER(SEARCH($D$7,DB!G$2:G$2576))))*(($F$7="전체")+($F$7&lt;&gt;"전체")*(DB!H$2:H$2576=$F$7))),ROW()-13)-1,"")</f>
        <v/>
      </c>
      <c r="Q2089" t="str" cm="1">
        <f t="array" ref="Q2089">IFERROR(INDEX(DB!G$2:G$2576,P2089),"")</f>
        <v/>
      </c>
      <c r="R2089" t="str" cm="1">
        <f t="array" ref="R2089">IFERROR(INDEX(DB!O$2:O$2576,P2089),"")</f>
        <v/>
      </c>
      <c r="S2089" t="str">
        <f t="shared" si="99"/>
        <v/>
      </c>
      <c r="T2089" t="str">
        <f t="shared" si="100"/>
        <v/>
      </c>
    </row>
    <row r="2090" spans="1:20" ht="100" customHeight="1">
      <c r="A2090" s="26"/>
      <c r="B2090" s="39" t="str">
        <f t="shared" si="98"/>
        <v/>
      </c>
      <c r="C2090" s="43"/>
      <c r="D2090" s="51" t="str" cm="1">
        <f t="array" ref="D2090">IFERROR(INDEX(DB!G$2:G$2576,T2090),"")</f>
        <v/>
      </c>
      <c r="E2090" s="43"/>
      <c r="F2090" s="52" t="str" cm="1">
        <f t="array" ref="F2090">IFERROR(INDEX(DB!O$2:O$2576,T2090),"")</f>
        <v/>
      </c>
      <c r="G2090" s="43"/>
      <c r="H2090" s="40" t="str" cm="1">
        <f t="array" ref="H2090">IFERROR(INDEX(DB!P$2:P$2576,T2090),"")</f>
        <v/>
      </c>
      <c r="I2090" s="43"/>
      <c r="J2090" s="53" t="str" cm="1">
        <f t="array" ref="J2090">IFERROR(INDEX(DB!Q$2:Q$2576,T2090),"")</f>
        <v/>
      </c>
      <c r="K2090" s="43"/>
      <c r="L2090" s="41" t="str" cm="1">
        <f t="array" ref="L2090">IFERROR(INDEX(DB!R$2:R$2576,T2090),"")</f>
        <v/>
      </c>
      <c r="M2090" s="43"/>
      <c r="P2090" t="str" cm="1">
        <f t="array" ref="P2090">IFERROR(_xlfn.AGGREGATE(15,6,ROW(DB!A$2:A$2576)/((($D$3&lt;&gt;"YES")+($D$3="YES")*(DB!E$2:E$2576="YES"))*(($D$4="")+($D$4&lt;&gt;"")*( DB!B$2:B$2576=$D$4))*(($D$5="")+($D$5&lt;&gt;"")*( DB!C$2:C$2576=$D$5))*(($D$6="")+($D$6&lt;&gt;"")*( DB!D$2:D$2576=$D$6))*(($D$7="")+($D$7&lt;&gt;"")*(ISNUMBER(SEARCH($D$7,DB!G$2:G$2576))))*(($F$7="전체")+($F$7&lt;&gt;"전체")*(DB!H$2:H$2576=$F$7))),ROW()-13)-1,"")</f>
        <v/>
      </c>
      <c r="Q2090" t="str" cm="1">
        <f t="array" ref="Q2090">IFERROR(INDEX(DB!G$2:G$2576,P2090),"")</f>
        <v/>
      </c>
      <c r="R2090" t="str" cm="1">
        <f t="array" ref="R2090">IFERROR(INDEX(DB!O$2:O$2576,P2090),"")</f>
        <v/>
      </c>
      <c r="S2090" t="str">
        <f t="shared" si="99"/>
        <v/>
      </c>
      <c r="T2090" t="str">
        <f t="shared" si="100"/>
        <v/>
      </c>
    </row>
    <row r="2091" spans="1:20" ht="100" customHeight="1">
      <c r="A2091" s="26"/>
      <c r="B2091" s="42" t="str">
        <f t="shared" si="98"/>
        <v/>
      </c>
      <c r="C2091" s="43"/>
      <c r="D2091" s="51" t="str" cm="1">
        <f t="array" ref="D2091">IFERROR(INDEX(DB!G$2:G$2576,T2091),"")</f>
        <v/>
      </c>
      <c r="E2091" s="43"/>
      <c r="F2091" s="52" t="str" cm="1">
        <f t="array" ref="F2091">IFERROR(INDEX(DB!O$2:O$2576,T2091),"")</f>
        <v/>
      </c>
      <c r="G2091" s="43"/>
      <c r="H2091" s="40" t="str" cm="1">
        <f t="array" ref="H2091">IFERROR(INDEX(DB!P$2:P$2576,T2091),"")</f>
        <v/>
      </c>
      <c r="I2091" s="43"/>
      <c r="J2091" s="53" t="str" cm="1">
        <f t="array" ref="J2091">IFERROR(INDEX(DB!Q$2:Q$2576,T2091),"")</f>
        <v/>
      </c>
      <c r="K2091" s="43"/>
      <c r="L2091" s="41" t="str" cm="1">
        <f t="array" ref="L2091">IFERROR(INDEX(DB!R$2:R$2576,T2091),"")</f>
        <v/>
      </c>
      <c r="M2091" s="43"/>
      <c r="P2091" t="str" cm="1">
        <f t="array" ref="P2091">IFERROR(_xlfn.AGGREGATE(15,6,ROW(DB!A$2:A$2576)/((($D$3&lt;&gt;"YES")+($D$3="YES")*(DB!E$2:E$2576="YES"))*(($D$4="")+($D$4&lt;&gt;"")*( DB!B$2:B$2576=$D$4))*(($D$5="")+($D$5&lt;&gt;"")*( DB!C$2:C$2576=$D$5))*(($D$6="")+($D$6&lt;&gt;"")*( DB!D$2:D$2576=$D$6))*(($D$7="")+($D$7&lt;&gt;"")*(ISNUMBER(SEARCH($D$7,DB!G$2:G$2576))))*(($F$7="전체")+($F$7&lt;&gt;"전체")*(DB!H$2:H$2576=$F$7))),ROW()-13)-1,"")</f>
        <v/>
      </c>
      <c r="Q2091" t="str" cm="1">
        <f t="array" ref="Q2091">IFERROR(INDEX(DB!G$2:G$2576,P2091),"")</f>
        <v/>
      </c>
      <c r="R2091" t="str" cm="1">
        <f t="array" ref="R2091">IFERROR(INDEX(DB!O$2:O$2576,P2091),"")</f>
        <v/>
      </c>
      <c r="S2091" t="str">
        <f t="shared" si="99"/>
        <v/>
      </c>
      <c r="T2091" t="str">
        <f t="shared" si="100"/>
        <v/>
      </c>
    </row>
    <row r="2092" spans="1:20" ht="100" customHeight="1">
      <c r="A2092" s="26"/>
      <c r="B2092" s="39" t="str">
        <f t="shared" si="98"/>
        <v/>
      </c>
      <c r="C2092" s="43"/>
      <c r="D2092" s="51" t="str" cm="1">
        <f t="array" ref="D2092">IFERROR(INDEX(DB!G$2:G$2576,T2092),"")</f>
        <v/>
      </c>
      <c r="E2092" s="43"/>
      <c r="F2092" s="52" t="str" cm="1">
        <f t="array" ref="F2092">IFERROR(INDEX(DB!O$2:O$2576,T2092),"")</f>
        <v/>
      </c>
      <c r="G2092" s="43"/>
      <c r="H2092" s="40" t="str" cm="1">
        <f t="array" ref="H2092">IFERROR(INDEX(DB!P$2:P$2576,T2092),"")</f>
        <v/>
      </c>
      <c r="I2092" s="43"/>
      <c r="J2092" s="53" t="str" cm="1">
        <f t="array" ref="J2092">IFERROR(INDEX(DB!Q$2:Q$2576,T2092),"")</f>
        <v/>
      </c>
      <c r="K2092" s="43"/>
      <c r="L2092" s="41" t="str" cm="1">
        <f t="array" ref="L2092">IFERROR(INDEX(DB!R$2:R$2576,T2092),"")</f>
        <v/>
      </c>
      <c r="M2092" s="43"/>
      <c r="P2092" t="str" cm="1">
        <f t="array" ref="P2092">IFERROR(_xlfn.AGGREGATE(15,6,ROW(DB!A$2:A$2576)/((($D$3&lt;&gt;"YES")+($D$3="YES")*(DB!E$2:E$2576="YES"))*(($D$4="")+($D$4&lt;&gt;"")*( DB!B$2:B$2576=$D$4))*(($D$5="")+($D$5&lt;&gt;"")*( DB!C$2:C$2576=$D$5))*(($D$6="")+($D$6&lt;&gt;"")*( DB!D$2:D$2576=$D$6))*(($D$7="")+($D$7&lt;&gt;"")*(ISNUMBER(SEARCH($D$7,DB!G$2:G$2576))))*(($F$7="전체")+($F$7&lt;&gt;"전체")*(DB!H$2:H$2576=$F$7))),ROW()-13)-1,"")</f>
        <v/>
      </c>
      <c r="Q2092" t="str" cm="1">
        <f t="array" ref="Q2092">IFERROR(INDEX(DB!G$2:G$2576,P2092),"")</f>
        <v/>
      </c>
      <c r="R2092" t="str" cm="1">
        <f t="array" ref="R2092">IFERROR(INDEX(DB!O$2:O$2576,P2092),"")</f>
        <v/>
      </c>
      <c r="S2092" t="str">
        <f t="shared" si="99"/>
        <v/>
      </c>
      <c r="T2092" t="str">
        <f t="shared" si="100"/>
        <v/>
      </c>
    </row>
    <row r="2093" spans="1:20" ht="100" customHeight="1">
      <c r="A2093" s="26"/>
      <c r="B2093" s="42" t="str">
        <f t="shared" si="98"/>
        <v/>
      </c>
      <c r="C2093" s="43"/>
      <c r="D2093" s="51" t="str" cm="1">
        <f t="array" ref="D2093">IFERROR(INDEX(DB!G$2:G$2576,T2093),"")</f>
        <v/>
      </c>
      <c r="E2093" s="43"/>
      <c r="F2093" s="52" t="str" cm="1">
        <f t="array" ref="F2093">IFERROR(INDEX(DB!O$2:O$2576,T2093),"")</f>
        <v/>
      </c>
      <c r="G2093" s="43"/>
      <c r="H2093" s="40" t="str" cm="1">
        <f t="array" ref="H2093">IFERROR(INDEX(DB!P$2:P$2576,T2093),"")</f>
        <v/>
      </c>
      <c r="I2093" s="43"/>
      <c r="J2093" s="53" t="str" cm="1">
        <f t="array" ref="J2093">IFERROR(INDEX(DB!Q$2:Q$2576,T2093),"")</f>
        <v/>
      </c>
      <c r="K2093" s="43"/>
      <c r="L2093" s="41" t="str" cm="1">
        <f t="array" ref="L2093">IFERROR(INDEX(DB!R$2:R$2576,T2093),"")</f>
        <v/>
      </c>
      <c r="M2093" s="43"/>
      <c r="P2093" t="str" cm="1">
        <f t="array" ref="P2093">IFERROR(_xlfn.AGGREGATE(15,6,ROW(DB!A$2:A$2576)/((($D$3&lt;&gt;"YES")+($D$3="YES")*(DB!E$2:E$2576="YES"))*(($D$4="")+($D$4&lt;&gt;"")*( DB!B$2:B$2576=$D$4))*(($D$5="")+($D$5&lt;&gt;"")*( DB!C$2:C$2576=$D$5))*(($D$6="")+($D$6&lt;&gt;"")*( DB!D$2:D$2576=$D$6))*(($D$7="")+($D$7&lt;&gt;"")*(ISNUMBER(SEARCH($D$7,DB!G$2:G$2576))))*(($F$7="전체")+($F$7&lt;&gt;"전체")*(DB!H$2:H$2576=$F$7))),ROW()-13)-1,"")</f>
        <v/>
      </c>
      <c r="Q2093" t="str" cm="1">
        <f t="array" ref="Q2093">IFERROR(INDEX(DB!G$2:G$2576,P2093),"")</f>
        <v/>
      </c>
      <c r="R2093" t="str" cm="1">
        <f t="array" ref="R2093">IFERROR(INDEX(DB!O$2:O$2576,P2093),"")</f>
        <v/>
      </c>
      <c r="S2093" t="str">
        <f t="shared" si="99"/>
        <v/>
      </c>
      <c r="T2093" t="str">
        <f t="shared" si="100"/>
        <v/>
      </c>
    </row>
    <row r="2094" spans="1:20" ht="100" customHeight="1">
      <c r="A2094" s="26"/>
      <c r="B2094" s="39" t="str">
        <f t="shared" si="98"/>
        <v/>
      </c>
      <c r="C2094" s="43"/>
      <c r="D2094" s="51" t="str" cm="1">
        <f t="array" ref="D2094">IFERROR(INDEX(DB!G$2:G$2576,T2094),"")</f>
        <v/>
      </c>
      <c r="E2094" s="43"/>
      <c r="F2094" s="52" t="str" cm="1">
        <f t="array" ref="F2094">IFERROR(INDEX(DB!O$2:O$2576,T2094),"")</f>
        <v/>
      </c>
      <c r="G2094" s="43"/>
      <c r="H2094" s="40" t="str" cm="1">
        <f t="array" ref="H2094">IFERROR(INDEX(DB!P$2:P$2576,T2094),"")</f>
        <v/>
      </c>
      <c r="I2094" s="43"/>
      <c r="J2094" s="53" t="str" cm="1">
        <f t="array" ref="J2094">IFERROR(INDEX(DB!Q$2:Q$2576,T2094),"")</f>
        <v/>
      </c>
      <c r="K2094" s="43"/>
      <c r="L2094" s="41" t="str" cm="1">
        <f t="array" ref="L2094">IFERROR(INDEX(DB!R$2:R$2576,T2094),"")</f>
        <v/>
      </c>
      <c r="M2094" s="43"/>
      <c r="P2094" t="str" cm="1">
        <f t="array" ref="P2094">IFERROR(_xlfn.AGGREGATE(15,6,ROW(DB!A$2:A$2576)/((($D$3&lt;&gt;"YES")+($D$3="YES")*(DB!E$2:E$2576="YES"))*(($D$4="")+($D$4&lt;&gt;"")*( DB!B$2:B$2576=$D$4))*(($D$5="")+($D$5&lt;&gt;"")*( DB!C$2:C$2576=$D$5))*(($D$6="")+($D$6&lt;&gt;"")*( DB!D$2:D$2576=$D$6))*(($D$7="")+($D$7&lt;&gt;"")*(ISNUMBER(SEARCH($D$7,DB!G$2:G$2576))))*(($F$7="전체")+($F$7&lt;&gt;"전체")*(DB!H$2:H$2576=$F$7))),ROW()-13)-1,"")</f>
        <v/>
      </c>
      <c r="Q2094" t="str" cm="1">
        <f t="array" ref="Q2094">IFERROR(INDEX(DB!G$2:G$2576,P2094),"")</f>
        <v/>
      </c>
      <c r="R2094" t="str" cm="1">
        <f t="array" ref="R2094">IFERROR(INDEX(DB!O$2:O$2576,P2094),"")</f>
        <v/>
      </c>
      <c r="S2094" t="str">
        <f t="shared" si="99"/>
        <v/>
      </c>
      <c r="T2094" t="str">
        <f t="shared" si="100"/>
        <v/>
      </c>
    </row>
    <row r="2095" spans="1:20" ht="100" customHeight="1">
      <c r="A2095" s="26"/>
      <c r="B2095" s="42" t="str">
        <f t="shared" si="98"/>
        <v/>
      </c>
      <c r="C2095" s="43"/>
      <c r="D2095" s="51" t="str" cm="1">
        <f t="array" ref="D2095">IFERROR(INDEX(DB!G$2:G$2576,T2095),"")</f>
        <v/>
      </c>
      <c r="E2095" s="43"/>
      <c r="F2095" s="52" t="str" cm="1">
        <f t="array" ref="F2095">IFERROR(INDEX(DB!O$2:O$2576,T2095),"")</f>
        <v/>
      </c>
      <c r="G2095" s="43"/>
      <c r="H2095" s="40" t="str" cm="1">
        <f t="array" ref="H2095">IFERROR(INDEX(DB!P$2:P$2576,T2095),"")</f>
        <v/>
      </c>
      <c r="I2095" s="43"/>
      <c r="J2095" s="53" t="str" cm="1">
        <f t="array" ref="J2095">IFERROR(INDEX(DB!Q$2:Q$2576,T2095),"")</f>
        <v/>
      </c>
      <c r="K2095" s="43"/>
      <c r="L2095" s="41" t="str" cm="1">
        <f t="array" ref="L2095">IFERROR(INDEX(DB!R$2:R$2576,T2095),"")</f>
        <v/>
      </c>
      <c r="M2095" s="43"/>
      <c r="P2095" t="str" cm="1">
        <f t="array" ref="P2095">IFERROR(_xlfn.AGGREGATE(15,6,ROW(DB!A$2:A$2576)/((($D$3&lt;&gt;"YES")+($D$3="YES")*(DB!E$2:E$2576="YES"))*(($D$4="")+($D$4&lt;&gt;"")*( DB!B$2:B$2576=$D$4))*(($D$5="")+($D$5&lt;&gt;"")*( DB!C$2:C$2576=$D$5))*(($D$6="")+($D$6&lt;&gt;"")*( DB!D$2:D$2576=$D$6))*(($D$7="")+($D$7&lt;&gt;"")*(ISNUMBER(SEARCH($D$7,DB!G$2:G$2576))))*(($F$7="전체")+($F$7&lt;&gt;"전체")*(DB!H$2:H$2576=$F$7))),ROW()-13)-1,"")</f>
        <v/>
      </c>
      <c r="Q2095" t="str" cm="1">
        <f t="array" ref="Q2095">IFERROR(INDEX(DB!G$2:G$2576,P2095),"")</f>
        <v/>
      </c>
      <c r="R2095" t="str" cm="1">
        <f t="array" ref="R2095">IFERROR(INDEX(DB!O$2:O$2576,P2095),"")</f>
        <v/>
      </c>
      <c r="S2095" t="str">
        <f t="shared" si="99"/>
        <v/>
      </c>
      <c r="T2095" t="str">
        <f t="shared" si="100"/>
        <v/>
      </c>
    </row>
    <row r="2096" spans="1:20" ht="100" customHeight="1">
      <c r="A2096" s="26"/>
      <c r="B2096" s="39" t="str">
        <f t="shared" si="98"/>
        <v/>
      </c>
      <c r="C2096" s="43"/>
      <c r="D2096" s="51" t="str" cm="1">
        <f t="array" ref="D2096">IFERROR(INDEX(DB!G$2:G$2576,T2096),"")</f>
        <v/>
      </c>
      <c r="E2096" s="43"/>
      <c r="F2096" s="52" t="str" cm="1">
        <f t="array" ref="F2096">IFERROR(INDEX(DB!O$2:O$2576,T2096),"")</f>
        <v/>
      </c>
      <c r="G2096" s="43"/>
      <c r="H2096" s="40" t="str" cm="1">
        <f t="array" ref="H2096">IFERROR(INDEX(DB!P$2:P$2576,T2096),"")</f>
        <v/>
      </c>
      <c r="I2096" s="43"/>
      <c r="J2096" s="53" t="str" cm="1">
        <f t="array" ref="J2096">IFERROR(INDEX(DB!Q$2:Q$2576,T2096),"")</f>
        <v/>
      </c>
      <c r="K2096" s="43"/>
      <c r="L2096" s="41" t="str" cm="1">
        <f t="array" ref="L2096">IFERROR(INDEX(DB!R$2:R$2576,T2096),"")</f>
        <v/>
      </c>
      <c r="M2096" s="43"/>
      <c r="P2096" t="str" cm="1">
        <f t="array" ref="P2096">IFERROR(_xlfn.AGGREGATE(15,6,ROW(DB!A$2:A$2576)/((($D$3&lt;&gt;"YES")+($D$3="YES")*(DB!E$2:E$2576="YES"))*(($D$4="")+($D$4&lt;&gt;"")*( DB!B$2:B$2576=$D$4))*(($D$5="")+($D$5&lt;&gt;"")*( DB!C$2:C$2576=$D$5))*(($D$6="")+($D$6&lt;&gt;"")*( DB!D$2:D$2576=$D$6))*(($D$7="")+($D$7&lt;&gt;"")*(ISNUMBER(SEARCH($D$7,DB!G$2:G$2576))))*(($F$7="전체")+($F$7&lt;&gt;"전체")*(DB!H$2:H$2576=$F$7))),ROW()-13)-1,"")</f>
        <v/>
      </c>
      <c r="Q2096" t="str" cm="1">
        <f t="array" ref="Q2096">IFERROR(INDEX(DB!G$2:G$2576,P2096),"")</f>
        <v/>
      </c>
      <c r="R2096" t="str" cm="1">
        <f t="array" ref="R2096">IFERROR(INDEX(DB!O$2:O$2576,P2096),"")</f>
        <v/>
      </c>
      <c r="S2096" t="str">
        <f t="shared" si="99"/>
        <v/>
      </c>
      <c r="T2096" t="str">
        <f t="shared" si="100"/>
        <v/>
      </c>
    </row>
    <row r="2097" spans="1:20" ht="100" customHeight="1">
      <c r="A2097" s="26"/>
      <c r="B2097" s="42" t="str">
        <f t="shared" si="98"/>
        <v/>
      </c>
      <c r="C2097" s="43"/>
      <c r="D2097" s="51" t="str" cm="1">
        <f t="array" ref="D2097">IFERROR(INDEX(DB!G$2:G$2576,T2097),"")</f>
        <v/>
      </c>
      <c r="E2097" s="43"/>
      <c r="F2097" s="52" t="str" cm="1">
        <f t="array" ref="F2097">IFERROR(INDEX(DB!O$2:O$2576,T2097),"")</f>
        <v/>
      </c>
      <c r="G2097" s="43"/>
      <c r="H2097" s="40" t="str" cm="1">
        <f t="array" ref="H2097">IFERROR(INDEX(DB!P$2:P$2576,T2097),"")</f>
        <v/>
      </c>
      <c r="I2097" s="43"/>
      <c r="J2097" s="53" t="str" cm="1">
        <f t="array" ref="J2097">IFERROR(INDEX(DB!Q$2:Q$2576,T2097),"")</f>
        <v/>
      </c>
      <c r="K2097" s="43"/>
      <c r="L2097" s="41" t="str" cm="1">
        <f t="array" ref="L2097">IFERROR(INDEX(DB!R$2:R$2576,T2097),"")</f>
        <v/>
      </c>
      <c r="M2097" s="43"/>
      <c r="P2097" t="str" cm="1">
        <f t="array" ref="P2097">IFERROR(_xlfn.AGGREGATE(15,6,ROW(DB!A$2:A$2576)/((($D$3&lt;&gt;"YES")+($D$3="YES")*(DB!E$2:E$2576="YES"))*(($D$4="")+($D$4&lt;&gt;"")*( DB!B$2:B$2576=$D$4))*(($D$5="")+($D$5&lt;&gt;"")*( DB!C$2:C$2576=$D$5))*(($D$6="")+($D$6&lt;&gt;"")*( DB!D$2:D$2576=$D$6))*(($D$7="")+($D$7&lt;&gt;"")*(ISNUMBER(SEARCH($D$7,DB!G$2:G$2576))))*(($F$7="전체")+($F$7&lt;&gt;"전체")*(DB!H$2:H$2576=$F$7))),ROW()-13)-1,"")</f>
        <v/>
      </c>
      <c r="Q2097" t="str" cm="1">
        <f t="array" ref="Q2097">IFERROR(INDEX(DB!G$2:G$2576,P2097),"")</f>
        <v/>
      </c>
      <c r="R2097" t="str" cm="1">
        <f t="array" ref="R2097">IFERROR(INDEX(DB!O$2:O$2576,P2097),"")</f>
        <v/>
      </c>
      <c r="S2097" t="str">
        <f t="shared" si="99"/>
        <v/>
      </c>
      <c r="T2097" t="str">
        <f t="shared" si="100"/>
        <v/>
      </c>
    </row>
    <row r="2098" spans="1:20" ht="100" customHeight="1">
      <c r="A2098" s="26"/>
      <c r="B2098" s="39" t="str">
        <f t="shared" si="98"/>
        <v/>
      </c>
      <c r="C2098" s="43"/>
      <c r="D2098" s="51" t="str" cm="1">
        <f t="array" ref="D2098">IFERROR(INDEX(DB!G$2:G$2576,T2098),"")</f>
        <v/>
      </c>
      <c r="E2098" s="43"/>
      <c r="F2098" s="52" t="str" cm="1">
        <f t="array" ref="F2098">IFERROR(INDEX(DB!O$2:O$2576,T2098),"")</f>
        <v/>
      </c>
      <c r="G2098" s="43"/>
      <c r="H2098" s="40" t="str" cm="1">
        <f t="array" ref="H2098">IFERROR(INDEX(DB!P$2:P$2576,T2098),"")</f>
        <v/>
      </c>
      <c r="I2098" s="43"/>
      <c r="J2098" s="53" t="str" cm="1">
        <f t="array" ref="J2098">IFERROR(INDEX(DB!Q$2:Q$2576,T2098),"")</f>
        <v/>
      </c>
      <c r="K2098" s="43"/>
      <c r="L2098" s="41" t="str" cm="1">
        <f t="array" ref="L2098">IFERROR(INDEX(DB!R$2:R$2576,T2098),"")</f>
        <v/>
      </c>
      <c r="M2098" s="43"/>
      <c r="P2098" t="str" cm="1">
        <f t="array" ref="P2098">IFERROR(_xlfn.AGGREGATE(15,6,ROW(DB!A$2:A$2576)/((($D$3&lt;&gt;"YES")+($D$3="YES")*(DB!E$2:E$2576="YES"))*(($D$4="")+($D$4&lt;&gt;"")*( DB!B$2:B$2576=$D$4))*(($D$5="")+($D$5&lt;&gt;"")*( DB!C$2:C$2576=$D$5))*(($D$6="")+($D$6&lt;&gt;"")*( DB!D$2:D$2576=$D$6))*(($D$7="")+($D$7&lt;&gt;"")*(ISNUMBER(SEARCH($D$7,DB!G$2:G$2576))))*(($F$7="전체")+($F$7&lt;&gt;"전체")*(DB!H$2:H$2576=$F$7))),ROW()-13)-1,"")</f>
        <v/>
      </c>
      <c r="Q2098" t="str" cm="1">
        <f t="array" ref="Q2098">IFERROR(INDEX(DB!G$2:G$2576,P2098),"")</f>
        <v/>
      </c>
      <c r="R2098" t="str" cm="1">
        <f t="array" ref="R2098">IFERROR(INDEX(DB!O$2:O$2576,P2098),"")</f>
        <v/>
      </c>
      <c r="S2098" t="str">
        <f t="shared" si="99"/>
        <v/>
      </c>
      <c r="T2098" t="str">
        <f t="shared" si="100"/>
        <v/>
      </c>
    </row>
    <row r="2099" spans="1:20" ht="100" customHeight="1">
      <c r="A2099" s="26"/>
      <c r="B2099" s="42" t="str">
        <f t="shared" si="98"/>
        <v/>
      </c>
      <c r="C2099" s="43"/>
      <c r="D2099" s="51" t="str" cm="1">
        <f t="array" ref="D2099">IFERROR(INDEX(DB!G$2:G$2576,T2099),"")</f>
        <v/>
      </c>
      <c r="E2099" s="43"/>
      <c r="F2099" s="52" t="str" cm="1">
        <f t="array" ref="F2099">IFERROR(INDEX(DB!O$2:O$2576,T2099),"")</f>
        <v/>
      </c>
      <c r="G2099" s="43"/>
      <c r="H2099" s="40" t="str" cm="1">
        <f t="array" ref="H2099">IFERROR(INDEX(DB!P$2:P$2576,T2099),"")</f>
        <v/>
      </c>
      <c r="I2099" s="43"/>
      <c r="J2099" s="53" t="str" cm="1">
        <f t="array" ref="J2099">IFERROR(INDEX(DB!Q$2:Q$2576,T2099),"")</f>
        <v/>
      </c>
      <c r="K2099" s="43"/>
      <c r="L2099" s="41" t="str" cm="1">
        <f t="array" ref="L2099">IFERROR(INDEX(DB!R$2:R$2576,T2099),"")</f>
        <v/>
      </c>
      <c r="M2099" s="43"/>
      <c r="P2099" t="str" cm="1">
        <f t="array" ref="P2099">IFERROR(_xlfn.AGGREGATE(15,6,ROW(DB!A$2:A$2576)/((($D$3&lt;&gt;"YES")+($D$3="YES")*(DB!E$2:E$2576="YES"))*(($D$4="")+($D$4&lt;&gt;"")*( DB!B$2:B$2576=$D$4))*(($D$5="")+($D$5&lt;&gt;"")*( DB!C$2:C$2576=$D$5))*(($D$6="")+($D$6&lt;&gt;"")*( DB!D$2:D$2576=$D$6))*(($D$7="")+($D$7&lt;&gt;"")*(ISNUMBER(SEARCH($D$7,DB!G$2:G$2576))))*(($F$7="전체")+($F$7&lt;&gt;"전체")*(DB!H$2:H$2576=$F$7))),ROW()-13)-1,"")</f>
        <v/>
      </c>
      <c r="Q2099" t="str" cm="1">
        <f t="array" ref="Q2099">IFERROR(INDEX(DB!G$2:G$2576,P2099),"")</f>
        <v/>
      </c>
      <c r="R2099" t="str" cm="1">
        <f t="array" ref="R2099">IFERROR(INDEX(DB!O$2:O$2576,P2099),"")</f>
        <v/>
      </c>
      <c r="S2099" t="str">
        <f t="shared" si="99"/>
        <v/>
      </c>
      <c r="T2099" t="str">
        <f t="shared" si="100"/>
        <v/>
      </c>
    </row>
    <row r="2100" spans="1:20" ht="100" customHeight="1">
      <c r="A2100" s="26"/>
      <c r="B2100" s="39" t="str">
        <f t="shared" si="98"/>
        <v/>
      </c>
      <c r="C2100" s="43"/>
      <c r="D2100" s="51" t="str" cm="1">
        <f t="array" ref="D2100">IFERROR(INDEX(DB!G$2:G$2576,T2100),"")</f>
        <v/>
      </c>
      <c r="E2100" s="43"/>
      <c r="F2100" s="52" t="str" cm="1">
        <f t="array" ref="F2100">IFERROR(INDEX(DB!O$2:O$2576,T2100),"")</f>
        <v/>
      </c>
      <c r="G2100" s="43"/>
      <c r="H2100" s="40" t="str" cm="1">
        <f t="array" ref="H2100">IFERROR(INDEX(DB!P$2:P$2576,T2100),"")</f>
        <v/>
      </c>
      <c r="I2100" s="43"/>
      <c r="J2100" s="53" t="str" cm="1">
        <f t="array" ref="J2100">IFERROR(INDEX(DB!Q$2:Q$2576,T2100),"")</f>
        <v/>
      </c>
      <c r="K2100" s="43"/>
      <c r="L2100" s="41" t="str" cm="1">
        <f t="array" ref="L2100">IFERROR(INDEX(DB!R$2:R$2576,T2100),"")</f>
        <v/>
      </c>
      <c r="M2100" s="43"/>
      <c r="P2100" t="str" cm="1">
        <f t="array" ref="P2100">IFERROR(_xlfn.AGGREGATE(15,6,ROW(DB!A$2:A$2576)/((($D$3&lt;&gt;"YES")+($D$3="YES")*(DB!E$2:E$2576="YES"))*(($D$4="")+($D$4&lt;&gt;"")*( DB!B$2:B$2576=$D$4))*(($D$5="")+($D$5&lt;&gt;"")*( DB!C$2:C$2576=$D$5))*(($D$6="")+($D$6&lt;&gt;"")*( DB!D$2:D$2576=$D$6))*(($D$7="")+($D$7&lt;&gt;"")*(ISNUMBER(SEARCH($D$7,DB!G$2:G$2576))))*(($F$7="전체")+($F$7&lt;&gt;"전체")*(DB!H$2:H$2576=$F$7))),ROW()-13)-1,"")</f>
        <v/>
      </c>
      <c r="Q2100" t="str" cm="1">
        <f t="array" ref="Q2100">IFERROR(INDEX(DB!G$2:G$2576,P2100),"")</f>
        <v/>
      </c>
      <c r="R2100" t="str" cm="1">
        <f t="array" ref="R2100">IFERROR(INDEX(DB!O$2:O$2576,P2100),"")</f>
        <v/>
      </c>
      <c r="S2100" t="str">
        <f t="shared" si="99"/>
        <v/>
      </c>
      <c r="T2100" t="str">
        <f t="shared" si="100"/>
        <v/>
      </c>
    </row>
    <row r="2101" spans="1:20" ht="100" customHeight="1">
      <c r="A2101" s="26"/>
      <c r="B2101" s="42" t="str">
        <f t="shared" si="98"/>
        <v/>
      </c>
      <c r="C2101" s="43"/>
      <c r="D2101" s="51" t="str" cm="1">
        <f t="array" ref="D2101">IFERROR(INDEX(DB!G$2:G$2576,T2101),"")</f>
        <v/>
      </c>
      <c r="E2101" s="43"/>
      <c r="F2101" s="52" t="str" cm="1">
        <f t="array" ref="F2101">IFERROR(INDEX(DB!O$2:O$2576,T2101),"")</f>
        <v/>
      </c>
      <c r="G2101" s="43"/>
      <c r="H2101" s="40" t="str" cm="1">
        <f t="array" ref="H2101">IFERROR(INDEX(DB!P$2:P$2576,T2101),"")</f>
        <v/>
      </c>
      <c r="I2101" s="43"/>
      <c r="J2101" s="53" t="str" cm="1">
        <f t="array" ref="J2101">IFERROR(INDEX(DB!Q$2:Q$2576,T2101),"")</f>
        <v/>
      </c>
      <c r="K2101" s="43"/>
      <c r="L2101" s="41" t="str" cm="1">
        <f t="array" ref="L2101">IFERROR(INDEX(DB!R$2:R$2576,T2101),"")</f>
        <v/>
      </c>
      <c r="M2101" s="43"/>
      <c r="P2101" t="str" cm="1">
        <f t="array" ref="P2101">IFERROR(_xlfn.AGGREGATE(15,6,ROW(DB!A$2:A$2576)/((($D$3&lt;&gt;"YES")+($D$3="YES")*(DB!E$2:E$2576="YES"))*(($D$4="")+($D$4&lt;&gt;"")*( DB!B$2:B$2576=$D$4))*(($D$5="")+($D$5&lt;&gt;"")*( DB!C$2:C$2576=$D$5))*(($D$6="")+($D$6&lt;&gt;"")*( DB!D$2:D$2576=$D$6))*(($D$7="")+($D$7&lt;&gt;"")*(ISNUMBER(SEARCH($D$7,DB!G$2:G$2576))))*(($F$7="전체")+($F$7&lt;&gt;"전체")*(DB!H$2:H$2576=$F$7))),ROW()-13)-1,"")</f>
        <v/>
      </c>
      <c r="Q2101" t="str" cm="1">
        <f t="array" ref="Q2101">IFERROR(INDEX(DB!G$2:G$2576,P2101),"")</f>
        <v/>
      </c>
      <c r="R2101" t="str" cm="1">
        <f t="array" ref="R2101">IFERROR(INDEX(DB!O$2:O$2576,P2101),"")</f>
        <v/>
      </c>
      <c r="S2101" t="str">
        <f t="shared" si="99"/>
        <v/>
      </c>
      <c r="T2101" t="str">
        <f t="shared" si="100"/>
        <v/>
      </c>
    </row>
    <row r="2102" spans="1:20" ht="100" customHeight="1">
      <c r="A2102" s="26"/>
      <c r="B2102" s="39" t="str">
        <f t="shared" si="98"/>
        <v/>
      </c>
      <c r="C2102" s="43"/>
      <c r="D2102" s="51" t="str" cm="1">
        <f t="array" ref="D2102">IFERROR(INDEX(DB!G$2:G$2576,T2102),"")</f>
        <v/>
      </c>
      <c r="E2102" s="43"/>
      <c r="F2102" s="52" t="str" cm="1">
        <f t="array" ref="F2102">IFERROR(INDEX(DB!O$2:O$2576,T2102),"")</f>
        <v/>
      </c>
      <c r="G2102" s="43"/>
      <c r="H2102" s="40" t="str" cm="1">
        <f t="array" ref="H2102">IFERROR(INDEX(DB!P$2:P$2576,T2102),"")</f>
        <v/>
      </c>
      <c r="I2102" s="43"/>
      <c r="J2102" s="53" t="str" cm="1">
        <f t="array" ref="J2102">IFERROR(INDEX(DB!Q$2:Q$2576,T2102),"")</f>
        <v/>
      </c>
      <c r="K2102" s="43"/>
      <c r="L2102" s="41" t="str" cm="1">
        <f t="array" ref="L2102">IFERROR(INDEX(DB!R$2:R$2576,T2102),"")</f>
        <v/>
      </c>
      <c r="M2102" s="43"/>
      <c r="P2102" t="str" cm="1">
        <f t="array" ref="P2102">IFERROR(_xlfn.AGGREGATE(15,6,ROW(DB!A$2:A$2576)/((($D$3&lt;&gt;"YES")+($D$3="YES")*(DB!E$2:E$2576="YES"))*(($D$4="")+($D$4&lt;&gt;"")*( DB!B$2:B$2576=$D$4))*(($D$5="")+($D$5&lt;&gt;"")*( DB!C$2:C$2576=$D$5))*(($D$6="")+($D$6&lt;&gt;"")*( DB!D$2:D$2576=$D$6))*(($D$7="")+($D$7&lt;&gt;"")*(ISNUMBER(SEARCH($D$7,DB!G$2:G$2576))))*(($F$7="전체")+($F$7&lt;&gt;"전체")*(DB!H$2:H$2576=$F$7))),ROW()-13)-1,"")</f>
        <v/>
      </c>
      <c r="Q2102" t="str" cm="1">
        <f t="array" ref="Q2102">IFERROR(INDEX(DB!G$2:G$2576,P2102),"")</f>
        <v/>
      </c>
      <c r="R2102" t="str" cm="1">
        <f t="array" ref="R2102">IFERROR(INDEX(DB!O$2:O$2576,P2102),"")</f>
        <v/>
      </c>
      <c r="S2102" t="str">
        <f t="shared" si="99"/>
        <v/>
      </c>
      <c r="T2102" t="str">
        <f t="shared" si="100"/>
        <v/>
      </c>
    </row>
    <row r="2103" spans="1:20" ht="100" customHeight="1">
      <c r="A2103" s="26"/>
      <c r="B2103" s="42" t="str">
        <f t="shared" si="98"/>
        <v/>
      </c>
      <c r="C2103" s="43"/>
      <c r="D2103" s="51" t="str" cm="1">
        <f t="array" ref="D2103">IFERROR(INDEX(DB!G$2:G$2576,T2103),"")</f>
        <v/>
      </c>
      <c r="E2103" s="43"/>
      <c r="F2103" s="52" t="str" cm="1">
        <f t="array" ref="F2103">IFERROR(INDEX(DB!O$2:O$2576,T2103),"")</f>
        <v/>
      </c>
      <c r="G2103" s="43"/>
      <c r="H2103" s="40" t="str" cm="1">
        <f t="array" ref="H2103">IFERROR(INDEX(DB!P$2:P$2576,T2103),"")</f>
        <v/>
      </c>
      <c r="I2103" s="43"/>
      <c r="J2103" s="53" t="str" cm="1">
        <f t="array" ref="J2103">IFERROR(INDEX(DB!Q$2:Q$2576,T2103),"")</f>
        <v/>
      </c>
      <c r="K2103" s="43"/>
      <c r="L2103" s="41" t="str" cm="1">
        <f t="array" ref="L2103">IFERROR(INDEX(DB!R$2:R$2576,T2103),"")</f>
        <v/>
      </c>
      <c r="M2103" s="43"/>
      <c r="P2103" t="str" cm="1">
        <f t="array" ref="P2103">IFERROR(_xlfn.AGGREGATE(15,6,ROW(DB!A$2:A$2576)/((($D$3&lt;&gt;"YES")+($D$3="YES")*(DB!E$2:E$2576="YES"))*(($D$4="")+($D$4&lt;&gt;"")*( DB!B$2:B$2576=$D$4))*(($D$5="")+($D$5&lt;&gt;"")*( DB!C$2:C$2576=$D$5))*(($D$6="")+($D$6&lt;&gt;"")*( DB!D$2:D$2576=$D$6))*(($D$7="")+($D$7&lt;&gt;"")*(ISNUMBER(SEARCH($D$7,DB!G$2:G$2576))))*(($F$7="전체")+($F$7&lt;&gt;"전체")*(DB!H$2:H$2576=$F$7))),ROW()-13)-1,"")</f>
        <v/>
      </c>
      <c r="Q2103" t="str" cm="1">
        <f t="array" ref="Q2103">IFERROR(INDEX(DB!G$2:G$2576,P2103),"")</f>
        <v/>
      </c>
      <c r="R2103" t="str" cm="1">
        <f t="array" ref="R2103">IFERROR(INDEX(DB!O$2:O$2576,P2103),"")</f>
        <v/>
      </c>
      <c r="S2103" t="str">
        <f t="shared" si="99"/>
        <v/>
      </c>
      <c r="T2103" t="str">
        <f t="shared" si="100"/>
        <v/>
      </c>
    </row>
    <row r="2104" spans="1:20" ht="100" customHeight="1">
      <c r="A2104" s="26"/>
      <c r="B2104" s="39" t="str">
        <f t="shared" si="98"/>
        <v/>
      </c>
      <c r="C2104" s="43"/>
      <c r="D2104" s="51" t="str" cm="1">
        <f t="array" ref="D2104">IFERROR(INDEX(DB!G$2:G$2576,T2104),"")</f>
        <v/>
      </c>
      <c r="E2104" s="43"/>
      <c r="F2104" s="52" t="str" cm="1">
        <f t="array" ref="F2104">IFERROR(INDEX(DB!O$2:O$2576,T2104),"")</f>
        <v/>
      </c>
      <c r="G2104" s="43"/>
      <c r="H2104" s="40" t="str" cm="1">
        <f t="array" ref="H2104">IFERROR(INDEX(DB!P$2:P$2576,T2104),"")</f>
        <v/>
      </c>
      <c r="I2104" s="43"/>
      <c r="J2104" s="53" t="str" cm="1">
        <f t="array" ref="J2104">IFERROR(INDEX(DB!Q$2:Q$2576,T2104),"")</f>
        <v/>
      </c>
      <c r="K2104" s="43"/>
      <c r="L2104" s="41" t="str" cm="1">
        <f t="array" ref="L2104">IFERROR(INDEX(DB!R$2:R$2576,T2104),"")</f>
        <v/>
      </c>
      <c r="M2104" s="43"/>
      <c r="P2104" t="str" cm="1">
        <f t="array" ref="P2104">IFERROR(_xlfn.AGGREGATE(15,6,ROW(DB!A$2:A$2576)/((($D$3&lt;&gt;"YES")+($D$3="YES")*(DB!E$2:E$2576="YES"))*(($D$4="")+($D$4&lt;&gt;"")*( DB!B$2:B$2576=$D$4))*(($D$5="")+($D$5&lt;&gt;"")*( DB!C$2:C$2576=$D$5))*(($D$6="")+($D$6&lt;&gt;"")*( DB!D$2:D$2576=$D$6))*(($D$7="")+($D$7&lt;&gt;"")*(ISNUMBER(SEARCH($D$7,DB!G$2:G$2576))))*(($F$7="전체")+($F$7&lt;&gt;"전체")*(DB!H$2:H$2576=$F$7))),ROW()-13)-1,"")</f>
        <v/>
      </c>
      <c r="Q2104" t="str" cm="1">
        <f t="array" ref="Q2104">IFERROR(INDEX(DB!G$2:G$2576,P2104),"")</f>
        <v/>
      </c>
      <c r="R2104" t="str" cm="1">
        <f t="array" ref="R2104">IFERROR(INDEX(DB!O$2:O$2576,P2104),"")</f>
        <v/>
      </c>
      <c r="S2104" t="str">
        <f t="shared" si="99"/>
        <v/>
      </c>
      <c r="T2104" t="str">
        <f t="shared" si="100"/>
        <v/>
      </c>
    </row>
    <row r="2105" spans="1:20" ht="100" customHeight="1">
      <c r="A2105" s="26"/>
      <c r="B2105" s="42" t="str">
        <f t="shared" si="98"/>
        <v/>
      </c>
      <c r="C2105" s="43"/>
      <c r="D2105" s="51" t="str" cm="1">
        <f t="array" ref="D2105">IFERROR(INDEX(DB!G$2:G$2576,T2105),"")</f>
        <v/>
      </c>
      <c r="E2105" s="43"/>
      <c r="F2105" s="52" t="str" cm="1">
        <f t="array" ref="F2105">IFERROR(INDEX(DB!O$2:O$2576,T2105),"")</f>
        <v/>
      </c>
      <c r="G2105" s="43"/>
      <c r="H2105" s="40" t="str" cm="1">
        <f t="array" ref="H2105">IFERROR(INDEX(DB!P$2:P$2576,T2105),"")</f>
        <v/>
      </c>
      <c r="I2105" s="43"/>
      <c r="J2105" s="53" t="str" cm="1">
        <f t="array" ref="J2105">IFERROR(INDEX(DB!Q$2:Q$2576,T2105),"")</f>
        <v/>
      </c>
      <c r="K2105" s="43"/>
      <c r="L2105" s="41" t="str" cm="1">
        <f t="array" ref="L2105">IFERROR(INDEX(DB!R$2:R$2576,T2105),"")</f>
        <v/>
      </c>
      <c r="M2105" s="43"/>
      <c r="P2105" t="str" cm="1">
        <f t="array" ref="P2105">IFERROR(_xlfn.AGGREGATE(15,6,ROW(DB!A$2:A$2576)/((($D$3&lt;&gt;"YES")+($D$3="YES")*(DB!E$2:E$2576="YES"))*(($D$4="")+($D$4&lt;&gt;"")*( DB!B$2:B$2576=$D$4))*(($D$5="")+($D$5&lt;&gt;"")*( DB!C$2:C$2576=$D$5))*(($D$6="")+($D$6&lt;&gt;"")*( DB!D$2:D$2576=$D$6))*(($D$7="")+($D$7&lt;&gt;"")*(ISNUMBER(SEARCH($D$7,DB!G$2:G$2576))))*(($F$7="전체")+($F$7&lt;&gt;"전체")*(DB!H$2:H$2576=$F$7))),ROW()-13)-1,"")</f>
        <v/>
      </c>
      <c r="Q2105" t="str" cm="1">
        <f t="array" ref="Q2105">IFERROR(INDEX(DB!G$2:G$2576,P2105),"")</f>
        <v/>
      </c>
      <c r="R2105" t="str" cm="1">
        <f t="array" ref="R2105">IFERROR(INDEX(DB!O$2:O$2576,P2105),"")</f>
        <v/>
      </c>
      <c r="S2105" t="str">
        <f t="shared" si="99"/>
        <v/>
      </c>
      <c r="T2105" t="str">
        <f t="shared" si="100"/>
        <v/>
      </c>
    </row>
    <row r="2106" spans="1:20" ht="100" customHeight="1">
      <c r="A2106" s="26"/>
      <c r="B2106" s="39" t="str">
        <f t="shared" si="98"/>
        <v/>
      </c>
      <c r="C2106" s="43"/>
      <c r="D2106" s="51" t="str" cm="1">
        <f t="array" ref="D2106">IFERROR(INDEX(DB!G$2:G$2576,T2106),"")</f>
        <v/>
      </c>
      <c r="E2106" s="43"/>
      <c r="F2106" s="52" t="str" cm="1">
        <f t="array" ref="F2106">IFERROR(INDEX(DB!O$2:O$2576,T2106),"")</f>
        <v/>
      </c>
      <c r="G2106" s="43"/>
      <c r="H2106" s="40" t="str" cm="1">
        <f t="array" ref="H2106">IFERROR(INDEX(DB!P$2:P$2576,T2106),"")</f>
        <v/>
      </c>
      <c r="I2106" s="43"/>
      <c r="J2106" s="53" t="str" cm="1">
        <f t="array" ref="J2106">IFERROR(INDEX(DB!Q$2:Q$2576,T2106),"")</f>
        <v/>
      </c>
      <c r="K2106" s="43"/>
      <c r="L2106" s="41" t="str" cm="1">
        <f t="array" ref="L2106">IFERROR(INDEX(DB!R$2:R$2576,T2106),"")</f>
        <v/>
      </c>
      <c r="M2106" s="43"/>
      <c r="P2106" t="str" cm="1">
        <f t="array" ref="P2106">IFERROR(_xlfn.AGGREGATE(15,6,ROW(DB!A$2:A$2576)/((($D$3&lt;&gt;"YES")+($D$3="YES")*(DB!E$2:E$2576="YES"))*(($D$4="")+($D$4&lt;&gt;"")*( DB!B$2:B$2576=$D$4))*(($D$5="")+($D$5&lt;&gt;"")*( DB!C$2:C$2576=$D$5))*(($D$6="")+($D$6&lt;&gt;"")*( DB!D$2:D$2576=$D$6))*(($D$7="")+($D$7&lt;&gt;"")*(ISNUMBER(SEARCH($D$7,DB!G$2:G$2576))))*(($F$7="전체")+($F$7&lt;&gt;"전체")*(DB!H$2:H$2576=$F$7))),ROW()-13)-1,"")</f>
        <v/>
      </c>
      <c r="Q2106" t="str" cm="1">
        <f t="array" ref="Q2106">IFERROR(INDEX(DB!G$2:G$2576,P2106),"")</f>
        <v/>
      </c>
      <c r="R2106" t="str" cm="1">
        <f t="array" ref="R2106">IFERROR(INDEX(DB!O$2:O$2576,P2106),"")</f>
        <v/>
      </c>
      <c r="S2106" t="str">
        <f t="shared" si="99"/>
        <v/>
      </c>
      <c r="T2106" t="str">
        <f t="shared" si="100"/>
        <v/>
      </c>
    </row>
    <row r="2107" spans="1:20" ht="100" customHeight="1">
      <c r="A2107" s="26"/>
      <c r="B2107" s="42" t="str">
        <f t="shared" si="98"/>
        <v/>
      </c>
      <c r="C2107" s="43"/>
      <c r="D2107" s="51" t="str" cm="1">
        <f t="array" ref="D2107">IFERROR(INDEX(DB!G$2:G$2576,T2107),"")</f>
        <v/>
      </c>
      <c r="E2107" s="43"/>
      <c r="F2107" s="52" t="str" cm="1">
        <f t="array" ref="F2107">IFERROR(INDEX(DB!O$2:O$2576,T2107),"")</f>
        <v/>
      </c>
      <c r="G2107" s="43"/>
      <c r="H2107" s="40" t="str" cm="1">
        <f t="array" ref="H2107">IFERROR(INDEX(DB!P$2:P$2576,T2107),"")</f>
        <v/>
      </c>
      <c r="I2107" s="43"/>
      <c r="J2107" s="53" t="str" cm="1">
        <f t="array" ref="J2107">IFERROR(INDEX(DB!Q$2:Q$2576,T2107),"")</f>
        <v/>
      </c>
      <c r="K2107" s="43"/>
      <c r="L2107" s="41" t="str" cm="1">
        <f t="array" ref="L2107">IFERROR(INDEX(DB!R$2:R$2576,T2107),"")</f>
        <v/>
      </c>
      <c r="M2107" s="43"/>
      <c r="P2107" t="str" cm="1">
        <f t="array" ref="P2107">IFERROR(_xlfn.AGGREGATE(15,6,ROW(DB!A$2:A$2576)/((($D$3&lt;&gt;"YES")+($D$3="YES")*(DB!E$2:E$2576="YES"))*(($D$4="")+($D$4&lt;&gt;"")*( DB!B$2:B$2576=$D$4))*(($D$5="")+($D$5&lt;&gt;"")*( DB!C$2:C$2576=$D$5))*(($D$6="")+($D$6&lt;&gt;"")*( DB!D$2:D$2576=$D$6))*(($D$7="")+($D$7&lt;&gt;"")*(ISNUMBER(SEARCH($D$7,DB!G$2:G$2576))))*(($F$7="전체")+($F$7&lt;&gt;"전체")*(DB!H$2:H$2576=$F$7))),ROW()-13)-1,"")</f>
        <v/>
      </c>
      <c r="Q2107" t="str" cm="1">
        <f t="array" ref="Q2107">IFERROR(INDEX(DB!G$2:G$2576,P2107),"")</f>
        <v/>
      </c>
      <c r="R2107" t="str" cm="1">
        <f t="array" ref="R2107">IFERROR(INDEX(DB!O$2:O$2576,P2107),"")</f>
        <v/>
      </c>
      <c r="S2107" t="str">
        <f t="shared" si="99"/>
        <v/>
      </c>
      <c r="T2107" t="str">
        <f t="shared" si="100"/>
        <v/>
      </c>
    </row>
    <row r="2108" spans="1:20" ht="100" customHeight="1">
      <c r="A2108" s="26"/>
      <c r="B2108" s="39" t="str">
        <f t="shared" si="98"/>
        <v/>
      </c>
      <c r="C2108" s="43"/>
      <c r="D2108" s="51" t="str" cm="1">
        <f t="array" ref="D2108">IFERROR(INDEX(DB!G$2:G$2576,T2108),"")</f>
        <v/>
      </c>
      <c r="E2108" s="43"/>
      <c r="F2108" s="52" t="str" cm="1">
        <f t="array" ref="F2108">IFERROR(INDEX(DB!O$2:O$2576,T2108),"")</f>
        <v/>
      </c>
      <c r="G2108" s="43"/>
      <c r="H2108" s="40" t="str" cm="1">
        <f t="array" ref="H2108">IFERROR(INDEX(DB!P$2:P$2576,T2108),"")</f>
        <v/>
      </c>
      <c r="I2108" s="43"/>
      <c r="J2108" s="53" t="str" cm="1">
        <f t="array" ref="J2108">IFERROR(INDEX(DB!Q$2:Q$2576,T2108),"")</f>
        <v/>
      </c>
      <c r="K2108" s="43"/>
      <c r="L2108" s="41" t="str" cm="1">
        <f t="array" ref="L2108">IFERROR(INDEX(DB!R$2:R$2576,T2108),"")</f>
        <v/>
      </c>
      <c r="M2108" s="43"/>
      <c r="P2108" t="str" cm="1">
        <f t="array" ref="P2108">IFERROR(_xlfn.AGGREGATE(15,6,ROW(DB!A$2:A$2576)/((($D$3&lt;&gt;"YES")+($D$3="YES")*(DB!E$2:E$2576="YES"))*(($D$4="")+($D$4&lt;&gt;"")*( DB!B$2:B$2576=$D$4))*(($D$5="")+($D$5&lt;&gt;"")*( DB!C$2:C$2576=$D$5))*(($D$6="")+($D$6&lt;&gt;"")*( DB!D$2:D$2576=$D$6))*(($D$7="")+($D$7&lt;&gt;"")*(ISNUMBER(SEARCH($D$7,DB!G$2:G$2576))))*(($F$7="전체")+($F$7&lt;&gt;"전체")*(DB!H$2:H$2576=$F$7))),ROW()-13)-1,"")</f>
        <v/>
      </c>
      <c r="Q2108" t="str" cm="1">
        <f t="array" ref="Q2108">IFERROR(INDEX(DB!G$2:G$2576,P2108),"")</f>
        <v/>
      </c>
      <c r="R2108" t="str" cm="1">
        <f t="array" ref="R2108">IFERROR(INDEX(DB!O$2:O$2576,P2108),"")</f>
        <v/>
      </c>
      <c r="S2108" t="str">
        <f t="shared" si="99"/>
        <v/>
      </c>
      <c r="T2108" t="str">
        <f t="shared" si="100"/>
        <v/>
      </c>
    </row>
    <row r="2109" spans="1:20" ht="100" customHeight="1">
      <c r="A2109" s="26"/>
      <c r="B2109" s="42" t="str">
        <f t="shared" si="98"/>
        <v/>
      </c>
      <c r="C2109" s="43"/>
      <c r="D2109" s="51" t="str" cm="1">
        <f t="array" ref="D2109">IFERROR(INDEX(DB!G$2:G$2576,T2109),"")</f>
        <v/>
      </c>
      <c r="E2109" s="43"/>
      <c r="F2109" s="52" t="str" cm="1">
        <f t="array" ref="F2109">IFERROR(INDEX(DB!O$2:O$2576,T2109),"")</f>
        <v/>
      </c>
      <c r="G2109" s="43"/>
      <c r="H2109" s="40" t="str" cm="1">
        <f t="array" ref="H2109">IFERROR(INDEX(DB!P$2:P$2576,T2109),"")</f>
        <v/>
      </c>
      <c r="I2109" s="43"/>
      <c r="J2109" s="53" t="str" cm="1">
        <f t="array" ref="J2109">IFERROR(INDEX(DB!Q$2:Q$2576,T2109),"")</f>
        <v/>
      </c>
      <c r="K2109" s="43"/>
      <c r="L2109" s="41" t="str" cm="1">
        <f t="array" ref="L2109">IFERROR(INDEX(DB!R$2:R$2576,T2109),"")</f>
        <v/>
      </c>
      <c r="M2109" s="43"/>
      <c r="P2109" t="str" cm="1">
        <f t="array" ref="P2109">IFERROR(_xlfn.AGGREGATE(15,6,ROW(DB!A$2:A$2576)/((($D$3&lt;&gt;"YES")+($D$3="YES")*(DB!E$2:E$2576="YES"))*(($D$4="")+($D$4&lt;&gt;"")*( DB!B$2:B$2576=$D$4))*(($D$5="")+($D$5&lt;&gt;"")*( DB!C$2:C$2576=$D$5))*(($D$6="")+($D$6&lt;&gt;"")*( DB!D$2:D$2576=$D$6))*(($D$7="")+($D$7&lt;&gt;"")*(ISNUMBER(SEARCH($D$7,DB!G$2:G$2576))))*(($F$7="전체")+($F$7&lt;&gt;"전체")*(DB!H$2:H$2576=$F$7))),ROW()-13)-1,"")</f>
        <v/>
      </c>
      <c r="Q2109" t="str" cm="1">
        <f t="array" ref="Q2109">IFERROR(INDEX(DB!G$2:G$2576,P2109),"")</f>
        <v/>
      </c>
      <c r="R2109" t="str" cm="1">
        <f t="array" ref="R2109">IFERROR(INDEX(DB!O$2:O$2576,P2109),"")</f>
        <v/>
      </c>
      <c r="S2109" t="str">
        <f t="shared" si="99"/>
        <v/>
      </c>
      <c r="T2109" t="str">
        <f t="shared" si="100"/>
        <v/>
      </c>
    </row>
    <row r="2110" spans="1:20" ht="100" customHeight="1">
      <c r="A2110" s="26"/>
      <c r="B2110" s="39" t="str">
        <f t="shared" si="98"/>
        <v/>
      </c>
      <c r="C2110" s="43"/>
      <c r="D2110" s="51" t="str" cm="1">
        <f t="array" ref="D2110">IFERROR(INDEX(DB!G$2:G$2576,T2110),"")</f>
        <v/>
      </c>
      <c r="E2110" s="43"/>
      <c r="F2110" s="52" t="str" cm="1">
        <f t="array" ref="F2110">IFERROR(INDEX(DB!O$2:O$2576,T2110),"")</f>
        <v/>
      </c>
      <c r="G2110" s="43"/>
      <c r="H2110" s="40" t="str" cm="1">
        <f t="array" ref="H2110">IFERROR(INDEX(DB!P$2:P$2576,T2110),"")</f>
        <v/>
      </c>
      <c r="I2110" s="43"/>
      <c r="J2110" s="53" t="str" cm="1">
        <f t="array" ref="J2110">IFERROR(INDEX(DB!Q$2:Q$2576,T2110),"")</f>
        <v/>
      </c>
      <c r="K2110" s="43"/>
      <c r="L2110" s="41" t="str" cm="1">
        <f t="array" ref="L2110">IFERROR(INDEX(DB!R$2:R$2576,T2110),"")</f>
        <v/>
      </c>
      <c r="M2110" s="43"/>
      <c r="P2110" t="str" cm="1">
        <f t="array" ref="P2110">IFERROR(_xlfn.AGGREGATE(15,6,ROW(DB!A$2:A$2576)/((($D$3&lt;&gt;"YES")+($D$3="YES")*(DB!E$2:E$2576="YES"))*(($D$4="")+($D$4&lt;&gt;"")*( DB!B$2:B$2576=$D$4))*(($D$5="")+($D$5&lt;&gt;"")*( DB!C$2:C$2576=$D$5))*(($D$6="")+($D$6&lt;&gt;"")*( DB!D$2:D$2576=$D$6))*(($D$7="")+($D$7&lt;&gt;"")*(ISNUMBER(SEARCH($D$7,DB!G$2:G$2576))))*(($F$7="전체")+($F$7&lt;&gt;"전체")*(DB!H$2:H$2576=$F$7))),ROW()-13)-1,"")</f>
        <v/>
      </c>
      <c r="Q2110" t="str" cm="1">
        <f t="array" ref="Q2110">IFERROR(INDEX(DB!G$2:G$2576,P2110),"")</f>
        <v/>
      </c>
      <c r="R2110" t="str" cm="1">
        <f t="array" ref="R2110">IFERROR(INDEX(DB!O$2:O$2576,P2110),"")</f>
        <v/>
      </c>
      <c r="S2110" t="str">
        <f t="shared" si="99"/>
        <v/>
      </c>
      <c r="T2110" t="str">
        <f t="shared" si="100"/>
        <v/>
      </c>
    </row>
    <row r="2111" spans="1:20" ht="100" customHeight="1">
      <c r="A2111" s="26"/>
      <c r="B2111" s="42" t="str">
        <f t="shared" si="98"/>
        <v/>
      </c>
      <c r="C2111" s="43"/>
      <c r="D2111" s="51" t="str" cm="1">
        <f t="array" ref="D2111">IFERROR(INDEX(DB!G$2:G$2576,T2111),"")</f>
        <v/>
      </c>
      <c r="E2111" s="43"/>
      <c r="F2111" s="52" t="str" cm="1">
        <f t="array" ref="F2111">IFERROR(INDEX(DB!O$2:O$2576,T2111),"")</f>
        <v/>
      </c>
      <c r="G2111" s="43"/>
      <c r="H2111" s="40" t="str" cm="1">
        <f t="array" ref="H2111">IFERROR(INDEX(DB!P$2:P$2576,T2111),"")</f>
        <v/>
      </c>
      <c r="I2111" s="43"/>
      <c r="J2111" s="53" t="str" cm="1">
        <f t="array" ref="J2111">IFERROR(INDEX(DB!Q$2:Q$2576,T2111),"")</f>
        <v/>
      </c>
      <c r="K2111" s="43"/>
      <c r="L2111" s="41" t="str" cm="1">
        <f t="array" ref="L2111">IFERROR(INDEX(DB!R$2:R$2576,T2111),"")</f>
        <v/>
      </c>
      <c r="M2111" s="43"/>
      <c r="P2111" t="str" cm="1">
        <f t="array" ref="P2111">IFERROR(_xlfn.AGGREGATE(15,6,ROW(DB!A$2:A$2576)/((($D$3&lt;&gt;"YES")+($D$3="YES")*(DB!E$2:E$2576="YES"))*(($D$4="")+($D$4&lt;&gt;"")*( DB!B$2:B$2576=$D$4))*(($D$5="")+($D$5&lt;&gt;"")*( DB!C$2:C$2576=$D$5))*(($D$6="")+($D$6&lt;&gt;"")*( DB!D$2:D$2576=$D$6))*(($D$7="")+($D$7&lt;&gt;"")*(ISNUMBER(SEARCH($D$7,DB!G$2:G$2576))))*(($F$7="전체")+($F$7&lt;&gt;"전체")*(DB!H$2:H$2576=$F$7))),ROW()-13)-1,"")</f>
        <v/>
      </c>
      <c r="Q2111" t="str" cm="1">
        <f t="array" ref="Q2111">IFERROR(INDEX(DB!G$2:G$2576,P2111),"")</f>
        <v/>
      </c>
      <c r="R2111" t="str" cm="1">
        <f t="array" ref="R2111">IFERROR(INDEX(DB!O$2:O$2576,P2111),"")</f>
        <v/>
      </c>
      <c r="S2111" t="str">
        <f t="shared" si="99"/>
        <v/>
      </c>
      <c r="T2111" t="str">
        <f t="shared" si="100"/>
        <v/>
      </c>
    </row>
    <row r="2112" spans="1:20" ht="100" customHeight="1">
      <c r="A2112" s="26"/>
      <c r="B2112" s="39" t="str">
        <f t="shared" si="98"/>
        <v/>
      </c>
      <c r="C2112" s="43"/>
      <c r="D2112" s="51" t="str" cm="1">
        <f t="array" ref="D2112">IFERROR(INDEX(DB!G$2:G$2576,T2112),"")</f>
        <v/>
      </c>
      <c r="E2112" s="43"/>
      <c r="F2112" s="52" t="str" cm="1">
        <f t="array" ref="F2112">IFERROR(INDEX(DB!O$2:O$2576,T2112),"")</f>
        <v/>
      </c>
      <c r="G2112" s="43"/>
      <c r="H2112" s="40" t="str" cm="1">
        <f t="array" ref="H2112">IFERROR(INDEX(DB!P$2:P$2576,T2112),"")</f>
        <v/>
      </c>
      <c r="I2112" s="43"/>
      <c r="J2112" s="53" t="str" cm="1">
        <f t="array" ref="J2112">IFERROR(INDEX(DB!Q$2:Q$2576,T2112),"")</f>
        <v/>
      </c>
      <c r="K2112" s="43"/>
      <c r="L2112" s="41" t="str" cm="1">
        <f t="array" ref="L2112">IFERROR(INDEX(DB!R$2:R$2576,T2112),"")</f>
        <v/>
      </c>
      <c r="M2112" s="43"/>
      <c r="P2112" t="str" cm="1">
        <f t="array" ref="P2112">IFERROR(_xlfn.AGGREGATE(15,6,ROW(DB!A$2:A$2576)/((($D$3&lt;&gt;"YES")+($D$3="YES")*(DB!E$2:E$2576="YES"))*(($D$4="")+($D$4&lt;&gt;"")*( DB!B$2:B$2576=$D$4))*(($D$5="")+($D$5&lt;&gt;"")*( DB!C$2:C$2576=$D$5))*(($D$6="")+($D$6&lt;&gt;"")*( DB!D$2:D$2576=$D$6))*(($D$7="")+($D$7&lt;&gt;"")*(ISNUMBER(SEARCH($D$7,DB!G$2:G$2576))))*(($F$7="전체")+($F$7&lt;&gt;"전체")*(DB!H$2:H$2576=$F$7))),ROW()-13)-1,"")</f>
        <v/>
      </c>
      <c r="Q2112" t="str" cm="1">
        <f t="array" ref="Q2112">IFERROR(INDEX(DB!G$2:G$2576,P2112),"")</f>
        <v/>
      </c>
      <c r="R2112" t="str" cm="1">
        <f t="array" ref="R2112">IFERROR(INDEX(DB!O$2:O$2576,P2112),"")</f>
        <v/>
      </c>
      <c r="S2112" t="str">
        <f t="shared" si="99"/>
        <v/>
      </c>
      <c r="T2112" t="str">
        <f t="shared" si="100"/>
        <v/>
      </c>
    </row>
    <row r="2113" spans="1:20" ht="100" customHeight="1">
      <c r="A2113" s="26"/>
      <c r="B2113" s="42" t="str">
        <f t="shared" si="98"/>
        <v/>
      </c>
      <c r="C2113" s="43"/>
      <c r="D2113" s="51" t="str" cm="1">
        <f t="array" ref="D2113">IFERROR(INDEX(DB!G$2:G$2576,T2113),"")</f>
        <v/>
      </c>
      <c r="E2113" s="43"/>
      <c r="F2113" s="52" t="str" cm="1">
        <f t="array" ref="F2113">IFERROR(INDEX(DB!O$2:O$2576,T2113),"")</f>
        <v/>
      </c>
      <c r="G2113" s="43"/>
      <c r="H2113" s="40" t="str" cm="1">
        <f t="array" ref="H2113">IFERROR(INDEX(DB!P$2:P$2576,T2113),"")</f>
        <v/>
      </c>
      <c r="I2113" s="43"/>
      <c r="J2113" s="53" t="str" cm="1">
        <f t="array" ref="J2113">IFERROR(INDEX(DB!Q$2:Q$2576,T2113),"")</f>
        <v/>
      </c>
      <c r="K2113" s="43"/>
      <c r="L2113" s="41" t="str" cm="1">
        <f t="array" ref="L2113">IFERROR(INDEX(DB!R$2:R$2576,T2113),"")</f>
        <v/>
      </c>
      <c r="M2113" s="43"/>
      <c r="P2113" t="str" cm="1">
        <f t="array" ref="P2113">IFERROR(_xlfn.AGGREGATE(15,6,ROW(DB!A$2:A$2576)/((($D$3&lt;&gt;"YES")+($D$3="YES")*(DB!E$2:E$2576="YES"))*(($D$4="")+($D$4&lt;&gt;"")*( DB!B$2:B$2576=$D$4))*(($D$5="")+($D$5&lt;&gt;"")*( DB!C$2:C$2576=$D$5))*(($D$6="")+($D$6&lt;&gt;"")*( DB!D$2:D$2576=$D$6))*(($D$7="")+($D$7&lt;&gt;"")*(ISNUMBER(SEARCH($D$7,DB!G$2:G$2576))))*(($F$7="전체")+($F$7&lt;&gt;"전체")*(DB!H$2:H$2576=$F$7))),ROW()-13)-1,"")</f>
        <v/>
      </c>
      <c r="Q2113" t="str" cm="1">
        <f t="array" ref="Q2113">IFERROR(INDEX(DB!G$2:G$2576,P2113),"")</f>
        <v/>
      </c>
      <c r="R2113" t="str" cm="1">
        <f t="array" ref="R2113">IFERROR(INDEX(DB!O$2:O$2576,P2113),"")</f>
        <v/>
      </c>
      <c r="S2113" t="str">
        <f t="shared" si="99"/>
        <v/>
      </c>
      <c r="T2113" t="str">
        <f t="shared" si="100"/>
        <v/>
      </c>
    </row>
    <row r="2114" spans="1:20" ht="100" customHeight="1">
      <c r="A2114" s="26"/>
      <c r="B2114" s="39" t="str">
        <f t="shared" si="98"/>
        <v/>
      </c>
      <c r="C2114" s="43"/>
      <c r="D2114" s="51" t="str" cm="1">
        <f t="array" ref="D2114">IFERROR(INDEX(DB!G$2:G$2576,T2114),"")</f>
        <v/>
      </c>
      <c r="E2114" s="43"/>
      <c r="F2114" s="52" t="str" cm="1">
        <f t="array" ref="F2114">IFERROR(INDEX(DB!O$2:O$2576,T2114),"")</f>
        <v/>
      </c>
      <c r="G2114" s="43"/>
      <c r="H2114" s="40" t="str" cm="1">
        <f t="array" ref="H2114">IFERROR(INDEX(DB!P$2:P$2576,T2114),"")</f>
        <v/>
      </c>
      <c r="I2114" s="43"/>
      <c r="J2114" s="53" t="str" cm="1">
        <f t="array" ref="J2114">IFERROR(INDEX(DB!Q$2:Q$2576,T2114),"")</f>
        <v/>
      </c>
      <c r="K2114" s="43"/>
      <c r="L2114" s="41" t="str" cm="1">
        <f t="array" ref="L2114">IFERROR(INDEX(DB!R$2:R$2576,T2114),"")</f>
        <v/>
      </c>
      <c r="M2114" s="43"/>
      <c r="P2114" t="str" cm="1">
        <f t="array" ref="P2114">IFERROR(_xlfn.AGGREGATE(15,6,ROW(DB!A$2:A$2576)/((($D$3&lt;&gt;"YES")+($D$3="YES")*(DB!E$2:E$2576="YES"))*(($D$4="")+($D$4&lt;&gt;"")*( DB!B$2:B$2576=$D$4))*(($D$5="")+($D$5&lt;&gt;"")*( DB!C$2:C$2576=$D$5))*(($D$6="")+($D$6&lt;&gt;"")*( DB!D$2:D$2576=$D$6))*(($D$7="")+($D$7&lt;&gt;"")*(ISNUMBER(SEARCH($D$7,DB!G$2:G$2576))))*(($F$7="전체")+($F$7&lt;&gt;"전체")*(DB!H$2:H$2576=$F$7))),ROW()-13)-1,"")</f>
        <v/>
      </c>
      <c r="Q2114" t="str" cm="1">
        <f t="array" ref="Q2114">IFERROR(INDEX(DB!G$2:G$2576,P2114),"")</f>
        <v/>
      </c>
      <c r="R2114" t="str" cm="1">
        <f t="array" ref="R2114">IFERROR(INDEX(DB!O$2:O$2576,P2114),"")</f>
        <v/>
      </c>
      <c r="S2114" t="str">
        <f t="shared" si="99"/>
        <v/>
      </c>
      <c r="T2114" t="str">
        <f t="shared" si="100"/>
        <v/>
      </c>
    </row>
    <row r="2115" spans="1:20" ht="100" customHeight="1">
      <c r="A2115" s="26"/>
      <c r="B2115" s="42" t="str">
        <f t="shared" si="98"/>
        <v/>
      </c>
      <c r="C2115" s="43"/>
      <c r="D2115" s="51" t="str" cm="1">
        <f t="array" ref="D2115">IFERROR(INDEX(DB!G$2:G$2576,T2115),"")</f>
        <v/>
      </c>
      <c r="E2115" s="43"/>
      <c r="F2115" s="52" t="str" cm="1">
        <f t="array" ref="F2115">IFERROR(INDEX(DB!O$2:O$2576,T2115),"")</f>
        <v/>
      </c>
      <c r="G2115" s="43"/>
      <c r="H2115" s="40" t="str" cm="1">
        <f t="array" ref="H2115">IFERROR(INDEX(DB!P$2:P$2576,T2115),"")</f>
        <v/>
      </c>
      <c r="I2115" s="43"/>
      <c r="J2115" s="53" t="str" cm="1">
        <f t="array" ref="J2115">IFERROR(INDEX(DB!Q$2:Q$2576,T2115),"")</f>
        <v/>
      </c>
      <c r="K2115" s="43"/>
      <c r="L2115" s="41" t="str" cm="1">
        <f t="array" ref="L2115">IFERROR(INDEX(DB!R$2:R$2576,T2115),"")</f>
        <v/>
      </c>
      <c r="M2115" s="43"/>
      <c r="P2115" t="str" cm="1">
        <f t="array" ref="P2115">IFERROR(_xlfn.AGGREGATE(15,6,ROW(DB!A$2:A$2576)/((($D$3&lt;&gt;"YES")+($D$3="YES")*(DB!E$2:E$2576="YES"))*(($D$4="")+($D$4&lt;&gt;"")*( DB!B$2:B$2576=$D$4))*(($D$5="")+($D$5&lt;&gt;"")*( DB!C$2:C$2576=$D$5))*(($D$6="")+($D$6&lt;&gt;"")*( DB!D$2:D$2576=$D$6))*(($D$7="")+($D$7&lt;&gt;"")*(ISNUMBER(SEARCH($D$7,DB!G$2:G$2576))))*(($F$7="전체")+($F$7&lt;&gt;"전체")*(DB!H$2:H$2576=$F$7))),ROW()-13)-1,"")</f>
        <v/>
      </c>
      <c r="Q2115" t="str" cm="1">
        <f t="array" ref="Q2115">IFERROR(INDEX(DB!G$2:G$2576,P2115),"")</f>
        <v/>
      </c>
      <c r="R2115" t="str" cm="1">
        <f t="array" ref="R2115">IFERROR(INDEX(DB!O$2:O$2576,P2115),"")</f>
        <v/>
      </c>
      <c r="S2115" t="str">
        <f t="shared" si="99"/>
        <v/>
      </c>
      <c r="T2115" t="str">
        <f t="shared" si="100"/>
        <v/>
      </c>
    </row>
    <row r="2116" spans="1:20" ht="100" customHeight="1">
      <c r="A2116" s="26"/>
      <c r="B2116" s="39" t="str">
        <f t="shared" si="98"/>
        <v/>
      </c>
      <c r="C2116" s="43"/>
      <c r="D2116" s="51" t="str" cm="1">
        <f t="array" ref="D2116">IFERROR(INDEX(DB!G$2:G$2576,T2116),"")</f>
        <v/>
      </c>
      <c r="E2116" s="43"/>
      <c r="F2116" s="52" t="str" cm="1">
        <f t="array" ref="F2116">IFERROR(INDEX(DB!O$2:O$2576,T2116),"")</f>
        <v/>
      </c>
      <c r="G2116" s="43"/>
      <c r="H2116" s="40" t="str" cm="1">
        <f t="array" ref="H2116">IFERROR(INDEX(DB!P$2:P$2576,T2116),"")</f>
        <v/>
      </c>
      <c r="I2116" s="43"/>
      <c r="J2116" s="53" t="str" cm="1">
        <f t="array" ref="J2116">IFERROR(INDEX(DB!Q$2:Q$2576,T2116),"")</f>
        <v/>
      </c>
      <c r="K2116" s="43"/>
      <c r="L2116" s="41" t="str" cm="1">
        <f t="array" ref="L2116">IFERROR(INDEX(DB!R$2:R$2576,T2116),"")</f>
        <v/>
      </c>
      <c r="M2116" s="43"/>
      <c r="P2116" t="str" cm="1">
        <f t="array" ref="P2116">IFERROR(_xlfn.AGGREGATE(15,6,ROW(DB!A$2:A$2576)/((($D$3&lt;&gt;"YES")+($D$3="YES")*(DB!E$2:E$2576="YES"))*(($D$4="")+($D$4&lt;&gt;"")*( DB!B$2:B$2576=$D$4))*(($D$5="")+($D$5&lt;&gt;"")*( DB!C$2:C$2576=$D$5))*(($D$6="")+($D$6&lt;&gt;"")*( DB!D$2:D$2576=$D$6))*(($D$7="")+($D$7&lt;&gt;"")*(ISNUMBER(SEARCH($D$7,DB!G$2:G$2576))))*(($F$7="전체")+($F$7&lt;&gt;"전체")*(DB!H$2:H$2576=$F$7))),ROW()-13)-1,"")</f>
        <v/>
      </c>
      <c r="Q2116" t="str" cm="1">
        <f t="array" ref="Q2116">IFERROR(INDEX(DB!G$2:G$2576,P2116),"")</f>
        <v/>
      </c>
      <c r="R2116" t="str" cm="1">
        <f t="array" ref="R2116">IFERROR(INDEX(DB!O$2:O$2576,P2116),"")</f>
        <v/>
      </c>
      <c r="S2116" t="str">
        <f t="shared" si="99"/>
        <v/>
      </c>
      <c r="T2116" t="str">
        <f t="shared" si="100"/>
        <v/>
      </c>
    </row>
    <row r="2117" spans="1:20" ht="100" customHeight="1">
      <c r="A2117" s="26"/>
      <c r="B2117" s="42" t="str">
        <f t="shared" si="98"/>
        <v/>
      </c>
      <c r="C2117" s="43"/>
      <c r="D2117" s="51" t="str" cm="1">
        <f t="array" ref="D2117">IFERROR(INDEX(DB!G$2:G$2576,T2117),"")</f>
        <v/>
      </c>
      <c r="E2117" s="43"/>
      <c r="F2117" s="52" t="str" cm="1">
        <f t="array" ref="F2117">IFERROR(INDEX(DB!O$2:O$2576,T2117),"")</f>
        <v/>
      </c>
      <c r="G2117" s="43"/>
      <c r="H2117" s="40" t="str" cm="1">
        <f t="array" ref="H2117">IFERROR(INDEX(DB!P$2:P$2576,T2117),"")</f>
        <v/>
      </c>
      <c r="I2117" s="43"/>
      <c r="J2117" s="53" t="str" cm="1">
        <f t="array" ref="J2117">IFERROR(INDEX(DB!Q$2:Q$2576,T2117),"")</f>
        <v/>
      </c>
      <c r="K2117" s="43"/>
      <c r="L2117" s="41" t="str" cm="1">
        <f t="array" ref="L2117">IFERROR(INDEX(DB!R$2:R$2576,T2117),"")</f>
        <v/>
      </c>
      <c r="M2117" s="43"/>
      <c r="P2117" t="str" cm="1">
        <f t="array" ref="P2117">IFERROR(_xlfn.AGGREGATE(15,6,ROW(DB!A$2:A$2576)/((($D$3&lt;&gt;"YES")+($D$3="YES")*(DB!E$2:E$2576="YES"))*(($D$4="")+($D$4&lt;&gt;"")*( DB!B$2:B$2576=$D$4))*(($D$5="")+($D$5&lt;&gt;"")*( DB!C$2:C$2576=$D$5))*(($D$6="")+($D$6&lt;&gt;"")*( DB!D$2:D$2576=$D$6))*(($D$7="")+($D$7&lt;&gt;"")*(ISNUMBER(SEARCH($D$7,DB!G$2:G$2576))))*(($F$7="전체")+($F$7&lt;&gt;"전체")*(DB!H$2:H$2576=$F$7))),ROW()-13)-1,"")</f>
        <v/>
      </c>
      <c r="Q2117" t="str" cm="1">
        <f t="array" ref="Q2117">IFERROR(INDEX(DB!G$2:G$2576,P2117),"")</f>
        <v/>
      </c>
      <c r="R2117" t="str" cm="1">
        <f t="array" ref="R2117">IFERROR(INDEX(DB!O$2:O$2576,P2117),"")</f>
        <v/>
      </c>
      <c r="S2117" t="str">
        <f t="shared" si="99"/>
        <v/>
      </c>
      <c r="T2117" t="str">
        <f t="shared" si="100"/>
        <v/>
      </c>
    </row>
    <row r="2118" spans="1:20" ht="100" customHeight="1">
      <c r="A2118" s="26"/>
      <c r="B2118" s="39" t="str">
        <f t="shared" si="98"/>
        <v/>
      </c>
      <c r="C2118" s="43"/>
      <c r="D2118" s="51" t="str" cm="1">
        <f t="array" ref="D2118">IFERROR(INDEX(DB!G$2:G$2576,T2118),"")</f>
        <v/>
      </c>
      <c r="E2118" s="43"/>
      <c r="F2118" s="52" t="str" cm="1">
        <f t="array" ref="F2118">IFERROR(INDEX(DB!O$2:O$2576,T2118),"")</f>
        <v/>
      </c>
      <c r="G2118" s="43"/>
      <c r="H2118" s="40" t="str" cm="1">
        <f t="array" ref="H2118">IFERROR(INDEX(DB!P$2:P$2576,T2118),"")</f>
        <v/>
      </c>
      <c r="I2118" s="43"/>
      <c r="J2118" s="53" t="str" cm="1">
        <f t="array" ref="J2118">IFERROR(INDEX(DB!Q$2:Q$2576,T2118),"")</f>
        <v/>
      </c>
      <c r="K2118" s="43"/>
      <c r="L2118" s="41" t="str" cm="1">
        <f t="array" ref="L2118">IFERROR(INDEX(DB!R$2:R$2576,T2118),"")</f>
        <v/>
      </c>
      <c r="M2118" s="43"/>
      <c r="P2118" t="str" cm="1">
        <f t="array" ref="P2118">IFERROR(_xlfn.AGGREGATE(15,6,ROW(DB!A$2:A$2576)/((($D$3&lt;&gt;"YES")+($D$3="YES")*(DB!E$2:E$2576="YES"))*(($D$4="")+($D$4&lt;&gt;"")*( DB!B$2:B$2576=$D$4))*(($D$5="")+($D$5&lt;&gt;"")*( DB!C$2:C$2576=$D$5))*(($D$6="")+($D$6&lt;&gt;"")*( DB!D$2:D$2576=$D$6))*(($D$7="")+($D$7&lt;&gt;"")*(ISNUMBER(SEARCH($D$7,DB!G$2:G$2576))))*(($F$7="전체")+($F$7&lt;&gt;"전체")*(DB!H$2:H$2576=$F$7))),ROW()-13)-1,"")</f>
        <v/>
      </c>
      <c r="Q2118" t="str" cm="1">
        <f t="array" ref="Q2118">IFERROR(INDEX(DB!G$2:G$2576,P2118),"")</f>
        <v/>
      </c>
      <c r="R2118" t="str" cm="1">
        <f t="array" ref="R2118">IFERROR(INDEX(DB!O$2:O$2576,P2118),"")</f>
        <v/>
      </c>
      <c r="S2118" t="str">
        <f t="shared" si="99"/>
        <v/>
      </c>
      <c r="T2118" t="str">
        <f t="shared" si="100"/>
        <v/>
      </c>
    </row>
    <row r="2119" spans="1:20" ht="100" customHeight="1">
      <c r="A2119" s="26"/>
      <c r="B2119" s="42" t="str">
        <f t="shared" si="98"/>
        <v/>
      </c>
      <c r="C2119" s="43"/>
      <c r="D2119" s="51" t="str" cm="1">
        <f t="array" ref="D2119">IFERROR(INDEX(DB!G$2:G$2576,T2119),"")</f>
        <v/>
      </c>
      <c r="E2119" s="43"/>
      <c r="F2119" s="52" t="str" cm="1">
        <f t="array" ref="F2119">IFERROR(INDEX(DB!O$2:O$2576,T2119),"")</f>
        <v/>
      </c>
      <c r="G2119" s="43"/>
      <c r="H2119" s="40" t="str" cm="1">
        <f t="array" ref="H2119">IFERROR(INDEX(DB!P$2:P$2576,T2119),"")</f>
        <v/>
      </c>
      <c r="I2119" s="43"/>
      <c r="J2119" s="53" t="str" cm="1">
        <f t="array" ref="J2119">IFERROR(INDEX(DB!Q$2:Q$2576,T2119),"")</f>
        <v/>
      </c>
      <c r="K2119" s="43"/>
      <c r="L2119" s="41" t="str" cm="1">
        <f t="array" ref="L2119">IFERROR(INDEX(DB!R$2:R$2576,T2119),"")</f>
        <v/>
      </c>
      <c r="M2119" s="43"/>
      <c r="P2119" t="str" cm="1">
        <f t="array" ref="P2119">IFERROR(_xlfn.AGGREGATE(15,6,ROW(DB!A$2:A$2576)/((($D$3&lt;&gt;"YES")+($D$3="YES")*(DB!E$2:E$2576="YES"))*(($D$4="")+($D$4&lt;&gt;"")*( DB!B$2:B$2576=$D$4))*(($D$5="")+($D$5&lt;&gt;"")*( DB!C$2:C$2576=$D$5))*(($D$6="")+($D$6&lt;&gt;"")*( DB!D$2:D$2576=$D$6))*(($D$7="")+($D$7&lt;&gt;"")*(ISNUMBER(SEARCH($D$7,DB!G$2:G$2576))))*(($F$7="전체")+($F$7&lt;&gt;"전체")*(DB!H$2:H$2576=$F$7))),ROW()-13)-1,"")</f>
        <v/>
      </c>
      <c r="Q2119" t="str" cm="1">
        <f t="array" ref="Q2119">IFERROR(INDEX(DB!G$2:G$2576,P2119),"")</f>
        <v/>
      </c>
      <c r="R2119" t="str" cm="1">
        <f t="array" ref="R2119">IFERROR(INDEX(DB!O$2:O$2576,P2119),"")</f>
        <v/>
      </c>
      <c r="S2119" t="str">
        <f t="shared" si="99"/>
        <v/>
      </c>
      <c r="T2119" t="str">
        <f t="shared" si="100"/>
        <v/>
      </c>
    </row>
    <row r="2120" spans="1:20" ht="100" customHeight="1">
      <c r="A2120" s="26"/>
      <c r="B2120" s="39" t="str">
        <f t="shared" si="98"/>
        <v/>
      </c>
      <c r="C2120" s="43"/>
      <c r="D2120" s="51" t="str" cm="1">
        <f t="array" ref="D2120">IFERROR(INDEX(DB!G$2:G$2576,T2120),"")</f>
        <v/>
      </c>
      <c r="E2120" s="43"/>
      <c r="F2120" s="52" t="str" cm="1">
        <f t="array" ref="F2120">IFERROR(INDEX(DB!O$2:O$2576,T2120),"")</f>
        <v/>
      </c>
      <c r="G2120" s="43"/>
      <c r="H2120" s="40" t="str" cm="1">
        <f t="array" ref="H2120">IFERROR(INDEX(DB!P$2:P$2576,T2120),"")</f>
        <v/>
      </c>
      <c r="I2120" s="43"/>
      <c r="J2120" s="53" t="str" cm="1">
        <f t="array" ref="J2120">IFERROR(INDEX(DB!Q$2:Q$2576,T2120),"")</f>
        <v/>
      </c>
      <c r="K2120" s="43"/>
      <c r="L2120" s="41" t="str" cm="1">
        <f t="array" ref="L2120">IFERROR(INDEX(DB!R$2:R$2576,T2120),"")</f>
        <v/>
      </c>
      <c r="M2120" s="43"/>
      <c r="P2120" t="str" cm="1">
        <f t="array" ref="P2120">IFERROR(_xlfn.AGGREGATE(15,6,ROW(DB!A$2:A$2576)/((($D$3&lt;&gt;"YES")+($D$3="YES")*(DB!E$2:E$2576="YES"))*(($D$4="")+($D$4&lt;&gt;"")*( DB!B$2:B$2576=$D$4))*(($D$5="")+($D$5&lt;&gt;"")*( DB!C$2:C$2576=$D$5))*(($D$6="")+($D$6&lt;&gt;"")*( DB!D$2:D$2576=$D$6))*(($D$7="")+($D$7&lt;&gt;"")*(ISNUMBER(SEARCH($D$7,DB!G$2:G$2576))))*(($F$7="전체")+($F$7&lt;&gt;"전체")*(DB!H$2:H$2576=$F$7))),ROW()-13)-1,"")</f>
        <v/>
      </c>
      <c r="Q2120" t="str" cm="1">
        <f t="array" ref="Q2120">IFERROR(INDEX(DB!G$2:G$2576,P2120),"")</f>
        <v/>
      </c>
      <c r="R2120" t="str" cm="1">
        <f t="array" ref="R2120">IFERROR(INDEX(DB!O$2:O$2576,P2120),"")</f>
        <v/>
      </c>
      <c r="S2120" t="str">
        <f t="shared" si="99"/>
        <v/>
      </c>
      <c r="T2120" t="str">
        <f t="shared" si="100"/>
        <v/>
      </c>
    </row>
    <row r="2121" spans="1:20" ht="100" customHeight="1">
      <c r="A2121" s="26"/>
      <c r="B2121" s="42" t="str">
        <f t="shared" si="98"/>
        <v/>
      </c>
      <c r="C2121" s="43"/>
      <c r="D2121" s="51" t="str" cm="1">
        <f t="array" ref="D2121">IFERROR(INDEX(DB!G$2:G$2576,T2121),"")</f>
        <v/>
      </c>
      <c r="E2121" s="43"/>
      <c r="F2121" s="52" t="str" cm="1">
        <f t="array" ref="F2121">IFERROR(INDEX(DB!O$2:O$2576,T2121),"")</f>
        <v/>
      </c>
      <c r="G2121" s="43"/>
      <c r="H2121" s="40" t="str" cm="1">
        <f t="array" ref="H2121">IFERROR(INDEX(DB!P$2:P$2576,T2121),"")</f>
        <v/>
      </c>
      <c r="I2121" s="43"/>
      <c r="J2121" s="53" t="str" cm="1">
        <f t="array" ref="J2121">IFERROR(INDEX(DB!Q$2:Q$2576,T2121),"")</f>
        <v/>
      </c>
      <c r="K2121" s="43"/>
      <c r="L2121" s="41" t="str" cm="1">
        <f t="array" ref="L2121">IFERROR(INDEX(DB!R$2:R$2576,T2121),"")</f>
        <v/>
      </c>
      <c r="M2121" s="43"/>
      <c r="P2121" t="str" cm="1">
        <f t="array" ref="P2121">IFERROR(_xlfn.AGGREGATE(15,6,ROW(DB!A$2:A$2576)/((($D$3&lt;&gt;"YES")+($D$3="YES")*(DB!E$2:E$2576="YES"))*(($D$4="")+($D$4&lt;&gt;"")*( DB!B$2:B$2576=$D$4))*(($D$5="")+($D$5&lt;&gt;"")*( DB!C$2:C$2576=$D$5))*(($D$6="")+($D$6&lt;&gt;"")*( DB!D$2:D$2576=$D$6))*(($D$7="")+($D$7&lt;&gt;"")*(ISNUMBER(SEARCH($D$7,DB!G$2:G$2576))))*(($F$7="전체")+($F$7&lt;&gt;"전체")*(DB!H$2:H$2576=$F$7))),ROW()-13)-1,"")</f>
        <v/>
      </c>
      <c r="Q2121" t="str" cm="1">
        <f t="array" ref="Q2121">IFERROR(INDEX(DB!G$2:G$2576,P2121),"")</f>
        <v/>
      </c>
      <c r="R2121" t="str" cm="1">
        <f t="array" ref="R2121">IFERROR(INDEX(DB!O$2:O$2576,P2121),"")</f>
        <v/>
      </c>
      <c r="S2121" t="str">
        <f t="shared" si="99"/>
        <v/>
      </c>
      <c r="T2121" t="str">
        <f t="shared" si="100"/>
        <v/>
      </c>
    </row>
    <row r="2122" spans="1:20" ht="100" customHeight="1">
      <c r="A2122" s="26"/>
      <c r="B2122" s="39" t="str">
        <f t="shared" si="98"/>
        <v/>
      </c>
      <c r="C2122" s="43"/>
      <c r="D2122" s="51" t="str" cm="1">
        <f t="array" ref="D2122">IFERROR(INDEX(DB!G$2:G$2576,T2122),"")</f>
        <v/>
      </c>
      <c r="E2122" s="43"/>
      <c r="F2122" s="52" t="str" cm="1">
        <f t="array" ref="F2122">IFERROR(INDEX(DB!O$2:O$2576,T2122),"")</f>
        <v/>
      </c>
      <c r="G2122" s="43"/>
      <c r="H2122" s="40" t="str" cm="1">
        <f t="array" ref="H2122">IFERROR(INDEX(DB!P$2:P$2576,T2122),"")</f>
        <v/>
      </c>
      <c r="I2122" s="43"/>
      <c r="J2122" s="53" t="str" cm="1">
        <f t="array" ref="J2122">IFERROR(INDEX(DB!Q$2:Q$2576,T2122),"")</f>
        <v/>
      </c>
      <c r="K2122" s="43"/>
      <c r="L2122" s="41" t="str" cm="1">
        <f t="array" ref="L2122">IFERROR(INDEX(DB!R$2:R$2576,T2122),"")</f>
        <v/>
      </c>
      <c r="M2122" s="43"/>
      <c r="P2122" t="str" cm="1">
        <f t="array" ref="P2122">IFERROR(_xlfn.AGGREGATE(15,6,ROW(DB!A$2:A$2576)/((($D$3&lt;&gt;"YES")+($D$3="YES")*(DB!E$2:E$2576="YES"))*(($D$4="")+($D$4&lt;&gt;"")*( DB!B$2:B$2576=$D$4))*(($D$5="")+($D$5&lt;&gt;"")*( DB!C$2:C$2576=$D$5))*(($D$6="")+($D$6&lt;&gt;"")*( DB!D$2:D$2576=$D$6))*(($D$7="")+($D$7&lt;&gt;"")*(ISNUMBER(SEARCH($D$7,DB!G$2:G$2576))))*(($F$7="전체")+($F$7&lt;&gt;"전체")*(DB!H$2:H$2576=$F$7))),ROW()-13)-1,"")</f>
        <v/>
      </c>
      <c r="Q2122" t="str" cm="1">
        <f t="array" ref="Q2122">IFERROR(INDEX(DB!G$2:G$2576,P2122),"")</f>
        <v/>
      </c>
      <c r="R2122" t="str" cm="1">
        <f t="array" ref="R2122">IFERROR(INDEX(DB!O$2:O$2576,P2122),"")</f>
        <v/>
      </c>
      <c r="S2122" t="str">
        <f t="shared" si="99"/>
        <v/>
      </c>
      <c r="T2122" t="str">
        <f t="shared" si="100"/>
        <v/>
      </c>
    </row>
    <row r="2123" spans="1:20" ht="100" customHeight="1">
      <c r="A2123" s="26"/>
      <c r="B2123" s="42" t="str">
        <f t="shared" si="98"/>
        <v/>
      </c>
      <c r="C2123" s="43"/>
      <c r="D2123" s="51" t="str" cm="1">
        <f t="array" ref="D2123">IFERROR(INDEX(DB!G$2:G$2576,T2123),"")</f>
        <v/>
      </c>
      <c r="E2123" s="43"/>
      <c r="F2123" s="52" t="str" cm="1">
        <f t="array" ref="F2123">IFERROR(INDEX(DB!O$2:O$2576,T2123),"")</f>
        <v/>
      </c>
      <c r="G2123" s="43"/>
      <c r="H2123" s="40" t="str" cm="1">
        <f t="array" ref="H2123">IFERROR(INDEX(DB!P$2:P$2576,T2123),"")</f>
        <v/>
      </c>
      <c r="I2123" s="43"/>
      <c r="J2123" s="53" t="str" cm="1">
        <f t="array" ref="J2123">IFERROR(INDEX(DB!Q$2:Q$2576,T2123),"")</f>
        <v/>
      </c>
      <c r="K2123" s="43"/>
      <c r="L2123" s="41" t="str" cm="1">
        <f t="array" ref="L2123">IFERROR(INDEX(DB!R$2:R$2576,T2123),"")</f>
        <v/>
      </c>
      <c r="M2123" s="43"/>
      <c r="P2123" t="str" cm="1">
        <f t="array" ref="P2123">IFERROR(_xlfn.AGGREGATE(15,6,ROW(DB!A$2:A$2576)/((($D$3&lt;&gt;"YES")+($D$3="YES")*(DB!E$2:E$2576="YES"))*(($D$4="")+($D$4&lt;&gt;"")*( DB!B$2:B$2576=$D$4))*(($D$5="")+($D$5&lt;&gt;"")*( DB!C$2:C$2576=$D$5))*(($D$6="")+($D$6&lt;&gt;"")*( DB!D$2:D$2576=$D$6))*(($D$7="")+($D$7&lt;&gt;"")*(ISNUMBER(SEARCH($D$7,DB!G$2:G$2576))))*(($F$7="전체")+($F$7&lt;&gt;"전체")*(DB!H$2:H$2576=$F$7))),ROW()-13)-1,"")</f>
        <v/>
      </c>
      <c r="Q2123" t="str" cm="1">
        <f t="array" ref="Q2123">IFERROR(INDEX(DB!G$2:G$2576,P2123),"")</f>
        <v/>
      </c>
      <c r="R2123" t="str" cm="1">
        <f t="array" ref="R2123">IFERROR(INDEX(DB!O$2:O$2576,P2123),"")</f>
        <v/>
      </c>
      <c r="S2123" t="str">
        <f t="shared" si="99"/>
        <v/>
      </c>
      <c r="T2123" t="str">
        <f t="shared" si="100"/>
        <v/>
      </c>
    </row>
    <row r="2124" spans="1:20" ht="100" customHeight="1">
      <c r="A2124" s="26"/>
      <c r="B2124" s="39" t="str">
        <f t="shared" si="98"/>
        <v/>
      </c>
      <c r="C2124" s="43"/>
      <c r="D2124" s="51" t="str" cm="1">
        <f t="array" ref="D2124">IFERROR(INDEX(DB!G$2:G$2576,T2124),"")</f>
        <v/>
      </c>
      <c r="E2124" s="43"/>
      <c r="F2124" s="52" t="str" cm="1">
        <f t="array" ref="F2124">IFERROR(INDEX(DB!O$2:O$2576,T2124),"")</f>
        <v/>
      </c>
      <c r="G2124" s="43"/>
      <c r="H2124" s="40" t="str" cm="1">
        <f t="array" ref="H2124">IFERROR(INDEX(DB!P$2:P$2576,T2124),"")</f>
        <v/>
      </c>
      <c r="I2124" s="43"/>
      <c r="J2124" s="53" t="str" cm="1">
        <f t="array" ref="J2124">IFERROR(INDEX(DB!Q$2:Q$2576,T2124),"")</f>
        <v/>
      </c>
      <c r="K2124" s="43"/>
      <c r="L2124" s="41" t="str" cm="1">
        <f t="array" ref="L2124">IFERROR(INDEX(DB!R$2:R$2576,T2124),"")</f>
        <v/>
      </c>
      <c r="M2124" s="43"/>
      <c r="P2124" t="str" cm="1">
        <f t="array" ref="P2124">IFERROR(_xlfn.AGGREGATE(15,6,ROW(DB!A$2:A$2576)/((($D$3&lt;&gt;"YES")+($D$3="YES")*(DB!E$2:E$2576="YES"))*(($D$4="")+($D$4&lt;&gt;"")*( DB!B$2:B$2576=$D$4))*(($D$5="")+($D$5&lt;&gt;"")*( DB!C$2:C$2576=$D$5))*(($D$6="")+($D$6&lt;&gt;"")*( DB!D$2:D$2576=$D$6))*(($D$7="")+($D$7&lt;&gt;"")*(ISNUMBER(SEARCH($D$7,DB!G$2:G$2576))))*(($F$7="전체")+($F$7&lt;&gt;"전체")*(DB!H$2:H$2576=$F$7))),ROW()-13)-1,"")</f>
        <v/>
      </c>
      <c r="Q2124" t="str" cm="1">
        <f t="array" ref="Q2124">IFERROR(INDEX(DB!G$2:G$2576,P2124),"")</f>
        <v/>
      </c>
      <c r="R2124" t="str" cm="1">
        <f t="array" ref="R2124">IFERROR(INDEX(DB!O$2:O$2576,P2124),"")</f>
        <v/>
      </c>
      <c r="S2124" t="str">
        <f t="shared" si="99"/>
        <v/>
      </c>
      <c r="T2124" t="str">
        <f t="shared" si="100"/>
        <v/>
      </c>
    </row>
    <row r="2125" spans="1:20" ht="100" customHeight="1">
      <c r="A2125" s="26"/>
      <c r="B2125" s="42" t="str">
        <f t="shared" si="98"/>
        <v/>
      </c>
      <c r="C2125" s="43"/>
      <c r="D2125" s="51" t="str" cm="1">
        <f t="array" ref="D2125">IFERROR(INDEX(DB!G$2:G$2576,T2125),"")</f>
        <v/>
      </c>
      <c r="E2125" s="43"/>
      <c r="F2125" s="52" t="str" cm="1">
        <f t="array" ref="F2125">IFERROR(INDEX(DB!O$2:O$2576,T2125),"")</f>
        <v/>
      </c>
      <c r="G2125" s="43"/>
      <c r="H2125" s="40" t="str" cm="1">
        <f t="array" ref="H2125">IFERROR(INDEX(DB!P$2:P$2576,T2125),"")</f>
        <v/>
      </c>
      <c r="I2125" s="43"/>
      <c r="J2125" s="53" t="str" cm="1">
        <f t="array" ref="J2125">IFERROR(INDEX(DB!Q$2:Q$2576,T2125),"")</f>
        <v/>
      </c>
      <c r="K2125" s="43"/>
      <c r="L2125" s="41" t="str" cm="1">
        <f t="array" ref="L2125">IFERROR(INDEX(DB!R$2:R$2576,T2125),"")</f>
        <v/>
      </c>
      <c r="M2125" s="43"/>
      <c r="P2125" t="str" cm="1">
        <f t="array" ref="P2125">IFERROR(_xlfn.AGGREGATE(15,6,ROW(DB!A$2:A$2576)/((($D$3&lt;&gt;"YES")+($D$3="YES")*(DB!E$2:E$2576="YES"))*(($D$4="")+($D$4&lt;&gt;"")*( DB!B$2:B$2576=$D$4))*(($D$5="")+($D$5&lt;&gt;"")*( DB!C$2:C$2576=$D$5))*(($D$6="")+($D$6&lt;&gt;"")*( DB!D$2:D$2576=$D$6))*(($D$7="")+($D$7&lt;&gt;"")*(ISNUMBER(SEARCH($D$7,DB!G$2:G$2576))))*(($F$7="전체")+($F$7&lt;&gt;"전체")*(DB!H$2:H$2576=$F$7))),ROW()-13)-1,"")</f>
        <v/>
      </c>
      <c r="Q2125" t="str" cm="1">
        <f t="array" ref="Q2125">IFERROR(INDEX(DB!G$2:G$2576,P2125),"")</f>
        <v/>
      </c>
      <c r="R2125" t="str" cm="1">
        <f t="array" ref="R2125">IFERROR(INDEX(DB!O$2:O$2576,P2125),"")</f>
        <v/>
      </c>
      <c r="S2125" t="str">
        <f t="shared" si="99"/>
        <v/>
      </c>
      <c r="T2125" t="str">
        <f t="shared" si="100"/>
        <v/>
      </c>
    </row>
    <row r="2126" spans="1:20" ht="100" customHeight="1">
      <c r="A2126" s="26"/>
      <c r="B2126" s="39" t="str">
        <f t="shared" si="98"/>
        <v/>
      </c>
      <c r="C2126" s="43"/>
      <c r="D2126" s="51" t="str" cm="1">
        <f t="array" ref="D2126">IFERROR(INDEX(DB!G$2:G$2576,T2126),"")</f>
        <v/>
      </c>
      <c r="E2126" s="43"/>
      <c r="F2126" s="52" t="str" cm="1">
        <f t="array" ref="F2126">IFERROR(INDEX(DB!O$2:O$2576,T2126),"")</f>
        <v/>
      </c>
      <c r="G2126" s="43"/>
      <c r="H2126" s="40" t="str" cm="1">
        <f t="array" ref="H2126">IFERROR(INDEX(DB!P$2:P$2576,T2126),"")</f>
        <v/>
      </c>
      <c r="I2126" s="43"/>
      <c r="J2126" s="53" t="str" cm="1">
        <f t="array" ref="J2126">IFERROR(INDEX(DB!Q$2:Q$2576,T2126),"")</f>
        <v/>
      </c>
      <c r="K2126" s="43"/>
      <c r="L2126" s="41" t="str" cm="1">
        <f t="array" ref="L2126">IFERROR(INDEX(DB!R$2:R$2576,T2126),"")</f>
        <v/>
      </c>
      <c r="M2126" s="43"/>
      <c r="P2126" t="str" cm="1">
        <f t="array" ref="P2126">IFERROR(_xlfn.AGGREGATE(15,6,ROW(DB!A$2:A$2576)/((($D$3&lt;&gt;"YES")+($D$3="YES")*(DB!E$2:E$2576="YES"))*(($D$4="")+($D$4&lt;&gt;"")*( DB!B$2:B$2576=$D$4))*(($D$5="")+($D$5&lt;&gt;"")*( DB!C$2:C$2576=$D$5))*(($D$6="")+($D$6&lt;&gt;"")*( DB!D$2:D$2576=$D$6))*(($D$7="")+($D$7&lt;&gt;"")*(ISNUMBER(SEARCH($D$7,DB!G$2:G$2576))))*(($F$7="전체")+($F$7&lt;&gt;"전체")*(DB!H$2:H$2576=$F$7))),ROW()-13)-1,"")</f>
        <v/>
      </c>
      <c r="Q2126" t="str" cm="1">
        <f t="array" ref="Q2126">IFERROR(INDEX(DB!G$2:G$2576,P2126),"")</f>
        <v/>
      </c>
      <c r="R2126" t="str" cm="1">
        <f t="array" ref="R2126">IFERROR(INDEX(DB!O$2:O$2576,P2126),"")</f>
        <v/>
      </c>
      <c r="S2126" t="str">
        <f t="shared" si="99"/>
        <v/>
      </c>
      <c r="T2126" t="str">
        <f t="shared" si="100"/>
        <v/>
      </c>
    </row>
    <row r="2127" spans="1:20" ht="100" customHeight="1">
      <c r="A2127" s="26"/>
      <c r="B2127" s="42" t="str">
        <f t="shared" ref="B2127:B2190" si="101">IFERROR(IF(T2127="","",ROW()-13),"")</f>
        <v/>
      </c>
      <c r="C2127" s="43"/>
      <c r="D2127" s="51" t="str" cm="1">
        <f t="array" ref="D2127">IFERROR(INDEX(DB!G$2:G$2576,T2127),"")</f>
        <v/>
      </c>
      <c r="E2127" s="43"/>
      <c r="F2127" s="52" t="str" cm="1">
        <f t="array" ref="F2127">IFERROR(INDEX(DB!O$2:O$2576,T2127),"")</f>
        <v/>
      </c>
      <c r="G2127" s="43"/>
      <c r="H2127" s="40" t="str" cm="1">
        <f t="array" ref="H2127">IFERROR(INDEX(DB!P$2:P$2576,T2127),"")</f>
        <v/>
      </c>
      <c r="I2127" s="43"/>
      <c r="J2127" s="53" t="str" cm="1">
        <f t="array" ref="J2127">IFERROR(INDEX(DB!Q$2:Q$2576,T2127),"")</f>
        <v/>
      </c>
      <c r="K2127" s="43"/>
      <c r="L2127" s="41" t="str" cm="1">
        <f t="array" ref="L2127">IFERROR(INDEX(DB!R$2:R$2576,T2127),"")</f>
        <v/>
      </c>
      <c r="M2127" s="43"/>
      <c r="P2127" t="str" cm="1">
        <f t="array" ref="P2127">IFERROR(_xlfn.AGGREGATE(15,6,ROW(DB!A$2:A$2576)/((($D$3&lt;&gt;"YES")+($D$3="YES")*(DB!E$2:E$2576="YES"))*(($D$4="")+($D$4&lt;&gt;"")*( DB!B$2:B$2576=$D$4))*(($D$5="")+($D$5&lt;&gt;"")*( DB!C$2:C$2576=$D$5))*(($D$6="")+($D$6&lt;&gt;"")*( DB!D$2:D$2576=$D$6))*(($D$7="")+($D$7&lt;&gt;"")*(ISNUMBER(SEARCH($D$7,DB!G$2:G$2576))))*(($F$7="전체")+($F$7&lt;&gt;"전체")*(DB!H$2:H$2576=$F$7))),ROW()-13)-1,"")</f>
        <v/>
      </c>
      <c r="Q2127" t="str" cm="1">
        <f t="array" ref="Q2127">IFERROR(INDEX(DB!G$2:G$2576,P2127),"")</f>
        <v/>
      </c>
      <c r="R2127" t="str" cm="1">
        <f t="array" ref="R2127">IFERROR(INDEX(DB!O$2:O$2576,P2127),"")</f>
        <v/>
      </c>
      <c r="S2127" t="str">
        <f t="shared" ref="S2127:S2190" si="102">IF(P2127="","",COUNTIF($Q$14:$Q$2587,"&lt;"&amp;Q2127)*100+COUNTIF($R$14:$R$2587,"&lt;"&amp;R2127)+(ROW()-13)*0.001)</f>
        <v/>
      </c>
      <c r="T2127" t="str">
        <f t="shared" ref="T2127:T2190" si="103">IFERROR(INDEX($P$14:$P$2587,MATCH(SMALL($S$14:$S$2587,ROW()-13),$S$14:$S$2587,0)),"")</f>
        <v/>
      </c>
    </row>
    <row r="2128" spans="1:20" ht="100" customHeight="1">
      <c r="A2128" s="26"/>
      <c r="B2128" s="39" t="str">
        <f t="shared" si="101"/>
        <v/>
      </c>
      <c r="C2128" s="43"/>
      <c r="D2128" s="51" t="str" cm="1">
        <f t="array" ref="D2128">IFERROR(INDEX(DB!G$2:G$2576,T2128),"")</f>
        <v/>
      </c>
      <c r="E2128" s="43"/>
      <c r="F2128" s="52" t="str" cm="1">
        <f t="array" ref="F2128">IFERROR(INDEX(DB!O$2:O$2576,T2128),"")</f>
        <v/>
      </c>
      <c r="G2128" s="43"/>
      <c r="H2128" s="40" t="str" cm="1">
        <f t="array" ref="H2128">IFERROR(INDEX(DB!P$2:P$2576,T2128),"")</f>
        <v/>
      </c>
      <c r="I2128" s="43"/>
      <c r="J2128" s="53" t="str" cm="1">
        <f t="array" ref="J2128">IFERROR(INDEX(DB!Q$2:Q$2576,T2128),"")</f>
        <v/>
      </c>
      <c r="K2128" s="43"/>
      <c r="L2128" s="41" t="str" cm="1">
        <f t="array" ref="L2128">IFERROR(INDEX(DB!R$2:R$2576,T2128),"")</f>
        <v/>
      </c>
      <c r="M2128" s="43"/>
      <c r="P2128" t="str" cm="1">
        <f t="array" ref="P2128">IFERROR(_xlfn.AGGREGATE(15,6,ROW(DB!A$2:A$2576)/((($D$3&lt;&gt;"YES")+($D$3="YES")*(DB!E$2:E$2576="YES"))*(($D$4="")+($D$4&lt;&gt;"")*( DB!B$2:B$2576=$D$4))*(($D$5="")+($D$5&lt;&gt;"")*( DB!C$2:C$2576=$D$5))*(($D$6="")+($D$6&lt;&gt;"")*( DB!D$2:D$2576=$D$6))*(($D$7="")+($D$7&lt;&gt;"")*(ISNUMBER(SEARCH($D$7,DB!G$2:G$2576))))*(($F$7="전체")+($F$7&lt;&gt;"전체")*(DB!H$2:H$2576=$F$7))),ROW()-13)-1,"")</f>
        <v/>
      </c>
      <c r="Q2128" t="str" cm="1">
        <f t="array" ref="Q2128">IFERROR(INDEX(DB!G$2:G$2576,P2128),"")</f>
        <v/>
      </c>
      <c r="R2128" t="str" cm="1">
        <f t="array" ref="R2128">IFERROR(INDEX(DB!O$2:O$2576,P2128),"")</f>
        <v/>
      </c>
      <c r="S2128" t="str">
        <f t="shared" si="102"/>
        <v/>
      </c>
      <c r="T2128" t="str">
        <f t="shared" si="103"/>
        <v/>
      </c>
    </row>
    <row r="2129" spans="1:20" ht="100" customHeight="1">
      <c r="A2129" s="26"/>
      <c r="B2129" s="42" t="str">
        <f t="shared" si="101"/>
        <v/>
      </c>
      <c r="C2129" s="43"/>
      <c r="D2129" s="51" t="str" cm="1">
        <f t="array" ref="D2129">IFERROR(INDEX(DB!G$2:G$2576,T2129),"")</f>
        <v/>
      </c>
      <c r="E2129" s="43"/>
      <c r="F2129" s="52" t="str" cm="1">
        <f t="array" ref="F2129">IFERROR(INDEX(DB!O$2:O$2576,T2129),"")</f>
        <v/>
      </c>
      <c r="G2129" s="43"/>
      <c r="H2129" s="40" t="str" cm="1">
        <f t="array" ref="H2129">IFERROR(INDEX(DB!P$2:P$2576,T2129),"")</f>
        <v/>
      </c>
      <c r="I2129" s="43"/>
      <c r="J2129" s="53" t="str" cm="1">
        <f t="array" ref="J2129">IFERROR(INDEX(DB!Q$2:Q$2576,T2129),"")</f>
        <v/>
      </c>
      <c r="K2129" s="43"/>
      <c r="L2129" s="41" t="str" cm="1">
        <f t="array" ref="L2129">IFERROR(INDEX(DB!R$2:R$2576,T2129),"")</f>
        <v/>
      </c>
      <c r="M2129" s="43"/>
      <c r="P2129" t="str" cm="1">
        <f t="array" ref="P2129">IFERROR(_xlfn.AGGREGATE(15,6,ROW(DB!A$2:A$2576)/((($D$3&lt;&gt;"YES")+($D$3="YES")*(DB!E$2:E$2576="YES"))*(($D$4="")+($D$4&lt;&gt;"")*( DB!B$2:B$2576=$D$4))*(($D$5="")+($D$5&lt;&gt;"")*( DB!C$2:C$2576=$D$5))*(($D$6="")+($D$6&lt;&gt;"")*( DB!D$2:D$2576=$D$6))*(($D$7="")+($D$7&lt;&gt;"")*(ISNUMBER(SEARCH($D$7,DB!G$2:G$2576))))*(($F$7="전체")+($F$7&lt;&gt;"전체")*(DB!H$2:H$2576=$F$7))),ROW()-13)-1,"")</f>
        <v/>
      </c>
      <c r="Q2129" t="str" cm="1">
        <f t="array" ref="Q2129">IFERROR(INDEX(DB!G$2:G$2576,P2129),"")</f>
        <v/>
      </c>
      <c r="R2129" t="str" cm="1">
        <f t="array" ref="R2129">IFERROR(INDEX(DB!O$2:O$2576,P2129),"")</f>
        <v/>
      </c>
      <c r="S2129" t="str">
        <f t="shared" si="102"/>
        <v/>
      </c>
      <c r="T2129" t="str">
        <f t="shared" si="103"/>
        <v/>
      </c>
    </row>
    <row r="2130" spans="1:20" ht="100" customHeight="1">
      <c r="A2130" s="26"/>
      <c r="B2130" s="39" t="str">
        <f t="shared" si="101"/>
        <v/>
      </c>
      <c r="C2130" s="43"/>
      <c r="D2130" s="51" t="str" cm="1">
        <f t="array" ref="D2130">IFERROR(INDEX(DB!G$2:G$2576,T2130),"")</f>
        <v/>
      </c>
      <c r="E2130" s="43"/>
      <c r="F2130" s="52" t="str" cm="1">
        <f t="array" ref="F2130">IFERROR(INDEX(DB!O$2:O$2576,T2130),"")</f>
        <v/>
      </c>
      <c r="G2130" s="43"/>
      <c r="H2130" s="40" t="str" cm="1">
        <f t="array" ref="H2130">IFERROR(INDEX(DB!P$2:P$2576,T2130),"")</f>
        <v/>
      </c>
      <c r="I2130" s="43"/>
      <c r="J2130" s="53" t="str" cm="1">
        <f t="array" ref="J2130">IFERROR(INDEX(DB!Q$2:Q$2576,T2130),"")</f>
        <v/>
      </c>
      <c r="K2130" s="43"/>
      <c r="L2130" s="41" t="str" cm="1">
        <f t="array" ref="L2130">IFERROR(INDEX(DB!R$2:R$2576,T2130),"")</f>
        <v/>
      </c>
      <c r="M2130" s="43"/>
      <c r="P2130" t="str" cm="1">
        <f t="array" ref="P2130">IFERROR(_xlfn.AGGREGATE(15,6,ROW(DB!A$2:A$2576)/((($D$3&lt;&gt;"YES")+($D$3="YES")*(DB!E$2:E$2576="YES"))*(($D$4="")+($D$4&lt;&gt;"")*( DB!B$2:B$2576=$D$4))*(($D$5="")+($D$5&lt;&gt;"")*( DB!C$2:C$2576=$D$5))*(($D$6="")+($D$6&lt;&gt;"")*( DB!D$2:D$2576=$D$6))*(($D$7="")+($D$7&lt;&gt;"")*(ISNUMBER(SEARCH($D$7,DB!G$2:G$2576))))*(($F$7="전체")+($F$7&lt;&gt;"전체")*(DB!H$2:H$2576=$F$7))),ROW()-13)-1,"")</f>
        <v/>
      </c>
      <c r="Q2130" t="str" cm="1">
        <f t="array" ref="Q2130">IFERROR(INDEX(DB!G$2:G$2576,P2130),"")</f>
        <v/>
      </c>
      <c r="R2130" t="str" cm="1">
        <f t="array" ref="R2130">IFERROR(INDEX(DB!O$2:O$2576,P2130),"")</f>
        <v/>
      </c>
      <c r="S2130" t="str">
        <f t="shared" si="102"/>
        <v/>
      </c>
      <c r="T2130" t="str">
        <f t="shared" si="103"/>
        <v/>
      </c>
    </row>
    <row r="2131" spans="1:20" ht="100" customHeight="1">
      <c r="A2131" s="26"/>
      <c r="B2131" s="42" t="str">
        <f t="shared" si="101"/>
        <v/>
      </c>
      <c r="C2131" s="43"/>
      <c r="D2131" s="51" t="str" cm="1">
        <f t="array" ref="D2131">IFERROR(INDEX(DB!G$2:G$2576,T2131),"")</f>
        <v/>
      </c>
      <c r="E2131" s="43"/>
      <c r="F2131" s="52" t="str" cm="1">
        <f t="array" ref="F2131">IFERROR(INDEX(DB!O$2:O$2576,T2131),"")</f>
        <v/>
      </c>
      <c r="G2131" s="43"/>
      <c r="H2131" s="40" t="str" cm="1">
        <f t="array" ref="H2131">IFERROR(INDEX(DB!P$2:P$2576,T2131),"")</f>
        <v/>
      </c>
      <c r="I2131" s="43"/>
      <c r="J2131" s="53" t="str" cm="1">
        <f t="array" ref="J2131">IFERROR(INDEX(DB!Q$2:Q$2576,T2131),"")</f>
        <v/>
      </c>
      <c r="K2131" s="43"/>
      <c r="L2131" s="41" t="str" cm="1">
        <f t="array" ref="L2131">IFERROR(INDEX(DB!R$2:R$2576,T2131),"")</f>
        <v/>
      </c>
      <c r="M2131" s="43"/>
      <c r="P2131" t="str" cm="1">
        <f t="array" ref="P2131">IFERROR(_xlfn.AGGREGATE(15,6,ROW(DB!A$2:A$2576)/((($D$3&lt;&gt;"YES")+($D$3="YES")*(DB!E$2:E$2576="YES"))*(($D$4="")+($D$4&lt;&gt;"")*( DB!B$2:B$2576=$D$4))*(($D$5="")+($D$5&lt;&gt;"")*( DB!C$2:C$2576=$D$5))*(($D$6="")+($D$6&lt;&gt;"")*( DB!D$2:D$2576=$D$6))*(($D$7="")+($D$7&lt;&gt;"")*(ISNUMBER(SEARCH($D$7,DB!G$2:G$2576))))*(($F$7="전체")+($F$7&lt;&gt;"전체")*(DB!H$2:H$2576=$F$7))),ROW()-13)-1,"")</f>
        <v/>
      </c>
      <c r="Q2131" t="str" cm="1">
        <f t="array" ref="Q2131">IFERROR(INDEX(DB!G$2:G$2576,P2131),"")</f>
        <v/>
      </c>
      <c r="R2131" t="str" cm="1">
        <f t="array" ref="R2131">IFERROR(INDEX(DB!O$2:O$2576,P2131),"")</f>
        <v/>
      </c>
      <c r="S2131" t="str">
        <f t="shared" si="102"/>
        <v/>
      </c>
      <c r="T2131" t="str">
        <f t="shared" si="103"/>
        <v/>
      </c>
    </row>
    <row r="2132" spans="1:20" ht="100" customHeight="1">
      <c r="A2132" s="26"/>
      <c r="B2132" s="39" t="str">
        <f t="shared" si="101"/>
        <v/>
      </c>
      <c r="C2132" s="43"/>
      <c r="D2132" s="51" t="str" cm="1">
        <f t="array" ref="D2132">IFERROR(INDEX(DB!G$2:G$2576,T2132),"")</f>
        <v/>
      </c>
      <c r="E2132" s="43"/>
      <c r="F2132" s="52" t="str" cm="1">
        <f t="array" ref="F2132">IFERROR(INDEX(DB!O$2:O$2576,T2132),"")</f>
        <v/>
      </c>
      <c r="G2132" s="43"/>
      <c r="H2132" s="40" t="str" cm="1">
        <f t="array" ref="H2132">IFERROR(INDEX(DB!P$2:P$2576,T2132),"")</f>
        <v/>
      </c>
      <c r="I2132" s="43"/>
      <c r="J2132" s="53" t="str" cm="1">
        <f t="array" ref="J2132">IFERROR(INDEX(DB!Q$2:Q$2576,T2132),"")</f>
        <v/>
      </c>
      <c r="K2132" s="43"/>
      <c r="L2132" s="41" t="str" cm="1">
        <f t="array" ref="L2132">IFERROR(INDEX(DB!R$2:R$2576,T2132),"")</f>
        <v/>
      </c>
      <c r="M2132" s="43"/>
      <c r="P2132" t="str" cm="1">
        <f t="array" ref="P2132">IFERROR(_xlfn.AGGREGATE(15,6,ROW(DB!A$2:A$2576)/((($D$3&lt;&gt;"YES")+($D$3="YES")*(DB!E$2:E$2576="YES"))*(($D$4="")+($D$4&lt;&gt;"")*( DB!B$2:B$2576=$D$4))*(($D$5="")+($D$5&lt;&gt;"")*( DB!C$2:C$2576=$D$5))*(($D$6="")+($D$6&lt;&gt;"")*( DB!D$2:D$2576=$D$6))*(($D$7="")+($D$7&lt;&gt;"")*(ISNUMBER(SEARCH($D$7,DB!G$2:G$2576))))*(($F$7="전체")+($F$7&lt;&gt;"전체")*(DB!H$2:H$2576=$F$7))),ROW()-13)-1,"")</f>
        <v/>
      </c>
      <c r="Q2132" t="str" cm="1">
        <f t="array" ref="Q2132">IFERROR(INDEX(DB!G$2:G$2576,P2132),"")</f>
        <v/>
      </c>
      <c r="R2132" t="str" cm="1">
        <f t="array" ref="R2132">IFERROR(INDEX(DB!O$2:O$2576,P2132),"")</f>
        <v/>
      </c>
      <c r="S2132" t="str">
        <f t="shared" si="102"/>
        <v/>
      </c>
      <c r="T2132" t="str">
        <f t="shared" si="103"/>
        <v/>
      </c>
    </row>
    <row r="2133" spans="1:20" ht="100" customHeight="1">
      <c r="A2133" s="26"/>
      <c r="B2133" s="42" t="str">
        <f t="shared" si="101"/>
        <v/>
      </c>
      <c r="C2133" s="43"/>
      <c r="D2133" s="51" t="str" cm="1">
        <f t="array" ref="D2133">IFERROR(INDEX(DB!G$2:G$2576,T2133),"")</f>
        <v/>
      </c>
      <c r="E2133" s="43"/>
      <c r="F2133" s="52" t="str" cm="1">
        <f t="array" ref="F2133">IFERROR(INDEX(DB!O$2:O$2576,T2133),"")</f>
        <v/>
      </c>
      <c r="G2133" s="43"/>
      <c r="H2133" s="40" t="str" cm="1">
        <f t="array" ref="H2133">IFERROR(INDEX(DB!P$2:P$2576,T2133),"")</f>
        <v/>
      </c>
      <c r="I2133" s="43"/>
      <c r="J2133" s="53" t="str" cm="1">
        <f t="array" ref="J2133">IFERROR(INDEX(DB!Q$2:Q$2576,T2133),"")</f>
        <v/>
      </c>
      <c r="K2133" s="43"/>
      <c r="L2133" s="41" t="str" cm="1">
        <f t="array" ref="L2133">IFERROR(INDEX(DB!R$2:R$2576,T2133),"")</f>
        <v/>
      </c>
      <c r="M2133" s="43"/>
      <c r="P2133" t="str" cm="1">
        <f t="array" ref="P2133">IFERROR(_xlfn.AGGREGATE(15,6,ROW(DB!A$2:A$2576)/((($D$3&lt;&gt;"YES")+($D$3="YES")*(DB!E$2:E$2576="YES"))*(($D$4="")+($D$4&lt;&gt;"")*( DB!B$2:B$2576=$D$4))*(($D$5="")+($D$5&lt;&gt;"")*( DB!C$2:C$2576=$D$5))*(($D$6="")+($D$6&lt;&gt;"")*( DB!D$2:D$2576=$D$6))*(($D$7="")+($D$7&lt;&gt;"")*(ISNUMBER(SEARCH($D$7,DB!G$2:G$2576))))*(($F$7="전체")+($F$7&lt;&gt;"전체")*(DB!H$2:H$2576=$F$7))),ROW()-13)-1,"")</f>
        <v/>
      </c>
      <c r="Q2133" t="str" cm="1">
        <f t="array" ref="Q2133">IFERROR(INDEX(DB!G$2:G$2576,P2133),"")</f>
        <v/>
      </c>
      <c r="R2133" t="str" cm="1">
        <f t="array" ref="R2133">IFERROR(INDEX(DB!O$2:O$2576,P2133),"")</f>
        <v/>
      </c>
      <c r="S2133" t="str">
        <f t="shared" si="102"/>
        <v/>
      </c>
      <c r="T2133" t="str">
        <f t="shared" si="103"/>
        <v/>
      </c>
    </row>
    <row r="2134" spans="1:20" ht="100" customHeight="1">
      <c r="A2134" s="26"/>
      <c r="B2134" s="39" t="str">
        <f t="shared" si="101"/>
        <v/>
      </c>
      <c r="C2134" s="43"/>
      <c r="D2134" s="51" t="str" cm="1">
        <f t="array" ref="D2134">IFERROR(INDEX(DB!G$2:G$2576,T2134),"")</f>
        <v/>
      </c>
      <c r="E2134" s="43"/>
      <c r="F2134" s="52" t="str" cm="1">
        <f t="array" ref="F2134">IFERROR(INDEX(DB!O$2:O$2576,T2134),"")</f>
        <v/>
      </c>
      <c r="G2134" s="43"/>
      <c r="H2134" s="40" t="str" cm="1">
        <f t="array" ref="H2134">IFERROR(INDEX(DB!P$2:P$2576,T2134),"")</f>
        <v/>
      </c>
      <c r="I2134" s="43"/>
      <c r="J2134" s="53" t="str" cm="1">
        <f t="array" ref="J2134">IFERROR(INDEX(DB!Q$2:Q$2576,T2134),"")</f>
        <v/>
      </c>
      <c r="K2134" s="43"/>
      <c r="L2134" s="41" t="str" cm="1">
        <f t="array" ref="L2134">IFERROR(INDEX(DB!R$2:R$2576,T2134),"")</f>
        <v/>
      </c>
      <c r="M2134" s="43"/>
      <c r="P2134" t="str" cm="1">
        <f t="array" ref="P2134">IFERROR(_xlfn.AGGREGATE(15,6,ROW(DB!A$2:A$2576)/((($D$3&lt;&gt;"YES")+($D$3="YES")*(DB!E$2:E$2576="YES"))*(($D$4="")+($D$4&lt;&gt;"")*( DB!B$2:B$2576=$D$4))*(($D$5="")+($D$5&lt;&gt;"")*( DB!C$2:C$2576=$D$5))*(($D$6="")+($D$6&lt;&gt;"")*( DB!D$2:D$2576=$D$6))*(($D$7="")+($D$7&lt;&gt;"")*(ISNUMBER(SEARCH($D$7,DB!G$2:G$2576))))*(($F$7="전체")+($F$7&lt;&gt;"전체")*(DB!H$2:H$2576=$F$7))),ROW()-13)-1,"")</f>
        <v/>
      </c>
      <c r="Q2134" t="str" cm="1">
        <f t="array" ref="Q2134">IFERROR(INDEX(DB!G$2:G$2576,P2134),"")</f>
        <v/>
      </c>
      <c r="R2134" t="str" cm="1">
        <f t="array" ref="R2134">IFERROR(INDEX(DB!O$2:O$2576,P2134),"")</f>
        <v/>
      </c>
      <c r="S2134" t="str">
        <f t="shared" si="102"/>
        <v/>
      </c>
      <c r="T2134" t="str">
        <f t="shared" si="103"/>
        <v/>
      </c>
    </row>
    <row r="2135" spans="1:20" ht="100" customHeight="1">
      <c r="A2135" s="26"/>
      <c r="B2135" s="42" t="str">
        <f t="shared" si="101"/>
        <v/>
      </c>
      <c r="C2135" s="43"/>
      <c r="D2135" s="51" t="str" cm="1">
        <f t="array" ref="D2135">IFERROR(INDEX(DB!G$2:G$2576,T2135),"")</f>
        <v/>
      </c>
      <c r="E2135" s="43"/>
      <c r="F2135" s="52" t="str" cm="1">
        <f t="array" ref="F2135">IFERROR(INDEX(DB!O$2:O$2576,T2135),"")</f>
        <v/>
      </c>
      <c r="G2135" s="43"/>
      <c r="H2135" s="40" t="str" cm="1">
        <f t="array" ref="H2135">IFERROR(INDEX(DB!P$2:P$2576,T2135),"")</f>
        <v/>
      </c>
      <c r="I2135" s="43"/>
      <c r="J2135" s="53" t="str" cm="1">
        <f t="array" ref="J2135">IFERROR(INDEX(DB!Q$2:Q$2576,T2135),"")</f>
        <v/>
      </c>
      <c r="K2135" s="43"/>
      <c r="L2135" s="41" t="str" cm="1">
        <f t="array" ref="L2135">IFERROR(INDEX(DB!R$2:R$2576,T2135),"")</f>
        <v/>
      </c>
      <c r="M2135" s="43"/>
      <c r="P2135" t="str" cm="1">
        <f t="array" ref="P2135">IFERROR(_xlfn.AGGREGATE(15,6,ROW(DB!A$2:A$2576)/((($D$3&lt;&gt;"YES")+($D$3="YES")*(DB!E$2:E$2576="YES"))*(($D$4="")+($D$4&lt;&gt;"")*( DB!B$2:B$2576=$D$4))*(($D$5="")+($D$5&lt;&gt;"")*( DB!C$2:C$2576=$D$5))*(($D$6="")+($D$6&lt;&gt;"")*( DB!D$2:D$2576=$D$6))*(($D$7="")+($D$7&lt;&gt;"")*(ISNUMBER(SEARCH($D$7,DB!G$2:G$2576))))*(($F$7="전체")+($F$7&lt;&gt;"전체")*(DB!H$2:H$2576=$F$7))),ROW()-13)-1,"")</f>
        <v/>
      </c>
      <c r="Q2135" t="str" cm="1">
        <f t="array" ref="Q2135">IFERROR(INDEX(DB!G$2:G$2576,P2135),"")</f>
        <v/>
      </c>
      <c r="R2135" t="str" cm="1">
        <f t="array" ref="R2135">IFERROR(INDEX(DB!O$2:O$2576,P2135),"")</f>
        <v/>
      </c>
      <c r="S2135" t="str">
        <f t="shared" si="102"/>
        <v/>
      </c>
      <c r="T2135" t="str">
        <f t="shared" si="103"/>
        <v/>
      </c>
    </row>
    <row r="2136" spans="1:20" ht="100" customHeight="1">
      <c r="A2136" s="26"/>
      <c r="B2136" s="39" t="str">
        <f t="shared" si="101"/>
        <v/>
      </c>
      <c r="C2136" s="43"/>
      <c r="D2136" s="51" t="str" cm="1">
        <f t="array" ref="D2136">IFERROR(INDEX(DB!G$2:G$2576,T2136),"")</f>
        <v/>
      </c>
      <c r="E2136" s="43"/>
      <c r="F2136" s="52" t="str" cm="1">
        <f t="array" ref="F2136">IFERROR(INDEX(DB!O$2:O$2576,T2136),"")</f>
        <v/>
      </c>
      <c r="G2136" s="43"/>
      <c r="H2136" s="40" t="str" cm="1">
        <f t="array" ref="H2136">IFERROR(INDEX(DB!P$2:P$2576,T2136),"")</f>
        <v/>
      </c>
      <c r="I2136" s="43"/>
      <c r="J2136" s="53" t="str" cm="1">
        <f t="array" ref="J2136">IFERROR(INDEX(DB!Q$2:Q$2576,T2136),"")</f>
        <v/>
      </c>
      <c r="K2136" s="43"/>
      <c r="L2136" s="41" t="str" cm="1">
        <f t="array" ref="L2136">IFERROR(INDEX(DB!R$2:R$2576,T2136),"")</f>
        <v/>
      </c>
      <c r="M2136" s="43"/>
      <c r="P2136" t="str" cm="1">
        <f t="array" ref="P2136">IFERROR(_xlfn.AGGREGATE(15,6,ROW(DB!A$2:A$2576)/((($D$3&lt;&gt;"YES")+($D$3="YES")*(DB!E$2:E$2576="YES"))*(($D$4="")+($D$4&lt;&gt;"")*( DB!B$2:B$2576=$D$4))*(($D$5="")+($D$5&lt;&gt;"")*( DB!C$2:C$2576=$D$5))*(($D$6="")+($D$6&lt;&gt;"")*( DB!D$2:D$2576=$D$6))*(($D$7="")+($D$7&lt;&gt;"")*(ISNUMBER(SEARCH($D$7,DB!G$2:G$2576))))*(($F$7="전체")+($F$7&lt;&gt;"전체")*(DB!H$2:H$2576=$F$7))),ROW()-13)-1,"")</f>
        <v/>
      </c>
      <c r="Q2136" t="str" cm="1">
        <f t="array" ref="Q2136">IFERROR(INDEX(DB!G$2:G$2576,P2136),"")</f>
        <v/>
      </c>
      <c r="R2136" t="str" cm="1">
        <f t="array" ref="R2136">IFERROR(INDEX(DB!O$2:O$2576,P2136),"")</f>
        <v/>
      </c>
      <c r="S2136" t="str">
        <f t="shared" si="102"/>
        <v/>
      </c>
      <c r="T2136" t="str">
        <f t="shared" si="103"/>
        <v/>
      </c>
    </row>
    <row r="2137" spans="1:20" ht="100" customHeight="1">
      <c r="A2137" s="26"/>
      <c r="B2137" s="42" t="str">
        <f t="shared" si="101"/>
        <v/>
      </c>
      <c r="C2137" s="43"/>
      <c r="D2137" s="51" t="str" cm="1">
        <f t="array" ref="D2137">IFERROR(INDEX(DB!G$2:G$2576,T2137),"")</f>
        <v/>
      </c>
      <c r="E2137" s="43"/>
      <c r="F2137" s="52" t="str" cm="1">
        <f t="array" ref="F2137">IFERROR(INDEX(DB!O$2:O$2576,T2137),"")</f>
        <v/>
      </c>
      <c r="G2137" s="43"/>
      <c r="H2137" s="40" t="str" cm="1">
        <f t="array" ref="H2137">IFERROR(INDEX(DB!P$2:P$2576,T2137),"")</f>
        <v/>
      </c>
      <c r="I2137" s="43"/>
      <c r="J2137" s="53" t="str" cm="1">
        <f t="array" ref="J2137">IFERROR(INDEX(DB!Q$2:Q$2576,T2137),"")</f>
        <v/>
      </c>
      <c r="K2137" s="43"/>
      <c r="L2137" s="41" t="str" cm="1">
        <f t="array" ref="L2137">IFERROR(INDEX(DB!R$2:R$2576,T2137),"")</f>
        <v/>
      </c>
      <c r="M2137" s="43"/>
      <c r="P2137" t="str" cm="1">
        <f t="array" ref="P2137">IFERROR(_xlfn.AGGREGATE(15,6,ROW(DB!A$2:A$2576)/((($D$3&lt;&gt;"YES")+($D$3="YES")*(DB!E$2:E$2576="YES"))*(($D$4="")+($D$4&lt;&gt;"")*( DB!B$2:B$2576=$D$4))*(($D$5="")+($D$5&lt;&gt;"")*( DB!C$2:C$2576=$D$5))*(($D$6="")+($D$6&lt;&gt;"")*( DB!D$2:D$2576=$D$6))*(($D$7="")+($D$7&lt;&gt;"")*(ISNUMBER(SEARCH($D$7,DB!G$2:G$2576))))*(($F$7="전체")+($F$7&lt;&gt;"전체")*(DB!H$2:H$2576=$F$7))),ROW()-13)-1,"")</f>
        <v/>
      </c>
      <c r="Q2137" t="str" cm="1">
        <f t="array" ref="Q2137">IFERROR(INDEX(DB!G$2:G$2576,P2137),"")</f>
        <v/>
      </c>
      <c r="R2137" t="str" cm="1">
        <f t="array" ref="R2137">IFERROR(INDEX(DB!O$2:O$2576,P2137),"")</f>
        <v/>
      </c>
      <c r="S2137" t="str">
        <f t="shared" si="102"/>
        <v/>
      </c>
      <c r="T2137" t="str">
        <f t="shared" si="103"/>
        <v/>
      </c>
    </row>
    <row r="2138" spans="1:20" ht="100" customHeight="1">
      <c r="A2138" s="26"/>
      <c r="B2138" s="39" t="str">
        <f t="shared" si="101"/>
        <v/>
      </c>
      <c r="C2138" s="43"/>
      <c r="D2138" s="51" t="str" cm="1">
        <f t="array" ref="D2138">IFERROR(INDEX(DB!G$2:G$2576,T2138),"")</f>
        <v/>
      </c>
      <c r="E2138" s="43"/>
      <c r="F2138" s="52" t="str" cm="1">
        <f t="array" ref="F2138">IFERROR(INDEX(DB!O$2:O$2576,T2138),"")</f>
        <v/>
      </c>
      <c r="G2138" s="43"/>
      <c r="H2138" s="40" t="str" cm="1">
        <f t="array" ref="H2138">IFERROR(INDEX(DB!P$2:P$2576,T2138),"")</f>
        <v/>
      </c>
      <c r="I2138" s="43"/>
      <c r="J2138" s="53" t="str" cm="1">
        <f t="array" ref="J2138">IFERROR(INDEX(DB!Q$2:Q$2576,T2138),"")</f>
        <v/>
      </c>
      <c r="K2138" s="43"/>
      <c r="L2138" s="41" t="str" cm="1">
        <f t="array" ref="L2138">IFERROR(INDEX(DB!R$2:R$2576,T2138),"")</f>
        <v/>
      </c>
      <c r="M2138" s="43"/>
      <c r="P2138" t="str" cm="1">
        <f t="array" ref="P2138">IFERROR(_xlfn.AGGREGATE(15,6,ROW(DB!A$2:A$2576)/((($D$3&lt;&gt;"YES")+($D$3="YES")*(DB!E$2:E$2576="YES"))*(($D$4="")+($D$4&lt;&gt;"")*( DB!B$2:B$2576=$D$4))*(($D$5="")+($D$5&lt;&gt;"")*( DB!C$2:C$2576=$D$5))*(($D$6="")+($D$6&lt;&gt;"")*( DB!D$2:D$2576=$D$6))*(($D$7="")+($D$7&lt;&gt;"")*(ISNUMBER(SEARCH($D$7,DB!G$2:G$2576))))*(($F$7="전체")+($F$7&lt;&gt;"전체")*(DB!H$2:H$2576=$F$7))),ROW()-13)-1,"")</f>
        <v/>
      </c>
      <c r="Q2138" t="str" cm="1">
        <f t="array" ref="Q2138">IFERROR(INDEX(DB!G$2:G$2576,P2138),"")</f>
        <v/>
      </c>
      <c r="R2138" t="str" cm="1">
        <f t="array" ref="R2138">IFERROR(INDEX(DB!O$2:O$2576,P2138),"")</f>
        <v/>
      </c>
      <c r="S2138" t="str">
        <f t="shared" si="102"/>
        <v/>
      </c>
      <c r="T2138" t="str">
        <f t="shared" si="103"/>
        <v/>
      </c>
    </row>
    <row r="2139" spans="1:20" ht="100" customHeight="1">
      <c r="A2139" s="26"/>
      <c r="B2139" s="42" t="str">
        <f t="shared" si="101"/>
        <v/>
      </c>
      <c r="C2139" s="43"/>
      <c r="D2139" s="51" t="str" cm="1">
        <f t="array" ref="D2139">IFERROR(INDEX(DB!G$2:G$2576,T2139),"")</f>
        <v/>
      </c>
      <c r="E2139" s="43"/>
      <c r="F2139" s="52" t="str" cm="1">
        <f t="array" ref="F2139">IFERROR(INDEX(DB!O$2:O$2576,T2139),"")</f>
        <v/>
      </c>
      <c r="G2139" s="43"/>
      <c r="H2139" s="40" t="str" cm="1">
        <f t="array" ref="H2139">IFERROR(INDEX(DB!P$2:P$2576,T2139),"")</f>
        <v/>
      </c>
      <c r="I2139" s="43"/>
      <c r="J2139" s="53" t="str" cm="1">
        <f t="array" ref="J2139">IFERROR(INDEX(DB!Q$2:Q$2576,T2139),"")</f>
        <v/>
      </c>
      <c r="K2139" s="43"/>
      <c r="L2139" s="41" t="str" cm="1">
        <f t="array" ref="L2139">IFERROR(INDEX(DB!R$2:R$2576,T2139),"")</f>
        <v/>
      </c>
      <c r="M2139" s="43"/>
      <c r="P2139" t="str" cm="1">
        <f t="array" ref="P2139">IFERROR(_xlfn.AGGREGATE(15,6,ROW(DB!A$2:A$2576)/((($D$3&lt;&gt;"YES")+($D$3="YES")*(DB!E$2:E$2576="YES"))*(($D$4="")+($D$4&lt;&gt;"")*( DB!B$2:B$2576=$D$4))*(($D$5="")+($D$5&lt;&gt;"")*( DB!C$2:C$2576=$D$5))*(($D$6="")+($D$6&lt;&gt;"")*( DB!D$2:D$2576=$D$6))*(($D$7="")+($D$7&lt;&gt;"")*(ISNUMBER(SEARCH($D$7,DB!G$2:G$2576))))*(($F$7="전체")+($F$7&lt;&gt;"전체")*(DB!H$2:H$2576=$F$7))),ROW()-13)-1,"")</f>
        <v/>
      </c>
      <c r="Q2139" t="str" cm="1">
        <f t="array" ref="Q2139">IFERROR(INDEX(DB!G$2:G$2576,P2139),"")</f>
        <v/>
      </c>
      <c r="R2139" t="str" cm="1">
        <f t="array" ref="R2139">IFERROR(INDEX(DB!O$2:O$2576,P2139),"")</f>
        <v/>
      </c>
      <c r="S2139" t="str">
        <f t="shared" si="102"/>
        <v/>
      </c>
      <c r="T2139" t="str">
        <f t="shared" si="103"/>
        <v/>
      </c>
    </row>
    <row r="2140" spans="1:20" ht="100" customHeight="1">
      <c r="A2140" s="26"/>
      <c r="B2140" s="39" t="str">
        <f t="shared" si="101"/>
        <v/>
      </c>
      <c r="C2140" s="43"/>
      <c r="D2140" s="51" t="str" cm="1">
        <f t="array" ref="D2140">IFERROR(INDEX(DB!G$2:G$2576,T2140),"")</f>
        <v/>
      </c>
      <c r="E2140" s="43"/>
      <c r="F2140" s="52" t="str" cm="1">
        <f t="array" ref="F2140">IFERROR(INDEX(DB!O$2:O$2576,T2140),"")</f>
        <v/>
      </c>
      <c r="G2140" s="43"/>
      <c r="H2140" s="40" t="str" cm="1">
        <f t="array" ref="H2140">IFERROR(INDEX(DB!P$2:P$2576,T2140),"")</f>
        <v/>
      </c>
      <c r="I2140" s="43"/>
      <c r="J2140" s="53" t="str" cm="1">
        <f t="array" ref="J2140">IFERROR(INDEX(DB!Q$2:Q$2576,T2140),"")</f>
        <v/>
      </c>
      <c r="K2140" s="43"/>
      <c r="L2140" s="41" t="str" cm="1">
        <f t="array" ref="L2140">IFERROR(INDEX(DB!R$2:R$2576,T2140),"")</f>
        <v/>
      </c>
      <c r="M2140" s="43"/>
      <c r="P2140" t="str" cm="1">
        <f t="array" ref="P2140">IFERROR(_xlfn.AGGREGATE(15,6,ROW(DB!A$2:A$2576)/((($D$3&lt;&gt;"YES")+($D$3="YES")*(DB!E$2:E$2576="YES"))*(($D$4="")+($D$4&lt;&gt;"")*( DB!B$2:B$2576=$D$4))*(($D$5="")+($D$5&lt;&gt;"")*( DB!C$2:C$2576=$D$5))*(($D$6="")+($D$6&lt;&gt;"")*( DB!D$2:D$2576=$D$6))*(($D$7="")+($D$7&lt;&gt;"")*(ISNUMBER(SEARCH($D$7,DB!G$2:G$2576))))*(($F$7="전체")+($F$7&lt;&gt;"전체")*(DB!H$2:H$2576=$F$7))),ROW()-13)-1,"")</f>
        <v/>
      </c>
      <c r="Q2140" t="str" cm="1">
        <f t="array" ref="Q2140">IFERROR(INDEX(DB!G$2:G$2576,P2140),"")</f>
        <v/>
      </c>
      <c r="R2140" t="str" cm="1">
        <f t="array" ref="R2140">IFERROR(INDEX(DB!O$2:O$2576,P2140),"")</f>
        <v/>
      </c>
      <c r="S2140" t="str">
        <f t="shared" si="102"/>
        <v/>
      </c>
      <c r="T2140" t="str">
        <f t="shared" si="103"/>
        <v/>
      </c>
    </row>
    <row r="2141" spans="1:20" ht="100" customHeight="1">
      <c r="A2141" s="26"/>
      <c r="B2141" s="42" t="str">
        <f t="shared" si="101"/>
        <v/>
      </c>
      <c r="C2141" s="43"/>
      <c r="D2141" s="51" t="str" cm="1">
        <f t="array" ref="D2141">IFERROR(INDEX(DB!G$2:G$2576,T2141),"")</f>
        <v/>
      </c>
      <c r="E2141" s="43"/>
      <c r="F2141" s="52" t="str" cm="1">
        <f t="array" ref="F2141">IFERROR(INDEX(DB!O$2:O$2576,T2141),"")</f>
        <v/>
      </c>
      <c r="G2141" s="43"/>
      <c r="H2141" s="40" t="str" cm="1">
        <f t="array" ref="H2141">IFERROR(INDEX(DB!P$2:P$2576,T2141),"")</f>
        <v/>
      </c>
      <c r="I2141" s="43"/>
      <c r="J2141" s="53" t="str" cm="1">
        <f t="array" ref="J2141">IFERROR(INDEX(DB!Q$2:Q$2576,T2141),"")</f>
        <v/>
      </c>
      <c r="K2141" s="43"/>
      <c r="L2141" s="41" t="str" cm="1">
        <f t="array" ref="L2141">IFERROR(INDEX(DB!R$2:R$2576,T2141),"")</f>
        <v/>
      </c>
      <c r="M2141" s="43"/>
      <c r="P2141" t="str" cm="1">
        <f t="array" ref="P2141">IFERROR(_xlfn.AGGREGATE(15,6,ROW(DB!A$2:A$2576)/((($D$3&lt;&gt;"YES")+($D$3="YES")*(DB!E$2:E$2576="YES"))*(($D$4="")+($D$4&lt;&gt;"")*( DB!B$2:B$2576=$D$4))*(($D$5="")+($D$5&lt;&gt;"")*( DB!C$2:C$2576=$D$5))*(($D$6="")+($D$6&lt;&gt;"")*( DB!D$2:D$2576=$D$6))*(($D$7="")+($D$7&lt;&gt;"")*(ISNUMBER(SEARCH($D$7,DB!G$2:G$2576))))*(($F$7="전체")+($F$7&lt;&gt;"전체")*(DB!H$2:H$2576=$F$7))),ROW()-13)-1,"")</f>
        <v/>
      </c>
      <c r="Q2141" t="str" cm="1">
        <f t="array" ref="Q2141">IFERROR(INDEX(DB!G$2:G$2576,P2141),"")</f>
        <v/>
      </c>
      <c r="R2141" t="str" cm="1">
        <f t="array" ref="R2141">IFERROR(INDEX(DB!O$2:O$2576,P2141),"")</f>
        <v/>
      </c>
      <c r="S2141" t="str">
        <f t="shared" si="102"/>
        <v/>
      </c>
      <c r="T2141" t="str">
        <f t="shared" si="103"/>
        <v/>
      </c>
    </row>
    <row r="2142" spans="1:20" ht="100" customHeight="1">
      <c r="A2142" s="26"/>
      <c r="B2142" s="39" t="str">
        <f t="shared" si="101"/>
        <v/>
      </c>
      <c r="C2142" s="43"/>
      <c r="D2142" s="51" t="str" cm="1">
        <f t="array" ref="D2142">IFERROR(INDEX(DB!G$2:G$2576,T2142),"")</f>
        <v/>
      </c>
      <c r="E2142" s="43"/>
      <c r="F2142" s="52" t="str" cm="1">
        <f t="array" ref="F2142">IFERROR(INDEX(DB!O$2:O$2576,T2142),"")</f>
        <v/>
      </c>
      <c r="G2142" s="43"/>
      <c r="H2142" s="40" t="str" cm="1">
        <f t="array" ref="H2142">IFERROR(INDEX(DB!P$2:P$2576,T2142),"")</f>
        <v/>
      </c>
      <c r="I2142" s="43"/>
      <c r="J2142" s="53" t="str" cm="1">
        <f t="array" ref="J2142">IFERROR(INDEX(DB!Q$2:Q$2576,T2142),"")</f>
        <v/>
      </c>
      <c r="K2142" s="43"/>
      <c r="L2142" s="41" t="str" cm="1">
        <f t="array" ref="L2142">IFERROR(INDEX(DB!R$2:R$2576,T2142),"")</f>
        <v/>
      </c>
      <c r="M2142" s="43"/>
      <c r="P2142" t="str" cm="1">
        <f t="array" ref="P2142">IFERROR(_xlfn.AGGREGATE(15,6,ROW(DB!A$2:A$2576)/((($D$3&lt;&gt;"YES")+($D$3="YES")*(DB!E$2:E$2576="YES"))*(($D$4="")+($D$4&lt;&gt;"")*( DB!B$2:B$2576=$D$4))*(($D$5="")+($D$5&lt;&gt;"")*( DB!C$2:C$2576=$D$5))*(($D$6="")+($D$6&lt;&gt;"")*( DB!D$2:D$2576=$D$6))*(($D$7="")+($D$7&lt;&gt;"")*(ISNUMBER(SEARCH($D$7,DB!G$2:G$2576))))*(($F$7="전체")+($F$7&lt;&gt;"전체")*(DB!H$2:H$2576=$F$7))),ROW()-13)-1,"")</f>
        <v/>
      </c>
      <c r="Q2142" t="str" cm="1">
        <f t="array" ref="Q2142">IFERROR(INDEX(DB!G$2:G$2576,P2142),"")</f>
        <v/>
      </c>
      <c r="R2142" t="str" cm="1">
        <f t="array" ref="R2142">IFERROR(INDEX(DB!O$2:O$2576,P2142),"")</f>
        <v/>
      </c>
      <c r="S2142" t="str">
        <f t="shared" si="102"/>
        <v/>
      </c>
      <c r="T2142" t="str">
        <f t="shared" si="103"/>
        <v/>
      </c>
    </row>
    <row r="2143" spans="1:20" ht="100" customHeight="1">
      <c r="A2143" s="26"/>
      <c r="B2143" s="42" t="str">
        <f t="shared" si="101"/>
        <v/>
      </c>
      <c r="C2143" s="43"/>
      <c r="D2143" s="51" t="str" cm="1">
        <f t="array" ref="D2143">IFERROR(INDEX(DB!G$2:G$2576,T2143),"")</f>
        <v/>
      </c>
      <c r="E2143" s="43"/>
      <c r="F2143" s="52" t="str" cm="1">
        <f t="array" ref="F2143">IFERROR(INDEX(DB!O$2:O$2576,T2143),"")</f>
        <v/>
      </c>
      <c r="G2143" s="43"/>
      <c r="H2143" s="40" t="str" cm="1">
        <f t="array" ref="H2143">IFERROR(INDEX(DB!P$2:P$2576,T2143),"")</f>
        <v/>
      </c>
      <c r="I2143" s="43"/>
      <c r="J2143" s="53" t="str" cm="1">
        <f t="array" ref="J2143">IFERROR(INDEX(DB!Q$2:Q$2576,T2143),"")</f>
        <v/>
      </c>
      <c r="K2143" s="43"/>
      <c r="L2143" s="41" t="str" cm="1">
        <f t="array" ref="L2143">IFERROR(INDEX(DB!R$2:R$2576,T2143),"")</f>
        <v/>
      </c>
      <c r="M2143" s="43"/>
      <c r="P2143" t="str" cm="1">
        <f t="array" ref="P2143">IFERROR(_xlfn.AGGREGATE(15,6,ROW(DB!A$2:A$2576)/((($D$3&lt;&gt;"YES")+($D$3="YES")*(DB!E$2:E$2576="YES"))*(($D$4="")+($D$4&lt;&gt;"")*( DB!B$2:B$2576=$D$4))*(($D$5="")+($D$5&lt;&gt;"")*( DB!C$2:C$2576=$D$5))*(($D$6="")+($D$6&lt;&gt;"")*( DB!D$2:D$2576=$D$6))*(($D$7="")+($D$7&lt;&gt;"")*(ISNUMBER(SEARCH($D$7,DB!G$2:G$2576))))*(($F$7="전체")+($F$7&lt;&gt;"전체")*(DB!H$2:H$2576=$F$7))),ROW()-13)-1,"")</f>
        <v/>
      </c>
      <c r="Q2143" t="str" cm="1">
        <f t="array" ref="Q2143">IFERROR(INDEX(DB!G$2:G$2576,P2143),"")</f>
        <v/>
      </c>
      <c r="R2143" t="str" cm="1">
        <f t="array" ref="R2143">IFERROR(INDEX(DB!O$2:O$2576,P2143),"")</f>
        <v/>
      </c>
      <c r="S2143" t="str">
        <f t="shared" si="102"/>
        <v/>
      </c>
      <c r="T2143" t="str">
        <f t="shared" si="103"/>
        <v/>
      </c>
    </row>
    <row r="2144" spans="1:20" ht="100" customHeight="1">
      <c r="A2144" s="26"/>
      <c r="B2144" s="39" t="str">
        <f t="shared" si="101"/>
        <v/>
      </c>
      <c r="C2144" s="43"/>
      <c r="D2144" s="51" t="str" cm="1">
        <f t="array" ref="D2144">IFERROR(INDEX(DB!G$2:G$2576,T2144),"")</f>
        <v/>
      </c>
      <c r="E2144" s="43"/>
      <c r="F2144" s="52" t="str" cm="1">
        <f t="array" ref="F2144">IFERROR(INDEX(DB!O$2:O$2576,T2144),"")</f>
        <v/>
      </c>
      <c r="G2144" s="43"/>
      <c r="H2144" s="40" t="str" cm="1">
        <f t="array" ref="H2144">IFERROR(INDEX(DB!P$2:P$2576,T2144),"")</f>
        <v/>
      </c>
      <c r="I2144" s="43"/>
      <c r="J2144" s="53" t="str" cm="1">
        <f t="array" ref="J2144">IFERROR(INDEX(DB!Q$2:Q$2576,T2144),"")</f>
        <v/>
      </c>
      <c r="K2144" s="43"/>
      <c r="L2144" s="41" t="str" cm="1">
        <f t="array" ref="L2144">IFERROR(INDEX(DB!R$2:R$2576,T2144),"")</f>
        <v/>
      </c>
      <c r="M2144" s="43"/>
      <c r="P2144" t="str" cm="1">
        <f t="array" ref="P2144">IFERROR(_xlfn.AGGREGATE(15,6,ROW(DB!A$2:A$2576)/((($D$3&lt;&gt;"YES")+($D$3="YES")*(DB!E$2:E$2576="YES"))*(($D$4="")+($D$4&lt;&gt;"")*( DB!B$2:B$2576=$D$4))*(($D$5="")+($D$5&lt;&gt;"")*( DB!C$2:C$2576=$D$5))*(($D$6="")+($D$6&lt;&gt;"")*( DB!D$2:D$2576=$D$6))*(($D$7="")+($D$7&lt;&gt;"")*(ISNUMBER(SEARCH($D$7,DB!G$2:G$2576))))*(($F$7="전체")+($F$7&lt;&gt;"전체")*(DB!H$2:H$2576=$F$7))),ROW()-13)-1,"")</f>
        <v/>
      </c>
      <c r="Q2144" t="str" cm="1">
        <f t="array" ref="Q2144">IFERROR(INDEX(DB!G$2:G$2576,P2144),"")</f>
        <v/>
      </c>
      <c r="R2144" t="str" cm="1">
        <f t="array" ref="R2144">IFERROR(INDEX(DB!O$2:O$2576,P2144),"")</f>
        <v/>
      </c>
      <c r="S2144" t="str">
        <f t="shared" si="102"/>
        <v/>
      </c>
      <c r="T2144" t="str">
        <f t="shared" si="103"/>
        <v/>
      </c>
    </row>
    <row r="2145" spans="1:20" ht="100" customHeight="1">
      <c r="A2145" s="26"/>
      <c r="B2145" s="42" t="str">
        <f t="shared" si="101"/>
        <v/>
      </c>
      <c r="C2145" s="43"/>
      <c r="D2145" s="51" t="str" cm="1">
        <f t="array" ref="D2145">IFERROR(INDEX(DB!G$2:G$2576,T2145),"")</f>
        <v/>
      </c>
      <c r="E2145" s="43"/>
      <c r="F2145" s="52" t="str" cm="1">
        <f t="array" ref="F2145">IFERROR(INDEX(DB!O$2:O$2576,T2145),"")</f>
        <v/>
      </c>
      <c r="G2145" s="43"/>
      <c r="H2145" s="40" t="str" cm="1">
        <f t="array" ref="H2145">IFERROR(INDEX(DB!P$2:P$2576,T2145),"")</f>
        <v/>
      </c>
      <c r="I2145" s="43"/>
      <c r="J2145" s="53" t="str" cm="1">
        <f t="array" ref="J2145">IFERROR(INDEX(DB!Q$2:Q$2576,T2145),"")</f>
        <v/>
      </c>
      <c r="K2145" s="43"/>
      <c r="L2145" s="41" t="str" cm="1">
        <f t="array" ref="L2145">IFERROR(INDEX(DB!R$2:R$2576,T2145),"")</f>
        <v/>
      </c>
      <c r="M2145" s="43"/>
      <c r="P2145" t="str" cm="1">
        <f t="array" ref="P2145">IFERROR(_xlfn.AGGREGATE(15,6,ROW(DB!A$2:A$2576)/((($D$3&lt;&gt;"YES")+($D$3="YES")*(DB!E$2:E$2576="YES"))*(($D$4="")+($D$4&lt;&gt;"")*( DB!B$2:B$2576=$D$4))*(($D$5="")+($D$5&lt;&gt;"")*( DB!C$2:C$2576=$D$5))*(($D$6="")+($D$6&lt;&gt;"")*( DB!D$2:D$2576=$D$6))*(($D$7="")+($D$7&lt;&gt;"")*(ISNUMBER(SEARCH($D$7,DB!G$2:G$2576))))*(($F$7="전체")+($F$7&lt;&gt;"전체")*(DB!H$2:H$2576=$F$7))),ROW()-13)-1,"")</f>
        <v/>
      </c>
      <c r="Q2145" t="str" cm="1">
        <f t="array" ref="Q2145">IFERROR(INDEX(DB!G$2:G$2576,P2145),"")</f>
        <v/>
      </c>
      <c r="R2145" t="str" cm="1">
        <f t="array" ref="R2145">IFERROR(INDEX(DB!O$2:O$2576,P2145),"")</f>
        <v/>
      </c>
      <c r="S2145" t="str">
        <f t="shared" si="102"/>
        <v/>
      </c>
      <c r="T2145" t="str">
        <f t="shared" si="103"/>
        <v/>
      </c>
    </row>
    <row r="2146" spans="1:20" ht="100" customHeight="1">
      <c r="A2146" s="26"/>
      <c r="B2146" s="39" t="str">
        <f t="shared" si="101"/>
        <v/>
      </c>
      <c r="C2146" s="43"/>
      <c r="D2146" s="51" t="str" cm="1">
        <f t="array" ref="D2146">IFERROR(INDEX(DB!G$2:G$2576,T2146),"")</f>
        <v/>
      </c>
      <c r="E2146" s="43"/>
      <c r="F2146" s="52" t="str" cm="1">
        <f t="array" ref="F2146">IFERROR(INDEX(DB!O$2:O$2576,T2146),"")</f>
        <v/>
      </c>
      <c r="G2146" s="43"/>
      <c r="H2146" s="40" t="str" cm="1">
        <f t="array" ref="H2146">IFERROR(INDEX(DB!P$2:P$2576,T2146),"")</f>
        <v/>
      </c>
      <c r="I2146" s="43"/>
      <c r="J2146" s="53" t="str" cm="1">
        <f t="array" ref="J2146">IFERROR(INDEX(DB!Q$2:Q$2576,T2146),"")</f>
        <v/>
      </c>
      <c r="K2146" s="43"/>
      <c r="L2146" s="41" t="str" cm="1">
        <f t="array" ref="L2146">IFERROR(INDEX(DB!R$2:R$2576,T2146),"")</f>
        <v/>
      </c>
      <c r="M2146" s="43"/>
      <c r="P2146" t="str" cm="1">
        <f t="array" ref="P2146">IFERROR(_xlfn.AGGREGATE(15,6,ROW(DB!A$2:A$2576)/((($D$3&lt;&gt;"YES")+($D$3="YES")*(DB!E$2:E$2576="YES"))*(($D$4="")+($D$4&lt;&gt;"")*( DB!B$2:B$2576=$D$4))*(($D$5="")+($D$5&lt;&gt;"")*( DB!C$2:C$2576=$D$5))*(($D$6="")+($D$6&lt;&gt;"")*( DB!D$2:D$2576=$D$6))*(($D$7="")+($D$7&lt;&gt;"")*(ISNUMBER(SEARCH($D$7,DB!G$2:G$2576))))*(($F$7="전체")+($F$7&lt;&gt;"전체")*(DB!H$2:H$2576=$F$7))),ROW()-13)-1,"")</f>
        <v/>
      </c>
      <c r="Q2146" t="str" cm="1">
        <f t="array" ref="Q2146">IFERROR(INDEX(DB!G$2:G$2576,P2146),"")</f>
        <v/>
      </c>
      <c r="R2146" t="str" cm="1">
        <f t="array" ref="R2146">IFERROR(INDEX(DB!O$2:O$2576,P2146),"")</f>
        <v/>
      </c>
      <c r="S2146" t="str">
        <f t="shared" si="102"/>
        <v/>
      </c>
      <c r="T2146" t="str">
        <f t="shared" si="103"/>
        <v/>
      </c>
    </row>
    <row r="2147" spans="1:20" ht="100" customHeight="1">
      <c r="A2147" s="26"/>
      <c r="B2147" s="42" t="str">
        <f t="shared" si="101"/>
        <v/>
      </c>
      <c r="C2147" s="43"/>
      <c r="D2147" s="51" t="str" cm="1">
        <f t="array" ref="D2147">IFERROR(INDEX(DB!G$2:G$2576,T2147),"")</f>
        <v/>
      </c>
      <c r="E2147" s="43"/>
      <c r="F2147" s="52" t="str" cm="1">
        <f t="array" ref="F2147">IFERROR(INDEX(DB!O$2:O$2576,T2147),"")</f>
        <v/>
      </c>
      <c r="G2147" s="43"/>
      <c r="H2147" s="40" t="str" cm="1">
        <f t="array" ref="H2147">IFERROR(INDEX(DB!P$2:P$2576,T2147),"")</f>
        <v/>
      </c>
      <c r="I2147" s="43"/>
      <c r="J2147" s="53" t="str" cm="1">
        <f t="array" ref="J2147">IFERROR(INDEX(DB!Q$2:Q$2576,T2147),"")</f>
        <v/>
      </c>
      <c r="K2147" s="43"/>
      <c r="L2147" s="41" t="str" cm="1">
        <f t="array" ref="L2147">IFERROR(INDEX(DB!R$2:R$2576,T2147),"")</f>
        <v/>
      </c>
      <c r="M2147" s="43"/>
      <c r="P2147" t="str" cm="1">
        <f t="array" ref="P2147">IFERROR(_xlfn.AGGREGATE(15,6,ROW(DB!A$2:A$2576)/((($D$3&lt;&gt;"YES")+($D$3="YES")*(DB!E$2:E$2576="YES"))*(($D$4="")+($D$4&lt;&gt;"")*( DB!B$2:B$2576=$D$4))*(($D$5="")+($D$5&lt;&gt;"")*( DB!C$2:C$2576=$D$5))*(($D$6="")+($D$6&lt;&gt;"")*( DB!D$2:D$2576=$D$6))*(($D$7="")+($D$7&lt;&gt;"")*(ISNUMBER(SEARCH($D$7,DB!G$2:G$2576))))*(($F$7="전체")+($F$7&lt;&gt;"전체")*(DB!H$2:H$2576=$F$7))),ROW()-13)-1,"")</f>
        <v/>
      </c>
      <c r="Q2147" t="str" cm="1">
        <f t="array" ref="Q2147">IFERROR(INDEX(DB!G$2:G$2576,P2147),"")</f>
        <v/>
      </c>
      <c r="R2147" t="str" cm="1">
        <f t="array" ref="R2147">IFERROR(INDEX(DB!O$2:O$2576,P2147),"")</f>
        <v/>
      </c>
      <c r="S2147" t="str">
        <f t="shared" si="102"/>
        <v/>
      </c>
      <c r="T2147" t="str">
        <f t="shared" si="103"/>
        <v/>
      </c>
    </row>
    <row r="2148" spans="1:20" ht="100" customHeight="1">
      <c r="A2148" s="26"/>
      <c r="B2148" s="39" t="str">
        <f t="shared" si="101"/>
        <v/>
      </c>
      <c r="C2148" s="43"/>
      <c r="D2148" s="51" t="str" cm="1">
        <f t="array" ref="D2148">IFERROR(INDEX(DB!G$2:G$2576,T2148),"")</f>
        <v/>
      </c>
      <c r="E2148" s="43"/>
      <c r="F2148" s="52" t="str" cm="1">
        <f t="array" ref="F2148">IFERROR(INDEX(DB!O$2:O$2576,T2148),"")</f>
        <v/>
      </c>
      <c r="G2148" s="43"/>
      <c r="H2148" s="40" t="str" cm="1">
        <f t="array" ref="H2148">IFERROR(INDEX(DB!P$2:P$2576,T2148),"")</f>
        <v/>
      </c>
      <c r="I2148" s="43"/>
      <c r="J2148" s="53" t="str" cm="1">
        <f t="array" ref="J2148">IFERROR(INDEX(DB!Q$2:Q$2576,T2148),"")</f>
        <v/>
      </c>
      <c r="K2148" s="43"/>
      <c r="L2148" s="41" t="str" cm="1">
        <f t="array" ref="L2148">IFERROR(INDEX(DB!R$2:R$2576,T2148),"")</f>
        <v/>
      </c>
      <c r="M2148" s="43"/>
      <c r="P2148" t="str" cm="1">
        <f t="array" ref="P2148">IFERROR(_xlfn.AGGREGATE(15,6,ROW(DB!A$2:A$2576)/((($D$3&lt;&gt;"YES")+($D$3="YES")*(DB!E$2:E$2576="YES"))*(($D$4="")+($D$4&lt;&gt;"")*( DB!B$2:B$2576=$D$4))*(($D$5="")+($D$5&lt;&gt;"")*( DB!C$2:C$2576=$D$5))*(($D$6="")+($D$6&lt;&gt;"")*( DB!D$2:D$2576=$D$6))*(($D$7="")+($D$7&lt;&gt;"")*(ISNUMBER(SEARCH($D$7,DB!G$2:G$2576))))*(($F$7="전체")+($F$7&lt;&gt;"전체")*(DB!H$2:H$2576=$F$7))),ROW()-13)-1,"")</f>
        <v/>
      </c>
      <c r="Q2148" t="str" cm="1">
        <f t="array" ref="Q2148">IFERROR(INDEX(DB!G$2:G$2576,P2148),"")</f>
        <v/>
      </c>
      <c r="R2148" t="str" cm="1">
        <f t="array" ref="R2148">IFERROR(INDEX(DB!O$2:O$2576,P2148),"")</f>
        <v/>
      </c>
      <c r="S2148" t="str">
        <f t="shared" si="102"/>
        <v/>
      </c>
      <c r="T2148" t="str">
        <f t="shared" si="103"/>
        <v/>
      </c>
    </row>
    <row r="2149" spans="1:20" ht="100" customHeight="1">
      <c r="A2149" s="26"/>
      <c r="B2149" s="42" t="str">
        <f t="shared" si="101"/>
        <v/>
      </c>
      <c r="C2149" s="43"/>
      <c r="D2149" s="51" t="str" cm="1">
        <f t="array" ref="D2149">IFERROR(INDEX(DB!G$2:G$2576,T2149),"")</f>
        <v/>
      </c>
      <c r="E2149" s="43"/>
      <c r="F2149" s="52" t="str" cm="1">
        <f t="array" ref="F2149">IFERROR(INDEX(DB!O$2:O$2576,T2149),"")</f>
        <v/>
      </c>
      <c r="G2149" s="43"/>
      <c r="H2149" s="40" t="str" cm="1">
        <f t="array" ref="H2149">IFERROR(INDEX(DB!P$2:P$2576,T2149),"")</f>
        <v/>
      </c>
      <c r="I2149" s="43"/>
      <c r="J2149" s="53" t="str" cm="1">
        <f t="array" ref="J2149">IFERROR(INDEX(DB!Q$2:Q$2576,T2149),"")</f>
        <v/>
      </c>
      <c r="K2149" s="43"/>
      <c r="L2149" s="41" t="str" cm="1">
        <f t="array" ref="L2149">IFERROR(INDEX(DB!R$2:R$2576,T2149),"")</f>
        <v/>
      </c>
      <c r="M2149" s="43"/>
      <c r="P2149" t="str" cm="1">
        <f t="array" ref="P2149">IFERROR(_xlfn.AGGREGATE(15,6,ROW(DB!A$2:A$2576)/((($D$3&lt;&gt;"YES")+($D$3="YES")*(DB!E$2:E$2576="YES"))*(($D$4="")+($D$4&lt;&gt;"")*( DB!B$2:B$2576=$D$4))*(($D$5="")+($D$5&lt;&gt;"")*( DB!C$2:C$2576=$D$5))*(($D$6="")+($D$6&lt;&gt;"")*( DB!D$2:D$2576=$D$6))*(($D$7="")+($D$7&lt;&gt;"")*(ISNUMBER(SEARCH($D$7,DB!G$2:G$2576))))*(($F$7="전체")+($F$7&lt;&gt;"전체")*(DB!H$2:H$2576=$F$7))),ROW()-13)-1,"")</f>
        <v/>
      </c>
      <c r="Q2149" t="str" cm="1">
        <f t="array" ref="Q2149">IFERROR(INDEX(DB!G$2:G$2576,P2149),"")</f>
        <v/>
      </c>
      <c r="R2149" t="str" cm="1">
        <f t="array" ref="R2149">IFERROR(INDEX(DB!O$2:O$2576,P2149),"")</f>
        <v/>
      </c>
      <c r="S2149" t="str">
        <f t="shared" si="102"/>
        <v/>
      </c>
      <c r="T2149" t="str">
        <f t="shared" si="103"/>
        <v/>
      </c>
    </row>
    <row r="2150" spans="1:20" ht="100" customHeight="1">
      <c r="A2150" s="26"/>
      <c r="B2150" s="39" t="str">
        <f t="shared" si="101"/>
        <v/>
      </c>
      <c r="C2150" s="43"/>
      <c r="D2150" s="51" t="str" cm="1">
        <f t="array" ref="D2150">IFERROR(INDEX(DB!G$2:G$2576,T2150),"")</f>
        <v/>
      </c>
      <c r="E2150" s="43"/>
      <c r="F2150" s="52" t="str" cm="1">
        <f t="array" ref="F2150">IFERROR(INDEX(DB!O$2:O$2576,T2150),"")</f>
        <v/>
      </c>
      <c r="G2150" s="43"/>
      <c r="H2150" s="40" t="str" cm="1">
        <f t="array" ref="H2150">IFERROR(INDEX(DB!P$2:P$2576,T2150),"")</f>
        <v/>
      </c>
      <c r="I2150" s="43"/>
      <c r="J2150" s="53" t="str" cm="1">
        <f t="array" ref="J2150">IFERROR(INDEX(DB!Q$2:Q$2576,T2150),"")</f>
        <v/>
      </c>
      <c r="K2150" s="43"/>
      <c r="L2150" s="41" t="str" cm="1">
        <f t="array" ref="L2150">IFERROR(INDEX(DB!R$2:R$2576,T2150),"")</f>
        <v/>
      </c>
      <c r="M2150" s="43"/>
      <c r="P2150" t="str" cm="1">
        <f t="array" ref="P2150">IFERROR(_xlfn.AGGREGATE(15,6,ROW(DB!A$2:A$2576)/((($D$3&lt;&gt;"YES")+($D$3="YES")*(DB!E$2:E$2576="YES"))*(($D$4="")+($D$4&lt;&gt;"")*( DB!B$2:B$2576=$D$4))*(($D$5="")+($D$5&lt;&gt;"")*( DB!C$2:C$2576=$D$5))*(($D$6="")+($D$6&lt;&gt;"")*( DB!D$2:D$2576=$D$6))*(($D$7="")+($D$7&lt;&gt;"")*(ISNUMBER(SEARCH($D$7,DB!G$2:G$2576))))*(($F$7="전체")+($F$7&lt;&gt;"전체")*(DB!H$2:H$2576=$F$7))),ROW()-13)-1,"")</f>
        <v/>
      </c>
      <c r="Q2150" t="str" cm="1">
        <f t="array" ref="Q2150">IFERROR(INDEX(DB!G$2:G$2576,P2150),"")</f>
        <v/>
      </c>
      <c r="R2150" t="str" cm="1">
        <f t="array" ref="R2150">IFERROR(INDEX(DB!O$2:O$2576,P2150),"")</f>
        <v/>
      </c>
      <c r="S2150" t="str">
        <f t="shared" si="102"/>
        <v/>
      </c>
      <c r="T2150" t="str">
        <f t="shared" si="103"/>
        <v/>
      </c>
    </row>
    <row r="2151" spans="1:20" ht="100" customHeight="1">
      <c r="A2151" s="26"/>
      <c r="B2151" s="42" t="str">
        <f t="shared" si="101"/>
        <v/>
      </c>
      <c r="C2151" s="43"/>
      <c r="D2151" s="51" t="str" cm="1">
        <f t="array" ref="D2151">IFERROR(INDEX(DB!G$2:G$2576,T2151),"")</f>
        <v/>
      </c>
      <c r="E2151" s="43"/>
      <c r="F2151" s="52" t="str" cm="1">
        <f t="array" ref="F2151">IFERROR(INDEX(DB!O$2:O$2576,T2151),"")</f>
        <v/>
      </c>
      <c r="G2151" s="43"/>
      <c r="H2151" s="40" t="str" cm="1">
        <f t="array" ref="H2151">IFERROR(INDEX(DB!P$2:P$2576,T2151),"")</f>
        <v/>
      </c>
      <c r="I2151" s="43"/>
      <c r="J2151" s="53" t="str" cm="1">
        <f t="array" ref="J2151">IFERROR(INDEX(DB!Q$2:Q$2576,T2151),"")</f>
        <v/>
      </c>
      <c r="K2151" s="43"/>
      <c r="L2151" s="41" t="str" cm="1">
        <f t="array" ref="L2151">IFERROR(INDEX(DB!R$2:R$2576,T2151),"")</f>
        <v/>
      </c>
      <c r="M2151" s="43"/>
      <c r="P2151" t="str" cm="1">
        <f t="array" ref="P2151">IFERROR(_xlfn.AGGREGATE(15,6,ROW(DB!A$2:A$2576)/((($D$3&lt;&gt;"YES")+($D$3="YES")*(DB!E$2:E$2576="YES"))*(($D$4="")+($D$4&lt;&gt;"")*( DB!B$2:B$2576=$D$4))*(($D$5="")+($D$5&lt;&gt;"")*( DB!C$2:C$2576=$D$5))*(($D$6="")+($D$6&lt;&gt;"")*( DB!D$2:D$2576=$D$6))*(($D$7="")+($D$7&lt;&gt;"")*(ISNUMBER(SEARCH($D$7,DB!G$2:G$2576))))*(($F$7="전체")+($F$7&lt;&gt;"전체")*(DB!H$2:H$2576=$F$7))),ROW()-13)-1,"")</f>
        <v/>
      </c>
      <c r="Q2151" t="str" cm="1">
        <f t="array" ref="Q2151">IFERROR(INDEX(DB!G$2:G$2576,P2151),"")</f>
        <v/>
      </c>
      <c r="R2151" t="str" cm="1">
        <f t="array" ref="R2151">IFERROR(INDEX(DB!O$2:O$2576,P2151),"")</f>
        <v/>
      </c>
      <c r="S2151" t="str">
        <f t="shared" si="102"/>
        <v/>
      </c>
      <c r="T2151" t="str">
        <f t="shared" si="103"/>
        <v/>
      </c>
    </row>
    <row r="2152" spans="1:20" ht="100" customHeight="1">
      <c r="A2152" s="26"/>
      <c r="B2152" s="39" t="str">
        <f t="shared" si="101"/>
        <v/>
      </c>
      <c r="C2152" s="43"/>
      <c r="D2152" s="51" t="str" cm="1">
        <f t="array" ref="D2152">IFERROR(INDEX(DB!G$2:G$2576,T2152),"")</f>
        <v/>
      </c>
      <c r="E2152" s="43"/>
      <c r="F2152" s="52" t="str" cm="1">
        <f t="array" ref="F2152">IFERROR(INDEX(DB!O$2:O$2576,T2152),"")</f>
        <v/>
      </c>
      <c r="G2152" s="43"/>
      <c r="H2152" s="40" t="str" cm="1">
        <f t="array" ref="H2152">IFERROR(INDEX(DB!P$2:P$2576,T2152),"")</f>
        <v/>
      </c>
      <c r="I2152" s="43"/>
      <c r="J2152" s="53" t="str" cm="1">
        <f t="array" ref="J2152">IFERROR(INDEX(DB!Q$2:Q$2576,T2152),"")</f>
        <v/>
      </c>
      <c r="K2152" s="43"/>
      <c r="L2152" s="41" t="str" cm="1">
        <f t="array" ref="L2152">IFERROR(INDEX(DB!R$2:R$2576,T2152),"")</f>
        <v/>
      </c>
      <c r="M2152" s="43"/>
      <c r="P2152" t="str" cm="1">
        <f t="array" ref="P2152">IFERROR(_xlfn.AGGREGATE(15,6,ROW(DB!A$2:A$2576)/((($D$3&lt;&gt;"YES")+($D$3="YES")*(DB!E$2:E$2576="YES"))*(($D$4="")+($D$4&lt;&gt;"")*( DB!B$2:B$2576=$D$4))*(($D$5="")+($D$5&lt;&gt;"")*( DB!C$2:C$2576=$D$5))*(($D$6="")+($D$6&lt;&gt;"")*( DB!D$2:D$2576=$D$6))*(($D$7="")+($D$7&lt;&gt;"")*(ISNUMBER(SEARCH($D$7,DB!G$2:G$2576))))*(($F$7="전체")+($F$7&lt;&gt;"전체")*(DB!H$2:H$2576=$F$7))),ROW()-13)-1,"")</f>
        <v/>
      </c>
      <c r="Q2152" t="str" cm="1">
        <f t="array" ref="Q2152">IFERROR(INDEX(DB!G$2:G$2576,P2152),"")</f>
        <v/>
      </c>
      <c r="R2152" t="str" cm="1">
        <f t="array" ref="R2152">IFERROR(INDEX(DB!O$2:O$2576,P2152),"")</f>
        <v/>
      </c>
      <c r="S2152" t="str">
        <f t="shared" si="102"/>
        <v/>
      </c>
      <c r="T2152" t="str">
        <f t="shared" si="103"/>
        <v/>
      </c>
    </row>
    <row r="2153" spans="1:20" ht="100" customHeight="1">
      <c r="A2153" s="26"/>
      <c r="B2153" s="42" t="str">
        <f t="shared" si="101"/>
        <v/>
      </c>
      <c r="C2153" s="43"/>
      <c r="D2153" s="51" t="str" cm="1">
        <f t="array" ref="D2153">IFERROR(INDEX(DB!G$2:G$2576,T2153),"")</f>
        <v/>
      </c>
      <c r="E2153" s="43"/>
      <c r="F2153" s="52" t="str" cm="1">
        <f t="array" ref="F2153">IFERROR(INDEX(DB!O$2:O$2576,T2153),"")</f>
        <v/>
      </c>
      <c r="G2153" s="43"/>
      <c r="H2153" s="40" t="str" cm="1">
        <f t="array" ref="H2153">IFERROR(INDEX(DB!P$2:P$2576,T2153),"")</f>
        <v/>
      </c>
      <c r="I2153" s="43"/>
      <c r="J2153" s="53" t="str" cm="1">
        <f t="array" ref="J2153">IFERROR(INDEX(DB!Q$2:Q$2576,T2153),"")</f>
        <v/>
      </c>
      <c r="K2153" s="43"/>
      <c r="L2153" s="41" t="str" cm="1">
        <f t="array" ref="L2153">IFERROR(INDEX(DB!R$2:R$2576,T2153),"")</f>
        <v/>
      </c>
      <c r="M2153" s="43"/>
      <c r="P2153" t="str" cm="1">
        <f t="array" ref="P2153">IFERROR(_xlfn.AGGREGATE(15,6,ROW(DB!A$2:A$2576)/((($D$3&lt;&gt;"YES")+($D$3="YES")*(DB!E$2:E$2576="YES"))*(($D$4="")+($D$4&lt;&gt;"")*( DB!B$2:B$2576=$D$4))*(($D$5="")+($D$5&lt;&gt;"")*( DB!C$2:C$2576=$D$5))*(($D$6="")+($D$6&lt;&gt;"")*( DB!D$2:D$2576=$D$6))*(($D$7="")+($D$7&lt;&gt;"")*(ISNUMBER(SEARCH($D$7,DB!G$2:G$2576))))*(($F$7="전체")+($F$7&lt;&gt;"전체")*(DB!H$2:H$2576=$F$7))),ROW()-13)-1,"")</f>
        <v/>
      </c>
      <c r="Q2153" t="str" cm="1">
        <f t="array" ref="Q2153">IFERROR(INDEX(DB!G$2:G$2576,P2153),"")</f>
        <v/>
      </c>
      <c r="R2153" t="str" cm="1">
        <f t="array" ref="R2153">IFERROR(INDEX(DB!O$2:O$2576,P2153),"")</f>
        <v/>
      </c>
      <c r="S2153" t="str">
        <f t="shared" si="102"/>
        <v/>
      </c>
      <c r="T2153" t="str">
        <f t="shared" si="103"/>
        <v/>
      </c>
    </row>
    <row r="2154" spans="1:20" ht="100" customHeight="1">
      <c r="A2154" s="26"/>
      <c r="B2154" s="39" t="str">
        <f t="shared" si="101"/>
        <v/>
      </c>
      <c r="C2154" s="43"/>
      <c r="D2154" s="51" t="str" cm="1">
        <f t="array" ref="D2154">IFERROR(INDEX(DB!G$2:G$2576,T2154),"")</f>
        <v/>
      </c>
      <c r="E2154" s="43"/>
      <c r="F2154" s="52" t="str" cm="1">
        <f t="array" ref="F2154">IFERROR(INDEX(DB!O$2:O$2576,T2154),"")</f>
        <v/>
      </c>
      <c r="G2154" s="43"/>
      <c r="H2154" s="40" t="str" cm="1">
        <f t="array" ref="H2154">IFERROR(INDEX(DB!P$2:P$2576,T2154),"")</f>
        <v/>
      </c>
      <c r="I2154" s="43"/>
      <c r="J2154" s="53" t="str" cm="1">
        <f t="array" ref="J2154">IFERROR(INDEX(DB!Q$2:Q$2576,T2154),"")</f>
        <v/>
      </c>
      <c r="K2154" s="43"/>
      <c r="L2154" s="41" t="str" cm="1">
        <f t="array" ref="L2154">IFERROR(INDEX(DB!R$2:R$2576,T2154),"")</f>
        <v/>
      </c>
      <c r="M2154" s="43"/>
      <c r="P2154" t="str" cm="1">
        <f t="array" ref="P2154">IFERROR(_xlfn.AGGREGATE(15,6,ROW(DB!A$2:A$2576)/((($D$3&lt;&gt;"YES")+($D$3="YES")*(DB!E$2:E$2576="YES"))*(($D$4="")+($D$4&lt;&gt;"")*( DB!B$2:B$2576=$D$4))*(($D$5="")+($D$5&lt;&gt;"")*( DB!C$2:C$2576=$D$5))*(($D$6="")+($D$6&lt;&gt;"")*( DB!D$2:D$2576=$D$6))*(($D$7="")+($D$7&lt;&gt;"")*(ISNUMBER(SEARCH($D$7,DB!G$2:G$2576))))*(($F$7="전체")+($F$7&lt;&gt;"전체")*(DB!H$2:H$2576=$F$7))),ROW()-13)-1,"")</f>
        <v/>
      </c>
      <c r="Q2154" t="str" cm="1">
        <f t="array" ref="Q2154">IFERROR(INDEX(DB!G$2:G$2576,P2154),"")</f>
        <v/>
      </c>
      <c r="R2154" t="str" cm="1">
        <f t="array" ref="R2154">IFERROR(INDEX(DB!O$2:O$2576,P2154),"")</f>
        <v/>
      </c>
      <c r="S2154" t="str">
        <f t="shared" si="102"/>
        <v/>
      </c>
      <c r="T2154" t="str">
        <f t="shared" si="103"/>
        <v/>
      </c>
    </row>
    <row r="2155" spans="1:20" ht="100" customHeight="1">
      <c r="A2155" s="26"/>
      <c r="B2155" s="42" t="str">
        <f t="shared" si="101"/>
        <v/>
      </c>
      <c r="C2155" s="43"/>
      <c r="D2155" s="51" t="str" cm="1">
        <f t="array" ref="D2155">IFERROR(INDEX(DB!G$2:G$2576,T2155),"")</f>
        <v/>
      </c>
      <c r="E2155" s="43"/>
      <c r="F2155" s="52" t="str" cm="1">
        <f t="array" ref="F2155">IFERROR(INDEX(DB!O$2:O$2576,T2155),"")</f>
        <v/>
      </c>
      <c r="G2155" s="43"/>
      <c r="H2155" s="40" t="str" cm="1">
        <f t="array" ref="H2155">IFERROR(INDEX(DB!P$2:P$2576,T2155),"")</f>
        <v/>
      </c>
      <c r="I2155" s="43"/>
      <c r="J2155" s="53" t="str" cm="1">
        <f t="array" ref="J2155">IFERROR(INDEX(DB!Q$2:Q$2576,T2155),"")</f>
        <v/>
      </c>
      <c r="K2155" s="43"/>
      <c r="L2155" s="41" t="str" cm="1">
        <f t="array" ref="L2155">IFERROR(INDEX(DB!R$2:R$2576,T2155),"")</f>
        <v/>
      </c>
      <c r="M2155" s="43"/>
      <c r="P2155" t="str" cm="1">
        <f t="array" ref="P2155">IFERROR(_xlfn.AGGREGATE(15,6,ROW(DB!A$2:A$2576)/((($D$3&lt;&gt;"YES")+($D$3="YES")*(DB!E$2:E$2576="YES"))*(($D$4="")+($D$4&lt;&gt;"")*( DB!B$2:B$2576=$D$4))*(($D$5="")+($D$5&lt;&gt;"")*( DB!C$2:C$2576=$D$5))*(($D$6="")+($D$6&lt;&gt;"")*( DB!D$2:D$2576=$D$6))*(($D$7="")+($D$7&lt;&gt;"")*(ISNUMBER(SEARCH($D$7,DB!G$2:G$2576))))*(($F$7="전체")+($F$7&lt;&gt;"전체")*(DB!H$2:H$2576=$F$7))),ROW()-13)-1,"")</f>
        <v/>
      </c>
      <c r="Q2155" t="str" cm="1">
        <f t="array" ref="Q2155">IFERROR(INDEX(DB!G$2:G$2576,P2155),"")</f>
        <v/>
      </c>
      <c r="R2155" t="str" cm="1">
        <f t="array" ref="R2155">IFERROR(INDEX(DB!O$2:O$2576,P2155),"")</f>
        <v/>
      </c>
      <c r="S2155" t="str">
        <f t="shared" si="102"/>
        <v/>
      </c>
      <c r="T2155" t="str">
        <f t="shared" si="103"/>
        <v/>
      </c>
    </row>
    <row r="2156" spans="1:20" ht="100" customHeight="1">
      <c r="A2156" s="26"/>
      <c r="B2156" s="39" t="str">
        <f t="shared" si="101"/>
        <v/>
      </c>
      <c r="C2156" s="43"/>
      <c r="D2156" s="51" t="str" cm="1">
        <f t="array" ref="D2156">IFERROR(INDEX(DB!G$2:G$2576,T2156),"")</f>
        <v/>
      </c>
      <c r="E2156" s="43"/>
      <c r="F2156" s="52" t="str" cm="1">
        <f t="array" ref="F2156">IFERROR(INDEX(DB!O$2:O$2576,T2156),"")</f>
        <v/>
      </c>
      <c r="G2156" s="43"/>
      <c r="H2156" s="40" t="str" cm="1">
        <f t="array" ref="H2156">IFERROR(INDEX(DB!P$2:P$2576,T2156),"")</f>
        <v/>
      </c>
      <c r="I2156" s="43"/>
      <c r="J2156" s="53" t="str" cm="1">
        <f t="array" ref="J2156">IFERROR(INDEX(DB!Q$2:Q$2576,T2156),"")</f>
        <v/>
      </c>
      <c r="K2156" s="43"/>
      <c r="L2156" s="41" t="str" cm="1">
        <f t="array" ref="L2156">IFERROR(INDEX(DB!R$2:R$2576,T2156),"")</f>
        <v/>
      </c>
      <c r="M2156" s="43"/>
      <c r="P2156" t="str" cm="1">
        <f t="array" ref="P2156">IFERROR(_xlfn.AGGREGATE(15,6,ROW(DB!A$2:A$2576)/((($D$3&lt;&gt;"YES")+($D$3="YES")*(DB!E$2:E$2576="YES"))*(($D$4="")+($D$4&lt;&gt;"")*( DB!B$2:B$2576=$D$4))*(($D$5="")+($D$5&lt;&gt;"")*( DB!C$2:C$2576=$D$5))*(($D$6="")+($D$6&lt;&gt;"")*( DB!D$2:D$2576=$D$6))*(($D$7="")+($D$7&lt;&gt;"")*(ISNUMBER(SEARCH($D$7,DB!G$2:G$2576))))*(($F$7="전체")+($F$7&lt;&gt;"전체")*(DB!H$2:H$2576=$F$7))),ROW()-13)-1,"")</f>
        <v/>
      </c>
      <c r="Q2156" t="str" cm="1">
        <f t="array" ref="Q2156">IFERROR(INDEX(DB!G$2:G$2576,P2156),"")</f>
        <v/>
      </c>
      <c r="R2156" t="str" cm="1">
        <f t="array" ref="R2156">IFERROR(INDEX(DB!O$2:O$2576,P2156),"")</f>
        <v/>
      </c>
      <c r="S2156" t="str">
        <f t="shared" si="102"/>
        <v/>
      </c>
      <c r="T2156" t="str">
        <f t="shared" si="103"/>
        <v/>
      </c>
    </row>
    <row r="2157" spans="1:20" ht="100" customHeight="1">
      <c r="A2157" s="26"/>
      <c r="B2157" s="42" t="str">
        <f t="shared" si="101"/>
        <v/>
      </c>
      <c r="C2157" s="43"/>
      <c r="D2157" s="51" t="str" cm="1">
        <f t="array" ref="D2157">IFERROR(INDEX(DB!G$2:G$2576,T2157),"")</f>
        <v/>
      </c>
      <c r="E2157" s="43"/>
      <c r="F2157" s="52" t="str" cm="1">
        <f t="array" ref="F2157">IFERROR(INDEX(DB!O$2:O$2576,T2157),"")</f>
        <v/>
      </c>
      <c r="G2157" s="43"/>
      <c r="H2157" s="40" t="str" cm="1">
        <f t="array" ref="H2157">IFERROR(INDEX(DB!P$2:P$2576,T2157),"")</f>
        <v/>
      </c>
      <c r="I2157" s="43"/>
      <c r="J2157" s="53" t="str" cm="1">
        <f t="array" ref="J2157">IFERROR(INDEX(DB!Q$2:Q$2576,T2157),"")</f>
        <v/>
      </c>
      <c r="K2157" s="43"/>
      <c r="L2157" s="41" t="str" cm="1">
        <f t="array" ref="L2157">IFERROR(INDEX(DB!R$2:R$2576,T2157),"")</f>
        <v/>
      </c>
      <c r="M2157" s="43"/>
      <c r="P2157" t="str" cm="1">
        <f t="array" ref="P2157">IFERROR(_xlfn.AGGREGATE(15,6,ROW(DB!A$2:A$2576)/((($D$3&lt;&gt;"YES")+($D$3="YES")*(DB!E$2:E$2576="YES"))*(($D$4="")+($D$4&lt;&gt;"")*( DB!B$2:B$2576=$D$4))*(($D$5="")+($D$5&lt;&gt;"")*( DB!C$2:C$2576=$D$5))*(($D$6="")+($D$6&lt;&gt;"")*( DB!D$2:D$2576=$D$6))*(($D$7="")+($D$7&lt;&gt;"")*(ISNUMBER(SEARCH($D$7,DB!G$2:G$2576))))*(($F$7="전체")+($F$7&lt;&gt;"전체")*(DB!H$2:H$2576=$F$7))),ROW()-13)-1,"")</f>
        <v/>
      </c>
      <c r="Q2157" t="str" cm="1">
        <f t="array" ref="Q2157">IFERROR(INDEX(DB!G$2:G$2576,P2157),"")</f>
        <v/>
      </c>
      <c r="R2157" t="str" cm="1">
        <f t="array" ref="R2157">IFERROR(INDEX(DB!O$2:O$2576,P2157),"")</f>
        <v/>
      </c>
      <c r="S2157" t="str">
        <f t="shared" si="102"/>
        <v/>
      </c>
      <c r="T2157" t="str">
        <f t="shared" si="103"/>
        <v/>
      </c>
    </row>
    <row r="2158" spans="1:20" ht="100" customHeight="1">
      <c r="A2158" s="26"/>
      <c r="B2158" s="39" t="str">
        <f t="shared" si="101"/>
        <v/>
      </c>
      <c r="C2158" s="43"/>
      <c r="D2158" s="51" t="str" cm="1">
        <f t="array" ref="D2158">IFERROR(INDEX(DB!G$2:G$2576,T2158),"")</f>
        <v/>
      </c>
      <c r="E2158" s="43"/>
      <c r="F2158" s="52" t="str" cm="1">
        <f t="array" ref="F2158">IFERROR(INDEX(DB!O$2:O$2576,T2158),"")</f>
        <v/>
      </c>
      <c r="G2158" s="43"/>
      <c r="H2158" s="40" t="str" cm="1">
        <f t="array" ref="H2158">IFERROR(INDEX(DB!P$2:P$2576,T2158),"")</f>
        <v/>
      </c>
      <c r="I2158" s="43"/>
      <c r="J2158" s="53" t="str" cm="1">
        <f t="array" ref="J2158">IFERROR(INDEX(DB!Q$2:Q$2576,T2158),"")</f>
        <v/>
      </c>
      <c r="K2158" s="43"/>
      <c r="L2158" s="41" t="str" cm="1">
        <f t="array" ref="L2158">IFERROR(INDEX(DB!R$2:R$2576,T2158),"")</f>
        <v/>
      </c>
      <c r="M2158" s="43"/>
      <c r="P2158" t="str" cm="1">
        <f t="array" ref="P2158">IFERROR(_xlfn.AGGREGATE(15,6,ROW(DB!A$2:A$2576)/((($D$3&lt;&gt;"YES")+($D$3="YES")*(DB!E$2:E$2576="YES"))*(($D$4="")+($D$4&lt;&gt;"")*( DB!B$2:B$2576=$D$4))*(($D$5="")+($D$5&lt;&gt;"")*( DB!C$2:C$2576=$D$5))*(($D$6="")+($D$6&lt;&gt;"")*( DB!D$2:D$2576=$D$6))*(($D$7="")+($D$7&lt;&gt;"")*(ISNUMBER(SEARCH($D$7,DB!G$2:G$2576))))*(($F$7="전체")+($F$7&lt;&gt;"전체")*(DB!H$2:H$2576=$F$7))),ROW()-13)-1,"")</f>
        <v/>
      </c>
      <c r="Q2158" t="str" cm="1">
        <f t="array" ref="Q2158">IFERROR(INDEX(DB!G$2:G$2576,P2158),"")</f>
        <v/>
      </c>
      <c r="R2158" t="str" cm="1">
        <f t="array" ref="R2158">IFERROR(INDEX(DB!O$2:O$2576,P2158),"")</f>
        <v/>
      </c>
      <c r="S2158" t="str">
        <f t="shared" si="102"/>
        <v/>
      </c>
      <c r="T2158" t="str">
        <f t="shared" si="103"/>
        <v/>
      </c>
    </row>
    <row r="2159" spans="1:20" ht="100" customHeight="1">
      <c r="A2159" s="26"/>
      <c r="B2159" s="42" t="str">
        <f t="shared" si="101"/>
        <v/>
      </c>
      <c r="C2159" s="43"/>
      <c r="D2159" s="51" t="str" cm="1">
        <f t="array" ref="D2159">IFERROR(INDEX(DB!G$2:G$2576,T2159),"")</f>
        <v/>
      </c>
      <c r="E2159" s="43"/>
      <c r="F2159" s="52" t="str" cm="1">
        <f t="array" ref="F2159">IFERROR(INDEX(DB!O$2:O$2576,T2159),"")</f>
        <v/>
      </c>
      <c r="G2159" s="43"/>
      <c r="H2159" s="40" t="str" cm="1">
        <f t="array" ref="H2159">IFERROR(INDEX(DB!P$2:P$2576,T2159),"")</f>
        <v/>
      </c>
      <c r="I2159" s="43"/>
      <c r="J2159" s="53" t="str" cm="1">
        <f t="array" ref="J2159">IFERROR(INDEX(DB!Q$2:Q$2576,T2159),"")</f>
        <v/>
      </c>
      <c r="K2159" s="43"/>
      <c r="L2159" s="41" t="str" cm="1">
        <f t="array" ref="L2159">IFERROR(INDEX(DB!R$2:R$2576,T2159),"")</f>
        <v/>
      </c>
      <c r="M2159" s="43"/>
      <c r="P2159" t="str" cm="1">
        <f t="array" ref="P2159">IFERROR(_xlfn.AGGREGATE(15,6,ROW(DB!A$2:A$2576)/((($D$3&lt;&gt;"YES")+($D$3="YES")*(DB!E$2:E$2576="YES"))*(($D$4="")+($D$4&lt;&gt;"")*( DB!B$2:B$2576=$D$4))*(($D$5="")+($D$5&lt;&gt;"")*( DB!C$2:C$2576=$D$5))*(($D$6="")+($D$6&lt;&gt;"")*( DB!D$2:D$2576=$D$6))*(($D$7="")+($D$7&lt;&gt;"")*(ISNUMBER(SEARCH($D$7,DB!G$2:G$2576))))*(($F$7="전체")+($F$7&lt;&gt;"전체")*(DB!H$2:H$2576=$F$7))),ROW()-13)-1,"")</f>
        <v/>
      </c>
      <c r="Q2159" t="str" cm="1">
        <f t="array" ref="Q2159">IFERROR(INDEX(DB!G$2:G$2576,P2159),"")</f>
        <v/>
      </c>
      <c r="R2159" t="str" cm="1">
        <f t="array" ref="R2159">IFERROR(INDEX(DB!O$2:O$2576,P2159),"")</f>
        <v/>
      </c>
      <c r="S2159" t="str">
        <f t="shared" si="102"/>
        <v/>
      </c>
      <c r="T2159" t="str">
        <f t="shared" si="103"/>
        <v/>
      </c>
    </row>
    <row r="2160" spans="1:20" ht="100" customHeight="1">
      <c r="A2160" s="26"/>
      <c r="B2160" s="39" t="str">
        <f t="shared" si="101"/>
        <v/>
      </c>
      <c r="C2160" s="43"/>
      <c r="D2160" s="51" t="str" cm="1">
        <f t="array" ref="D2160">IFERROR(INDEX(DB!G$2:G$2576,T2160),"")</f>
        <v/>
      </c>
      <c r="E2160" s="43"/>
      <c r="F2160" s="52" t="str" cm="1">
        <f t="array" ref="F2160">IFERROR(INDEX(DB!O$2:O$2576,T2160),"")</f>
        <v/>
      </c>
      <c r="G2160" s="43"/>
      <c r="H2160" s="40" t="str" cm="1">
        <f t="array" ref="H2160">IFERROR(INDEX(DB!P$2:P$2576,T2160),"")</f>
        <v/>
      </c>
      <c r="I2160" s="43"/>
      <c r="J2160" s="53" t="str" cm="1">
        <f t="array" ref="J2160">IFERROR(INDEX(DB!Q$2:Q$2576,T2160),"")</f>
        <v/>
      </c>
      <c r="K2160" s="43"/>
      <c r="L2160" s="41" t="str" cm="1">
        <f t="array" ref="L2160">IFERROR(INDEX(DB!R$2:R$2576,T2160),"")</f>
        <v/>
      </c>
      <c r="M2160" s="43"/>
      <c r="P2160" t="str" cm="1">
        <f t="array" ref="P2160">IFERROR(_xlfn.AGGREGATE(15,6,ROW(DB!A$2:A$2576)/((($D$3&lt;&gt;"YES")+($D$3="YES")*(DB!E$2:E$2576="YES"))*(($D$4="")+($D$4&lt;&gt;"")*( DB!B$2:B$2576=$D$4))*(($D$5="")+($D$5&lt;&gt;"")*( DB!C$2:C$2576=$D$5))*(($D$6="")+($D$6&lt;&gt;"")*( DB!D$2:D$2576=$D$6))*(($D$7="")+($D$7&lt;&gt;"")*(ISNUMBER(SEARCH($D$7,DB!G$2:G$2576))))*(($F$7="전체")+($F$7&lt;&gt;"전체")*(DB!H$2:H$2576=$F$7))),ROW()-13)-1,"")</f>
        <v/>
      </c>
      <c r="Q2160" t="str" cm="1">
        <f t="array" ref="Q2160">IFERROR(INDEX(DB!G$2:G$2576,P2160),"")</f>
        <v/>
      </c>
      <c r="R2160" t="str" cm="1">
        <f t="array" ref="R2160">IFERROR(INDEX(DB!O$2:O$2576,P2160),"")</f>
        <v/>
      </c>
      <c r="S2160" t="str">
        <f t="shared" si="102"/>
        <v/>
      </c>
      <c r="T2160" t="str">
        <f t="shared" si="103"/>
        <v/>
      </c>
    </row>
    <row r="2161" spans="1:20" ht="100" customHeight="1">
      <c r="A2161" s="26"/>
      <c r="B2161" s="42" t="str">
        <f t="shared" si="101"/>
        <v/>
      </c>
      <c r="C2161" s="43"/>
      <c r="D2161" s="51" t="str" cm="1">
        <f t="array" ref="D2161">IFERROR(INDEX(DB!G$2:G$2576,T2161),"")</f>
        <v/>
      </c>
      <c r="E2161" s="43"/>
      <c r="F2161" s="52" t="str" cm="1">
        <f t="array" ref="F2161">IFERROR(INDEX(DB!O$2:O$2576,T2161),"")</f>
        <v/>
      </c>
      <c r="G2161" s="43"/>
      <c r="H2161" s="40" t="str" cm="1">
        <f t="array" ref="H2161">IFERROR(INDEX(DB!P$2:P$2576,T2161),"")</f>
        <v/>
      </c>
      <c r="I2161" s="43"/>
      <c r="J2161" s="53" t="str" cm="1">
        <f t="array" ref="J2161">IFERROR(INDEX(DB!Q$2:Q$2576,T2161),"")</f>
        <v/>
      </c>
      <c r="K2161" s="43"/>
      <c r="L2161" s="41" t="str" cm="1">
        <f t="array" ref="L2161">IFERROR(INDEX(DB!R$2:R$2576,T2161),"")</f>
        <v/>
      </c>
      <c r="M2161" s="43"/>
      <c r="P2161" t="str" cm="1">
        <f t="array" ref="P2161">IFERROR(_xlfn.AGGREGATE(15,6,ROW(DB!A$2:A$2576)/((($D$3&lt;&gt;"YES")+($D$3="YES")*(DB!E$2:E$2576="YES"))*(($D$4="")+($D$4&lt;&gt;"")*( DB!B$2:B$2576=$D$4))*(($D$5="")+($D$5&lt;&gt;"")*( DB!C$2:C$2576=$D$5))*(($D$6="")+($D$6&lt;&gt;"")*( DB!D$2:D$2576=$D$6))*(($D$7="")+($D$7&lt;&gt;"")*(ISNUMBER(SEARCH($D$7,DB!G$2:G$2576))))*(($F$7="전체")+($F$7&lt;&gt;"전체")*(DB!H$2:H$2576=$F$7))),ROW()-13)-1,"")</f>
        <v/>
      </c>
      <c r="Q2161" t="str" cm="1">
        <f t="array" ref="Q2161">IFERROR(INDEX(DB!G$2:G$2576,P2161),"")</f>
        <v/>
      </c>
      <c r="R2161" t="str" cm="1">
        <f t="array" ref="R2161">IFERROR(INDEX(DB!O$2:O$2576,P2161),"")</f>
        <v/>
      </c>
      <c r="S2161" t="str">
        <f t="shared" si="102"/>
        <v/>
      </c>
      <c r="T2161" t="str">
        <f t="shared" si="103"/>
        <v/>
      </c>
    </row>
    <row r="2162" spans="1:20" ht="100" customHeight="1">
      <c r="A2162" s="26"/>
      <c r="B2162" s="39" t="str">
        <f t="shared" si="101"/>
        <v/>
      </c>
      <c r="C2162" s="43"/>
      <c r="D2162" s="51" t="str" cm="1">
        <f t="array" ref="D2162">IFERROR(INDEX(DB!G$2:G$2576,T2162),"")</f>
        <v/>
      </c>
      <c r="E2162" s="43"/>
      <c r="F2162" s="52" t="str" cm="1">
        <f t="array" ref="F2162">IFERROR(INDEX(DB!O$2:O$2576,T2162),"")</f>
        <v/>
      </c>
      <c r="G2162" s="43"/>
      <c r="H2162" s="40" t="str" cm="1">
        <f t="array" ref="H2162">IFERROR(INDEX(DB!P$2:P$2576,T2162),"")</f>
        <v/>
      </c>
      <c r="I2162" s="43"/>
      <c r="J2162" s="53" t="str" cm="1">
        <f t="array" ref="J2162">IFERROR(INDEX(DB!Q$2:Q$2576,T2162),"")</f>
        <v/>
      </c>
      <c r="K2162" s="43"/>
      <c r="L2162" s="41" t="str" cm="1">
        <f t="array" ref="L2162">IFERROR(INDEX(DB!R$2:R$2576,T2162),"")</f>
        <v/>
      </c>
      <c r="M2162" s="43"/>
      <c r="P2162" t="str" cm="1">
        <f t="array" ref="P2162">IFERROR(_xlfn.AGGREGATE(15,6,ROW(DB!A$2:A$2576)/((($D$3&lt;&gt;"YES")+($D$3="YES")*(DB!E$2:E$2576="YES"))*(($D$4="")+($D$4&lt;&gt;"")*( DB!B$2:B$2576=$D$4))*(($D$5="")+($D$5&lt;&gt;"")*( DB!C$2:C$2576=$D$5))*(($D$6="")+($D$6&lt;&gt;"")*( DB!D$2:D$2576=$D$6))*(($D$7="")+($D$7&lt;&gt;"")*(ISNUMBER(SEARCH($D$7,DB!G$2:G$2576))))*(($F$7="전체")+($F$7&lt;&gt;"전체")*(DB!H$2:H$2576=$F$7))),ROW()-13)-1,"")</f>
        <v/>
      </c>
      <c r="Q2162" t="str" cm="1">
        <f t="array" ref="Q2162">IFERROR(INDEX(DB!G$2:G$2576,P2162),"")</f>
        <v/>
      </c>
      <c r="R2162" t="str" cm="1">
        <f t="array" ref="R2162">IFERROR(INDEX(DB!O$2:O$2576,P2162),"")</f>
        <v/>
      </c>
      <c r="S2162" t="str">
        <f t="shared" si="102"/>
        <v/>
      </c>
      <c r="T2162" t="str">
        <f t="shared" si="103"/>
        <v/>
      </c>
    </row>
    <row r="2163" spans="1:20" ht="100" customHeight="1">
      <c r="A2163" s="26"/>
      <c r="B2163" s="42" t="str">
        <f t="shared" si="101"/>
        <v/>
      </c>
      <c r="C2163" s="43"/>
      <c r="D2163" s="51" t="str" cm="1">
        <f t="array" ref="D2163">IFERROR(INDEX(DB!G$2:G$2576,T2163),"")</f>
        <v/>
      </c>
      <c r="E2163" s="43"/>
      <c r="F2163" s="52" t="str" cm="1">
        <f t="array" ref="F2163">IFERROR(INDEX(DB!O$2:O$2576,T2163),"")</f>
        <v/>
      </c>
      <c r="G2163" s="43"/>
      <c r="H2163" s="40" t="str" cm="1">
        <f t="array" ref="H2163">IFERROR(INDEX(DB!P$2:P$2576,T2163),"")</f>
        <v/>
      </c>
      <c r="I2163" s="43"/>
      <c r="J2163" s="53" t="str" cm="1">
        <f t="array" ref="J2163">IFERROR(INDEX(DB!Q$2:Q$2576,T2163),"")</f>
        <v/>
      </c>
      <c r="K2163" s="43"/>
      <c r="L2163" s="41" t="str" cm="1">
        <f t="array" ref="L2163">IFERROR(INDEX(DB!R$2:R$2576,T2163),"")</f>
        <v/>
      </c>
      <c r="M2163" s="43"/>
      <c r="P2163" t="str" cm="1">
        <f t="array" ref="P2163">IFERROR(_xlfn.AGGREGATE(15,6,ROW(DB!A$2:A$2576)/((($D$3&lt;&gt;"YES")+($D$3="YES")*(DB!E$2:E$2576="YES"))*(($D$4="")+($D$4&lt;&gt;"")*( DB!B$2:B$2576=$D$4))*(($D$5="")+($D$5&lt;&gt;"")*( DB!C$2:C$2576=$D$5))*(($D$6="")+($D$6&lt;&gt;"")*( DB!D$2:D$2576=$D$6))*(($D$7="")+($D$7&lt;&gt;"")*(ISNUMBER(SEARCH($D$7,DB!G$2:G$2576))))*(($F$7="전체")+($F$7&lt;&gt;"전체")*(DB!H$2:H$2576=$F$7))),ROW()-13)-1,"")</f>
        <v/>
      </c>
      <c r="Q2163" t="str" cm="1">
        <f t="array" ref="Q2163">IFERROR(INDEX(DB!G$2:G$2576,P2163),"")</f>
        <v/>
      </c>
      <c r="R2163" t="str" cm="1">
        <f t="array" ref="R2163">IFERROR(INDEX(DB!O$2:O$2576,P2163),"")</f>
        <v/>
      </c>
      <c r="S2163" t="str">
        <f t="shared" si="102"/>
        <v/>
      </c>
      <c r="T2163" t="str">
        <f t="shared" si="103"/>
        <v/>
      </c>
    </row>
    <row r="2164" spans="1:20" ht="100" customHeight="1">
      <c r="A2164" s="26"/>
      <c r="B2164" s="39" t="str">
        <f t="shared" si="101"/>
        <v/>
      </c>
      <c r="C2164" s="43"/>
      <c r="D2164" s="51" t="str" cm="1">
        <f t="array" ref="D2164">IFERROR(INDEX(DB!G$2:G$2576,T2164),"")</f>
        <v/>
      </c>
      <c r="E2164" s="43"/>
      <c r="F2164" s="52" t="str" cm="1">
        <f t="array" ref="F2164">IFERROR(INDEX(DB!O$2:O$2576,T2164),"")</f>
        <v/>
      </c>
      <c r="G2164" s="43"/>
      <c r="H2164" s="40" t="str" cm="1">
        <f t="array" ref="H2164">IFERROR(INDEX(DB!P$2:P$2576,T2164),"")</f>
        <v/>
      </c>
      <c r="I2164" s="43"/>
      <c r="J2164" s="53" t="str" cm="1">
        <f t="array" ref="J2164">IFERROR(INDEX(DB!Q$2:Q$2576,T2164),"")</f>
        <v/>
      </c>
      <c r="K2164" s="43"/>
      <c r="L2164" s="41" t="str" cm="1">
        <f t="array" ref="L2164">IFERROR(INDEX(DB!R$2:R$2576,T2164),"")</f>
        <v/>
      </c>
      <c r="M2164" s="43"/>
      <c r="P2164" t="str" cm="1">
        <f t="array" ref="P2164">IFERROR(_xlfn.AGGREGATE(15,6,ROW(DB!A$2:A$2576)/((($D$3&lt;&gt;"YES")+($D$3="YES")*(DB!E$2:E$2576="YES"))*(($D$4="")+($D$4&lt;&gt;"")*( DB!B$2:B$2576=$D$4))*(($D$5="")+($D$5&lt;&gt;"")*( DB!C$2:C$2576=$D$5))*(($D$6="")+($D$6&lt;&gt;"")*( DB!D$2:D$2576=$D$6))*(($D$7="")+($D$7&lt;&gt;"")*(ISNUMBER(SEARCH($D$7,DB!G$2:G$2576))))*(($F$7="전체")+($F$7&lt;&gt;"전체")*(DB!H$2:H$2576=$F$7))),ROW()-13)-1,"")</f>
        <v/>
      </c>
      <c r="Q2164" t="str" cm="1">
        <f t="array" ref="Q2164">IFERROR(INDEX(DB!G$2:G$2576,P2164),"")</f>
        <v/>
      </c>
      <c r="R2164" t="str" cm="1">
        <f t="array" ref="R2164">IFERROR(INDEX(DB!O$2:O$2576,P2164),"")</f>
        <v/>
      </c>
      <c r="S2164" t="str">
        <f t="shared" si="102"/>
        <v/>
      </c>
      <c r="T2164" t="str">
        <f t="shared" si="103"/>
        <v/>
      </c>
    </row>
    <row r="2165" spans="1:20" ht="100" customHeight="1">
      <c r="A2165" s="26"/>
      <c r="B2165" s="42" t="str">
        <f t="shared" si="101"/>
        <v/>
      </c>
      <c r="C2165" s="43"/>
      <c r="D2165" s="51" t="str" cm="1">
        <f t="array" ref="D2165">IFERROR(INDEX(DB!G$2:G$2576,T2165),"")</f>
        <v/>
      </c>
      <c r="E2165" s="43"/>
      <c r="F2165" s="52" t="str" cm="1">
        <f t="array" ref="F2165">IFERROR(INDEX(DB!O$2:O$2576,T2165),"")</f>
        <v/>
      </c>
      <c r="G2165" s="43"/>
      <c r="H2165" s="40" t="str" cm="1">
        <f t="array" ref="H2165">IFERROR(INDEX(DB!P$2:P$2576,T2165),"")</f>
        <v/>
      </c>
      <c r="I2165" s="43"/>
      <c r="J2165" s="53" t="str" cm="1">
        <f t="array" ref="J2165">IFERROR(INDEX(DB!Q$2:Q$2576,T2165),"")</f>
        <v/>
      </c>
      <c r="K2165" s="43"/>
      <c r="L2165" s="41" t="str" cm="1">
        <f t="array" ref="L2165">IFERROR(INDEX(DB!R$2:R$2576,T2165),"")</f>
        <v/>
      </c>
      <c r="M2165" s="43"/>
      <c r="P2165" t="str" cm="1">
        <f t="array" ref="P2165">IFERROR(_xlfn.AGGREGATE(15,6,ROW(DB!A$2:A$2576)/((($D$3&lt;&gt;"YES")+($D$3="YES")*(DB!E$2:E$2576="YES"))*(($D$4="")+($D$4&lt;&gt;"")*( DB!B$2:B$2576=$D$4))*(($D$5="")+($D$5&lt;&gt;"")*( DB!C$2:C$2576=$D$5))*(($D$6="")+($D$6&lt;&gt;"")*( DB!D$2:D$2576=$D$6))*(($D$7="")+($D$7&lt;&gt;"")*(ISNUMBER(SEARCH($D$7,DB!G$2:G$2576))))*(($F$7="전체")+($F$7&lt;&gt;"전체")*(DB!H$2:H$2576=$F$7))),ROW()-13)-1,"")</f>
        <v/>
      </c>
      <c r="Q2165" t="str" cm="1">
        <f t="array" ref="Q2165">IFERROR(INDEX(DB!G$2:G$2576,P2165),"")</f>
        <v/>
      </c>
      <c r="R2165" t="str" cm="1">
        <f t="array" ref="R2165">IFERROR(INDEX(DB!O$2:O$2576,P2165),"")</f>
        <v/>
      </c>
      <c r="S2165" t="str">
        <f t="shared" si="102"/>
        <v/>
      </c>
      <c r="T2165" t="str">
        <f t="shared" si="103"/>
        <v/>
      </c>
    </row>
    <row r="2166" spans="1:20" ht="100" customHeight="1">
      <c r="A2166" s="26"/>
      <c r="B2166" s="39" t="str">
        <f t="shared" si="101"/>
        <v/>
      </c>
      <c r="C2166" s="43"/>
      <c r="D2166" s="51" t="str" cm="1">
        <f t="array" ref="D2166">IFERROR(INDEX(DB!G$2:G$2576,T2166),"")</f>
        <v/>
      </c>
      <c r="E2166" s="43"/>
      <c r="F2166" s="52" t="str" cm="1">
        <f t="array" ref="F2166">IFERROR(INDEX(DB!O$2:O$2576,T2166),"")</f>
        <v/>
      </c>
      <c r="G2166" s="43"/>
      <c r="H2166" s="40" t="str" cm="1">
        <f t="array" ref="H2166">IFERROR(INDEX(DB!P$2:P$2576,T2166),"")</f>
        <v/>
      </c>
      <c r="I2166" s="43"/>
      <c r="J2166" s="53" t="str" cm="1">
        <f t="array" ref="J2166">IFERROR(INDEX(DB!Q$2:Q$2576,T2166),"")</f>
        <v/>
      </c>
      <c r="K2166" s="43"/>
      <c r="L2166" s="41" t="str" cm="1">
        <f t="array" ref="L2166">IFERROR(INDEX(DB!R$2:R$2576,T2166),"")</f>
        <v/>
      </c>
      <c r="M2166" s="43"/>
      <c r="P2166" t="str" cm="1">
        <f t="array" ref="P2166">IFERROR(_xlfn.AGGREGATE(15,6,ROW(DB!A$2:A$2576)/((($D$3&lt;&gt;"YES")+($D$3="YES")*(DB!E$2:E$2576="YES"))*(($D$4="")+($D$4&lt;&gt;"")*( DB!B$2:B$2576=$D$4))*(($D$5="")+($D$5&lt;&gt;"")*( DB!C$2:C$2576=$D$5))*(($D$6="")+($D$6&lt;&gt;"")*( DB!D$2:D$2576=$D$6))*(($D$7="")+($D$7&lt;&gt;"")*(ISNUMBER(SEARCH($D$7,DB!G$2:G$2576))))*(($F$7="전체")+($F$7&lt;&gt;"전체")*(DB!H$2:H$2576=$F$7))),ROW()-13)-1,"")</f>
        <v/>
      </c>
      <c r="Q2166" t="str" cm="1">
        <f t="array" ref="Q2166">IFERROR(INDEX(DB!G$2:G$2576,P2166),"")</f>
        <v/>
      </c>
      <c r="R2166" t="str" cm="1">
        <f t="array" ref="R2166">IFERROR(INDEX(DB!O$2:O$2576,P2166),"")</f>
        <v/>
      </c>
      <c r="S2166" t="str">
        <f t="shared" si="102"/>
        <v/>
      </c>
      <c r="T2166" t="str">
        <f t="shared" si="103"/>
        <v/>
      </c>
    </row>
    <row r="2167" spans="1:20" ht="100" customHeight="1">
      <c r="A2167" s="26"/>
      <c r="B2167" s="42" t="str">
        <f t="shared" si="101"/>
        <v/>
      </c>
      <c r="C2167" s="43"/>
      <c r="D2167" s="51" t="str" cm="1">
        <f t="array" ref="D2167">IFERROR(INDEX(DB!G$2:G$2576,T2167),"")</f>
        <v/>
      </c>
      <c r="E2167" s="43"/>
      <c r="F2167" s="52" t="str" cm="1">
        <f t="array" ref="F2167">IFERROR(INDEX(DB!O$2:O$2576,T2167),"")</f>
        <v/>
      </c>
      <c r="G2167" s="43"/>
      <c r="H2167" s="40" t="str" cm="1">
        <f t="array" ref="H2167">IFERROR(INDEX(DB!P$2:P$2576,T2167),"")</f>
        <v/>
      </c>
      <c r="I2167" s="43"/>
      <c r="J2167" s="53" t="str" cm="1">
        <f t="array" ref="J2167">IFERROR(INDEX(DB!Q$2:Q$2576,T2167),"")</f>
        <v/>
      </c>
      <c r="K2167" s="43"/>
      <c r="L2167" s="41" t="str" cm="1">
        <f t="array" ref="L2167">IFERROR(INDEX(DB!R$2:R$2576,T2167),"")</f>
        <v/>
      </c>
      <c r="M2167" s="43"/>
      <c r="P2167" t="str" cm="1">
        <f t="array" ref="P2167">IFERROR(_xlfn.AGGREGATE(15,6,ROW(DB!A$2:A$2576)/((($D$3&lt;&gt;"YES")+($D$3="YES")*(DB!E$2:E$2576="YES"))*(($D$4="")+($D$4&lt;&gt;"")*( DB!B$2:B$2576=$D$4))*(($D$5="")+($D$5&lt;&gt;"")*( DB!C$2:C$2576=$D$5))*(($D$6="")+($D$6&lt;&gt;"")*( DB!D$2:D$2576=$D$6))*(($D$7="")+($D$7&lt;&gt;"")*(ISNUMBER(SEARCH($D$7,DB!G$2:G$2576))))*(($F$7="전체")+($F$7&lt;&gt;"전체")*(DB!H$2:H$2576=$F$7))),ROW()-13)-1,"")</f>
        <v/>
      </c>
      <c r="Q2167" t="str" cm="1">
        <f t="array" ref="Q2167">IFERROR(INDEX(DB!G$2:G$2576,P2167),"")</f>
        <v/>
      </c>
      <c r="R2167" t="str" cm="1">
        <f t="array" ref="R2167">IFERROR(INDEX(DB!O$2:O$2576,P2167),"")</f>
        <v/>
      </c>
      <c r="S2167" t="str">
        <f t="shared" si="102"/>
        <v/>
      </c>
      <c r="T2167" t="str">
        <f t="shared" si="103"/>
        <v/>
      </c>
    </row>
    <row r="2168" spans="1:20" ht="100" customHeight="1">
      <c r="A2168" s="26"/>
      <c r="B2168" s="39" t="str">
        <f t="shared" si="101"/>
        <v/>
      </c>
      <c r="C2168" s="43"/>
      <c r="D2168" s="51" t="str" cm="1">
        <f t="array" ref="D2168">IFERROR(INDEX(DB!G$2:G$2576,T2168),"")</f>
        <v/>
      </c>
      <c r="E2168" s="43"/>
      <c r="F2168" s="52" t="str" cm="1">
        <f t="array" ref="F2168">IFERROR(INDEX(DB!O$2:O$2576,T2168),"")</f>
        <v/>
      </c>
      <c r="G2168" s="43"/>
      <c r="H2168" s="40" t="str" cm="1">
        <f t="array" ref="H2168">IFERROR(INDEX(DB!P$2:P$2576,T2168),"")</f>
        <v/>
      </c>
      <c r="I2168" s="43"/>
      <c r="J2168" s="53" t="str" cm="1">
        <f t="array" ref="J2168">IFERROR(INDEX(DB!Q$2:Q$2576,T2168),"")</f>
        <v/>
      </c>
      <c r="K2168" s="43"/>
      <c r="L2168" s="41" t="str" cm="1">
        <f t="array" ref="L2168">IFERROR(INDEX(DB!R$2:R$2576,T2168),"")</f>
        <v/>
      </c>
      <c r="M2168" s="43"/>
      <c r="P2168" t="str" cm="1">
        <f t="array" ref="P2168">IFERROR(_xlfn.AGGREGATE(15,6,ROW(DB!A$2:A$2576)/((($D$3&lt;&gt;"YES")+($D$3="YES")*(DB!E$2:E$2576="YES"))*(($D$4="")+($D$4&lt;&gt;"")*( DB!B$2:B$2576=$D$4))*(($D$5="")+($D$5&lt;&gt;"")*( DB!C$2:C$2576=$D$5))*(($D$6="")+($D$6&lt;&gt;"")*( DB!D$2:D$2576=$D$6))*(($D$7="")+($D$7&lt;&gt;"")*(ISNUMBER(SEARCH($D$7,DB!G$2:G$2576))))*(($F$7="전체")+($F$7&lt;&gt;"전체")*(DB!H$2:H$2576=$F$7))),ROW()-13)-1,"")</f>
        <v/>
      </c>
      <c r="Q2168" t="str" cm="1">
        <f t="array" ref="Q2168">IFERROR(INDEX(DB!G$2:G$2576,P2168),"")</f>
        <v/>
      </c>
      <c r="R2168" t="str" cm="1">
        <f t="array" ref="R2168">IFERROR(INDEX(DB!O$2:O$2576,P2168),"")</f>
        <v/>
      </c>
      <c r="S2168" t="str">
        <f t="shared" si="102"/>
        <v/>
      </c>
      <c r="T2168" t="str">
        <f t="shared" si="103"/>
        <v/>
      </c>
    </row>
    <row r="2169" spans="1:20" ht="100" customHeight="1">
      <c r="A2169" s="26"/>
      <c r="B2169" s="42" t="str">
        <f t="shared" si="101"/>
        <v/>
      </c>
      <c r="C2169" s="43"/>
      <c r="D2169" s="51" t="str" cm="1">
        <f t="array" ref="D2169">IFERROR(INDEX(DB!G$2:G$2576,T2169),"")</f>
        <v/>
      </c>
      <c r="E2169" s="43"/>
      <c r="F2169" s="52" t="str" cm="1">
        <f t="array" ref="F2169">IFERROR(INDEX(DB!O$2:O$2576,T2169),"")</f>
        <v/>
      </c>
      <c r="G2169" s="43"/>
      <c r="H2169" s="40" t="str" cm="1">
        <f t="array" ref="H2169">IFERROR(INDEX(DB!P$2:P$2576,T2169),"")</f>
        <v/>
      </c>
      <c r="I2169" s="43"/>
      <c r="J2169" s="53" t="str" cm="1">
        <f t="array" ref="J2169">IFERROR(INDEX(DB!Q$2:Q$2576,T2169),"")</f>
        <v/>
      </c>
      <c r="K2169" s="43"/>
      <c r="L2169" s="41" t="str" cm="1">
        <f t="array" ref="L2169">IFERROR(INDEX(DB!R$2:R$2576,T2169),"")</f>
        <v/>
      </c>
      <c r="M2169" s="43"/>
      <c r="P2169" t="str" cm="1">
        <f t="array" ref="P2169">IFERROR(_xlfn.AGGREGATE(15,6,ROW(DB!A$2:A$2576)/((($D$3&lt;&gt;"YES")+($D$3="YES")*(DB!E$2:E$2576="YES"))*(($D$4="")+($D$4&lt;&gt;"")*( DB!B$2:B$2576=$D$4))*(($D$5="")+($D$5&lt;&gt;"")*( DB!C$2:C$2576=$D$5))*(($D$6="")+($D$6&lt;&gt;"")*( DB!D$2:D$2576=$D$6))*(($D$7="")+($D$7&lt;&gt;"")*(ISNUMBER(SEARCH($D$7,DB!G$2:G$2576))))*(($F$7="전체")+($F$7&lt;&gt;"전체")*(DB!H$2:H$2576=$F$7))),ROW()-13)-1,"")</f>
        <v/>
      </c>
      <c r="Q2169" t="str" cm="1">
        <f t="array" ref="Q2169">IFERROR(INDEX(DB!G$2:G$2576,P2169),"")</f>
        <v/>
      </c>
      <c r="R2169" t="str" cm="1">
        <f t="array" ref="R2169">IFERROR(INDEX(DB!O$2:O$2576,P2169),"")</f>
        <v/>
      </c>
      <c r="S2169" t="str">
        <f t="shared" si="102"/>
        <v/>
      </c>
      <c r="T2169" t="str">
        <f t="shared" si="103"/>
        <v/>
      </c>
    </row>
    <row r="2170" spans="1:20" ht="100" customHeight="1">
      <c r="A2170" s="26"/>
      <c r="B2170" s="39" t="str">
        <f t="shared" si="101"/>
        <v/>
      </c>
      <c r="C2170" s="43"/>
      <c r="D2170" s="51" t="str" cm="1">
        <f t="array" ref="D2170">IFERROR(INDEX(DB!G$2:G$2576,T2170),"")</f>
        <v/>
      </c>
      <c r="E2170" s="43"/>
      <c r="F2170" s="52" t="str" cm="1">
        <f t="array" ref="F2170">IFERROR(INDEX(DB!O$2:O$2576,T2170),"")</f>
        <v/>
      </c>
      <c r="G2170" s="43"/>
      <c r="H2170" s="40" t="str" cm="1">
        <f t="array" ref="H2170">IFERROR(INDEX(DB!P$2:P$2576,T2170),"")</f>
        <v/>
      </c>
      <c r="I2170" s="43"/>
      <c r="J2170" s="53" t="str" cm="1">
        <f t="array" ref="J2170">IFERROR(INDEX(DB!Q$2:Q$2576,T2170),"")</f>
        <v/>
      </c>
      <c r="K2170" s="43"/>
      <c r="L2170" s="41" t="str" cm="1">
        <f t="array" ref="L2170">IFERROR(INDEX(DB!R$2:R$2576,T2170),"")</f>
        <v/>
      </c>
      <c r="M2170" s="43"/>
      <c r="P2170" t="str" cm="1">
        <f t="array" ref="P2170">IFERROR(_xlfn.AGGREGATE(15,6,ROW(DB!A$2:A$2576)/((($D$3&lt;&gt;"YES")+($D$3="YES")*(DB!E$2:E$2576="YES"))*(($D$4="")+($D$4&lt;&gt;"")*( DB!B$2:B$2576=$D$4))*(($D$5="")+($D$5&lt;&gt;"")*( DB!C$2:C$2576=$D$5))*(($D$6="")+($D$6&lt;&gt;"")*( DB!D$2:D$2576=$D$6))*(($D$7="")+($D$7&lt;&gt;"")*(ISNUMBER(SEARCH($D$7,DB!G$2:G$2576))))*(($F$7="전체")+($F$7&lt;&gt;"전체")*(DB!H$2:H$2576=$F$7))),ROW()-13)-1,"")</f>
        <v/>
      </c>
      <c r="Q2170" t="str" cm="1">
        <f t="array" ref="Q2170">IFERROR(INDEX(DB!G$2:G$2576,P2170),"")</f>
        <v/>
      </c>
      <c r="R2170" t="str" cm="1">
        <f t="array" ref="R2170">IFERROR(INDEX(DB!O$2:O$2576,P2170),"")</f>
        <v/>
      </c>
      <c r="S2170" t="str">
        <f t="shared" si="102"/>
        <v/>
      </c>
      <c r="T2170" t="str">
        <f t="shared" si="103"/>
        <v/>
      </c>
    </row>
    <row r="2171" spans="1:20" ht="100" customHeight="1">
      <c r="A2171" s="26"/>
      <c r="B2171" s="42" t="str">
        <f t="shared" si="101"/>
        <v/>
      </c>
      <c r="C2171" s="43"/>
      <c r="D2171" s="51" t="str" cm="1">
        <f t="array" ref="D2171">IFERROR(INDEX(DB!G$2:G$2576,T2171),"")</f>
        <v/>
      </c>
      <c r="E2171" s="43"/>
      <c r="F2171" s="52" t="str" cm="1">
        <f t="array" ref="F2171">IFERROR(INDEX(DB!O$2:O$2576,T2171),"")</f>
        <v/>
      </c>
      <c r="G2171" s="43"/>
      <c r="H2171" s="40" t="str" cm="1">
        <f t="array" ref="H2171">IFERROR(INDEX(DB!P$2:P$2576,T2171),"")</f>
        <v/>
      </c>
      <c r="I2171" s="43"/>
      <c r="J2171" s="53" t="str" cm="1">
        <f t="array" ref="J2171">IFERROR(INDEX(DB!Q$2:Q$2576,T2171),"")</f>
        <v/>
      </c>
      <c r="K2171" s="43"/>
      <c r="L2171" s="41" t="str" cm="1">
        <f t="array" ref="L2171">IFERROR(INDEX(DB!R$2:R$2576,T2171),"")</f>
        <v/>
      </c>
      <c r="M2171" s="43"/>
      <c r="P2171" t="str" cm="1">
        <f t="array" ref="P2171">IFERROR(_xlfn.AGGREGATE(15,6,ROW(DB!A$2:A$2576)/((($D$3&lt;&gt;"YES")+($D$3="YES")*(DB!E$2:E$2576="YES"))*(($D$4="")+($D$4&lt;&gt;"")*( DB!B$2:B$2576=$D$4))*(($D$5="")+($D$5&lt;&gt;"")*( DB!C$2:C$2576=$D$5))*(($D$6="")+($D$6&lt;&gt;"")*( DB!D$2:D$2576=$D$6))*(($D$7="")+($D$7&lt;&gt;"")*(ISNUMBER(SEARCH($D$7,DB!G$2:G$2576))))*(($F$7="전체")+($F$7&lt;&gt;"전체")*(DB!H$2:H$2576=$F$7))),ROW()-13)-1,"")</f>
        <v/>
      </c>
      <c r="Q2171" t="str" cm="1">
        <f t="array" ref="Q2171">IFERROR(INDEX(DB!G$2:G$2576,P2171),"")</f>
        <v/>
      </c>
      <c r="R2171" t="str" cm="1">
        <f t="array" ref="R2171">IFERROR(INDEX(DB!O$2:O$2576,P2171),"")</f>
        <v/>
      </c>
      <c r="S2171" t="str">
        <f t="shared" si="102"/>
        <v/>
      </c>
      <c r="T2171" t="str">
        <f t="shared" si="103"/>
        <v/>
      </c>
    </row>
    <row r="2172" spans="1:20" ht="100" customHeight="1">
      <c r="A2172" s="26"/>
      <c r="B2172" s="39" t="str">
        <f t="shared" si="101"/>
        <v/>
      </c>
      <c r="C2172" s="43"/>
      <c r="D2172" s="51" t="str" cm="1">
        <f t="array" ref="D2172">IFERROR(INDEX(DB!G$2:G$2576,T2172),"")</f>
        <v/>
      </c>
      <c r="E2172" s="43"/>
      <c r="F2172" s="52" t="str" cm="1">
        <f t="array" ref="F2172">IFERROR(INDEX(DB!O$2:O$2576,T2172),"")</f>
        <v/>
      </c>
      <c r="G2172" s="43"/>
      <c r="H2172" s="40" t="str" cm="1">
        <f t="array" ref="H2172">IFERROR(INDEX(DB!P$2:P$2576,T2172),"")</f>
        <v/>
      </c>
      <c r="I2172" s="43"/>
      <c r="J2172" s="53" t="str" cm="1">
        <f t="array" ref="J2172">IFERROR(INDEX(DB!Q$2:Q$2576,T2172),"")</f>
        <v/>
      </c>
      <c r="K2172" s="43"/>
      <c r="L2172" s="41" t="str" cm="1">
        <f t="array" ref="L2172">IFERROR(INDEX(DB!R$2:R$2576,T2172),"")</f>
        <v/>
      </c>
      <c r="M2172" s="43"/>
      <c r="P2172" t="str" cm="1">
        <f t="array" ref="P2172">IFERROR(_xlfn.AGGREGATE(15,6,ROW(DB!A$2:A$2576)/((($D$3&lt;&gt;"YES")+($D$3="YES")*(DB!E$2:E$2576="YES"))*(($D$4="")+($D$4&lt;&gt;"")*( DB!B$2:B$2576=$D$4))*(($D$5="")+($D$5&lt;&gt;"")*( DB!C$2:C$2576=$D$5))*(($D$6="")+($D$6&lt;&gt;"")*( DB!D$2:D$2576=$D$6))*(($D$7="")+($D$7&lt;&gt;"")*(ISNUMBER(SEARCH($D$7,DB!G$2:G$2576))))*(($F$7="전체")+($F$7&lt;&gt;"전체")*(DB!H$2:H$2576=$F$7))),ROW()-13)-1,"")</f>
        <v/>
      </c>
      <c r="Q2172" t="str" cm="1">
        <f t="array" ref="Q2172">IFERROR(INDEX(DB!G$2:G$2576,P2172),"")</f>
        <v/>
      </c>
      <c r="R2172" t="str" cm="1">
        <f t="array" ref="R2172">IFERROR(INDEX(DB!O$2:O$2576,P2172),"")</f>
        <v/>
      </c>
      <c r="S2172" t="str">
        <f t="shared" si="102"/>
        <v/>
      </c>
      <c r="T2172" t="str">
        <f t="shared" si="103"/>
        <v/>
      </c>
    </row>
    <row r="2173" spans="1:20" ht="100" customHeight="1">
      <c r="A2173" s="26"/>
      <c r="B2173" s="42" t="str">
        <f t="shared" si="101"/>
        <v/>
      </c>
      <c r="C2173" s="43"/>
      <c r="D2173" s="51" t="str" cm="1">
        <f t="array" ref="D2173">IFERROR(INDEX(DB!G$2:G$2576,T2173),"")</f>
        <v/>
      </c>
      <c r="E2173" s="43"/>
      <c r="F2173" s="52" t="str" cm="1">
        <f t="array" ref="F2173">IFERROR(INDEX(DB!O$2:O$2576,T2173),"")</f>
        <v/>
      </c>
      <c r="G2173" s="43"/>
      <c r="H2173" s="40" t="str" cm="1">
        <f t="array" ref="H2173">IFERROR(INDEX(DB!P$2:P$2576,T2173),"")</f>
        <v/>
      </c>
      <c r="I2173" s="43"/>
      <c r="J2173" s="53" t="str" cm="1">
        <f t="array" ref="J2173">IFERROR(INDEX(DB!Q$2:Q$2576,T2173),"")</f>
        <v/>
      </c>
      <c r="K2173" s="43"/>
      <c r="L2173" s="41" t="str" cm="1">
        <f t="array" ref="L2173">IFERROR(INDEX(DB!R$2:R$2576,T2173),"")</f>
        <v/>
      </c>
      <c r="M2173" s="43"/>
      <c r="P2173" t="str" cm="1">
        <f t="array" ref="P2173">IFERROR(_xlfn.AGGREGATE(15,6,ROW(DB!A$2:A$2576)/((($D$3&lt;&gt;"YES")+($D$3="YES")*(DB!E$2:E$2576="YES"))*(($D$4="")+($D$4&lt;&gt;"")*( DB!B$2:B$2576=$D$4))*(($D$5="")+($D$5&lt;&gt;"")*( DB!C$2:C$2576=$D$5))*(($D$6="")+($D$6&lt;&gt;"")*( DB!D$2:D$2576=$D$6))*(($D$7="")+($D$7&lt;&gt;"")*(ISNUMBER(SEARCH($D$7,DB!G$2:G$2576))))*(($F$7="전체")+($F$7&lt;&gt;"전체")*(DB!H$2:H$2576=$F$7))),ROW()-13)-1,"")</f>
        <v/>
      </c>
      <c r="Q2173" t="str" cm="1">
        <f t="array" ref="Q2173">IFERROR(INDEX(DB!G$2:G$2576,P2173),"")</f>
        <v/>
      </c>
      <c r="R2173" t="str" cm="1">
        <f t="array" ref="R2173">IFERROR(INDEX(DB!O$2:O$2576,P2173),"")</f>
        <v/>
      </c>
      <c r="S2173" t="str">
        <f t="shared" si="102"/>
        <v/>
      </c>
      <c r="T2173" t="str">
        <f t="shared" si="103"/>
        <v/>
      </c>
    </row>
    <row r="2174" spans="1:20" ht="100" customHeight="1">
      <c r="A2174" s="26"/>
      <c r="B2174" s="39" t="str">
        <f t="shared" si="101"/>
        <v/>
      </c>
      <c r="C2174" s="43"/>
      <c r="D2174" s="51" t="str" cm="1">
        <f t="array" ref="D2174">IFERROR(INDEX(DB!G$2:G$2576,T2174),"")</f>
        <v/>
      </c>
      <c r="E2174" s="43"/>
      <c r="F2174" s="52" t="str" cm="1">
        <f t="array" ref="F2174">IFERROR(INDEX(DB!O$2:O$2576,T2174),"")</f>
        <v/>
      </c>
      <c r="G2174" s="43"/>
      <c r="H2174" s="40" t="str" cm="1">
        <f t="array" ref="H2174">IFERROR(INDEX(DB!P$2:P$2576,T2174),"")</f>
        <v/>
      </c>
      <c r="I2174" s="43"/>
      <c r="J2174" s="53" t="str" cm="1">
        <f t="array" ref="J2174">IFERROR(INDEX(DB!Q$2:Q$2576,T2174),"")</f>
        <v/>
      </c>
      <c r="K2174" s="43"/>
      <c r="L2174" s="41" t="str" cm="1">
        <f t="array" ref="L2174">IFERROR(INDEX(DB!R$2:R$2576,T2174),"")</f>
        <v/>
      </c>
      <c r="M2174" s="43"/>
      <c r="P2174" t="str" cm="1">
        <f t="array" ref="P2174">IFERROR(_xlfn.AGGREGATE(15,6,ROW(DB!A$2:A$2576)/((($D$3&lt;&gt;"YES")+($D$3="YES")*(DB!E$2:E$2576="YES"))*(($D$4="")+($D$4&lt;&gt;"")*( DB!B$2:B$2576=$D$4))*(($D$5="")+($D$5&lt;&gt;"")*( DB!C$2:C$2576=$D$5))*(($D$6="")+($D$6&lt;&gt;"")*( DB!D$2:D$2576=$D$6))*(($D$7="")+($D$7&lt;&gt;"")*(ISNUMBER(SEARCH($D$7,DB!G$2:G$2576))))*(($F$7="전체")+($F$7&lt;&gt;"전체")*(DB!H$2:H$2576=$F$7))),ROW()-13)-1,"")</f>
        <v/>
      </c>
      <c r="Q2174" t="str" cm="1">
        <f t="array" ref="Q2174">IFERROR(INDEX(DB!G$2:G$2576,P2174),"")</f>
        <v/>
      </c>
      <c r="R2174" t="str" cm="1">
        <f t="array" ref="R2174">IFERROR(INDEX(DB!O$2:O$2576,P2174),"")</f>
        <v/>
      </c>
      <c r="S2174" t="str">
        <f t="shared" si="102"/>
        <v/>
      </c>
      <c r="T2174" t="str">
        <f t="shared" si="103"/>
        <v/>
      </c>
    </row>
    <row r="2175" spans="1:20" ht="100" customHeight="1">
      <c r="A2175" s="26"/>
      <c r="B2175" s="42" t="str">
        <f t="shared" si="101"/>
        <v/>
      </c>
      <c r="C2175" s="43"/>
      <c r="D2175" s="51" t="str" cm="1">
        <f t="array" ref="D2175">IFERROR(INDEX(DB!G$2:G$2576,T2175),"")</f>
        <v/>
      </c>
      <c r="E2175" s="43"/>
      <c r="F2175" s="52" t="str" cm="1">
        <f t="array" ref="F2175">IFERROR(INDEX(DB!O$2:O$2576,T2175),"")</f>
        <v/>
      </c>
      <c r="G2175" s="43"/>
      <c r="H2175" s="40" t="str" cm="1">
        <f t="array" ref="H2175">IFERROR(INDEX(DB!P$2:P$2576,T2175),"")</f>
        <v/>
      </c>
      <c r="I2175" s="43"/>
      <c r="J2175" s="53" t="str" cm="1">
        <f t="array" ref="J2175">IFERROR(INDEX(DB!Q$2:Q$2576,T2175),"")</f>
        <v/>
      </c>
      <c r="K2175" s="43"/>
      <c r="L2175" s="41" t="str" cm="1">
        <f t="array" ref="L2175">IFERROR(INDEX(DB!R$2:R$2576,T2175),"")</f>
        <v/>
      </c>
      <c r="M2175" s="43"/>
      <c r="P2175" t="str" cm="1">
        <f t="array" ref="P2175">IFERROR(_xlfn.AGGREGATE(15,6,ROW(DB!A$2:A$2576)/((($D$3&lt;&gt;"YES")+($D$3="YES")*(DB!E$2:E$2576="YES"))*(($D$4="")+($D$4&lt;&gt;"")*( DB!B$2:B$2576=$D$4))*(($D$5="")+($D$5&lt;&gt;"")*( DB!C$2:C$2576=$D$5))*(($D$6="")+($D$6&lt;&gt;"")*( DB!D$2:D$2576=$D$6))*(($D$7="")+($D$7&lt;&gt;"")*(ISNUMBER(SEARCH($D$7,DB!G$2:G$2576))))*(($F$7="전체")+($F$7&lt;&gt;"전체")*(DB!H$2:H$2576=$F$7))),ROW()-13)-1,"")</f>
        <v/>
      </c>
      <c r="Q2175" t="str" cm="1">
        <f t="array" ref="Q2175">IFERROR(INDEX(DB!G$2:G$2576,P2175),"")</f>
        <v/>
      </c>
      <c r="R2175" t="str" cm="1">
        <f t="array" ref="R2175">IFERROR(INDEX(DB!O$2:O$2576,P2175),"")</f>
        <v/>
      </c>
      <c r="S2175" t="str">
        <f t="shared" si="102"/>
        <v/>
      </c>
      <c r="T2175" t="str">
        <f t="shared" si="103"/>
        <v/>
      </c>
    </row>
    <row r="2176" spans="1:20" ht="100" customHeight="1">
      <c r="A2176" s="26"/>
      <c r="B2176" s="39" t="str">
        <f t="shared" si="101"/>
        <v/>
      </c>
      <c r="C2176" s="43"/>
      <c r="D2176" s="51" t="str" cm="1">
        <f t="array" ref="D2176">IFERROR(INDEX(DB!G$2:G$2576,T2176),"")</f>
        <v/>
      </c>
      <c r="E2176" s="43"/>
      <c r="F2176" s="52" t="str" cm="1">
        <f t="array" ref="F2176">IFERROR(INDEX(DB!O$2:O$2576,T2176),"")</f>
        <v/>
      </c>
      <c r="G2176" s="43"/>
      <c r="H2176" s="40" t="str" cm="1">
        <f t="array" ref="H2176">IFERROR(INDEX(DB!P$2:P$2576,T2176),"")</f>
        <v/>
      </c>
      <c r="I2176" s="43"/>
      <c r="J2176" s="53" t="str" cm="1">
        <f t="array" ref="J2176">IFERROR(INDEX(DB!Q$2:Q$2576,T2176),"")</f>
        <v/>
      </c>
      <c r="K2176" s="43"/>
      <c r="L2176" s="41" t="str" cm="1">
        <f t="array" ref="L2176">IFERROR(INDEX(DB!R$2:R$2576,T2176),"")</f>
        <v/>
      </c>
      <c r="M2176" s="43"/>
      <c r="P2176" t="str" cm="1">
        <f t="array" ref="P2176">IFERROR(_xlfn.AGGREGATE(15,6,ROW(DB!A$2:A$2576)/((($D$3&lt;&gt;"YES")+($D$3="YES")*(DB!E$2:E$2576="YES"))*(($D$4="")+($D$4&lt;&gt;"")*( DB!B$2:B$2576=$D$4))*(($D$5="")+($D$5&lt;&gt;"")*( DB!C$2:C$2576=$D$5))*(($D$6="")+($D$6&lt;&gt;"")*( DB!D$2:D$2576=$D$6))*(($D$7="")+($D$7&lt;&gt;"")*(ISNUMBER(SEARCH($D$7,DB!G$2:G$2576))))*(($F$7="전체")+($F$7&lt;&gt;"전체")*(DB!H$2:H$2576=$F$7))),ROW()-13)-1,"")</f>
        <v/>
      </c>
      <c r="Q2176" t="str" cm="1">
        <f t="array" ref="Q2176">IFERROR(INDEX(DB!G$2:G$2576,P2176),"")</f>
        <v/>
      </c>
      <c r="R2176" t="str" cm="1">
        <f t="array" ref="R2176">IFERROR(INDEX(DB!O$2:O$2576,P2176),"")</f>
        <v/>
      </c>
      <c r="S2176" t="str">
        <f t="shared" si="102"/>
        <v/>
      </c>
      <c r="T2176" t="str">
        <f t="shared" si="103"/>
        <v/>
      </c>
    </row>
    <row r="2177" spans="1:20" ht="100" customHeight="1">
      <c r="A2177" s="26"/>
      <c r="B2177" s="42" t="str">
        <f t="shared" si="101"/>
        <v/>
      </c>
      <c r="C2177" s="43"/>
      <c r="D2177" s="51" t="str" cm="1">
        <f t="array" ref="D2177">IFERROR(INDEX(DB!G$2:G$2576,T2177),"")</f>
        <v/>
      </c>
      <c r="E2177" s="43"/>
      <c r="F2177" s="52" t="str" cm="1">
        <f t="array" ref="F2177">IFERROR(INDEX(DB!O$2:O$2576,T2177),"")</f>
        <v/>
      </c>
      <c r="G2177" s="43"/>
      <c r="H2177" s="40" t="str" cm="1">
        <f t="array" ref="H2177">IFERROR(INDEX(DB!P$2:P$2576,T2177),"")</f>
        <v/>
      </c>
      <c r="I2177" s="43"/>
      <c r="J2177" s="53" t="str" cm="1">
        <f t="array" ref="J2177">IFERROR(INDEX(DB!Q$2:Q$2576,T2177),"")</f>
        <v/>
      </c>
      <c r="K2177" s="43"/>
      <c r="L2177" s="41" t="str" cm="1">
        <f t="array" ref="L2177">IFERROR(INDEX(DB!R$2:R$2576,T2177),"")</f>
        <v/>
      </c>
      <c r="M2177" s="43"/>
      <c r="P2177" t="str" cm="1">
        <f t="array" ref="P2177">IFERROR(_xlfn.AGGREGATE(15,6,ROW(DB!A$2:A$2576)/((($D$3&lt;&gt;"YES")+($D$3="YES")*(DB!E$2:E$2576="YES"))*(($D$4="")+($D$4&lt;&gt;"")*( DB!B$2:B$2576=$D$4))*(($D$5="")+($D$5&lt;&gt;"")*( DB!C$2:C$2576=$D$5))*(($D$6="")+($D$6&lt;&gt;"")*( DB!D$2:D$2576=$D$6))*(($D$7="")+($D$7&lt;&gt;"")*(ISNUMBER(SEARCH($D$7,DB!G$2:G$2576))))*(($F$7="전체")+($F$7&lt;&gt;"전체")*(DB!H$2:H$2576=$F$7))),ROW()-13)-1,"")</f>
        <v/>
      </c>
      <c r="Q2177" t="str" cm="1">
        <f t="array" ref="Q2177">IFERROR(INDEX(DB!G$2:G$2576,P2177),"")</f>
        <v/>
      </c>
      <c r="R2177" t="str" cm="1">
        <f t="array" ref="R2177">IFERROR(INDEX(DB!O$2:O$2576,P2177),"")</f>
        <v/>
      </c>
      <c r="S2177" t="str">
        <f t="shared" si="102"/>
        <v/>
      </c>
      <c r="T2177" t="str">
        <f t="shared" si="103"/>
        <v/>
      </c>
    </row>
    <row r="2178" spans="1:20" ht="100" customHeight="1">
      <c r="A2178" s="26"/>
      <c r="B2178" s="39" t="str">
        <f t="shared" si="101"/>
        <v/>
      </c>
      <c r="C2178" s="43"/>
      <c r="D2178" s="51" t="str" cm="1">
        <f t="array" ref="D2178">IFERROR(INDEX(DB!G$2:G$2576,T2178),"")</f>
        <v/>
      </c>
      <c r="E2178" s="43"/>
      <c r="F2178" s="52" t="str" cm="1">
        <f t="array" ref="F2178">IFERROR(INDEX(DB!O$2:O$2576,T2178),"")</f>
        <v/>
      </c>
      <c r="G2178" s="43"/>
      <c r="H2178" s="40" t="str" cm="1">
        <f t="array" ref="H2178">IFERROR(INDEX(DB!P$2:P$2576,T2178),"")</f>
        <v/>
      </c>
      <c r="I2178" s="43"/>
      <c r="J2178" s="53" t="str" cm="1">
        <f t="array" ref="J2178">IFERROR(INDEX(DB!Q$2:Q$2576,T2178),"")</f>
        <v/>
      </c>
      <c r="K2178" s="43"/>
      <c r="L2178" s="41" t="str" cm="1">
        <f t="array" ref="L2178">IFERROR(INDEX(DB!R$2:R$2576,T2178),"")</f>
        <v/>
      </c>
      <c r="M2178" s="43"/>
      <c r="P2178" t="str" cm="1">
        <f t="array" ref="P2178">IFERROR(_xlfn.AGGREGATE(15,6,ROW(DB!A$2:A$2576)/((($D$3&lt;&gt;"YES")+($D$3="YES")*(DB!E$2:E$2576="YES"))*(($D$4="")+($D$4&lt;&gt;"")*( DB!B$2:B$2576=$D$4))*(($D$5="")+($D$5&lt;&gt;"")*( DB!C$2:C$2576=$D$5))*(($D$6="")+($D$6&lt;&gt;"")*( DB!D$2:D$2576=$D$6))*(($D$7="")+($D$7&lt;&gt;"")*(ISNUMBER(SEARCH($D$7,DB!G$2:G$2576))))*(($F$7="전체")+($F$7&lt;&gt;"전체")*(DB!H$2:H$2576=$F$7))),ROW()-13)-1,"")</f>
        <v/>
      </c>
      <c r="Q2178" t="str" cm="1">
        <f t="array" ref="Q2178">IFERROR(INDEX(DB!G$2:G$2576,P2178),"")</f>
        <v/>
      </c>
      <c r="R2178" t="str" cm="1">
        <f t="array" ref="R2178">IFERROR(INDEX(DB!O$2:O$2576,P2178),"")</f>
        <v/>
      </c>
      <c r="S2178" t="str">
        <f t="shared" si="102"/>
        <v/>
      </c>
      <c r="T2178" t="str">
        <f t="shared" si="103"/>
        <v/>
      </c>
    </row>
    <row r="2179" spans="1:20" ht="100" customHeight="1">
      <c r="A2179" s="26"/>
      <c r="B2179" s="42" t="str">
        <f t="shared" si="101"/>
        <v/>
      </c>
      <c r="C2179" s="43"/>
      <c r="D2179" s="51" t="str" cm="1">
        <f t="array" ref="D2179">IFERROR(INDEX(DB!G$2:G$2576,T2179),"")</f>
        <v/>
      </c>
      <c r="E2179" s="43"/>
      <c r="F2179" s="52" t="str" cm="1">
        <f t="array" ref="F2179">IFERROR(INDEX(DB!O$2:O$2576,T2179),"")</f>
        <v/>
      </c>
      <c r="G2179" s="43"/>
      <c r="H2179" s="40" t="str" cm="1">
        <f t="array" ref="H2179">IFERROR(INDEX(DB!P$2:P$2576,T2179),"")</f>
        <v/>
      </c>
      <c r="I2179" s="43"/>
      <c r="J2179" s="53" t="str" cm="1">
        <f t="array" ref="J2179">IFERROR(INDEX(DB!Q$2:Q$2576,T2179),"")</f>
        <v/>
      </c>
      <c r="K2179" s="43"/>
      <c r="L2179" s="41" t="str" cm="1">
        <f t="array" ref="L2179">IFERROR(INDEX(DB!R$2:R$2576,T2179),"")</f>
        <v/>
      </c>
      <c r="M2179" s="43"/>
      <c r="P2179" t="str" cm="1">
        <f t="array" ref="P2179">IFERROR(_xlfn.AGGREGATE(15,6,ROW(DB!A$2:A$2576)/((($D$3&lt;&gt;"YES")+($D$3="YES")*(DB!E$2:E$2576="YES"))*(($D$4="")+($D$4&lt;&gt;"")*( DB!B$2:B$2576=$D$4))*(($D$5="")+($D$5&lt;&gt;"")*( DB!C$2:C$2576=$D$5))*(($D$6="")+($D$6&lt;&gt;"")*( DB!D$2:D$2576=$D$6))*(($D$7="")+($D$7&lt;&gt;"")*(ISNUMBER(SEARCH($D$7,DB!G$2:G$2576))))*(($F$7="전체")+($F$7&lt;&gt;"전체")*(DB!H$2:H$2576=$F$7))),ROW()-13)-1,"")</f>
        <v/>
      </c>
      <c r="Q2179" t="str" cm="1">
        <f t="array" ref="Q2179">IFERROR(INDEX(DB!G$2:G$2576,P2179),"")</f>
        <v/>
      </c>
      <c r="R2179" t="str" cm="1">
        <f t="array" ref="R2179">IFERROR(INDEX(DB!O$2:O$2576,P2179),"")</f>
        <v/>
      </c>
      <c r="S2179" t="str">
        <f t="shared" si="102"/>
        <v/>
      </c>
      <c r="T2179" t="str">
        <f t="shared" si="103"/>
        <v/>
      </c>
    </row>
    <row r="2180" spans="1:20" ht="100" customHeight="1">
      <c r="A2180" s="26"/>
      <c r="B2180" s="39" t="str">
        <f t="shared" si="101"/>
        <v/>
      </c>
      <c r="C2180" s="43"/>
      <c r="D2180" s="51" t="str" cm="1">
        <f t="array" ref="D2180">IFERROR(INDEX(DB!G$2:G$2576,T2180),"")</f>
        <v/>
      </c>
      <c r="E2180" s="43"/>
      <c r="F2180" s="52" t="str" cm="1">
        <f t="array" ref="F2180">IFERROR(INDEX(DB!O$2:O$2576,T2180),"")</f>
        <v/>
      </c>
      <c r="G2180" s="43"/>
      <c r="H2180" s="40" t="str" cm="1">
        <f t="array" ref="H2180">IFERROR(INDEX(DB!P$2:P$2576,T2180),"")</f>
        <v/>
      </c>
      <c r="I2180" s="43"/>
      <c r="J2180" s="53" t="str" cm="1">
        <f t="array" ref="J2180">IFERROR(INDEX(DB!Q$2:Q$2576,T2180),"")</f>
        <v/>
      </c>
      <c r="K2180" s="43"/>
      <c r="L2180" s="41" t="str" cm="1">
        <f t="array" ref="L2180">IFERROR(INDEX(DB!R$2:R$2576,T2180),"")</f>
        <v/>
      </c>
      <c r="M2180" s="43"/>
      <c r="P2180" t="str" cm="1">
        <f t="array" ref="P2180">IFERROR(_xlfn.AGGREGATE(15,6,ROW(DB!A$2:A$2576)/((($D$3&lt;&gt;"YES")+($D$3="YES")*(DB!E$2:E$2576="YES"))*(($D$4="")+($D$4&lt;&gt;"")*( DB!B$2:B$2576=$D$4))*(($D$5="")+($D$5&lt;&gt;"")*( DB!C$2:C$2576=$D$5))*(($D$6="")+($D$6&lt;&gt;"")*( DB!D$2:D$2576=$D$6))*(($D$7="")+($D$7&lt;&gt;"")*(ISNUMBER(SEARCH($D$7,DB!G$2:G$2576))))*(($F$7="전체")+($F$7&lt;&gt;"전체")*(DB!H$2:H$2576=$F$7))),ROW()-13)-1,"")</f>
        <v/>
      </c>
      <c r="Q2180" t="str" cm="1">
        <f t="array" ref="Q2180">IFERROR(INDEX(DB!G$2:G$2576,P2180),"")</f>
        <v/>
      </c>
      <c r="R2180" t="str" cm="1">
        <f t="array" ref="R2180">IFERROR(INDEX(DB!O$2:O$2576,P2180),"")</f>
        <v/>
      </c>
      <c r="S2180" t="str">
        <f t="shared" si="102"/>
        <v/>
      </c>
      <c r="T2180" t="str">
        <f t="shared" si="103"/>
        <v/>
      </c>
    </row>
    <row r="2181" spans="1:20" ht="100" customHeight="1">
      <c r="A2181" s="26"/>
      <c r="B2181" s="42" t="str">
        <f t="shared" si="101"/>
        <v/>
      </c>
      <c r="C2181" s="43"/>
      <c r="D2181" s="51" t="str" cm="1">
        <f t="array" ref="D2181">IFERROR(INDEX(DB!G$2:G$2576,T2181),"")</f>
        <v/>
      </c>
      <c r="E2181" s="43"/>
      <c r="F2181" s="52" t="str" cm="1">
        <f t="array" ref="F2181">IFERROR(INDEX(DB!O$2:O$2576,T2181),"")</f>
        <v/>
      </c>
      <c r="G2181" s="43"/>
      <c r="H2181" s="40" t="str" cm="1">
        <f t="array" ref="H2181">IFERROR(INDEX(DB!P$2:P$2576,T2181),"")</f>
        <v/>
      </c>
      <c r="I2181" s="43"/>
      <c r="J2181" s="53" t="str" cm="1">
        <f t="array" ref="J2181">IFERROR(INDEX(DB!Q$2:Q$2576,T2181),"")</f>
        <v/>
      </c>
      <c r="K2181" s="43"/>
      <c r="L2181" s="41" t="str" cm="1">
        <f t="array" ref="L2181">IFERROR(INDEX(DB!R$2:R$2576,T2181),"")</f>
        <v/>
      </c>
      <c r="M2181" s="43"/>
      <c r="P2181" t="str" cm="1">
        <f t="array" ref="P2181">IFERROR(_xlfn.AGGREGATE(15,6,ROW(DB!A$2:A$2576)/((($D$3&lt;&gt;"YES")+($D$3="YES")*(DB!E$2:E$2576="YES"))*(($D$4="")+($D$4&lt;&gt;"")*( DB!B$2:B$2576=$D$4))*(($D$5="")+($D$5&lt;&gt;"")*( DB!C$2:C$2576=$D$5))*(($D$6="")+($D$6&lt;&gt;"")*( DB!D$2:D$2576=$D$6))*(($D$7="")+($D$7&lt;&gt;"")*(ISNUMBER(SEARCH($D$7,DB!G$2:G$2576))))*(($F$7="전체")+($F$7&lt;&gt;"전체")*(DB!H$2:H$2576=$F$7))),ROW()-13)-1,"")</f>
        <v/>
      </c>
      <c r="Q2181" t="str" cm="1">
        <f t="array" ref="Q2181">IFERROR(INDEX(DB!G$2:G$2576,P2181),"")</f>
        <v/>
      </c>
      <c r="R2181" t="str" cm="1">
        <f t="array" ref="R2181">IFERROR(INDEX(DB!O$2:O$2576,P2181),"")</f>
        <v/>
      </c>
      <c r="S2181" t="str">
        <f t="shared" si="102"/>
        <v/>
      </c>
      <c r="T2181" t="str">
        <f t="shared" si="103"/>
        <v/>
      </c>
    </row>
    <row r="2182" spans="1:20" ht="100" customHeight="1">
      <c r="A2182" s="26"/>
      <c r="B2182" s="39" t="str">
        <f t="shared" si="101"/>
        <v/>
      </c>
      <c r="C2182" s="43"/>
      <c r="D2182" s="51" t="str" cm="1">
        <f t="array" ref="D2182">IFERROR(INDEX(DB!G$2:G$2576,T2182),"")</f>
        <v/>
      </c>
      <c r="E2182" s="43"/>
      <c r="F2182" s="52" t="str" cm="1">
        <f t="array" ref="F2182">IFERROR(INDEX(DB!O$2:O$2576,T2182),"")</f>
        <v/>
      </c>
      <c r="G2182" s="43"/>
      <c r="H2182" s="40" t="str" cm="1">
        <f t="array" ref="H2182">IFERROR(INDEX(DB!P$2:P$2576,T2182),"")</f>
        <v/>
      </c>
      <c r="I2182" s="43"/>
      <c r="J2182" s="53" t="str" cm="1">
        <f t="array" ref="J2182">IFERROR(INDEX(DB!Q$2:Q$2576,T2182),"")</f>
        <v/>
      </c>
      <c r="K2182" s="43"/>
      <c r="L2182" s="41" t="str" cm="1">
        <f t="array" ref="L2182">IFERROR(INDEX(DB!R$2:R$2576,T2182),"")</f>
        <v/>
      </c>
      <c r="M2182" s="43"/>
      <c r="P2182" t="str" cm="1">
        <f t="array" ref="P2182">IFERROR(_xlfn.AGGREGATE(15,6,ROW(DB!A$2:A$2576)/((($D$3&lt;&gt;"YES")+($D$3="YES")*(DB!E$2:E$2576="YES"))*(($D$4="")+($D$4&lt;&gt;"")*( DB!B$2:B$2576=$D$4))*(($D$5="")+($D$5&lt;&gt;"")*( DB!C$2:C$2576=$D$5))*(($D$6="")+($D$6&lt;&gt;"")*( DB!D$2:D$2576=$D$6))*(($D$7="")+($D$7&lt;&gt;"")*(ISNUMBER(SEARCH($D$7,DB!G$2:G$2576))))*(($F$7="전체")+($F$7&lt;&gt;"전체")*(DB!H$2:H$2576=$F$7))),ROW()-13)-1,"")</f>
        <v/>
      </c>
      <c r="Q2182" t="str" cm="1">
        <f t="array" ref="Q2182">IFERROR(INDEX(DB!G$2:G$2576,P2182),"")</f>
        <v/>
      </c>
      <c r="R2182" t="str" cm="1">
        <f t="array" ref="R2182">IFERROR(INDEX(DB!O$2:O$2576,P2182),"")</f>
        <v/>
      </c>
      <c r="S2182" t="str">
        <f t="shared" si="102"/>
        <v/>
      </c>
      <c r="T2182" t="str">
        <f t="shared" si="103"/>
        <v/>
      </c>
    </row>
    <row r="2183" spans="1:20" ht="100" customHeight="1">
      <c r="A2183" s="26"/>
      <c r="B2183" s="42" t="str">
        <f t="shared" si="101"/>
        <v/>
      </c>
      <c r="C2183" s="43"/>
      <c r="D2183" s="51" t="str" cm="1">
        <f t="array" ref="D2183">IFERROR(INDEX(DB!G$2:G$2576,T2183),"")</f>
        <v/>
      </c>
      <c r="E2183" s="43"/>
      <c r="F2183" s="52" t="str" cm="1">
        <f t="array" ref="F2183">IFERROR(INDEX(DB!O$2:O$2576,T2183),"")</f>
        <v/>
      </c>
      <c r="G2183" s="43"/>
      <c r="H2183" s="40" t="str" cm="1">
        <f t="array" ref="H2183">IFERROR(INDEX(DB!P$2:P$2576,T2183),"")</f>
        <v/>
      </c>
      <c r="I2183" s="43"/>
      <c r="J2183" s="53" t="str" cm="1">
        <f t="array" ref="J2183">IFERROR(INDEX(DB!Q$2:Q$2576,T2183),"")</f>
        <v/>
      </c>
      <c r="K2183" s="43"/>
      <c r="L2183" s="41" t="str" cm="1">
        <f t="array" ref="L2183">IFERROR(INDEX(DB!R$2:R$2576,T2183),"")</f>
        <v/>
      </c>
      <c r="M2183" s="43"/>
      <c r="P2183" t="str" cm="1">
        <f t="array" ref="P2183">IFERROR(_xlfn.AGGREGATE(15,6,ROW(DB!A$2:A$2576)/((($D$3&lt;&gt;"YES")+($D$3="YES")*(DB!E$2:E$2576="YES"))*(($D$4="")+($D$4&lt;&gt;"")*( DB!B$2:B$2576=$D$4))*(($D$5="")+($D$5&lt;&gt;"")*( DB!C$2:C$2576=$D$5))*(($D$6="")+($D$6&lt;&gt;"")*( DB!D$2:D$2576=$D$6))*(($D$7="")+($D$7&lt;&gt;"")*(ISNUMBER(SEARCH($D$7,DB!G$2:G$2576))))*(($F$7="전체")+($F$7&lt;&gt;"전체")*(DB!H$2:H$2576=$F$7))),ROW()-13)-1,"")</f>
        <v/>
      </c>
      <c r="Q2183" t="str" cm="1">
        <f t="array" ref="Q2183">IFERROR(INDEX(DB!G$2:G$2576,P2183),"")</f>
        <v/>
      </c>
      <c r="R2183" t="str" cm="1">
        <f t="array" ref="R2183">IFERROR(INDEX(DB!O$2:O$2576,P2183),"")</f>
        <v/>
      </c>
      <c r="S2183" t="str">
        <f t="shared" si="102"/>
        <v/>
      </c>
      <c r="T2183" t="str">
        <f t="shared" si="103"/>
        <v/>
      </c>
    </row>
    <row r="2184" spans="1:20" ht="100" customHeight="1">
      <c r="A2184" s="26"/>
      <c r="B2184" s="39" t="str">
        <f t="shared" si="101"/>
        <v/>
      </c>
      <c r="C2184" s="43"/>
      <c r="D2184" s="51" t="str" cm="1">
        <f t="array" ref="D2184">IFERROR(INDEX(DB!G$2:G$2576,T2184),"")</f>
        <v/>
      </c>
      <c r="E2184" s="43"/>
      <c r="F2184" s="52" t="str" cm="1">
        <f t="array" ref="F2184">IFERROR(INDEX(DB!O$2:O$2576,T2184),"")</f>
        <v/>
      </c>
      <c r="G2184" s="43"/>
      <c r="H2184" s="40" t="str" cm="1">
        <f t="array" ref="H2184">IFERROR(INDEX(DB!P$2:P$2576,T2184),"")</f>
        <v/>
      </c>
      <c r="I2184" s="43"/>
      <c r="J2184" s="53" t="str" cm="1">
        <f t="array" ref="J2184">IFERROR(INDEX(DB!Q$2:Q$2576,T2184),"")</f>
        <v/>
      </c>
      <c r="K2184" s="43"/>
      <c r="L2184" s="41" t="str" cm="1">
        <f t="array" ref="L2184">IFERROR(INDEX(DB!R$2:R$2576,T2184),"")</f>
        <v/>
      </c>
      <c r="M2184" s="43"/>
      <c r="P2184" t="str" cm="1">
        <f t="array" ref="P2184">IFERROR(_xlfn.AGGREGATE(15,6,ROW(DB!A$2:A$2576)/((($D$3&lt;&gt;"YES")+($D$3="YES")*(DB!E$2:E$2576="YES"))*(($D$4="")+($D$4&lt;&gt;"")*( DB!B$2:B$2576=$D$4))*(($D$5="")+($D$5&lt;&gt;"")*( DB!C$2:C$2576=$D$5))*(($D$6="")+($D$6&lt;&gt;"")*( DB!D$2:D$2576=$D$6))*(($D$7="")+($D$7&lt;&gt;"")*(ISNUMBER(SEARCH($D$7,DB!G$2:G$2576))))*(($F$7="전체")+($F$7&lt;&gt;"전체")*(DB!H$2:H$2576=$F$7))),ROW()-13)-1,"")</f>
        <v/>
      </c>
      <c r="Q2184" t="str" cm="1">
        <f t="array" ref="Q2184">IFERROR(INDEX(DB!G$2:G$2576,P2184),"")</f>
        <v/>
      </c>
      <c r="R2184" t="str" cm="1">
        <f t="array" ref="R2184">IFERROR(INDEX(DB!O$2:O$2576,P2184),"")</f>
        <v/>
      </c>
      <c r="S2184" t="str">
        <f t="shared" si="102"/>
        <v/>
      </c>
      <c r="T2184" t="str">
        <f t="shared" si="103"/>
        <v/>
      </c>
    </row>
    <row r="2185" spans="1:20" ht="100" customHeight="1">
      <c r="A2185" s="26"/>
      <c r="B2185" s="42" t="str">
        <f t="shared" si="101"/>
        <v/>
      </c>
      <c r="C2185" s="43"/>
      <c r="D2185" s="51" t="str" cm="1">
        <f t="array" ref="D2185">IFERROR(INDEX(DB!G$2:G$2576,T2185),"")</f>
        <v/>
      </c>
      <c r="E2185" s="43"/>
      <c r="F2185" s="52" t="str" cm="1">
        <f t="array" ref="F2185">IFERROR(INDEX(DB!O$2:O$2576,T2185),"")</f>
        <v/>
      </c>
      <c r="G2185" s="43"/>
      <c r="H2185" s="40" t="str" cm="1">
        <f t="array" ref="H2185">IFERROR(INDEX(DB!P$2:P$2576,T2185),"")</f>
        <v/>
      </c>
      <c r="I2185" s="43"/>
      <c r="J2185" s="53" t="str" cm="1">
        <f t="array" ref="J2185">IFERROR(INDEX(DB!Q$2:Q$2576,T2185),"")</f>
        <v/>
      </c>
      <c r="K2185" s="43"/>
      <c r="L2185" s="41" t="str" cm="1">
        <f t="array" ref="L2185">IFERROR(INDEX(DB!R$2:R$2576,T2185),"")</f>
        <v/>
      </c>
      <c r="M2185" s="43"/>
      <c r="P2185" t="str" cm="1">
        <f t="array" ref="P2185">IFERROR(_xlfn.AGGREGATE(15,6,ROW(DB!A$2:A$2576)/((($D$3&lt;&gt;"YES")+($D$3="YES")*(DB!E$2:E$2576="YES"))*(($D$4="")+($D$4&lt;&gt;"")*( DB!B$2:B$2576=$D$4))*(($D$5="")+($D$5&lt;&gt;"")*( DB!C$2:C$2576=$D$5))*(($D$6="")+($D$6&lt;&gt;"")*( DB!D$2:D$2576=$D$6))*(($D$7="")+($D$7&lt;&gt;"")*(ISNUMBER(SEARCH($D$7,DB!G$2:G$2576))))*(($F$7="전체")+($F$7&lt;&gt;"전체")*(DB!H$2:H$2576=$F$7))),ROW()-13)-1,"")</f>
        <v/>
      </c>
      <c r="Q2185" t="str" cm="1">
        <f t="array" ref="Q2185">IFERROR(INDEX(DB!G$2:G$2576,P2185),"")</f>
        <v/>
      </c>
      <c r="R2185" t="str" cm="1">
        <f t="array" ref="R2185">IFERROR(INDEX(DB!O$2:O$2576,P2185),"")</f>
        <v/>
      </c>
      <c r="S2185" t="str">
        <f t="shared" si="102"/>
        <v/>
      </c>
      <c r="T2185" t="str">
        <f t="shared" si="103"/>
        <v/>
      </c>
    </row>
    <row r="2186" spans="1:20" ht="100" customHeight="1">
      <c r="A2186" s="26"/>
      <c r="B2186" s="39" t="str">
        <f t="shared" si="101"/>
        <v/>
      </c>
      <c r="C2186" s="43"/>
      <c r="D2186" s="51" t="str" cm="1">
        <f t="array" ref="D2186">IFERROR(INDEX(DB!G$2:G$2576,T2186),"")</f>
        <v/>
      </c>
      <c r="E2186" s="43"/>
      <c r="F2186" s="52" t="str" cm="1">
        <f t="array" ref="F2186">IFERROR(INDEX(DB!O$2:O$2576,T2186),"")</f>
        <v/>
      </c>
      <c r="G2186" s="43"/>
      <c r="H2186" s="40" t="str" cm="1">
        <f t="array" ref="H2186">IFERROR(INDEX(DB!P$2:P$2576,T2186),"")</f>
        <v/>
      </c>
      <c r="I2186" s="43"/>
      <c r="J2186" s="53" t="str" cm="1">
        <f t="array" ref="J2186">IFERROR(INDEX(DB!Q$2:Q$2576,T2186),"")</f>
        <v/>
      </c>
      <c r="K2186" s="43"/>
      <c r="L2186" s="41" t="str" cm="1">
        <f t="array" ref="L2186">IFERROR(INDEX(DB!R$2:R$2576,T2186),"")</f>
        <v/>
      </c>
      <c r="M2186" s="43"/>
      <c r="P2186" t="str" cm="1">
        <f t="array" ref="P2186">IFERROR(_xlfn.AGGREGATE(15,6,ROW(DB!A$2:A$2576)/((($D$3&lt;&gt;"YES")+($D$3="YES")*(DB!E$2:E$2576="YES"))*(($D$4="")+($D$4&lt;&gt;"")*( DB!B$2:B$2576=$D$4))*(($D$5="")+($D$5&lt;&gt;"")*( DB!C$2:C$2576=$D$5))*(($D$6="")+($D$6&lt;&gt;"")*( DB!D$2:D$2576=$D$6))*(($D$7="")+($D$7&lt;&gt;"")*(ISNUMBER(SEARCH($D$7,DB!G$2:G$2576))))*(($F$7="전체")+($F$7&lt;&gt;"전체")*(DB!H$2:H$2576=$F$7))),ROW()-13)-1,"")</f>
        <v/>
      </c>
      <c r="Q2186" t="str" cm="1">
        <f t="array" ref="Q2186">IFERROR(INDEX(DB!G$2:G$2576,P2186),"")</f>
        <v/>
      </c>
      <c r="R2186" t="str" cm="1">
        <f t="array" ref="R2186">IFERROR(INDEX(DB!O$2:O$2576,P2186),"")</f>
        <v/>
      </c>
      <c r="S2186" t="str">
        <f t="shared" si="102"/>
        <v/>
      </c>
      <c r="T2186" t="str">
        <f t="shared" si="103"/>
        <v/>
      </c>
    </row>
    <row r="2187" spans="1:20" ht="100" customHeight="1">
      <c r="A2187" s="26"/>
      <c r="B2187" s="42" t="str">
        <f t="shared" si="101"/>
        <v/>
      </c>
      <c r="C2187" s="43"/>
      <c r="D2187" s="51" t="str" cm="1">
        <f t="array" ref="D2187">IFERROR(INDEX(DB!G$2:G$2576,T2187),"")</f>
        <v/>
      </c>
      <c r="E2187" s="43"/>
      <c r="F2187" s="52" t="str" cm="1">
        <f t="array" ref="F2187">IFERROR(INDEX(DB!O$2:O$2576,T2187),"")</f>
        <v/>
      </c>
      <c r="G2187" s="43"/>
      <c r="H2187" s="40" t="str" cm="1">
        <f t="array" ref="H2187">IFERROR(INDEX(DB!P$2:P$2576,T2187),"")</f>
        <v/>
      </c>
      <c r="I2187" s="43"/>
      <c r="J2187" s="53" t="str" cm="1">
        <f t="array" ref="J2187">IFERROR(INDEX(DB!Q$2:Q$2576,T2187),"")</f>
        <v/>
      </c>
      <c r="K2187" s="43"/>
      <c r="L2187" s="41" t="str" cm="1">
        <f t="array" ref="L2187">IFERROR(INDEX(DB!R$2:R$2576,T2187),"")</f>
        <v/>
      </c>
      <c r="M2187" s="43"/>
      <c r="P2187" t="str" cm="1">
        <f t="array" ref="P2187">IFERROR(_xlfn.AGGREGATE(15,6,ROW(DB!A$2:A$2576)/((($D$3&lt;&gt;"YES")+($D$3="YES")*(DB!E$2:E$2576="YES"))*(($D$4="")+($D$4&lt;&gt;"")*( DB!B$2:B$2576=$D$4))*(($D$5="")+($D$5&lt;&gt;"")*( DB!C$2:C$2576=$D$5))*(($D$6="")+($D$6&lt;&gt;"")*( DB!D$2:D$2576=$D$6))*(($D$7="")+($D$7&lt;&gt;"")*(ISNUMBER(SEARCH($D$7,DB!G$2:G$2576))))*(($F$7="전체")+($F$7&lt;&gt;"전체")*(DB!H$2:H$2576=$F$7))),ROW()-13)-1,"")</f>
        <v/>
      </c>
      <c r="Q2187" t="str" cm="1">
        <f t="array" ref="Q2187">IFERROR(INDEX(DB!G$2:G$2576,P2187),"")</f>
        <v/>
      </c>
      <c r="R2187" t="str" cm="1">
        <f t="array" ref="R2187">IFERROR(INDEX(DB!O$2:O$2576,P2187),"")</f>
        <v/>
      </c>
      <c r="S2187" t="str">
        <f t="shared" si="102"/>
        <v/>
      </c>
      <c r="T2187" t="str">
        <f t="shared" si="103"/>
        <v/>
      </c>
    </row>
    <row r="2188" spans="1:20" ht="100" customHeight="1">
      <c r="A2188" s="26"/>
      <c r="B2188" s="39" t="str">
        <f t="shared" si="101"/>
        <v/>
      </c>
      <c r="C2188" s="43"/>
      <c r="D2188" s="51" t="str" cm="1">
        <f t="array" ref="D2188">IFERROR(INDEX(DB!G$2:G$2576,T2188),"")</f>
        <v/>
      </c>
      <c r="E2188" s="43"/>
      <c r="F2188" s="52" t="str" cm="1">
        <f t="array" ref="F2188">IFERROR(INDEX(DB!O$2:O$2576,T2188),"")</f>
        <v/>
      </c>
      <c r="G2188" s="43"/>
      <c r="H2188" s="40" t="str" cm="1">
        <f t="array" ref="H2188">IFERROR(INDEX(DB!P$2:P$2576,T2188),"")</f>
        <v/>
      </c>
      <c r="I2188" s="43"/>
      <c r="J2188" s="53" t="str" cm="1">
        <f t="array" ref="J2188">IFERROR(INDEX(DB!Q$2:Q$2576,T2188),"")</f>
        <v/>
      </c>
      <c r="K2188" s="43"/>
      <c r="L2188" s="41" t="str" cm="1">
        <f t="array" ref="L2188">IFERROR(INDEX(DB!R$2:R$2576,T2188),"")</f>
        <v/>
      </c>
      <c r="M2188" s="43"/>
      <c r="P2188" t="str" cm="1">
        <f t="array" ref="P2188">IFERROR(_xlfn.AGGREGATE(15,6,ROW(DB!A$2:A$2576)/((($D$3&lt;&gt;"YES")+($D$3="YES")*(DB!E$2:E$2576="YES"))*(($D$4="")+($D$4&lt;&gt;"")*( DB!B$2:B$2576=$D$4))*(($D$5="")+($D$5&lt;&gt;"")*( DB!C$2:C$2576=$D$5))*(($D$6="")+($D$6&lt;&gt;"")*( DB!D$2:D$2576=$D$6))*(($D$7="")+($D$7&lt;&gt;"")*(ISNUMBER(SEARCH($D$7,DB!G$2:G$2576))))*(($F$7="전체")+($F$7&lt;&gt;"전체")*(DB!H$2:H$2576=$F$7))),ROW()-13)-1,"")</f>
        <v/>
      </c>
      <c r="Q2188" t="str" cm="1">
        <f t="array" ref="Q2188">IFERROR(INDEX(DB!G$2:G$2576,P2188),"")</f>
        <v/>
      </c>
      <c r="R2188" t="str" cm="1">
        <f t="array" ref="R2188">IFERROR(INDEX(DB!O$2:O$2576,P2188),"")</f>
        <v/>
      </c>
      <c r="S2188" t="str">
        <f t="shared" si="102"/>
        <v/>
      </c>
      <c r="T2188" t="str">
        <f t="shared" si="103"/>
        <v/>
      </c>
    </row>
    <row r="2189" spans="1:20" ht="100" customHeight="1">
      <c r="A2189" s="26"/>
      <c r="B2189" s="42" t="str">
        <f t="shared" si="101"/>
        <v/>
      </c>
      <c r="C2189" s="43"/>
      <c r="D2189" s="51" t="str" cm="1">
        <f t="array" ref="D2189">IFERROR(INDEX(DB!G$2:G$2576,T2189),"")</f>
        <v/>
      </c>
      <c r="E2189" s="43"/>
      <c r="F2189" s="52" t="str" cm="1">
        <f t="array" ref="F2189">IFERROR(INDEX(DB!O$2:O$2576,T2189),"")</f>
        <v/>
      </c>
      <c r="G2189" s="43"/>
      <c r="H2189" s="40" t="str" cm="1">
        <f t="array" ref="H2189">IFERROR(INDEX(DB!P$2:P$2576,T2189),"")</f>
        <v/>
      </c>
      <c r="I2189" s="43"/>
      <c r="J2189" s="53" t="str" cm="1">
        <f t="array" ref="J2189">IFERROR(INDEX(DB!Q$2:Q$2576,T2189),"")</f>
        <v/>
      </c>
      <c r="K2189" s="43"/>
      <c r="L2189" s="41" t="str" cm="1">
        <f t="array" ref="L2189">IFERROR(INDEX(DB!R$2:R$2576,T2189),"")</f>
        <v/>
      </c>
      <c r="M2189" s="43"/>
      <c r="P2189" t="str" cm="1">
        <f t="array" ref="P2189">IFERROR(_xlfn.AGGREGATE(15,6,ROW(DB!A$2:A$2576)/((($D$3&lt;&gt;"YES")+($D$3="YES")*(DB!E$2:E$2576="YES"))*(($D$4="")+($D$4&lt;&gt;"")*( DB!B$2:B$2576=$D$4))*(($D$5="")+($D$5&lt;&gt;"")*( DB!C$2:C$2576=$D$5))*(($D$6="")+($D$6&lt;&gt;"")*( DB!D$2:D$2576=$D$6))*(($D$7="")+($D$7&lt;&gt;"")*(ISNUMBER(SEARCH($D$7,DB!G$2:G$2576))))*(($F$7="전체")+($F$7&lt;&gt;"전체")*(DB!H$2:H$2576=$F$7))),ROW()-13)-1,"")</f>
        <v/>
      </c>
      <c r="Q2189" t="str" cm="1">
        <f t="array" ref="Q2189">IFERROR(INDEX(DB!G$2:G$2576,P2189),"")</f>
        <v/>
      </c>
      <c r="R2189" t="str" cm="1">
        <f t="array" ref="R2189">IFERROR(INDEX(DB!O$2:O$2576,P2189),"")</f>
        <v/>
      </c>
      <c r="S2189" t="str">
        <f t="shared" si="102"/>
        <v/>
      </c>
      <c r="T2189" t="str">
        <f t="shared" si="103"/>
        <v/>
      </c>
    </row>
    <row r="2190" spans="1:20" ht="100" customHeight="1">
      <c r="A2190" s="26"/>
      <c r="B2190" s="39" t="str">
        <f t="shared" si="101"/>
        <v/>
      </c>
      <c r="C2190" s="43"/>
      <c r="D2190" s="51" t="str" cm="1">
        <f t="array" ref="D2190">IFERROR(INDEX(DB!G$2:G$2576,T2190),"")</f>
        <v/>
      </c>
      <c r="E2190" s="43"/>
      <c r="F2190" s="52" t="str" cm="1">
        <f t="array" ref="F2190">IFERROR(INDEX(DB!O$2:O$2576,T2190),"")</f>
        <v/>
      </c>
      <c r="G2190" s="43"/>
      <c r="H2190" s="40" t="str" cm="1">
        <f t="array" ref="H2190">IFERROR(INDEX(DB!P$2:P$2576,T2190),"")</f>
        <v/>
      </c>
      <c r="I2190" s="43"/>
      <c r="J2190" s="53" t="str" cm="1">
        <f t="array" ref="J2190">IFERROR(INDEX(DB!Q$2:Q$2576,T2190),"")</f>
        <v/>
      </c>
      <c r="K2190" s="43"/>
      <c r="L2190" s="41" t="str" cm="1">
        <f t="array" ref="L2190">IFERROR(INDEX(DB!R$2:R$2576,T2190),"")</f>
        <v/>
      </c>
      <c r="M2190" s="43"/>
      <c r="P2190" t="str" cm="1">
        <f t="array" ref="P2190">IFERROR(_xlfn.AGGREGATE(15,6,ROW(DB!A$2:A$2576)/((($D$3&lt;&gt;"YES")+($D$3="YES")*(DB!E$2:E$2576="YES"))*(($D$4="")+($D$4&lt;&gt;"")*( DB!B$2:B$2576=$D$4))*(($D$5="")+($D$5&lt;&gt;"")*( DB!C$2:C$2576=$D$5))*(($D$6="")+($D$6&lt;&gt;"")*( DB!D$2:D$2576=$D$6))*(($D$7="")+($D$7&lt;&gt;"")*(ISNUMBER(SEARCH($D$7,DB!G$2:G$2576))))*(($F$7="전체")+($F$7&lt;&gt;"전체")*(DB!H$2:H$2576=$F$7))),ROW()-13)-1,"")</f>
        <v/>
      </c>
      <c r="Q2190" t="str" cm="1">
        <f t="array" ref="Q2190">IFERROR(INDEX(DB!G$2:G$2576,P2190),"")</f>
        <v/>
      </c>
      <c r="R2190" t="str" cm="1">
        <f t="array" ref="R2190">IFERROR(INDEX(DB!O$2:O$2576,P2190),"")</f>
        <v/>
      </c>
      <c r="S2190" t="str">
        <f t="shared" si="102"/>
        <v/>
      </c>
      <c r="T2190" t="str">
        <f t="shared" si="103"/>
        <v/>
      </c>
    </row>
    <row r="2191" spans="1:20" ht="100" customHeight="1">
      <c r="A2191" s="26"/>
      <c r="B2191" s="42" t="str">
        <f t="shared" ref="B2191:B2254" si="104">IFERROR(IF(T2191="","",ROW()-13),"")</f>
        <v/>
      </c>
      <c r="C2191" s="43"/>
      <c r="D2191" s="51" t="str" cm="1">
        <f t="array" ref="D2191">IFERROR(INDEX(DB!G$2:G$2576,T2191),"")</f>
        <v/>
      </c>
      <c r="E2191" s="43"/>
      <c r="F2191" s="52" t="str" cm="1">
        <f t="array" ref="F2191">IFERROR(INDEX(DB!O$2:O$2576,T2191),"")</f>
        <v/>
      </c>
      <c r="G2191" s="43"/>
      <c r="H2191" s="40" t="str" cm="1">
        <f t="array" ref="H2191">IFERROR(INDEX(DB!P$2:P$2576,T2191),"")</f>
        <v/>
      </c>
      <c r="I2191" s="43"/>
      <c r="J2191" s="53" t="str" cm="1">
        <f t="array" ref="J2191">IFERROR(INDEX(DB!Q$2:Q$2576,T2191),"")</f>
        <v/>
      </c>
      <c r="K2191" s="43"/>
      <c r="L2191" s="41" t="str" cm="1">
        <f t="array" ref="L2191">IFERROR(INDEX(DB!R$2:R$2576,T2191),"")</f>
        <v/>
      </c>
      <c r="M2191" s="43"/>
      <c r="P2191" t="str" cm="1">
        <f t="array" ref="P2191">IFERROR(_xlfn.AGGREGATE(15,6,ROW(DB!A$2:A$2576)/((($D$3&lt;&gt;"YES")+($D$3="YES")*(DB!E$2:E$2576="YES"))*(($D$4="")+($D$4&lt;&gt;"")*( DB!B$2:B$2576=$D$4))*(($D$5="")+($D$5&lt;&gt;"")*( DB!C$2:C$2576=$D$5))*(($D$6="")+($D$6&lt;&gt;"")*( DB!D$2:D$2576=$D$6))*(($D$7="")+($D$7&lt;&gt;"")*(ISNUMBER(SEARCH($D$7,DB!G$2:G$2576))))*(($F$7="전체")+($F$7&lt;&gt;"전체")*(DB!H$2:H$2576=$F$7))),ROW()-13)-1,"")</f>
        <v/>
      </c>
      <c r="Q2191" t="str" cm="1">
        <f t="array" ref="Q2191">IFERROR(INDEX(DB!G$2:G$2576,P2191),"")</f>
        <v/>
      </c>
      <c r="R2191" t="str" cm="1">
        <f t="array" ref="R2191">IFERROR(INDEX(DB!O$2:O$2576,P2191),"")</f>
        <v/>
      </c>
      <c r="S2191" t="str">
        <f t="shared" ref="S2191:S2254" si="105">IF(P2191="","",COUNTIF($Q$14:$Q$2587,"&lt;"&amp;Q2191)*100+COUNTIF($R$14:$R$2587,"&lt;"&amp;R2191)+(ROW()-13)*0.001)</f>
        <v/>
      </c>
      <c r="T2191" t="str">
        <f t="shared" ref="T2191:T2254" si="106">IFERROR(INDEX($P$14:$P$2587,MATCH(SMALL($S$14:$S$2587,ROW()-13),$S$14:$S$2587,0)),"")</f>
        <v/>
      </c>
    </row>
    <row r="2192" spans="1:20" ht="100" customHeight="1">
      <c r="A2192" s="26"/>
      <c r="B2192" s="39" t="str">
        <f t="shared" si="104"/>
        <v/>
      </c>
      <c r="C2192" s="43"/>
      <c r="D2192" s="51" t="str" cm="1">
        <f t="array" ref="D2192">IFERROR(INDEX(DB!G$2:G$2576,T2192),"")</f>
        <v/>
      </c>
      <c r="E2192" s="43"/>
      <c r="F2192" s="52" t="str" cm="1">
        <f t="array" ref="F2192">IFERROR(INDEX(DB!O$2:O$2576,T2192),"")</f>
        <v/>
      </c>
      <c r="G2192" s="43"/>
      <c r="H2192" s="40" t="str" cm="1">
        <f t="array" ref="H2192">IFERROR(INDEX(DB!P$2:P$2576,T2192),"")</f>
        <v/>
      </c>
      <c r="I2192" s="43"/>
      <c r="J2192" s="53" t="str" cm="1">
        <f t="array" ref="J2192">IFERROR(INDEX(DB!Q$2:Q$2576,T2192),"")</f>
        <v/>
      </c>
      <c r="K2192" s="43"/>
      <c r="L2192" s="41" t="str" cm="1">
        <f t="array" ref="L2192">IFERROR(INDEX(DB!R$2:R$2576,T2192),"")</f>
        <v/>
      </c>
      <c r="M2192" s="43"/>
      <c r="P2192" t="str" cm="1">
        <f t="array" ref="P2192">IFERROR(_xlfn.AGGREGATE(15,6,ROW(DB!A$2:A$2576)/((($D$3&lt;&gt;"YES")+($D$3="YES")*(DB!E$2:E$2576="YES"))*(($D$4="")+($D$4&lt;&gt;"")*( DB!B$2:B$2576=$D$4))*(($D$5="")+($D$5&lt;&gt;"")*( DB!C$2:C$2576=$D$5))*(($D$6="")+($D$6&lt;&gt;"")*( DB!D$2:D$2576=$D$6))*(($D$7="")+($D$7&lt;&gt;"")*(ISNUMBER(SEARCH($D$7,DB!G$2:G$2576))))*(($F$7="전체")+($F$7&lt;&gt;"전체")*(DB!H$2:H$2576=$F$7))),ROW()-13)-1,"")</f>
        <v/>
      </c>
      <c r="Q2192" t="str" cm="1">
        <f t="array" ref="Q2192">IFERROR(INDEX(DB!G$2:G$2576,P2192),"")</f>
        <v/>
      </c>
      <c r="R2192" t="str" cm="1">
        <f t="array" ref="R2192">IFERROR(INDEX(DB!O$2:O$2576,P2192),"")</f>
        <v/>
      </c>
      <c r="S2192" t="str">
        <f t="shared" si="105"/>
        <v/>
      </c>
      <c r="T2192" t="str">
        <f t="shared" si="106"/>
        <v/>
      </c>
    </row>
    <row r="2193" spans="1:20" ht="100" customHeight="1">
      <c r="A2193" s="26"/>
      <c r="B2193" s="42" t="str">
        <f t="shared" si="104"/>
        <v/>
      </c>
      <c r="C2193" s="43"/>
      <c r="D2193" s="51" t="str" cm="1">
        <f t="array" ref="D2193">IFERROR(INDEX(DB!G$2:G$2576,T2193),"")</f>
        <v/>
      </c>
      <c r="E2193" s="43"/>
      <c r="F2193" s="52" t="str" cm="1">
        <f t="array" ref="F2193">IFERROR(INDEX(DB!O$2:O$2576,T2193),"")</f>
        <v/>
      </c>
      <c r="G2193" s="43"/>
      <c r="H2193" s="40" t="str" cm="1">
        <f t="array" ref="H2193">IFERROR(INDEX(DB!P$2:P$2576,T2193),"")</f>
        <v/>
      </c>
      <c r="I2193" s="43"/>
      <c r="J2193" s="53" t="str" cm="1">
        <f t="array" ref="J2193">IFERROR(INDEX(DB!Q$2:Q$2576,T2193),"")</f>
        <v/>
      </c>
      <c r="K2193" s="43"/>
      <c r="L2193" s="41" t="str" cm="1">
        <f t="array" ref="L2193">IFERROR(INDEX(DB!R$2:R$2576,T2193),"")</f>
        <v/>
      </c>
      <c r="M2193" s="43"/>
      <c r="P2193" t="str" cm="1">
        <f t="array" ref="P2193">IFERROR(_xlfn.AGGREGATE(15,6,ROW(DB!A$2:A$2576)/((($D$3&lt;&gt;"YES")+($D$3="YES")*(DB!E$2:E$2576="YES"))*(($D$4="")+($D$4&lt;&gt;"")*( DB!B$2:B$2576=$D$4))*(($D$5="")+($D$5&lt;&gt;"")*( DB!C$2:C$2576=$D$5))*(($D$6="")+($D$6&lt;&gt;"")*( DB!D$2:D$2576=$D$6))*(($D$7="")+($D$7&lt;&gt;"")*(ISNUMBER(SEARCH($D$7,DB!G$2:G$2576))))*(($F$7="전체")+($F$7&lt;&gt;"전체")*(DB!H$2:H$2576=$F$7))),ROW()-13)-1,"")</f>
        <v/>
      </c>
      <c r="Q2193" t="str" cm="1">
        <f t="array" ref="Q2193">IFERROR(INDEX(DB!G$2:G$2576,P2193),"")</f>
        <v/>
      </c>
      <c r="R2193" t="str" cm="1">
        <f t="array" ref="R2193">IFERROR(INDEX(DB!O$2:O$2576,P2193),"")</f>
        <v/>
      </c>
      <c r="S2193" t="str">
        <f t="shared" si="105"/>
        <v/>
      </c>
      <c r="T2193" t="str">
        <f t="shared" si="106"/>
        <v/>
      </c>
    </row>
    <row r="2194" spans="1:20" ht="100" customHeight="1">
      <c r="A2194" s="26"/>
      <c r="B2194" s="39" t="str">
        <f t="shared" si="104"/>
        <v/>
      </c>
      <c r="C2194" s="43"/>
      <c r="D2194" s="51" t="str" cm="1">
        <f t="array" ref="D2194">IFERROR(INDEX(DB!G$2:G$2576,T2194),"")</f>
        <v/>
      </c>
      <c r="E2194" s="43"/>
      <c r="F2194" s="52" t="str" cm="1">
        <f t="array" ref="F2194">IFERROR(INDEX(DB!O$2:O$2576,T2194),"")</f>
        <v/>
      </c>
      <c r="G2194" s="43"/>
      <c r="H2194" s="40" t="str" cm="1">
        <f t="array" ref="H2194">IFERROR(INDEX(DB!P$2:P$2576,T2194),"")</f>
        <v/>
      </c>
      <c r="I2194" s="43"/>
      <c r="J2194" s="53" t="str" cm="1">
        <f t="array" ref="J2194">IFERROR(INDEX(DB!Q$2:Q$2576,T2194),"")</f>
        <v/>
      </c>
      <c r="K2194" s="43"/>
      <c r="L2194" s="41" t="str" cm="1">
        <f t="array" ref="L2194">IFERROR(INDEX(DB!R$2:R$2576,T2194),"")</f>
        <v/>
      </c>
      <c r="M2194" s="43"/>
      <c r="P2194" t="str" cm="1">
        <f t="array" ref="P2194">IFERROR(_xlfn.AGGREGATE(15,6,ROW(DB!A$2:A$2576)/((($D$3&lt;&gt;"YES")+($D$3="YES")*(DB!E$2:E$2576="YES"))*(($D$4="")+($D$4&lt;&gt;"")*( DB!B$2:B$2576=$D$4))*(($D$5="")+($D$5&lt;&gt;"")*( DB!C$2:C$2576=$D$5))*(($D$6="")+($D$6&lt;&gt;"")*( DB!D$2:D$2576=$D$6))*(($D$7="")+($D$7&lt;&gt;"")*(ISNUMBER(SEARCH($D$7,DB!G$2:G$2576))))*(($F$7="전체")+($F$7&lt;&gt;"전체")*(DB!H$2:H$2576=$F$7))),ROW()-13)-1,"")</f>
        <v/>
      </c>
      <c r="Q2194" t="str" cm="1">
        <f t="array" ref="Q2194">IFERROR(INDEX(DB!G$2:G$2576,P2194),"")</f>
        <v/>
      </c>
      <c r="R2194" t="str" cm="1">
        <f t="array" ref="R2194">IFERROR(INDEX(DB!O$2:O$2576,P2194),"")</f>
        <v/>
      </c>
      <c r="S2194" t="str">
        <f t="shared" si="105"/>
        <v/>
      </c>
      <c r="T2194" t="str">
        <f t="shared" si="106"/>
        <v/>
      </c>
    </row>
    <row r="2195" spans="1:20" ht="100" customHeight="1">
      <c r="A2195" s="26"/>
      <c r="B2195" s="42" t="str">
        <f t="shared" si="104"/>
        <v/>
      </c>
      <c r="C2195" s="43"/>
      <c r="D2195" s="51" t="str" cm="1">
        <f t="array" ref="D2195">IFERROR(INDEX(DB!G$2:G$2576,T2195),"")</f>
        <v/>
      </c>
      <c r="E2195" s="43"/>
      <c r="F2195" s="52" t="str" cm="1">
        <f t="array" ref="F2195">IFERROR(INDEX(DB!O$2:O$2576,T2195),"")</f>
        <v/>
      </c>
      <c r="G2195" s="43"/>
      <c r="H2195" s="40" t="str" cm="1">
        <f t="array" ref="H2195">IFERROR(INDEX(DB!P$2:P$2576,T2195),"")</f>
        <v/>
      </c>
      <c r="I2195" s="43"/>
      <c r="J2195" s="53" t="str" cm="1">
        <f t="array" ref="J2195">IFERROR(INDEX(DB!Q$2:Q$2576,T2195),"")</f>
        <v/>
      </c>
      <c r="K2195" s="43"/>
      <c r="L2195" s="41" t="str" cm="1">
        <f t="array" ref="L2195">IFERROR(INDEX(DB!R$2:R$2576,T2195),"")</f>
        <v/>
      </c>
      <c r="M2195" s="43"/>
      <c r="P2195" t="str" cm="1">
        <f t="array" ref="P2195">IFERROR(_xlfn.AGGREGATE(15,6,ROW(DB!A$2:A$2576)/((($D$3&lt;&gt;"YES")+($D$3="YES")*(DB!E$2:E$2576="YES"))*(($D$4="")+($D$4&lt;&gt;"")*( DB!B$2:B$2576=$D$4))*(($D$5="")+($D$5&lt;&gt;"")*( DB!C$2:C$2576=$D$5))*(($D$6="")+($D$6&lt;&gt;"")*( DB!D$2:D$2576=$D$6))*(($D$7="")+($D$7&lt;&gt;"")*(ISNUMBER(SEARCH($D$7,DB!G$2:G$2576))))*(($F$7="전체")+($F$7&lt;&gt;"전체")*(DB!H$2:H$2576=$F$7))),ROW()-13)-1,"")</f>
        <v/>
      </c>
      <c r="Q2195" t="str" cm="1">
        <f t="array" ref="Q2195">IFERROR(INDEX(DB!G$2:G$2576,P2195),"")</f>
        <v/>
      </c>
      <c r="R2195" t="str" cm="1">
        <f t="array" ref="R2195">IFERROR(INDEX(DB!O$2:O$2576,P2195),"")</f>
        <v/>
      </c>
      <c r="S2195" t="str">
        <f t="shared" si="105"/>
        <v/>
      </c>
      <c r="T2195" t="str">
        <f t="shared" si="106"/>
        <v/>
      </c>
    </row>
    <row r="2196" spans="1:20" ht="100" customHeight="1">
      <c r="A2196" s="26"/>
      <c r="B2196" s="39" t="str">
        <f t="shared" si="104"/>
        <v/>
      </c>
      <c r="C2196" s="43"/>
      <c r="D2196" s="51" t="str" cm="1">
        <f t="array" ref="D2196">IFERROR(INDEX(DB!G$2:G$2576,T2196),"")</f>
        <v/>
      </c>
      <c r="E2196" s="43"/>
      <c r="F2196" s="52" t="str" cm="1">
        <f t="array" ref="F2196">IFERROR(INDEX(DB!O$2:O$2576,T2196),"")</f>
        <v/>
      </c>
      <c r="G2196" s="43"/>
      <c r="H2196" s="40" t="str" cm="1">
        <f t="array" ref="H2196">IFERROR(INDEX(DB!P$2:P$2576,T2196),"")</f>
        <v/>
      </c>
      <c r="I2196" s="43"/>
      <c r="J2196" s="53" t="str" cm="1">
        <f t="array" ref="J2196">IFERROR(INDEX(DB!Q$2:Q$2576,T2196),"")</f>
        <v/>
      </c>
      <c r="K2196" s="43"/>
      <c r="L2196" s="41" t="str" cm="1">
        <f t="array" ref="L2196">IFERROR(INDEX(DB!R$2:R$2576,T2196),"")</f>
        <v/>
      </c>
      <c r="M2196" s="43"/>
      <c r="P2196" t="str" cm="1">
        <f t="array" ref="P2196">IFERROR(_xlfn.AGGREGATE(15,6,ROW(DB!A$2:A$2576)/((($D$3&lt;&gt;"YES")+($D$3="YES")*(DB!E$2:E$2576="YES"))*(($D$4="")+($D$4&lt;&gt;"")*( DB!B$2:B$2576=$D$4))*(($D$5="")+($D$5&lt;&gt;"")*( DB!C$2:C$2576=$D$5))*(($D$6="")+($D$6&lt;&gt;"")*( DB!D$2:D$2576=$D$6))*(($D$7="")+($D$7&lt;&gt;"")*(ISNUMBER(SEARCH($D$7,DB!G$2:G$2576))))*(($F$7="전체")+($F$7&lt;&gt;"전체")*(DB!H$2:H$2576=$F$7))),ROW()-13)-1,"")</f>
        <v/>
      </c>
      <c r="Q2196" t="str" cm="1">
        <f t="array" ref="Q2196">IFERROR(INDEX(DB!G$2:G$2576,P2196),"")</f>
        <v/>
      </c>
      <c r="R2196" t="str" cm="1">
        <f t="array" ref="R2196">IFERROR(INDEX(DB!O$2:O$2576,P2196),"")</f>
        <v/>
      </c>
      <c r="S2196" t="str">
        <f t="shared" si="105"/>
        <v/>
      </c>
      <c r="T2196" t="str">
        <f t="shared" si="106"/>
        <v/>
      </c>
    </row>
    <row r="2197" spans="1:20" ht="100" customHeight="1">
      <c r="A2197" s="26"/>
      <c r="B2197" s="42" t="str">
        <f t="shared" si="104"/>
        <v/>
      </c>
      <c r="C2197" s="43"/>
      <c r="D2197" s="51" t="str" cm="1">
        <f t="array" ref="D2197">IFERROR(INDEX(DB!G$2:G$2576,T2197),"")</f>
        <v/>
      </c>
      <c r="E2197" s="43"/>
      <c r="F2197" s="52" t="str" cm="1">
        <f t="array" ref="F2197">IFERROR(INDEX(DB!O$2:O$2576,T2197),"")</f>
        <v/>
      </c>
      <c r="G2197" s="43"/>
      <c r="H2197" s="40" t="str" cm="1">
        <f t="array" ref="H2197">IFERROR(INDEX(DB!P$2:P$2576,T2197),"")</f>
        <v/>
      </c>
      <c r="I2197" s="43"/>
      <c r="J2197" s="53" t="str" cm="1">
        <f t="array" ref="J2197">IFERROR(INDEX(DB!Q$2:Q$2576,T2197),"")</f>
        <v/>
      </c>
      <c r="K2197" s="43"/>
      <c r="L2197" s="41" t="str" cm="1">
        <f t="array" ref="L2197">IFERROR(INDEX(DB!R$2:R$2576,T2197),"")</f>
        <v/>
      </c>
      <c r="M2197" s="43"/>
      <c r="P2197" t="str" cm="1">
        <f t="array" ref="P2197">IFERROR(_xlfn.AGGREGATE(15,6,ROW(DB!A$2:A$2576)/((($D$3&lt;&gt;"YES")+($D$3="YES")*(DB!E$2:E$2576="YES"))*(($D$4="")+($D$4&lt;&gt;"")*( DB!B$2:B$2576=$D$4))*(($D$5="")+($D$5&lt;&gt;"")*( DB!C$2:C$2576=$D$5))*(($D$6="")+($D$6&lt;&gt;"")*( DB!D$2:D$2576=$D$6))*(($D$7="")+($D$7&lt;&gt;"")*(ISNUMBER(SEARCH($D$7,DB!G$2:G$2576))))*(($F$7="전체")+($F$7&lt;&gt;"전체")*(DB!H$2:H$2576=$F$7))),ROW()-13)-1,"")</f>
        <v/>
      </c>
      <c r="Q2197" t="str" cm="1">
        <f t="array" ref="Q2197">IFERROR(INDEX(DB!G$2:G$2576,P2197),"")</f>
        <v/>
      </c>
      <c r="R2197" t="str" cm="1">
        <f t="array" ref="R2197">IFERROR(INDEX(DB!O$2:O$2576,P2197),"")</f>
        <v/>
      </c>
      <c r="S2197" t="str">
        <f t="shared" si="105"/>
        <v/>
      </c>
      <c r="T2197" t="str">
        <f t="shared" si="106"/>
        <v/>
      </c>
    </row>
    <row r="2198" spans="1:20" ht="100" customHeight="1">
      <c r="A2198" s="26"/>
      <c r="B2198" s="39" t="str">
        <f t="shared" si="104"/>
        <v/>
      </c>
      <c r="C2198" s="43"/>
      <c r="D2198" s="51" t="str" cm="1">
        <f t="array" ref="D2198">IFERROR(INDEX(DB!G$2:G$2576,T2198),"")</f>
        <v/>
      </c>
      <c r="E2198" s="43"/>
      <c r="F2198" s="52" t="str" cm="1">
        <f t="array" ref="F2198">IFERROR(INDEX(DB!O$2:O$2576,T2198),"")</f>
        <v/>
      </c>
      <c r="G2198" s="43"/>
      <c r="H2198" s="40" t="str" cm="1">
        <f t="array" ref="H2198">IFERROR(INDEX(DB!P$2:P$2576,T2198),"")</f>
        <v/>
      </c>
      <c r="I2198" s="43"/>
      <c r="J2198" s="53" t="str" cm="1">
        <f t="array" ref="J2198">IFERROR(INDEX(DB!Q$2:Q$2576,T2198),"")</f>
        <v/>
      </c>
      <c r="K2198" s="43"/>
      <c r="L2198" s="41" t="str" cm="1">
        <f t="array" ref="L2198">IFERROR(INDEX(DB!R$2:R$2576,T2198),"")</f>
        <v/>
      </c>
      <c r="M2198" s="43"/>
      <c r="P2198" t="str" cm="1">
        <f t="array" ref="P2198">IFERROR(_xlfn.AGGREGATE(15,6,ROW(DB!A$2:A$2576)/((($D$3&lt;&gt;"YES")+($D$3="YES")*(DB!E$2:E$2576="YES"))*(($D$4="")+($D$4&lt;&gt;"")*( DB!B$2:B$2576=$D$4))*(($D$5="")+($D$5&lt;&gt;"")*( DB!C$2:C$2576=$D$5))*(($D$6="")+($D$6&lt;&gt;"")*( DB!D$2:D$2576=$D$6))*(($D$7="")+($D$7&lt;&gt;"")*(ISNUMBER(SEARCH($D$7,DB!G$2:G$2576))))*(($F$7="전체")+($F$7&lt;&gt;"전체")*(DB!H$2:H$2576=$F$7))),ROW()-13)-1,"")</f>
        <v/>
      </c>
      <c r="Q2198" t="str" cm="1">
        <f t="array" ref="Q2198">IFERROR(INDEX(DB!G$2:G$2576,P2198),"")</f>
        <v/>
      </c>
      <c r="R2198" t="str" cm="1">
        <f t="array" ref="R2198">IFERROR(INDEX(DB!O$2:O$2576,P2198),"")</f>
        <v/>
      </c>
      <c r="S2198" t="str">
        <f t="shared" si="105"/>
        <v/>
      </c>
      <c r="T2198" t="str">
        <f t="shared" si="106"/>
        <v/>
      </c>
    </row>
    <row r="2199" spans="1:20" ht="100" customHeight="1">
      <c r="A2199" s="26"/>
      <c r="B2199" s="42" t="str">
        <f t="shared" si="104"/>
        <v/>
      </c>
      <c r="C2199" s="43"/>
      <c r="D2199" s="51" t="str" cm="1">
        <f t="array" ref="D2199">IFERROR(INDEX(DB!G$2:G$2576,T2199),"")</f>
        <v/>
      </c>
      <c r="E2199" s="43"/>
      <c r="F2199" s="52" t="str" cm="1">
        <f t="array" ref="F2199">IFERROR(INDEX(DB!O$2:O$2576,T2199),"")</f>
        <v/>
      </c>
      <c r="G2199" s="43"/>
      <c r="H2199" s="40" t="str" cm="1">
        <f t="array" ref="H2199">IFERROR(INDEX(DB!P$2:P$2576,T2199),"")</f>
        <v/>
      </c>
      <c r="I2199" s="43"/>
      <c r="J2199" s="53" t="str" cm="1">
        <f t="array" ref="J2199">IFERROR(INDEX(DB!Q$2:Q$2576,T2199),"")</f>
        <v/>
      </c>
      <c r="K2199" s="43"/>
      <c r="L2199" s="41" t="str" cm="1">
        <f t="array" ref="L2199">IFERROR(INDEX(DB!R$2:R$2576,T2199),"")</f>
        <v/>
      </c>
      <c r="M2199" s="43"/>
      <c r="P2199" t="str" cm="1">
        <f t="array" ref="P2199">IFERROR(_xlfn.AGGREGATE(15,6,ROW(DB!A$2:A$2576)/((($D$3&lt;&gt;"YES")+($D$3="YES")*(DB!E$2:E$2576="YES"))*(($D$4="")+($D$4&lt;&gt;"")*( DB!B$2:B$2576=$D$4))*(($D$5="")+($D$5&lt;&gt;"")*( DB!C$2:C$2576=$D$5))*(($D$6="")+($D$6&lt;&gt;"")*( DB!D$2:D$2576=$D$6))*(($D$7="")+($D$7&lt;&gt;"")*(ISNUMBER(SEARCH($D$7,DB!G$2:G$2576))))*(($F$7="전체")+($F$7&lt;&gt;"전체")*(DB!H$2:H$2576=$F$7))),ROW()-13)-1,"")</f>
        <v/>
      </c>
      <c r="Q2199" t="str" cm="1">
        <f t="array" ref="Q2199">IFERROR(INDEX(DB!G$2:G$2576,P2199),"")</f>
        <v/>
      </c>
      <c r="R2199" t="str" cm="1">
        <f t="array" ref="R2199">IFERROR(INDEX(DB!O$2:O$2576,P2199),"")</f>
        <v/>
      </c>
      <c r="S2199" t="str">
        <f t="shared" si="105"/>
        <v/>
      </c>
      <c r="T2199" t="str">
        <f t="shared" si="106"/>
        <v/>
      </c>
    </row>
    <row r="2200" spans="1:20" ht="100" customHeight="1">
      <c r="A2200" s="26"/>
      <c r="B2200" s="39" t="str">
        <f t="shared" si="104"/>
        <v/>
      </c>
      <c r="C2200" s="43"/>
      <c r="D2200" s="51" t="str" cm="1">
        <f t="array" ref="D2200">IFERROR(INDEX(DB!G$2:G$2576,T2200),"")</f>
        <v/>
      </c>
      <c r="E2200" s="43"/>
      <c r="F2200" s="52" t="str" cm="1">
        <f t="array" ref="F2200">IFERROR(INDEX(DB!O$2:O$2576,T2200),"")</f>
        <v/>
      </c>
      <c r="G2200" s="43"/>
      <c r="H2200" s="40" t="str" cm="1">
        <f t="array" ref="H2200">IFERROR(INDEX(DB!P$2:P$2576,T2200),"")</f>
        <v/>
      </c>
      <c r="I2200" s="43"/>
      <c r="J2200" s="53" t="str" cm="1">
        <f t="array" ref="J2200">IFERROR(INDEX(DB!Q$2:Q$2576,T2200),"")</f>
        <v/>
      </c>
      <c r="K2200" s="43"/>
      <c r="L2200" s="41" t="str" cm="1">
        <f t="array" ref="L2200">IFERROR(INDEX(DB!R$2:R$2576,T2200),"")</f>
        <v/>
      </c>
      <c r="M2200" s="43"/>
      <c r="P2200" t="str" cm="1">
        <f t="array" ref="P2200">IFERROR(_xlfn.AGGREGATE(15,6,ROW(DB!A$2:A$2576)/((($D$3&lt;&gt;"YES")+($D$3="YES")*(DB!E$2:E$2576="YES"))*(($D$4="")+($D$4&lt;&gt;"")*( DB!B$2:B$2576=$D$4))*(($D$5="")+($D$5&lt;&gt;"")*( DB!C$2:C$2576=$D$5))*(($D$6="")+($D$6&lt;&gt;"")*( DB!D$2:D$2576=$D$6))*(($D$7="")+($D$7&lt;&gt;"")*(ISNUMBER(SEARCH($D$7,DB!G$2:G$2576))))*(($F$7="전체")+($F$7&lt;&gt;"전체")*(DB!H$2:H$2576=$F$7))),ROW()-13)-1,"")</f>
        <v/>
      </c>
      <c r="Q2200" t="str" cm="1">
        <f t="array" ref="Q2200">IFERROR(INDEX(DB!G$2:G$2576,P2200),"")</f>
        <v/>
      </c>
      <c r="R2200" t="str" cm="1">
        <f t="array" ref="R2200">IFERROR(INDEX(DB!O$2:O$2576,P2200),"")</f>
        <v/>
      </c>
      <c r="S2200" t="str">
        <f t="shared" si="105"/>
        <v/>
      </c>
      <c r="T2200" t="str">
        <f t="shared" si="106"/>
        <v/>
      </c>
    </row>
    <row r="2201" spans="1:20" ht="100" customHeight="1">
      <c r="A2201" s="26"/>
      <c r="B2201" s="42" t="str">
        <f t="shared" si="104"/>
        <v/>
      </c>
      <c r="C2201" s="43"/>
      <c r="D2201" s="51" t="str" cm="1">
        <f t="array" ref="D2201">IFERROR(INDEX(DB!G$2:G$2576,T2201),"")</f>
        <v/>
      </c>
      <c r="E2201" s="43"/>
      <c r="F2201" s="52" t="str" cm="1">
        <f t="array" ref="F2201">IFERROR(INDEX(DB!O$2:O$2576,T2201),"")</f>
        <v/>
      </c>
      <c r="G2201" s="43"/>
      <c r="H2201" s="40" t="str" cm="1">
        <f t="array" ref="H2201">IFERROR(INDEX(DB!P$2:P$2576,T2201),"")</f>
        <v/>
      </c>
      <c r="I2201" s="43"/>
      <c r="J2201" s="53" t="str" cm="1">
        <f t="array" ref="J2201">IFERROR(INDEX(DB!Q$2:Q$2576,T2201),"")</f>
        <v/>
      </c>
      <c r="K2201" s="43"/>
      <c r="L2201" s="41" t="str" cm="1">
        <f t="array" ref="L2201">IFERROR(INDEX(DB!R$2:R$2576,T2201),"")</f>
        <v/>
      </c>
      <c r="M2201" s="43"/>
      <c r="P2201" t="str" cm="1">
        <f t="array" ref="P2201">IFERROR(_xlfn.AGGREGATE(15,6,ROW(DB!A$2:A$2576)/((($D$3&lt;&gt;"YES")+($D$3="YES")*(DB!E$2:E$2576="YES"))*(($D$4="")+($D$4&lt;&gt;"")*( DB!B$2:B$2576=$D$4))*(($D$5="")+($D$5&lt;&gt;"")*( DB!C$2:C$2576=$D$5))*(($D$6="")+($D$6&lt;&gt;"")*( DB!D$2:D$2576=$D$6))*(($D$7="")+($D$7&lt;&gt;"")*(ISNUMBER(SEARCH($D$7,DB!G$2:G$2576))))*(($F$7="전체")+($F$7&lt;&gt;"전체")*(DB!H$2:H$2576=$F$7))),ROW()-13)-1,"")</f>
        <v/>
      </c>
      <c r="Q2201" t="str" cm="1">
        <f t="array" ref="Q2201">IFERROR(INDEX(DB!G$2:G$2576,P2201),"")</f>
        <v/>
      </c>
      <c r="R2201" t="str" cm="1">
        <f t="array" ref="R2201">IFERROR(INDEX(DB!O$2:O$2576,P2201),"")</f>
        <v/>
      </c>
      <c r="S2201" t="str">
        <f t="shared" si="105"/>
        <v/>
      </c>
      <c r="T2201" t="str">
        <f t="shared" si="106"/>
        <v/>
      </c>
    </row>
    <row r="2202" spans="1:20" ht="100" customHeight="1">
      <c r="A2202" s="26"/>
      <c r="B2202" s="39" t="str">
        <f t="shared" si="104"/>
        <v/>
      </c>
      <c r="C2202" s="43"/>
      <c r="D2202" s="51" t="str" cm="1">
        <f t="array" ref="D2202">IFERROR(INDEX(DB!G$2:G$2576,T2202),"")</f>
        <v/>
      </c>
      <c r="E2202" s="43"/>
      <c r="F2202" s="52" t="str" cm="1">
        <f t="array" ref="F2202">IFERROR(INDEX(DB!O$2:O$2576,T2202),"")</f>
        <v/>
      </c>
      <c r="G2202" s="43"/>
      <c r="H2202" s="40" t="str" cm="1">
        <f t="array" ref="H2202">IFERROR(INDEX(DB!P$2:P$2576,T2202),"")</f>
        <v/>
      </c>
      <c r="I2202" s="43"/>
      <c r="J2202" s="53" t="str" cm="1">
        <f t="array" ref="J2202">IFERROR(INDEX(DB!Q$2:Q$2576,T2202),"")</f>
        <v/>
      </c>
      <c r="K2202" s="43"/>
      <c r="L2202" s="41" t="str" cm="1">
        <f t="array" ref="L2202">IFERROR(INDEX(DB!R$2:R$2576,T2202),"")</f>
        <v/>
      </c>
      <c r="M2202" s="43"/>
      <c r="P2202" t="str" cm="1">
        <f t="array" ref="P2202">IFERROR(_xlfn.AGGREGATE(15,6,ROW(DB!A$2:A$2576)/((($D$3&lt;&gt;"YES")+($D$3="YES")*(DB!E$2:E$2576="YES"))*(($D$4="")+($D$4&lt;&gt;"")*( DB!B$2:B$2576=$D$4))*(($D$5="")+($D$5&lt;&gt;"")*( DB!C$2:C$2576=$D$5))*(($D$6="")+($D$6&lt;&gt;"")*( DB!D$2:D$2576=$D$6))*(($D$7="")+($D$7&lt;&gt;"")*(ISNUMBER(SEARCH($D$7,DB!G$2:G$2576))))*(($F$7="전체")+($F$7&lt;&gt;"전체")*(DB!H$2:H$2576=$F$7))),ROW()-13)-1,"")</f>
        <v/>
      </c>
      <c r="Q2202" t="str" cm="1">
        <f t="array" ref="Q2202">IFERROR(INDEX(DB!G$2:G$2576,P2202),"")</f>
        <v/>
      </c>
      <c r="R2202" t="str" cm="1">
        <f t="array" ref="R2202">IFERROR(INDEX(DB!O$2:O$2576,P2202),"")</f>
        <v/>
      </c>
      <c r="S2202" t="str">
        <f t="shared" si="105"/>
        <v/>
      </c>
      <c r="T2202" t="str">
        <f t="shared" si="106"/>
        <v/>
      </c>
    </row>
    <row r="2203" spans="1:20" ht="100" customHeight="1">
      <c r="A2203" s="26"/>
      <c r="B2203" s="42" t="str">
        <f t="shared" si="104"/>
        <v/>
      </c>
      <c r="C2203" s="43"/>
      <c r="D2203" s="51" t="str" cm="1">
        <f t="array" ref="D2203">IFERROR(INDEX(DB!G$2:G$2576,T2203),"")</f>
        <v/>
      </c>
      <c r="E2203" s="43"/>
      <c r="F2203" s="52" t="str" cm="1">
        <f t="array" ref="F2203">IFERROR(INDEX(DB!O$2:O$2576,T2203),"")</f>
        <v/>
      </c>
      <c r="G2203" s="43"/>
      <c r="H2203" s="40" t="str" cm="1">
        <f t="array" ref="H2203">IFERROR(INDEX(DB!P$2:P$2576,T2203),"")</f>
        <v/>
      </c>
      <c r="I2203" s="43"/>
      <c r="J2203" s="53" t="str" cm="1">
        <f t="array" ref="J2203">IFERROR(INDEX(DB!Q$2:Q$2576,T2203),"")</f>
        <v/>
      </c>
      <c r="K2203" s="43"/>
      <c r="L2203" s="41" t="str" cm="1">
        <f t="array" ref="L2203">IFERROR(INDEX(DB!R$2:R$2576,T2203),"")</f>
        <v/>
      </c>
      <c r="M2203" s="43"/>
      <c r="P2203" t="str" cm="1">
        <f t="array" ref="P2203">IFERROR(_xlfn.AGGREGATE(15,6,ROW(DB!A$2:A$2576)/((($D$3&lt;&gt;"YES")+($D$3="YES")*(DB!E$2:E$2576="YES"))*(($D$4="")+($D$4&lt;&gt;"")*( DB!B$2:B$2576=$D$4))*(($D$5="")+($D$5&lt;&gt;"")*( DB!C$2:C$2576=$D$5))*(($D$6="")+($D$6&lt;&gt;"")*( DB!D$2:D$2576=$D$6))*(($D$7="")+($D$7&lt;&gt;"")*(ISNUMBER(SEARCH($D$7,DB!G$2:G$2576))))*(($F$7="전체")+($F$7&lt;&gt;"전체")*(DB!H$2:H$2576=$F$7))),ROW()-13)-1,"")</f>
        <v/>
      </c>
      <c r="Q2203" t="str" cm="1">
        <f t="array" ref="Q2203">IFERROR(INDEX(DB!G$2:G$2576,P2203),"")</f>
        <v/>
      </c>
      <c r="R2203" t="str" cm="1">
        <f t="array" ref="R2203">IFERROR(INDEX(DB!O$2:O$2576,P2203),"")</f>
        <v/>
      </c>
      <c r="S2203" t="str">
        <f t="shared" si="105"/>
        <v/>
      </c>
      <c r="T2203" t="str">
        <f t="shared" si="106"/>
        <v/>
      </c>
    </row>
    <row r="2204" spans="1:20" ht="100" customHeight="1">
      <c r="A2204" s="26"/>
      <c r="B2204" s="39" t="str">
        <f t="shared" si="104"/>
        <v/>
      </c>
      <c r="C2204" s="43"/>
      <c r="D2204" s="51" t="str" cm="1">
        <f t="array" ref="D2204">IFERROR(INDEX(DB!G$2:G$2576,T2204),"")</f>
        <v/>
      </c>
      <c r="E2204" s="43"/>
      <c r="F2204" s="52" t="str" cm="1">
        <f t="array" ref="F2204">IFERROR(INDEX(DB!O$2:O$2576,T2204),"")</f>
        <v/>
      </c>
      <c r="G2204" s="43"/>
      <c r="H2204" s="40" t="str" cm="1">
        <f t="array" ref="H2204">IFERROR(INDEX(DB!P$2:P$2576,T2204),"")</f>
        <v/>
      </c>
      <c r="I2204" s="43"/>
      <c r="J2204" s="53" t="str" cm="1">
        <f t="array" ref="J2204">IFERROR(INDEX(DB!Q$2:Q$2576,T2204),"")</f>
        <v/>
      </c>
      <c r="K2204" s="43"/>
      <c r="L2204" s="41" t="str" cm="1">
        <f t="array" ref="L2204">IFERROR(INDEX(DB!R$2:R$2576,T2204),"")</f>
        <v/>
      </c>
      <c r="M2204" s="43"/>
      <c r="P2204" t="str" cm="1">
        <f t="array" ref="P2204">IFERROR(_xlfn.AGGREGATE(15,6,ROW(DB!A$2:A$2576)/((($D$3&lt;&gt;"YES")+($D$3="YES")*(DB!E$2:E$2576="YES"))*(($D$4="")+($D$4&lt;&gt;"")*( DB!B$2:B$2576=$D$4))*(($D$5="")+($D$5&lt;&gt;"")*( DB!C$2:C$2576=$D$5))*(($D$6="")+($D$6&lt;&gt;"")*( DB!D$2:D$2576=$D$6))*(($D$7="")+($D$7&lt;&gt;"")*(ISNUMBER(SEARCH($D$7,DB!G$2:G$2576))))*(($F$7="전체")+($F$7&lt;&gt;"전체")*(DB!H$2:H$2576=$F$7))),ROW()-13)-1,"")</f>
        <v/>
      </c>
      <c r="Q2204" t="str" cm="1">
        <f t="array" ref="Q2204">IFERROR(INDEX(DB!G$2:G$2576,P2204),"")</f>
        <v/>
      </c>
      <c r="R2204" t="str" cm="1">
        <f t="array" ref="R2204">IFERROR(INDEX(DB!O$2:O$2576,P2204),"")</f>
        <v/>
      </c>
      <c r="S2204" t="str">
        <f t="shared" si="105"/>
        <v/>
      </c>
      <c r="T2204" t="str">
        <f t="shared" si="106"/>
        <v/>
      </c>
    </row>
    <row r="2205" spans="1:20" ht="100" customHeight="1">
      <c r="A2205" s="26"/>
      <c r="B2205" s="42" t="str">
        <f t="shared" si="104"/>
        <v/>
      </c>
      <c r="C2205" s="43"/>
      <c r="D2205" s="51" t="str" cm="1">
        <f t="array" ref="D2205">IFERROR(INDEX(DB!G$2:G$2576,T2205),"")</f>
        <v/>
      </c>
      <c r="E2205" s="43"/>
      <c r="F2205" s="52" t="str" cm="1">
        <f t="array" ref="F2205">IFERROR(INDEX(DB!O$2:O$2576,T2205),"")</f>
        <v/>
      </c>
      <c r="G2205" s="43"/>
      <c r="H2205" s="40" t="str" cm="1">
        <f t="array" ref="H2205">IFERROR(INDEX(DB!P$2:P$2576,T2205),"")</f>
        <v/>
      </c>
      <c r="I2205" s="43"/>
      <c r="J2205" s="53" t="str" cm="1">
        <f t="array" ref="J2205">IFERROR(INDEX(DB!Q$2:Q$2576,T2205),"")</f>
        <v/>
      </c>
      <c r="K2205" s="43"/>
      <c r="L2205" s="41" t="str" cm="1">
        <f t="array" ref="L2205">IFERROR(INDEX(DB!R$2:R$2576,T2205),"")</f>
        <v/>
      </c>
      <c r="M2205" s="43"/>
      <c r="P2205" t="str" cm="1">
        <f t="array" ref="P2205">IFERROR(_xlfn.AGGREGATE(15,6,ROW(DB!A$2:A$2576)/((($D$3&lt;&gt;"YES")+($D$3="YES")*(DB!E$2:E$2576="YES"))*(($D$4="")+($D$4&lt;&gt;"")*( DB!B$2:B$2576=$D$4))*(($D$5="")+($D$5&lt;&gt;"")*( DB!C$2:C$2576=$D$5))*(($D$6="")+($D$6&lt;&gt;"")*( DB!D$2:D$2576=$D$6))*(($D$7="")+($D$7&lt;&gt;"")*(ISNUMBER(SEARCH($D$7,DB!G$2:G$2576))))*(($F$7="전체")+($F$7&lt;&gt;"전체")*(DB!H$2:H$2576=$F$7))),ROW()-13)-1,"")</f>
        <v/>
      </c>
      <c r="Q2205" t="str" cm="1">
        <f t="array" ref="Q2205">IFERROR(INDEX(DB!G$2:G$2576,P2205),"")</f>
        <v/>
      </c>
      <c r="R2205" t="str" cm="1">
        <f t="array" ref="R2205">IFERROR(INDEX(DB!O$2:O$2576,P2205),"")</f>
        <v/>
      </c>
      <c r="S2205" t="str">
        <f t="shared" si="105"/>
        <v/>
      </c>
      <c r="T2205" t="str">
        <f t="shared" si="106"/>
        <v/>
      </c>
    </row>
    <row r="2206" spans="1:20" ht="100" customHeight="1">
      <c r="A2206" s="26"/>
      <c r="B2206" s="39" t="str">
        <f t="shared" si="104"/>
        <v/>
      </c>
      <c r="C2206" s="43"/>
      <c r="D2206" s="51" t="str" cm="1">
        <f t="array" ref="D2206">IFERROR(INDEX(DB!G$2:G$2576,T2206),"")</f>
        <v/>
      </c>
      <c r="E2206" s="43"/>
      <c r="F2206" s="52" t="str" cm="1">
        <f t="array" ref="F2206">IFERROR(INDEX(DB!O$2:O$2576,T2206),"")</f>
        <v/>
      </c>
      <c r="G2206" s="43"/>
      <c r="H2206" s="40" t="str" cm="1">
        <f t="array" ref="H2206">IFERROR(INDEX(DB!P$2:P$2576,T2206),"")</f>
        <v/>
      </c>
      <c r="I2206" s="43"/>
      <c r="J2206" s="53" t="str" cm="1">
        <f t="array" ref="J2206">IFERROR(INDEX(DB!Q$2:Q$2576,T2206),"")</f>
        <v/>
      </c>
      <c r="K2206" s="43"/>
      <c r="L2206" s="41" t="str" cm="1">
        <f t="array" ref="L2206">IFERROR(INDEX(DB!R$2:R$2576,T2206),"")</f>
        <v/>
      </c>
      <c r="M2206" s="43"/>
      <c r="P2206" t="str" cm="1">
        <f t="array" ref="P2206">IFERROR(_xlfn.AGGREGATE(15,6,ROW(DB!A$2:A$2576)/((($D$3&lt;&gt;"YES")+($D$3="YES")*(DB!E$2:E$2576="YES"))*(($D$4="")+($D$4&lt;&gt;"")*( DB!B$2:B$2576=$D$4))*(($D$5="")+($D$5&lt;&gt;"")*( DB!C$2:C$2576=$D$5))*(($D$6="")+($D$6&lt;&gt;"")*( DB!D$2:D$2576=$D$6))*(($D$7="")+($D$7&lt;&gt;"")*(ISNUMBER(SEARCH($D$7,DB!G$2:G$2576))))*(($F$7="전체")+($F$7&lt;&gt;"전체")*(DB!H$2:H$2576=$F$7))),ROW()-13)-1,"")</f>
        <v/>
      </c>
      <c r="Q2206" t="str" cm="1">
        <f t="array" ref="Q2206">IFERROR(INDEX(DB!G$2:G$2576,P2206),"")</f>
        <v/>
      </c>
      <c r="R2206" t="str" cm="1">
        <f t="array" ref="R2206">IFERROR(INDEX(DB!O$2:O$2576,P2206),"")</f>
        <v/>
      </c>
      <c r="S2206" t="str">
        <f t="shared" si="105"/>
        <v/>
      </c>
      <c r="T2206" t="str">
        <f t="shared" si="106"/>
        <v/>
      </c>
    </row>
    <row r="2207" spans="1:20" ht="100" customHeight="1">
      <c r="A2207" s="26"/>
      <c r="B2207" s="42" t="str">
        <f t="shared" si="104"/>
        <v/>
      </c>
      <c r="C2207" s="43"/>
      <c r="D2207" s="51" t="str" cm="1">
        <f t="array" ref="D2207">IFERROR(INDEX(DB!G$2:G$2576,T2207),"")</f>
        <v/>
      </c>
      <c r="E2207" s="43"/>
      <c r="F2207" s="52" t="str" cm="1">
        <f t="array" ref="F2207">IFERROR(INDEX(DB!O$2:O$2576,T2207),"")</f>
        <v/>
      </c>
      <c r="G2207" s="43"/>
      <c r="H2207" s="40" t="str" cm="1">
        <f t="array" ref="H2207">IFERROR(INDEX(DB!P$2:P$2576,T2207),"")</f>
        <v/>
      </c>
      <c r="I2207" s="43"/>
      <c r="J2207" s="53" t="str" cm="1">
        <f t="array" ref="J2207">IFERROR(INDEX(DB!Q$2:Q$2576,T2207),"")</f>
        <v/>
      </c>
      <c r="K2207" s="43"/>
      <c r="L2207" s="41" t="str" cm="1">
        <f t="array" ref="L2207">IFERROR(INDEX(DB!R$2:R$2576,T2207),"")</f>
        <v/>
      </c>
      <c r="M2207" s="43"/>
      <c r="P2207" t="str" cm="1">
        <f t="array" ref="P2207">IFERROR(_xlfn.AGGREGATE(15,6,ROW(DB!A$2:A$2576)/((($D$3&lt;&gt;"YES")+($D$3="YES")*(DB!E$2:E$2576="YES"))*(($D$4="")+($D$4&lt;&gt;"")*( DB!B$2:B$2576=$D$4))*(($D$5="")+($D$5&lt;&gt;"")*( DB!C$2:C$2576=$D$5))*(($D$6="")+($D$6&lt;&gt;"")*( DB!D$2:D$2576=$D$6))*(($D$7="")+($D$7&lt;&gt;"")*(ISNUMBER(SEARCH($D$7,DB!G$2:G$2576))))*(($F$7="전체")+($F$7&lt;&gt;"전체")*(DB!H$2:H$2576=$F$7))),ROW()-13)-1,"")</f>
        <v/>
      </c>
      <c r="Q2207" t="str" cm="1">
        <f t="array" ref="Q2207">IFERROR(INDEX(DB!G$2:G$2576,P2207),"")</f>
        <v/>
      </c>
      <c r="R2207" t="str" cm="1">
        <f t="array" ref="R2207">IFERROR(INDEX(DB!O$2:O$2576,P2207),"")</f>
        <v/>
      </c>
      <c r="S2207" t="str">
        <f t="shared" si="105"/>
        <v/>
      </c>
      <c r="T2207" t="str">
        <f t="shared" si="106"/>
        <v/>
      </c>
    </row>
    <row r="2208" spans="1:20" ht="100" customHeight="1">
      <c r="A2208" s="26"/>
      <c r="B2208" s="39" t="str">
        <f t="shared" si="104"/>
        <v/>
      </c>
      <c r="C2208" s="43"/>
      <c r="D2208" s="51" t="str" cm="1">
        <f t="array" ref="D2208">IFERROR(INDEX(DB!G$2:G$2576,T2208),"")</f>
        <v/>
      </c>
      <c r="E2208" s="43"/>
      <c r="F2208" s="52" t="str" cm="1">
        <f t="array" ref="F2208">IFERROR(INDEX(DB!O$2:O$2576,T2208),"")</f>
        <v/>
      </c>
      <c r="G2208" s="43"/>
      <c r="H2208" s="40" t="str" cm="1">
        <f t="array" ref="H2208">IFERROR(INDEX(DB!P$2:P$2576,T2208),"")</f>
        <v/>
      </c>
      <c r="I2208" s="43"/>
      <c r="J2208" s="53" t="str" cm="1">
        <f t="array" ref="J2208">IFERROR(INDEX(DB!Q$2:Q$2576,T2208),"")</f>
        <v/>
      </c>
      <c r="K2208" s="43"/>
      <c r="L2208" s="41" t="str" cm="1">
        <f t="array" ref="L2208">IFERROR(INDEX(DB!R$2:R$2576,T2208),"")</f>
        <v/>
      </c>
      <c r="M2208" s="43"/>
      <c r="P2208" t="str" cm="1">
        <f t="array" ref="P2208">IFERROR(_xlfn.AGGREGATE(15,6,ROW(DB!A$2:A$2576)/((($D$3&lt;&gt;"YES")+($D$3="YES")*(DB!E$2:E$2576="YES"))*(($D$4="")+($D$4&lt;&gt;"")*( DB!B$2:B$2576=$D$4))*(($D$5="")+($D$5&lt;&gt;"")*( DB!C$2:C$2576=$D$5))*(($D$6="")+($D$6&lt;&gt;"")*( DB!D$2:D$2576=$D$6))*(($D$7="")+($D$7&lt;&gt;"")*(ISNUMBER(SEARCH($D$7,DB!G$2:G$2576))))*(($F$7="전체")+($F$7&lt;&gt;"전체")*(DB!H$2:H$2576=$F$7))),ROW()-13)-1,"")</f>
        <v/>
      </c>
      <c r="Q2208" t="str" cm="1">
        <f t="array" ref="Q2208">IFERROR(INDEX(DB!G$2:G$2576,P2208),"")</f>
        <v/>
      </c>
      <c r="R2208" t="str" cm="1">
        <f t="array" ref="R2208">IFERROR(INDEX(DB!O$2:O$2576,P2208),"")</f>
        <v/>
      </c>
      <c r="S2208" t="str">
        <f t="shared" si="105"/>
        <v/>
      </c>
      <c r="T2208" t="str">
        <f t="shared" si="106"/>
        <v/>
      </c>
    </row>
    <row r="2209" spans="1:20" ht="100" customHeight="1">
      <c r="A2209" s="26"/>
      <c r="B2209" s="42" t="str">
        <f t="shared" si="104"/>
        <v/>
      </c>
      <c r="C2209" s="43"/>
      <c r="D2209" s="51" t="str" cm="1">
        <f t="array" ref="D2209">IFERROR(INDEX(DB!G$2:G$2576,T2209),"")</f>
        <v/>
      </c>
      <c r="E2209" s="43"/>
      <c r="F2209" s="52" t="str" cm="1">
        <f t="array" ref="F2209">IFERROR(INDEX(DB!O$2:O$2576,T2209),"")</f>
        <v/>
      </c>
      <c r="G2209" s="43"/>
      <c r="H2209" s="40" t="str" cm="1">
        <f t="array" ref="H2209">IFERROR(INDEX(DB!P$2:P$2576,T2209),"")</f>
        <v/>
      </c>
      <c r="I2209" s="43"/>
      <c r="J2209" s="53" t="str" cm="1">
        <f t="array" ref="J2209">IFERROR(INDEX(DB!Q$2:Q$2576,T2209),"")</f>
        <v/>
      </c>
      <c r="K2209" s="43"/>
      <c r="L2209" s="41" t="str" cm="1">
        <f t="array" ref="L2209">IFERROR(INDEX(DB!R$2:R$2576,T2209),"")</f>
        <v/>
      </c>
      <c r="M2209" s="43"/>
      <c r="P2209" t="str" cm="1">
        <f t="array" ref="P2209">IFERROR(_xlfn.AGGREGATE(15,6,ROW(DB!A$2:A$2576)/((($D$3&lt;&gt;"YES")+($D$3="YES")*(DB!E$2:E$2576="YES"))*(($D$4="")+($D$4&lt;&gt;"")*( DB!B$2:B$2576=$D$4))*(($D$5="")+($D$5&lt;&gt;"")*( DB!C$2:C$2576=$D$5))*(($D$6="")+($D$6&lt;&gt;"")*( DB!D$2:D$2576=$D$6))*(($D$7="")+($D$7&lt;&gt;"")*(ISNUMBER(SEARCH($D$7,DB!G$2:G$2576))))*(($F$7="전체")+($F$7&lt;&gt;"전체")*(DB!H$2:H$2576=$F$7))),ROW()-13)-1,"")</f>
        <v/>
      </c>
      <c r="Q2209" t="str" cm="1">
        <f t="array" ref="Q2209">IFERROR(INDEX(DB!G$2:G$2576,P2209),"")</f>
        <v/>
      </c>
      <c r="R2209" t="str" cm="1">
        <f t="array" ref="R2209">IFERROR(INDEX(DB!O$2:O$2576,P2209),"")</f>
        <v/>
      </c>
      <c r="S2209" t="str">
        <f t="shared" si="105"/>
        <v/>
      </c>
      <c r="T2209" t="str">
        <f t="shared" si="106"/>
        <v/>
      </c>
    </row>
    <row r="2210" spans="1:20" ht="100" customHeight="1">
      <c r="A2210" s="26"/>
      <c r="B2210" s="39" t="str">
        <f t="shared" si="104"/>
        <v/>
      </c>
      <c r="C2210" s="43"/>
      <c r="D2210" s="51" t="str" cm="1">
        <f t="array" ref="D2210">IFERROR(INDEX(DB!G$2:G$2576,T2210),"")</f>
        <v/>
      </c>
      <c r="E2210" s="43"/>
      <c r="F2210" s="52" t="str" cm="1">
        <f t="array" ref="F2210">IFERROR(INDEX(DB!O$2:O$2576,T2210),"")</f>
        <v/>
      </c>
      <c r="G2210" s="43"/>
      <c r="H2210" s="40" t="str" cm="1">
        <f t="array" ref="H2210">IFERROR(INDEX(DB!P$2:P$2576,T2210),"")</f>
        <v/>
      </c>
      <c r="I2210" s="43"/>
      <c r="J2210" s="53" t="str" cm="1">
        <f t="array" ref="J2210">IFERROR(INDEX(DB!Q$2:Q$2576,T2210),"")</f>
        <v/>
      </c>
      <c r="K2210" s="43"/>
      <c r="L2210" s="41" t="str" cm="1">
        <f t="array" ref="L2210">IFERROR(INDEX(DB!R$2:R$2576,T2210),"")</f>
        <v/>
      </c>
      <c r="M2210" s="43"/>
      <c r="P2210" t="str" cm="1">
        <f t="array" ref="P2210">IFERROR(_xlfn.AGGREGATE(15,6,ROW(DB!A$2:A$2576)/((($D$3&lt;&gt;"YES")+($D$3="YES")*(DB!E$2:E$2576="YES"))*(($D$4="")+($D$4&lt;&gt;"")*( DB!B$2:B$2576=$D$4))*(($D$5="")+($D$5&lt;&gt;"")*( DB!C$2:C$2576=$D$5))*(($D$6="")+($D$6&lt;&gt;"")*( DB!D$2:D$2576=$D$6))*(($D$7="")+($D$7&lt;&gt;"")*(ISNUMBER(SEARCH($D$7,DB!G$2:G$2576))))*(($F$7="전체")+($F$7&lt;&gt;"전체")*(DB!H$2:H$2576=$F$7))),ROW()-13)-1,"")</f>
        <v/>
      </c>
      <c r="Q2210" t="str" cm="1">
        <f t="array" ref="Q2210">IFERROR(INDEX(DB!G$2:G$2576,P2210),"")</f>
        <v/>
      </c>
      <c r="R2210" t="str" cm="1">
        <f t="array" ref="R2210">IFERROR(INDEX(DB!O$2:O$2576,P2210),"")</f>
        <v/>
      </c>
      <c r="S2210" t="str">
        <f t="shared" si="105"/>
        <v/>
      </c>
      <c r="T2210" t="str">
        <f t="shared" si="106"/>
        <v/>
      </c>
    </row>
    <row r="2211" spans="1:20" ht="100" customHeight="1">
      <c r="A2211" s="26"/>
      <c r="B2211" s="42" t="str">
        <f t="shared" si="104"/>
        <v/>
      </c>
      <c r="C2211" s="43"/>
      <c r="D2211" s="51" t="str" cm="1">
        <f t="array" ref="D2211">IFERROR(INDEX(DB!G$2:G$2576,T2211),"")</f>
        <v/>
      </c>
      <c r="E2211" s="43"/>
      <c r="F2211" s="52" t="str" cm="1">
        <f t="array" ref="F2211">IFERROR(INDEX(DB!O$2:O$2576,T2211),"")</f>
        <v/>
      </c>
      <c r="G2211" s="43"/>
      <c r="H2211" s="40" t="str" cm="1">
        <f t="array" ref="H2211">IFERROR(INDEX(DB!P$2:P$2576,T2211),"")</f>
        <v/>
      </c>
      <c r="I2211" s="43"/>
      <c r="J2211" s="53" t="str" cm="1">
        <f t="array" ref="J2211">IFERROR(INDEX(DB!Q$2:Q$2576,T2211),"")</f>
        <v/>
      </c>
      <c r="K2211" s="43"/>
      <c r="L2211" s="41" t="str" cm="1">
        <f t="array" ref="L2211">IFERROR(INDEX(DB!R$2:R$2576,T2211),"")</f>
        <v/>
      </c>
      <c r="M2211" s="43"/>
      <c r="P2211" t="str" cm="1">
        <f t="array" ref="P2211">IFERROR(_xlfn.AGGREGATE(15,6,ROW(DB!A$2:A$2576)/((($D$3&lt;&gt;"YES")+($D$3="YES")*(DB!E$2:E$2576="YES"))*(($D$4="")+($D$4&lt;&gt;"")*( DB!B$2:B$2576=$D$4))*(($D$5="")+($D$5&lt;&gt;"")*( DB!C$2:C$2576=$D$5))*(($D$6="")+($D$6&lt;&gt;"")*( DB!D$2:D$2576=$D$6))*(($D$7="")+($D$7&lt;&gt;"")*(ISNUMBER(SEARCH($D$7,DB!G$2:G$2576))))*(($F$7="전체")+($F$7&lt;&gt;"전체")*(DB!H$2:H$2576=$F$7))),ROW()-13)-1,"")</f>
        <v/>
      </c>
      <c r="Q2211" t="str" cm="1">
        <f t="array" ref="Q2211">IFERROR(INDEX(DB!G$2:G$2576,P2211),"")</f>
        <v/>
      </c>
      <c r="R2211" t="str" cm="1">
        <f t="array" ref="R2211">IFERROR(INDEX(DB!O$2:O$2576,P2211),"")</f>
        <v/>
      </c>
      <c r="S2211" t="str">
        <f t="shared" si="105"/>
        <v/>
      </c>
      <c r="T2211" t="str">
        <f t="shared" si="106"/>
        <v/>
      </c>
    </row>
    <row r="2212" spans="1:20" ht="100" customHeight="1">
      <c r="A2212" s="26"/>
      <c r="B2212" s="39" t="str">
        <f t="shared" si="104"/>
        <v/>
      </c>
      <c r="C2212" s="43"/>
      <c r="D2212" s="51" t="str" cm="1">
        <f t="array" ref="D2212">IFERROR(INDEX(DB!G$2:G$2576,T2212),"")</f>
        <v/>
      </c>
      <c r="E2212" s="43"/>
      <c r="F2212" s="52" t="str" cm="1">
        <f t="array" ref="F2212">IFERROR(INDEX(DB!O$2:O$2576,T2212),"")</f>
        <v/>
      </c>
      <c r="G2212" s="43"/>
      <c r="H2212" s="40" t="str" cm="1">
        <f t="array" ref="H2212">IFERROR(INDEX(DB!P$2:P$2576,T2212),"")</f>
        <v/>
      </c>
      <c r="I2212" s="43"/>
      <c r="J2212" s="53" t="str" cm="1">
        <f t="array" ref="J2212">IFERROR(INDEX(DB!Q$2:Q$2576,T2212),"")</f>
        <v/>
      </c>
      <c r="K2212" s="43"/>
      <c r="L2212" s="41" t="str" cm="1">
        <f t="array" ref="L2212">IFERROR(INDEX(DB!R$2:R$2576,T2212),"")</f>
        <v/>
      </c>
      <c r="M2212" s="43"/>
      <c r="P2212" t="str" cm="1">
        <f t="array" ref="P2212">IFERROR(_xlfn.AGGREGATE(15,6,ROW(DB!A$2:A$2576)/((($D$3&lt;&gt;"YES")+($D$3="YES")*(DB!E$2:E$2576="YES"))*(($D$4="")+($D$4&lt;&gt;"")*( DB!B$2:B$2576=$D$4))*(($D$5="")+($D$5&lt;&gt;"")*( DB!C$2:C$2576=$D$5))*(($D$6="")+($D$6&lt;&gt;"")*( DB!D$2:D$2576=$D$6))*(($D$7="")+($D$7&lt;&gt;"")*(ISNUMBER(SEARCH($D$7,DB!G$2:G$2576))))*(($F$7="전체")+($F$7&lt;&gt;"전체")*(DB!H$2:H$2576=$F$7))),ROW()-13)-1,"")</f>
        <v/>
      </c>
      <c r="Q2212" t="str" cm="1">
        <f t="array" ref="Q2212">IFERROR(INDEX(DB!G$2:G$2576,P2212),"")</f>
        <v/>
      </c>
      <c r="R2212" t="str" cm="1">
        <f t="array" ref="R2212">IFERROR(INDEX(DB!O$2:O$2576,P2212),"")</f>
        <v/>
      </c>
      <c r="S2212" t="str">
        <f t="shared" si="105"/>
        <v/>
      </c>
      <c r="T2212" t="str">
        <f t="shared" si="106"/>
        <v/>
      </c>
    </row>
    <row r="2213" spans="1:20" ht="100" customHeight="1">
      <c r="A2213" s="26"/>
      <c r="B2213" s="42" t="str">
        <f t="shared" si="104"/>
        <v/>
      </c>
      <c r="C2213" s="43"/>
      <c r="D2213" s="51" t="str" cm="1">
        <f t="array" ref="D2213">IFERROR(INDEX(DB!G$2:G$2576,T2213),"")</f>
        <v/>
      </c>
      <c r="E2213" s="43"/>
      <c r="F2213" s="52" t="str" cm="1">
        <f t="array" ref="F2213">IFERROR(INDEX(DB!O$2:O$2576,T2213),"")</f>
        <v/>
      </c>
      <c r="G2213" s="43"/>
      <c r="H2213" s="40" t="str" cm="1">
        <f t="array" ref="H2213">IFERROR(INDEX(DB!P$2:P$2576,T2213),"")</f>
        <v/>
      </c>
      <c r="I2213" s="43"/>
      <c r="J2213" s="53" t="str" cm="1">
        <f t="array" ref="J2213">IFERROR(INDEX(DB!Q$2:Q$2576,T2213),"")</f>
        <v/>
      </c>
      <c r="K2213" s="43"/>
      <c r="L2213" s="41" t="str" cm="1">
        <f t="array" ref="L2213">IFERROR(INDEX(DB!R$2:R$2576,T2213),"")</f>
        <v/>
      </c>
      <c r="M2213" s="43"/>
      <c r="P2213" t="str" cm="1">
        <f t="array" ref="P2213">IFERROR(_xlfn.AGGREGATE(15,6,ROW(DB!A$2:A$2576)/((($D$3&lt;&gt;"YES")+($D$3="YES")*(DB!E$2:E$2576="YES"))*(($D$4="")+($D$4&lt;&gt;"")*( DB!B$2:B$2576=$D$4))*(($D$5="")+($D$5&lt;&gt;"")*( DB!C$2:C$2576=$D$5))*(($D$6="")+($D$6&lt;&gt;"")*( DB!D$2:D$2576=$D$6))*(($D$7="")+($D$7&lt;&gt;"")*(ISNUMBER(SEARCH($D$7,DB!G$2:G$2576))))*(($F$7="전체")+($F$7&lt;&gt;"전체")*(DB!H$2:H$2576=$F$7))),ROW()-13)-1,"")</f>
        <v/>
      </c>
      <c r="Q2213" t="str" cm="1">
        <f t="array" ref="Q2213">IFERROR(INDEX(DB!G$2:G$2576,P2213),"")</f>
        <v/>
      </c>
      <c r="R2213" t="str" cm="1">
        <f t="array" ref="R2213">IFERROR(INDEX(DB!O$2:O$2576,P2213),"")</f>
        <v/>
      </c>
      <c r="S2213" t="str">
        <f t="shared" si="105"/>
        <v/>
      </c>
      <c r="T2213" t="str">
        <f t="shared" si="106"/>
        <v/>
      </c>
    </row>
    <row r="2214" spans="1:20" ht="100" customHeight="1">
      <c r="A2214" s="26"/>
      <c r="B2214" s="39" t="str">
        <f t="shared" si="104"/>
        <v/>
      </c>
      <c r="C2214" s="43"/>
      <c r="D2214" s="51" t="str" cm="1">
        <f t="array" ref="D2214">IFERROR(INDEX(DB!G$2:G$2576,T2214),"")</f>
        <v/>
      </c>
      <c r="E2214" s="43"/>
      <c r="F2214" s="52" t="str" cm="1">
        <f t="array" ref="F2214">IFERROR(INDEX(DB!O$2:O$2576,T2214),"")</f>
        <v/>
      </c>
      <c r="G2214" s="43"/>
      <c r="H2214" s="40" t="str" cm="1">
        <f t="array" ref="H2214">IFERROR(INDEX(DB!P$2:P$2576,T2214),"")</f>
        <v/>
      </c>
      <c r="I2214" s="43"/>
      <c r="J2214" s="53" t="str" cm="1">
        <f t="array" ref="J2214">IFERROR(INDEX(DB!Q$2:Q$2576,T2214),"")</f>
        <v/>
      </c>
      <c r="K2214" s="43"/>
      <c r="L2214" s="41" t="str" cm="1">
        <f t="array" ref="L2214">IFERROR(INDEX(DB!R$2:R$2576,T2214),"")</f>
        <v/>
      </c>
      <c r="M2214" s="43"/>
      <c r="P2214" t="str" cm="1">
        <f t="array" ref="P2214">IFERROR(_xlfn.AGGREGATE(15,6,ROW(DB!A$2:A$2576)/((($D$3&lt;&gt;"YES")+($D$3="YES")*(DB!E$2:E$2576="YES"))*(($D$4="")+($D$4&lt;&gt;"")*( DB!B$2:B$2576=$D$4))*(($D$5="")+($D$5&lt;&gt;"")*( DB!C$2:C$2576=$D$5))*(($D$6="")+($D$6&lt;&gt;"")*( DB!D$2:D$2576=$D$6))*(($D$7="")+($D$7&lt;&gt;"")*(ISNUMBER(SEARCH($D$7,DB!G$2:G$2576))))*(($F$7="전체")+($F$7&lt;&gt;"전체")*(DB!H$2:H$2576=$F$7))),ROW()-13)-1,"")</f>
        <v/>
      </c>
      <c r="Q2214" t="str" cm="1">
        <f t="array" ref="Q2214">IFERROR(INDEX(DB!G$2:G$2576,P2214),"")</f>
        <v/>
      </c>
      <c r="R2214" t="str" cm="1">
        <f t="array" ref="R2214">IFERROR(INDEX(DB!O$2:O$2576,P2214),"")</f>
        <v/>
      </c>
      <c r="S2214" t="str">
        <f t="shared" si="105"/>
        <v/>
      </c>
      <c r="T2214" t="str">
        <f t="shared" si="106"/>
        <v/>
      </c>
    </row>
    <row r="2215" spans="1:20" ht="100" customHeight="1">
      <c r="A2215" s="26"/>
      <c r="B2215" s="42" t="str">
        <f t="shared" si="104"/>
        <v/>
      </c>
      <c r="C2215" s="43"/>
      <c r="D2215" s="51" t="str" cm="1">
        <f t="array" ref="D2215">IFERROR(INDEX(DB!G$2:G$2576,T2215),"")</f>
        <v/>
      </c>
      <c r="E2215" s="43"/>
      <c r="F2215" s="52" t="str" cm="1">
        <f t="array" ref="F2215">IFERROR(INDEX(DB!O$2:O$2576,T2215),"")</f>
        <v/>
      </c>
      <c r="G2215" s="43"/>
      <c r="H2215" s="40" t="str" cm="1">
        <f t="array" ref="H2215">IFERROR(INDEX(DB!P$2:P$2576,T2215),"")</f>
        <v/>
      </c>
      <c r="I2215" s="43"/>
      <c r="J2215" s="53" t="str" cm="1">
        <f t="array" ref="J2215">IFERROR(INDEX(DB!Q$2:Q$2576,T2215),"")</f>
        <v/>
      </c>
      <c r="K2215" s="43"/>
      <c r="L2215" s="41" t="str" cm="1">
        <f t="array" ref="L2215">IFERROR(INDEX(DB!R$2:R$2576,T2215),"")</f>
        <v/>
      </c>
      <c r="M2215" s="43"/>
      <c r="P2215" t="str" cm="1">
        <f t="array" ref="P2215">IFERROR(_xlfn.AGGREGATE(15,6,ROW(DB!A$2:A$2576)/((($D$3&lt;&gt;"YES")+($D$3="YES")*(DB!E$2:E$2576="YES"))*(($D$4="")+($D$4&lt;&gt;"")*( DB!B$2:B$2576=$D$4))*(($D$5="")+($D$5&lt;&gt;"")*( DB!C$2:C$2576=$D$5))*(($D$6="")+($D$6&lt;&gt;"")*( DB!D$2:D$2576=$D$6))*(($D$7="")+($D$7&lt;&gt;"")*(ISNUMBER(SEARCH($D$7,DB!G$2:G$2576))))*(($F$7="전체")+($F$7&lt;&gt;"전체")*(DB!H$2:H$2576=$F$7))),ROW()-13)-1,"")</f>
        <v/>
      </c>
      <c r="Q2215" t="str" cm="1">
        <f t="array" ref="Q2215">IFERROR(INDEX(DB!G$2:G$2576,P2215),"")</f>
        <v/>
      </c>
      <c r="R2215" t="str" cm="1">
        <f t="array" ref="R2215">IFERROR(INDEX(DB!O$2:O$2576,P2215),"")</f>
        <v/>
      </c>
      <c r="S2215" t="str">
        <f t="shared" si="105"/>
        <v/>
      </c>
      <c r="T2215" t="str">
        <f t="shared" si="106"/>
        <v/>
      </c>
    </row>
    <row r="2216" spans="1:20" ht="100" customHeight="1">
      <c r="A2216" s="26"/>
      <c r="B2216" s="39" t="str">
        <f t="shared" si="104"/>
        <v/>
      </c>
      <c r="C2216" s="43"/>
      <c r="D2216" s="51" t="str" cm="1">
        <f t="array" ref="D2216">IFERROR(INDEX(DB!G$2:G$2576,T2216),"")</f>
        <v/>
      </c>
      <c r="E2216" s="43"/>
      <c r="F2216" s="52" t="str" cm="1">
        <f t="array" ref="F2216">IFERROR(INDEX(DB!O$2:O$2576,T2216),"")</f>
        <v/>
      </c>
      <c r="G2216" s="43"/>
      <c r="H2216" s="40" t="str" cm="1">
        <f t="array" ref="H2216">IFERROR(INDEX(DB!P$2:P$2576,T2216),"")</f>
        <v/>
      </c>
      <c r="I2216" s="43"/>
      <c r="J2216" s="53" t="str" cm="1">
        <f t="array" ref="J2216">IFERROR(INDEX(DB!Q$2:Q$2576,T2216),"")</f>
        <v/>
      </c>
      <c r="K2216" s="43"/>
      <c r="L2216" s="41" t="str" cm="1">
        <f t="array" ref="L2216">IFERROR(INDEX(DB!R$2:R$2576,T2216),"")</f>
        <v/>
      </c>
      <c r="M2216" s="43"/>
      <c r="P2216" t="str" cm="1">
        <f t="array" ref="P2216">IFERROR(_xlfn.AGGREGATE(15,6,ROW(DB!A$2:A$2576)/((($D$3&lt;&gt;"YES")+($D$3="YES")*(DB!E$2:E$2576="YES"))*(($D$4="")+($D$4&lt;&gt;"")*( DB!B$2:B$2576=$D$4))*(($D$5="")+($D$5&lt;&gt;"")*( DB!C$2:C$2576=$D$5))*(($D$6="")+($D$6&lt;&gt;"")*( DB!D$2:D$2576=$D$6))*(($D$7="")+($D$7&lt;&gt;"")*(ISNUMBER(SEARCH($D$7,DB!G$2:G$2576))))*(($F$7="전체")+($F$7&lt;&gt;"전체")*(DB!H$2:H$2576=$F$7))),ROW()-13)-1,"")</f>
        <v/>
      </c>
      <c r="Q2216" t="str" cm="1">
        <f t="array" ref="Q2216">IFERROR(INDEX(DB!G$2:G$2576,P2216),"")</f>
        <v/>
      </c>
      <c r="R2216" t="str" cm="1">
        <f t="array" ref="R2216">IFERROR(INDEX(DB!O$2:O$2576,P2216),"")</f>
        <v/>
      </c>
      <c r="S2216" t="str">
        <f t="shared" si="105"/>
        <v/>
      </c>
      <c r="T2216" t="str">
        <f t="shared" si="106"/>
        <v/>
      </c>
    </row>
    <row r="2217" spans="1:20" ht="100" customHeight="1">
      <c r="A2217" s="26"/>
      <c r="B2217" s="42" t="str">
        <f t="shared" si="104"/>
        <v/>
      </c>
      <c r="C2217" s="43"/>
      <c r="D2217" s="51" t="str" cm="1">
        <f t="array" ref="D2217">IFERROR(INDEX(DB!G$2:G$2576,T2217),"")</f>
        <v/>
      </c>
      <c r="E2217" s="43"/>
      <c r="F2217" s="52" t="str" cm="1">
        <f t="array" ref="F2217">IFERROR(INDEX(DB!O$2:O$2576,T2217),"")</f>
        <v/>
      </c>
      <c r="G2217" s="43"/>
      <c r="H2217" s="40" t="str" cm="1">
        <f t="array" ref="H2217">IFERROR(INDEX(DB!P$2:P$2576,T2217),"")</f>
        <v/>
      </c>
      <c r="I2217" s="43"/>
      <c r="J2217" s="53" t="str" cm="1">
        <f t="array" ref="J2217">IFERROR(INDEX(DB!Q$2:Q$2576,T2217),"")</f>
        <v/>
      </c>
      <c r="K2217" s="43"/>
      <c r="L2217" s="41" t="str" cm="1">
        <f t="array" ref="L2217">IFERROR(INDEX(DB!R$2:R$2576,T2217),"")</f>
        <v/>
      </c>
      <c r="M2217" s="43"/>
      <c r="P2217" t="str" cm="1">
        <f t="array" ref="P2217">IFERROR(_xlfn.AGGREGATE(15,6,ROW(DB!A$2:A$2576)/((($D$3&lt;&gt;"YES")+($D$3="YES")*(DB!E$2:E$2576="YES"))*(($D$4="")+($D$4&lt;&gt;"")*( DB!B$2:B$2576=$D$4))*(($D$5="")+($D$5&lt;&gt;"")*( DB!C$2:C$2576=$D$5))*(($D$6="")+($D$6&lt;&gt;"")*( DB!D$2:D$2576=$D$6))*(($D$7="")+($D$7&lt;&gt;"")*(ISNUMBER(SEARCH($D$7,DB!G$2:G$2576))))*(($F$7="전체")+($F$7&lt;&gt;"전체")*(DB!H$2:H$2576=$F$7))),ROW()-13)-1,"")</f>
        <v/>
      </c>
      <c r="Q2217" t="str" cm="1">
        <f t="array" ref="Q2217">IFERROR(INDEX(DB!G$2:G$2576,P2217),"")</f>
        <v/>
      </c>
      <c r="R2217" t="str" cm="1">
        <f t="array" ref="R2217">IFERROR(INDEX(DB!O$2:O$2576,P2217),"")</f>
        <v/>
      </c>
      <c r="S2217" t="str">
        <f t="shared" si="105"/>
        <v/>
      </c>
      <c r="T2217" t="str">
        <f t="shared" si="106"/>
        <v/>
      </c>
    </row>
    <row r="2218" spans="1:20" ht="100" customHeight="1">
      <c r="A2218" s="26"/>
      <c r="B2218" s="39" t="str">
        <f t="shared" si="104"/>
        <v/>
      </c>
      <c r="C2218" s="43"/>
      <c r="D2218" s="51" t="str" cm="1">
        <f t="array" ref="D2218">IFERROR(INDEX(DB!G$2:G$2576,T2218),"")</f>
        <v/>
      </c>
      <c r="E2218" s="43"/>
      <c r="F2218" s="52" t="str" cm="1">
        <f t="array" ref="F2218">IFERROR(INDEX(DB!O$2:O$2576,T2218),"")</f>
        <v/>
      </c>
      <c r="G2218" s="43"/>
      <c r="H2218" s="40" t="str" cm="1">
        <f t="array" ref="H2218">IFERROR(INDEX(DB!P$2:P$2576,T2218),"")</f>
        <v/>
      </c>
      <c r="I2218" s="43"/>
      <c r="J2218" s="53" t="str" cm="1">
        <f t="array" ref="J2218">IFERROR(INDEX(DB!Q$2:Q$2576,T2218),"")</f>
        <v/>
      </c>
      <c r="K2218" s="43"/>
      <c r="L2218" s="41" t="str" cm="1">
        <f t="array" ref="L2218">IFERROR(INDEX(DB!R$2:R$2576,T2218),"")</f>
        <v/>
      </c>
      <c r="M2218" s="43"/>
      <c r="P2218" t="str" cm="1">
        <f t="array" ref="P2218">IFERROR(_xlfn.AGGREGATE(15,6,ROW(DB!A$2:A$2576)/((($D$3&lt;&gt;"YES")+($D$3="YES")*(DB!E$2:E$2576="YES"))*(($D$4="")+($D$4&lt;&gt;"")*( DB!B$2:B$2576=$D$4))*(($D$5="")+($D$5&lt;&gt;"")*( DB!C$2:C$2576=$D$5))*(($D$6="")+($D$6&lt;&gt;"")*( DB!D$2:D$2576=$D$6))*(($D$7="")+($D$7&lt;&gt;"")*(ISNUMBER(SEARCH($D$7,DB!G$2:G$2576))))*(($F$7="전체")+($F$7&lt;&gt;"전체")*(DB!H$2:H$2576=$F$7))),ROW()-13)-1,"")</f>
        <v/>
      </c>
      <c r="Q2218" t="str" cm="1">
        <f t="array" ref="Q2218">IFERROR(INDEX(DB!G$2:G$2576,P2218),"")</f>
        <v/>
      </c>
      <c r="R2218" t="str" cm="1">
        <f t="array" ref="R2218">IFERROR(INDEX(DB!O$2:O$2576,P2218),"")</f>
        <v/>
      </c>
      <c r="S2218" t="str">
        <f t="shared" si="105"/>
        <v/>
      </c>
      <c r="T2218" t="str">
        <f t="shared" si="106"/>
        <v/>
      </c>
    </row>
    <row r="2219" spans="1:20" ht="100" customHeight="1">
      <c r="A2219" s="26"/>
      <c r="B2219" s="42" t="str">
        <f t="shared" si="104"/>
        <v/>
      </c>
      <c r="C2219" s="43"/>
      <c r="D2219" s="51" t="str" cm="1">
        <f t="array" ref="D2219">IFERROR(INDEX(DB!G$2:G$2576,T2219),"")</f>
        <v/>
      </c>
      <c r="E2219" s="43"/>
      <c r="F2219" s="52" t="str" cm="1">
        <f t="array" ref="F2219">IFERROR(INDEX(DB!O$2:O$2576,T2219),"")</f>
        <v/>
      </c>
      <c r="G2219" s="43"/>
      <c r="H2219" s="40" t="str" cm="1">
        <f t="array" ref="H2219">IFERROR(INDEX(DB!P$2:P$2576,T2219),"")</f>
        <v/>
      </c>
      <c r="I2219" s="43"/>
      <c r="J2219" s="53" t="str" cm="1">
        <f t="array" ref="J2219">IFERROR(INDEX(DB!Q$2:Q$2576,T2219),"")</f>
        <v/>
      </c>
      <c r="K2219" s="43"/>
      <c r="L2219" s="41" t="str" cm="1">
        <f t="array" ref="L2219">IFERROR(INDEX(DB!R$2:R$2576,T2219),"")</f>
        <v/>
      </c>
      <c r="M2219" s="43"/>
      <c r="P2219" t="str" cm="1">
        <f t="array" ref="P2219">IFERROR(_xlfn.AGGREGATE(15,6,ROW(DB!A$2:A$2576)/((($D$3&lt;&gt;"YES")+($D$3="YES")*(DB!E$2:E$2576="YES"))*(($D$4="")+($D$4&lt;&gt;"")*( DB!B$2:B$2576=$D$4))*(($D$5="")+($D$5&lt;&gt;"")*( DB!C$2:C$2576=$D$5))*(($D$6="")+($D$6&lt;&gt;"")*( DB!D$2:D$2576=$D$6))*(($D$7="")+($D$7&lt;&gt;"")*(ISNUMBER(SEARCH($D$7,DB!G$2:G$2576))))*(($F$7="전체")+($F$7&lt;&gt;"전체")*(DB!H$2:H$2576=$F$7))),ROW()-13)-1,"")</f>
        <v/>
      </c>
      <c r="Q2219" t="str" cm="1">
        <f t="array" ref="Q2219">IFERROR(INDEX(DB!G$2:G$2576,P2219),"")</f>
        <v/>
      </c>
      <c r="R2219" t="str" cm="1">
        <f t="array" ref="R2219">IFERROR(INDEX(DB!O$2:O$2576,P2219),"")</f>
        <v/>
      </c>
      <c r="S2219" t="str">
        <f t="shared" si="105"/>
        <v/>
      </c>
      <c r="T2219" t="str">
        <f t="shared" si="106"/>
        <v/>
      </c>
    </row>
    <row r="2220" spans="1:20" ht="100" customHeight="1">
      <c r="A2220" s="26"/>
      <c r="B2220" s="39" t="str">
        <f t="shared" si="104"/>
        <v/>
      </c>
      <c r="C2220" s="43"/>
      <c r="D2220" s="51" t="str" cm="1">
        <f t="array" ref="D2220">IFERROR(INDEX(DB!G$2:G$2576,T2220),"")</f>
        <v/>
      </c>
      <c r="E2220" s="43"/>
      <c r="F2220" s="52" t="str" cm="1">
        <f t="array" ref="F2220">IFERROR(INDEX(DB!O$2:O$2576,T2220),"")</f>
        <v/>
      </c>
      <c r="G2220" s="43"/>
      <c r="H2220" s="40" t="str" cm="1">
        <f t="array" ref="H2220">IFERROR(INDEX(DB!P$2:P$2576,T2220),"")</f>
        <v/>
      </c>
      <c r="I2220" s="43"/>
      <c r="J2220" s="53" t="str" cm="1">
        <f t="array" ref="J2220">IFERROR(INDEX(DB!Q$2:Q$2576,T2220),"")</f>
        <v/>
      </c>
      <c r="K2220" s="43"/>
      <c r="L2220" s="41" t="str" cm="1">
        <f t="array" ref="L2220">IFERROR(INDEX(DB!R$2:R$2576,T2220),"")</f>
        <v/>
      </c>
      <c r="M2220" s="43"/>
      <c r="P2220" t="str" cm="1">
        <f t="array" ref="P2220">IFERROR(_xlfn.AGGREGATE(15,6,ROW(DB!A$2:A$2576)/((($D$3&lt;&gt;"YES")+($D$3="YES")*(DB!E$2:E$2576="YES"))*(($D$4="")+($D$4&lt;&gt;"")*( DB!B$2:B$2576=$D$4))*(($D$5="")+($D$5&lt;&gt;"")*( DB!C$2:C$2576=$D$5))*(($D$6="")+($D$6&lt;&gt;"")*( DB!D$2:D$2576=$D$6))*(($D$7="")+($D$7&lt;&gt;"")*(ISNUMBER(SEARCH($D$7,DB!G$2:G$2576))))*(($F$7="전체")+($F$7&lt;&gt;"전체")*(DB!H$2:H$2576=$F$7))),ROW()-13)-1,"")</f>
        <v/>
      </c>
      <c r="Q2220" t="str" cm="1">
        <f t="array" ref="Q2220">IFERROR(INDEX(DB!G$2:G$2576,P2220),"")</f>
        <v/>
      </c>
      <c r="R2220" t="str" cm="1">
        <f t="array" ref="R2220">IFERROR(INDEX(DB!O$2:O$2576,P2220),"")</f>
        <v/>
      </c>
      <c r="S2220" t="str">
        <f t="shared" si="105"/>
        <v/>
      </c>
      <c r="T2220" t="str">
        <f t="shared" si="106"/>
        <v/>
      </c>
    </row>
    <row r="2221" spans="1:20" ht="100" customHeight="1">
      <c r="A2221" s="26"/>
      <c r="B2221" s="42" t="str">
        <f t="shared" si="104"/>
        <v/>
      </c>
      <c r="C2221" s="43"/>
      <c r="D2221" s="51" t="str" cm="1">
        <f t="array" ref="D2221">IFERROR(INDEX(DB!G$2:G$2576,T2221),"")</f>
        <v/>
      </c>
      <c r="E2221" s="43"/>
      <c r="F2221" s="52" t="str" cm="1">
        <f t="array" ref="F2221">IFERROR(INDEX(DB!O$2:O$2576,T2221),"")</f>
        <v/>
      </c>
      <c r="G2221" s="43"/>
      <c r="H2221" s="40" t="str" cm="1">
        <f t="array" ref="H2221">IFERROR(INDEX(DB!P$2:P$2576,T2221),"")</f>
        <v/>
      </c>
      <c r="I2221" s="43"/>
      <c r="J2221" s="53" t="str" cm="1">
        <f t="array" ref="J2221">IFERROR(INDEX(DB!Q$2:Q$2576,T2221),"")</f>
        <v/>
      </c>
      <c r="K2221" s="43"/>
      <c r="L2221" s="41" t="str" cm="1">
        <f t="array" ref="L2221">IFERROR(INDEX(DB!R$2:R$2576,T2221),"")</f>
        <v/>
      </c>
      <c r="M2221" s="43"/>
      <c r="P2221" t="str" cm="1">
        <f t="array" ref="P2221">IFERROR(_xlfn.AGGREGATE(15,6,ROW(DB!A$2:A$2576)/((($D$3&lt;&gt;"YES")+($D$3="YES")*(DB!E$2:E$2576="YES"))*(($D$4="")+($D$4&lt;&gt;"")*( DB!B$2:B$2576=$D$4))*(($D$5="")+($D$5&lt;&gt;"")*( DB!C$2:C$2576=$D$5))*(($D$6="")+($D$6&lt;&gt;"")*( DB!D$2:D$2576=$D$6))*(($D$7="")+($D$7&lt;&gt;"")*(ISNUMBER(SEARCH($D$7,DB!G$2:G$2576))))*(($F$7="전체")+($F$7&lt;&gt;"전체")*(DB!H$2:H$2576=$F$7))),ROW()-13)-1,"")</f>
        <v/>
      </c>
      <c r="Q2221" t="str" cm="1">
        <f t="array" ref="Q2221">IFERROR(INDEX(DB!G$2:G$2576,P2221),"")</f>
        <v/>
      </c>
      <c r="R2221" t="str" cm="1">
        <f t="array" ref="R2221">IFERROR(INDEX(DB!O$2:O$2576,P2221),"")</f>
        <v/>
      </c>
      <c r="S2221" t="str">
        <f t="shared" si="105"/>
        <v/>
      </c>
      <c r="T2221" t="str">
        <f t="shared" si="106"/>
        <v/>
      </c>
    </row>
    <row r="2222" spans="1:20" ht="100" customHeight="1">
      <c r="A2222" s="26"/>
      <c r="B2222" s="39" t="str">
        <f t="shared" si="104"/>
        <v/>
      </c>
      <c r="C2222" s="43"/>
      <c r="D2222" s="51" t="str" cm="1">
        <f t="array" ref="D2222">IFERROR(INDEX(DB!G$2:G$2576,T2222),"")</f>
        <v/>
      </c>
      <c r="E2222" s="43"/>
      <c r="F2222" s="52" t="str" cm="1">
        <f t="array" ref="F2222">IFERROR(INDEX(DB!O$2:O$2576,T2222),"")</f>
        <v/>
      </c>
      <c r="G2222" s="43"/>
      <c r="H2222" s="40" t="str" cm="1">
        <f t="array" ref="H2222">IFERROR(INDEX(DB!P$2:P$2576,T2222),"")</f>
        <v/>
      </c>
      <c r="I2222" s="43"/>
      <c r="J2222" s="53" t="str" cm="1">
        <f t="array" ref="J2222">IFERROR(INDEX(DB!Q$2:Q$2576,T2222),"")</f>
        <v/>
      </c>
      <c r="K2222" s="43"/>
      <c r="L2222" s="41" t="str" cm="1">
        <f t="array" ref="L2222">IFERROR(INDEX(DB!R$2:R$2576,T2222),"")</f>
        <v/>
      </c>
      <c r="M2222" s="43"/>
      <c r="P2222" t="str" cm="1">
        <f t="array" ref="P2222">IFERROR(_xlfn.AGGREGATE(15,6,ROW(DB!A$2:A$2576)/((($D$3&lt;&gt;"YES")+($D$3="YES")*(DB!E$2:E$2576="YES"))*(($D$4="")+($D$4&lt;&gt;"")*( DB!B$2:B$2576=$D$4))*(($D$5="")+($D$5&lt;&gt;"")*( DB!C$2:C$2576=$D$5))*(($D$6="")+($D$6&lt;&gt;"")*( DB!D$2:D$2576=$D$6))*(($D$7="")+($D$7&lt;&gt;"")*(ISNUMBER(SEARCH($D$7,DB!G$2:G$2576))))*(($F$7="전체")+($F$7&lt;&gt;"전체")*(DB!H$2:H$2576=$F$7))),ROW()-13)-1,"")</f>
        <v/>
      </c>
      <c r="Q2222" t="str" cm="1">
        <f t="array" ref="Q2222">IFERROR(INDEX(DB!G$2:G$2576,P2222),"")</f>
        <v/>
      </c>
      <c r="R2222" t="str" cm="1">
        <f t="array" ref="R2222">IFERROR(INDEX(DB!O$2:O$2576,P2222),"")</f>
        <v/>
      </c>
      <c r="S2222" t="str">
        <f t="shared" si="105"/>
        <v/>
      </c>
      <c r="T2222" t="str">
        <f t="shared" si="106"/>
        <v/>
      </c>
    </row>
    <row r="2223" spans="1:20" ht="100" customHeight="1">
      <c r="A2223" s="26"/>
      <c r="B2223" s="42" t="str">
        <f t="shared" si="104"/>
        <v/>
      </c>
      <c r="C2223" s="43"/>
      <c r="D2223" s="51" t="str" cm="1">
        <f t="array" ref="D2223">IFERROR(INDEX(DB!G$2:G$2576,T2223),"")</f>
        <v/>
      </c>
      <c r="E2223" s="43"/>
      <c r="F2223" s="52" t="str" cm="1">
        <f t="array" ref="F2223">IFERROR(INDEX(DB!O$2:O$2576,T2223),"")</f>
        <v/>
      </c>
      <c r="G2223" s="43"/>
      <c r="H2223" s="40" t="str" cm="1">
        <f t="array" ref="H2223">IFERROR(INDEX(DB!P$2:P$2576,T2223),"")</f>
        <v/>
      </c>
      <c r="I2223" s="43"/>
      <c r="J2223" s="53" t="str" cm="1">
        <f t="array" ref="J2223">IFERROR(INDEX(DB!Q$2:Q$2576,T2223),"")</f>
        <v/>
      </c>
      <c r="K2223" s="43"/>
      <c r="L2223" s="41" t="str" cm="1">
        <f t="array" ref="L2223">IFERROR(INDEX(DB!R$2:R$2576,T2223),"")</f>
        <v/>
      </c>
      <c r="M2223" s="43"/>
      <c r="P2223" t="str" cm="1">
        <f t="array" ref="P2223">IFERROR(_xlfn.AGGREGATE(15,6,ROW(DB!A$2:A$2576)/((($D$3&lt;&gt;"YES")+($D$3="YES")*(DB!E$2:E$2576="YES"))*(($D$4="")+($D$4&lt;&gt;"")*( DB!B$2:B$2576=$D$4))*(($D$5="")+($D$5&lt;&gt;"")*( DB!C$2:C$2576=$D$5))*(($D$6="")+($D$6&lt;&gt;"")*( DB!D$2:D$2576=$D$6))*(($D$7="")+($D$7&lt;&gt;"")*(ISNUMBER(SEARCH($D$7,DB!G$2:G$2576))))*(($F$7="전체")+($F$7&lt;&gt;"전체")*(DB!H$2:H$2576=$F$7))),ROW()-13)-1,"")</f>
        <v/>
      </c>
      <c r="Q2223" t="str" cm="1">
        <f t="array" ref="Q2223">IFERROR(INDEX(DB!G$2:G$2576,P2223),"")</f>
        <v/>
      </c>
      <c r="R2223" t="str" cm="1">
        <f t="array" ref="R2223">IFERROR(INDEX(DB!O$2:O$2576,P2223),"")</f>
        <v/>
      </c>
      <c r="S2223" t="str">
        <f t="shared" si="105"/>
        <v/>
      </c>
      <c r="T2223" t="str">
        <f t="shared" si="106"/>
        <v/>
      </c>
    </row>
    <row r="2224" spans="1:20" ht="100" customHeight="1">
      <c r="A2224" s="26"/>
      <c r="B2224" s="39" t="str">
        <f t="shared" si="104"/>
        <v/>
      </c>
      <c r="C2224" s="43"/>
      <c r="D2224" s="51" t="str" cm="1">
        <f t="array" ref="D2224">IFERROR(INDEX(DB!G$2:G$2576,T2224),"")</f>
        <v/>
      </c>
      <c r="E2224" s="43"/>
      <c r="F2224" s="52" t="str" cm="1">
        <f t="array" ref="F2224">IFERROR(INDEX(DB!O$2:O$2576,T2224),"")</f>
        <v/>
      </c>
      <c r="G2224" s="43"/>
      <c r="H2224" s="40" t="str" cm="1">
        <f t="array" ref="H2224">IFERROR(INDEX(DB!P$2:P$2576,T2224),"")</f>
        <v/>
      </c>
      <c r="I2224" s="43"/>
      <c r="J2224" s="53" t="str" cm="1">
        <f t="array" ref="J2224">IFERROR(INDEX(DB!Q$2:Q$2576,T2224),"")</f>
        <v/>
      </c>
      <c r="K2224" s="43"/>
      <c r="L2224" s="41" t="str" cm="1">
        <f t="array" ref="L2224">IFERROR(INDEX(DB!R$2:R$2576,T2224),"")</f>
        <v/>
      </c>
      <c r="M2224" s="43"/>
      <c r="P2224" t="str" cm="1">
        <f t="array" ref="P2224">IFERROR(_xlfn.AGGREGATE(15,6,ROW(DB!A$2:A$2576)/((($D$3&lt;&gt;"YES")+($D$3="YES")*(DB!E$2:E$2576="YES"))*(($D$4="")+($D$4&lt;&gt;"")*( DB!B$2:B$2576=$D$4))*(($D$5="")+($D$5&lt;&gt;"")*( DB!C$2:C$2576=$D$5))*(($D$6="")+($D$6&lt;&gt;"")*( DB!D$2:D$2576=$D$6))*(($D$7="")+($D$7&lt;&gt;"")*(ISNUMBER(SEARCH($D$7,DB!G$2:G$2576))))*(($F$7="전체")+($F$7&lt;&gt;"전체")*(DB!H$2:H$2576=$F$7))),ROW()-13)-1,"")</f>
        <v/>
      </c>
      <c r="Q2224" t="str" cm="1">
        <f t="array" ref="Q2224">IFERROR(INDEX(DB!G$2:G$2576,P2224),"")</f>
        <v/>
      </c>
      <c r="R2224" t="str" cm="1">
        <f t="array" ref="R2224">IFERROR(INDEX(DB!O$2:O$2576,P2224),"")</f>
        <v/>
      </c>
      <c r="S2224" t="str">
        <f t="shared" si="105"/>
        <v/>
      </c>
      <c r="T2224" t="str">
        <f t="shared" si="106"/>
        <v/>
      </c>
    </row>
    <row r="2225" spans="1:20" ht="100" customHeight="1">
      <c r="A2225" s="26"/>
      <c r="B2225" s="42" t="str">
        <f t="shared" si="104"/>
        <v/>
      </c>
      <c r="C2225" s="43"/>
      <c r="D2225" s="51" t="str" cm="1">
        <f t="array" ref="D2225">IFERROR(INDEX(DB!G$2:G$2576,T2225),"")</f>
        <v/>
      </c>
      <c r="E2225" s="43"/>
      <c r="F2225" s="52" t="str" cm="1">
        <f t="array" ref="F2225">IFERROR(INDEX(DB!O$2:O$2576,T2225),"")</f>
        <v/>
      </c>
      <c r="G2225" s="43"/>
      <c r="H2225" s="40" t="str" cm="1">
        <f t="array" ref="H2225">IFERROR(INDEX(DB!P$2:P$2576,T2225),"")</f>
        <v/>
      </c>
      <c r="I2225" s="43"/>
      <c r="J2225" s="53" t="str" cm="1">
        <f t="array" ref="J2225">IFERROR(INDEX(DB!Q$2:Q$2576,T2225),"")</f>
        <v/>
      </c>
      <c r="K2225" s="43"/>
      <c r="L2225" s="41" t="str" cm="1">
        <f t="array" ref="L2225">IFERROR(INDEX(DB!R$2:R$2576,T2225),"")</f>
        <v/>
      </c>
      <c r="M2225" s="43"/>
      <c r="P2225" t="str" cm="1">
        <f t="array" ref="P2225">IFERROR(_xlfn.AGGREGATE(15,6,ROW(DB!A$2:A$2576)/((($D$3&lt;&gt;"YES")+($D$3="YES")*(DB!E$2:E$2576="YES"))*(($D$4="")+($D$4&lt;&gt;"")*( DB!B$2:B$2576=$D$4))*(($D$5="")+($D$5&lt;&gt;"")*( DB!C$2:C$2576=$D$5))*(($D$6="")+($D$6&lt;&gt;"")*( DB!D$2:D$2576=$D$6))*(($D$7="")+($D$7&lt;&gt;"")*(ISNUMBER(SEARCH($D$7,DB!G$2:G$2576))))*(($F$7="전체")+($F$7&lt;&gt;"전체")*(DB!H$2:H$2576=$F$7))),ROW()-13)-1,"")</f>
        <v/>
      </c>
      <c r="Q2225" t="str" cm="1">
        <f t="array" ref="Q2225">IFERROR(INDEX(DB!G$2:G$2576,P2225),"")</f>
        <v/>
      </c>
      <c r="R2225" t="str" cm="1">
        <f t="array" ref="R2225">IFERROR(INDEX(DB!O$2:O$2576,P2225),"")</f>
        <v/>
      </c>
      <c r="S2225" t="str">
        <f t="shared" si="105"/>
        <v/>
      </c>
      <c r="T2225" t="str">
        <f t="shared" si="106"/>
        <v/>
      </c>
    </row>
    <row r="2226" spans="1:20" ht="100" customHeight="1">
      <c r="A2226" s="26"/>
      <c r="B2226" s="39" t="str">
        <f t="shared" si="104"/>
        <v/>
      </c>
      <c r="C2226" s="43"/>
      <c r="D2226" s="51" t="str" cm="1">
        <f t="array" ref="D2226">IFERROR(INDEX(DB!G$2:G$2576,T2226),"")</f>
        <v/>
      </c>
      <c r="E2226" s="43"/>
      <c r="F2226" s="52" t="str" cm="1">
        <f t="array" ref="F2226">IFERROR(INDEX(DB!O$2:O$2576,T2226),"")</f>
        <v/>
      </c>
      <c r="G2226" s="43"/>
      <c r="H2226" s="40" t="str" cm="1">
        <f t="array" ref="H2226">IFERROR(INDEX(DB!P$2:P$2576,T2226),"")</f>
        <v/>
      </c>
      <c r="I2226" s="43"/>
      <c r="J2226" s="53" t="str" cm="1">
        <f t="array" ref="J2226">IFERROR(INDEX(DB!Q$2:Q$2576,T2226),"")</f>
        <v/>
      </c>
      <c r="K2226" s="43"/>
      <c r="L2226" s="41" t="str" cm="1">
        <f t="array" ref="L2226">IFERROR(INDEX(DB!R$2:R$2576,T2226),"")</f>
        <v/>
      </c>
      <c r="M2226" s="43"/>
      <c r="P2226" t="str" cm="1">
        <f t="array" ref="P2226">IFERROR(_xlfn.AGGREGATE(15,6,ROW(DB!A$2:A$2576)/((($D$3&lt;&gt;"YES")+($D$3="YES")*(DB!E$2:E$2576="YES"))*(($D$4="")+($D$4&lt;&gt;"")*( DB!B$2:B$2576=$D$4))*(($D$5="")+($D$5&lt;&gt;"")*( DB!C$2:C$2576=$D$5))*(($D$6="")+($D$6&lt;&gt;"")*( DB!D$2:D$2576=$D$6))*(($D$7="")+($D$7&lt;&gt;"")*(ISNUMBER(SEARCH($D$7,DB!G$2:G$2576))))*(($F$7="전체")+($F$7&lt;&gt;"전체")*(DB!H$2:H$2576=$F$7))),ROW()-13)-1,"")</f>
        <v/>
      </c>
      <c r="Q2226" t="str" cm="1">
        <f t="array" ref="Q2226">IFERROR(INDEX(DB!G$2:G$2576,P2226),"")</f>
        <v/>
      </c>
      <c r="R2226" t="str" cm="1">
        <f t="array" ref="R2226">IFERROR(INDEX(DB!O$2:O$2576,P2226),"")</f>
        <v/>
      </c>
      <c r="S2226" t="str">
        <f t="shared" si="105"/>
        <v/>
      </c>
      <c r="T2226" t="str">
        <f t="shared" si="106"/>
        <v/>
      </c>
    </row>
    <row r="2227" spans="1:20" ht="100" customHeight="1">
      <c r="A2227" s="26"/>
      <c r="B2227" s="42" t="str">
        <f t="shared" si="104"/>
        <v/>
      </c>
      <c r="C2227" s="43"/>
      <c r="D2227" s="51" t="str" cm="1">
        <f t="array" ref="D2227">IFERROR(INDEX(DB!G$2:G$2576,T2227),"")</f>
        <v/>
      </c>
      <c r="E2227" s="43"/>
      <c r="F2227" s="52" t="str" cm="1">
        <f t="array" ref="F2227">IFERROR(INDEX(DB!O$2:O$2576,T2227),"")</f>
        <v/>
      </c>
      <c r="G2227" s="43"/>
      <c r="H2227" s="40" t="str" cm="1">
        <f t="array" ref="H2227">IFERROR(INDEX(DB!P$2:P$2576,T2227),"")</f>
        <v/>
      </c>
      <c r="I2227" s="43"/>
      <c r="J2227" s="53" t="str" cm="1">
        <f t="array" ref="J2227">IFERROR(INDEX(DB!Q$2:Q$2576,T2227),"")</f>
        <v/>
      </c>
      <c r="K2227" s="43"/>
      <c r="L2227" s="41" t="str" cm="1">
        <f t="array" ref="L2227">IFERROR(INDEX(DB!R$2:R$2576,T2227),"")</f>
        <v/>
      </c>
      <c r="M2227" s="43"/>
      <c r="P2227" t="str" cm="1">
        <f t="array" ref="P2227">IFERROR(_xlfn.AGGREGATE(15,6,ROW(DB!A$2:A$2576)/((($D$3&lt;&gt;"YES")+($D$3="YES")*(DB!E$2:E$2576="YES"))*(($D$4="")+($D$4&lt;&gt;"")*( DB!B$2:B$2576=$D$4))*(($D$5="")+($D$5&lt;&gt;"")*( DB!C$2:C$2576=$D$5))*(($D$6="")+($D$6&lt;&gt;"")*( DB!D$2:D$2576=$D$6))*(($D$7="")+($D$7&lt;&gt;"")*(ISNUMBER(SEARCH($D$7,DB!G$2:G$2576))))*(($F$7="전체")+($F$7&lt;&gt;"전체")*(DB!H$2:H$2576=$F$7))),ROW()-13)-1,"")</f>
        <v/>
      </c>
      <c r="Q2227" t="str" cm="1">
        <f t="array" ref="Q2227">IFERROR(INDEX(DB!G$2:G$2576,P2227),"")</f>
        <v/>
      </c>
      <c r="R2227" t="str" cm="1">
        <f t="array" ref="R2227">IFERROR(INDEX(DB!O$2:O$2576,P2227),"")</f>
        <v/>
      </c>
      <c r="S2227" t="str">
        <f t="shared" si="105"/>
        <v/>
      </c>
      <c r="T2227" t="str">
        <f t="shared" si="106"/>
        <v/>
      </c>
    </row>
    <row r="2228" spans="1:20" ht="100" customHeight="1">
      <c r="A2228" s="26"/>
      <c r="B2228" s="39" t="str">
        <f t="shared" si="104"/>
        <v/>
      </c>
      <c r="C2228" s="43"/>
      <c r="D2228" s="51" t="str" cm="1">
        <f t="array" ref="D2228">IFERROR(INDEX(DB!G$2:G$2576,T2228),"")</f>
        <v/>
      </c>
      <c r="E2228" s="43"/>
      <c r="F2228" s="52" t="str" cm="1">
        <f t="array" ref="F2228">IFERROR(INDEX(DB!O$2:O$2576,T2228),"")</f>
        <v/>
      </c>
      <c r="G2228" s="43"/>
      <c r="H2228" s="40" t="str" cm="1">
        <f t="array" ref="H2228">IFERROR(INDEX(DB!P$2:P$2576,T2228),"")</f>
        <v/>
      </c>
      <c r="I2228" s="43"/>
      <c r="J2228" s="53" t="str" cm="1">
        <f t="array" ref="J2228">IFERROR(INDEX(DB!Q$2:Q$2576,T2228),"")</f>
        <v/>
      </c>
      <c r="K2228" s="43"/>
      <c r="L2228" s="41" t="str" cm="1">
        <f t="array" ref="L2228">IFERROR(INDEX(DB!R$2:R$2576,T2228),"")</f>
        <v/>
      </c>
      <c r="M2228" s="43"/>
      <c r="P2228" t="str" cm="1">
        <f t="array" ref="P2228">IFERROR(_xlfn.AGGREGATE(15,6,ROW(DB!A$2:A$2576)/((($D$3&lt;&gt;"YES")+($D$3="YES")*(DB!E$2:E$2576="YES"))*(($D$4="")+($D$4&lt;&gt;"")*( DB!B$2:B$2576=$D$4))*(($D$5="")+($D$5&lt;&gt;"")*( DB!C$2:C$2576=$D$5))*(($D$6="")+($D$6&lt;&gt;"")*( DB!D$2:D$2576=$D$6))*(($D$7="")+($D$7&lt;&gt;"")*(ISNUMBER(SEARCH($D$7,DB!G$2:G$2576))))*(($F$7="전체")+($F$7&lt;&gt;"전체")*(DB!H$2:H$2576=$F$7))),ROW()-13)-1,"")</f>
        <v/>
      </c>
      <c r="Q2228" t="str" cm="1">
        <f t="array" ref="Q2228">IFERROR(INDEX(DB!G$2:G$2576,P2228),"")</f>
        <v/>
      </c>
      <c r="R2228" t="str" cm="1">
        <f t="array" ref="R2228">IFERROR(INDEX(DB!O$2:O$2576,P2228),"")</f>
        <v/>
      </c>
      <c r="S2228" t="str">
        <f t="shared" si="105"/>
        <v/>
      </c>
      <c r="T2228" t="str">
        <f t="shared" si="106"/>
        <v/>
      </c>
    </row>
    <row r="2229" spans="1:20" ht="100" customHeight="1">
      <c r="A2229" s="26"/>
      <c r="B2229" s="42" t="str">
        <f t="shared" si="104"/>
        <v/>
      </c>
      <c r="C2229" s="43"/>
      <c r="D2229" s="51" t="str" cm="1">
        <f t="array" ref="D2229">IFERROR(INDEX(DB!G$2:G$2576,T2229),"")</f>
        <v/>
      </c>
      <c r="E2229" s="43"/>
      <c r="F2229" s="52" t="str" cm="1">
        <f t="array" ref="F2229">IFERROR(INDEX(DB!O$2:O$2576,T2229),"")</f>
        <v/>
      </c>
      <c r="G2229" s="43"/>
      <c r="H2229" s="40" t="str" cm="1">
        <f t="array" ref="H2229">IFERROR(INDEX(DB!P$2:P$2576,T2229),"")</f>
        <v/>
      </c>
      <c r="I2229" s="43"/>
      <c r="J2229" s="53" t="str" cm="1">
        <f t="array" ref="J2229">IFERROR(INDEX(DB!Q$2:Q$2576,T2229),"")</f>
        <v/>
      </c>
      <c r="K2229" s="43"/>
      <c r="L2229" s="41" t="str" cm="1">
        <f t="array" ref="L2229">IFERROR(INDEX(DB!R$2:R$2576,T2229),"")</f>
        <v/>
      </c>
      <c r="M2229" s="43"/>
      <c r="P2229" t="str" cm="1">
        <f t="array" ref="P2229">IFERROR(_xlfn.AGGREGATE(15,6,ROW(DB!A$2:A$2576)/((($D$3&lt;&gt;"YES")+($D$3="YES")*(DB!E$2:E$2576="YES"))*(($D$4="")+($D$4&lt;&gt;"")*( DB!B$2:B$2576=$D$4))*(($D$5="")+($D$5&lt;&gt;"")*( DB!C$2:C$2576=$D$5))*(($D$6="")+($D$6&lt;&gt;"")*( DB!D$2:D$2576=$D$6))*(($D$7="")+($D$7&lt;&gt;"")*(ISNUMBER(SEARCH($D$7,DB!G$2:G$2576))))*(($F$7="전체")+($F$7&lt;&gt;"전체")*(DB!H$2:H$2576=$F$7))),ROW()-13)-1,"")</f>
        <v/>
      </c>
      <c r="Q2229" t="str" cm="1">
        <f t="array" ref="Q2229">IFERROR(INDEX(DB!G$2:G$2576,P2229),"")</f>
        <v/>
      </c>
      <c r="R2229" t="str" cm="1">
        <f t="array" ref="R2229">IFERROR(INDEX(DB!O$2:O$2576,P2229),"")</f>
        <v/>
      </c>
      <c r="S2229" t="str">
        <f t="shared" si="105"/>
        <v/>
      </c>
      <c r="T2229" t="str">
        <f t="shared" si="106"/>
        <v/>
      </c>
    </row>
    <row r="2230" spans="1:20" ht="100" customHeight="1">
      <c r="A2230" s="26"/>
      <c r="B2230" s="39" t="str">
        <f t="shared" si="104"/>
        <v/>
      </c>
      <c r="C2230" s="43"/>
      <c r="D2230" s="51" t="str" cm="1">
        <f t="array" ref="D2230">IFERROR(INDEX(DB!G$2:G$2576,T2230),"")</f>
        <v/>
      </c>
      <c r="E2230" s="43"/>
      <c r="F2230" s="52" t="str" cm="1">
        <f t="array" ref="F2230">IFERROR(INDEX(DB!O$2:O$2576,T2230),"")</f>
        <v/>
      </c>
      <c r="G2230" s="43"/>
      <c r="H2230" s="40" t="str" cm="1">
        <f t="array" ref="H2230">IFERROR(INDEX(DB!P$2:P$2576,T2230),"")</f>
        <v/>
      </c>
      <c r="I2230" s="43"/>
      <c r="J2230" s="53" t="str" cm="1">
        <f t="array" ref="J2230">IFERROR(INDEX(DB!Q$2:Q$2576,T2230),"")</f>
        <v/>
      </c>
      <c r="K2230" s="43"/>
      <c r="L2230" s="41" t="str" cm="1">
        <f t="array" ref="L2230">IFERROR(INDEX(DB!R$2:R$2576,T2230),"")</f>
        <v/>
      </c>
      <c r="M2230" s="43"/>
      <c r="P2230" t="str" cm="1">
        <f t="array" ref="P2230">IFERROR(_xlfn.AGGREGATE(15,6,ROW(DB!A$2:A$2576)/((($D$3&lt;&gt;"YES")+($D$3="YES")*(DB!E$2:E$2576="YES"))*(($D$4="")+($D$4&lt;&gt;"")*( DB!B$2:B$2576=$D$4))*(($D$5="")+($D$5&lt;&gt;"")*( DB!C$2:C$2576=$D$5))*(($D$6="")+($D$6&lt;&gt;"")*( DB!D$2:D$2576=$D$6))*(($D$7="")+($D$7&lt;&gt;"")*(ISNUMBER(SEARCH($D$7,DB!G$2:G$2576))))*(($F$7="전체")+($F$7&lt;&gt;"전체")*(DB!H$2:H$2576=$F$7))),ROW()-13)-1,"")</f>
        <v/>
      </c>
      <c r="Q2230" t="str" cm="1">
        <f t="array" ref="Q2230">IFERROR(INDEX(DB!G$2:G$2576,P2230),"")</f>
        <v/>
      </c>
      <c r="R2230" t="str" cm="1">
        <f t="array" ref="R2230">IFERROR(INDEX(DB!O$2:O$2576,P2230),"")</f>
        <v/>
      </c>
      <c r="S2230" t="str">
        <f t="shared" si="105"/>
        <v/>
      </c>
      <c r="T2230" t="str">
        <f t="shared" si="106"/>
        <v/>
      </c>
    </row>
    <row r="2231" spans="1:20" ht="100" customHeight="1">
      <c r="A2231" s="26"/>
      <c r="B2231" s="42" t="str">
        <f t="shared" si="104"/>
        <v/>
      </c>
      <c r="C2231" s="43"/>
      <c r="D2231" s="51" t="str" cm="1">
        <f t="array" ref="D2231">IFERROR(INDEX(DB!G$2:G$2576,T2231),"")</f>
        <v/>
      </c>
      <c r="E2231" s="43"/>
      <c r="F2231" s="52" t="str" cm="1">
        <f t="array" ref="F2231">IFERROR(INDEX(DB!O$2:O$2576,T2231),"")</f>
        <v/>
      </c>
      <c r="G2231" s="43"/>
      <c r="H2231" s="40" t="str" cm="1">
        <f t="array" ref="H2231">IFERROR(INDEX(DB!P$2:P$2576,T2231),"")</f>
        <v/>
      </c>
      <c r="I2231" s="43"/>
      <c r="J2231" s="53" t="str" cm="1">
        <f t="array" ref="J2231">IFERROR(INDEX(DB!Q$2:Q$2576,T2231),"")</f>
        <v/>
      </c>
      <c r="K2231" s="43"/>
      <c r="L2231" s="41" t="str" cm="1">
        <f t="array" ref="L2231">IFERROR(INDEX(DB!R$2:R$2576,T2231),"")</f>
        <v/>
      </c>
      <c r="M2231" s="43"/>
      <c r="P2231" t="str" cm="1">
        <f t="array" ref="P2231">IFERROR(_xlfn.AGGREGATE(15,6,ROW(DB!A$2:A$2576)/((($D$3&lt;&gt;"YES")+($D$3="YES")*(DB!E$2:E$2576="YES"))*(($D$4="")+($D$4&lt;&gt;"")*( DB!B$2:B$2576=$D$4))*(($D$5="")+($D$5&lt;&gt;"")*( DB!C$2:C$2576=$D$5))*(($D$6="")+($D$6&lt;&gt;"")*( DB!D$2:D$2576=$D$6))*(($D$7="")+($D$7&lt;&gt;"")*(ISNUMBER(SEARCH($D$7,DB!G$2:G$2576))))*(($F$7="전체")+($F$7&lt;&gt;"전체")*(DB!H$2:H$2576=$F$7))),ROW()-13)-1,"")</f>
        <v/>
      </c>
      <c r="Q2231" t="str" cm="1">
        <f t="array" ref="Q2231">IFERROR(INDEX(DB!G$2:G$2576,P2231),"")</f>
        <v/>
      </c>
      <c r="R2231" t="str" cm="1">
        <f t="array" ref="R2231">IFERROR(INDEX(DB!O$2:O$2576,P2231),"")</f>
        <v/>
      </c>
      <c r="S2231" t="str">
        <f t="shared" si="105"/>
        <v/>
      </c>
      <c r="T2231" t="str">
        <f t="shared" si="106"/>
        <v/>
      </c>
    </row>
    <row r="2232" spans="1:20" ht="100" customHeight="1">
      <c r="A2232" s="26"/>
      <c r="B2232" s="39" t="str">
        <f t="shared" si="104"/>
        <v/>
      </c>
      <c r="C2232" s="43"/>
      <c r="D2232" s="51" t="str" cm="1">
        <f t="array" ref="D2232">IFERROR(INDEX(DB!G$2:G$2576,T2232),"")</f>
        <v/>
      </c>
      <c r="E2232" s="43"/>
      <c r="F2232" s="52" t="str" cm="1">
        <f t="array" ref="F2232">IFERROR(INDEX(DB!O$2:O$2576,T2232),"")</f>
        <v/>
      </c>
      <c r="G2232" s="43"/>
      <c r="H2232" s="40" t="str" cm="1">
        <f t="array" ref="H2232">IFERROR(INDEX(DB!P$2:P$2576,T2232),"")</f>
        <v/>
      </c>
      <c r="I2232" s="43"/>
      <c r="J2232" s="53" t="str" cm="1">
        <f t="array" ref="J2232">IFERROR(INDEX(DB!Q$2:Q$2576,T2232),"")</f>
        <v/>
      </c>
      <c r="K2232" s="43"/>
      <c r="L2232" s="41" t="str" cm="1">
        <f t="array" ref="L2232">IFERROR(INDEX(DB!R$2:R$2576,T2232),"")</f>
        <v/>
      </c>
      <c r="M2232" s="43"/>
      <c r="P2232" t="str" cm="1">
        <f t="array" ref="P2232">IFERROR(_xlfn.AGGREGATE(15,6,ROW(DB!A$2:A$2576)/((($D$3&lt;&gt;"YES")+($D$3="YES")*(DB!E$2:E$2576="YES"))*(($D$4="")+($D$4&lt;&gt;"")*( DB!B$2:B$2576=$D$4))*(($D$5="")+($D$5&lt;&gt;"")*( DB!C$2:C$2576=$D$5))*(($D$6="")+($D$6&lt;&gt;"")*( DB!D$2:D$2576=$D$6))*(($D$7="")+($D$7&lt;&gt;"")*(ISNUMBER(SEARCH($D$7,DB!G$2:G$2576))))*(($F$7="전체")+($F$7&lt;&gt;"전체")*(DB!H$2:H$2576=$F$7))),ROW()-13)-1,"")</f>
        <v/>
      </c>
      <c r="Q2232" t="str" cm="1">
        <f t="array" ref="Q2232">IFERROR(INDEX(DB!G$2:G$2576,P2232),"")</f>
        <v/>
      </c>
      <c r="R2232" t="str" cm="1">
        <f t="array" ref="R2232">IFERROR(INDEX(DB!O$2:O$2576,P2232),"")</f>
        <v/>
      </c>
      <c r="S2232" t="str">
        <f t="shared" si="105"/>
        <v/>
      </c>
      <c r="T2232" t="str">
        <f t="shared" si="106"/>
        <v/>
      </c>
    </row>
    <row r="2233" spans="1:20" ht="100" customHeight="1">
      <c r="A2233" s="26"/>
      <c r="B2233" s="42" t="str">
        <f t="shared" si="104"/>
        <v/>
      </c>
      <c r="C2233" s="43"/>
      <c r="D2233" s="51" t="str" cm="1">
        <f t="array" ref="D2233">IFERROR(INDEX(DB!G$2:G$2576,T2233),"")</f>
        <v/>
      </c>
      <c r="E2233" s="43"/>
      <c r="F2233" s="52" t="str" cm="1">
        <f t="array" ref="F2233">IFERROR(INDEX(DB!O$2:O$2576,T2233),"")</f>
        <v/>
      </c>
      <c r="G2233" s="43"/>
      <c r="H2233" s="40" t="str" cm="1">
        <f t="array" ref="H2233">IFERROR(INDEX(DB!P$2:P$2576,T2233),"")</f>
        <v/>
      </c>
      <c r="I2233" s="43"/>
      <c r="J2233" s="53" t="str" cm="1">
        <f t="array" ref="J2233">IFERROR(INDEX(DB!Q$2:Q$2576,T2233),"")</f>
        <v/>
      </c>
      <c r="K2233" s="43"/>
      <c r="L2233" s="41" t="str" cm="1">
        <f t="array" ref="L2233">IFERROR(INDEX(DB!R$2:R$2576,T2233),"")</f>
        <v/>
      </c>
      <c r="M2233" s="43"/>
      <c r="P2233" t="str" cm="1">
        <f t="array" ref="P2233">IFERROR(_xlfn.AGGREGATE(15,6,ROW(DB!A$2:A$2576)/((($D$3&lt;&gt;"YES")+($D$3="YES")*(DB!E$2:E$2576="YES"))*(($D$4="")+($D$4&lt;&gt;"")*( DB!B$2:B$2576=$D$4))*(($D$5="")+($D$5&lt;&gt;"")*( DB!C$2:C$2576=$D$5))*(($D$6="")+($D$6&lt;&gt;"")*( DB!D$2:D$2576=$D$6))*(($D$7="")+($D$7&lt;&gt;"")*(ISNUMBER(SEARCH($D$7,DB!G$2:G$2576))))*(($F$7="전체")+($F$7&lt;&gt;"전체")*(DB!H$2:H$2576=$F$7))),ROW()-13)-1,"")</f>
        <v/>
      </c>
      <c r="Q2233" t="str" cm="1">
        <f t="array" ref="Q2233">IFERROR(INDEX(DB!G$2:G$2576,P2233),"")</f>
        <v/>
      </c>
      <c r="R2233" t="str" cm="1">
        <f t="array" ref="R2233">IFERROR(INDEX(DB!O$2:O$2576,P2233),"")</f>
        <v/>
      </c>
      <c r="S2233" t="str">
        <f t="shared" si="105"/>
        <v/>
      </c>
      <c r="T2233" t="str">
        <f t="shared" si="106"/>
        <v/>
      </c>
    </row>
    <row r="2234" spans="1:20" ht="100" customHeight="1">
      <c r="A2234" s="26"/>
      <c r="B2234" s="39" t="str">
        <f t="shared" si="104"/>
        <v/>
      </c>
      <c r="C2234" s="43"/>
      <c r="D2234" s="51" t="str" cm="1">
        <f t="array" ref="D2234">IFERROR(INDEX(DB!G$2:G$2576,T2234),"")</f>
        <v/>
      </c>
      <c r="E2234" s="43"/>
      <c r="F2234" s="52" t="str" cm="1">
        <f t="array" ref="F2234">IFERROR(INDEX(DB!O$2:O$2576,T2234),"")</f>
        <v/>
      </c>
      <c r="G2234" s="43"/>
      <c r="H2234" s="40" t="str" cm="1">
        <f t="array" ref="H2234">IFERROR(INDEX(DB!P$2:P$2576,T2234),"")</f>
        <v/>
      </c>
      <c r="I2234" s="43"/>
      <c r="J2234" s="53" t="str" cm="1">
        <f t="array" ref="J2234">IFERROR(INDEX(DB!Q$2:Q$2576,T2234),"")</f>
        <v/>
      </c>
      <c r="K2234" s="43"/>
      <c r="L2234" s="41" t="str" cm="1">
        <f t="array" ref="L2234">IFERROR(INDEX(DB!R$2:R$2576,T2234),"")</f>
        <v/>
      </c>
      <c r="M2234" s="43"/>
      <c r="P2234" t="str" cm="1">
        <f t="array" ref="P2234">IFERROR(_xlfn.AGGREGATE(15,6,ROW(DB!A$2:A$2576)/((($D$3&lt;&gt;"YES")+($D$3="YES")*(DB!E$2:E$2576="YES"))*(($D$4="")+($D$4&lt;&gt;"")*( DB!B$2:B$2576=$D$4))*(($D$5="")+($D$5&lt;&gt;"")*( DB!C$2:C$2576=$D$5))*(($D$6="")+($D$6&lt;&gt;"")*( DB!D$2:D$2576=$D$6))*(($D$7="")+($D$7&lt;&gt;"")*(ISNUMBER(SEARCH($D$7,DB!G$2:G$2576))))*(($F$7="전체")+($F$7&lt;&gt;"전체")*(DB!H$2:H$2576=$F$7))),ROW()-13)-1,"")</f>
        <v/>
      </c>
      <c r="Q2234" t="str" cm="1">
        <f t="array" ref="Q2234">IFERROR(INDEX(DB!G$2:G$2576,P2234),"")</f>
        <v/>
      </c>
      <c r="R2234" t="str" cm="1">
        <f t="array" ref="R2234">IFERROR(INDEX(DB!O$2:O$2576,P2234),"")</f>
        <v/>
      </c>
      <c r="S2234" t="str">
        <f t="shared" si="105"/>
        <v/>
      </c>
      <c r="T2234" t="str">
        <f t="shared" si="106"/>
        <v/>
      </c>
    </row>
    <row r="2235" spans="1:20" ht="100" customHeight="1">
      <c r="A2235" s="26"/>
      <c r="B2235" s="42" t="str">
        <f t="shared" si="104"/>
        <v/>
      </c>
      <c r="C2235" s="43"/>
      <c r="D2235" s="51" t="str" cm="1">
        <f t="array" ref="D2235">IFERROR(INDEX(DB!G$2:G$2576,T2235),"")</f>
        <v/>
      </c>
      <c r="E2235" s="43"/>
      <c r="F2235" s="52" t="str" cm="1">
        <f t="array" ref="F2235">IFERROR(INDEX(DB!O$2:O$2576,T2235),"")</f>
        <v/>
      </c>
      <c r="G2235" s="43"/>
      <c r="H2235" s="40" t="str" cm="1">
        <f t="array" ref="H2235">IFERROR(INDEX(DB!P$2:P$2576,T2235),"")</f>
        <v/>
      </c>
      <c r="I2235" s="43"/>
      <c r="J2235" s="53" t="str" cm="1">
        <f t="array" ref="J2235">IFERROR(INDEX(DB!Q$2:Q$2576,T2235),"")</f>
        <v/>
      </c>
      <c r="K2235" s="43"/>
      <c r="L2235" s="41" t="str" cm="1">
        <f t="array" ref="L2235">IFERROR(INDEX(DB!R$2:R$2576,T2235),"")</f>
        <v/>
      </c>
      <c r="M2235" s="43"/>
      <c r="P2235" t="str" cm="1">
        <f t="array" ref="P2235">IFERROR(_xlfn.AGGREGATE(15,6,ROW(DB!A$2:A$2576)/((($D$3&lt;&gt;"YES")+($D$3="YES")*(DB!E$2:E$2576="YES"))*(($D$4="")+($D$4&lt;&gt;"")*( DB!B$2:B$2576=$D$4))*(($D$5="")+($D$5&lt;&gt;"")*( DB!C$2:C$2576=$D$5))*(($D$6="")+($D$6&lt;&gt;"")*( DB!D$2:D$2576=$D$6))*(($D$7="")+($D$7&lt;&gt;"")*(ISNUMBER(SEARCH($D$7,DB!G$2:G$2576))))*(($F$7="전체")+($F$7&lt;&gt;"전체")*(DB!H$2:H$2576=$F$7))),ROW()-13)-1,"")</f>
        <v/>
      </c>
      <c r="Q2235" t="str" cm="1">
        <f t="array" ref="Q2235">IFERROR(INDEX(DB!G$2:G$2576,P2235),"")</f>
        <v/>
      </c>
      <c r="R2235" t="str" cm="1">
        <f t="array" ref="R2235">IFERROR(INDEX(DB!O$2:O$2576,P2235),"")</f>
        <v/>
      </c>
      <c r="S2235" t="str">
        <f t="shared" si="105"/>
        <v/>
      </c>
      <c r="T2235" t="str">
        <f t="shared" si="106"/>
        <v/>
      </c>
    </row>
    <row r="2236" spans="1:20" ht="100" customHeight="1">
      <c r="A2236" s="26"/>
      <c r="B2236" s="39" t="str">
        <f t="shared" si="104"/>
        <v/>
      </c>
      <c r="C2236" s="43"/>
      <c r="D2236" s="51" t="str" cm="1">
        <f t="array" ref="D2236">IFERROR(INDEX(DB!G$2:G$2576,T2236),"")</f>
        <v/>
      </c>
      <c r="E2236" s="43"/>
      <c r="F2236" s="52" t="str" cm="1">
        <f t="array" ref="F2236">IFERROR(INDEX(DB!O$2:O$2576,T2236),"")</f>
        <v/>
      </c>
      <c r="G2236" s="43"/>
      <c r="H2236" s="40" t="str" cm="1">
        <f t="array" ref="H2236">IFERROR(INDEX(DB!P$2:P$2576,T2236),"")</f>
        <v/>
      </c>
      <c r="I2236" s="43"/>
      <c r="J2236" s="53" t="str" cm="1">
        <f t="array" ref="J2236">IFERROR(INDEX(DB!Q$2:Q$2576,T2236),"")</f>
        <v/>
      </c>
      <c r="K2236" s="43"/>
      <c r="L2236" s="41" t="str" cm="1">
        <f t="array" ref="L2236">IFERROR(INDEX(DB!R$2:R$2576,T2236),"")</f>
        <v/>
      </c>
      <c r="M2236" s="43"/>
      <c r="P2236" t="str" cm="1">
        <f t="array" ref="P2236">IFERROR(_xlfn.AGGREGATE(15,6,ROW(DB!A$2:A$2576)/((($D$3&lt;&gt;"YES")+($D$3="YES")*(DB!E$2:E$2576="YES"))*(($D$4="")+($D$4&lt;&gt;"")*( DB!B$2:B$2576=$D$4))*(($D$5="")+($D$5&lt;&gt;"")*( DB!C$2:C$2576=$D$5))*(($D$6="")+($D$6&lt;&gt;"")*( DB!D$2:D$2576=$D$6))*(($D$7="")+($D$7&lt;&gt;"")*(ISNUMBER(SEARCH($D$7,DB!G$2:G$2576))))*(($F$7="전체")+($F$7&lt;&gt;"전체")*(DB!H$2:H$2576=$F$7))),ROW()-13)-1,"")</f>
        <v/>
      </c>
      <c r="Q2236" t="str" cm="1">
        <f t="array" ref="Q2236">IFERROR(INDEX(DB!G$2:G$2576,P2236),"")</f>
        <v/>
      </c>
      <c r="R2236" t="str" cm="1">
        <f t="array" ref="R2236">IFERROR(INDEX(DB!O$2:O$2576,P2236),"")</f>
        <v/>
      </c>
      <c r="S2236" t="str">
        <f t="shared" si="105"/>
        <v/>
      </c>
      <c r="T2236" t="str">
        <f t="shared" si="106"/>
        <v/>
      </c>
    </row>
    <row r="2237" spans="1:20" ht="100" customHeight="1">
      <c r="A2237" s="26"/>
      <c r="B2237" s="42" t="str">
        <f t="shared" si="104"/>
        <v/>
      </c>
      <c r="C2237" s="43"/>
      <c r="D2237" s="51" t="str" cm="1">
        <f t="array" ref="D2237">IFERROR(INDEX(DB!G$2:G$2576,T2237),"")</f>
        <v/>
      </c>
      <c r="E2237" s="43"/>
      <c r="F2237" s="52" t="str" cm="1">
        <f t="array" ref="F2237">IFERROR(INDEX(DB!O$2:O$2576,T2237),"")</f>
        <v/>
      </c>
      <c r="G2237" s="43"/>
      <c r="H2237" s="40" t="str" cm="1">
        <f t="array" ref="H2237">IFERROR(INDEX(DB!P$2:P$2576,T2237),"")</f>
        <v/>
      </c>
      <c r="I2237" s="43"/>
      <c r="J2237" s="53" t="str" cm="1">
        <f t="array" ref="J2237">IFERROR(INDEX(DB!Q$2:Q$2576,T2237),"")</f>
        <v/>
      </c>
      <c r="K2237" s="43"/>
      <c r="L2237" s="41" t="str" cm="1">
        <f t="array" ref="L2237">IFERROR(INDEX(DB!R$2:R$2576,T2237),"")</f>
        <v/>
      </c>
      <c r="M2237" s="43"/>
      <c r="P2237" t="str" cm="1">
        <f t="array" ref="P2237">IFERROR(_xlfn.AGGREGATE(15,6,ROW(DB!A$2:A$2576)/((($D$3&lt;&gt;"YES")+($D$3="YES")*(DB!E$2:E$2576="YES"))*(($D$4="")+($D$4&lt;&gt;"")*( DB!B$2:B$2576=$D$4))*(($D$5="")+($D$5&lt;&gt;"")*( DB!C$2:C$2576=$D$5))*(($D$6="")+($D$6&lt;&gt;"")*( DB!D$2:D$2576=$D$6))*(($D$7="")+($D$7&lt;&gt;"")*(ISNUMBER(SEARCH($D$7,DB!G$2:G$2576))))*(($F$7="전체")+($F$7&lt;&gt;"전체")*(DB!H$2:H$2576=$F$7))),ROW()-13)-1,"")</f>
        <v/>
      </c>
      <c r="Q2237" t="str" cm="1">
        <f t="array" ref="Q2237">IFERROR(INDEX(DB!G$2:G$2576,P2237),"")</f>
        <v/>
      </c>
      <c r="R2237" t="str" cm="1">
        <f t="array" ref="R2237">IFERROR(INDEX(DB!O$2:O$2576,P2237),"")</f>
        <v/>
      </c>
      <c r="S2237" t="str">
        <f t="shared" si="105"/>
        <v/>
      </c>
      <c r="T2237" t="str">
        <f t="shared" si="106"/>
        <v/>
      </c>
    </row>
    <row r="2238" spans="1:20" ht="100" customHeight="1">
      <c r="A2238" s="26"/>
      <c r="B2238" s="39" t="str">
        <f t="shared" si="104"/>
        <v/>
      </c>
      <c r="C2238" s="43"/>
      <c r="D2238" s="51" t="str" cm="1">
        <f t="array" ref="D2238">IFERROR(INDEX(DB!G$2:G$2576,T2238),"")</f>
        <v/>
      </c>
      <c r="E2238" s="43"/>
      <c r="F2238" s="52" t="str" cm="1">
        <f t="array" ref="F2238">IFERROR(INDEX(DB!O$2:O$2576,T2238),"")</f>
        <v/>
      </c>
      <c r="G2238" s="43"/>
      <c r="H2238" s="40" t="str" cm="1">
        <f t="array" ref="H2238">IFERROR(INDEX(DB!P$2:P$2576,T2238),"")</f>
        <v/>
      </c>
      <c r="I2238" s="43"/>
      <c r="J2238" s="53" t="str" cm="1">
        <f t="array" ref="J2238">IFERROR(INDEX(DB!Q$2:Q$2576,T2238),"")</f>
        <v/>
      </c>
      <c r="K2238" s="43"/>
      <c r="L2238" s="41" t="str" cm="1">
        <f t="array" ref="L2238">IFERROR(INDEX(DB!R$2:R$2576,T2238),"")</f>
        <v/>
      </c>
      <c r="M2238" s="43"/>
      <c r="P2238" t="str" cm="1">
        <f t="array" ref="P2238">IFERROR(_xlfn.AGGREGATE(15,6,ROW(DB!A$2:A$2576)/((($D$3&lt;&gt;"YES")+($D$3="YES")*(DB!E$2:E$2576="YES"))*(($D$4="")+($D$4&lt;&gt;"")*( DB!B$2:B$2576=$D$4))*(($D$5="")+($D$5&lt;&gt;"")*( DB!C$2:C$2576=$D$5))*(($D$6="")+($D$6&lt;&gt;"")*( DB!D$2:D$2576=$D$6))*(($D$7="")+($D$7&lt;&gt;"")*(ISNUMBER(SEARCH($D$7,DB!G$2:G$2576))))*(($F$7="전체")+($F$7&lt;&gt;"전체")*(DB!H$2:H$2576=$F$7))),ROW()-13)-1,"")</f>
        <v/>
      </c>
      <c r="Q2238" t="str" cm="1">
        <f t="array" ref="Q2238">IFERROR(INDEX(DB!G$2:G$2576,P2238),"")</f>
        <v/>
      </c>
      <c r="R2238" t="str" cm="1">
        <f t="array" ref="R2238">IFERROR(INDEX(DB!O$2:O$2576,P2238),"")</f>
        <v/>
      </c>
      <c r="S2238" t="str">
        <f t="shared" si="105"/>
        <v/>
      </c>
      <c r="T2238" t="str">
        <f t="shared" si="106"/>
        <v/>
      </c>
    </row>
    <row r="2239" spans="1:20" ht="100" customHeight="1">
      <c r="A2239" s="26"/>
      <c r="B2239" s="42" t="str">
        <f t="shared" si="104"/>
        <v/>
      </c>
      <c r="C2239" s="43"/>
      <c r="D2239" s="51" t="str" cm="1">
        <f t="array" ref="D2239">IFERROR(INDEX(DB!G$2:G$2576,T2239),"")</f>
        <v/>
      </c>
      <c r="E2239" s="43"/>
      <c r="F2239" s="52" t="str" cm="1">
        <f t="array" ref="F2239">IFERROR(INDEX(DB!O$2:O$2576,T2239),"")</f>
        <v/>
      </c>
      <c r="G2239" s="43"/>
      <c r="H2239" s="40" t="str" cm="1">
        <f t="array" ref="H2239">IFERROR(INDEX(DB!P$2:P$2576,T2239),"")</f>
        <v/>
      </c>
      <c r="I2239" s="43"/>
      <c r="J2239" s="53" t="str" cm="1">
        <f t="array" ref="J2239">IFERROR(INDEX(DB!Q$2:Q$2576,T2239),"")</f>
        <v/>
      </c>
      <c r="K2239" s="43"/>
      <c r="L2239" s="41" t="str" cm="1">
        <f t="array" ref="L2239">IFERROR(INDEX(DB!R$2:R$2576,T2239),"")</f>
        <v/>
      </c>
      <c r="M2239" s="43"/>
      <c r="P2239" t="str" cm="1">
        <f t="array" ref="P2239">IFERROR(_xlfn.AGGREGATE(15,6,ROW(DB!A$2:A$2576)/((($D$3&lt;&gt;"YES")+($D$3="YES")*(DB!E$2:E$2576="YES"))*(($D$4="")+($D$4&lt;&gt;"")*( DB!B$2:B$2576=$D$4))*(($D$5="")+($D$5&lt;&gt;"")*( DB!C$2:C$2576=$D$5))*(($D$6="")+($D$6&lt;&gt;"")*( DB!D$2:D$2576=$D$6))*(($D$7="")+($D$7&lt;&gt;"")*(ISNUMBER(SEARCH($D$7,DB!G$2:G$2576))))*(($F$7="전체")+($F$7&lt;&gt;"전체")*(DB!H$2:H$2576=$F$7))),ROW()-13)-1,"")</f>
        <v/>
      </c>
      <c r="Q2239" t="str" cm="1">
        <f t="array" ref="Q2239">IFERROR(INDEX(DB!G$2:G$2576,P2239),"")</f>
        <v/>
      </c>
      <c r="R2239" t="str" cm="1">
        <f t="array" ref="R2239">IFERROR(INDEX(DB!O$2:O$2576,P2239),"")</f>
        <v/>
      </c>
      <c r="S2239" t="str">
        <f t="shared" si="105"/>
        <v/>
      </c>
      <c r="T2239" t="str">
        <f t="shared" si="106"/>
        <v/>
      </c>
    </row>
    <row r="2240" spans="1:20" ht="100" customHeight="1">
      <c r="A2240" s="26"/>
      <c r="B2240" s="39" t="str">
        <f t="shared" si="104"/>
        <v/>
      </c>
      <c r="C2240" s="43"/>
      <c r="D2240" s="51" t="str" cm="1">
        <f t="array" ref="D2240">IFERROR(INDEX(DB!G$2:G$2576,T2240),"")</f>
        <v/>
      </c>
      <c r="E2240" s="43"/>
      <c r="F2240" s="52" t="str" cm="1">
        <f t="array" ref="F2240">IFERROR(INDEX(DB!O$2:O$2576,T2240),"")</f>
        <v/>
      </c>
      <c r="G2240" s="43"/>
      <c r="H2240" s="40" t="str" cm="1">
        <f t="array" ref="H2240">IFERROR(INDEX(DB!P$2:P$2576,T2240),"")</f>
        <v/>
      </c>
      <c r="I2240" s="43"/>
      <c r="J2240" s="53" t="str" cm="1">
        <f t="array" ref="J2240">IFERROR(INDEX(DB!Q$2:Q$2576,T2240),"")</f>
        <v/>
      </c>
      <c r="K2240" s="43"/>
      <c r="L2240" s="41" t="str" cm="1">
        <f t="array" ref="L2240">IFERROR(INDEX(DB!R$2:R$2576,T2240),"")</f>
        <v/>
      </c>
      <c r="M2240" s="43"/>
      <c r="P2240" t="str" cm="1">
        <f t="array" ref="P2240">IFERROR(_xlfn.AGGREGATE(15,6,ROW(DB!A$2:A$2576)/((($D$3&lt;&gt;"YES")+($D$3="YES")*(DB!E$2:E$2576="YES"))*(($D$4="")+($D$4&lt;&gt;"")*( DB!B$2:B$2576=$D$4))*(($D$5="")+($D$5&lt;&gt;"")*( DB!C$2:C$2576=$D$5))*(($D$6="")+($D$6&lt;&gt;"")*( DB!D$2:D$2576=$D$6))*(($D$7="")+($D$7&lt;&gt;"")*(ISNUMBER(SEARCH($D$7,DB!G$2:G$2576))))*(($F$7="전체")+($F$7&lt;&gt;"전체")*(DB!H$2:H$2576=$F$7))),ROW()-13)-1,"")</f>
        <v/>
      </c>
      <c r="Q2240" t="str" cm="1">
        <f t="array" ref="Q2240">IFERROR(INDEX(DB!G$2:G$2576,P2240),"")</f>
        <v/>
      </c>
      <c r="R2240" t="str" cm="1">
        <f t="array" ref="R2240">IFERROR(INDEX(DB!O$2:O$2576,P2240),"")</f>
        <v/>
      </c>
      <c r="S2240" t="str">
        <f t="shared" si="105"/>
        <v/>
      </c>
      <c r="T2240" t="str">
        <f t="shared" si="106"/>
        <v/>
      </c>
    </row>
    <row r="2241" spans="1:20" ht="100" customHeight="1">
      <c r="A2241" s="26"/>
      <c r="B2241" s="42" t="str">
        <f t="shared" si="104"/>
        <v/>
      </c>
      <c r="C2241" s="43"/>
      <c r="D2241" s="51" t="str" cm="1">
        <f t="array" ref="D2241">IFERROR(INDEX(DB!G$2:G$2576,T2241),"")</f>
        <v/>
      </c>
      <c r="E2241" s="43"/>
      <c r="F2241" s="52" t="str" cm="1">
        <f t="array" ref="F2241">IFERROR(INDEX(DB!O$2:O$2576,T2241),"")</f>
        <v/>
      </c>
      <c r="G2241" s="43"/>
      <c r="H2241" s="40" t="str" cm="1">
        <f t="array" ref="H2241">IFERROR(INDEX(DB!P$2:P$2576,T2241),"")</f>
        <v/>
      </c>
      <c r="I2241" s="43"/>
      <c r="J2241" s="53" t="str" cm="1">
        <f t="array" ref="J2241">IFERROR(INDEX(DB!Q$2:Q$2576,T2241),"")</f>
        <v/>
      </c>
      <c r="K2241" s="43"/>
      <c r="L2241" s="41" t="str" cm="1">
        <f t="array" ref="L2241">IFERROR(INDEX(DB!R$2:R$2576,T2241),"")</f>
        <v/>
      </c>
      <c r="M2241" s="43"/>
      <c r="P2241" t="str" cm="1">
        <f t="array" ref="P2241">IFERROR(_xlfn.AGGREGATE(15,6,ROW(DB!A$2:A$2576)/((($D$3&lt;&gt;"YES")+($D$3="YES")*(DB!E$2:E$2576="YES"))*(($D$4="")+($D$4&lt;&gt;"")*( DB!B$2:B$2576=$D$4))*(($D$5="")+($D$5&lt;&gt;"")*( DB!C$2:C$2576=$D$5))*(($D$6="")+($D$6&lt;&gt;"")*( DB!D$2:D$2576=$D$6))*(($D$7="")+($D$7&lt;&gt;"")*(ISNUMBER(SEARCH($D$7,DB!G$2:G$2576))))*(($F$7="전체")+($F$7&lt;&gt;"전체")*(DB!H$2:H$2576=$F$7))),ROW()-13)-1,"")</f>
        <v/>
      </c>
      <c r="Q2241" t="str" cm="1">
        <f t="array" ref="Q2241">IFERROR(INDEX(DB!G$2:G$2576,P2241),"")</f>
        <v/>
      </c>
      <c r="R2241" t="str" cm="1">
        <f t="array" ref="R2241">IFERROR(INDEX(DB!O$2:O$2576,P2241),"")</f>
        <v/>
      </c>
      <c r="S2241" t="str">
        <f t="shared" si="105"/>
        <v/>
      </c>
      <c r="T2241" t="str">
        <f t="shared" si="106"/>
        <v/>
      </c>
    </row>
    <row r="2242" spans="1:20" ht="100" customHeight="1">
      <c r="A2242" s="26"/>
      <c r="B2242" s="39" t="str">
        <f t="shared" si="104"/>
        <v/>
      </c>
      <c r="C2242" s="43"/>
      <c r="D2242" s="51" t="str" cm="1">
        <f t="array" ref="D2242">IFERROR(INDEX(DB!G$2:G$2576,T2242),"")</f>
        <v/>
      </c>
      <c r="E2242" s="43"/>
      <c r="F2242" s="52" t="str" cm="1">
        <f t="array" ref="F2242">IFERROR(INDEX(DB!O$2:O$2576,T2242),"")</f>
        <v/>
      </c>
      <c r="G2242" s="43"/>
      <c r="H2242" s="40" t="str" cm="1">
        <f t="array" ref="H2242">IFERROR(INDEX(DB!P$2:P$2576,T2242),"")</f>
        <v/>
      </c>
      <c r="I2242" s="43"/>
      <c r="J2242" s="53" t="str" cm="1">
        <f t="array" ref="J2242">IFERROR(INDEX(DB!Q$2:Q$2576,T2242),"")</f>
        <v/>
      </c>
      <c r="K2242" s="43"/>
      <c r="L2242" s="41" t="str" cm="1">
        <f t="array" ref="L2242">IFERROR(INDEX(DB!R$2:R$2576,T2242),"")</f>
        <v/>
      </c>
      <c r="M2242" s="43"/>
      <c r="P2242" t="str" cm="1">
        <f t="array" ref="P2242">IFERROR(_xlfn.AGGREGATE(15,6,ROW(DB!A$2:A$2576)/((($D$3&lt;&gt;"YES")+($D$3="YES")*(DB!E$2:E$2576="YES"))*(($D$4="")+($D$4&lt;&gt;"")*( DB!B$2:B$2576=$D$4))*(($D$5="")+($D$5&lt;&gt;"")*( DB!C$2:C$2576=$D$5))*(($D$6="")+($D$6&lt;&gt;"")*( DB!D$2:D$2576=$D$6))*(($D$7="")+($D$7&lt;&gt;"")*(ISNUMBER(SEARCH($D$7,DB!G$2:G$2576))))*(($F$7="전체")+($F$7&lt;&gt;"전체")*(DB!H$2:H$2576=$F$7))),ROW()-13)-1,"")</f>
        <v/>
      </c>
      <c r="Q2242" t="str" cm="1">
        <f t="array" ref="Q2242">IFERROR(INDEX(DB!G$2:G$2576,P2242),"")</f>
        <v/>
      </c>
      <c r="R2242" t="str" cm="1">
        <f t="array" ref="R2242">IFERROR(INDEX(DB!O$2:O$2576,P2242),"")</f>
        <v/>
      </c>
      <c r="S2242" t="str">
        <f t="shared" si="105"/>
        <v/>
      </c>
      <c r="T2242" t="str">
        <f t="shared" si="106"/>
        <v/>
      </c>
    </row>
    <row r="2243" spans="1:20" ht="100" customHeight="1">
      <c r="A2243" s="26"/>
      <c r="B2243" s="42" t="str">
        <f t="shared" si="104"/>
        <v/>
      </c>
      <c r="C2243" s="43"/>
      <c r="D2243" s="51" t="str" cm="1">
        <f t="array" ref="D2243">IFERROR(INDEX(DB!G$2:G$2576,T2243),"")</f>
        <v/>
      </c>
      <c r="E2243" s="43"/>
      <c r="F2243" s="52" t="str" cm="1">
        <f t="array" ref="F2243">IFERROR(INDEX(DB!O$2:O$2576,T2243),"")</f>
        <v/>
      </c>
      <c r="G2243" s="43"/>
      <c r="H2243" s="40" t="str" cm="1">
        <f t="array" ref="H2243">IFERROR(INDEX(DB!P$2:P$2576,T2243),"")</f>
        <v/>
      </c>
      <c r="I2243" s="43"/>
      <c r="J2243" s="53" t="str" cm="1">
        <f t="array" ref="J2243">IFERROR(INDEX(DB!Q$2:Q$2576,T2243),"")</f>
        <v/>
      </c>
      <c r="K2243" s="43"/>
      <c r="L2243" s="41" t="str" cm="1">
        <f t="array" ref="L2243">IFERROR(INDEX(DB!R$2:R$2576,T2243),"")</f>
        <v/>
      </c>
      <c r="M2243" s="43"/>
      <c r="P2243" t="str" cm="1">
        <f t="array" ref="P2243">IFERROR(_xlfn.AGGREGATE(15,6,ROW(DB!A$2:A$2576)/((($D$3&lt;&gt;"YES")+($D$3="YES")*(DB!E$2:E$2576="YES"))*(($D$4="")+($D$4&lt;&gt;"")*( DB!B$2:B$2576=$D$4))*(($D$5="")+($D$5&lt;&gt;"")*( DB!C$2:C$2576=$D$5))*(($D$6="")+($D$6&lt;&gt;"")*( DB!D$2:D$2576=$D$6))*(($D$7="")+($D$7&lt;&gt;"")*(ISNUMBER(SEARCH($D$7,DB!G$2:G$2576))))*(($F$7="전체")+($F$7&lt;&gt;"전체")*(DB!H$2:H$2576=$F$7))),ROW()-13)-1,"")</f>
        <v/>
      </c>
      <c r="Q2243" t="str" cm="1">
        <f t="array" ref="Q2243">IFERROR(INDEX(DB!G$2:G$2576,P2243),"")</f>
        <v/>
      </c>
      <c r="R2243" t="str" cm="1">
        <f t="array" ref="R2243">IFERROR(INDEX(DB!O$2:O$2576,P2243),"")</f>
        <v/>
      </c>
      <c r="S2243" t="str">
        <f t="shared" si="105"/>
        <v/>
      </c>
      <c r="T2243" t="str">
        <f t="shared" si="106"/>
        <v/>
      </c>
    </row>
    <row r="2244" spans="1:20" ht="100" customHeight="1">
      <c r="A2244" s="26"/>
      <c r="B2244" s="39" t="str">
        <f t="shared" si="104"/>
        <v/>
      </c>
      <c r="C2244" s="43"/>
      <c r="D2244" s="51" t="str" cm="1">
        <f t="array" ref="D2244">IFERROR(INDEX(DB!G$2:G$2576,T2244),"")</f>
        <v/>
      </c>
      <c r="E2244" s="43"/>
      <c r="F2244" s="52" t="str" cm="1">
        <f t="array" ref="F2244">IFERROR(INDEX(DB!O$2:O$2576,T2244),"")</f>
        <v/>
      </c>
      <c r="G2244" s="43"/>
      <c r="H2244" s="40" t="str" cm="1">
        <f t="array" ref="H2244">IFERROR(INDEX(DB!P$2:P$2576,T2244),"")</f>
        <v/>
      </c>
      <c r="I2244" s="43"/>
      <c r="J2244" s="53" t="str" cm="1">
        <f t="array" ref="J2244">IFERROR(INDEX(DB!Q$2:Q$2576,T2244),"")</f>
        <v/>
      </c>
      <c r="K2244" s="43"/>
      <c r="L2244" s="41" t="str" cm="1">
        <f t="array" ref="L2244">IFERROR(INDEX(DB!R$2:R$2576,T2244),"")</f>
        <v/>
      </c>
      <c r="M2244" s="43"/>
      <c r="P2244" t="str" cm="1">
        <f t="array" ref="P2244">IFERROR(_xlfn.AGGREGATE(15,6,ROW(DB!A$2:A$2576)/((($D$3&lt;&gt;"YES")+($D$3="YES")*(DB!E$2:E$2576="YES"))*(($D$4="")+($D$4&lt;&gt;"")*( DB!B$2:B$2576=$D$4))*(($D$5="")+($D$5&lt;&gt;"")*( DB!C$2:C$2576=$D$5))*(($D$6="")+($D$6&lt;&gt;"")*( DB!D$2:D$2576=$D$6))*(($D$7="")+($D$7&lt;&gt;"")*(ISNUMBER(SEARCH($D$7,DB!G$2:G$2576))))*(($F$7="전체")+($F$7&lt;&gt;"전체")*(DB!H$2:H$2576=$F$7))),ROW()-13)-1,"")</f>
        <v/>
      </c>
      <c r="Q2244" t="str" cm="1">
        <f t="array" ref="Q2244">IFERROR(INDEX(DB!G$2:G$2576,P2244),"")</f>
        <v/>
      </c>
      <c r="R2244" t="str" cm="1">
        <f t="array" ref="R2244">IFERROR(INDEX(DB!O$2:O$2576,P2244),"")</f>
        <v/>
      </c>
      <c r="S2244" t="str">
        <f t="shared" si="105"/>
        <v/>
      </c>
      <c r="T2244" t="str">
        <f t="shared" si="106"/>
        <v/>
      </c>
    </row>
    <row r="2245" spans="1:20" ht="100" customHeight="1">
      <c r="A2245" s="26"/>
      <c r="B2245" s="42" t="str">
        <f t="shared" si="104"/>
        <v/>
      </c>
      <c r="C2245" s="43"/>
      <c r="D2245" s="51" t="str" cm="1">
        <f t="array" ref="D2245">IFERROR(INDEX(DB!G$2:G$2576,T2245),"")</f>
        <v/>
      </c>
      <c r="E2245" s="43"/>
      <c r="F2245" s="52" t="str" cm="1">
        <f t="array" ref="F2245">IFERROR(INDEX(DB!O$2:O$2576,T2245),"")</f>
        <v/>
      </c>
      <c r="G2245" s="43"/>
      <c r="H2245" s="40" t="str" cm="1">
        <f t="array" ref="H2245">IFERROR(INDEX(DB!P$2:P$2576,T2245),"")</f>
        <v/>
      </c>
      <c r="I2245" s="43"/>
      <c r="J2245" s="53" t="str" cm="1">
        <f t="array" ref="J2245">IFERROR(INDEX(DB!Q$2:Q$2576,T2245),"")</f>
        <v/>
      </c>
      <c r="K2245" s="43"/>
      <c r="L2245" s="41" t="str" cm="1">
        <f t="array" ref="L2245">IFERROR(INDEX(DB!R$2:R$2576,T2245),"")</f>
        <v/>
      </c>
      <c r="M2245" s="43"/>
      <c r="P2245" t="str" cm="1">
        <f t="array" ref="P2245">IFERROR(_xlfn.AGGREGATE(15,6,ROW(DB!A$2:A$2576)/((($D$3&lt;&gt;"YES")+($D$3="YES")*(DB!E$2:E$2576="YES"))*(($D$4="")+($D$4&lt;&gt;"")*( DB!B$2:B$2576=$D$4))*(($D$5="")+($D$5&lt;&gt;"")*( DB!C$2:C$2576=$D$5))*(($D$6="")+($D$6&lt;&gt;"")*( DB!D$2:D$2576=$D$6))*(($D$7="")+($D$7&lt;&gt;"")*(ISNUMBER(SEARCH($D$7,DB!G$2:G$2576))))*(($F$7="전체")+($F$7&lt;&gt;"전체")*(DB!H$2:H$2576=$F$7))),ROW()-13)-1,"")</f>
        <v/>
      </c>
      <c r="Q2245" t="str" cm="1">
        <f t="array" ref="Q2245">IFERROR(INDEX(DB!G$2:G$2576,P2245),"")</f>
        <v/>
      </c>
      <c r="R2245" t="str" cm="1">
        <f t="array" ref="R2245">IFERROR(INDEX(DB!O$2:O$2576,P2245),"")</f>
        <v/>
      </c>
      <c r="S2245" t="str">
        <f t="shared" si="105"/>
        <v/>
      </c>
      <c r="T2245" t="str">
        <f t="shared" si="106"/>
        <v/>
      </c>
    </row>
    <row r="2246" spans="1:20" ht="100" customHeight="1">
      <c r="A2246" s="26"/>
      <c r="B2246" s="39" t="str">
        <f t="shared" si="104"/>
        <v/>
      </c>
      <c r="C2246" s="43"/>
      <c r="D2246" s="51" t="str" cm="1">
        <f t="array" ref="D2246">IFERROR(INDEX(DB!G$2:G$2576,T2246),"")</f>
        <v/>
      </c>
      <c r="E2246" s="43"/>
      <c r="F2246" s="52" t="str" cm="1">
        <f t="array" ref="F2246">IFERROR(INDEX(DB!O$2:O$2576,T2246),"")</f>
        <v/>
      </c>
      <c r="G2246" s="43"/>
      <c r="H2246" s="40" t="str" cm="1">
        <f t="array" ref="H2246">IFERROR(INDEX(DB!P$2:P$2576,T2246),"")</f>
        <v/>
      </c>
      <c r="I2246" s="43"/>
      <c r="J2246" s="53" t="str" cm="1">
        <f t="array" ref="J2246">IFERROR(INDEX(DB!Q$2:Q$2576,T2246),"")</f>
        <v/>
      </c>
      <c r="K2246" s="43"/>
      <c r="L2246" s="41" t="str" cm="1">
        <f t="array" ref="L2246">IFERROR(INDEX(DB!R$2:R$2576,T2246),"")</f>
        <v/>
      </c>
      <c r="M2246" s="43"/>
      <c r="P2246" t="str" cm="1">
        <f t="array" ref="P2246">IFERROR(_xlfn.AGGREGATE(15,6,ROW(DB!A$2:A$2576)/((($D$3&lt;&gt;"YES")+($D$3="YES")*(DB!E$2:E$2576="YES"))*(($D$4="")+($D$4&lt;&gt;"")*( DB!B$2:B$2576=$D$4))*(($D$5="")+($D$5&lt;&gt;"")*( DB!C$2:C$2576=$D$5))*(($D$6="")+($D$6&lt;&gt;"")*( DB!D$2:D$2576=$D$6))*(($D$7="")+($D$7&lt;&gt;"")*(ISNUMBER(SEARCH($D$7,DB!G$2:G$2576))))*(($F$7="전체")+($F$7&lt;&gt;"전체")*(DB!H$2:H$2576=$F$7))),ROW()-13)-1,"")</f>
        <v/>
      </c>
      <c r="Q2246" t="str" cm="1">
        <f t="array" ref="Q2246">IFERROR(INDEX(DB!G$2:G$2576,P2246),"")</f>
        <v/>
      </c>
      <c r="R2246" t="str" cm="1">
        <f t="array" ref="R2246">IFERROR(INDEX(DB!O$2:O$2576,P2246),"")</f>
        <v/>
      </c>
      <c r="S2246" t="str">
        <f t="shared" si="105"/>
        <v/>
      </c>
      <c r="T2246" t="str">
        <f t="shared" si="106"/>
        <v/>
      </c>
    </row>
    <row r="2247" spans="1:20" ht="100" customHeight="1">
      <c r="A2247" s="26"/>
      <c r="B2247" s="42" t="str">
        <f t="shared" si="104"/>
        <v/>
      </c>
      <c r="C2247" s="43"/>
      <c r="D2247" s="51" t="str" cm="1">
        <f t="array" ref="D2247">IFERROR(INDEX(DB!G$2:G$2576,T2247),"")</f>
        <v/>
      </c>
      <c r="E2247" s="43"/>
      <c r="F2247" s="52" t="str" cm="1">
        <f t="array" ref="F2247">IFERROR(INDEX(DB!O$2:O$2576,T2247),"")</f>
        <v/>
      </c>
      <c r="G2247" s="43"/>
      <c r="H2247" s="40" t="str" cm="1">
        <f t="array" ref="H2247">IFERROR(INDEX(DB!P$2:P$2576,T2247),"")</f>
        <v/>
      </c>
      <c r="I2247" s="43"/>
      <c r="J2247" s="53" t="str" cm="1">
        <f t="array" ref="J2247">IFERROR(INDEX(DB!Q$2:Q$2576,T2247),"")</f>
        <v/>
      </c>
      <c r="K2247" s="43"/>
      <c r="L2247" s="41" t="str" cm="1">
        <f t="array" ref="L2247">IFERROR(INDEX(DB!R$2:R$2576,T2247),"")</f>
        <v/>
      </c>
      <c r="M2247" s="43"/>
      <c r="P2247" t="str" cm="1">
        <f t="array" ref="P2247">IFERROR(_xlfn.AGGREGATE(15,6,ROW(DB!A$2:A$2576)/((($D$3&lt;&gt;"YES")+($D$3="YES")*(DB!E$2:E$2576="YES"))*(($D$4="")+($D$4&lt;&gt;"")*( DB!B$2:B$2576=$D$4))*(($D$5="")+($D$5&lt;&gt;"")*( DB!C$2:C$2576=$D$5))*(($D$6="")+($D$6&lt;&gt;"")*( DB!D$2:D$2576=$D$6))*(($D$7="")+($D$7&lt;&gt;"")*(ISNUMBER(SEARCH($D$7,DB!G$2:G$2576))))*(($F$7="전체")+($F$7&lt;&gt;"전체")*(DB!H$2:H$2576=$F$7))),ROW()-13)-1,"")</f>
        <v/>
      </c>
      <c r="Q2247" t="str" cm="1">
        <f t="array" ref="Q2247">IFERROR(INDEX(DB!G$2:G$2576,P2247),"")</f>
        <v/>
      </c>
      <c r="R2247" t="str" cm="1">
        <f t="array" ref="R2247">IFERROR(INDEX(DB!O$2:O$2576,P2247),"")</f>
        <v/>
      </c>
      <c r="S2247" t="str">
        <f t="shared" si="105"/>
        <v/>
      </c>
      <c r="T2247" t="str">
        <f t="shared" si="106"/>
        <v/>
      </c>
    </row>
    <row r="2248" spans="1:20" ht="100" customHeight="1">
      <c r="A2248" s="26"/>
      <c r="B2248" s="39" t="str">
        <f t="shared" si="104"/>
        <v/>
      </c>
      <c r="C2248" s="43"/>
      <c r="D2248" s="51" t="str" cm="1">
        <f t="array" ref="D2248">IFERROR(INDEX(DB!G$2:G$2576,T2248),"")</f>
        <v/>
      </c>
      <c r="E2248" s="43"/>
      <c r="F2248" s="52" t="str" cm="1">
        <f t="array" ref="F2248">IFERROR(INDEX(DB!O$2:O$2576,T2248),"")</f>
        <v/>
      </c>
      <c r="G2248" s="43"/>
      <c r="H2248" s="40" t="str" cm="1">
        <f t="array" ref="H2248">IFERROR(INDEX(DB!P$2:P$2576,T2248),"")</f>
        <v/>
      </c>
      <c r="I2248" s="43"/>
      <c r="J2248" s="53" t="str" cm="1">
        <f t="array" ref="J2248">IFERROR(INDEX(DB!Q$2:Q$2576,T2248),"")</f>
        <v/>
      </c>
      <c r="K2248" s="43"/>
      <c r="L2248" s="41" t="str" cm="1">
        <f t="array" ref="L2248">IFERROR(INDEX(DB!R$2:R$2576,T2248),"")</f>
        <v/>
      </c>
      <c r="M2248" s="43"/>
      <c r="P2248" t="str" cm="1">
        <f t="array" ref="P2248">IFERROR(_xlfn.AGGREGATE(15,6,ROW(DB!A$2:A$2576)/((($D$3&lt;&gt;"YES")+($D$3="YES")*(DB!E$2:E$2576="YES"))*(($D$4="")+($D$4&lt;&gt;"")*( DB!B$2:B$2576=$D$4))*(($D$5="")+($D$5&lt;&gt;"")*( DB!C$2:C$2576=$D$5))*(($D$6="")+($D$6&lt;&gt;"")*( DB!D$2:D$2576=$D$6))*(($D$7="")+($D$7&lt;&gt;"")*(ISNUMBER(SEARCH($D$7,DB!G$2:G$2576))))*(($F$7="전체")+($F$7&lt;&gt;"전체")*(DB!H$2:H$2576=$F$7))),ROW()-13)-1,"")</f>
        <v/>
      </c>
      <c r="Q2248" t="str" cm="1">
        <f t="array" ref="Q2248">IFERROR(INDEX(DB!G$2:G$2576,P2248),"")</f>
        <v/>
      </c>
      <c r="R2248" t="str" cm="1">
        <f t="array" ref="R2248">IFERROR(INDEX(DB!O$2:O$2576,P2248),"")</f>
        <v/>
      </c>
      <c r="S2248" t="str">
        <f t="shared" si="105"/>
        <v/>
      </c>
      <c r="T2248" t="str">
        <f t="shared" si="106"/>
        <v/>
      </c>
    </row>
    <row r="2249" spans="1:20" ht="100" customHeight="1">
      <c r="A2249" s="26"/>
      <c r="B2249" s="42" t="str">
        <f t="shared" si="104"/>
        <v/>
      </c>
      <c r="C2249" s="43"/>
      <c r="D2249" s="51" t="str" cm="1">
        <f t="array" ref="D2249">IFERROR(INDEX(DB!G$2:G$2576,T2249),"")</f>
        <v/>
      </c>
      <c r="E2249" s="43"/>
      <c r="F2249" s="52" t="str" cm="1">
        <f t="array" ref="F2249">IFERROR(INDEX(DB!O$2:O$2576,T2249),"")</f>
        <v/>
      </c>
      <c r="G2249" s="43"/>
      <c r="H2249" s="40" t="str" cm="1">
        <f t="array" ref="H2249">IFERROR(INDEX(DB!P$2:P$2576,T2249),"")</f>
        <v/>
      </c>
      <c r="I2249" s="43"/>
      <c r="J2249" s="53" t="str" cm="1">
        <f t="array" ref="J2249">IFERROR(INDEX(DB!Q$2:Q$2576,T2249),"")</f>
        <v/>
      </c>
      <c r="K2249" s="43"/>
      <c r="L2249" s="41" t="str" cm="1">
        <f t="array" ref="L2249">IFERROR(INDEX(DB!R$2:R$2576,T2249),"")</f>
        <v/>
      </c>
      <c r="M2249" s="43"/>
      <c r="P2249" t="str" cm="1">
        <f t="array" ref="P2249">IFERROR(_xlfn.AGGREGATE(15,6,ROW(DB!A$2:A$2576)/((($D$3&lt;&gt;"YES")+($D$3="YES")*(DB!E$2:E$2576="YES"))*(($D$4="")+($D$4&lt;&gt;"")*( DB!B$2:B$2576=$D$4))*(($D$5="")+($D$5&lt;&gt;"")*( DB!C$2:C$2576=$D$5))*(($D$6="")+($D$6&lt;&gt;"")*( DB!D$2:D$2576=$D$6))*(($D$7="")+($D$7&lt;&gt;"")*(ISNUMBER(SEARCH($D$7,DB!G$2:G$2576))))*(($F$7="전체")+($F$7&lt;&gt;"전체")*(DB!H$2:H$2576=$F$7))),ROW()-13)-1,"")</f>
        <v/>
      </c>
      <c r="Q2249" t="str" cm="1">
        <f t="array" ref="Q2249">IFERROR(INDEX(DB!G$2:G$2576,P2249),"")</f>
        <v/>
      </c>
      <c r="R2249" t="str" cm="1">
        <f t="array" ref="R2249">IFERROR(INDEX(DB!O$2:O$2576,P2249),"")</f>
        <v/>
      </c>
      <c r="S2249" t="str">
        <f t="shared" si="105"/>
        <v/>
      </c>
      <c r="T2249" t="str">
        <f t="shared" si="106"/>
        <v/>
      </c>
    </row>
    <row r="2250" spans="1:20" ht="100" customHeight="1">
      <c r="A2250" s="26"/>
      <c r="B2250" s="39" t="str">
        <f t="shared" si="104"/>
        <v/>
      </c>
      <c r="C2250" s="43"/>
      <c r="D2250" s="51" t="str" cm="1">
        <f t="array" ref="D2250">IFERROR(INDEX(DB!G$2:G$2576,T2250),"")</f>
        <v/>
      </c>
      <c r="E2250" s="43"/>
      <c r="F2250" s="52" t="str" cm="1">
        <f t="array" ref="F2250">IFERROR(INDEX(DB!O$2:O$2576,T2250),"")</f>
        <v/>
      </c>
      <c r="G2250" s="43"/>
      <c r="H2250" s="40" t="str" cm="1">
        <f t="array" ref="H2250">IFERROR(INDEX(DB!P$2:P$2576,T2250),"")</f>
        <v/>
      </c>
      <c r="I2250" s="43"/>
      <c r="J2250" s="53" t="str" cm="1">
        <f t="array" ref="J2250">IFERROR(INDEX(DB!Q$2:Q$2576,T2250),"")</f>
        <v/>
      </c>
      <c r="K2250" s="43"/>
      <c r="L2250" s="41" t="str" cm="1">
        <f t="array" ref="L2250">IFERROR(INDEX(DB!R$2:R$2576,T2250),"")</f>
        <v/>
      </c>
      <c r="M2250" s="43"/>
      <c r="P2250" t="str" cm="1">
        <f t="array" ref="P2250">IFERROR(_xlfn.AGGREGATE(15,6,ROW(DB!A$2:A$2576)/((($D$3&lt;&gt;"YES")+($D$3="YES")*(DB!E$2:E$2576="YES"))*(($D$4="")+($D$4&lt;&gt;"")*( DB!B$2:B$2576=$D$4))*(($D$5="")+($D$5&lt;&gt;"")*( DB!C$2:C$2576=$D$5))*(($D$6="")+($D$6&lt;&gt;"")*( DB!D$2:D$2576=$D$6))*(($D$7="")+($D$7&lt;&gt;"")*(ISNUMBER(SEARCH($D$7,DB!G$2:G$2576))))*(($F$7="전체")+($F$7&lt;&gt;"전체")*(DB!H$2:H$2576=$F$7))),ROW()-13)-1,"")</f>
        <v/>
      </c>
      <c r="Q2250" t="str" cm="1">
        <f t="array" ref="Q2250">IFERROR(INDEX(DB!G$2:G$2576,P2250),"")</f>
        <v/>
      </c>
      <c r="R2250" t="str" cm="1">
        <f t="array" ref="R2250">IFERROR(INDEX(DB!O$2:O$2576,P2250),"")</f>
        <v/>
      </c>
      <c r="S2250" t="str">
        <f t="shared" si="105"/>
        <v/>
      </c>
      <c r="T2250" t="str">
        <f t="shared" si="106"/>
        <v/>
      </c>
    </row>
    <row r="2251" spans="1:20" ht="100" customHeight="1">
      <c r="A2251" s="26"/>
      <c r="B2251" s="42" t="str">
        <f t="shared" si="104"/>
        <v/>
      </c>
      <c r="C2251" s="43"/>
      <c r="D2251" s="51" t="str" cm="1">
        <f t="array" ref="D2251">IFERROR(INDEX(DB!G$2:G$2576,T2251),"")</f>
        <v/>
      </c>
      <c r="E2251" s="43"/>
      <c r="F2251" s="52" t="str" cm="1">
        <f t="array" ref="F2251">IFERROR(INDEX(DB!O$2:O$2576,T2251),"")</f>
        <v/>
      </c>
      <c r="G2251" s="43"/>
      <c r="H2251" s="40" t="str" cm="1">
        <f t="array" ref="H2251">IFERROR(INDEX(DB!P$2:P$2576,T2251),"")</f>
        <v/>
      </c>
      <c r="I2251" s="43"/>
      <c r="J2251" s="53" t="str" cm="1">
        <f t="array" ref="J2251">IFERROR(INDEX(DB!Q$2:Q$2576,T2251),"")</f>
        <v/>
      </c>
      <c r="K2251" s="43"/>
      <c r="L2251" s="41" t="str" cm="1">
        <f t="array" ref="L2251">IFERROR(INDEX(DB!R$2:R$2576,T2251),"")</f>
        <v/>
      </c>
      <c r="M2251" s="43"/>
      <c r="P2251" t="str" cm="1">
        <f t="array" ref="P2251">IFERROR(_xlfn.AGGREGATE(15,6,ROW(DB!A$2:A$2576)/((($D$3&lt;&gt;"YES")+($D$3="YES")*(DB!E$2:E$2576="YES"))*(($D$4="")+($D$4&lt;&gt;"")*( DB!B$2:B$2576=$D$4))*(($D$5="")+($D$5&lt;&gt;"")*( DB!C$2:C$2576=$D$5))*(($D$6="")+($D$6&lt;&gt;"")*( DB!D$2:D$2576=$D$6))*(($D$7="")+($D$7&lt;&gt;"")*(ISNUMBER(SEARCH($D$7,DB!G$2:G$2576))))*(($F$7="전체")+($F$7&lt;&gt;"전체")*(DB!H$2:H$2576=$F$7))),ROW()-13)-1,"")</f>
        <v/>
      </c>
      <c r="Q2251" t="str" cm="1">
        <f t="array" ref="Q2251">IFERROR(INDEX(DB!G$2:G$2576,P2251),"")</f>
        <v/>
      </c>
      <c r="R2251" t="str" cm="1">
        <f t="array" ref="R2251">IFERROR(INDEX(DB!O$2:O$2576,P2251),"")</f>
        <v/>
      </c>
      <c r="S2251" t="str">
        <f t="shared" si="105"/>
        <v/>
      </c>
      <c r="T2251" t="str">
        <f t="shared" si="106"/>
        <v/>
      </c>
    </row>
    <row r="2252" spans="1:20" ht="100" customHeight="1">
      <c r="A2252" s="26"/>
      <c r="B2252" s="39" t="str">
        <f t="shared" si="104"/>
        <v/>
      </c>
      <c r="C2252" s="43"/>
      <c r="D2252" s="51" t="str" cm="1">
        <f t="array" ref="D2252">IFERROR(INDEX(DB!G$2:G$2576,T2252),"")</f>
        <v/>
      </c>
      <c r="E2252" s="43"/>
      <c r="F2252" s="52" t="str" cm="1">
        <f t="array" ref="F2252">IFERROR(INDEX(DB!O$2:O$2576,T2252),"")</f>
        <v/>
      </c>
      <c r="G2252" s="43"/>
      <c r="H2252" s="40" t="str" cm="1">
        <f t="array" ref="H2252">IFERROR(INDEX(DB!P$2:P$2576,T2252),"")</f>
        <v/>
      </c>
      <c r="I2252" s="43"/>
      <c r="J2252" s="53" t="str" cm="1">
        <f t="array" ref="J2252">IFERROR(INDEX(DB!Q$2:Q$2576,T2252),"")</f>
        <v/>
      </c>
      <c r="K2252" s="43"/>
      <c r="L2252" s="41" t="str" cm="1">
        <f t="array" ref="L2252">IFERROR(INDEX(DB!R$2:R$2576,T2252),"")</f>
        <v/>
      </c>
      <c r="M2252" s="43"/>
      <c r="P2252" t="str" cm="1">
        <f t="array" ref="P2252">IFERROR(_xlfn.AGGREGATE(15,6,ROW(DB!A$2:A$2576)/((($D$3&lt;&gt;"YES")+($D$3="YES")*(DB!E$2:E$2576="YES"))*(($D$4="")+($D$4&lt;&gt;"")*( DB!B$2:B$2576=$D$4))*(($D$5="")+($D$5&lt;&gt;"")*( DB!C$2:C$2576=$D$5))*(($D$6="")+($D$6&lt;&gt;"")*( DB!D$2:D$2576=$D$6))*(($D$7="")+($D$7&lt;&gt;"")*(ISNUMBER(SEARCH($D$7,DB!G$2:G$2576))))*(($F$7="전체")+($F$7&lt;&gt;"전체")*(DB!H$2:H$2576=$F$7))),ROW()-13)-1,"")</f>
        <v/>
      </c>
      <c r="Q2252" t="str" cm="1">
        <f t="array" ref="Q2252">IFERROR(INDEX(DB!G$2:G$2576,P2252),"")</f>
        <v/>
      </c>
      <c r="R2252" t="str" cm="1">
        <f t="array" ref="R2252">IFERROR(INDEX(DB!O$2:O$2576,P2252),"")</f>
        <v/>
      </c>
      <c r="S2252" t="str">
        <f t="shared" si="105"/>
        <v/>
      </c>
      <c r="T2252" t="str">
        <f t="shared" si="106"/>
        <v/>
      </c>
    </row>
    <row r="2253" spans="1:20" ht="100" customHeight="1">
      <c r="A2253" s="26"/>
      <c r="B2253" s="42" t="str">
        <f t="shared" si="104"/>
        <v/>
      </c>
      <c r="C2253" s="43"/>
      <c r="D2253" s="51" t="str" cm="1">
        <f t="array" ref="D2253">IFERROR(INDEX(DB!G$2:G$2576,T2253),"")</f>
        <v/>
      </c>
      <c r="E2253" s="43"/>
      <c r="F2253" s="52" t="str" cm="1">
        <f t="array" ref="F2253">IFERROR(INDEX(DB!O$2:O$2576,T2253),"")</f>
        <v/>
      </c>
      <c r="G2253" s="43"/>
      <c r="H2253" s="40" t="str" cm="1">
        <f t="array" ref="H2253">IFERROR(INDEX(DB!P$2:P$2576,T2253),"")</f>
        <v/>
      </c>
      <c r="I2253" s="43"/>
      <c r="J2253" s="53" t="str" cm="1">
        <f t="array" ref="J2253">IFERROR(INDEX(DB!Q$2:Q$2576,T2253),"")</f>
        <v/>
      </c>
      <c r="K2253" s="43"/>
      <c r="L2253" s="41" t="str" cm="1">
        <f t="array" ref="L2253">IFERROR(INDEX(DB!R$2:R$2576,T2253),"")</f>
        <v/>
      </c>
      <c r="M2253" s="43"/>
      <c r="P2253" t="str" cm="1">
        <f t="array" ref="P2253">IFERROR(_xlfn.AGGREGATE(15,6,ROW(DB!A$2:A$2576)/((($D$3&lt;&gt;"YES")+($D$3="YES")*(DB!E$2:E$2576="YES"))*(($D$4="")+($D$4&lt;&gt;"")*( DB!B$2:B$2576=$D$4))*(($D$5="")+($D$5&lt;&gt;"")*( DB!C$2:C$2576=$D$5))*(($D$6="")+($D$6&lt;&gt;"")*( DB!D$2:D$2576=$D$6))*(($D$7="")+($D$7&lt;&gt;"")*(ISNUMBER(SEARCH($D$7,DB!G$2:G$2576))))*(($F$7="전체")+($F$7&lt;&gt;"전체")*(DB!H$2:H$2576=$F$7))),ROW()-13)-1,"")</f>
        <v/>
      </c>
      <c r="Q2253" t="str" cm="1">
        <f t="array" ref="Q2253">IFERROR(INDEX(DB!G$2:G$2576,P2253),"")</f>
        <v/>
      </c>
      <c r="R2253" t="str" cm="1">
        <f t="array" ref="R2253">IFERROR(INDEX(DB!O$2:O$2576,P2253),"")</f>
        <v/>
      </c>
      <c r="S2253" t="str">
        <f t="shared" si="105"/>
        <v/>
      </c>
      <c r="T2253" t="str">
        <f t="shared" si="106"/>
        <v/>
      </c>
    </row>
    <row r="2254" spans="1:20" ht="100" customHeight="1">
      <c r="A2254" s="26"/>
      <c r="B2254" s="39" t="str">
        <f t="shared" si="104"/>
        <v/>
      </c>
      <c r="C2254" s="43"/>
      <c r="D2254" s="51" t="str" cm="1">
        <f t="array" ref="D2254">IFERROR(INDEX(DB!G$2:G$2576,T2254),"")</f>
        <v/>
      </c>
      <c r="E2254" s="43"/>
      <c r="F2254" s="52" t="str" cm="1">
        <f t="array" ref="F2254">IFERROR(INDEX(DB!O$2:O$2576,T2254),"")</f>
        <v/>
      </c>
      <c r="G2254" s="43"/>
      <c r="H2254" s="40" t="str" cm="1">
        <f t="array" ref="H2254">IFERROR(INDEX(DB!P$2:P$2576,T2254),"")</f>
        <v/>
      </c>
      <c r="I2254" s="43"/>
      <c r="J2254" s="53" t="str" cm="1">
        <f t="array" ref="J2254">IFERROR(INDEX(DB!Q$2:Q$2576,T2254),"")</f>
        <v/>
      </c>
      <c r="K2254" s="43"/>
      <c r="L2254" s="41" t="str" cm="1">
        <f t="array" ref="L2254">IFERROR(INDEX(DB!R$2:R$2576,T2254),"")</f>
        <v/>
      </c>
      <c r="M2254" s="43"/>
      <c r="P2254" t="str" cm="1">
        <f t="array" ref="P2254">IFERROR(_xlfn.AGGREGATE(15,6,ROW(DB!A$2:A$2576)/((($D$3&lt;&gt;"YES")+($D$3="YES")*(DB!E$2:E$2576="YES"))*(($D$4="")+($D$4&lt;&gt;"")*( DB!B$2:B$2576=$D$4))*(($D$5="")+($D$5&lt;&gt;"")*( DB!C$2:C$2576=$D$5))*(($D$6="")+($D$6&lt;&gt;"")*( DB!D$2:D$2576=$D$6))*(($D$7="")+($D$7&lt;&gt;"")*(ISNUMBER(SEARCH($D$7,DB!G$2:G$2576))))*(($F$7="전체")+($F$7&lt;&gt;"전체")*(DB!H$2:H$2576=$F$7))),ROW()-13)-1,"")</f>
        <v/>
      </c>
      <c r="Q2254" t="str" cm="1">
        <f t="array" ref="Q2254">IFERROR(INDEX(DB!G$2:G$2576,P2254),"")</f>
        <v/>
      </c>
      <c r="R2254" t="str" cm="1">
        <f t="array" ref="R2254">IFERROR(INDEX(DB!O$2:O$2576,P2254),"")</f>
        <v/>
      </c>
      <c r="S2254" t="str">
        <f t="shared" si="105"/>
        <v/>
      </c>
      <c r="T2254" t="str">
        <f t="shared" si="106"/>
        <v/>
      </c>
    </row>
    <row r="2255" spans="1:20" ht="100" customHeight="1">
      <c r="A2255" s="26"/>
      <c r="B2255" s="42" t="str">
        <f t="shared" ref="B2255:B2318" si="107">IFERROR(IF(T2255="","",ROW()-13),"")</f>
        <v/>
      </c>
      <c r="C2255" s="43"/>
      <c r="D2255" s="51" t="str" cm="1">
        <f t="array" ref="D2255">IFERROR(INDEX(DB!G$2:G$2576,T2255),"")</f>
        <v/>
      </c>
      <c r="E2255" s="43"/>
      <c r="F2255" s="52" t="str" cm="1">
        <f t="array" ref="F2255">IFERROR(INDEX(DB!O$2:O$2576,T2255),"")</f>
        <v/>
      </c>
      <c r="G2255" s="43"/>
      <c r="H2255" s="40" t="str" cm="1">
        <f t="array" ref="H2255">IFERROR(INDEX(DB!P$2:P$2576,T2255),"")</f>
        <v/>
      </c>
      <c r="I2255" s="43"/>
      <c r="J2255" s="53" t="str" cm="1">
        <f t="array" ref="J2255">IFERROR(INDEX(DB!Q$2:Q$2576,T2255),"")</f>
        <v/>
      </c>
      <c r="K2255" s="43"/>
      <c r="L2255" s="41" t="str" cm="1">
        <f t="array" ref="L2255">IFERROR(INDEX(DB!R$2:R$2576,T2255),"")</f>
        <v/>
      </c>
      <c r="M2255" s="43"/>
      <c r="P2255" t="str" cm="1">
        <f t="array" ref="P2255">IFERROR(_xlfn.AGGREGATE(15,6,ROW(DB!A$2:A$2576)/((($D$3&lt;&gt;"YES")+($D$3="YES")*(DB!E$2:E$2576="YES"))*(($D$4="")+($D$4&lt;&gt;"")*( DB!B$2:B$2576=$D$4))*(($D$5="")+($D$5&lt;&gt;"")*( DB!C$2:C$2576=$D$5))*(($D$6="")+($D$6&lt;&gt;"")*( DB!D$2:D$2576=$D$6))*(($D$7="")+($D$7&lt;&gt;"")*(ISNUMBER(SEARCH($D$7,DB!G$2:G$2576))))*(($F$7="전체")+($F$7&lt;&gt;"전체")*(DB!H$2:H$2576=$F$7))),ROW()-13)-1,"")</f>
        <v/>
      </c>
      <c r="Q2255" t="str" cm="1">
        <f t="array" ref="Q2255">IFERROR(INDEX(DB!G$2:G$2576,P2255),"")</f>
        <v/>
      </c>
      <c r="R2255" t="str" cm="1">
        <f t="array" ref="R2255">IFERROR(INDEX(DB!O$2:O$2576,P2255),"")</f>
        <v/>
      </c>
      <c r="S2255" t="str">
        <f t="shared" ref="S2255:S2318" si="108">IF(P2255="","",COUNTIF($Q$14:$Q$2587,"&lt;"&amp;Q2255)*100+COUNTIF($R$14:$R$2587,"&lt;"&amp;R2255)+(ROW()-13)*0.001)</f>
        <v/>
      </c>
      <c r="T2255" t="str">
        <f t="shared" ref="T2255:T2318" si="109">IFERROR(INDEX($P$14:$P$2587,MATCH(SMALL($S$14:$S$2587,ROW()-13),$S$14:$S$2587,0)),"")</f>
        <v/>
      </c>
    </row>
    <row r="2256" spans="1:20" ht="100" customHeight="1">
      <c r="A2256" s="26"/>
      <c r="B2256" s="39" t="str">
        <f t="shared" si="107"/>
        <v/>
      </c>
      <c r="C2256" s="43"/>
      <c r="D2256" s="51" t="str" cm="1">
        <f t="array" ref="D2256">IFERROR(INDEX(DB!G$2:G$2576,T2256),"")</f>
        <v/>
      </c>
      <c r="E2256" s="43"/>
      <c r="F2256" s="52" t="str" cm="1">
        <f t="array" ref="F2256">IFERROR(INDEX(DB!O$2:O$2576,T2256),"")</f>
        <v/>
      </c>
      <c r="G2256" s="43"/>
      <c r="H2256" s="40" t="str" cm="1">
        <f t="array" ref="H2256">IFERROR(INDEX(DB!P$2:P$2576,T2256),"")</f>
        <v/>
      </c>
      <c r="I2256" s="43"/>
      <c r="J2256" s="53" t="str" cm="1">
        <f t="array" ref="J2256">IFERROR(INDEX(DB!Q$2:Q$2576,T2256),"")</f>
        <v/>
      </c>
      <c r="K2256" s="43"/>
      <c r="L2256" s="41" t="str" cm="1">
        <f t="array" ref="L2256">IFERROR(INDEX(DB!R$2:R$2576,T2256),"")</f>
        <v/>
      </c>
      <c r="M2256" s="43"/>
      <c r="P2256" t="str" cm="1">
        <f t="array" ref="P2256">IFERROR(_xlfn.AGGREGATE(15,6,ROW(DB!A$2:A$2576)/((($D$3&lt;&gt;"YES")+($D$3="YES")*(DB!E$2:E$2576="YES"))*(($D$4="")+($D$4&lt;&gt;"")*( DB!B$2:B$2576=$D$4))*(($D$5="")+($D$5&lt;&gt;"")*( DB!C$2:C$2576=$D$5))*(($D$6="")+($D$6&lt;&gt;"")*( DB!D$2:D$2576=$D$6))*(($D$7="")+($D$7&lt;&gt;"")*(ISNUMBER(SEARCH($D$7,DB!G$2:G$2576))))*(($F$7="전체")+($F$7&lt;&gt;"전체")*(DB!H$2:H$2576=$F$7))),ROW()-13)-1,"")</f>
        <v/>
      </c>
      <c r="Q2256" t="str" cm="1">
        <f t="array" ref="Q2256">IFERROR(INDEX(DB!G$2:G$2576,P2256),"")</f>
        <v/>
      </c>
      <c r="R2256" t="str" cm="1">
        <f t="array" ref="R2256">IFERROR(INDEX(DB!O$2:O$2576,P2256),"")</f>
        <v/>
      </c>
      <c r="S2256" t="str">
        <f t="shared" si="108"/>
        <v/>
      </c>
      <c r="T2256" t="str">
        <f t="shared" si="109"/>
        <v/>
      </c>
    </row>
    <row r="2257" spans="1:20" ht="100" customHeight="1">
      <c r="A2257" s="26"/>
      <c r="B2257" s="42" t="str">
        <f t="shared" si="107"/>
        <v/>
      </c>
      <c r="C2257" s="43"/>
      <c r="D2257" s="51" t="str" cm="1">
        <f t="array" ref="D2257">IFERROR(INDEX(DB!G$2:G$2576,T2257),"")</f>
        <v/>
      </c>
      <c r="E2257" s="43"/>
      <c r="F2257" s="52" t="str" cm="1">
        <f t="array" ref="F2257">IFERROR(INDEX(DB!O$2:O$2576,T2257),"")</f>
        <v/>
      </c>
      <c r="G2257" s="43"/>
      <c r="H2257" s="40" t="str" cm="1">
        <f t="array" ref="H2257">IFERROR(INDEX(DB!P$2:P$2576,T2257),"")</f>
        <v/>
      </c>
      <c r="I2257" s="43"/>
      <c r="J2257" s="53" t="str" cm="1">
        <f t="array" ref="J2257">IFERROR(INDEX(DB!Q$2:Q$2576,T2257),"")</f>
        <v/>
      </c>
      <c r="K2257" s="43"/>
      <c r="L2257" s="41" t="str" cm="1">
        <f t="array" ref="L2257">IFERROR(INDEX(DB!R$2:R$2576,T2257),"")</f>
        <v/>
      </c>
      <c r="M2257" s="43"/>
      <c r="P2257" t="str" cm="1">
        <f t="array" ref="P2257">IFERROR(_xlfn.AGGREGATE(15,6,ROW(DB!A$2:A$2576)/((($D$3&lt;&gt;"YES")+($D$3="YES")*(DB!E$2:E$2576="YES"))*(($D$4="")+($D$4&lt;&gt;"")*( DB!B$2:B$2576=$D$4))*(($D$5="")+($D$5&lt;&gt;"")*( DB!C$2:C$2576=$D$5))*(($D$6="")+($D$6&lt;&gt;"")*( DB!D$2:D$2576=$D$6))*(($D$7="")+($D$7&lt;&gt;"")*(ISNUMBER(SEARCH($D$7,DB!G$2:G$2576))))*(($F$7="전체")+($F$7&lt;&gt;"전체")*(DB!H$2:H$2576=$F$7))),ROW()-13)-1,"")</f>
        <v/>
      </c>
      <c r="Q2257" t="str" cm="1">
        <f t="array" ref="Q2257">IFERROR(INDEX(DB!G$2:G$2576,P2257),"")</f>
        <v/>
      </c>
      <c r="R2257" t="str" cm="1">
        <f t="array" ref="R2257">IFERROR(INDEX(DB!O$2:O$2576,P2257),"")</f>
        <v/>
      </c>
      <c r="S2257" t="str">
        <f t="shared" si="108"/>
        <v/>
      </c>
      <c r="T2257" t="str">
        <f t="shared" si="109"/>
        <v/>
      </c>
    </row>
    <row r="2258" spans="1:20" ht="100" customHeight="1">
      <c r="A2258" s="26"/>
      <c r="B2258" s="39" t="str">
        <f t="shared" si="107"/>
        <v/>
      </c>
      <c r="C2258" s="43"/>
      <c r="D2258" s="51" t="str" cm="1">
        <f t="array" ref="D2258">IFERROR(INDEX(DB!G$2:G$2576,T2258),"")</f>
        <v/>
      </c>
      <c r="E2258" s="43"/>
      <c r="F2258" s="52" t="str" cm="1">
        <f t="array" ref="F2258">IFERROR(INDEX(DB!O$2:O$2576,T2258),"")</f>
        <v/>
      </c>
      <c r="G2258" s="43"/>
      <c r="H2258" s="40" t="str" cm="1">
        <f t="array" ref="H2258">IFERROR(INDEX(DB!P$2:P$2576,T2258),"")</f>
        <v/>
      </c>
      <c r="I2258" s="43"/>
      <c r="J2258" s="53" t="str" cm="1">
        <f t="array" ref="J2258">IFERROR(INDEX(DB!Q$2:Q$2576,T2258),"")</f>
        <v/>
      </c>
      <c r="K2258" s="43"/>
      <c r="L2258" s="41" t="str" cm="1">
        <f t="array" ref="L2258">IFERROR(INDEX(DB!R$2:R$2576,T2258),"")</f>
        <v/>
      </c>
      <c r="M2258" s="43"/>
      <c r="P2258" t="str" cm="1">
        <f t="array" ref="P2258">IFERROR(_xlfn.AGGREGATE(15,6,ROW(DB!A$2:A$2576)/((($D$3&lt;&gt;"YES")+($D$3="YES")*(DB!E$2:E$2576="YES"))*(($D$4="")+($D$4&lt;&gt;"")*( DB!B$2:B$2576=$D$4))*(($D$5="")+($D$5&lt;&gt;"")*( DB!C$2:C$2576=$D$5))*(($D$6="")+($D$6&lt;&gt;"")*( DB!D$2:D$2576=$D$6))*(($D$7="")+($D$7&lt;&gt;"")*(ISNUMBER(SEARCH($D$7,DB!G$2:G$2576))))*(($F$7="전체")+($F$7&lt;&gt;"전체")*(DB!H$2:H$2576=$F$7))),ROW()-13)-1,"")</f>
        <v/>
      </c>
      <c r="Q2258" t="str" cm="1">
        <f t="array" ref="Q2258">IFERROR(INDEX(DB!G$2:G$2576,P2258),"")</f>
        <v/>
      </c>
      <c r="R2258" t="str" cm="1">
        <f t="array" ref="R2258">IFERROR(INDEX(DB!O$2:O$2576,P2258),"")</f>
        <v/>
      </c>
      <c r="S2258" t="str">
        <f t="shared" si="108"/>
        <v/>
      </c>
      <c r="T2258" t="str">
        <f t="shared" si="109"/>
        <v/>
      </c>
    </row>
    <row r="2259" spans="1:20" ht="100" customHeight="1">
      <c r="A2259" s="26"/>
      <c r="B2259" s="42" t="str">
        <f t="shared" si="107"/>
        <v/>
      </c>
      <c r="C2259" s="43"/>
      <c r="D2259" s="51" t="str" cm="1">
        <f t="array" ref="D2259">IFERROR(INDEX(DB!G$2:G$2576,T2259),"")</f>
        <v/>
      </c>
      <c r="E2259" s="43"/>
      <c r="F2259" s="52" t="str" cm="1">
        <f t="array" ref="F2259">IFERROR(INDEX(DB!O$2:O$2576,T2259),"")</f>
        <v/>
      </c>
      <c r="G2259" s="43"/>
      <c r="H2259" s="40" t="str" cm="1">
        <f t="array" ref="H2259">IFERROR(INDEX(DB!P$2:P$2576,T2259),"")</f>
        <v/>
      </c>
      <c r="I2259" s="43"/>
      <c r="J2259" s="53" t="str" cm="1">
        <f t="array" ref="J2259">IFERROR(INDEX(DB!Q$2:Q$2576,T2259),"")</f>
        <v/>
      </c>
      <c r="K2259" s="43"/>
      <c r="L2259" s="41" t="str" cm="1">
        <f t="array" ref="L2259">IFERROR(INDEX(DB!R$2:R$2576,T2259),"")</f>
        <v/>
      </c>
      <c r="M2259" s="43"/>
      <c r="P2259" t="str" cm="1">
        <f t="array" ref="P2259">IFERROR(_xlfn.AGGREGATE(15,6,ROW(DB!A$2:A$2576)/((($D$3&lt;&gt;"YES")+($D$3="YES")*(DB!E$2:E$2576="YES"))*(($D$4="")+($D$4&lt;&gt;"")*( DB!B$2:B$2576=$D$4))*(($D$5="")+($D$5&lt;&gt;"")*( DB!C$2:C$2576=$D$5))*(($D$6="")+($D$6&lt;&gt;"")*( DB!D$2:D$2576=$D$6))*(($D$7="")+($D$7&lt;&gt;"")*(ISNUMBER(SEARCH($D$7,DB!G$2:G$2576))))*(($F$7="전체")+($F$7&lt;&gt;"전체")*(DB!H$2:H$2576=$F$7))),ROW()-13)-1,"")</f>
        <v/>
      </c>
      <c r="Q2259" t="str" cm="1">
        <f t="array" ref="Q2259">IFERROR(INDEX(DB!G$2:G$2576,P2259),"")</f>
        <v/>
      </c>
      <c r="R2259" t="str" cm="1">
        <f t="array" ref="R2259">IFERROR(INDEX(DB!O$2:O$2576,P2259),"")</f>
        <v/>
      </c>
      <c r="S2259" t="str">
        <f t="shared" si="108"/>
        <v/>
      </c>
      <c r="T2259" t="str">
        <f t="shared" si="109"/>
        <v/>
      </c>
    </row>
    <row r="2260" spans="1:20" ht="100" customHeight="1">
      <c r="A2260" s="26"/>
      <c r="B2260" s="39" t="str">
        <f t="shared" si="107"/>
        <v/>
      </c>
      <c r="C2260" s="43"/>
      <c r="D2260" s="51" t="str" cm="1">
        <f t="array" ref="D2260">IFERROR(INDEX(DB!G$2:G$2576,T2260),"")</f>
        <v/>
      </c>
      <c r="E2260" s="43"/>
      <c r="F2260" s="52" t="str" cm="1">
        <f t="array" ref="F2260">IFERROR(INDEX(DB!O$2:O$2576,T2260),"")</f>
        <v/>
      </c>
      <c r="G2260" s="43"/>
      <c r="H2260" s="40" t="str" cm="1">
        <f t="array" ref="H2260">IFERROR(INDEX(DB!P$2:P$2576,T2260),"")</f>
        <v/>
      </c>
      <c r="I2260" s="43"/>
      <c r="J2260" s="53" t="str" cm="1">
        <f t="array" ref="J2260">IFERROR(INDEX(DB!Q$2:Q$2576,T2260),"")</f>
        <v/>
      </c>
      <c r="K2260" s="43"/>
      <c r="L2260" s="41" t="str" cm="1">
        <f t="array" ref="L2260">IFERROR(INDEX(DB!R$2:R$2576,T2260),"")</f>
        <v/>
      </c>
      <c r="M2260" s="43"/>
      <c r="P2260" t="str" cm="1">
        <f t="array" ref="P2260">IFERROR(_xlfn.AGGREGATE(15,6,ROW(DB!A$2:A$2576)/((($D$3&lt;&gt;"YES")+($D$3="YES")*(DB!E$2:E$2576="YES"))*(($D$4="")+($D$4&lt;&gt;"")*( DB!B$2:B$2576=$D$4))*(($D$5="")+($D$5&lt;&gt;"")*( DB!C$2:C$2576=$D$5))*(($D$6="")+($D$6&lt;&gt;"")*( DB!D$2:D$2576=$D$6))*(($D$7="")+($D$7&lt;&gt;"")*(ISNUMBER(SEARCH($D$7,DB!G$2:G$2576))))*(($F$7="전체")+($F$7&lt;&gt;"전체")*(DB!H$2:H$2576=$F$7))),ROW()-13)-1,"")</f>
        <v/>
      </c>
      <c r="Q2260" t="str" cm="1">
        <f t="array" ref="Q2260">IFERROR(INDEX(DB!G$2:G$2576,P2260),"")</f>
        <v/>
      </c>
      <c r="R2260" t="str" cm="1">
        <f t="array" ref="R2260">IFERROR(INDEX(DB!O$2:O$2576,P2260),"")</f>
        <v/>
      </c>
      <c r="S2260" t="str">
        <f t="shared" si="108"/>
        <v/>
      </c>
      <c r="T2260" t="str">
        <f t="shared" si="109"/>
        <v/>
      </c>
    </row>
    <row r="2261" spans="1:20" ht="100" customHeight="1">
      <c r="A2261" s="26"/>
      <c r="B2261" s="42" t="str">
        <f t="shared" si="107"/>
        <v/>
      </c>
      <c r="C2261" s="43"/>
      <c r="D2261" s="51" t="str" cm="1">
        <f t="array" ref="D2261">IFERROR(INDEX(DB!G$2:G$2576,T2261),"")</f>
        <v/>
      </c>
      <c r="E2261" s="43"/>
      <c r="F2261" s="52" t="str" cm="1">
        <f t="array" ref="F2261">IFERROR(INDEX(DB!O$2:O$2576,T2261),"")</f>
        <v/>
      </c>
      <c r="G2261" s="43"/>
      <c r="H2261" s="40" t="str" cm="1">
        <f t="array" ref="H2261">IFERROR(INDEX(DB!P$2:P$2576,T2261),"")</f>
        <v/>
      </c>
      <c r="I2261" s="43"/>
      <c r="J2261" s="53" t="str" cm="1">
        <f t="array" ref="J2261">IFERROR(INDEX(DB!Q$2:Q$2576,T2261),"")</f>
        <v/>
      </c>
      <c r="K2261" s="43"/>
      <c r="L2261" s="41" t="str" cm="1">
        <f t="array" ref="L2261">IFERROR(INDEX(DB!R$2:R$2576,T2261),"")</f>
        <v/>
      </c>
      <c r="M2261" s="43"/>
      <c r="P2261" t="str" cm="1">
        <f t="array" ref="P2261">IFERROR(_xlfn.AGGREGATE(15,6,ROW(DB!A$2:A$2576)/((($D$3&lt;&gt;"YES")+($D$3="YES")*(DB!E$2:E$2576="YES"))*(($D$4="")+($D$4&lt;&gt;"")*( DB!B$2:B$2576=$D$4))*(($D$5="")+($D$5&lt;&gt;"")*( DB!C$2:C$2576=$D$5))*(($D$6="")+($D$6&lt;&gt;"")*( DB!D$2:D$2576=$D$6))*(($D$7="")+($D$7&lt;&gt;"")*(ISNUMBER(SEARCH($D$7,DB!G$2:G$2576))))*(($F$7="전체")+($F$7&lt;&gt;"전체")*(DB!H$2:H$2576=$F$7))),ROW()-13)-1,"")</f>
        <v/>
      </c>
      <c r="Q2261" t="str" cm="1">
        <f t="array" ref="Q2261">IFERROR(INDEX(DB!G$2:G$2576,P2261),"")</f>
        <v/>
      </c>
      <c r="R2261" t="str" cm="1">
        <f t="array" ref="R2261">IFERROR(INDEX(DB!O$2:O$2576,P2261),"")</f>
        <v/>
      </c>
      <c r="S2261" t="str">
        <f t="shared" si="108"/>
        <v/>
      </c>
      <c r="T2261" t="str">
        <f t="shared" si="109"/>
        <v/>
      </c>
    </row>
    <row r="2262" spans="1:20" ht="100" customHeight="1">
      <c r="A2262" s="26"/>
      <c r="B2262" s="39" t="str">
        <f t="shared" si="107"/>
        <v/>
      </c>
      <c r="C2262" s="43"/>
      <c r="D2262" s="51" t="str" cm="1">
        <f t="array" ref="D2262">IFERROR(INDEX(DB!G$2:G$2576,T2262),"")</f>
        <v/>
      </c>
      <c r="E2262" s="43"/>
      <c r="F2262" s="52" t="str" cm="1">
        <f t="array" ref="F2262">IFERROR(INDEX(DB!O$2:O$2576,T2262),"")</f>
        <v/>
      </c>
      <c r="G2262" s="43"/>
      <c r="H2262" s="40" t="str" cm="1">
        <f t="array" ref="H2262">IFERROR(INDEX(DB!P$2:P$2576,T2262),"")</f>
        <v/>
      </c>
      <c r="I2262" s="43"/>
      <c r="J2262" s="53" t="str" cm="1">
        <f t="array" ref="J2262">IFERROR(INDEX(DB!Q$2:Q$2576,T2262),"")</f>
        <v/>
      </c>
      <c r="K2262" s="43"/>
      <c r="L2262" s="41" t="str" cm="1">
        <f t="array" ref="L2262">IFERROR(INDEX(DB!R$2:R$2576,T2262),"")</f>
        <v/>
      </c>
      <c r="M2262" s="43"/>
      <c r="P2262" t="str" cm="1">
        <f t="array" ref="P2262">IFERROR(_xlfn.AGGREGATE(15,6,ROW(DB!A$2:A$2576)/((($D$3&lt;&gt;"YES")+($D$3="YES")*(DB!E$2:E$2576="YES"))*(($D$4="")+($D$4&lt;&gt;"")*( DB!B$2:B$2576=$D$4))*(($D$5="")+($D$5&lt;&gt;"")*( DB!C$2:C$2576=$D$5))*(($D$6="")+($D$6&lt;&gt;"")*( DB!D$2:D$2576=$D$6))*(($D$7="")+($D$7&lt;&gt;"")*(ISNUMBER(SEARCH($D$7,DB!G$2:G$2576))))*(($F$7="전체")+($F$7&lt;&gt;"전체")*(DB!H$2:H$2576=$F$7))),ROW()-13)-1,"")</f>
        <v/>
      </c>
      <c r="Q2262" t="str" cm="1">
        <f t="array" ref="Q2262">IFERROR(INDEX(DB!G$2:G$2576,P2262),"")</f>
        <v/>
      </c>
      <c r="R2262" t="str" cm="1">
        <f t="array" ref="R2262">IFERROR(INDEX(DB!O$2:O$2576,P2262),"")</f>
        <v/>
      </c>
      <c r="S2262" t="str">
        <f t="shared" si="108"/>
        <v/>
      </c>
      <c r="T2262" t="str">
        <f t="shared" si="109"/>
        <v/>
      </c>
    </row>
    <row r="2263" spans="1:20" ht="100" customHeight="1">
      <c r="A2263" s="26"/>
      <c r="B2263" s="42" t="str">
        <f t="shared" si="107"/>
        <v/>
      </c>
      <c r="C2263" s="43"/>
      <c r="D2263" s="51" t="str" cm="1">
        <f t="array" ref="D2263">IFERROR(INDEX(DB!G$2:G$2576,T2263),"")</f>
        <v/>
      </c>
      <c r="E2263" s="43"/>
      <c r="F2263" s="52" t="str" cm="1">
        <f t="array" ref="F2263">IFERROR(INDEX(DB!O$2:O$2576,T2263),"")</f>
        <v/>
      </c>
      <c r="G2263" s="43"/>
      <c r="H2263" s="40" t="str" cm="1">
        <f t="array" ref="H2263">IFERROR(INDEX(DB!P$2:P$2576,T2263),"")</f>
        <v/>
      </c>
      <c r="I2263" s="43"/>
      <c r="J2263" s="53" t="str" cm="1">
        <f t="array" ref="J2263">IFERROR(INDEX(DB!Q$2:Q$2576,T2263),"")</f>
        <v/>
      </c>
      <c r="K2263" s="43"/>
      <c r="L2263" s="41" t="str" cm="1">
        <f t="array" ref="L2263">IFERROR(INDEX(DB!R$2:R$2576,T2263),"")</f>
        <v/>
      </c>
      <c r="M2263" s="43"/>
      <c r="P2263" t="str" cm="1">
        <f t="array" ref="P2263">IFERROR(_xlfn.AGGREGATE(15,6,ROW(DB!A$2:A$2576)/((($D$3&lt;&gt;"YES")+($D$3="YES")*(DB!E$2:E$2576="YES"))*(($D$4="")+($D$4&lt;&gt;"")*( DB!B$2:B$2576=$D$4))*(($D$5="")+($D$5&lt;&gt;"")*( DB!C$2:C$2576=$D$5))*(($D$6="")+($D$6&lt;&gt;"")*( DB!D$2:D$2576=$D$6))*(($D$7="")+($D$7&lt;&gt;"")*(ISNUMBER(SEARCH($D$7,DB!G$2:G$2576))))*(($F$7="전체")+($F$7&lt;&gt;"전체")*(DB!H$2:H$2576=$F$7))),ROW()-13)-1,"")</f>
        <v/>
      </c>
      <c r="Q2263" t="str" cm="1">
        <f t="array" ref="Q2263">IFERROR(INDEX(DB!G$2:G$2576,P2263),"")</f>
        <v/>
      </c>
      <c r="R2263" t="str" cm="1">
        <f t="array" ref="R2263">IFERROR(INDEX(DB!O$2:O$2576,P2263),"")</f>
        <v/>
      </c>
      <c r="S2263" t="str">
        <f t="shared" si="108"/>
        <v/>
      </c>
      <c r="T2263" t="str">
        <f t="shared" si="109"/>
        <v/>
      </c>
    </row>
    <row r="2264" spans="1:20" ht="100" customHeight="1">
      <c r="A2264" s="26"/>
      <c r="B2264" s="39" t="str">
        <f t="shared" si="107"/>
        <v/>
      </c>
      <c r="C2264" s="43"/>
      <c r="D2264" s="51" t="str" cm="1">
        <f t="array" ref="D2264">IFERROR(INDEX(DB!G$2:G$2576,T2264),"")</f>
        <v/>
      </c>
      <c r="E2264" s="43"/>
      <c r="F2264" s="52" t="str" cm="1">
        <f t="array" ref="F2264">IFERROR(INDEX(DB!O$2:O$2576,T2264),"")</f>
        <v/>
      </c>
      <c r="G2264" s="43"/>
      <c r="H2264" s="40" t="str" cm="1">
        <f t="array" ref="H2264">IFERROR(INDEX(DB!P$2:P$2576,T2264),"")</f>
        <v/>
      </c>
      <c r="I2264" s="43"/>
      <c r="J2264" s="53" t="str" cm="1">
        <f t="array" ref="J2264">IFERROR(INDEX(DB!Q$2:Q$2576,T2264),"")</f>
        <v/>
      </c>
      <c r="K2264" s="43"/>
      <c r="L2264" s="41" t="str" cm="1">
        <f t="array" ref="L2264">IFERROR(INDEX(DB!R$2:R$2576,T2264),"")</f>
        <v/>
      </c>
      <c r="M2264" s="43"/>
      <c r="P2264" t="str" cm="1">
        <f t="array" ref="P2264">IFERROR(_xlfn.AGGREGATE(15,6,ROW(DB!A$2:A$2576)/((($D$3&lt;&gt;"YES")+($D$3="YES")*(DB!E$2:E$2576="YES"))*(($D$4="")+($D$4&lt;&gt;"")*( DB!B$2:B$2576=$D$4))*(($D$5="")+($D$5&lt;&gt;"")*( DB!C$2:C$2576=$D$5))*(($D$6="")+($D$6&lt;&gt;"")*( DB!D$2:D$2576=$D$6))*(($D$7="")+($D$7&lt;&gt;"")*(ISNUMBER(SEARCH($D$7,DB!G$2:G$2576))))*(($F$7="전체")+($F$7&lt;&gt;"전체")*(DB!H$2:H$2576=$F$7))),ROW()-13)-1,"")</f>
        <v/>
      </c>
      <c r="Q2264" t="str" cm="1">
        <f t="array" ref="Q2264">IFERROR(INDEX(DB!G$2:G$2576,P2264),"")</f>
        <v/>
      </c>
      <c r="R2264" t="str" cm="1">
        <f t="array" ref="R2264">IFERROR(INDEX(DB!O$2:O$2576,P2264),"")</f>
        <v/>
      </c>
      <c r="S2264" t="str">
        <f t="shared" si="108"/>
        <v/>
      </c>
      <c r="T2264" t="str">
        <f t="shared" si="109"/>
        <v/>
      </c>
    </row>
    <row r="2265" spans="1:20" ht="100" customHeight="1">
      <c r="A2265" s="26"/>
      <c r="B2265" s="42" t="str">
        <f t="shared" si="107"/>
        <v/>
      </c>
      <c r="C2265" s="43"/>
      <c r="D2265" s="51" t="str" cm="1">
        <f t="array" ref="D2265">IFERROR(INDEX(DB!G$2:G$2576,T2265),"")</f>
        <v/>
      </c>
      <c r="E2265" s="43"/>
      <c r="F2265" s="52" t="str" cm="1">
        <f t="array" ref="F2265">IFERROR(INDEX(DB!O$2:O$2576,T2265),"")</f>
        <v/>
      </c>
      <c r="G2265" s="43"/>
      <c r="H2265" s="40" t="str" cm="1">
        <f t="array" ref="H2265">IFERROR(INDEX(DB!P$2:P$2576,T2265),"")</f>
        <v/>
      </c>
      <c r="I2265" s="43"/>
      <c r="J2265" s="53" t="str" cm="1">
        <f t="array" ref="J2265">IFERROR(INDEX(DB!Q$2:Q$2576,T2265),"")</f>
        <v/>
      </c>
      <c r="K2265" s="43"/>
      <c r="L2265" s="41" t="str" cm="1">
        <f t="array" ref="L2265">IFERROR(INDEX(DB!R$2:R$2576,T2265),"")</f>
        <v/>
      </c>
      <c r="M2265" s="43"/>
      <c r="P2265" t="str" cm="1">
        <f t="array" ref="P2265">IFERROR(_xlfn.AGGREGATE(15,6,ROW(DB!A$2:A$2576)/((($D$3&lt;&gt;"YES")+($D$3="YES")*(DB!E$2:E$2576="YES"))*(($D$4="")+($D$4&lt;&gt;"")*( DB!B$2:B$2576=$D$4))*(($D$5="")+($D$5&lt;&gt;"")*( DB!C$2:C$2576=$D$5))*(($D$6="")+($D$6&lt;&gt;"")*( DB!D$2:D$2576=$D$6))*(($D$7="")+($D$7&lt;&gt;"")*(ISNUMBER(SEARCH($D$7,DB!G$2:G$2576))))*(($F$7="전체")+($F$7&lt;&gt;"전체")*(DB!H$2:H$2576=$F$7))),ROW()-13)-1,"")</f>
        <v/>
      </c>
      <c r="Q2265" t="str" cm="1">
        <f t="array" ref="Q2265">IFERROR(INDEX(DB!G$2:G$2576,P2265),"")</f>
        <v/>
      </c>
      <c r="R2265" t="str" cm="1">
        <f t="array" ref="R2265">IFERROR(INDEX(DB!O$2:O$2576,P2265),"")</f>
        <v/>
      </c>
      <c r="S2265" t="str">
        <f t="shared" si="108"/>
        <v/>
      </c>
      <c r="T2265" t="str">
        <f t="shared" si="109"/>
        <v/>
      </c>
    </row>
    <row r="2266" spans="1:20" ht="100" customHeight="1">
      <c r="A2266" s="26"/>
      <c r="B2266" s="39" t="str">
        <f t="shared" si="107"/>
        <v/>
      </c>
      <c r="C2266" s="43"/>
      <c r="D2266" s="51" t="str" cm="1">
        <f t="array" ref="D2266">IFERROR(INDEX(DB!G$2:G$2576,T2266),"")</f>
        <v/>
      </c>
      <c r="E2266" s="43"/>
      <c r="F2266" s="52" t="str" cm="1">
        <f t="array" ref="F2266">IFERROR(INDEX(DB!O$2:O$2576,T2266),"")</f>
        <v/>
      </c>
      <c r="G2266" s="43"/>
      <c r="H2266" s="40" t="str" cm="1">
        <f t="array" ref="H2266">IFERROR(INDEX(DB!P$2:P$2576,T2266),"")</f>
        <v/>
      </c>
      <c r="I2266" s="43"/>
      <c r="J2266" s="53" t="str" cm="1">
        <f t="array" ref="J2266">IFERROR(INDEX(DB!Q$2:Q$2576,T2266),"")</f>
        <v/>
      </c>
      <c r="K2266" s="43"/>
      <c r="L2266" s="41" t="str" cm="1">
        <f t="array" ref="L2266">IFERROR(INDEX(DB!R$2:R$2576,T2266),"")</f>
        <v/>
      </c>
      <c r="M2266" s="43"/>
      <c r="P2266" t="str" cm="1">
        <f t="array" ref="P2266">IFERROR(_xlfn.AGGREGATE(15,6,ROW(DB!A$2:A$2576)/((($D$3&lt;&gt;"YES")+($D$3="YES")*(DB!E$2:E$2576="YES"))*(($D$4="")+($D$4&lt;&gt;"")*( DB!B$2:B$2576=$D$4))*(($D$5="")+($D$5&lt;&gt;"")*( DB!C$2:C$2576=$D$5))*(($D$6="")+($D$6&lt;&gt;"")*( DB!D$2:D$2576=$D$6))*(($D$7="")+($D$7&lt;&gt;"")*(ISNUMBER(SEARCH($D$7,DB!G$2:G$2576))))*(($F$7="전체")+($F$7&lt;&gt;"전체")*(DB!H$2:H$2576=$F$7))),ROW()-13)-1,"")</f>
        <v/>
      </c>
      <c r="Q2266" t="str" cm="1">
        <f t="array" ref="Q2266">IFERROR(INDEX(DB!G$2:G$2576,P2266),"")</f>
        <v/>
      </c>
      <c r="R2266" t="str" cm="1">
        <f t="array" ref="R2266">IFERROR(INDEX(DB!O$2:O$2576,P2266),"")</f>
        <v/>
      </c>
      <c r="S2266" t="str">
        <f t="shared" si="108"/>
        <v/>
      </c>
      <c r="T2266" t="str">
        <f t="shared" si="109"/>
        <v/>
      </c>
    </row>
    <row r="2267" spans="1:20" ht="100" customHeight="1">
      <c r="A2267" s="26"/>
      <c r="B2267" s="42" t="str">
        <f t="shared" si="107"/>
        <v/>
      </c>
      <c r="C2267" s="43"/>
      <c r="D2267" s="51" t="str" cm="1">
        <f t="array" ref="D2267">IFERROR(INDEX(DB!G$2:G$2576,T2267),"")</f>
        <v/>
      </c>
      <c r="E2267" s="43"/>
      <c r="F2267" s="52" t="str" cm="1">
        <f t="array" ref="F2267">IFERROR(INDEX(DB!O$2:O$2576,T2267),"")</f>
        <v/>
      </c>
      <c r="G2267" s="43"/>
      <c r="H2267" s="40" t="str" cm="1">
        <f t="array" ref="H2267">IFERROR(INDEX(DB!P$2:P$2576,T2267),"")</f>
        <v/>
      </c>
      <c r="I2267" s="43"/>
      <c r="J2267" s="53" t="str" cm="1">
        <f t="array" ref="J2267">IFERROR(INDEX(DB!Q$2:Q$2576,T2267),"")</f>
        <v/>
      </c>
      <c r="K2267" s="43"/>
      <c r="L2267" s="41" t="str" cm="1">
        <f t="array" ref="L2267">IFERROR(INDEX(DB!R$2:R$2576,T2267),"")</f>
        <v/>
      </c>
      <c r="M2267" s="43"/>
      <c r="P2267" t="str" cm="1">
        <f t="array" ref="P2267">IFERROR(_xlfn.AGGREGATE(15,6,ROW(DB!A$2:A$2576)/((($D$3&lt;&gt;"YES")+($D$3="YES")*(DB!E$2:E$2576="YES"))*(($D$4="")+($D$4&lt;&gt;"")*( DB!B$2:B$2576=$D$4))*(($D$5="")+($D$5&lt;&gt;"")*( DB!C$2:C$2576=$D$5))*(($D$6="")+($D$6&lt;&gt;"")*( DB!D$2:D$2576=$D$6))*(($D$7="")+($D$7&lt;&gt;"")*(ISNUMBER(SEARCH($D$7,DB!G$2:G$2576))))*(($F$7="전체")+($F$7&lt;&gt;"전체")*(DB!H$2:H$2576=$F$7))),ROW()-13)-1,"")</f>
        <v/>
      </c>
      <c r="Q2267" t="str" cm="1">
        <f t="array" ref="Q2267">IFERROR(INDEX(DB!G$2:G$2576,P2267),"")</f>
        <v/>
      </c>
      <c r="R2267" t="str" cm="1">
        <f t="array" ref="R2267">IFERROR(INDEX(DB!O$2:O$2576,P2267),"")</f>
        <v/>
      </c>
      <c r="S2267" t="str">
        <f t="shared" si="108"/>
        <v/>
      </c>
      <c r="T2267" t="str">
        <f t="shared" si="109"/>
        <v/>
      </c>
    </row>
    <row r="2268" spans="1:20" ht="100" customHeight="1">
      <c r="A2268" s="26"/>
      <c r="B2268" s="39" t="str">
        <f t="shared" si="107"/>
        <v/>
      </c>
      <c r="C2268" s="43"/>
      <c r="D2268" s="51" t="str" cm="1">
        <f t="array" ref="D2268">IFERROR(INDEX(DB!G$2:G$2576,T2268),"")</f>
        <v/>
      </c>
      <c r="E2268" s="43"/>
      <c r="F2268" s="52" t="str" cm="1">
        <f t="array" ref="F2268">IFERROR(INDEX(DB!O$2:O$2576,T2268),"")</f>
        <v/>
      </c>
      <c r="G2268" s="43"/>
      <c r="H2268" s="40" t="str" cm="1">
        <f t="array" ref="H2268">IFERROR(INDEX(DB!P$2:P$2576,T2268),"")</f>
        <v/>
      </c>
      <c r="I2268" s="43"/>
      <c r="J2268" s="53" t="str" cm="1">
        <f t="array" ref="J2268">IFERROR(INDEX(DB!Q$2:Q$2576,T2268),"")</f>
        <v/>
      </c>
      <c r="K2268" s="43"/>
      <c r="L2268" s="41" t="str" cm="1">
        <f t="array" ref="L2268">IFERROR(INDEX(DB!R$2:R$2576,T2268),"")</f>
        <v/>
      </c>
      <c r="M2268" s="43"/>
      <c r="P2268" t="str" cm="1">
        <f t="array" ref="P2268">IFERROR(_xlfn.AGGREGATE(15,6,ROW(DB!A$2:A$2576)/((($D$3&lt;&gt;"YES")+($D$3="YES")*(DB!E$2:E$2576="YES"))*(($D$4="")+($D$4&lt;&gt;"")*( DB!B$2:B$2576=$D$4))*(($D$5="")+($D$5&lt;&gt;"")*( DB!C$2:C$2576=$D$5))*(($D$6="")+($D$6&lt;&gt;"")*( DB!D$2:D$2576=$D$6))*(($D$7="")+($D$7&lt;&gt;"")*(ISNUMBER(SEARCH($D$7,DB!G$2:G$2576))))*(($F$7="전체")+($F$7&lt;&gt;"전체")*(DB!H$2:H$2576=$F$7))),ROW()-13)-1,"")</f>
        <v/>
      </c>
      <c r="Q2268" t="str" cm="1">
        <f t="array" ref="Q2268">IFERROR(INDEX(DB!G$2:G$2576,P2268),"")</f>
        <v/>
      </c>
      <c r="R2268" t="str" cm="1">
        <f t="array" ref="R2268">IFERROR(INDEX(DB!O$2:O$2576,P2268),"")</f>
        <v/>
      </c>
      <c r="S2268" t="str">
        <f t="shared" si="108"/>
        <v/>
      </c>
      <c r="T2268" t="str">
        <f t="shared" si="109"/>
        <v/>
      </c>
    </row>
    <row r="2269" spans="1:20" ht="100" customHeight="1">
      <c r="A2269" s="26"/>
      <c r="B2269" s="42" t="str">
        <f t="shared" si="107"/>
        <v/>
      </c>
      <c r="C2269" s="43"/>
      <c r="D2269" s="51" t="str" cm="1">
        <f t="array" ref="D2269">IFERROR(INDEX(DB!G$2:G$2576,T2269),"")</f>
        <v/>
      </c>
      <c r="E2269" s="43"/>
      <c r="F2269" s="52" t="str" cm="1">
        <f t="array" ref="F2269">IFERROR(INDEX(DB!O$2:O$2576,T2269),"")</f>
        <v/>
      </c>
      <c r="G2269" s="43"/>
      <c r="H2269" s="40" t="str" cm="1">
        <f t="array" ref="H2269">IFERROR(INDEX(DB!P$2:P$2576,T2269),"")</f>
        <v/>
      </c>
      <c r="I2269" s="43"/>
      <c r="J2269" s="53" t="str" cm="1">
        <f t="array" ref="J2269">IFERROR(INDEX(DB!Q$2:Q$2576,T2269),"")</f>
        <v/>
      </c>
      <c r="K2269" s="43"/>
      <c r="L2269" s="41" t="str" cm="1">
        <f t="array" ref="L2269">IFERROR(INDEX(DB!R$2:R$2576,T2269),"")</f>
        <v/>
      </c>
      <c r="M2269" s="43"/>
      <c r="P2269" t="str" cm="1">
        <f t="array" ref="P2269">IFERROR(_xlfn.AGGREGATE(15,6,ROW(DB!A$2:A$2576)/((($D$3&lt;&gt;"YES")+($D$3="YES")*(DB!E$2:E$2576="YES"))*(($D$4="")+($D$4&lt;&gt;"")*( DB!B$2:B$2576=$D$4))*(($D$5="")+($D$5&lt;&gt;"")*( DB!C$2:C$2576=$D$5))*(($D$6="")+($D$6&lt;&gt;"")*( DB!D$2:D$2576=$D$6))*(($D$7="")+($D$7&lt;&gt;"")*(ISNUMBER(SEARCH($D$7,DB!G$2:G$2576))))*(($F$7="전체")+($F$7&lt;&gt;"전체")*(DB!H$2:H$2576=$F$7))),ROW()-13)-1,"")</f>
        <v/>
      </c>
      <c r="Q2269" t="str" cm="1">
        <f t="array" ref="Q2269">IFERROR(INDEX(DB!G$2:G$2576,P2269),"")</f>
        <v/>
      </c>
      <c r="R2269" t="str" cm="1">
        <f t="array" ref="R2269">IFERROR(INDEX(DB!O$2:O$2576,P2269),"")</f>
        <v/>
      </c>
      <c r="S2269" t="str">
        <f t="shared" si="108"/>
        <v/>
      </c>
      <c r="T2269" t="str">
        <f t="shared" si="109"/>
        <v/>
      </c>
    </row>
    <row r="2270" spans="1:20" ht="100" customHeight="1">
      <c r="A2270" s="26"/>
      <c r="B2270" s="39" t="str">
        <f t="shared" si="107"/>
        <v/>
      </c>
      <c r="C2270" s="43"/>
      <c r="D2270" s="51" t="str" cm="1">
        <f t="array" ref="D2270">IFERROR(INDEX(DB!G$2:G$2576,T2270),"")</f>
        <v/>
      </c>
      <c r="E2270" s="43"/>
      <c r="F2270" s="52" t="str" cm="1">
        <f t="array" ref="F2270">IFERROR(INDEX(DB!O$2:O$2576,T2270),"")</f>
        <v/>
      </c>
      <c r="G2270" s="43"/>
      <c r="H2270" s="40" t="str" cm="1">
        <f t="array" ref="H2270">IFERROR(INDEX(DB!P$2:P$2576,T2270),"")</f>
        <v/>
      </c>
      <c r="I2270" s="43"/>
      <c r="J2270" s="53" t="str" cm="1">
        <f t="array" ref="J2270">IFERROR(INDEX(DB!Q$2:Q$2576,T2270),"")</f>
        <v/>
      </c>
      <c r="K2270" s="43"/>
      <c r="L2270" s="41" t="str" cm="1">
        <f t="array" ref="L2270">IFERROR(INDEX(DB!R$2:R$2576,T2270),"")</f>
        <v/>
      </c>
      <c r="M2270" s="43"/>
      <c r="P2270" t="str" cm="1">
        <f t="array" ref="P2270">IFERROR(_xlfn.AGGREGATE(15,6,ROW(DB!A$2:A$2576)/((($D$3&lt;&gt;"YES")+($D$3="YES")*(DB!E$2:E$2576="YES"))*(($D$4="")+($D$4&lt;&gt;"")*( DB!B$2:B$2576=$D$4))*(($D$5="")+($D$5&lt;&gt;"")*( DB!C$2:C$2576=$D$5))*(($D$6="")+($D$6&lt;&gt;"")*( DB!D$2:D$2576=$D$6))*(($D$7="")+($D$7&lt;&gt;"")*(ISNUMBER(SEARCH($D$7,DB!G$2:G$2576))))*(($F$7="전체")+($F$7&lt;&gt;"전체")*(DB!H$2:H$2576=$F$7))),ROW()-13)-1,"")</f>
        <v/>
      </c>
      <c r="Q2270" t="str" cm="1">
        <f t="array" ref="Q2270">IFERROR(INDEX(DB!G$2:G$2576,P2270),"")</f>
        <v/>
      </c>
      <c r="R2270" t="str" cm="1">
        <f t="array" ref="R2270">IFERROR(INDEX(DB!O$2:O$2576,P2270),"")</f>
        <v/>
      </c>
      <c r="S2270" t="str">
        <f t="shared" si="108"/>
        <v/>
      </c>
      <c r="T2270" t="str">
        <f t="shared" si="109"/>
        <v/>
      </c>
    </row>
    <row r="2271" spans="1:20" ht="100" customHeight="1">
      <c r="A2271" s="26"/>
      <c r="B2271" s="42" t="str">
        <f t="shared" si="107"/>
        <v/>
      </c>
      <c r="C2271" s="43"/>
      <c r="D2271" s="51" t="str" cm="1">
        <f t="array" ref="D2271">IFERROR(INDEX(DB!G$2:G$2576,T2271),"")</f>
        <v/>
      </c>
      <c r="E2271" s="43"/>
      <c r="F2271" s="52" t="str" cm="1">
        <f t="array" ref="F2271">IFERROR(INDEX(DB!O$2:O$2576,T2271),"")</f>
        <v/>
      </c>
      <c r="G2271" s="43"/>
      <c r="H2271" s="40" t="str" cm="1">
        <f t="array" ref="H2271">IFERROR(INDEX(DB!P$2:P$2576,T2271),"")</f>
        <v/>
      </c>
      <c r="I2271" s="43"/>
      <c r="J2271" s="53" t="str" cm="1">
        <f t="array" ref="J2271">IFERROR(INDEX(DB!Q$2:Q$2576,T2271),"")</f>
        <v/>
      </c>
      <c r="K2271" s="43"/>
      <c r="L2271" s="41" t="str" cm="1">
        <f t="array" ref="L2271">IFERROR(INDEX(DB!R$2:R$2576,T2271),"")</f>
        <v/>
      </c>
      <c r="M2271" s="43"/>
      <c r="P2271" t="str" cm="1">
        <f t="array" ref="P2271">IFERROR(_xlfn.AGGREGATE(15,6,ROW(DB!A$2:A$2576)/((($D$3&lt;&gt;"YES")+($D$3="YES")*(DB!E$2:E$2576="YES"))*(($D$4="")+($D$4&lt;&gt;"")*( DB!B$2:B$2576=$D$4))*(($D$5="")+($D$5&lt;&gt;"")*( DB!C$2:C$2576=$D$5))*(($D$6="")+($D$6&lt;&gt;"")*( DB!D$2:D$2576=$D$6))*(($D$7="")+($D$7&lt;&gt;"")*(ISNUMBER(SEARCH($D$7,DB!G$2:G$2576))))*(($F$7="전체")+($F$7&lt;&gt;"전체")*(DB!H$2:H$2576=$F$7))),ROW()-13)-1,"")</f>
        <v/>
      </c>
      <c r="Q2271" t="str" cm="1">
        <f t="array" ref="Q2271">IFERROR(INDEX(DB!G$2:G$2576,P2271),"")</f>
        <v/>
      </c>
      <c r="R2271" t="str" cm="1">
        <f t="array" ref="R2271">IFERROR(INDEX(DB!O$2:O$2576,P2271),"")</f>
        <v/>
      </c>
      <c r="S2271" t="str">
        <f t="shared" si="108"/>
        <v/>
      </c>
      <c r="T2271" t="str">
        <f t="shared" si="109"/>
        <v/>
      </c>
    </row>
    <row r="2272" spans="1:20" ht="100" customHeight="1">
      <c r="A2272" s="26"/>
      <c r="B2272" s="39" t="str">
        <f t="shared" si="107"/>
        <v/>
      </c>
      <c r="C2272" s="43"/>
      <c r="D2272" s="51" t="str" cm="1">
        <f t="array" ref="D2272">IFERROR(INDEX(DB!G$2:G$2576,T2272),"")</f>
        <v/>
      </c>
      <c r="E2272" s="43"/>
      <c r="F2272" s="52" t="str" cm="1">
        <f t="array" ref="F2272">IFERROR(INDEX(DB!O$2:O$2576,T2272),"")</f>
        <v/>
      </c>
      <c r="G2272" s="43"/>
      <c r="H2272" s="40" t="str" cm="1">
        <f t="array" ref="H2272">IFERROR(INDEX(DB!P$2:P$2576,T2272),"")</f>
        <v/>
      </c>
      <c r="I2272" s="43"/>
      <c r="J2272" s="53" t="str" cm="1">
        <f t="array" ref="J2272">IFERROR(INDEX(DB!Q$2:Q$2576,T2272),"")</f>
        <v/>
      </c>
      <c r="K2272" s="43"/>
      <c r="L2272" s="41" t="str" cm="1">
        <f t="array" ref="L2272">IFERROR(INDEX(DB!R$2:R$2576,T2272),"")</f>
        <v/>
      </c>
      <c r="M2272" s="43"/>
      <c r="P2272" t="str" cm="1">
        <f t="array" ref="P2272">IFERROR(_xlfn.AGGREGATE(15,6,ROW(DB!A$2:A$2576)/((($D$3&lt;&gt;"YES")+($D$3="YES")*(DB!E$2:E$2576="YES"))*(($D$4="")+($D$4&lt;&gt;"")*( DB!B$2:B$2576=$D$4))*(($D$5="")+($D$5&lt;&gt;"")*( DB!C$2:C$2576=$D$5))*(($D$6="")+($D$6&lt;&gt;"")*( DB!D$2:D$2576=$D$6))*(($D$7="")+($D$7&lt;&gt;"")*(ISNUMBER(SEARCH($D$7,DB!G$2:G$2576))))*(($F$7="전체")+($F$7&lt;&gt;"전체")*(DB!H$2:H$2576=$F$7))),ROW()-13)-1,"")</f>
        <v/>
      </c>
      <c r="Q2272" t="str" cm="1">
        <f t="array" ref="Q2272">IFERROR(INDEX(DB!G$2:G$2576,P2272),"")</f>
        <v/>
      </c>
      <c r="R2272" t="str" cm="1">
        <f t="array" ref="R2272">IFERROR(INDEX(DB!O$2:O$2576,P2272),"")</f>
        <v/>
      </c>
      <c r="S2272" t="str">
        <f t="shared" si="108"/>
        <v/>
      </c>
      <c r="T2272" t="str">
        <f t="shared" si="109"/>
        <v/>
      </c>
    </row>
    <row r="2273" spans="1:20" ht="100" customHeight="1">
      <c r="A2273" s="26"/>
      <c r="B2273" s="42" t="str">
        <f t="shared" si="107"/>
        <v/>
      </c>
      <c r="C2273" s="43"/>
      <c r="D2273" s="51" t="str" cm="1">
        <f t="array" ref="D2273">IFERROR(INDEX(DB!G$2:G$2576,T2273),"")</f>
        <v/>
      </c>
      <c r="E2273" s="43"/>
      <c r="F2273" s="52" t="str" cm="1">
        <f t="array" ref="F2273">IFERROR(INDEX(DB!O$2:O$2576,T2273),"")</f>
        <v/>
      </c>
      <c r="G2273" s="43"/>
      <c r="H2273" s="40" t="str" cm="1">
        <f t="array" ref="H2273">IFERROR(INDEX(DB!P$2:P$2576,T2273),"")</f>
        <v/>
      </c>
      <c r="I2273" s="43"/>
      <c r="J2273" s="53" t="str" cm="1">
        <f t="array" ref="J2273">IFERROR(INDEX(DB!Q$2:Q$2576,T2273),"")</f>
        <v/>
      </c>
      <c r="K2273" s="43"/>
      <c r="L2273" s="41" t="str" cm="1">
        <f t="array" ref="L2273">IFERROR(INDEX(DB!R$2:R$2576,T2273),"")</f>
        <v/>
      </c>
      <c r="M2273" s="43"/>
      <c r="P2273" t="str" cm="1">
        <f t="array" ref="P2273">IFERROR(_xlfn.AGGREGATE(15,6,ROW(DB!A$2:A$2576)/((($D$3&lt;&gt;"YES")+($D$3="YES")*(DB!E$2:E$2576="YES"))*(($D$4="")+($D$4&lt;&gt;"")*( DB!B$2:B$2576=$D$4))*(($D$5="")+($D$5&lt;&gt;"")*( DB!C$2:C$2576=$D$5))*(($D$6="")+($D$6&lt;&gt;"")*( DB!D$2:D$2576=$D$6))*(($D$7="")+($D$7&lt;&gt;"")*(ISNUMBER(SEARCH($D$7,DB!G$2:G$2576))))*(($F$7="전체")+($F$7&lt;&gt;"전체")*(DB!H$2:H$2576=$F$7))),ROW()-13)-1,"")</f>
        <v/>
      </c>
      <c r="Q2273" t="str" cm="1">
        <f t="array" ref="Q2273">IFERROR(INDEX(DB!G$2:G$2576,P2273),"")</f>
        <v/>
      </c>
      <c r="R2273" t="str" cm="1">
        <f t="array" ref="R2273">IFERROR(INDEX(DB!O$2:O$2576,P2273),"")</f>
        <v/>
      </c>
      <c r="S2273" t="str">
        <f t="shared" si="108"/>
        <v/>
      </c>
      <c r="T2273" t="str">
        <f t="shared" si="109"/>
        <v/>
      </c>
    </row>
    <row r="2274" spans="1:20" ht="100" customHeight="1">
      <c r="A2274" s="26"/>
      <c r="B2274" s="39" t="str">
        <f t="shared" si="107"/>
        <v/>
      </c>
      <c r="C2274" s="43"/>
      <c r="D2274" s="51" t="str" cm="1">
        <f t="array" ref="D2274">IFERROR(INDEX(DB!G$2:G$2576,T2274),"")</f>
        <v/>
      </c>
      <c r="E2274" s="43"/>
      <c r="F2274" s="52" t="str" cm="1">
        <f t="array" ref="F2274">IFERROR(INDEX(DB!O$2:O$2576,T2274),"")</f>
        <v/>
      </c>
      <c r="G2274" s="43"/>
      <c r="H2274" s="40" t="str" cm="1">
        <f t="array" ref="H2274">IFERROR(INDEX(DB!P$2:P$2576,T2274),"")</f>
        <v/>
      </c>
      <c r="I2274" s="43"/>
      <c r="J2274" s="53" t="str" cm="1">
        <f t="array" ref="J2274">IFERROR(INDEX(DB!Q$2:Q$2576,T2274),"")</f>
        <v/>
      </c>
      <c r="K2274" s="43"/>
      <c r="L2274" s="41" t="str" cm="1">
        <f t="array" ref="L2274">IFERROR(INDEX(DB!R$2:R$2576,T2274),"")</f>
        <v/>
      </c>
      <c r="M2274" s="43"/>
      <c r="P2274" t="str" cm="1">
        <f t="array" ref="P2274">IFERROR(_xlfn.AGGREGATE(15,6,ROW(DB!A$2:A$2576)/((($D$3&lt;&gt;"YES")+($D$3="YES")*(DB!E$2:E$2576="YES"))*(($D$4="")+($D$4&lt;&gt;"")*( DB!B$2:B$2576=$D$4))*(($D$5="")+($D$5&lt;&gt;"")*( DB!C$2:C$2576=$D$5))*(($D$6="")+($D$6&lt;&gt;"")*( DB!D$2:D$2576=$D$6))*(($D$7="")+($D$7&lt;&gt;"")*(ISNUMBER(SEARCH($D$7,DB!G$2:G$2576))))*(($F$7="전체")+($F$7&lt;&gt;"전체")*(DB!H$2:H$2576=$F$7))),ROW()-13)-1,"")</f>
        <v/>
      </c>
      <c r="Q2274" t="str" cm="1">
        <f t="array" ref="Q2274">IFERROR(INDEX(DB!G$2:G$2576,P2274),"")</f>
        <v/>
      </c>
      <c r="R2274" t="str" cm="1">
        <f t="array" ref="R2274">IFERROR(INDEX(DB!O$2:O$2576,P2274),"")</f>
        <v/>
      </c>
      <c r="S2274" t="str">
        <f t="shared" si="108"/>
        <v/>
      </c>
      <c r="T2274" t="str">
        <f t="shared" si="109"/>
        <v/>
      </c>
    </row>
    <row r="2275" spans="1:20" ht="100" customHeight="1">
      <c r="A2275" s="26"/>
      <c r="B2275" s="42" t="str">
        <f t="shared" si="107"/>
        <v/>
      </c>
      <c r="C2275" s="43"/>
      <c r="D2275" s="51" t="str" cm="1">
        <f t="array" ref="D2275">IFERROR(INDEX(DB!G$2:G$2576,T2275),"")</f>
        <v/>
      </c>
      <c r="E2275" s="43"/>
      <c r="F2275" s="52" t="str" cm="1">
        <f t="array" ref="F2275">IFERROR(INDEX(DB!O$2:O$2576,T2275),"")</f>
        <v/>
      </c>
      <c r="G2275" s="43"/>
      <c r="H2275" s="40" t="str" cm="1">
        <f t="array" ref="H2275">IFERROR(INDEX(DB!P$2:P$2576,T2275),"")</f>
        <v/>
      </c>
      <c r="I2275" s="43"/>
      <c r="J2275" s="53" t="str" cm="1">
        <f t="array" ref="J2275">IFERROR(INDEX(DB!Q$2:Q$2576,T2275),"")</f>
        <v/>
      </c>
      <c r="K2275" s="43"/>
      <c r="L2275" s="41" t="str" cm="1">
        <f t="array" ref="L2275">IFERROR(INDEX(DB!R$2:R$2576,T2275),"")</f>
        <v/>
      </c>
      <c r="M2275" s="43"/>
      <c r="P2275" t="str" cm="1">
        <f t="array" ref="P2275">IFERROR(_xlfn.AGGREGATE(15,6,ROW(DB!A$2:A$2576)/((($D$3&lt;&gt;"YES")+($D$3="YES")*(DB!E$2:E$2576="YES"))*(($D$4="")+($D$4&lt;&gt;"")*( DB!B$2:B$2576=$D$4))*(($D$5="")+($D$5&lt;&gt;"")*( DB!C$2:C$2576=$D$5))*(($D$6="")+($D$6&lt;&gt;"")*( DB!D$2:D$2576=$D$6))*(($D$7="")+($D$7&lt;&gt;"")*(ISNUMBER(SEARCH($D$7,DB!G$2:G$2576))))*(($F$7="전체")+($F$7&lt;&gt;"전체")*(DB!H$2:H$2576=$F$7))),ROW()-13)-1,"")</f>
        <v/>
      </c>
      <c r="Q2275" t="str" cm="1">
        <f t="array" ref="Q2275">IFERROR(INDEX(DB!G$2:G$2576,P2275),"")</f>
        <v/>
      </c>
      <c r="R2275" t="str" cm="1">
        <f t="array" ref="R2275">IFERROR(INDEX(DB!O$2:O$2576,P2275),"")</f>
        <v/>
      </c>
      <c r="S2275" t="str">
        <f t="shared" si="108"/>
        <v/>
      </c>
      <c r="T2275" t="str">
        <f t="shared" si="109"/>
        <v/>
      </c>
    </row>
    <row r="2276" spans="1:20" ht="100" customHeight="1">
      <c r="A2276" s="26"/>
      <c r="B2276" s="39" t="str">
        <f t="shared" si="107"/>
        <v/>
      </c>
      <c r="C2276" s="43"/>
      <c r="D2276" s="51" t="str" cm="1">
        <f t="array" ref="D2276">IFERROR(INDEX(DB!G$2:G$2576,T2276),"")</f>
        <v/>
      </c>
      <c r="E2276" s="43"/>
      <c r="F2276" s="52" t="str" cm="1">
        <f t="array" ref="F2276">IFERROR(INDEX(DB!O$2:O$2576,T2276),"")</f>
        <v/>
      </c>
      <c r="G2276" s="43"/>
      <c r="H2276" s="40" t="str" cm="1">
        <f t="array" ref="H2276">IFERROR(INDEX(DB!P$2:P$2576,T2276),"")</f>
        <v/>
      </c>
      <c r="I2276" s="43"/>
      <c r="J2276" s="53" t="str" cm="1">
        <f t="array" ref="J2276">IFERROR(INDEX(DB!Q$2:Q$2576,T2276),"")</f>
        <v/>
      </c>
      <c r="K2276" s="43"/>
      <c r="L2276" s="41" t="str" cm="1">
        <f t="array" ref="L2276">IFERROR(INDEX(DB!R$2:R$2576,T2276),"")</f>
        <v/>
      </c>
      <c r="M2276" s="43"/>
      <c r="P2276" t="str" cm="1">
        <f t="array" ref="P2276">IFERROR(_xlfn.AGGREGATE(15,6,ROW(DB!A$2:A$2576)/((($D$3&lt;&gt;"YES")+($D$3="YES")*(DB!E$2:E$2576="YES"))*(($D$4="")+($D$4&lt;&gt;"")*( DB!B$2:B$2576=$D$4))*(($D$5="")+($D$5&lt;&gt;"")*( DB!C$2:C$2576=$D$5))*(($D$6="")+($D$6&lt;&gt;"")*( DB!D$2:D$2576=$D$6))*(($D$7="")+($D$7&lt;&gt;"")*(ISNUMBER(SEARCH($D$7,DB!G$2:G$2576))))*(($F$7="전체")+($F$7&lt;&gt;"전체")*(DB!H$2:H$2576=$F$7))),ROW()-13)-1,"")</f>
        <v/>
      </c>
      <c r="Q2276" t="str" cm="1">
        <f t="array" ref="Q2276">IFERROR(INDEX(DB!G$2:G$2576,P2276),"")</f>
        <v/>
      </c>
      <c r="R2276" t="str" cm="1">
        <f t="array" ref="R2276">IFERROR(INDEX(DB!O$2:O$2576,P2276),"")</f>
        <v/>
      </c>
      <c r="S2276" t="str">
        <f t="shared" si="108"/>
        <v/>
      </c>
      <c r="T2276" t="str">
        <f t="shared" si="109"/>
        <v/>
      </c>
    </row>
    <row r="2277" spans="1:20" ht="100" customHeight="1">
      <c r="A2277" s="26"/>
      <c r="B2277" s="42" t="str">
        <f t="shared" si="107"/>
        <v/>
      </c>
      <c r="C2277" s="43"/>
      <c r="D2277" s="51" t="str" cm="1">
        <f t="array" ref="D2277">IFERROR(INDEX(DB!G$2:G$2576,T2277),"")</f>
        <v/>
      </c>
      <c r="E2277" s="43"/>
      <c r="F2277" s="52" t="str" cm="1">
        <f t="array" ref="F2277">IFERROR(INDEX(DB!O$2:O$2576,T2277),"")</f>
        <v/>
      </c>
      <c r="G2277" s="43"/>
      <c r="H2277" s="40" t="str" cm="1">
        <f t="array" ref="H2277">IFERROR(INDEX(DB!P$2:P$2576,T2277),"")</f>
        <v/>
      </c>
      <c r="I2277" s="43"/>
      <c r="J2277" s="53" t="str" cm="1">
        <f t="array" ref="J2277">IFERROR(INDEX(DB!Q$2:Q$2576,T2277),"")</f>
        <v/>
      </c>
      <c r="K2277" s="43"/>
      <c r="L2277" s="41" t="str" cm="1">
        <f t="array" ref="L2277">IFERROR(INDEX(DB!R$2:R$2576,T2277),"")</f>
        <v/>
      </c>
      <c r="M2277" s="43"/>
      <c r="P2277" t="str" cm="1">
        <f t="array" ref="P2277">IFERROR(_xlfn.AGGREGATE(15,6,ROW(DB!A$2:A$2576)/((($D$3&lt;&gt;"YES")+($D$3="YES")*(DB!E$2:E$2576="YES"))*(($D$4="")+($D$4&lt;&gt;"")*( DB!B$2:B$2576=$D$4))*(($D$5="")+($D$5&lt;&gt;"")*( DB!C$2:C$2576=$D$5))*(($D$6="")+($D$6&lt;&gt;"")*( DB!D$2:D$2576=$D$6))*(($D$7="")+($D$7&lt;&gt;"")*(ISNUMBER(SEARCH($D$7,DB!G$2:G$2576))))*(($F$7="전체")+($F$7&lt;&gt;"전체")*(DB!H$2:H$2576=$F$7))),ROW()-13)-1,"")</f>
        <v/>
      </c>
      <c r="Q2277" t="str" cm="1">
        <f t="array" ref="Q2277">IFERROR(INDEX(DB!G$2:G$2576,P2277),"")</f>
        <v/>
      </c>
      <c r="R2277" t="str" cm="1">
        <f t="array" ref="R2277">IFERROR(INDEX(DB!O$2:O$2576,P2277),"")</f>
        <v/>
      </c>
      <c r="S2277" t="str">
        <f t="shared" si="108"/>
        <v/>
      </c>
      <c r="T2277" t="str">
        <f t="shared" si="109"/>
        <v/>
      </c>
    </row>
    <row r="2278" spans="1:20" ht="100" customHeight="1">
      <c r="A2278" s="26"/>
      <c r="B2278" s="39" t="str">
        <f t="shared" si="107"/>
        <v/>
      </c>
      <c r="C2278" s="43"/>
      <c r="D2278" s="51" t="str" cm="1">
        <f t="array" ref="D2278">IFERROR(INDEX(DB!G$2:G$2576,T2278),"")</f>
        <v/>
      </c>
      <c r="E2278" s="43"/>
      <c r="F2278" s="52" t="str" cm="1">
        <f t="array" ref="F2278">IFERROR(INDEX(DB!O$2:O$2576,T2278),"")</f>
        <v/>
      </c>
      <c r="G2278" s="43"/>
      <c r="H2278" s="40" t="str" cm="1">
        <f t="array" ref="H2278">IFERROR(INDEX(DB!P$2:P$2576,T2278),"")</f>
        <v/>
      </c>
      <c r="I2278" s="43"/>
      <c r="J2278" s="53" t="str" cm="1">
        <f t="array" ref="J2278">IFERROR(INDEX(DB!Q$2:Q$2576,T2278),"")</f>
        <v/>
      </c>
      <c r="K2278" s="43"/>
      <c r="L2278" s="41" t="str" cm="1">
        <f t="array" ref="L2278">IFERROR(INDEX(DB!R$2:R$2576,T2278),"")</f>
        <v/>
      </c>
      <c r="M2278" s="43"/>
      <c r="P2278" t="str" cm="1">
        <f t="array" ref="P2278">IFERROR(_xlfn.AGGREGATE(15,6,ROW(DB!A$2:A$2576)/((($D$3&lt;&gt;"YES")+($D$3="YES")*(DB!E$2:E$2576="YES"))*(($D$4="")+($D$4&lt;&gt;"")*( DB!B$2:B$2576=$D$4))*(($D$5="")+($D$5&lt;&gt;"")*( DB!C$2:C$2576=$D$5))*(($D$6="")+($D$6&lt;&gt;"")*( DB!D$2:D$2576=$D$6))*(($D$7="")+($D$7&lt;&gt;"")*(ISNUMBER(SEARCH($D$7,DB!G$2:G$2576))))*(($F$7="전체")+($F$7&lt;&gt;"전체")*(DB!H$2:H$2576=$F$7))),ROW()-13)-1,"")</f>
        <v/>
      </c>
      <c r="Q2278" t="str" cm="1">
        <f t="array" ref="Q2278">IFERROR(INDEX(DB!G$2:G$2576,P2278),"")</f>
        <v/>
      </c>
      <c r="R2278" t="str" cm="1">
        <f t="array" ref="R2278">IFERROR(INDEX(DB!O$2:O$2576,P2278),"")</f>
        <v/>
      </c>
      <c r="S2278" t="str">
        <f t="shared" si="108"/>
        <v/>
      </c>
      <c r="T2278" t="str">
        <f t="shared" si="109"/>
        <v/>
      </c>
    </row>
    <row r="2279" spans="1:20" ht="100" customHeight="1">
      <c r="A2279" s="26"/>
      <c r="B2279" s="42" t="str">
        <f t="shared" si="107"/>
        <v/>
      </c>
      <c r="C2279" s="43"/>
      <c r="D2279" s="51" t="str" cm="1">
        <f t="array" ref="D2279">IFERROR(INDEX(DB!G$2:G$2576,T2279),"")</f>
        <v/>
      </c>
      <c r="E2279" s="43"/>
      <c r="F2279" s="52" t="str" cm="1">
        <f t="array" ref="F2279">IFERROR(INDEX(DB!O$2:O$2576,T2279),"")</f>
        <v/>
      </c>
      <c r="G2279" s="43"/>
      <c r="H2279" s="40" t="str" cm="1">
        <f t="array" ref="H2279">IFERROR(INDEX(DB!P$2:P$2576,T2279),"")</f>
        <v/>
      </c>
      <c r="I2279" s="43"/>
      <c r="J2279" s="53" t="str" cm="1">
        <f t="array" ref="J2279">IFERROR(INDEX(DB!Q$2:Q$2576,T2279),"")</f>
        <v/>
      </c>
      <c r="K2279" s="43"/>
      <c r="L2279" s="41" t="str" cm="1">
        <f t="array" ref="L2279">IFERROR(INDEX(DB!R$2:R$2576,T2279),"")</f>
        <v/>
      </c>
      <c r="M2279" s="43"/>
      <c r="P2279" t="str" cm="1">
        <f t="array" ref="P2279">IFERROR(_xlfn.AGGREGATE(15,6,ROW(DB!A$2:A$2576)/((($D$3&lt;&gt;"YES")+($D$3="YES")*(DB!E$2:E$2576="YES"))*(($D$4="")+($D$4&lt;&gt;"")*( DB!B$2:B$2576=$D$4))*(($D$5="")+($D$5&lt;&gt;"")*( DB!C$2:C$2576=$D$5))*(($D$6="")+($D$6&lt;&gt;"")*( DB!D$2:D$2576=$D$6))*(($D$7="")+($D$7&lt;&gt;"")*(ISNUMBER(SEARCH($D$7,DB!G$2:G$2576))))*(($F$7="전체")+($F$7&lt;&gt;"전체")*(DB!H$2:H$2576=$F$7))),ROW()-13)-1,"")</f>
        <v/>
      </c>
      <c r="Q2279" t="str" cm="1">
        <f t="array" ref="Q2279">IFERROR(INDEX(DB!G$2:G$2576,P2279),"")</f>
        <v/>
      </c>
      <c r="R2279" t="str" cm="1">
        <f t="array" ref="R2279">IFERROR(INDEX(DB!O$2:O$2576,P2279),"")</f>
        <v/>
      </c>
      <c r="S2279" t="str">
        <f t="shared" si="108"/>
        <v/>
      </c>
      <c r="T2279" t="str">
        <f t="shared" si="109"/>
        <v/>
      </c>
    </row>
    <row r="2280" spans="1:20" ht="100" customHeight="1">
      <c r="A2280" s="26"/>
      <c r="B2280" s="39" t="str">
        <f t="shared" si="107"/>
        <v/>
      </c>
      <c r="C2280" s="43"/>
      <c r="D2280" s="51" t="str" cm="1">
        <f t="array" ref="D2280">IFERROR(INDEX(DB!G$2:G$2576,T2280),"")</f>
        <v/>
      </c>
      <c r="E2280" s="43"/>
      <c r="F2280" s="52" t="str" cm="1">
        <f t="array" ref="F2280">IFERROR(INDEX(DB!O$2:O$2576,T2280),"")</f>
        <v/>
      </c>
      <c r="G2280" s="43"/>
      <c r="H2280" s="40" t="str" cm="1">
        <f t="array" ref="H2280">IFERROR(INDEX(DB!P$2:P$2576,T2280),"")</f>
        <v/>
      </c>
      <c r="I2280" s="43"/>
      <c r="J2280" s="53" t="str" cm="1">
        <f t="array" ref="J2280">IFERROR(INDEX(DB!Q$2:Q$2576,T2280),"")</f>
        <v/>
      </c>
      <c r="K2280" s="43"/>
      <c r="L2280" s="41" t="str" cm="1">
        <f t="array" ref="L2280">IFERROR(INDEX(DB!R$2:R$2576,T2280),"")</f>
        <v/>
      </c>
      <c r="M2280" s="43"/>
      <c r="P2280" t="str" cm="1">
        <f t="array" ref="P2280">IFERROR(_xlfn.AGGREGATE(15,6,ROW(DB!A$2:A$2576)/((($D$3&lt;&gt;"YES")+($D$3="YES")*(DB!E$2:E$2576="YES"))*(($D$4="")+($D$4&lt;&gt;"")*( DB!B$2:B$2576=$D$4))*(($D$5="")+($D$5&lt;&gt;"")*( DB!C$2:C$2576=$D$5))*(($D$6="")+($D$6&lt;&gt;"")*( DB!D$2:D$2576=$D$6))*(($D$7="")+($D$7&lt;&gt;"")*(ISNUMBER(SEARCH($D$7,DB!G$2:G$2576))))*(($F$7="전체")+($F$7&lt;&gt;"전체")*(DB!H$2:H$2576=$F$7))),ROW()-13)-1,"")</f>
        <v/>
      </c>
      <c r="Q2280" t="str" cm="1">
        <f t="array" ref="Q2280">IFERROR(INDEX(DB!G$2:G$2576,P2280),"")</f>
        <v/>
      </c>
      <c r="R2280" t="str" cm="1">
        <f t="array" ref="R2280">IFERROR(INDEX(DB!O$2:O$2576,P2280),"")</f>
        <v/>
      </c>
      <c r="S2280" t="str">
        <f t="shared" si="108"/>
        <v/>
      </c>
      <c r="T2280" t="str">
        <f t="shared" si="109"/>
        <v/>
      </c>
    </row>
    <row r="2281" spans="1:20" ht="100" customHeight="1">
      <c r="A2281" s="26"/>
      <c r="B2281" s="42" t="str">
        <f t="shared" si="107"/>
        <v/>
      </c>
      <c r="C2281" s="43"/>
      <c r="D2281" s="51" t="str" cm="1">
        <f t="array" ref="D2281">IFERROR(INDEX(DB!G$2:G$2576,T2281),"")</f>
        <v/>
      </c>
      <c r="E2281" s="43"/>
      <c r="F2281" s="52" t="str" cm="1">
        <f t="array" ref="F2281">IFERROR(INDEX(DB!O$2:O$2576,T2281),"")</f>
        <v/>
      </c>
      <c r="G2281" s="43"/>
      <c r="H2281" s="40" t="str" cm="1">
        <f t="array" ref="H2281">IFERROR(INDEX(DB!P$2:P$2576,T2281),"")</f>
        <v/>
      </c>
      <c r="I2281" s="43"/>
      <c r="J2281" s="53" t="str" cm="1">
        <f t="array" ref="J2281">IFERROR(INDEX(DB!Q$2:Q$2576,T2281),"")</f>
        <v/>
      </c>
      <c r="K2281" s="43"/>
      <c r="L2281" s="41" t="str" cm="1">
        <f t="array" ref="L2281">IFERROR(INDEX(DB!R$2:R$2576,T2281),"")</f>
        <v/>
      </c>
      <c r="M2281" s="43"/>
      <c r="P2281" t="str" cm="1">
        <f t="array" ref="P2281">IFERROR(_xlfn.AGGREGATE(15,6,ROW(DB!A$2:A$2576)/((($D$3&lt;&gt;"YES")+($D$3="YES")*(DB!E$2:E$2576="YES"))*(($D$4="")+($D$4&lt;&gt;"")*( DB!B$2:B$2576=$D$4))*(($D$5="")+($D$5&lt;&gt;"")*( DB!C$2:C$2576=$D$5))*(($D$6="")+($D$6&lt;&gt;"")*( DB!D$2:D$2576=$D$6))*(($D$7="")+($D$7&lt;&gt;"")*(ISNUMBER(SEARCH($D$7,DB!G$2:G$2576))))*(($F$7="전체")+($F$7&lt;&gt;"전체")*(DB!H$2:H$2576=$F$7))),ROW()-13)-1,"")</f>
        <v/>
      </c>
      <c r="Q2281" t="str" cm="1">
        <f t="array" ref="Q2281">IFERROR(INDEX(DB!G$2:G$2576,P2281),"")</f>
        <v/>
      </c>
      <c r="R2281" t="str" cm="1">
        <f t="array" ref="R2281">IFERROR(INDEX(DB!O$2:O$2576,P2281),"")</f>
        <v/>
      </c>
      <c r="S2281" t="str">
        <f t="shared" si="108"/>
        <v/>
      </c>
      <c r="T2281" t="str">
        <f t="shared" si="109"/>
        <v/>
      </c>
    </row>
    <row r="2282" spans="1:20" ht="100" customHeight="1">
      <c r="A2282" s="26"/>
      <c r="B2282" s="39" t="str">
        <f t="shared" si="107"/>
        <v/>
      </c>
      <c r="C2282" s="43"/>
      <c r="D2282" s="51" t="str" cm="1">
        <f t="array" ref="D2282">IFERROR(INDEX(DB!G$2:G$2576,T2282),"")</f>
        <v/>
      </c>
      <c r="E2282" s="43"/>
      <c r="F2282" s="52" t="str" cm="1">
        <f t="array" ref="F2282">IFERROR(INDEX(DB!O$2:O$2576,T2282),"")</f>
        <v/>
      </c>
      <c r="G2282" s="43"/>
      <c r="H2282" s="40" t="str" cm="1">
        <f t="array" ref="H2282">IFERROR(INDEX(DB!P$2:P$2576,T2282),"")</f>
        <v/>
      </c>
      <c r="I2282" s="43"/>
      <c r="J2282" s="53" t="str" cm="1">
        <f t="array" ref="J2282">IFERROR(INDEX(DB!Q$2:Q$2576,T2282),"")</f>
        <v/>
      </c>
      <c r="K2282" s="43"/>
      <c r="L2282" s="41" t="str" cm="1">
        <f t="array" ref="L2282">IFERROR(INDEX(DB!R$2:R$2576,T2282),"")</f>
        <v/>
      </c>
      <c r="M2282" s="43"/>
      <c r="P2282" t="str" cm="1">
        <f t="array" ref="P2282">IFERROR(_xlfn.AGGREGATE(15,6,ROW(DB!A$2:A$2576)/((($D$3&lt;&gt;"YES")+($D$3="YES")*(DB!E$2:E$2576="YES"))*(($D$4="")+($D$4&lt;&gt;"")*( DB!B$2:B$2576=$D$4))*(($D$5="")+($D$5&lt;&gt;"")*( DB!C$2:C$2576=$D$5))*(($D$6="")+($D$6&lt;&gt;"")*( DB!D$2:D$2576=$D$6))*(($D$7="")+($D$7&lt;&gt;"")*(ISNUMBER(SEARCH($D$7,DB!G$2:G$2576))))*(($F$7="전체")+($F$7&lt;&gt;"전체")*(DB!H$2:H$2576=$F$7))),ROW()-13)-1,"")</f>
        <v/>
      </c>
      <c r="Q2282" t="str" cm="1">
        <f t="array" ref="Q2282">IFERROR(INDEX(DB!G$2:G$2576,P2282),"")</f>
        <v/>
      </c>
      <c r="R2282" t="str" cm="1">
        <f t="array" ref="R2282">IFERROR(INDEX(DB!O$2:O$2576,P2282),"")</f>
        <v/>
      </c>
      <c r="S2282" t="str">
        <f t="shared" si="108"/>
        <v/>
      </c>
      <c r="T2282" t="str">
        <f t="shared" si="109"/>
        <v/>
      </c>
    </row>
    <row r="2283" spans="1:20" ht="100" customHeight="1">
      <c r="A2283" s="26"/>
      <c r="B2283" s="42" t="str">
        <f t="shared" si="107"/>
        <v/>
      </c>
      <c r="C2283" s="43"/>
      <c r="D2283" s="51" t="str" cm="1">
        <f t="array" ref="D2283">IFERROR(INDEX(DB!G$2:G$2576,T2283),"")</f>
        <v/>
      </c>
      <c r="E2283" s="43"/>
      <c r="F2283" s="52" t="str" cm="1">
        <f t="array" ref="F2283">IFERROR(INDEX(DB!O$2:O$2576,T2283),"")</f>
        <v/>
      </c>
      <c r="G2283" s="43"/>
      <c r="H2283" s="40" t="str" cm="1">
        <f t="array" ref="H2283">IFERROR(INDEX(DB!P$2:P$2576,T2283),"")</f>
        <v/>
      </c>
      <c r="I2283" s="43"/>
      <c r="J2283" s="53" t="str" cm="1">
        <f t="array" ref="J2283">IFERROR(INDEX(DB!Q$2:Q$2576,T2283),"")</f>
        <v/>
      </c>
      <c r="K2283" s="43"/>
      <c r="L2283" s="41" t="str" cm="1">
        <f t="array" ref="L2283">IFERROR(INDEX(DB!R$2:R$2576,T2283),"")</f>
        <v/>
      </c>
      <c r="M2283" s="43"/>
      <c r="P2283" t="str" cm="1">
        <f t="array" ref="P2283">IFERROR(_xlfn.AGGREGATE(15,6,ROW(DB!A$2:A$2576)/((($D$3&lt;&gt;"YES")+($D$3="YES")*(DB!E$2:E$2576="YES"))*(($D$4="")+($D$4&lt;&gt;"")*( DB!B$2:B$2576=$D$4))*(($D$5="")+($D$5&lt;&gt;"")*( DB!C$2:C$2576=$D$5))*(($D$6="")+($D$6&lt;&gt;"")*( DB!D$2:D$2576=$D$6))*(($D$7="")+($D$7&lt;&gt;"")*(ISNUMBER(SEARCH($D$7,DB!G$2:G$2576))))*(($F$7="전체")+($F$7&lt;&gt;"전체")*(DB!H$2:H$2576=$F$7))),ROW()-13)-1,"")</f>
        <v/>
      </c>
      <c r="Q2283" t="str" cm="1">
        <f t="array" ref="Q2283">IFERROR(INDEX(DB!G$2:G$2576,P2283),"")</f>
        <v/>
      </c>
      <c r="R2283" t="str" cm="1">
        <f t="array" ref="R2283">IFERROR(INDEX(DB!O$2:O$2576,P2283),"")</f>
        <v/>
      </c>
      <c r="S2283" t="str">
        <f t="shared" si="108"/>
        <v/>
      </c>
      <c r="T2283" t="str">
        <f t="shared" si="109"/>
        <v/>
      </c>
    </row>
    <row r="2284" spans="1:20" ht="100" customHeight="1">
      <c r="A2284" s="26"/>
      <c r="B2284" s="39" t="str">
        <f t="shared" si="107"/>
        <v/>
      </c>
      <c r="C2284" s="43"/>
      <c r="D2284" s="51" t="str" cm="1">
        <f t="array" ref="D2284">IFERROR(INDEX(DB!G$2:G$2576,T2284),"")</f>
        <v/>
      </c>
      <c r="E2284" s="43"/>
      <c r="F2284" s="52" t="str" cm="1">
        <f t="array" ref="F2284">IFERROR(INDEX(DB!O$2:O$2576,T2284),"")</f>
        <v/>
      </c>
      <c r="G2284" s="43"/>
      <c r="H2284" s="40" t="str" cm="1">
        <f t="array" ref="H2284">IFERROR(INDEX(DB!P$2:P$2576,T2284),"")</f>
        <v/>
      </c>
      <c r="I2284" s="43"/>
      <c r="J2284" s="53" t="str" cm="1">
        <f t="array" ref="J2284">IFERROR(INDEX(DB!Q$2:Q$2576,T2284),"")</f>
        <v/>
      </c>
      <c r="K2284" s="43"/>
      <c r="L2284" s="41" t="str" cm="1">
        <f t="array" ref="L2284">IFERROR(INDEX(DB!R$2:R$2576,T2284),"")</f>
        <v/>
      </c>
      <c r="M2284" s="43"/>
      <c r="P2284" t="str" cm="1">
        <f t="array" ref="P2284">IFERROR(_xlfn.AGGREGATE(15,6,ROW(DB!A$2:A$2576)/((($D$3&lt;&gt;"YES")+($D$3="YES")*(DB!E$2:E$2576="YES"))*(($D$4="")+($D$4&lt;&gt;"")*( DB!B$2:B$2576=$D$4))*(($D$5="")+($D$5&lt;&gt;"")*( DB!C$2:C$2576=$D$5))*(($D$6="")+($D$6&lt;&gt;"")*( DB!D$2:D$2576=$D$6))*(($D$7="")+($D$7&lt;&gt;"")*(ISNUMBER(SEARCH($D$7,DB!G$2:G$2576))))*(($F$7="전체")+($F$7&lt;&gt;"전체")*(DB!H$2:H$2576=$F$7))),ROW()-13)-1,"")</f>
        <v/>
      </c>
      <c r="Q2284" t="str" cm="1">
        <f t="array" ref="Q2284">IFERROR(INDEX(DB!G$2:G$2576,P2284),"")</f>
        <v/>
      </c>
      <c r="R2284" t="str" cm="1">
        <f t="array" ref="R2284">IFERROR(INDEX(DB!O$2:O$2576,P2284),"")</f>
        <v/>
      </c>
      <c r="S2284" t="str">
        <f t="shared" si="108"/>
        <v/>
      </c>
      <c r="T2284" t="str">
        <f t="shared" si="109"/>
        <v/>
      </c>
    </row>
    <row r="2285" spans="1:20" ht="100" customHeight="1">
      <c r="A2285" s="26"/>
      <c r="B2285" s="42" t="str">
        <f t="shared" si="107"/>
        <v/>
      </c>
      <c r="C2285" s="43"/>
      <c r="D2285" s="51" t="str" cm="1">
        <f t="array" ref="D2285">IFERROR(INDEX(DB!G$2:G$2576,T2285),"")</f>
        <v/>
      </c>
      <c r="E2285" s="43"/>
      <c r="F2285" s="52" t="str" cm="1">
        <f t="array" ref="F2285">IFERROR(INDEX(DB!O$2:O$2576,T2285),"")</f>
        <v/>
      </c>
      <c r="G2285" s="43"/>
      <c r="H2285" s="40" t="str" cm="1">
        <f t="array" ref="H2285">IFERROR(INDEX(DB!P$2:P$2576,T2285),"")</f>
        <v/>
      </c>
      <c r="I2285" s="43"/>
      <c r="J2285" s="53" t="str" cm="1">
        <f t="array" ref="J2285">IFERROR(INDEX(DB!Q$2:Q$2576,T2285),"")</f>
        <v/>
      </c>
      <c r="K2285" s="43"/>
      <c r="L2285" s="41" t="str" cm="1">
        <f t="array" ref="L2285">IFERROR(INDEX(DB!R$2:R$2576,T2285),"")</f>
        <v/>
      </c>
      <c r="M2285" s="43"/>
      <c r="P2285" t="str" cm="1">
        <f t="array" ref="P2285">IFERROR(_xlfn.AGGREGATE(15,6,ROW(DB!A$2:A$2576)/((($D$3&lt;&gt;"YES")+($D$3="YES")*(DB!E$2:E$2576="YES"))*(($D$4="")+($D$4&lt;&gt;"")*( DB!B$2:B$2576=$D$4))*(($D$5="")+($D$5&lt;&gt;"")*( DB!C$2:C$2576=$D$5))*(($D$6="")+($D$6&lt;&gt;"")*( DB!D$2:D$2576=$D$6))*(($D$7="")+($D$7&lt;&gt;"")*(ISNUMBER(SEARCH($D$7,DB!G$2:G$2576))))*(($F$7="전체")+($F$7&lt;&gt;"전체")*(DB!H$2:H$2576=$F$7))),ROW()-13)-1,"")</f>
        <v/>
      </c>
      <c r="Q2285" t="str" cm="1">
        <f t="array" ref="Q2285">IFERROR(INDEX(DB!G$2:G$2576,P2285),"")</f>
        <v/>
      </c>
      <c r="R2285" t="str" cm="1">
        <f t="array" ref="R2285">IFERROR(INDEX(DB!O$2:O$2576,P2285),"")</f>
        <v/>
      </c>
      <c r="S2285" t="str">
        <f t="shared" si="108"/>
        <v/>
      </c>
      <c r="T2285" t="str">
        <f t="shared" si="109"/>
        <v/>
      </c>
    </row>
    <row r="2286" spans="1:20" ht="100" customHeight="1">
      <c r="A2286" s="26"/>
      <c r="B2286" s="39" t="str">
        <f t="shared" si="107"/>
        <v/>
      </c>
      <c r="C2286" s="43"/>
      <c r="D2286" s="51" t="str" cm="1">
        <f t="array" ref="D2286">IFERROR(INDEX(DB!G$2:G$2576,T2286),"")</f>
        <v/>
      </c>
      <c r="E2286" s="43"/>
      <c r="F2286" s="52" t="str" cm="1">
        <f t="array" ref="F2286">IFERROR(INDEX(DB!O$2:O$2576,T2286),"")</f>
        <v/>
      </c>
      <c r="G2286" s="43"/>
      <c r="H2286" s="40" t="str" cm="1">
        <f t="array" ref="H2286">IFERROR(INDEX(DB!P$2:P$2576,T2286),"")</f>
        <v/>
      </c>
      <c r="I2286" s="43"/>
      <c r="J2286" s="53" t="str" cm="1">
        <f t="array" ref="J2286">IFERROR(INDEX(DB!Q$2:Q$2576,T2286),"")</f>
        <v/>
      </c>
      <c r="K2286" s="43"/>
      <c r="L2286" s="41" t="str" cm="1">
        <f t="array" ref="L2286">IFERROR(INDEX(DB!R$2:R$2576,T2286),"")</f>
        <v/>
      </c>
      <c r="M2286" s="43"/>
      <c r="P2286" t="str" cm="1">
        <f t="array" ref="P2286">IFERROR(_xlfn.AGGREGATE(15,6,ROW(DB!A$2:A$2576)/((($D$3&lt;&gt;"YES")+($D$3="YES")*(DB!E$2:E$2576="YES"))*(($D$4="")+($D$4&lt;&gt;"")*( DB!B$2:B$2576=$D$4))*(($D$5="")+($D$5&lt;&gt;"")*( DB!C$2:C$2576=$D$5))*(($D$6="")+($D$6&lt;&gt;"")*( DB!D$2:D$2576=$D$6))*(($D$7="")+($D$7&lt;&gt;"")*(ISNUMBER(SEARCH($D$7,DB!G$2:G$2576))))*(($F$7="전체")+($F$7&lt;&gt;"전체")*(DB!H$2:H$2576=$F$7))),ROW()-13)-1,"")</f>
        <v/>
      </c>
      <c r="Q2286" t="str" cm="1">
        <f t="array" ref="Q2286">IFERROR(INDEX(DB!G$2:G$2576,P2286),"")</f>
        <v/>
      </c>
      <c r="R2286" t="str" cm="1">
        <f t="array" ref="R2286">IFERROR(INDEX(DB!O$2:O$2576,P2286),"")</f>
        <v/>
      </c>
      <c r="S2286" t="str">
        <f t="shared" si="108"/>
        <v/>
      </c>
      <c r="T2286" t="str">
        <f t="shared" si="109"/>
        <v/>
      </c>
    </row>
    <row r="2287" spans="1:20" ht="100" customHeight="1">
      <c r="A2287" s="26"/>
      <c r="B2287" s="42" t="str">
        <f t="shared" si="107"/>
        <v/>
      </c>
      <c r="C2287" s="43"/>
      <c r="D2287" s="51" t="str" cm="1">
        <f t="array" ref="D2287">IFERROR(INDEX(DB!G$2:G$2576,T2287),"")</f>
        <v/>
      </c>
      <c r="E2287" s="43"/>
      <c r="F2287" s="52" t="str" cm="1">
        <f t="array" ref="F2287">IFERROR(INDEX(DB!O$2:O$2576,T2287),"")</f>
        <v/>
      </c>
      <c r="G2287" s="43"/>
      <c r="H2287" s="40" t="str" cm="1">
        <f t="array" ref="H2287">IFERROR(INDEX(DB!P$2:P$2576,T2287),"")</f>
        <v/>
      </c>
      <c r="I2287" s="43"/>
      <c r="J2287" s="53" t="str" cm="1">
        <f t="array" ref="J2287">IFERROR(INDEX(DB!Q$2:Q$2576,T2287),"")</f>
        <v/>
      </c>
      <c r="K2287" s="43"/>
      <c r="L2287" s="41" t="str" cm="1">
        <f t="array" ref="L2287">IFERROR(INDEX(DB!R$2:R$2576,T2287),"")</f>
        <v/>
      </c>
      <c r="M2287" s="43"/>
      <c r="P2287" t="str" cm="1">
        <f t="array" ref="P2287">IFERROR(_xlfn.AGGREGATE(15,6,ROW(DB!A$2:A$2576)/((($D$3&lt;&gt;"YES")+($D$3="YES")*(DB!E$2:E$2576="YES"))*(($D$4="")+($D$4&lt;&gt;"")*( DB!B$2:B$2576=$D$4))*(($D$5="")+($D$5&lt;&gt;"")*( DB!C$2:C$2576=$D$5))*(($D$6="")+($D$6&lt;&gt;"")*( DB!D$2:D$2576=$D$6))*(($D$7="")+($D$7&lt;&gt;"")*(ISNUMBER(SEARCH($D$7,DB!G$2:G$2576))))*(($F$7="전체")+($F$7&lt;&gt;"전체")*(DB!H$2:H$2576=$F$7))),ROW()-13)-1,"")</f>
        <v/>
      </c>
      <c r="Q2287" t="str" cm="1">
        <f t="array" ref="Q2287">IFERROR(INDEX(DB!G$2:G$2576,P2287),"")</f>
        <v/>
      </c>
      <c r="R2287" t="str" cm="1">
        <f t="array" ref="R2287">IFERROR(INDEX(DB!O$2:O$2576,P2287),"")</f>
        <v/>
      </c>
      <c r="S2287" t="str">
        <f t="shared" si="108"/>
        <v/>
      </c>
      <c r="T2287" t="str">
        <f t="shared" si="109"/>
        <v/>
      </c>
    </row>
    <row r="2288" spans="1:20" ht="100" customHeight="1">
      <c r="A2288" s="26"/>
      <c r="B2288" s="39" t="str">
        <f t="shared" si="107"/>
        <v/>
      </c>
      <c r="C2288" s="43"/>
      <c r="D2288" s="51" t="str" cm="1">
        <f t="array" ref="D2288">IFERROR(INDEX(DB!G$2:G$2576,T2288),"")</f>
        <v/>
      </c>
      <c r="E2288" s="43"/>
      <c r="F2288" s="52" t="str" cm="1">
        <f t="array" ref="F2288">IFERROR(INDEX(DB!O$2:O$2576,T2288),"")</f>
        <v/>
      </c>
      <c r="G2288" s="43"/>
      <c r="H2288" s="40" t="str" cm="1">
        <f t="array" ref="H2288">IFERROR(INDEX(DB!P$2:P$2576,T2288),"")</f>
        <v/>
      </c>
      <c r="I2288" s="43"/>
      <c r="J2288" s="53" t="str" cm="1">
        <f t="array" ref="J2288">IFERROR(INDEX(DB!Q$2:Q$2576,T2288),"")</f>
        <v/>
      </c>
      <c r="K2288" s="43"/>
      <c r="L2288" s="41" t="str" cm="1">
        <f t="array" ref="L2288">IFERROR(INDEX(DB!R$2:R$2576,T2288),"")</f>
        <v/>
      </c>
      <c r="M2288" s="43"/>
      <c r="P2288" t="str" cm="1">
        <f t="array" ref="P2288">IFERROR(_xlfn.AGGREGATE(15,6,ROW(DB!A$2:A$2576)/((($D$3&lt;&gt;"YES")+($D$3="YES")*(DB!E$2:E$2576="YES"))*(($D$4="")+($D$4&lt;&gt;"")*( DB!B$2:B$2576=$D$4))*(($D$5="")+($D$5&lt;&gt;"")*( DB!C$2:C$2576=$D$5))*(($D$6="")+($D$6&lt;&gt;"")*( DB!D$2:D$2576=$D$6))*(($D$7="")+($D$7&lt;&gt;"")*(ISNUMBER(SEARCH($D$7,DB!G$2:G$2576))))*(($F$7="전체")+($F$7&lt;&gt;"전체")*(DB!H$2:H$2576=$F$7))),ROW()-13)-1,"")</f>
        <v/>
      </c>
      <c r="Q2288" t="str" cm="1">
        <f t="array" ref="Q2288">IFERROR(INDEX(DB!G$2:G$2576,P2288),"")</f>
        <v/>
      </c>
      <c r="R2288" t="str" cm="1">
        <f t="array" ref="R2288">IFERROR(INDEX(DB!O$2:O$2576,P2288),"")</f>
        <v/>
      </c>
      <c r="S2288" t="str">
        <f t="shared" si="108"/>
        <v/>
      </c>
      <c r="T2288" t="str">
        <f t="shared" si="109"/>
        <v/>
      </c>
    </row>
    <row r="2289" spans="1:20" ht="100" customHeight="1">
      <c r="A2289" s="26"/>
      <c r="B2289" s="42" t="str">
        <f t="shared" si="107"/>
        <v/>
      </c>
      <c r="C2289" s="43"/>
      <c r="D2289" s="51" t="str" cm="1">
        <f t="array" ref="D2289">IFERROR(INDEX(DB!G$2:G$2576,T2289),"")</f>
        <v/>
      </c>
      <c r="E2289" s="43"/>
      <c r="F2289" s="52" t="str" cm="1">
        <f t="array" ref="F2289">IFERROR(INDEX(DB!O$2:O$2576,T2289),"")</f>
        <v/>
      </c>
      <c r="G2289" s="43"/>
      <c r="H2289" s="40" t="str" cm="1">
        <f t="array" ref="H2289">IFERROR(INDEX(DB!P$2:P$2576,T2289),"")</f>
        <v/>
      </c>
      <c r="I2289" s="43"/>
      <c r="J2289" s="53" t="str" cm="1">
        <f t="array" ref="J2289">IFERROR(INDEX(DB!Q$2:Q$2576,T2289),"")</f>
        <v/>
      </c>
      <c r="K2289" s="43"/>
      <c r="L2289" s="41" t="str" cm="1">
        <f t="array" ref="L2289">IFERROR(INDEX(DB!R$2:R$2576,T2289),"")</f>
        <v/>
      </c>
      <c r="M2289" s="43"/>
      <c r="P2289" t="str" cm="1">
        <f t="array" ref="P2289">IFERROR(_xlfn.AGGREGATE(15,6,ROW(DB!A$2:A$2576)/((($D$3&lt;&gt;"YES")+($D$3="YES")*(DB!E$2:E$2576="YES"))*(($D$4="")+($D$4&lt;&gt;"")*( DB!B$2:B$2576=$D$4))*(($D$5="")+($D$5&lt;&gt;"")*( DB!C$2:C$2576=$D$5))*(($D$6="")+($D$6&lt;&gt;"")*( DB!D$2:D$2576=$D$6))*(($D$7="")+($D$7&lt;&gt;"")*(ISNUMBER(SEARCH($D$7,DB!G$2:G$2576))))*(($F$7="전체")+($F$7&lt;&gt;"전체")*(DB!H$2:H$2576=$F$7))),ROW()-13)-1,"")</f>
        <v/>
      </c>
      <c r="Q2289" t="str" cm="1">
        <f t="array" ref="Q2289">IFERROR(INDEX(DB!G$2:G$2576,P2289),"")</f>
        <v/>
      </c>
      <c r="R2289" t="str" cm="1">
        <f t="array" ref="R2289">IFERROR(INDEX(DB!O$2:O$2576,P2289),"")</f>
        <v/>
      </c>
      <c r="S2289" t="str">
        <f t="shared" si="108"/>
        <v/>
      </c>
      <c r="T2289" t="str">
        <f t="shared" si="109"/>
        <v/>
      </c>
    </row>
    <row r="2290" spans="1:20" ht="100" customHeight="1">
      <c r="A2290" s="26"/>
      <c r="B2290" s="39" t="str">
        <f t="shared" si="107"/>
        <v/>
      </c>
      <c r="C2290" s="43"/>
      <c r="D2290" s="51" t="str" cm="1">
        <f t="array" ref="D2290">IFERROR(INDEX(DB!G$2:G$2576,T2290),"")</f>
        <v/>
      </c>
      <c r="E2290" s="43"/>
      <c r="F2290" s="52" t="str" cm="1">
        <f t="array" ref="F2290">IFERROR(INDEX(DB!O$2:O$2576,T2290),"")</f>
        <v/>
      </c>
      <c r="G2290" s="43"/>
      <c r="H2290" s="40" t="str" cm="1">
        <f t="array" ref="H2290">IFERROR(INDEX(DB!P$2:P$2576,T2290),"")</f>
        <v/>
      </c>
      <c r="I2290" s="43"/>
      <c r="J2290" s="53" t="str" cm="1">
        <f t="array" ref="J2290">IFERROR(INDEX(DB!Q$2:Q$2576,T2290),"")</f>
        <v/>
      </c>
      <c r="K2290" s="43"/>
      <c r="L2290" s="41" t="str" cm="1">
        <f t="array" ref="L2290">IFERROR(INDEX(DB!R$2:R$2576,T2290),"")</f>
        <v/>
      </c>
      <c r="M2290" s="43"/>
      <c r="P2290" t="str" cm="1">
        <f t="array" ref="P2290">IFERROR(_xlfn.AGGREGATE(15,6,ROW(DB!A$2:A$2576)/((($D$3&lt;&gt;"YES")+($D$3="YES")*(DB!E$2:E$2576="YES"))*(($D$4="")+($D$4&lt;&gt;"")*( DB!B$2:B$2576=$D$4))*(($D$5="")+($D$5&lt;&gt;"")*( DB!C$2:C$2576=$D$5))*(($D$6="")+($D$6&lt;&gt;"")*( DB!D$2:D$2576=$D$6))*(($D$7="")+($D$7&lt;&gt;"")*(ISNUMBER(SEARCH($D$7,DB!G$2:G$2576))))*(($F$7="전체")+($F$7&lt;&gt;"전체")*(DB!H$2:H$2576=$F$7))),ROW()-13)-1,"")</f>
        <v/>
      </c>
      <c r="Q2290" t="str" cm="1">
        <f t="array" ref="Q2290">IFERROR(INDEX(DB!G$2:G$2576,P2290),"")</f>
        <v/>
      </c>
      <c r="R2290" t="str" cm="1">
        <f t="array" ref="R2290">IFERROR(INDEX(DB!O$2:O$2576,P2290),"")</f>
        <v/>
      </c>
      <c r="S2290" t="str">
        <f t="shared" si="108"/>
        <v/>
      </c>
      <c r="T2290" t="str">
        <f t="shared" si="109"/>
        <v/>
      </c>
    </row>
    <row r="2291" spans="1:20" ht="100" customHeight="1">
      <c r="A2291" s="26"/>
      <c r="B2291" s="42" t="str">
        <f t="shared" si="107"/>
        <v/>
      </c>
      <c r="C2291" s="43"/>
      <c r="D2291" s="51" t="str" cm="1">
        <f t="array" ref="D2291">IFERROR(INDEX(DB!G$2:G$2576,T2291),"")</f>
        <v/>
      </c>
      <c r="E2291" s="43"/>
      <c r="F2291" s="52" t="str" cm="1">
        <f t="array" ref="F2291">IFERROR(INDEX(DB!O$2:O$2576,T2291),"")</f>
        <v/>
      </c>
      <c r="G2291" s="43"/>
      <c r="H2291" s="40" t="str" cm="1">
        <f t="array" ref="H2291">IFERROR(INDEX(DB!P$2:P$2576,T2291),"")</f>
        <v/>
      </c>
      <c r="I2291" s="43"/>
      <c r="J2291" s="53" t="str" cm="1">
        <f t="array" ref="J2291">IFERROR(INDEX(DB!Q$2:Q$2576,T2291),"")</f>
        <v/>
      </c>
      <c r="K2291" s="43"/>
      <c r="L2291" s="41" t="str" cm="1">
        <f t="array" ref="L2291">IFERROR(INDEX(DB!R$2:R$2576,T2291),"")</f>
        <v/>
      </c>
      <c r="M2291" s="43"/>
      <c r="P2291" t="str" cm="1">
        <f t="array" ref="P2291">IFERROR(_xlfn.AGGREGATE(15,6,ROW(DB!A$2:A$2576)/((($D$3&lt;&gt;"YES")+($D$3="YES")*(DB!E$2:E$2576="YES"))*(($D$4="")+($D$4&lt;&gt;"")*( DB!B$2:B$2576=$D$4))*(($D$5="")+($D$5&lt;&gt;"")*( DB!C$2:C$2576=$D$5))*(($D$6="")+($D$6&lt;&gt;"")*( DB!D$2:D$2576=$D$6))*(($D$7="")+($D$7&lt;&gt;"")*(ISNUMBER(SEARCH($D$7,DB!G$2:G$2576))))*(($F$7="전체")+($F$7&lt;&gt;"전체")*(DB!H$2:H$2576=$F$7))),ROW()-13)-1,"")</f>
        <v/>
      </c>
      <c r="Q2291" t="str" cm="1">
        <f t="array" ref="Q2291">IFERROR(INDEX(DB!G$2:G$2576,P2291),"")</f>
        <v/>
      </c>
      <c r="R2291" t="str" cm="1">
        <f t="array" ref="R2291">IFERROR(INDEX(DB!O$2:O$2576,P2291),"")</f>
        <v/>
      </c>
      <c r="S2291" t="str">
        <f t="shared" si="108"/>
        <v/>
      </c>
      <c r="T2291" t="str">
        <f t="shared" si="109"/>
        <v/>
      </c>
    </row>
    <row r="2292" spans="1:20" ht="100" customHeight="1">
      <c r="A2292" s="26"/>
      <c r="B2292" s="39" t="str">
        <f t="shared" si="107"/>
        <v/>
      </c>
      <c r="C2292" s="43"/>
      <c r="D2292" s="51" t="str" cm="1">
        <f t="array" ref="D2292">IFERROR(INDEX(DB!G$2:G$2576,T2292),"")</f>
        <v/>
      </c>
      <c r="E2292" s="43"/>
      <c r="F2292" s="52" t="str" cm="1">
        <f t="array" ref="F2292">IFERROR(INDEX(DB!O$2:O$2576,T2292),"")</f>
        <v/>
      </c>
      <c r="G2292" s="43"/>
      <c r="H2292" s="40" t="str" cm="1">
        <f t="array" ref="H2292">IFERROR(INDEX(DB!P$2:P$2576,T2292),"")</f>
        <v/>
      </c>
      <c r="I2292" s="43"/>
      <c r="J2292" s="53" t="str" cm="1">
        <f t="array" ref="J2292">IFERROR(INDEX(DB!Q$2:Q$2576,T2292),"")</f>
        <v/>
      </c>
      <c r="K2292" s="43"/>
      <c r="L2292" s="41" t="str" cm="1">
        <f t="array" ref="L2292">IFERROR(INDEX(DB!R$2:R$2576,T2292),"")</f>
        <v/>
      </c>
      <c r="M2292" s="43"/>
      <c r="P2292" t="str" cm="1">
        <f t="array" ref="P2292">IFERROR(_xlfn.AGGREGATE(15,6,ROW(DB!A$2:A$2576)/((($D$3&lt;&gt;"YES")+($D$3="YES")*(DB!E$2:E$2576="YES"))*(($D$4="")+($D$4&lt;&gt;"")*( DB!B$2:B$2576=$D$4))*(($D$5="")+($D$5&lt;&gt;"")*( DB!C$2:C$2576=$D$5))*(($D$6="")+($D$6&lt;&gt;"")*( DB!D$2:D$2576=$D$6))*(($D$7="")+($D$7&lt;&gt;"")*(ISNUMBER(SEARCH($D$7,DB!G$2:G$2576))))*(($F$7="전체")+($F$7&lt;&gt;"전체")*(DB!H$2:H$2576=$F$7))),ROW()-13)-1,"")</f>
        <v/>
      </c>
      <c r="Q2292" t="str" cm="1">
        <f t="array" ref="Q2292">IFERROR(INDEX(DB!G$2:G$2576,P2292),"")</f>
        <v/>
      </c>
      <c r="R2292" t="str" cm="1">
        <f t="array" ref="R2292">IFERROR(INDEX(DB!O$2:O$2576,P2292),"")</f>
        <v/>
      </c>
      <c r="S2292" t="str">
        <f t="shared" si="108"/>
        <v/>
      </c>
      <c r="T2292" t="str">
        <f t="shared" si="109"/>
        <v/>
      </c>
    </row>
    <row r="2293" spans="1:20" ht="100" customHeight="1">
      <c r="A2293" s="26"/>
      <c r="B2293" s="42" t="str">
        <f t="shared" si="107"/>
        <v/>
      </c>
      <c r="C2293" s="43"/>
      <c r="D2293" s="51" t="str" cm="1">
        <f t="array" ref="D2293">IFERROR(INDEX(DB!G$2:G$2576,T2293),"")</f>
        <v/>
      </c>
      <c r="E2293" s="43"/>
      <c r="F2293" s="52" t="str" cm="1">
        <f t="array" ref="F2293">IFERROR(INDEX(DB!O$2:O$2576,T2293),"")</f>
        <v/>
      </c>
      <c r="G2293" s="43"/>
      <c r="H2293" s="40" t="str" cm="1">
        <f t="array" ref="H2293">IFERROR(INDEX(DB!P$2:P$2576,T2293),"")</f>
        <v/>
      </c>
      <c r="I2293" s="43"/>
      <c r="J2293" s="53" t="str" cm="1">
        <f t="array" ref="J2293">IFERROR(INDEX(DB!Q$2:Q$2576,T2293),"")</f>
        <v/>
      </c>
      <c r="K2293" s="43"/>
      <c r="L2293" s="41" t="str" cm="1">
        <f t="array" ref="L2293">IFERROR(INDEX(DB!R$2:R$2576,T2293),"")</f>
        <v/>
      </c>
      <c r="M2293" s="43"/>
      <c r="P2293" t="str" cm="1">
        <f t="array" ref="P2293">IFERROR(_xlfn.AGGREGATE(15,6,ROW(DB!A$2:A$2576)/((($D$3&lt;&gt;"YES")+($D$3="YES")*(DB!E$2:E$2576="YES"))*(($D$4="")+($D$4&lt;&gt;"")*( DB!B$2:B$2576=$D$4))*(($D$5="")+($D$5&lt;&gt;"")*( DB!C$2:C$2576=$D$5))*(($D$6="")+($D$6&lt;&gt;"")*( DB!D$2:D$2576=$D$6))*(($D$7="")+($D$7&lt;&gt;"")*(ISNUMBER(SEARCH($D$7,DB!G$2:G$2576))))*(($F$7="전체")+($F$7&lt;&gt;"전체")*(DB!H$2:H$2576=$F$7))),ROW()-13)-1,"")</f>
        <v/>
      </c>
      <c r="Q2293" t="str" cm="1">
        <f t="array" ref="Q2293">IFERROR(INDEX(DB!G$2:G$2576,P2293),"")</f>
        <v/>
      </c>
      <c r="R2293" t="str" cm="1">
        <f t="array" ref="R2293">IFERROR(INDEX(DB!O$2:O$2576,P2293),"")</f>
        <v/>
      </c>
      <c r="S2293" t="str">
        <f t="shared" si="108"/>
        <v/>
      </c>
      <c r="T2293" t="str">
        <f t="shared" si="109"/>
        <v/>
      </c>
    </row>
    <row r="2294" spans="1:20" ht="100" customHeight="1">
      <c r="A2294" s="26"/>
      <c r="B2294" s="39" t="str">
        <f t="shared" si="107"/>
        <v/>
      </c>
      <c r="C2294" s="43"/>
      <c r="D2294" s="51" t="str" cm="1">
        <f t="array" ref="D2294">IFERROR(INDEX(DB!G$2:G$2576,T2294),"")</f>
        <v/>
      </c>
      <c r="E2294" s="43"/>
      <c r="F2294" s="52" t="str" cm="1">
        <f t="array" ref="F2294">IFERROR(INDEX(DB!O$2:O$2576,T2294),"")</f>
        <v/>
      </c>
      <c r="G2294" s="43"/>
      <c r="H2294" s="40" t="str" cm="1">
        <f t="array" ref="H2294">IFERROR(INDEX(DB!P$2:P$2576,T2294),"")</f>
        <v/>
      </c>
      <c r="I2294" s="43"/>
      <c r="J2294" s="53" t="str" cm="1">
        <f t="array" ref="J2294">IFERROR(INDEX(DB!Q$2:Q$2576,T2294),"")</f>
        <v/>
      </c>
      <c r="K2294" s="43"/>
      <c r="L2294" s="41" t="str" cm="1">
        <f t="array" ref="L2294">IFERROR(INDEX(DB!R$2:R$2576,T2294),"")</f>
        <v/>
      </c>
      <c r="M2294" s="43"/>
      <c r="P2294" t="str" cm="1">
        <f t="array" ref="P2294">IFERROR(_xlfn.AGGREGATE(15,6,ROW(DB!A$2:A$2576)/((($D$3&lt;&gt;"YES")+($D$3="YES")*(DB!E$2:E$2576="YES"))*(($D$4="")+($D$4&lt;&gt;"")*( DB!B$2:B$2576=$D$4))*(($D$5="")+($D$5&lt;&gt;"")*( DB!C$2:C$2576=$D$5))*(($D$6="")+($D$6&lt;&gt;"")*( DB!D$2:D$2576=$D$6))*(($D$7="")+($D$7&lt;&gt;"")*(ISNUMBER(SEARCH($D$7,DB!G$2:G$2576))))*(($F$7="전체")+($F$7&lt;&gt;"전체")*(DB!H$2:H$2576=$F$7))),ROW()-13)-1,"")</f>
        <v/>
      </c>
      <c r="Q2294" t="str" cm="1">
        <f t="array" ref="Q2294">IFERROR(INDEX(DB!G$2:G$2576,P2294),"")</f>
        <v/>
      </c>
      <c r="R2294" t="str" cm="1">
        <f t="array" ref="R2294">IFERROR(INDEX(DB!O$2:O$2576,P2294),"")</f>
        <v/>
      </c>
      <c r="S2294" t="str">
        <f t="shared" si="108"/>
        <v/>
      </c>
      <c r="T2294" t="str">
        <f t="shared" si="109"/>
        <v/>
      </c>
    </row>
    <row r="2295" spans="1:20" ht="100" customHeight="1">
      <c r="A2295" s="26"/>
      <c r="B2295" s="42" t="str">
        <f t="shared" si="107"/>
        <v/>
      </c>
      <c r="C2295" s="43"/>
      <c r="D2295" s="51" t="str" cm="1">
        <f t="array" ref="D2295">IFERROR(INDEX(DB!G$2:G$2576,T2295),"")</f>
        <v/>
      </c>
      <c r="E2295" s="43"/>
      <c r="F2295" s="52" t="str" cm="1">
        <f t="array" ref="F2295">IFERROR(INDEX(DB!O$2:O$2576,T2295),"")</f>
        <v/>
      </c>
      <c r="G2295" s="43"/>
      <c r="H2295" s="40" t="str" cm="1">
        <f t="array" ref="H2295">IFERROR(INDEX(DB!P$2:P$2576,T2295),"")</f>
        <v/>
      </c>
      <c r="I2295" s="43"/>
      <c r="J2295" s="53" t="str" cm="1">
        <f t="array" ref="J2295">IFERROR(INDEX(DB!Q$2:Q$2576,T2295),"")</f>
        <v/>
      </c>
      <c r="K2295" s="43"/>
      <c r="L2295" s="41" t="str" cm="1">
        <f t="array" ref="L2295">IFERROR(INDEX(DB!R$2:R$2576,T2295),"")</f>
        <v/>
      </c>
      <c r="M2295" s="43"/>
      <c r="P2295" t="str" cm="1">
        <f t="array" ref="P2295">IFERROR(_xlfn.AGGREGATE(15,6,ROW(DB!A$2:A$2576)/((($D$3&lt;&gt;"YES")+($D$3="YES")*(DB!E$2:E$2576="YES"))*(($D$4="")+($D$4&lt;&gt;"")*( DB!B$2:B$2576=$D$4))*(($D$5="")+($D$5&lt;&gt;"")*( DB!C$2:C$2576=$D$5))*(($D$6="")+($D$6&lt;&gt;"")*( DB!D$2:D$2576=$D$6))*(($D$7="")+($D$7&lt;&gt;"")*(ISNUMBER(SEARCH($D$7,DB!G$2:G$2576))))*(($F$7="전체")+($F$7&lt;&gt;"전체")*(DB!H$2:H$2576=$F$7))),ROW()-13)-1,"")</f>
        <v/>
      </c>
      <c r="Q2295" t="str" cm="1">
        <f t="array" ref="Q2295">IFERROR(INDEX(DB!G$2:G$2576,P2295),"")</f>
        <v/>
      </c>
      <c r="R2295" t="str" cm="1">
        <f t="array" ref="R2295">IFERROR(INDEX(DB!O$2:O$2576,P2295),"")</f>
        <v/>
      </c>
      <c r="S2295" t="str">
        <f t="shared" si="108"/>
        <v/>
      </c>
      <c r="T2295" t="str">
        <f t="shared" si="109"/>
        <v/>
      </c>
    </row>
    <row r="2296" spans="1:20" ht="100" customHeight="1">
      <c r="A2296" s="26"/>
      <c r="B2296" s="39" t="str">
        <f t="shared" si="107"/>
        <v/>
      </c>
      <c r="C2296" s="43"/>
      <c r="D2296" s="51" t="str" cm="1">
        <f t="array" ref="D2296">IFERROR(INDEX(DB!G$2:G$2576,T2296),"")</f>
        <v/>
      </c>
      <c r="E2296" s="43"/>
      <c r="F2296" s="52" t="str" cm="1">
        <f t="array" ref="F2296">IFERROR(INDEX(DB!O$2:O$2576,T2296),"")</f>
        <v/>
      </c>
      <c r="G2296" s="43"/>
      <c r="H2296" s="40" t="str" cm="1">
        <f t="array" ref="H2296">IFERROR(INDEX(DB!P$2:P$2576,T2296),"")</f>
        <v/>
      </c>
      <c r="I2296" s="43"/>
      <c r="J2296" s="53" t="str" cm="1">
        <f t="array" ref="J2296">IFERROR(INDEX(DB!Q$2:Q$2576,T2296),"")</f>
        <v/>
      </c>
      <c r="K2296" s="43"/>
      <c r="L2296" s="41" t="str" cm="1">
        <f t="array" ref="L2296">IFERROR(INDEX(DB!R$2:R$2576,T2296),"")</f>
        <v/>
      </c>
      <c r="M2296" s="43"/>
      <c r="P2296" t="str" cm="1">
        <f t="array" ref="P2296">IFERROR(_xlfn.AGGREGATE(15,6,ROW(DB!A$2:A$2576)/((($D$3&lt;&gt;"YES")+($D$3="YES")*(DB!E$2:E$2576="YES"))*(($D$4="")+($D$4&lt;&gt;"")*( DB!B$2:B$2576=$D$4))*(($D$5="")+($D$5&lt;&gt;"")*( DB!C$2:C$2576=$D$5))*(($D$6="")+($D$6&lt;&gt;"")*( DB!D$2:D$2576=$D$6))*(($D$7="")+($D$7&lt;&gt;"")*(ISNUMBER(SEARCH($D$7,DB!G$2:G$2576))))*(($F$7="전체")+($F$7&lt;&gt;"전체")*(DB!H$2:H$2576=$F$7))),ROW()-13)-1,"")</f>
        <v/>
      </c>
      <c r="Q2296" t="str" cm="1">
        <f t="array" ref="Q2296">IFERROR(INDEX(DB!G$2:G$2576,P2296),"")</f>
        <v/>
      </c>
      <c r="R2296" t="str" cm="1">
        <f t="array" ref="R2296">IFERROR(INDEX(DB!O$2:O$2576,P2296),"")</f>
        <v/>
      </c>
      <c r="S2296" t="str">
        <f t="shared" si="108"/>
        <v/>
      </c>
      <c r="T2296" t="str">
        <f t="shared" si="109"/>
        <v/>
      </c>
    </row>
    <row r="2297" spans="1:20" ht="100" customHeight="1">
      <c r="A2297" s="26"/>
      <c r="B2297" s="42" t="str">
        <f t="shared" si="107"/>
        <v/>
      </c>
      <c r="C2297" s="43"/>
      <c r="D2297" s="51" t="str" cm="1">
        <f t="array" ref="D2297">IFERROR(INDEX(DB!G$2:G$2576,T2297),"")</f>
        <v/>
      </c>
      <c r="E2297" s="43"/>
      <c r="F2297" s="52" t="str" cm="1">
        <f t="array" ref="F2297">IFERROR(INDEX(DB!O$2:O$2576,T2297),"")</f>
        <v/>
      </c>
      <c r="G2297" s="43"/>
      <c r="H2297" s="40" t="str" cm="1">
        <f t="array" ref="H2297">IFERROR(INDEX(DB!P$2:P$2576,T2297),"")</f>
        <v/>
      </c>
      <c r="I2297" s="43"/>
      <c r="J2297" s="53" t="str" cm="1">
        <f t="array" ref="J2297">IFERROR(INDEX(DB!Q$2:Q$2576,T2297),"")</f>
        <v/>
      </c>
      <c r="K2297" s="43"/>
      <c r="L2297" s="41" t="str" cm="1">
        <f t="array" ref="L2297">IFERROR(INDEX(DB!R$2:R$2576,T2297),"")</f>
        <v/>
      </c>
      <c r="M2297" s="43"/>
      <c r="P2297" t="str" cm="1">
        <f t="array" ref="P2297">IFERROR(_xlfn.AGGREGATE(15,6,ROW(DB!A$2:A$2576)/((($D$3&lt;&gt;"YES")+($D$3="YES")*(DB!E$2:E$2576="YES"))*(($D$4="")+($D$4&lt;&gt;"")*( DB!B$2:B$2576=$D$4))*(($D$5="")+($D$5&lt;&gt;"")*( DB!C$2:C$2576=$D$5))*(($D$6="")+($D$6&lt;&gt;"")*( DB!D$2:D$2576=$D$6))*(($D$7="")+($D$7&lt;&gt;"")*(ISNUMBER(SEARCH($D$7,DB!G$2:G$2576))))*(($F$7="전체")+($F$7&lt;&gt;"전체")*(DB!H$2:H$2576=$F$7))),ROW()-13)-1,"")</f>
        <v/>
      </c>
      <c r="Q2297" t="str" cm="1">
        <f t="array" ref="Q2297">IFERROR(INDEX(DB!G$2:G$2576,P2297),"")</f>
        <v/>
      </c>
      <c r="R2297" t="str" cm="1">
        <f t="array" ref="R2297">IFERROR(INDEX(DB!O$2:O$2576,P2297),"")</f>
        <v/>
      </c>
      <c r="S2297" t="str">
        <f t="shared" si="108"/>
        <v/>
      </c>
      <c r="T2297" t="str">
        <f t="shared" si="109"/>
        <v/>
      </c>
    </row>
    <row r="2298" spans="1:20" ht="100" customHeight="1">
      <c r="A2298" s="26"/>
      <c r="B2298" s="39" t="str">
        <f t="shared" si="107"/>
        <v/>
      </c>
      <c r="C2298" s="43"/>
      <c r="D2298" s="51" t="str" cm="1">
        <f t="array" ref="D2298">IFERROR(INDEX(DB!G$2:G$2576,T2298),"")</f>
        <v/>
      </c>
      <c r="E2298" s="43"/>
      <c r="F2298" s="52" t="str" cm="1">
        <f t="array" ref="F2298">IFERROR(INDEX(DB!O$2:O$2576,T2298),"")</f>
        <v/>
      </c>
      <c r="G2298" s="43"/>
      <c r="H2298" s="40" t="str" cm="1">
        <f t="array" ref="H2298">IFERROR(INDEX(DB!P$2:P$2576,T2298),"")</f>
        <v/>
      </c>
      <c r="I2298" s="43"/>
      <c r="J2298" s="53" t="str" cm="1">
        <f t="array" ref="J2298">IFERROR(INDEX(DB!Q$2:Q$2576,T2298),"")</f>
        <v/>
      </c>
      <c r="K2298" s="43"/>
      <c r="L2298" s="41" t="str" cm="1">
        <f t="array" ref="L2298">IFERROR(INDEX(DB!R$2:R$2576,T2298),"")</f>
        <v/>
      </c>
      <c r="M2298" s="43"/>
      <c r="P2298" t="str" cm="1">
        <f t="array" ref="P2298">IFERROR(_xlfn.AGGREGATE(15,6,ROW(DB!A$2:A$2576)/((($D$3&lt;&gt;"YES")+($D$3="YES")*(DB!E$2:E$2576="YES"))*(($D$4="")+($D$4&lt;&gt;"")*( DB!B$2:B$2576=$D$4))*(($D$5="")+($D$5&lt;&gt;"")*( DB!C$2:C$2576=$D$5))*(($D$6="")+($D$6&lt;&gt;"")*( DB!D$2:D$2576=$D$6))*(($D$7="")+($D$7&lt;&gt;"")*(ISNUMBER(SEARCH($D$7,DB!G$2:G$2576))))*(($F$7="전체")+($F$7&lt;&gt;"전체")*(DB!H$2:H$2576=$F$7))),ROW()-13)-1,"")</f>
        <v/>
      </c>
      <c r="Q2298" t="str" cm="1">
        <f t="array" ref="Q2298">IFERROR(INDEX(DB!G$2:G$2576,P2298),"")</f>
        <v/>
      </c>
      <c r="R2298" t="str" cm="1">
        <f t="array" ref="R2298">IFERROR(INDEX(DB!O$2:O$2576,P2298),"")</f>
        <v/>
      </c>
      <c r="S2298" t="str">
        <f t="shared" si="108"/>
        <v/>
      </c>
      <c r="T2298" t="str">
        <f t="shared" si="109"/>
        <v/>
      </c>
    </row>
    <row r="2299" spans="1:20" ht="100" customHeight="1">
      <c r="A2299" s="26"/>
      <c r="B2299" s="42" t="str">
        <f t="shared" si="107"/>
        <v/>
      </c>
      <c r="C2299" s="43"/>
      <c r="D2299" s="51" t="str" cm="1">
        <f t="array" ref="D2299">IFERROR(INDEX(DB!G$2:G$2576,T2299),"")</f>
        <v/>
      </c>
      <c r="E2299" s="43"/>
      <c r="F2299" s="52" t="str" cm="1">
        <f t="array" ref="F2299">IFERROR(INDEX(DB!O$2:O$2576,T2299),"")</f>
        <v/>
      </c>
      <c r="G2299" s="43"/>
      <c r="H2299" s="40" t="str" cm="1">
        <f t="array" ref="H2299">IFERROR(INDEX(DB!P$2:P$2576,T2299),"")</f>
        <v/>
      </c>
      <c r="I2299" s="43"/>
      <c r="J2299" s="53" t="str" cm="1">
        <f t="array" ref="J2299">IFERROR(INDEX(DB!Q$2:Q$2576,T2299),"")</f>
        <v/>
      </c>
      <c r="K2299" s="43"/>
      <c r="L2299" s="41" t="str" cm="1">
        <f t="array" ref="L2299">IFERROR(INDEX(DB!R$2:R$2576,T2299),"")</f>
        <v/>
      </c>
      <c r="M2299" s="43"/>
      <c r="P2299" t="str" cm="1">
        <f t="array" ref="P2299">IFERROR(_xlfn.AGGREGATE(15,6,ROW(DB!A$2:A$2576)/((($D$3&lt;&gt;"YES")+($D$3="YES")*(DB!E$2:E$2576="YES"))*(($D$4="")+($D$4&lt;&gt;"")*( DB!B$2:B$2576=$D$4))*(($D$5="")+($D$5&lt;&gt;"")*( DB!C$2:C$2576=$D$5))*(($D$6="")+($D$6&lt;&gt;"")*( DB!D$2:D$2576=$D$6))*(($D$7="")+($D$7&lt;&gt;"")*(ISNUMBER(SEARCH($D$7,DB!G$2:G$2576))))*(($F$7="전체")+($F$7&lt;&gt;"전체")*(DB!H$2:H$2576=$F$7))),ROW()-13)-1,"")</f>
        <v/>
      </c>
      <c r="Q2299" t="str" cm="1">
        <f t="array" ref="Q2299">IFERROR(INDEX(DB!G$2:G$2576,P2299),"")</f>
        <v/>
      </c>
      <c r="R2299" t="str" cm="1">
        <f t="array" ref="R2299">IFERROR(INDEX(DB!O$2:O$2576,P2299),"")</f>
        <v/>
      </c>
      <c r="S2299" t="str">
        <f t="shared" si="108"/>
        <v/>
      </c>
      <c r="T2299" t="str">
        <f t="shared" si="109"/>
        <v/>
      </c>
    </row>
    <row r="2300" spans="1:20" ht="100" customHeight="1">
      <c r="A2300" s="26"/>
      <c r="B2300" s="39" t="str">
        <f t="shared" si="107"/>
        <v/>
      </c>
      <c r="C2300" s="43"/>
      <c r="D2300" s="51" t="str" cm="1">
        <f t="array" ref="D2300">IFERROR(INDEX(DB!G$2:G$2576,T2300),"")</f>
        <v/>
      </c>
      <c r="E2300" s="43"/>
      <c r="F2300" s="52" t="str" cm="1">
        <f t="array" ref="F2300">IFERROR(INDEX(DB!O$2:O$2576,T2300),"")</f>
        <v/>
      </c>
      <c r="G2300" s="43"/>
      <c r="H2300" s="40" t="str" cm="1">
        <f t="array" ref="H2300">IFERROR(INDEX(DB!P$2:P$2576,T2300),"")</f>
        <v/>
      </c>
      <c r="I2300" s="43"/>
      <c r="J2300" s="53" t="str" cm="1">
        <f t="array" ref="J2300">IFERROR(INDEX(DB!Q$2:Q$2576,T2300),"")</f>
        <v/>
      </c>
      <c r="K2300" s="43"/>
      <c r="L2300" s="41" t="str" cm="1">
        <f t="array" ref="L2300">IFERROR(INDEX(DB!R$2:R$2576,T2300),"")</f>
        <v/>
      </c>
      <c r="M2300" s="43"/>
      <c r="P2300" t="str" cm="1">
        <f t="array" ref="P2300">IFERROR(_xlfn.AGGREGATE(15,6,ROW(DB!A$2:A$2576)/((($D$3&lt;&gt;"YES")+($D$3="YES")*(DB!E$2:E$2576="YES"))*(($D$4="")+($D$4&lt;&gt;"")*( DB!B$2:B$2576=$D$4))*(($D$5="")+($D$5&lt;&gt;"")*( DB!C$2:C$2576=$D$5))*(($D$6="")+($D$6&lt;&gt;"")*( DB!D$2:D$2576=$D$6))*(($D$7="")+($D$7&lt;&gt;"")*(ISNUMBER(SEARCH($D$7,DB!G$2:G$2576))))*(($F$7="전체")+($F$7&lt;&gt;"전체")*(DB!H$2:H$2576=$F$7))),ROW()-13)-1,"")</f>
        <v/>
      </c>
      <c r="Q2300" t="str" cm="1">
        <f t="array" ref="Q2300">IFERROR(INDEX(DB!G$2:G$2576,P2300),"")</f>
        <v/>
      </c>
      <c r="R2300" t="str" cm="1">
        <f t="array" ref="R2300">IFERROR(INDEX(DB!O$2:O$2576,P2300),"")</f>
        <v/>
      </c>
      <c r="S2300" t="str">
        <f t="shared" si="108"/>
        <v/>
      </c>
      <c r="T2300" t="str">
        <f t="shared" si="109"/>
        <v/>
      </c>
    </row>
    <row r="2301" spans="1:20" ht="100" customHeight="1">
      <c r="A2301" s="26"/>
      <c r="B2301" s="42" t="str">
        <f t="shared" si="107"/>
        <v/>
      </c>
      <c r="C2301" s="43"/>
      <c r="D2301" s="51" t="str" cm="1">
        <f t="array" ref="D2301">IFERROR(INDEX(DB!G$2:G$2576,T2301),"")</f>
        <v/>
      </c>
      <c r="E2301" s="43"/>
      <c r="F2301" s="52" t="str" cm="1">
        <f t="array" ref="F2301">IFERROR(INDEX(DB!O$2:O$2576,T2301),"")</f>
        <v/>
      </c>
      <c r="G2301" s="43"/>
      <c r="H2301" s="40" t="str" cm="1">
        <f t="array" ref="H2301">IFERROR(INDEX(DB!P$2:P$2576,T2301),"")</f>
        <v/>
      </c>
      <c r="I2301" s="43"/>
      <c r="J2301" s="53" t="str" cm="1">
        <f t="array" ref="J2301">IFERROR(INDEX(DB!Q$2:Q$2576,T2301),"")</f>
        <v/>
      </c>
      <c r="K2301" s="43"/>
      <c r="L2301" s="41" t="str" cm="1">
        <f t="array" ref="L2301">IFERROR(INDEX(DB!R$2:R$2576,T2301),"")</f>
        <v/>
      </c>
      <c r="M2301" s="43"/>
      <c r="P2301" t="str" cm="1">
        <f t="array" ref="P2301">IFERROR(_xlfn.AGGREGATE(15,6,ROW(DB!A$2:A$2576)/((($D$3&lt;&gt;"YES")+($D$3="YES")*(DB!E$2:E$2576="YES"))*(($D$4="")+($D$4&lt;&gt;"")*( DB!B$2:B$2576=$D$4))*(($D$5="")+($D$5&lt;&gt;"")*( DB!C$2:C$2576=$D$5))*(($D$6="")+($D$6&lt;&gt;"")*( DB!D$2:D$2576=$D$6))*(($D$7="")+($D$7&lt;&gt;"")*(ISNUMBER(SEARCH($D$7,DB!G$2:G$2576))))*(($F$7="전체")+($F$7&lt;&gt;"전체")*(DB!H$2:H$2576=$F$7))),ROW()-13)-1,"")</f>
        <v/>
      </c>
      <c r="Q2301" t="str" cm="1">
        <f t="array" ref="Q2301">IFERROR(INDEX(DB!G$2:G$2576,P2301),"")</f>
        <v/>
      </c>
      <c r="R2301" t="str" cm="1">
        <f t="array" ref="R2301">IFERROR(INDEX(DB!O$2:O$2576,P2301),"")</f>
        <v/>
      </c>
      <c r="S2301" t="str">
        <f t="shared" si="108"/>
        <v/>
      </c>
      <c r="T2301" t="str">
        <f t="shared" si="109"/>
        <v/>
      </c>
    </row>
    <row r="2302" spans="1:20" ht="100" customHeight="1">
      <c r="A2302" s="26"/>
      <c r="B2302" s="39" t="str">
        <f t="shared" si="107"/>
        <v/>
      </c>
      <c r="C2302" s="43"/>
      <c r="D2302" s="51" t="str" cm="1">
        <f t="array" ref="D2302">IFERROR(INDEX(DB!G$2:G$2576,T2302),"")</f>
        <v/>
      </c>
      <c r="E2302" s="43"/>
      <c r="F2302" s="52" t="str" cm="1">
        <f t="array" ref="F2302">IFERROR(INDEX(DB!O$2:O$2576,T2302),"")</f>
        <v/>
      </c>
      <c r="G2302" s="43"/>
      <c r="H2302" s="40" t="str" cm="1">
        <f t="array" ref="H2302">IFERROR(INDEX(DB!P$2:P$2576,T2302),"")</f>
        <v/>
      </c>
      <c r="I2302" s="43"/>
      <c r="J2302" s="53" t="str" cm="1">
        <f t="array" ref="J2302">IFERROR(INDEX(DB!Q$2:Q$2576,T2302),"")</f>
        <v/>
      </c>
      <c r="K2302" s="43"/>
      <c r="L2302" s="41" t="str" cm="1">
        <f t="array" ref="L2302">IFERROR(INDEX(DB!R$2:R$2576,T2302),"")</f>
        <v/>
      </c>
      <c r="M2302" s="43"/>
      <c r="P2302" t="str" cm="1">
        <f t="array" ref="P2302">IFERROR(_xlfn.AGGREGATE(15,6,ROW(DB!A$2:A$2576)/((($D$3&lt;&gt;"YES")+($D$3="YES")*(DB!E$2:E$2576="YES"))*(($D$4="")+($D$4&lt;&gt;"")*( DB!B$2:B$2576=$D$4))*(($D$5="")+($D$5&lt;&gt;"")*( DB!C$2:C$2576=$D$5))*(($D$6="")+($D$6&lt;&gt;"")*( DB!D$2:D$2576=$D$6))*(($D$7="")+($D$7&lt;&gt;"")*(ISNUMBER(SEARCH($D$7,DB!G$2:G$2576))))*(($F$7="전체")+($F$7&lt;&gt;"전체")*(DB!H$2:H$2576=$F$7))),ROW()-13)-1,"")</f>
        <v/>
      </c>
      <c r="Q2302" t="str" cm="1">
        <f t="array" ref="Q2302">IFERROR(INDEX(DB!G$2:G$2576,P2302),"")</f>
        <v/>
      </c>
      <c r="R2302" t="str" cm="1">
        <f t="array" ref="R2302">IFERROR(INDEX(DB!O$2:O$2576,P2302),"")</f>
        <v/>
      </c>
      <c r="S2302" t="str">
        <f t="shared" si="108"/>
        <v/>
      </c>
      <c r="T2302" t="str">
        <f t="shared" si="109"/>
        <v/>
      </c>
    </row>
    <row r="2303" spans="1:20" ht="100" customHeight="1">
      <c r="A2303" s="26"/>
      <c r="B2303" s="42" t="str">
        <f t="shared" si="107"/>
        <v/>
      </c>
      <c r="C2303" s="43"/>
      <c r="D2303" s="51" t="str" cm="1">
        <f t="array" ref="D2303">IFERROR(INDEX(DB!G$2:G$2576,T2303),"")</f>
        <v/>
      </c>
      <c r="E2303" s="43"/>
      <c r="F2303" s="52" t="str" cm="1">
        <f t="array" ref="F2303">IFERROR(INDEX(DB!O$2:O$2576,T2303),"")</f>
        <v/>
      </c>
      <c r="G2303" s="43"/>
      <c r="H2303" s="40" t="str" cm="1">
        <f t="array" ref="H2303">IFERROR(INDEX(DB!P$2:P$2576,T2303),"")</f>
        <v/>
      </c>
      <c r="I2303" s="43"/>
      <c r="J2303" s="53" t="str" cm="1">
        <f t="array" ref="J2303">IFERROR(INDEX(DB!Q$2:Q$2576,T2303),"")</f>
        <v/>
      </c>
      <c r="K2303" s="43"/>
      <c r="L2303" s="41" t="str" cm="1">
        <f t="array" ref="L2303">IFERROR(INDEX(DB!R$2:R$2576,T2303),"")</f>
        <v/>
      </c>
      <c r="M2303" s="43"/>
      <c r="P2303" t="str" cm="1">
        <f t="array" ref="P2303">IFERROR(_xlfn.AGGREGATE(15,6,ROW(DB!A$2:A$2576)/((($D$3&lt;&gt;"YES")+($D$3="YES")*(DB!E$2:E$2576="YES"))*(($D$4="")+($D$4&lt;&gt;"")*( DB!B$2:B$2576=$D$4))*(($D$5="")+($D$5&lt;&gt;"")*( DB!C$2:C$2576=$D$5))*(($D$6="")+($D$6&lt;&gt;"")*( DB!D$2:D$2576=$D$6))*(($D$7="")+($D$7&lt;&gt;"")*(ISNUMBER(SEARCH($D$7,DB!G$2:G$2576))))*(($F$7="전체")+($F$7&lt;&gt;"전체")*(DB!H$2:H$2576=$F$7))),ROW()-13)-1,"")</f>
        <v/>
      </c>
      <c r="Q2303" t="str" cm="1">
        <f t="array" ref="Q2303">IFERROR(INDEX(DB!G$2:G$2576,P2303),"")</f>
        <v/>
      </c>
      <c r="R2303" t="str" cm="1">
        <f t="array" ref="R2303">IFERROR(INDEX(DB!O$2:O$2576,P2303),"")</f>
        <v/>
      </c>
      <c r="S2303" t="str">
        <f t="shared" si="108"/>
        <v/>
      </c>
      <c r="T2303" t="str">
        <f t="shared" si="109"/>
        <v/>
      </c>
    </row>
    <row r="2304" spans="1:20" ht="100" customHeight="1">
      <c r="A2304" s="26"/>
      <c r="B2304" s="39" t="str">
        <f t="shared" si="107"/>
        <v/>
      </c>
      <c r="C2304" s="43"/>
      <c r="D2304" s="51" t="str" cm="1">
        <f t="array" ref="D2304">IFERROR(INDEX(DB!G$2:G$2576,T2304),"")</f>
        <v/>
      </c>
      <c r="E2304" s="43"/>
      <c r="F2304" s="52" t="str" cm="1">
        <f t="array" ref="F2304">IFERROR(INDEX(DB!O$2:O$2576,T2304),"")</f>
        <v/>
      </c>
      <c r="G2304" s="43"/>
      <c r="H2304" s="40" t="str" cm="1">
        <f t="array" ref="H2304">IFERROR(INDEX(DB!P$2:P$2576,T2304),"")</f>
        <v/>
      </c>
      <c r="I2304" s="43"/>
      <c r="J2304" s="53" t="str" cm="1">
        <f t="array" ref="J2304">IFERROR(INDEX(DB!Q$2:Q$2576,T2304),"")</f>
        <v/>
      </c>
      <c r="K2304" s="43"/>
      <c r="L2304" s="41" t="str" cm="1">
        <f t="array" ref="L2304">IFERROR(INDEX(DB!R$2:R$2576,T2304),"")</f>
        <v/>
      </c>
      <c r="M2304" s="43"/>
      <c r="P2304" t="str" cm="1">
        <f t="array" ref="P2304">IFERROR(_xlfn.AGGREGATE(15,6,ROW(DB!A$2:A$2576)/((($D$3&lt;&gt;"YES")+($D$3="YES")*(DB!E$2:E$2576="YES"))*(($D$4="")+($D$4&lt;&gt;"")*( DB!B$2:B$2576=$D$4))*(($D$5="")+($D$5&lt;&gt;"")*( DB!C$2:C$2576=$D$5))*(($D$6="")+($D$6&lt;&gt;"")*( DB!D$2:D$2576=$D$6))*(($D$7="")+($D$7&lt;&gt;"")*(ISNUMBER(SEARCH($D$7,DB!G$2:G$2576))))*(($F$7="전체")+($F$7&lt;&gt;"전체")*(DB!H$2:H$2576=$F$7))),ROW()-13)-1,"")</f>
        <v/>
      </c>
      <c r="Q2304" t="str" cm="1">
        <f t="array" ref="Q2304">IFERROR(INDEX(DB!G$2:G$2576,P2304),"")</f>
        <v/>
      </c>
      <c r="R2304" t="str" cm="1">
        <f t="array" ref="R2304">IFERROR(INDEX(DB!O$2:O$2576,P2304),"")</f>
        <v/>
      </c>
      <c r="S2304" t="str">
        <f t="shared" si="108"/>
        <v/>
      </c>
      <c r="T2304" t="str">
        <f t="shared" si="109"/>
        <v/>
      </c>
    </row>
    <row r="2305" spans="1:20" ht="100" customHeight="1">
      <c r="A2305" s="26"/>
      <c r="B2305" s="42" t="str">
        <f t="shared" si="107"/>
        <v/>
      </c>
      <c r="C2305" s="43"/>
      <c r="D2305" s="51" t="str" cm="1">
        <f t="array" ref="D2305">IFERROR(INDEX(DB!G$2:G$2576,T2305),"")</f>
        <v/>
      </c>
      <c r="E2305" s="43"/>
      <c r="F2305" s="52" t="str" cm="1">
        <f t="array" ref="F2305">IFERROR(INDEX(DB!O$2:O$2576,T2305),"")</f>
        <v/>
      </c>
      <c r="G2305" s="43"/>
      <c r="H2305" s="40" t="str" cm="1">
        <f t="array" ref="H2305">IFERROR(INDEX(DB!P$2:P$2576,T2305),"")</f>
        <v/>
      </c>
      <c r="I2305" s="43"/>
      <c r="J2305" s="53" t="str" cm="1">
        <f t="array" ref="J2305">IFERROR(INDEX(DB!Q$2:Q$2576,T2305),"")</f>
        <v/>
      </c>
      <c r="K2305" s="43"/>
      <c r="L2305" s="41" t="str" cm="1">
        <f t="array" ref="L2305">IFERROR(INDEX(DB!R$2:R$2576,T2305),"")</f>
        <v/>
      </c>
      <c r="M2305" s="43"/>
      <c r="P2305" t="str" cm="1">
        <f t="array" ref="P2305">IFERROR(_xlfn.AGGREGATE(15,6,ROW(DB!A$2:A$2576)/((($D$3&lt;&gt;"YES")+($D$3="YES")*(DB!E$2:E$2576="YES"))*(($D$4="")+($D$4&lt;&gt;"")*( DB!B$2:B$2576=$D$4))*(($D$5="")+($D$5&lt;&gt;"")*( DB!C$2:C$2576=$D$5))*(($D$6="")+($D$6&lt;&gt;"")*( DB!D$2:D$2576=$D$6))*(($D$7="")+($D$7&lt;&gt;"")*(ISNUMBER(SEARCH($D$7,DB!G$2:G$2576))))*(($F$7="전체")+($F$7&lt;&gt;"전체")*(DB!H$2:H$2576=$F$7))),ROW()-13)-1,"")</f>
        <v/>
      </c>
      <c r="Q2305" t="str" cm="1">
        <f t="array" ref="Q2305">IFERROR(INDEX(DB!G$2:G$2576,P2305),"")</f>
        <v/>
      </c>
      <c r="R2305" t="str" cm="1">
        <f t="array" ref="R2305">IFERROR(INDEX(DB!O$2:O$2576,P2305),"")</f>
        <v/>
      </c>
      <c r="S2305" t="str">
        <f t="shared" si="108"/>
        <v/>
      </c>
      <c r="T2305" t="str">
        <f t="shared" si="109"/>
        <v/>
      </c>
    </row>
    <row r="2306" spans="1:20" ht="100" customHeight="1">
      <c r="A2306" s="26"/>
      <c r="B2306" s="39" t="str">
        <f t="shared" si="107"/>
        <v/>
      </c>
      <c r="C2306" s="43"/>
      <c r="D2306" s="51" t="str" cm="1">
        <f t="array" ref="D2306">IFERROR(INDEX(DB!G$2:G$2576,T2306),"")</f>
        <v/>
      </c>
      <c r="E2306" s="43"/>
      <c r="F2306" s="52" t="str" cm="1">
        <f t="array" ref="F2306">IFERROR(INDEX(DB!O$2:O$2576,T2306),"")</f>
        <v/>
      </c>
      <c r="G2306" s="43"/>
      <c r="H2306" s="40" t="str" cm="1">
        <f t="array" ref="H2306">IFERROR(INDEX(DB!P$2:P$2576,T2306),"")</f>
        <v/>
      </c>
      <c r="I2306" s="43"/>
      <c r="J2306" s="53" t="str" cm="1">
        <f t="array" ref="J2306">IFERROR(INDEX(DB!Q$2:Q$2576,T2306),"")</f>
        <v/>
      </c>
      <c r="K2306" s="43"/>
      <c r="L2306" s="41" t="str" cm="1">
        <f t="array" ref="L2306">IFERROR(INDEX(DB!R$2:R$2576,T2306),"")</f>
        <v/>
      </c>
      <c r="M2306" s="43"/>
      <c r="P2306" t="str" cm="1">
        <f t="array" ref="P2306">IFERROR(_xlfn.AGGREGATE(15,6,ROW(DB!A$2:A$2576)/((($D$3&lt;&gt;"YES")+($D$3="YES")*(DB!E$2:E$2576="YES"))*(($D$4="")+($D$4&lt;&gt;"")*( DB!B$2:B$2576=$D$4))*(($D$5="")+($D$5&lt;&gt;"")*( DB!C$2:C$2576=$D$5))*(($D$6="")+($D$6&lt;&gt;"")*( DB!D$2:D$2576=$D$6))*(($D$7="")+($D$7&lt;&gt;"")*(ISNUMBER(SEARCH($D$7,DB!G$2:G$2576))))*(($F$7="전체")+($F$7&lt;&gt;"전체")*(DB!H$2:H$2576=$F$7))),ROW()-13)-1,"")</f>
        <v/>
      </c>
      <c r="Q2306" t="str" cm="1">
        <f t="array" ref="Q2306">IFERROR(INDEX(DB!G$2:G$2576,P2306),"")</f>
        <v/>
      </c>
      <c r="R2306" t="str" cm="1">
        <f t="array" ref="R2306">IFERROR(INDEX(DB!O$2:O$2576,P2306),"")</f>
        <v/>
      </c>
      <c r="S2306" t="str">
        <f t="shared" si="108"/>
        <v/>
      </c>
      <c r="T2306" t="str">
        <f t="shared" si="109"/>
        <v/>
      </c>
    </row>
    <row r="2307" spans="1:20" ht="100" customHeight="1">
      <c r="A2307" s="26"/>
      <c r="B2307" s="42" t="str">
        <f t="shared" si="107"/>
        <v/>
      </c>
      <c r="C2307" s="43"/>
      <c r="D2307" s="51" t="str" cm="1">
        <f t="array" ref="D2307">IFERROR(INDEX(DB!G$2:G$2576,T2307),"")</f>
        <v/>
      </c>
      <c r="E2307" s="43"/>
      <c r="F2307" s="52" t="str" cm="1">
        <f t="array" ref="F2307">IFERROR(INDEX(DB!O$2:O$2576,T2307),"")</f>
        <v/>
      </c>
      <c r="G2307" s="43"/>
      <c r="H2307" s="40" t="str" cm="1">
        <f t="array" ref="H2307">IFERROR(INDEX(DB!P$2:P$2576,T2307),"")</f>
        <v/>
      </c>
      <c r="I2307" s="43"/>
      <c r="J2307" s="53" t="str" cm="1">
        <f t="array" ref="J2307">IFERROR(INDEX(DB!Q$2:Q$2576,T2307),"")</f>
        <v/>
      </c>
      <c r="K2307" s="43"/>
      <c r="L2307" s="41" t="str" cm="1">
        <f t="array" ref="L2307">IFERROR(INDEX(DB!R$2:R$2576,T2307),"")</f>
        <v/>
      </c>
      <c r="M2307" s="43"/>
      <c r="P2307" t="str" cm="1">
        <f t="array" ref="P2307">IFERROR(_xlfn.AGGREGATE(15,6,ROW(DB!A$2:A$2576)/((($D$3&lt;&gt;"YES")+($D$3="YES")*(DB!E$2:E$2576="YES"))*(($D$4="")+($D$4&lt;&gt;"")*( DB!B$2:B$2576=$D$4))*(($D$5="")+($D$5&lt;&gt;"")*( DB!C$2:C$2576=$D$5))*(($D$6="")+($D$6&lt;&gt;"")*( DB!D$2:D$2576=$D$6))*(($D$7="")+($D$7&lt;&gt;"")*(ISNUMBER(SEARCH($D$7,DB!G$2:G$2576))))*(($F$7="전체")+($F$7&lt;&gt;"전체")*(DB!H$2:H$2576=$F$7))),ROW()-13)-1,"")</f>
        <v/>
      </c>
      <c r="Q2307" t="str" cm="1">
        <f t="array" ref="Q2307">IFERROR(INDEX(DB!G$2:G$2576,P2307),"")</f>
        <v/>
      </c>
      <c r="R2307" t="str" cm="1">
        <f t="array" ref="R2307">IFERROR(INDEX(DB!O$2:O$2576,P2307),"")</f>
        <v/>
      </c>
      <c r="S2307" t="str">
        <f t="shared" si="108"/>
        <v/>
      </c>
      <c r="T2307" t="str">
        <f t="shared" si="109"/>
        <v/>
      </c>
    </row>
    <row r="2308" spans="1:20" ht="100" customHeight="1">
      <c r="A2308" s="26"/>
      <c r="B2308" s="39" t="str">
        <f t="shared" si="107"/>
        <v/>
      </c>
      <c r="C2308" s="43"/>
      <c r="D2308" s="51" t="str" cm="1">
        <f t="array" ref="D2308">IFERROR(INDEX(DB!G$2:G$2576,T2308),"")</f>
        <v/>
      </c>
      <c r="E2308" s="43"/>
      <c r="F2308" s="52" t="str" cm="1">
        <f t="array" ref="F2308">IFERROR(INDEX(DB!O$2:O$2576,T2308),"")</f>
        <v/>
      </c>
      <c r="G2308" s="43"/>
      <c r="H2308" s="40" t="str" cm="1">
        <f t="array" ref="H2308">IFERROR(INDEX(DB!P$2:P$2576,T2308),"")</f>
        <v/>
      </c>
      <c r="I2308" s="43"/>
      <c r="J2308" s="53" t="str" cm="1">
        <f t="array" ref="J2308">IFERROR(INDEX(DB!Q$2:Q$2576,T2308),"")</f>
        <v/>
      </c>
      <c r="K2308" s="43"/>
      <c r="L2308" s="41" t="str" cm="1">
        <f t="array" ref="L2308">IFERROR(INDEX(DB!R$2:R$2576,T2308),"")</f>
        <v/>
      </c>
      <c r="M2308" s="43"/>
      <c r="P2308" t="str" cm="1">
        <f t="array" ref="P2308">IFERROR(_xlfn.AGGREGATE(15,6,ROW(DB!A$2:A$2576)/((($D$3&lt;&gt;"YES")+($D$3="YES")*(DB!E$2:E$2576="YES"))*(($D$4="")+($D$4&lt;&gt;"")*( DB!B$2:B$2576=$D$4))*(($D$5="")+($D$5&lt;&gt;"")*( DB!C$2:C$2576=$D$5))*(($D$6="")+($D$6&lt;&gt;"")*( DB!D$2:D$2576=$D$6))*(($D$7="")+($D$7&lt;&gt;"")*(ISNUMBER(SEARCH($D$7,DB!G$2:G$2576))))*(($F$7="전체")+($F$7&lt;&gt;"전체")*(DB!H$2:H$2576=$F$7))),ROW()-13)-1,"")</f>
        <v/>
      </c>
      <c r="Q2308" t="str" cm="1">
        <f t="array" ref="Q2308">IFERROR(INDEX(DB!G$2:G$2576,P2308),"")</f>
        <v/>
      </c>
      <c r="R2308" t="str" cm="1">
        <f t="array" ref="R2308">IFERROR(INDEX(DB!O$2:O$2576,P2308),"")</f>
        <v/>
      </c>
      <c r="S2308" t="str">
        <f t="shared" si="108"/>
        <v/>
      </c>
      <c r="T2308" t="str">
        <f t="shared" si="109"/>
        <v/>
      </c>
    </row>
    <row r="2309" spans="1:20" ht="100" customHeight="1">
      <c r="A2309" s="26"/>
      <c r="B2309" s="42" t="str">
        <f t="shared" si="107"/>
        <v/>
      </c>
      <c r="C2309" s="43"/>
      <c r="D2309" s="51" t="str" cm="1">
        <f t="array" ref="D2309">IFERROR(INDEX(DB!G$2:G$2576,T2309),"")</f>
        <v/>
      </c>
      <c r="E2309" s="43"/>
      <c r="F2309" s="52" t="str" cm="1">
        <f t="array" ref="F2309">IFERROR(INDEX(DB!O$2:O$2576,T2309),"")</f>
        <v/>
      </c>
      <c r="G2309" s="43"/>
      <c r="H2309" s="40" t="str" cm="1">
        <f t="array" ref="H2309">IFERROR(INDEX(DB!P$2:P$2576,T2309),"")</f>
        <v/>
      </c>
      <c r="I2309" s="43"/>
      <c r="J2309" s="53" t="str" cm="1">
        <f t="array" ref="J2309">IFERROR(INDEX(DB!Q$2:Q$2576,T2309),"")</f>
        <v/>
      </c>
      <c r="K2309" s="43"/>
      <c r="L2309" s="41" t="str" cm="1">
        <f t="array" ref="L2309">IFERROR(INDEX(DB!R$2:R$2576,T2309),"")</f>
        <v/>
      </c>
      <c r="M2309" s="43"/>
      <c r="P2309" t="str" cm="1">
        <f t="array" ref="P2309">IFERROR(_xlfn.AGGREGATE(15,6,ROW(DB!A$2:A$2576)/((($D$3&lt;&gt;"YES")+($D$3="YES")*(DB!E$2:E$2576="YES"))*(($D$4="")+($D$4&lt;&gt;"")*( DB!B$2:B$2576=$D$4))*(($D$5="")+($D$5&lt;&gt;"")*( DB!C$2:C$2576=$D$5))*(($D$6="")+($D$6&lt;&gt;"")*( DB!D$2:D$2576=$D$6))*(($D$7="")+($D$7&lt;&gt;"")*(ISNUMBER(SEARCH($D$7,DB!G$2:G$2576))))*(($F$7="전체")+($F$7&lt;&gt;"전체")*(DB!H$2:H$2576=$F$7))),ROW()-13)-1,"")</f>
        <v/>
      </c>
      <c r="Q2309" t="str" cm="1">
        <f t="array" ref="Q2309">IFERROR(INDEX(DB!G$2:G$2576,P2309),"")</f>
        <v/>
      </c>
      <c r="R2309" t="str" cm="1">
        <f t="array" ref="R2309">IFERROR(INDEX(DB!O$2:O$2576,P2309),"")</f>
        <v/>
      </c>
      <c r="S2309" t="str">
        <f t="shared" si="108"/>
        <v/>
      </c>
      <c r="T2309" t="str">
        <f t="shared" si="109"/>
        <v/>
      </c>
    </row>
    <row r="2310" spans="1:20" ht="100" customHeight="1">
      <c r="A2310" s="26"/>
      <c r="B2310" s="39" t="str">
        <f t="shared" si="107"/>
        <v/>
      </c>
      <c r="C2310" s="43"/>
      <c r="D2310" s="51" t="str" cm="1">
        <f t="array" ref="D2310">IFERROR(INDEX(DB!G$2:G$2576,T2310),"")</f>
        <v/>
      </c>
      <c r="E2310" s="43"/>
      <c r="F2310" s="52" t="str" cm="1">
        <f t="array" ref="F2310">IFERROR(INDEX(DB!O$2:O$2576,T2310),"")</f>
        <v/>
      </c>
      <c r="G2310" s="43"/>
      <c r="H2310" s="40" t="str" cm="1">
        <f t="array" ref="H2310">IFERROR(INDEX(DB!P$2:P$2576,T2310),"")</f>
        <v/>
      </c>
      <c r="I2310" s="43"/>
      <c r="J2310" s="53" t="str" cm="1">
        <f t="array" ref="J2310">IFERROR(INDEX(DB!Q$2:Q$2576,T2310),"")</f>
        <v/>
      </c>
      <c r="K2310" s="43"/>
      <c r="L2310" s="41" t="str" cm="1">
        <f t="array" ref="L2310">IFERROR(INDEX(DB!R$2:R$2576,T2310),"")</f>
        <v/>
      </c>
      <c r="M2310" s="43"/>
      <c r="P2310" t="str" cm="1">
        <f t="array" ref="P2310">IFERROR(_xlfn.AGGREGATE(15,6,ROW(DB!A$2:A$2576)/((($D$3&lt;&gt;"YES")+($D$3="YES")*(DB!E$2:E$2576="YES"))*(($D$4="")+($D$4&lt;&gt;"")*( DB!B$2:B$2576=$D$4))*(($D$5="")+($D$5&lt;&gt;"")*( DB!C$2:C$2576=$D$5))*(($D$6="")+($D$6&lt;&gt;"")*( DB!D$2:D$2576=$D$6))*(($D$7="")+($D$7&lt;&gt;"")*(ISNUMBER(SEARCH($D$7,DB!G$2:G$2576))))*(($F$7="전체")+($F$7&lt;&gt;"전체")*(DB!H$2:H$2576=$F$7))),ROW()-13)-1,"")</f>
        <v/>
      </c>
      <c r="Q2310" t="str" cm="1">
        <f t="array" ref="Q2310">IFERROR(INDEX(DB!G$2:G$2576,P2310),"")</f>
        <v/>
      </c>
      <c r="R2310" t="str" cm="1">
        <f t="array" ref="R2310">IFERROR(INDEX(DB!O$2:O$2576,P2310),"")</f>
        <v/>
      </c>
      <c r="S2310" t="str">
        <f t="shared" si="108"/>
        <v/>
      </c>
      <c r="T2310" t="str">
        <f t="shared" si="109"/>
        <v/>
      </c>
    </row>
    <row r="2311" spans="1:20" ht="100" customHeight="1">
      <c r="A2311" s="26"/>
      <c r="B2311" s="42" t="str">
        <f t="shared" si="107"/>
        <v/>
      </c>
      <c r="C2311" s="43"/>
      <c r="D2311" s="51" t="str" cm="1">
        <f t="array" ref="D2311">IFERROR(INDEX(DB!G$2:G$2576,T2311),"")</f>
        <v/>
      </c>
      <c r="E2311" s="43"/>
      <c r="F2311" s="52" t="str" cm="1">
        <f t="array" ref="F2311">IFERROR(INDEX(DB!O$2:O$2576,T2311),"")</f>
        <v/>
      </c>
      <c r="G2311" s="43"/>
      <c r="H2311" s="40" t="str" cm="1">
        <f t="array" ref="H2311">IFERROR(INDEX(DB!P$2:P$2576,T2311),"")</f>
        <v/>
      </c>
      <c r="I2311" s="43"/>
      <c r="J2311" s="53" t="str" cm="1">
        <f t="array" ref="J2311">IFERROR(INDEX(DB!Q$2:Q$2576,T2311),"")</f>
        <v/>
      </c>
      <c r="K2311" s="43"/>
      <c r="L2311" s="41" t="str" cm="1">
        <f t="array" ref="L2311">IFERROR(INDEX(DB!R$2:R$2576,T2311),"")</f>
        <v/>
      </c>
      <c r="M2311" s="43"/>
      <c r="P2311" t="str" cm="1">
        <f t="array" ref="P2311">IFERROR(_xlfn.AGGREGATE(15,6,ROW(DB!A$2:A$2576)/((($D$3&lt;&gt;"YES")+($D$3="YES")*(DB!E$2:E$2576="YES"))*(($D$4="")+($D$4&lt;&gt;"")*( DB!B$2:B$2576=$D$4))*(($D$5="")+($D$5&lt;&gt;"")*( DB!C$2:C$2576=$D$5))*(($D$6="")+($D$6&lt;&gt;"")*( DB!D$2:D$2576=$D$6))*(($D$7="")+($D$7&lt;&gt;"")*(ISNUMBER(SEARCH($D$7,DB!G$2:G$2576))))*(($F$7="전체")+($F$7&lt;&gt;"전체")*(DB!H$2:H$2576=$F$7))),ROW()-13)-1,"")</f>
        <v/>
      </c>
      <c r="Q2311" t="str" cm="1">
        <f t="array" ref="Q2311">IFERROR(INDEX(DB!G$2:G$2576,P2311),"")</f>
        <v/>
      </c>
      <c r="R2311" t="str" cm="1">
        <f t="array" ref="R2311">IFERROR(INDEX(DB!O$2:O$2576,P2311),"")</f>
        <v/>
      </c>
      <c r="S2311" t="str">
        <f t="shared" si="108"/>
        <v/>
      </c>
      <c r="T2311" t="str">
        <f t="shared" si="109"/>
        <v/>
      </c>
    </row>
    <row r="2312" spans="1:20" ht="100" customHeight="1">
      <c r="A2312" s="26"/>
      <c r="B2312" s="39" t="str">
        <f t="shared" si="107"/>
        <v/>
      </c>
      <c r="C2312" s="43"/>
      <c r="D2312" s="51" t="str" cm="1">
        <f t="array" ref="D2312">IFERROR(INDEX(DB!G$2:G$2576,T2312),"")</f>
        <v/>
      </c>
      <c r="E2312" s="43"/>
      <c r="F2312" s="52" t="str" cm="1">
        <f t="array" ref="F2312">IFERROR(INDEX(DB!O$2:O$2576,T2312),"")</f>
        <v/>
      </c>
      <c r="G2312" s="43"/>
      <c r="H2312" s="40" t="str" cm="1">
        <f t="array" ref="H2312">IFERROR(INDEX(DB!P$2:P$2576,T2312),"")</f>
        <v/>
      </c>
      <c r="I2312" s="43"/>
      <c r="J2312" s="53" t="str" cm="1">
        <f t="array" ref="J2312">IFERROR(INDEX(DB!Q$2:Q$2576,T2312),"")</f>
        <v/>
      </c>
      <c r="K2312" s="43"/>
      <c r="L2312" s="41" t="str" cm="1">
        <f t="array" ref="L2312">IFERROR(INDEX(DB!R$2:R$2576,T2312),"")</f>
        <v/>
      </c>
      <c r="M2312" s="43"/>
      <c r="P2312" t="str" cm="1">
        <f t="array" ref="P2312">IFERROR(_xlfn.AGGREGATE(15,6,ROW(DB!A$2:A$2576)/((($D$3&lt;&gt;"YES")+($D$3="YES")*(DB!E$2:E$2576="YES"))*(($D$4="")+($D$4&lt;&gt;"")*( DB!B$2:B$2576=$D$4))*(($D$5="")+($D$5&lt;&gt;"")*( DB!C$2:C$2576=$D$5))*(($D$6="")+($D$6&lt;&gt;"")*( DB!D$2:D$2576=$D$6))*(($D$7="")+($D$7&lt;&gt;"")*(ISNUMBER(SEARCH($D$7,DB!G$2:G$2576))))*(($F$7="전체")+($F$7&lt;&gt;"전체")*(DB!H$2:H$2576=$F$7))),ROW()-13)-1,"")</f>
        <v/>
      </c>
      <c r="Q2312" t="str" cm="1">
        <f t="array" ref="Q2312">IFERROR(INDEX(DB!G$2:G$2576,P2312),"")</f>
        <v/>
      </c>
      <c r="R2312" t="str" cm="1">
        <f t="array" ref="R2312">IFERROR(INDEX(DB!O$2:O$2576,P2312),"")</f>
        <v/>
      </c>
      <c r="S2312" t="str">
        <f t="shared" si="108"/>
        <v/>
      </c>
      <c r="T2312" t="str">
        <f t="shared" si="109"/>
        <v/>
      </c>
    </row>
    <row r="2313" spans="1:20" ht="100" customHeight="1">
      <c r="A2313" s="26"/>
      <c r="B2313" s="42" t="str">
        <f t="shared" si="107"/>
        <v/>
      </c>
      <c r="C2313" s="43"/>
      <c r="D2313" s="51" t="str" cm="1">
        <f t="array" ref="D2313">IFERROR(INDEX(DB!G$2:G$2576,T2313),"")</f>
        <v/>
      </c>
      <c r="E2313" s="43"/>
      <c r="F2313" s="52" t="str" cm="1">
        <f t="array" ref="F2313">IFERROR(INDEX(DB!O$2:O$2576,T2313),"")</f>
        <v/>
      </c>
      <c r="G2313" s="43"/>
      <c r="H2313" s="40" t="str" cm="1">
        <f t="array" ref="H2313">IFERROR(INDEX(DB!P$2:P$2576,T2313),"")</f>
        <v/>
      </c>
      <c r="I2313" s="43"/>
      <c r="J2313" s="53" t="str" cm="1">
        <f t="array" ref="J2313">IFERROR(INDEX(DB!Q$2:Q$2576,T2313),"")</f>
        <v/>
      </c>
      <c r="K2313" s="43"/>
      <c r="L2313" s="41" t="str" cm="1">
        <f t="array" ref="L2313">IFERROR(INDEX(DB!R$2:R$2576,T2313),"")</f>
        <v/>
      </c>
      <c r="M2313" s="43"/>
      <c r="P2313" t="str" cm="1">
        <f t="array" ref="P2313">IFERROR(_xlfn.AGGREGATE(15,6,ROW(DB!A$2:A$2576)/((($D$3&lt;&gt;"YES")+($D$3="YES")*(DB!E$2:E$2576="YES"))*(($D$4="")+($D$4&lt;&gt;"")*( DB!B$2:B$2576=$D$4))*(($D$5="")+($D$5&lt;&gt;"")*( DB!C$2:C$2576=$D$5))*(($D$6="")+($D$6&lt;&gt;"")*( DB!D$2:D$2576=$D$6))*(($D$7="")+($D$7&lt;&gt;"")*(ISNUMBER(SEARCH($D$7,DB!G$2:G$2576))))*(($F$7="전체")+($F$7&lt;&gt;"전체")*(DB!H$2:H$2576=$F$7))),ROW()-13)-1,"")</f>
        <v/>
      </c>
      <c r="Q2313" t="str" cm="1">
        <f t="array" ref="Q2313">IFERROR(INDEX(DB!G$2:G$2576,P2313),"")</f>
        <v/>
      </c>
      <c r="R2313" t="str" cm="1">
        <f t="array" ref="R2313">IFERROR(INDEX(DB!O$2:O$2576,P2313),"")</f>
        <v/>
      </c>
      <c r="S2313" t="str">
        <f t="shared" si="108"/>
        <v/>
      </c>
      <c r="T2313" t="str">
        <f t="shared" si="109"/>
        <v/>
      </c>
    </row>
    <row r="2314" spans="1:20" ht="100" customHeight="1">
      <c r="A2314" s="26"/>
      <c r="B2314" s="39" t="str">
        <f t="shared" si="107"/>
        <v/>
      </c>
      <c r="C2314" s="43"/>
      <c r="D2314" s="51" t="str" cm="1">
        <f t="array" ref="D2314">IFERROR(INDEX(DB!G$2:G$2576,T2314),"")</f>
        <v/>
      </c>
      <c r="E2314" s="43"/>
      <c r="F2314" s="52" t="str" cm="1">
        <f t="array" ref="F2314">IFERROR(INDEX(DB!O$2:O$2576,T2314),"")</f>
        <v/>
      </c>
      <c r="G2314" s="43"/>
      <c r="H2314" s="40" t="str" cm="1">
        <f t="array" ref="H2314">IFERROR(INDEX(DB!P$2:P$2576,T2314),"")</f>
        <v/>
      </c>
      <c r="I2314" s="43"/>
      <c r="J2314" s="53" t="str" cm="1">
        <f t="array" ref="J2314">IFERROR(INDEX(DB!Q$2:Q$2576,T2314),"")</f>
        <v/>
      </c>
      <c r="K2314" s="43"/>
      <c r="L2314" s="41" t="str" cm="1">
        <f t="array" ref="L2314">IFERROR(INDEX(DB!R$2:R$2576,T2314),"")</f>
        <v/>
      </c>
      <c r="M2314" s="43"/>
      <c r="P2314" t="str" cm="1">
        <f t="array" ref="P2314">IFERROR(_xlfn.AGGREGATE(15,6,ROW(DB!A$2:A$2576)/((($D$3&lt;&gt;"YES")+($D$3="YES")*(DB!E$2:E$2576="YES"))*(($D$4="")+($D$4&lt;&gt;"")*( DB!B$2:B$2576=$D$4))*(($D$5="")+($D$5&lt;&gt;"")*( DB!C$2:C$2576=$D$5))*(($D$6="")+($D$6&lt;&gt;"")*( DB!D$2:D$2576=$D$6))*(($D$7="")+($D$7&lt;&gt;"")*(ISNUMBER(SEARCH($D$7,DB!G$2:G$2576))))*(($F$7="전체")+($F$7&lt;&gt;"전체")*(DB!H$2:H$2576=$F$7))),ROW()-13)-1,"")</f>
        <v/>
      </c>
      <c r="Q2314" t="str" cm="1">
        <f t="array" ref="Q2314">IFERROR(INDEX(DB!G$2:G$2576,P2314),"")</f>
        <v/>
      </c>
      <c r="R2314" t="str" cm="1">
        <f t="array" ref="R2314">IFERROR(INDEX(DB!O$2:O$2576,P2314),"")</f>
        <v/>
      </c>
      <c r="S2314" t="str">
        <f t="shared" si="108"/>
        <v/>
      </c>
      <c r="T2314" t="str">
        <f t="shared" si="109"/>
        <v/>
      </c>
    </row>
    <row r="2315" spans="1:20" ht="100" customHeight="1">
      <c r="A2315" s="26"/>
      <c r="B2315" s="42" t="str">
        <f t="shared" si="107"/>
        <v/>
      </c>
      <c r="C2315" s="43"/>
      <c r="D2315" s="51" t="str" cm="1">
        <f t="array" ref="D2315">IFERROR(INDEX(DB!G$2:G$2576,T2315),"")</f>
        <v/>
      </c>
      <c r="E2315" s="43"/>
      <c r="F2315" s="52" t="str" cm="1">
        <f t="array" ref="F2315">IFERROR(INDEX(DB!O$2:O$2576,T2315),"")</f>
        <v/>
      </c>
      <c r="G2315" s="43"/>
      <c r="H2315" s="40" t="str" cm="1">
        <f t="array" ref="H2315">IFERROR(INDEX(DB!P$2:P$2576,T2315),"")</f>
        <v/>
      </c>
      <c r="I2315" s="43"/>
      <c r="J2315" s="53" t="str" cm="1">
        <f t="array" ref="J2315">IFERROR(INDEX(DB!Q$2:Q$2576,T2315),"")</f>
        <v/>
      </c>
      <c r="K2315" s="43"/>
      <c r="L2315" s="41" t="str" cm="1">
        <f t="array" ref="L2315">IFERROR(INDEX(DB!R$2:R$2576,T2315),"")</f>
        <v/>
      </c>
      <c r="M2315" s="43"/>
      <c r="P2315" t="str" cm="1">
        <f t="array" ref="P2315">IFERROR(_xlfn.AGGREGATE(15,6,ROW(DB!A$2:A$2576)/((($D$3&lt;&gt;"YES")+($D$3="YES")*(DB!E$2:E$2576="YES"))*(($D$4="")+($D$4&lt;&gt;"")*( DB!B$2:B$2576=$D$4))*(($D$5="")+($D$5&lt;&gt;"")*( DB!C$2:C$2576=$D$5))*(($D$6="")+($D$6&lt;&gt;"")*( DB!D$2:D$2576=$D$6))*(($D$7="")+($D$7&lt;&gt;"")*(ISNUMBER(SEARCH($D$7,DB!G$2:G$2576))))*(($F$7="전체")+($F$7&lt;&gt;"전체")*(DB!H$2:H$2576=$F$7))),ROW()-13)-1,"")</f>
        <v/>
      </c>
      <c r="Q2315" t="str" cm="1">
        <f t="array" ref="Q2315">IFERROR(INDEX(DB!G$2:G$2576,P2315),"")</f>
        <v/>
      </c>
      <c r="R2315" t="str" cm="1">
        <f t="array" ref="R2315">IFERROR(INDEX(DB!O$2:O$2576,P2315),"")</f>
        <v/>
      </c>
      <c r="S2315" t="str">
        <f t="shared" si="108"/>
        <v/>
      </c>
      <c r="T2315" t="str">
        <f t="shared" si="109"/>
        <v/>
      </c>
    </row>
    <row r="2316" spans="1:20" ht="100" customHeight="1">
      <c r="A2316" s="26"/>
      <c r="B2316" s="39" t="str">
        <f t="shared" si="107"/>
        <v/>
      </c>
      <c r="C2316" s="43"/>
      <c r="D2316" s="51" t="str" cm="1">
        <f t="array" ref="D2316">IFERROR(INDEX(DB!G$2:G$2576,T2316),"")</f>
        <v/>
      </c>
      <c r="E2316" s="43"/>
      <c r="F2316" s="52" t="str" cm="1">
        <f t="array" ref="F2316">IFERROR(INDEX(DB!O$2:O$2576,T2316),"")</f>
        <v/>
      </c>
      <c r="G2316" s="43"/>
      <c r="H2316" s="40" t="str" cm="1">
        <f t="array" ref="H2316">IFERROR(INDEX(DB!P$2:P$2576,T2316),"")</f>
        <v/>
      </c>
      <c r="I2316" s="43"/>
      <c r="J2316" s="53" t="str" cm="1">
        <f t="array" ref="J2316">IFERROR(INDEX(DB!Q$2:Q$2576,T2316),"")</f>
        <v/>
      </c>
      <c r="K2316" s="43"/>
      <c r="L2316" s="41" t="str" cm="1">
        <f t="array" ref="L2316">IFERROR(INDEX(DB!R$2:R$2576,T2316),"")</f>
        <v/>
      </c>
      <c r="M2316" s="43"/>
      <c r="P2316" t="str" cm="1">
        <f t="array" ref="P2316">IFERROR(_xlfn.AGGREGATE(15,6,ROW(DB!A$2:A$2576)/((($D$3&lt;&gt;"YES")+($D$3="YES")*(DB!E$2:E$2576="YES"))*(($D$4="")+($D$4&lt;&gt;"")*( DB!B$2:B$2576=$D$4))*(($D$5="")+($D$5&lt;&gt;"")*( DB!C$2:C$2576=$D$5))*(($D$6="")+($D$6&lt;&gt;"")*( DB!D$2:D$2576=$D$6))*(($D$7="")+($D$7&lt;&gt;"")*(ISNUMBER(SEARCH($D$7,DB!G$2:G$2576))))*(($F$7="전체")+($F$7&lt;&gt;"전체")*(DB!H$2:H$2576=$F$7))),ROW()-13)-1,"")</f>
        <v/>
      </c>
      <c r="Q2316" t="str" cm="1">
        <f t="array" ref="Q2316">IFERROR(INDEX(DB!G$2:G$2576,P2316),"")</f>
        <v/>
      </c>
      <c r="R2316" t="str" cm="1">
        <f t="array" ref="R2316">IFERROR(INDEX(DB!O$2:O$2576,P2316),"")</f>
        <v/>
      </c>
      <c r="S2316" t="str">
        <f t="shared" si="108"/>
        <v/>
      </c>
      <c r="T2316" t="str">
        <f t="shared" si="109"/>
        <v/>
      </c>
    </row>
    <row r="2317" spans="1:20" ht="100" customHeight="1">
      <c r="A2317" s="26"/>
      <c r="B2317" s="42" t="str">
        <f t="shared" si="107"/>
        <v/>
      </c>
      <c r="C2317" s="43"/>
      <c r="D2317" s="51" t="str" cm="1">
        <f t="array" ref="D2317">IFERROR(INDEX(DB!G$2:G$2576,T2317),"")</f>
        <v/>
      </c>
      <c r="E2317" s="43"/>
      <c r="F2317" s="52" t="str" cm="1">
        <f t="array" ref="F2317">IFERROR(INDEX(DB!O$2:O$2576,T2317),"")</f>
        <v/>
      </c>
      <c r="G2317" s="43"/>
      <c r="H2317" s="40" t="str" cm="1">
        <f t="array" ref="H2317">IFERROR(INDEX(DB!P$2:P$2576,T2317),"")</f>
        <v/>
      </c>
      <c r="I2317" s="43"/>
      <c r="J2317" s="53" t="str" cm="1">
        <f t="array" ref="J2317">IFERROR(INDEX(DB!Q$2:Q$2576,T2317),"")</f>
        <v/>
      </c>
      <c r="K2317" s="43"/>
      <c r="L2317" s="41" t="str" cm="1">
        <f t="array" ref="L2317">IFERROR(INDEX(DB!R$2:R$2576,T2317),"")</f>
        <v/>
      </c>
      <c r="M2317" s="43"/>
      <c r="P2317" t="str" cm="1">
        <f t="array" ref="P2317">IFERROR(_xlfn.AGGREGATE(15,6,ROW(DB!A$2:A$2576)/((($D$3&lt;&gt;"YES")+($D$3="YES")*(DB!E$2:E$2576="YES"))*(($D$4="")+($D$4&lt;&gt;"")*( DB!B$2:B$2576=$D$4))*(($D$5="")+($D$5&lt;&gt;"")*( DB!C$2:C$2576=$D$5))*(($D$6="")+($D$6&lt;&gt;"")*( DB!D$2:D$2576=$D$6))*(($D$7="")+($D$7&lt;&gt;"")*(ISNUMBER(SEARCH($D$7,DB!G$2:G$2576))))*(($F$7="전체")+($F$7&lt;&gt;"전체")*(DB!H$2:H$2576=$F$7))),ROW()-13)-1,"")</f>
        <v/>
      </c>
      <c r="Q2317" t="str" cm="1">
        <f t="array" ref="Q2317">IFERROR(INDEX(DB!G$2:G$2576,P2317),"")</f>
        <v/>
      </c>
      <c r="R2317" t="str" cm="1">
        <f t="array" ref="R2317">IFERROR(INDEX(DB!O$2:O$2576,P2317),"")</f>
        <v/>
      </c>
      <c r="S2317" t="str">
        <f t="shared" si="108"/>
        <v/>
      </c>
      <c r="T2317" t="str">
        <f t="shared" si="109"/>
        <v/>
      </c>
    </row>
    <row r="2318" spans="1:20" ht="100" customHeight="1">
      <c r="A2318" s="26"/>
      <c r="B2318" s="39" t="str">
        <f t="shared" si="107"/>
        <v/>
      </c>
      <c r="C2318" s="43"/>
      <c r="D2318" s="51" t="str" cm="1">
        <f t="array" ref="D2318">IFERROR(INDEX(DB!G$2:G$2576,T2318),"")</f>
        <v/>
      </c>
      <c r="E2318" s="43"/>
      <c r="F2318" s="52" t="str" cm="1">
        <f t="array" ref="F2318">IFERROR(INDEX(DB!O$2:O$2576,T2318),"")</f>
        <v/>
      </c>
      <c r="G2318" s="43"/>
      <c r="H2318" s="40" t="str" cm="1">
        <f t="array" ref="H2318">IFERROR(INDEX(DB!P$2:P$2576,T2318),"")</f>
        <v/>
      </c>
      <c r="I2318" s="43"/>
      <c r="J2318" s="53" t="str" cm="1">
        <f t="array" ref="J2318">IFERROR(INDEX(DB!Q$2:Q$2576,T2318),"")</f>
        <v/>
      </c>
      <c r="K2318" s="43"/>
      <c r="L2318" s="41" t="str" cm="1">
        <f t="array" ref="L2318">IFERROR(INDEX(DB!R$2:R$2576,T2318),"")</f>
        <v/>
      </c>
      <c r="M2318" s="43"/>
      <c r="P2318" t="str" cm="1">
        <f t="array" ref="P2318">IFERROR(_xlfn.AGGREGATE(15,6,ROW(DB!A$2:A$2576)/((($D$3&lt;&gt;"YES")+($D$3="YES")*(DB!E$2:E$2576="YES"))*(($D$4="")+($D$4&lt;&gt;"")*( DB!B$2:B$2576=$D$4))*(($D$5="")+($D$5&lt;&gt;"")*( DB!C$2:C$2576=$D$5))*(($D$6="")+($D$6&lt;&gt;"")*( DB!D$2:D$2576=$D$6))*(($D$7="")+($D$7&lt;&gt;"")*(ISNUMBER(SEARCH($D$7,DB!G$2:G$2576))))*(($F$7="전체")+($F$7&lt;&gt;"전체")*(DB!H$2:H$2576=$F$7))),ROW()-13)-1,"")</f>
        <v/>
      </c>
      <c r="Q2318" t="str" cm="1">
        <f t="array" ref="Q2318">IFERROR(INDEX(DB!G$2:G$2576,P2318),"")</f>
        <v/>
      </c>
      <c r="R2318" t="str" cm="1">
        <f t="array" ref="R2318">IFERROR(INDEX(DB!O$2:O$2576,P2318),"")</f>
        <v/>
      </c>
      <c r="S2318" t="str">
        <f t="shared" si="108"/>
        <v/>
      </c>
      <c r="T2318" t="str">
        <f t="shared" si="109"/>
        <v/>
      </c>
    </row>
    <row r="2319" spans="1:20" ht="100" customHeight="1">
      <c r="A2319" s="26"/>
      <c r="B2319" s="42" t="str">
        <f t="shared" ref="B2319:B2382" si="110">IFERROR(IF(T2319="","",ROW()-13),"")</f>
        <v/>
      </c>
      <c r="C2319" s="43"/>
      <c r="D2319" s="51" t="str" cm="1">
        <f t="array" ref="D2319">IFERROR(INDEX(DB!G$2:G$2576,T2319),"")</f>
        <v/>
      </c>
      <c r="E2319" s="43"/>
      <c r="F2319" s="52" t="str" cm="1">
        <f t="array" ref="F2319">IFERROR(INDEX(DB!O$2:O$2576,T2319),"")</f>
        <v/>
      </c>
      <c r="G2319" s="43"/>
      <c r="H2319" s="40" t="str" cm="1">
        <f t="array" ref="H2319">IFERROR(INDEX(DB!P$2:P$2576,T2319),"")</f>
        <v/>
      </c>
      <c r="I2319" s="43"/>
      <c r="J2319" s="53" t="str" cm="1">
        <f t="array" ref="J2319">IFERROR(INDEX(DB!Q$2:Q$2576,T2319),"")</f>
        <v/>
      </c>
      <c r="K2319" s="43"/>
      <c r="L2319" s="41" t="str" cm="1">
        <f t="array" ref="L2319">IFERROR(INDEX(DB!R$2:R$2576,T2319),"")</f>
        <v/>
      </c>
      <c r="M2319" s="43"/>
      <c r="P2319" t="str" cm="1">
        <f t="array" ref="P2319">IFERROR(_xlfn.AGGREGATE(15,6,ROW(DB!A$2:A$2576)/((($D$3&lt;&gt;"YES")+($D$3="YES")*(DB!E$2:E$2576="YES"))*(($D$4="")+($D$4&lt;&gt;"")*( DB!B$2:B$2576=$D$4))*(($D$5="")+($D$5&lt;&gt;"")*( DB!C$2:C$2576=$D$5))*(($D$6="")+($D$6&lt;&gt;"")*( DB!D$2:D$2576=$D$6))*(($D$7="")+($D$7&lt;&gt;"")*(ISNUMBER(SEARCH($D$7,DB!G$2:G$2576))))*(($F$7="전체")+($F$7&lt;&gt;"전체")*(DB!H$2:H$2576=$F$7))),ROW()-13)-1,"")</f>
        <v/>
      </c>
      <c r="Q2319" t="str" cm="1">
        <f t="array" ref="Q2319">IFERROR(INDEX(DB!G$2:G$2576,P2319),"")</f>
        <v/>
      </c>
      <c r="R2319" t="str" cm="1">
        <f t="array" ref="R2319">IFERROR(INDEX(DB!O$2:O$2576,P2319),"")</f>
        <v/>
      </c>
      <c r="S2319" t="str">
        <f t="shared" ref="S2319:S2382" si="111">IF(P2319="","",COUNTIF($Q$14:$Q$2587,"&lt;"&amp;Q2319)*100+COUNTIF($R$14:$R$2587,"&lt;"&amp;R2319)+(ROW()-13)*0.001)</f>
        <v/>
      </c>
      <c r="T2319" t="str">
        <f t="shared" ref="T2319:T2382" si="112">IFERROR(INDEX($P$14:$P$2587,MATCH(SMALL($S$14:$S$2587,ROW()-13),$S$14:$S$2587,0)),"")</f>
        <v/>
      </c>
    </row>
    <row r="2320" spans="1:20" ht="100" customHeight="1">
      <c r="A2320" s="26"/>
      <c r="B2320" s="39" t="str">
        <f t="shared" si="110"/>
        <v/>
      </c>
      <c r="C2320" s="43"/>
      <c r="D2320" s="51" t="str" cm="1">
        <f t="array" ref="D2320">IFERROR(INDEX(DB!G$2:G$2576,T2320),"")</f>
        <v/>
      </c>
      <c r="E2320" s="43"/>
      <c r="F2320" s="52" t="str" cm="1">
        <f t="array" ref="F2320">IFERROR(INDEX(DB!O$2:O$2576,T2320),"")</f>
        <v/>
      </c>
      <c r="G2320" s="43"/>
      <c r="H2320" s="40" t="str" cm="1">
        <f t="array" ref="H2320">IFERROR(INDEX(DB!P$2:P$2576,T2320),"")</f>
        <v/>
      </c>
      <c r="I2320" s="43"/>
      <c r="J2320" s="53" t="str" cm="1">
        <f t="array" ref="J2320">IFERROR(INDEX(DB!Q$2:Q$2576,T2320),"")</f>
        <v/>
      </c>
      <c r="K2320" s="43"/>
      <c r="L2320" s="41" t="str" cm="1">
        <f t="array" ref="L2320">IFERROR(INDEX(DB!R$2:R$2576,T2320),"")</f>
        <v/>
      </c>
      <c r="M2320" s="43"/>
      <c r="P2320" t="str" cm="1">
        <f t="array" ref="P2320">IFERROR(_xlfn.AGGREGATE(15,6,ROW(DB!A$2:A$2576)/((($D$3&lt;&gt;"YES")+($D$3="YES")*(DB!E$2:E$2576="YES"))*(($D$4="")+($D$4&lt;&gt;"")*( DB!B$2:B$2576=$D$4))*(($D$5="")+($D$5&lt;&gt;"")*( DB!C$2:C$2576=$D$5))*(($D$6="")+($D$6&lt;&gt;"")*( DB!D$2:D$2576=$D$6))*(($D$7="")+($D$7&lt;&gt;"")*(ISNUMBER(SEARCH($D$7,DB!G$2:G$2576))))*(($F$7="전체")+($F$7&lt;&gt;"전체")*(DB!H$2:H$2576=$F$7))),ROW()-13)-1,"")</f>
        <v/>
      </c>
      <c r="Q2320" t="str" cm="1">
        <f t="array" ref="Q2320">IFERROR(INDEX(DB!G$2:G$2576,P2320),"")</f>
        <v/>
      </c>
      <c r="R2320" t="str" cm="1">
        <f t="array" ref="R2320">IFERROR(INDEX(DB!O$2:O$2576,P2320),"")</f>
        <v/>
      </c>
      <c r="S2320" t="str">
        <f t="shared" si="111"/>
        <v/>
      </c>
      <c r="T2320" t="str">
        <f t="shared" si="112"/>
        <v/>
      </c>
    </row>
    <row r="2321" spans="1:20" ht="100" customHeight="1">
      <c r="A2321" s="26"/>
      <c r="B2321" s="42" t="str">
        <f t="shared" si="110"/>
        <v/>
      </c>
      <c r="C2321" s="43"/>
      <c r="D2321" s="51" t="str" cm="1">
        <f t="array" ref="D2321">IFERROR(INDEX(DB!G$2:G$2576,T2321),"")</f>
        <v/>
      </c>
      <c r="E2321" s="43"/>
      <c r="F2321" s="52" t="str" cm="1">
        <f t="array" ref="F2321">IFERROR(INDEX(DB!O$2:O$2576,T2321),"")</f>
        <v/>
      </c>
      <c r="G2321" s="43"/>
      <c r="H2321" s="40" t="str" cm="1">
        <f t="array" ref="H2321">IFERROR(INDEX(DB!P$2:P$2576,T2321),"")</f>
        <v/>
      </c>
      <c r="I2321" s="43"/>
      <c r="J2321" s="53" t="str" cm="1">
        <f t="array" ref="J2321">IFERROR(INDEX(DB!Q$2:Q$2576,T2321),"")</f>
        <v/>
      </c>
      <c r="K2321" s="43"/>
      <c r="L2321" s="41" t="str" cm="1">
        <f t="array" ref="L2321">IFERROR(INDEX(DB!R$2:R$2576,T2321),"")</f>
        <v/>
      </c>
      <c r="M2321" s="43"/>
      <c r="P2321" t="str" cm="1">
        <f t="array" ref="P2321">IFERROR(_xlfn.AGGREGATE(15,6,ROW(DB!A$2:A$2576)/((($D$3&lt;&gt;"YES")+($D$3="YES")*(DB!E$2:E$2576="YES"))*(($D$4="")+($D$4&lt;&gt;"")*( DB!B$2:B$2576=$D$4))*(($D$5="")+($D$5&lt;&gt;"")*( DB!C$2:C$2576=$D$5))*(($D$6="")+($D$6&lt;&gt;"")*( DB!D$2:D$2576=$D$6))*(($D$7="")+($D$7&lt;&gt;"")*(ISNUMBER(SEARCH($D$7,DB!G$2:G$2576))))*(($F$7="전체")+($F$7&lt;&gt;"전체")*(DB!H$2:H$2576=$F$7))),ROW()-13)-1,"")</f>
        <v/>
      </c>
      <c r="Q2321" t="str" cm="1">
        <f t="array" ref="Q2321">IFERROR(INDEX(DB!G$2:G$2576,P2321),"")</f>
        <v/>
      </c>
      <c r="R2321" t="str" cm="1">
        <f t="array" ref="R2321">IFERROR(INDEX(DB!O$2:O$2576,P2321),"")</f>
        <v/>
      </c>
      <c r="S2321" t="str">
        <f t="shared" si="111"/>
        <v/>
      </c>
      <c r="T2321" t="str">
        <f t="shared" si="112"/>
        <v/>
      </c>
    </row>
    <row r="2322" spans="1:20" ht="100" customHeight="1">
      <c r="A2322" s="26"/>
      <c r="B2322" s="39" t="str">
        <f t="shared" si="110"/>
        <v/>
      </c>
      <c r="C2322" s="43"/>
      <c r="D2322" s="51" t="str" cm="1">
        <f t="array" ref="D2322">IFERROR(INDEX(DB!G$2:G$2576,T2322),"")</f>
        <v/>
      </c>
      <c r="E2322" s="43"/>
      <c r="F2322" s="52" t="str" cm="1">
        <f t="array" ref="F2322">IFERROR(INDEX(DB!O$2:O$2576,T2322),"")</f>
        <v/>
      </c>
      <c r="G2322" s="43"/>
      <c r="H2322" s="40" t="str" cm="1">
        <f t="array" ref="H2322">IFERROR(INDEX(DB!P$2:P$2576,T2322),"")</f>
        <v/>
      </c>
      <c r="I2322" s="43"/>
      <c r="J2322" s="53" t="str" cm="1">
        <f t="array" ref="J2322">IFERROR(INDEX(DB!Q$2:Q$2576,T2322),"")</f>
        <v/>
      </c>
      <c r="K2322" s="43"/>
      <c r="L2322" s="41" t="str" cm="1">
        <f t="array" ref="L2322">IFERROR(INDEX(DB!R$2:R$2576,T2322),"")</f>
        <v/>
      </c>
      <c r="M2322" s="43"/>
      <c r="P2322" t="str" cm="1">
        <f t="array" ref="P2322">IFERROR(_xlfn.AGGREGATE(15,6,ROW(DB!A$2:A$2576)/((($D$3&lt;&gt;"YES")+($D$3="YES")*(DB!E$2:E$2576="YES"))*(($D$4="")+($D$4&lt;&gt;"")*( DB!B$2:B$2576=$D$4))*(($D$5="")+($D$5&lt;&gt;"")*( DB!C$2:C$2576=$D$5))*(($D$6="")+($D$6&lt;&gt;"")*( DB!D$2:D$2576=$D$6))*(($D$7="")+($D$7&lt;&gt;"")*(ISNUMBER(SEARCH($D$7,DB!G$2:G$2576))))*(($F$7="전체")+($F$7&lt;&gt;"전체")*(DB!H$2:H$2576=$F$7))),ROW()-13)-1,"")</f>
        <v/>
      </c>
      <c r="Q2322" t="str" cm="1">
        <f t="array" ref="Q2322">IFERROR(INDEX(DB!G$2:G$2576,P2322),"")</f>
        <v/>
      </c>
      <c r="R2322" t="str" cm="1">
        <f t="array" ref="R2322">IFERROR(INDEX(DB!O$2:O$2576,P2322),"")</f>
        <v/>
      </c>
      <c r="S2322" t="str">
        <f t="shared" si="111"/>
        <v/>
      </c>
      <c r="T2322" t="str">
        <f t="shared" si="112"/>
        <v/>
      </c>
    </row>
    <row r="2323" spans="1:20" ht="100" customHeight="1">
      <c r="A2323" s="26"/>
      <c r="B2323" s="42" t="str">
        <f t="shared" si="110"/>
        <v/>
      </c>
      <c r="C2323" s="43"/>
      <c r="D2323" s="51" t="str" cm="1">
        <f t="array" ref="D2323">IFERROR(INDEX(DB!G$2:G$2576,T2323),"")</f>
        <v/>
      </c>
      <c r="E2323" s="43"/>
      <c r="F2323" s="52" t="str" cm="1">
        <f t="array" ref="F2323">IFERROR(INDEX(DB!O$2:O$2576,T2323),"")</f>
        <v/>
      </c>
      <c r="G2323" s="43"/>
      <c r="H2323" s="40" t="str" cm="1">
        <f t="array" ref="H2323">IFERROR(INDEX(DB!P$2:P$2576,T2323),"")</f>
        <v/>
      </c>
      <c r="I2323" s="43"/>
      <c r="J2323" s="53" t="str" cm="1">
        <f t="array" ref="J2323">IFERROR(INDEX(DB!Q$2:Q$2576,T2323),"")</f>
        <v/>
      </c>
      <c r="K2323" s="43"/>
      <c r="L2323" s="41" t="str" cm="1">
        <f t="array" ref="L2323">IFERROR(INDEX(DB!R$2:R$2576,T2323),"")</f>
        <v/>
      </c>
      <c r="M2323" s="43"/>
      <c r="P2323" t="str" cm="1">
        <f t="array" ref="P2323">IFERROR(_xlfn.AGGREGATE(15,6,ROW(DB!A$2:A$2576)/((($D$3&lt;&gt;"YES")+($D$3="YES")*(DB!E$2:E$2576="YES"))*(($D$4="")+($D$4&lt;&gt;"")*( DB!B$2:B$2576=$D$4))*(($D$5="")+($D$5&lt;&gt;"")*( DB!C$2:C$2576=$D$5))*(($D$6="")+($D$6&lt;&gt;"")*( DB!D$2:D$2576=$D$6))*(($D$7="")+($D$7&lt;&gt;"")*(ISNUMBER(SEARCH($D$7,DB!G$2:G$2576))))*(($F$7="전체")+($F$7&lt;&gt;"전체")*(DB!H$2:H$2576=$F$7))),ROW()-13)-1,"")</f>
        <v/>
      </c>
      <c r="Q2323" t="str" cm="1">
        <f t="array" ref="Q2323">IFERROR(INDEX(DB!G$2:G$2576,P2323),"")</f>
        <v/>
      </c>
      <c r="R2323" t="str" cm="1">
        <f t="array" ref="R2323">IFERROR(INDEX(DB!O$2:O$2576,P2323),"")</f>
        <v/>
      </c>
      <c r="S2323" t="str">
        <f t="shared" si="111"/>
        <v/>
      </c>
      <c r="T2323" t="str">
        <f t="shared" si="112"/>
        <v/>
      </c>
    </row>
    <row r="2324" spans="1:20" ht="100" customHeight="1">
      <c r="A2324" s="26"/>
      <c r="B2324" s="39" t="str">
        <f t="shared" si="110"/>
        <v/>
      </c>
      <c r="C2324" s="43"/>
      <c r="D2324" s="51" t="str" cm="1">
        <f t="array" ref="D2324">IFERROR(INDEX(DB!G$2:G$2576,T2324),"")</f>
        <v/>
      </c>
      <c r="E2324" s="43"/>
      <c r="F2324" s="52" t="str" cm="1">
        <f t="array" ref="F2324">IFERROR(INDEX(DB!O$2:O$2576,T2324),"")</f>
        <v/>
      </c>
      <c r="G2324" s="43"/>
      <c r="H2324" s="40" t="str" cm="1">
        <f t="array" ref="H2324">IFERROR(INDEX(DB!P$2:P$2576,T2324),"")</f>
        <v/>
      </c>
      <c r="I2324" s="43"/>
      <c r="J2324" s="53" t="str" cm="1">
        <f t="array" ref="J2324">IFERROR(INDEX(DB!Q$2:Q$2576,T2324),"")</f>
        <v/>
      </c>
      <c r="K2324" s="43"/>
      <c r="L2324" s="41" t="str" cm="1">
        <f t="array" ref="L2324">IFERROR(INDEX(DB!R$2:R$2576,T2324),"")</f>
        <v/>
      </c>
      <c r="M2324" s="43"/>
      <c r="P2324" t="str" cm="1">
        <f t="array" ref="P2324">IFERROR(_xlfn.AGGREGATE(15,6,ROW(DB!A$2:A$2576)/((($D$3&lt;&gt;"YES")+($D$3="YES")*(DB!E$2:E$2576="YES"))*(($D$4="")+($D$4&lt;&gt;"")*( DB!B$2:B$2576=$D$4))*(($D$5="")+($D$5&lt;&gt;"")*( DB!C$2:C$2576=$D$5))*(($D$6="")+($D$6&lt;&gt;"")*( DB!D$2:D$2576=$D$6))*(($D$7="")+($D$7&lt;&gt;"")*(ISNUMBER(SEARCH($D$7,DB!G$2:G$2576))))*(($F$7="전체")+($F$7&lt;&gt;"전체")*(DB!H$2:H$2576=$F$7))),ROW()-13)-1,"")</f>
        <v/>
      </c>
      <c r="Q2324" t="str" cm="1">
        <f t="array" ref="Q2324">IFERROR(INDEX(DB!G$2:G$2576,P2324),"")</f>
        <v/>
      </c>
      <c r="R2324" t="str" cm="1">
        <f t="array" ref="R2324">IFERROR(INDEX(DB!O$2:O$2576,P2324),"")</f>
        <v/>
      </c>
      <c r="S2324" t="str">
        <f t="shared" si="111"/>
        <v/>
      </c>
      <c r="T2324" t="str">
        <f t="shared" si="112"/>
        <v/>
      </c>
    </row>
    <row r="2325" spans="1:20" ht="100" customHeight="1">
      <c r="A2325" s="26"/>
      <c r="B2325" s="42" t="str">
        <f t="shared" si="110"/>
        <v/>
      </c>
      <c r="C2325" s="43"/>
      <c r="D2325" s="51" t="str" cm="1">
        <f t="array" ref="D2325">IFERROR(INDEX(DB!G$2:G$2576,T2325),"")</f>
        <v/>
      </c>
      <c r="E2325" s="43"/>
      <c r="F2325" s="52" t="str" cm="1">
        <f t="array" ref="F2325">IFERROR(INDEX(DB!O$2:O$2576,T2325),"")</f>
        <v/>
      </c>
      <c r="G2325" s="43"/>
      <c r="H2325" s="40" t="str" cm="1">
        <f t="array" ref="H2325">IFERROR(INDEX(DB!P$2:P$2576,T2325),"")</f>
        <v/>
      </c>
      <c r="I2325" s="43"/>
      <c r="J2325" s="53" t="str" cm="1">
        <f t="array" ref="J2325">IFERROR(INDEX(DB!Q$2:Q$2576,T2325),"")</f>
        <v/>
      </c>
      <c r="K2325" s="43"/>
      <c r="L2325" s="41" t="str" cm="1">
        <f t="array" ref="L2325">IFERROR(INDEX(DB!R$2:R$2576,T2325),"")</f>
        <v/>
      </c>
      <c r="M2325" s="43"/>
      <c r="P2325" t="str" cm="1">
        <f t="array" ref="P2325">IFERROR(_xlfn.AGGREGATE(15,6,ROW(DB!A$2:A$2576)/((($D$3&lt;&gt;"YES")+($D$3="YES")*(DB!E$2:E$2576="YES"))*(($D$4="")+($D$4&lt;&gt;"")*( DB!B$2:B$2576=$D$4))*(($D$5="")+($D$5&lt;&gt;"")*( DB!C$2:C$2576=$D$5))*(($D$6="")+($D$6&lt;&gt;"")*( DB!D$2:D$2576=$D$6))*(($D$7="")+($D$7&lt;&gt;"")*(ISNUMBER(SEARCH($D$7,DB!G$2:G$2576))))*(($F$7="전체")+($F$7&lt;&gt;"전체")*(DB!H$2:H$2576=$F$7))),ROW()-13)-1,"")</f>
        <v/>
      </c>
      <c r="Q2325" t="str" cm="1">
        <f t="array" ref="Q2325">IFERROR(INDEX(DB!G$2:G$2576,P2325),"")</f>
        <v/>
      </c>
      <c r="R2325" t="str" cm="1">
        <f t="array" ref="R2325">IFERROR(INDEX(DB!O$2:O$2576,P2325),"")</f>
        <v/>
      </c>
      <c r="S2325" t="str">
        <f t="shared" si="111"/>
        <v/>
      </c>
      <c r="T2325" t="str">
        <f t="shared" si="112"/>
        <v/>
      </c>
    </row>
    <row r="2326" spans="1:20" ht="100" customHeight="1">
      <c r="A2326" s="26"/>
      <c r="B2326" s="39" t="str">
        <f t="shared" si="110"/>
        <v/>
      </c>
      <c r="C2326" s="43"/>
      <c r="D2326" s="51" t="str" cm="1">
        <f t="array" ref="D2326">IFERROR(INDEX(DB!G$2:G$2576,T2326),"")</f>
        <v/>
      </c>
      <c r="E2326" s="43"/>
      <c r="F2326" s="52" t="str" cm="1">
        <f t="array" ref="F2326">IFERROR(INDEX(DB!O$2:O$2576,T2326),"")</f>
        <v/>
      </c>
      <c r="G2326" s="43"/>
      <c r="H2326" s="40" t="str" cm="1">
        <f t="array" ref="H2326">IFERROR(INDEX(DB!P$2:P$2576,T2326),"")</f>
        <v/>
      </c>
      <c r="I2326" s="43"/>
      <c r="J2326" s="53" t="str" cm="1">
        <f t="array" ref="J2326">IFERROR(INDEX(DB!Q$2:Q$2576,T2326),"")</f>
        <v/>
      </c>
      <c r="K2326" s="43"/>
      <c r="L2326" s="41" t="str" cm="1">
        <f t="array" ref="L2326">IFERROR(INDEX(DB!R$2:R$2576,T2326),"")</f>
        <v/>
      </c>
      <c r="M2326" s="43"/>
      <c r="P2326" t="str" cm="1">
        <f t="array" ref="P2326">IFERROR(_xlfn.AGGREGATE(15,6,ROW(DB!A$2:A$2576)/((($D$3&lt;&gt;"YES")+($D$3="YES")*(DB!E$2:E$2576="YES"))*(($D$4="")+($D$4&lt;&gt;"")*( DB!B$2:B$2576=$D$4))*(($D$5="")+($D$5&lt;&gt;"")*( DB!C$2:C$2576=$D$5))*(($D$6="")+($D$6&lt;&gt;"")*( DB!D$2:D$2576=$D$6))*(($D$7="")+($D$7&lt;&gt;"")*(ISNUMBER(SEARCH($D$7,DB!G$2:G$2576))))*(($F$7="전체")+($F$7&lt;&gt;"전체")*(DB!H$2:H$2576=$F$7))),ROW()-13)-1,"")</f>
        <v/>
      </c>
      <c r="Q2326" t="str" cm="1">
        <f t="array" ref="Q2326">IFERROR(INDEX(DB!G$2:G$2576,P2326),"")</f>
        <v/>
      </c>
      <c r="R2326" t="str" cm="1">
        <f t="array" ref="R2326">IFERROR(INDEX(DB!O$2:O$2576,P2326),"")</f>
        <v/>
      </c>
      <c r="S2326" t="str">
        <f t="shared" si="111"/>
        <v/>
      </c>
      <c r="T2326" t="str">
        <f t="shared" si="112"/>
        <v/>
      </c>
    </row>
    <row r="2327" spans="1:20" ht="100" customHeight="1">
      <c r="A2327" s="26"/>
      <c r="B2327" s="42" t="str">
        <f t="shared" si="110"/>
        <v/>
      </c>
      <c r="C2327" s="43"/>
      <c r="D2327" s="51" t="str" cm="1">
        <f t="array" ref="D2327">IFERROR(INDEX(DB!G$2:G$2576,T2327),"")</f>
        <v/>
      </c>
      <c r="E2327" s="43"/>
      <c r="F2327" s="52" t="str" cm="1">
        <f t="array" ref="F2327">IFERROR(INDEX(DB!O$2:O$2576,T2327),"")</f>
        <v/>
      </c>
      <c r="G2327" s="43"/>
      <c r="H2327" s="40" t="str" cm="1">
        <f t="array" ref="H2327">IFERROR(INDEX(DB!P$2:P$2576,T2327),"")</f>
        <v/>
      </c>
      <c r="I2327" s="43"/>
      <c r="J2327" s="53" t="str" cm="1">
        <f t="array" ref="J2327">IFERROR(INDEX(DB!Q$2:Q$2576,T2327),"")</f>
        <v/>
      </c>
      <c r="K2327" s="43"/>
      <c r="L2327" s="41" t="str" cm="1">
        <f t="array" ref="L2327">IFERROR(INDEX(DB!R$2:R$2576,T2327),"")</f>
        <v/>
      </c>
      <c r="M2327" s="43"/>
      <c r="P2327" t="str" cm="1">
        <f t="array" ref="P2327">IFERROR(_xlfn.AGGREGATE(15,6,ROW(DB!A$2:A$2576)/((($D$3&lt;&gt;"YES")+($D$3="YES")*(DB!E$2:E$2576="YES"))*(($D$4="")+($D$4&lt;&gt;"")*( DB!B$2:B$2576=$D$4))*(($D$5="")+($D$5&lt;&gt;"")*( DB!C$2:C$2576=$D$5))*(($D$6="")+($D$6&lt;&gt;"")*( DB!D$2:D$2576=$D$6))*(($D$7="")+($D$7&lt;&gt;"")*(ISNUMBER(SEARCH($D$7,DB!G$2:G$2576))))*(($F$7="전체")+($F$7&lt;&gt;"전체")*(DB!H$2:H$2576=$F$7))),ROW()-13)-1,"")</f>
        <v/>
      </c>
      <c r="Q2327" t="str" cm="1">
        <f t="array" ref="Q2327">IFERROR(INDEX(DB!G$2:G$2576,P2327),"")</f>
        <v/>
      </c>
      <c r="R2327" t="str" cm="1">
        <f t="array" ref="R2327">IFERROR(INDEX(DB!O$2:O$2576,P2327),"")</f>
        <v/>
      </c>
      <c r="S2327" t="str">
        <f t="shared" si="111"/>
        <v/>
      </c>
      <c r="T2327" t="str">
        <f t="shared" si="112"/>
        <v/>
      </c>
    </row>
    <row r="2328" spans="1:20" ht="100" customHeight="1">
      <c r="A2328" s="26"/>
      <c r="B2328" s="39" t="str">
        <f t="shared" si="110"/>
        <v/>
      </c>
      <c r="C2328" s="43"/>
      <c r="D2328" s="51" t="str" cm="1">
        <f t="array" ref="D2328">IFERROR(INDEX(DB!G$2:G$2576,T2328),"")</f>
        <v/>
      </c>
      <c r="E2328" s="43"/>
      <c r="F2328" s="52" t="str" cm="1">
        <f t="array" ref="F2328">IFERROR(INDEX(DB!O$2:O$2576,T2328),"")</f>
        <v/>
      </c>
      <c r="G2328" s="43"/>
      <c r="H2328" s="40" t="str" cm="1">
        <f t="array" ref="H2328">IFERROR(INDEX(DB!P$2:P$2576,T2328),"")</f>
        <v/>
      </c>
      <c r="I2328" s="43"/>
      <c r="J2328" s="53" t="str" cm="1">
        <f t="array" ref="J2328">IFERROR(INDEX(DB!Q$2:Q$2576,T2328),"")</f>
        <v/>
      </c>
      <c r="K2328" s="43"/>
      <c r="L2328" s="41" t="str" cm="1">
        <f t="array" ref="L2328">IFERROR(INDEX(DB!R$2:R$2576,T2328),"")</f>
        <v/>
      </c>
      <c r="M2328" s="43"/>
      <c r="P2328" t="str" cm="1">
        <f t="array" ref="P2328">IFERROR(_xlfn.AGGREGATE(15,6,ROW(DB!A$2:A$2576)/((($D$3&lt;&gt;"YES")+($D$3="YES")*(DB!E$2:E$2576="YES"))*(($D$4="")+($D$4&lt;&gt;"")*( DB!B$2:B$2576=$D$4))*(($D$5="")+($D$5&lt;&gt;"")*( DB!C$2:C$2576=$D$5))*(($D$6="")+($D$6&lt;&gt;"")*( DB!D$2:D$2576=$D$6))*(($D$7="")+($D$7&lt;&gt;"")*(ISNUMBER(SEARCH($D$7,DB!G$2:G$2576))))*(($F$7="전체")+($F$7&lt;&gt;"전체")*(DB!H$2:H$2576=$F$7))),ROW()-13)-1,"")</f>
        <v/>
      </c>
      <c r="Q2328" t="str" cm="1">
        <f t="array" ref="Q2328">IFERROR(INDEX(DB!G$2:G$2576,P2328),"")</f>
        <v/>
      </c>
      <c r="R2328" t="str" cm="1">
        <f t="array" ref="R2328">IFERROR(INDEX(DB!O$2:O$2576,P2328),"")</f>
        <v/>
      </c>
      <c r="S2328" t="str">
        <f t="shared" si="111"/>
        <v/>
      </c>
      <c r="T2328" t="str">
        <f t="shared" si="112"/>
        <v/>
      </c>
    </row>
    <row r="2329" spans="1:20" ht="100" customHeight="1">
      <c r="A2329" s="26"/>
      <c r="B2329" s="42" t="str">
        <f t="shared" si="110"/>
        <v/>
      </c>
      <c r="C2329" s="43"/>
      <c r="D2329" s="51" t="str" cm="1">
        <f t="array" ref="D2329">IFERROR(INDEX(DB!G$2:G$2576,T2329),"")</f>
        <v/>
      </c>
      <c r="E2329" s="43"/>
      <c r="F2329" s="52" t="str" cm="1">
        <f t="array" ref="F2329">IFERROR(INDEX(DB!O$2:O$2576,T2329),"")</f>
        <v/>
      </c>
      <c r="G2329" s="43"/>
      <c r="H2329" s="40" t="str" cm="1">
        <f t="array" ref="H2329">IFERROR(INDEX(DB!P$2:P$2576,T2329),"")</f>
        <v/>
      </c>
      <c r="I2329" s="43"/>
      <c r="J2329" s="53" t="str" cm="1">
        <f t="array" ref="J2329">IFERROR(INDEX(DB!Q$2:Q$2576,T2329),"")</f>
        <v/>
      </c>
      <c r="K2329" s="43"/>
      <c r="L2329" s="41" t="str" cm="1">
        <f t="array" ref="L2329">IFERROR(INDEX(DB!R$2:R$2576,T2329),"")</f>
        <v/>
      </c>
      <c r="M2329" s="43"/>
      <c r="P2329" t="str" cm="1">
        <f t="array" ref="P2329">IFERROR(_xlfn.AGGREGATE(15,6,ROW(DB!A$2:A$2576)/((($D$3&lt;&gt;"YES")+($D$3="YES")*(DB!E$2:E$2576="YES"))*(($D$4="")+($D$4&lt;&gt;"")*( DB!B$2:B$2576=$D$4))*(($D$5="")+($D$5&lt;&gt;"")*( DB!C$2:C$2576=$D$5))*(($D$6="")+($D$6&lt;&gt;"")*( DB!D$2:D$2576=$D$6))*(($D$7="")+($D$7&lt;&gt;"")*(ISNUMBER(SEARCH($D$7,DB!G$2:G$2576))))*(($F$7="전체")+($F$7&lt;&gt;"전체")*(DB!H$2:H$2576=$F$7))),ROW()-13)-1,"")</f>
        <v/>
      </c>
      <c r="Q2329" t="str" cm="1">
        <f t="array" ref="Q2329">IFERROR(INDEX(DB!G$2:G$2576,P2329),"")</f>
        <v/>
      </c>
      <c r="R2329" t="str" cm="1">
        <f t="array" ref="R2329">IFERROR(INDEX(DB!O$2:O$2576,P2329),"")</f>
        <v/>
      </c>
      <c r="S2329" t="str">
        <f t="shared" si="111"/>
        <v/>
      </c>
      <c r="T2329" t="str">
        <f t="shared" si="112"/>
        <v/>
      </c>
    </row>
    <row r="2330" spans="1:20" ht="100" customHeight="1">
      <c r="A2330" s="26"/>
      <c r="B2330" s="39" t="str">
        <f t="shared" si="110"/>
        <v/>
      </c>
      <c r="C2330" s="43"/>
      <c r="D2330" s="51" t="str" cm="1">
        <f t="array" ref="D2330">IFERROR(INDEX(DB!G$2:G$2576,T2330),"")</f>
        <v/>
      </c>
      <c r="E2330" s="43"/>
      <c r="F2330" s="52" t="str" cm="1">
        <f t="array" ref="F2330">IFERROR(INDEX(DB!O$2:O$2576,T2330),"")</f>
        <v/>
      </c>
      <c r="G2330" s="43"/>
      <c r="H2330" s="40" t="str" cm="1">
        <f t="array" ref="H2330">IFERROR(INDEX(DB!P$2:P$2576,T2330),"")</f>
        <v/>
      </c>
      <c r="I2330" s="43"/>
      <c r="J2330" s="53" t="str" cm="1">
        <f t="array" ref="J2330">IFERROR(INDEX(DB!Q$2:Q$2576,T2330),"")</f>
        <v/>
      </c>
      <c r="K2330" s="43"/>
      <c r="L2330" s="41" t="str" cm="1">
        <f t="array" ref="L2330">IFERROR(INDEX(DB!R$2:R$2576,T2330),"")</f>
        <v/>
      </c>
      <c r="M2330" s="43"/>
      <c r="P2330" t="str" cm="1">
        <f t="array" ref="P2330">IFERROR(_xlfn.AGGREGATE(15,6,ROW(DB!A$2:A$2576)/((($D$3&lt;&gt;"YES")+($D$3="YES")*(DB!E$2:E$2576="YES"))*(($D$4="")+($D$4&lt;&gt;"")*( DB!B$2:B$2576=$D$4))*(($D$5="")+($D$5&lt;&gt;"")*( DB!C$2:C$2576=$D$5))*(($D$6="")+($D$6&lt;&gt;"")*( DB!D$2:D$2576=$D$6))*(($D$7="")+($D$7&lt;&gt;"")*(ISNUMBER(SEARCH($D$7,DB!G$2:G$2576))))*(($F$7="전체")+($F$7&lt;&gt;"전체")*(DB!H$2:H$2576=$F$7))),ROW()-13)-1,"")</f>
        <v/>
      </c>
      <c r="Q2330" t="str" cm="1">
        <f t="array" ref="Q2330">IFERROR(INDEX(DB!G$2:G$2576,P2330),"")</f>
        <v/>
      </c>
      <c r="R2330" t="str" cm="1">
        <f t="array" ref="R2330">IFERROR(INDEX(DB!O$2:O$2576,P2330),"")</f>
        <v/>
      </c>
      <c r="S2330" t="str">
        <f t="shared" si="111"/>
        <v/>
      </c>
      <c r="T2330" t="str">
        <f t="shared" si="112"/>
        <v/>
      </c>
    </row>
    <row r="2331" spans="1:20" ht="100" customHeight="1">
      <c r="A2331" s="26"/>
      <c r="B2331" s="42" t="str">
        <f t="shared" si="110"/>
        <v/>
      </c>
      <c r="C2331" s="43"/>
      <c r="D2331" s="51" t="str" cm="1">
        <f t="array" ref="D2331">IFERROR(INDEX(DB!G$2:G$2576,T2331),"")</f>
        <v/>
      </c>
      <c r="E2331" s="43"/>
      <c r="F2331" s="52" t="str" cm="1">
        <f t="array" ref="F2331">IFERROR(INDEX(DB!O$2:O$2576,T2331),"")</f>
        <v/>
      </c>
      <c r="G2331" s="43"/>
      <c r="H2331" s="40" t="str" cm="1">
        <f t="array" ref="H2331">IFERROR(INDEX(DB!P$2:P$2576,T2331),"")</f>
        <v/>
      </c>
      <c r="I2331" s="43"/>
      <c r="J2331" s="53" t="str" cm="1">
        <f t="array" ref="J2331">IFERROR(INDEX(DB!Q$2:Q$2576,T2331),"")</f>
        <v/>
      </c>
      <c r="K2331" s="43"/>
      <c r="L2331" s="41" t="str" cm="1">
        <f t="array" ref="L2331">IFERROR(INDEX(DB!R$2:R$2576,T2331),"")</f>
        <v/>
      </c>
      <c r="M2331" s="43"/>
      <c r="P2331" t="str" cm="1">
        <f t="array" ref="P2331">IFERROR(_xlfn.AGGREGATE(15,6,ROW(DB!A$2:A$2576)/((($D$3&lt;&gt;"YES")+($D$3="YES")*(DB!E$2:E$2576="YES"))*(($D$4="")+($D$4&lt;&gt;"")*( DB!B$2:B$2576=$D$4))*(($D$5="")+($D$5&lt;&gt;"")*( DB!C$2:C$2576=$D$5))*(($D$6="")+($D$6&lt;&gt;"")*( DB!D$2:D$2576=$D$6))*(($D$7="")+($D$7&lt;&gt;"")*(ISNUMBER(SEARCH($D$7,DB!G$2:G$2576))))*(($F$7="전체")+($F$7&lt;&gt;"전체")*(DB!H$2:H$2576=$F$7))),ROW()-13)-1,"")</f>
        <v/>
      </c>
      <c r="Q2331" t="str" cm="1">
        <f t="array" ref="Q2331">IFERROR(INDEX(DB!G$2:G$2576,P2331),"")</f>
        <v/>
      </c>
      <c r="R2331" t="str" cm="1">
        <f t="array" ref="R2331">IFERROR(INDEX(DB!O$2:O$2576,P2331),"")</f>
        <v/>
      </c>
      <c r="S2331" t="str">
        <f t="shared" si="111"/>
        <v/>
      </c>
      <c r="T2331" t="str">
        <f t="shared" si="112"/>
        <v/>
      </c>
    </row>
    <row r="2332" spans="1:20" ht="100" customHeight="1">
      <c r="A2332" s="26"/>
      <c r="B2332" s="39" t="str">
        <f t="shared" si="110"/>
        <v/>
      </c>
      <c r="C2332" s="43"/>
      <c r="D2332" s="51" t="str" cm="1">
        <f t="array" ref="D2332">IFERROR(INDEX(DB!G$2:G$2576,T2332),"")</f>
        <v/>
      </c>
      <c r="E2332" s="43"/>
      <c r="F2332" s="52" t="str" cm="1">
        <f t="array" ref="F2332">IFERROR(INDEX(DB!O$2:O$2576,T2332),"")</f>
        <v/>
      </c>
      <c r="G2332" s="43"/>
      <c r="H2332" s="40" t="str" cm="1">
        <f t="array" ref="H2332">IFERROR(INDEX(DB!P$2:P$2576,T2332),"")</f>
        <v/>
      </c>
      <c r="I2332" s="43"/>
      <c r="J2332" s="53" t="str" cm="1">
        <f t="array" ref="J2332">IFERROR(INDEX(DB!Q$2:Q$2576,T2332),"")</f>
        <v/>
      </c>
      <c r="K2332" s="43"/>
      <c r="L2332" s="41" t="str" cm="1">
        <f t="array" ref="L2332">IFERROR(INDEX(DB!R$2:R$2576,T2332),"")</f>
        <v/>
      </c>
      <c r="M2332" s="43"/>
      <c r="P2332" t="str" cm="1">
        <f t="array" ref="P2332">IFERROR(_xlfn.AGGREGATE(15,6,ROW(DB!A$2:A$2576)/((($D$3&lt;&gt;"YES")+($D$3="YES")*(DB!E$2:E$2576="YES"))*(($D$4="")+($D$4&lt;&gt;"")*( DB!B$2:B$2576=$D$4))*(($D$5="")+($D$5&lt;&gt;"")*( DB!C$2:C$2576=$D$5))*(($D$6="")+($D$6&lt;&gt;"")*( DB!D$2:D$2576=$D$6))*(($D$7="")+($D$7&lt;&gt;"")*(ISNUMBER(SEARCH($D$7,DB!G$2:G$2576))))*(($F$7="전체")+($F$7&lt;&gt;"전체")*(DB!H$2:H$2576=$F$7))),ROW()-13)-1,"")</f>
        <v/>
      </c>
      <c r="Q2332" t="str" cm="1">
        <f t="array" ref="Q2332">IFERROR(INDEX(DB!G$2:G$2576,P2332),"")</f>
        <v/>
      </c>
      <c r="R2332" t="str" cm="1">
        <f t="array" ref="R2332">IFERROR(INDEX(DB!O$2:O$2576,P2332),"")</f>
        <v/>
      </c>
      <c r="S2332" t="str">
        <f t="shared" si="111"/>
        <v/>
      </c>
      <c r="T2332" t="str">
        <f t="shared" si="112"/>
        <v/>
      </c>
    </row>
    <row r="2333" spans="1:20" ht="100" customHeight="1">
      <c r="A2333" s="26"/>
      <c r="B2333" s="42" t="str">
        <f t="shared" si="110"/>
        <v/>
      </c>
      <c r="C2333" s="43"/>
      <c r="D2333" s="51" t="str" cm="1">
        <f t="array" ref="D2333">IFERROR(INDEX(DB!G$2:G$2576,T2333),"")</f>
        <v/>
      </c>
      <c r="E2333" s="43"/>
      <c r="F2333" s="52" t="str" cm="1">
        <f t="array" ref="F2333">IFERROR(INDEX(DB!O$2:O$2576,T2333),"")</f>
        <v/>
      </c>
      <c r="G2333" s="43"/>
      <c r="H2333" s="40" t="str" cm="1">
        <f t="array" ref="H2333">IFERROR(INDEX(DB!P$2:P$2576,T2333),"")</f>
        <v/>
      </c>
      <c r="I2333" s="43"/>
      <c r="J2333" s="53" t="str" cm="1">
        <f t="array" ref="J2333">IFERROR(INDEX(DB!Q$2:Q$2576,T2333),"")</f>
        <v/>
      </c>
      <c r="K2333" s="43"/>
      <c r="L2333" s="41" t="str" cm="1">
        <f t="array" ref="L2333">IFERROR(INDEX(DB!R$2:R$2576,T2333),"")</f>
        <v/>
      </c>
      <c r="M2333" s="43"/>
      <c r="P2333" t="str" cm="1">
        <f t="array" ref="P2333">IFERROR(_xlfn.AGGREGATE(15,6,ROW(DB!A$2:A$2576)/((($D$3&lt;&gt;"YES")+($D$3="YES")*(DB!E$2:E$2576="YES"))*(($D$4="")+($D$4&lt;&gt;"")*( DB!B$2:B$2576=$D$4))*(($D$5="")+($D$5&lt;&gt;"")*( DB!C$2:C$2576=$D$5))*(($D$6="")+($D$6&lt;&gt;"")*( DB!D$2:D$2576=$D$6))*(($D$7="")+($D$7&lt;&gt;"")*(ISNUMBER(SEARCH($D$7,DB!G$2:G$2576))))*(($F$7="전체")+($F$7&lt;&gt;"전체")*(DB!H$2:H$2576=$F$7))),ROW()-13)-1,"")</f>
        <v/>
      </c>
      <c r="Q2333" t="str" cm="1">
        <f t="array" ref="Q2333">IFERROR(INDEX(DB!G$2:G$2576,P2333),"")</f>
        <v/>
      </c>
      <c r="R2333" t="str" cm="1">
        <f t="array" ref="R2333">IFERROR(INDEX(DB!O$2:O$2576,P2333),"")</f>
        <v/>
      </c>
      <c r="S2333" t="str">
        <f t="shared" si="111"/>
        <v/>
      </c>
      <c r="T2333" t="str">
        <f t="shared" si="112"/>
        <v/>
      </c>
    </row>
    <row r="2334" spans="1:20" ht="100" customHeight="1">
      <c r="A2334" s="26"/>
      <c r="B2334" s="39" t="str">
        <f t="shared" si="110"/>
        <v/>
      </c>
      <c r="C2334" s="43"/>
      <c r="D2334" s="51" t="str" cm="1">
        <f t="array" ref="D2334">IFERROR(INDEX(DB!G$2:G$2576,T2334),"")</f>
        <v/>
      </c>
      <c r="E2334" s="43"/>
      <c r="F2334" s="52" t="str" cm="1">
        <f t="array" ref="F2334">IFERROR(INDEX(DB!O$2:O$2576,T2334),"")</f>
        <v/>
      </c>
      <c r="G2334" s="43"/>
      <c r="H2334" s="40" t="str" cm="1">
        <f t="array" ref="H2334">IFERROR(INDEX(DB!P$2:P$2576,T2334),"")</f>
        <v/>
      </c>
      <c r="I2334" s="43"/>
      <c r="J2334" s="53" t="str" cm="1">
        <f t="array" ref="J2334">IFERROR(INDEX(DB!Q$2:Q$2576,T2334),"")</f>
        <v/>
      </c>
      <c r="K2334" s="43"/>
      <c r="L2334" s="41" t="str" cm="1">
        <f t="array" ref="L2334">IFERROR(INDEX(DB!R$2:R$2576,T2334),"")</f>
        <v/>
      </c>
      <c r="M2334" s="43"/>
      <c r="P2334" t="str" cm="1">
        <f t="array" ref="P2334">IFERROR(_xlfn.AGGREGATE(15,6,ROW(DB!A$2:A$2576)/((($D$3&lt;&gt;"YES")+($D$3="YES")*(DB!E$2:E$2576="YES"))*(($D$4="")+($D$4&lt;&gt;"")*( DB!B$2:B$2576=$D$4))*(($D$5="")+($D$5&lt;&gt;"")*( DB!C$2:C$2576=$D$5))*(($D$6="")+($D$6&lt;&gt;"")*( DB!D$2:D$2576=$D$6))*(($D$7="")+($D$7&lt;&gt;"")*(ISNUMBER(SEARCH($D$7,DB!G$2:G$2576))))*(($F$7="전체")+($F$7&lt;&gt;"전체")*(DB!H$2:H$2576=$F$7))),ROW()-13)-1,"")</f>
        <v/>
      </c>
      <c r="Q2334" t="str" cm="1">
        <f t="array" ref="Q2334">IFERROR(INDEX(DB!G$2:G$2576,P2334),"")</f>
        <v/>
      </c>
      <c r="R2334" t="str" cm="1">
        <f t="array" ref="R2334">IFERROR(INDEX(DB!O$2:O$2576,P2334),"")</f>
        <v/>
      </c>
      <c r="S2334" t="str">
        <f t="shared" si="111"/>
        <v/>
      </c>
      <c r="T2334" t="str">
        <f t="shared" si="112"/>
        <v/>
      </c>
    </row>
    <row r="2335" spans="1:20" ht="100" customHeight="1">
      <c r="A2335" s="26"/>
      <c r="B2335" s="42" t="str">
        <f t="shared" si="110"/>
        <v/>
      </c>
      <c r="C2335" s="43"/>
      <c r="D2335" s="51" t="str" cm="1">
        <f t="array" ref="D2335">IFERROR(INDEX(DB!G$2:G$2576,T2335),"")</f>
        <v/>
      </c>
      <c r="E2335" s="43"/>
      <c r="F2335" s="52" t="str" cm="1">
        <f t="array" ref="F2335">IFERROR(INDEX(DB!O$2:O$2576,T2335),"")</f>
        <v/>
      </c>
      <c r="G2335" s="43"/>
      <c r="H2335" s="40" t="str" cm="1">
        <f t="array" ref="H2335">IFERROR(INDEX(DB!P$2:P$2576,T2335),"")</f>
        <v/>
      </c>
      <c r="I2335" s="43"/>
      <c r="J2335" s="53" t="str" cm="1">
        <f t="array" ref="J2335">IFERROR(INDEX(DB!Q$2:Q$2576,T2335),"")</f>
        <v/>
      </c>
      <c r="K2335" s="43"/>
      <c r="L2335" s="41" t="str" cm="1">
        <f t="array" ref="L2335">IFERROR(INDEX(DB!R$2:R$2576,T2335),"")</f>
        <v/>
      </c>
      <c r="M2335" s="43"/>
      <c r="P2335" t="str" cm="1">
        <f t="array" ref="P2335">IFERROR(_xlfn.AGGREGATE(15,6,ROW(DB!A$2:A$2576)/((($D$3&lt;&gt;"YES")+($D$3="YES")*(DB!E$2:E$2576="YES"))*(($D$4="")+($D$4&lt;&gt;"")*( DB!B$2:B$2576=$D$4))*(($D$5="")+($D$5&lt;&gt;"")*( DB!C$2:C$2576=$D$5))*(($D$6="")+($D$6&lt;&gt;"")*( DB!D$2:D$2576=$D$6))*(($D$7="")+($D$7&lt;&gt;"")*(ISNUMBER(SEARCH($D$7,DB!G$2:G$2576))))*(($F$7="전체")+($F$7&lt;&gt;"전체")*(DB!H$2:H$2576=$F$7))),ROW()-13)-1,"")</f>
        <v/>
      </c>
      <c r="Q2335" t="str" cm="1">
        <f t="array" ref="Q2335">IFERROR(INDEX(DB!G$2:G$2576,P2335),"")</f>
        <v/>
      </c>
      <c r="R2335" t="str" cm="1">
        <f t="array" ref="R2335">IFERROR(INDEX(DB!O$2:O$2576,P2335),"")</f>
        <v/>
      </c>
      <c r="S2335" t="str">
        <f t="shared" si="111"/>
        <v/>
      </c>
      <c r="T2335" t="str">
        <f t="shared" si="112"/>
        <v/>
      </c>
    </row>
    <row r="2336" spans="1:20" ht="100" customHeight="1">
      <c r="A2336" s="26"/>
      <c r="B2336" s="39" t="str">
        <f t="shared" si="110"/>
        <v/>
      </c>
      <c r="C2336" s="43"/>
      <c r="D2336" s="51" t="str" cm="1">
        <f t="array" ref="D2336">IFERROR(INDEX(DB!G$2:G$2576,T2336),"")</f>
        <v/>
      </c>
      <c r="E2336" s="43"/>
      <c r="F2336" s="52" t="str" cm="1">
        <f t="array" ref="F2336">IFERROR(INDEX(DB!O$2:O$2576,T2336),"")</f>
        <v/>
      </c>
      <c r="G2336" s="43"/>
      <c r="H2336" s="40" t="str" cm="1">
        <f t="array" ref="H2336">IFERROR(INDEX(DB!P$2:P$2576,T2336),"")</f>
        <v/>
      </c>
      <c r="I2336" s="43"/>
      <c r="J2336" s="53" t="str" cm="1">
        <f t="array" ref="J2336">IFERROR(INDEX(DB!Q$2:Q$2576,T2336),"")</f>
        <v/>
      </c>
      <c r="K2336" s="43"/>
      <c r="L2336" s="41" t="str" cm="1">
        <f t="array" ref="L2336">IFERROR(INDEX(DB!R$2:R$2576,T2336),"")</f>
        <v/>
      </c>
      <c r="M2336" s="43"/>
      <c r="P2336" t="str" cm="1">
        <f t="array" ref="P2336">IFERROR(_xlfn.AGGREGATE(15,6,ROW(DB!A$2:A$2576)/((($D$3&lt;&gt;"YES")+($D$3="YES")*(DB!E$2:E$2576="YES"))*(($D$4="")+($D$4&lt;&gt;"")*( DB!B$2:B$2576=$D$4))*(($D$5="")+($D$5&lt;&gt;"")*( DB!C$2:C$2576=$D$5))*(($D$6="")+($D$6&lt;&gt;"")*( DB!D$2:D$2576=$D$6))*(($D$7="")+($D$7&lt;&gt;"")*(ISNUMBER(SEARCH($D$7,DB!G$2:G$2576))))*(($F$7="전체")+($F$7&lt;&gt;"전체")*(DB!H$2:H$2576=$F$7))),ROW()-13)-1,"")</f>
        <v/>
      </c>
      <c r="Q2336" t="str" cm="1">
        <f t="array" ref="Q2336">IFERROR(INDEX(DB!G$2:G$2576,P2336),"")</f>
        <v/>
      </c>
      <c r="R2336" t="str" cm="1">
        <f t="array" ref="R2336">IFERROR(INDEX(DB!O$2:O$2576,P2336),"")</f>
        <v/>
      </c>
      <c r="S2336" t="str">
        <f t="shared" si="111"/>
        <v/>
      </c>
      <c r="T2336" t="str">
        <f t="shared" si="112"/>
        <v/>
      </c>
    </row>
    <row r="2337" spans="1:20" ht="100" customHeight="1">
      <c r="A2337" s="26"/>
      <c r="B2337" s="42" t="str">
        <f t="shared" si="110"/>
        <v/>
      </c>
      <c r="C2337" s="43"/>
      <c r="D2337" s="51" t="str" cm="1">
        <f t="array" ref="D2337">IFERROR(INDEX(DB!G$2:G$2576,T2337),"")</f>
        <v/>
      </c>
      <c r="E2337" s="43"/>
      <c r="F2337" s="52" t="str" cm="1">
        <f t="array" ref="F2337">IFERROR(INDEX(DB!O$2:O$2576,T2337),"")</f>
        <v/>
      </c>
      <c r="G2337" s="43"/>
      <c r="H2337" s="40" t="str" cm="1">
        <f t="array" ref="H2337">IFERROR(INDEX(DB!P$2:P$2576,T2337),"")</f>
        <v/>
      </c>
      <c r="I2337" s="43"/>
      <c r="J2337" s="53" t="str" cm="1">
        <f t="array" ref="J2337">IFERROR(INDEX(DB!Q$2:Q$2576,T2337),"")</f>
        <v/>
      </c>
      <c r="K2337" s="43"/>
      <c r="L2337" s="41" t="str" cm="1">
        <f t="array" ref="L2337">IFERROR(INDEX(DB!R$2:R$2576,T2337),"")</f>
        <v/>
      </c>
      <c r="M2337" s="43"/>
      <c r="P2337" t="str" cm="1">
        <f t="array" ref="P2337">IFERROR(_xlfn.AGGREGATE(15,6,ROW(DB!A$2:A$2576)/((($D$3&lt;&gt;"YES")+($D$3="YES")*(DB!E$2:E$2576="YES"))*(($D$4="")+($D$4&lt;&gt;"")*( DB!B$2:B$2576=$D$4))*(($D$5="")+($D$5&lt;&gt;"")*( DB!C$2:C$2576=$D$5))*(($D$6="")+($D$6&lt;&gt;"")*( DB!D$2:D$2576=$D$6))*(($D$7="")+($D$7&lt;&gt;"")*(ISNUMBER(SEARCH($D$7,DB!G$2:G$2576))))*(($F$7="전체")+($F$7&lt;&gt;"전체")*(DB!H$2:H$2576=$F$7))),ROW()-13)-1,"")</f>
        <v/>
      </c>
      <c r="Q2337" t="str" cm="1">
        <f t="array" ref="Q2337">IFERROR(INDEX(DB!G$2:G$2576,P2337),"")</f>
        <v/>
      </c>
      <c r="R2337" t="str" cm="1">
        <f t="array" ref="R2337">IFERROR(INDEX(DB!O$2:O$2576,P2337),"")</f>
        <v/>
      </c>
      <c r="S2337" t="str">
        <f t="shared" si="111"/>
        <v/>
      </c>
      <c r="T2337" t="str">
        <f t="shared" si="112"/>
        <v/>
      </c>
    </row>
    <row r="2338" spans="1:20" ht="100" customHeight="1">
      <c r="A2338" s="26"/>
      <c r="B2338" s="39" t="str">
        <f t="shared" si="110"/>
        <v/>
      </c>
      <c r="C2338" s="43"/>
      <c r="D2338" s="51" t="str" cm="1">
        <f t="array" ref="D2338">IFERROR(INDEX(DB!G$2:G$2576,T2338),"")</f>
        <v/>
      </c>
      <c r="E2338" s="43"/>
      <c r="F2338" s="52" t="str" cm="1">
        <f t="array" ref="F2338">IFERROR(INDEX(DB!O$2:O$2576,T2338),"")</f>
        <v/>
      </c>
      <c r="G2338" s="43"/>
      <c r="H2338" s="40" t="str" cm="1">
        <f t="array" ref="H2338">IFERROR(INDEX(DB!P$2:P$2576,T2338),"")</f>
        <v/>
      </c>
      <c r="I2338" s="43"/>
      <c r="J2338" s="53" t="str" cm="1">
        <f t="array" ref="J2338">IFERROR(INDEX(DB!Q$2:Q$2576,T2338),"")</f>
        <v/>
      </c>
      <c r="K2338" s="43"/>
      <c r="L2338" s="41" t="str" cm="1">
        <f t="array" ref="L2338">IFERROR(INDEX(DB!R$2:R$2576,T2338),"")</f>
        <v/>
      </c>
      <c r="M2338" s="43"/>
      <c r="P2338" t="str" cm="1">
        <f t="array" ref="P2338">IFERROR(_xlfn.AGGREGATE(15,6,ROW(DB!A$2:A$2576)/((($D$3&lt;&gt;"YES")+($D$3="YES")*(DB!E$2:E$2576="YES"))*(($D$4="")+($D$4&lt;&gt;"")*( DB!B$2:B$2576=$D$4))*(($D$5="")+($D$5&lt;&gt;"")*( DB!C$2:C$2576=$D$5))*(($D$6="")+($D$6&lt;&gt;"")*( DB!D$2:D$2576=$D$6))*(($D$7="")+($D$7&lt;&gt;"")*(ISNUMBER(SEARCH($D$7,DB!G$2:G$2576))))*(($F$7="전체")+($F$7&lt;&gt;"전체")*(DB!H$2:H$2576=$F$7))),ROW()-13)-1,"")</f>
        <v/>
      </c>
      <c r="Q2338" t="str" cm="1">
        <f t="array" ref="Q2338">IFERROR(INDEX(DB!G$2:G$2576,P2338),"")</f>
        <v/>
      </c>
      <c r="R2338" t="str" cm="1">
        <f t="array" ref="R2338">IFERROR(INDEX(DB!O$2:O$2576,P2338),"")</f>
        <v/>
      </c>
      <c r="S2338" t="str">
        <f t="shared" si="111"/>
        <v/>
      </c>
      <c r="T2338" t="str">
        <f t="shared" si="112"/>
        <v/>
      </c>
    </row>
    <row r="2339" spans="1:20" ht="100" customHeight="1">
      <c r="A2339" s="26"/>
      <c r="B2339" s="42" t="str">
        <f t="shared" si="110"/>
        <v/>
      </c>
      <c r="C2339" s="43"/>
      <c r="D2339" s="51" t="str" cm="1">
        <f t="array" ref="D2339">IFERROR(INDEX(DB!G$2:G$2576,T2339),"")</f>
        <v/>
      </c>
      <c r="E2339" s="43"/>
      <c r="F2339" s="52" t="str" cm="1">
        <f t="array" ref="F2339">IFERROR(INDEX(DB!O$2:O$2576,T2339),"")</f>
        <v/>
      </c>
      <c r="G2339" s="43"/>
      <c r="H2339" s="40" t="str" cm="1">
        <f t="array" ref="H2339">IFERROR(INDEX(DB!P$2:P$2576,T2339),"")</f>
        <v/>
      </c>
      <c r="I2339" s="43"/>
      <c r="J2339" s="53" t="str" cm="1">
        <f t="array" ref="J2339">IFERROR(INDEX(DB!Q$2:Q$2576,T2339),"")</f>
        <v/>
      </c>
      <c r="K2339" s="43"/>
      <c r="L2339" s="41" t="str" cm="1">
        <f t="array" ref="L2339">IFERROR(INDEX(DB!R$2:R$2576,T2339),"")</f>
        <v/>
      </c>
      <c r="M2339" s="43"/>
      <c r="P2339" t="str" cm="1">
        <f t="array" ref="P2339">IFERROR(_xlfn.AGGREGATE(15,6,ROW(DB!A$2:A$2576)/((($D$3&lt;&gt;"YES")+($D$3="YES")*(DB!E$2:E$2576="YES"))*(($D$4="")+($D$4&lt;&gt;"")*( DB!B$2:B$2576=$D$4))*(($D$5="")+($D$5&lt;&gt;"")*( DB!C$2:C$2576=$D$5))*(($D$6="")+($D$6&lt;&gt;"")*( DB!D$2:D$2576=$D$6))*(($D$7="")+($D$7&lt;&gt;"")*(ISNUMBER(SEARCH($D$7,DB!G$2:G$2576))))*(($F$7="전체")+($F$7&lt;&gt;"전체")*(DB!H$2:H$2576=$F$7))),ROW()-13)-1,"")</f>
        <v/>
      </c>
      <c r="Q2339" t="str" cm="1">
        <f t="array" ref="Q2339">IFERROR(INDEX(DB!G$2:G$2576,P2339),"")</f>
        <v/>
      </c>
      <c r="R2339" t="str" cm="1">
        <f t="array" ref="R2339">IFERROR(INDEX(DB!O$2:O$2576,P2339),"")</f>
        <v/>
      </c>
      <c r="S2339" t="str">
        <f t="shared" si="111"/>
        <v/>
      </c>
      <c r="T2339" t="str">
        <f t="shared" si="112"/>
        <v/>
      </c>
    </row>
    <row r="2340" spans="1:20" ht="100" customHeight="1">
      <c r="A2340" s="26"/>
      <c r="B2340" s="39" t="str">
        <f t="shared" si="110"/>
        <v/>
      </c>
      <c r="C2340" s="43"/>
      <c r="D2340" s="51" t="str" cm="1">
        <f t="array" ref="D2340">IFERROR(INDEX(DB!G$2:G$2576,T2340),"")</f>
        <v/>
      </c>
      <c r="E2340" s="43"/>
      <c r="F2340" s="52" t="str" cm="1">
        <f t="array" ref="F2340">IFERROR(INDEX(DB!O$2:O$2576,T2340),"")</f>
        <v/>
      </c>
      <c r="G2340" s="43"/>
      <c r="H2340" s="40" t="str" cm="1">
        <f t="array" ref="H2340">IFERROR(INDEX(DB!P$2:P$2576,T2340),"")</f>
        <v/>
      </c>
      <c r="I2340" s="43"/>
      <c r="J2340" s="53" t="str" cm="1">
        <f t="array" ref="J2340">IFERROR(INDEX(DB!Q$2:Q$2576,T2340),"")</f>
        <v/>
      </c>
      <c r="K2340" s="43"/>
      <c r="L2340" s="41" t="str" cm="1">
        <f t="array" ref="L2340">IFERROR(INDEX(DB!R$2:R$2576,T2340),"")</f>
        <v/>
      </c>
      <c r="M2340" s="43"/>
      <c r="P2340" t="str" cm="1">
        <f t="array" ref="P2340">IFERROR(_xlfn.AGGREGATE(15,6,ROW(DB!A$2:A$2576)/((($D$3&lt;&gt;"YES")+($D$3="YES")*(DB!E$2:E$2576="YES"))*(($D$4="")+($D$4&lt;&gt;"")*( DB!B$2:B$2576=$D$4))*(($D$5="")+($D$5&lt;&gt;"")*( DB!C$2:C$2576=$D$5))*(($D$6="")+($D$6&lt;&gt;"")*( DB!D$2:D$2576=$D$6))*(($D$7="")+($D$7&lt;&gt;"")*(ISNUMBER(SEARCH($D$7,DB!G$2:G$2576))))*(($F$7="전체")+($F$7&lt;&gt;"전체")*(DB!H$2:H$2576=$F$7))),ROW()-13)-1,"")</f>
        <v/>
      </c>
      <c r="Q2340" t="str" cm="1">
        <f t="array" ref="Q2340">IFERROR(INDEX(DB!G$2:G$2576,P2340),"")</f>
        <v/>
      </c>
      <c r="R2340" t="str" cm="1">
        <f t="array" ref="R2340">IFERROR(INDEX(DB!O$2:O$2576,P2340),"")</f>
        <v/>
      </c>
      <c r="S2340" t="str">
        <f t="shared" si="111"/>
        <v/>
      </c>
      <c r="T2340" t="str">
        <f t="shared" si="112"/>
        <v/>
      </c>
    </row>
    <row r="2341" spans="1:20" ht="100" customHeight="1">
      <c r="A2341" s="26"/>
      <c r="B2341" s="42" t="str">
        <f t="shared" si="110"/>
        <v/>
      </c>
      <c r="C2341" s="43"/>
      <c r="D2341" s="51" t="str" cm="1">
        <f t="array" ref="D2341">IFERROR(INDEX(DB!G$2:G$2576,T2341),"")</f>
        <v/>
      </c>
      <c r="E2341" s="43"/>
      <c r="F2341" s="52" t="str" cm="1">
        <f t="array" ref="F2341">IFERROR(INDEX(DB!O$2:O$2576,T2341),"")</f>
        <v/>
      </c>
      <c r="G2341" s="43"/>
      <c r="H2341" s="40" t="str" cm="1">
        <f t="array" ref="H2341">IFERROR(INDEX(DB!P$2:P$2576,T2341),"")</f>
        <v/>
      </c>
      <c r="I2341" s="43"/>
      <c r="J2341" s="53" t="str" cm="1">
        <f t="array" ref="J2341">IFERROR(INDEX(DB!Q$2:Q$2576,T2341),"")</f>
        <v/>
      </c>
      <c r="K2341" s="43"/>
      <c r="L2341" s="41" t="str" cm="1">
        <f t="array" ref="L2341">IFERROR(INDEX(DB!R$2:R$2576,T2341),"")</f>
        <v/>
      </c>
      <c r="M2341" s="43"/>
      <c r="P2341" t="str" cm="1">
        <f t="array" ref="P2341">IFERROR(_xlfn.AGGREGATE(15,6,ROW(DB!A$2:A$2576)/((($D$3&lt;&gt;"YES")+($D$3="YES")*(DB!E$2:E$2576="YES"))*(($D$4="")+($D$4&lt;&gt;"")*( DB!B$2:B$2576=$D$4))*(($D$5="")+($D$5&lt;&gt;"")*( DB!C$2:C$2576=$D$5))*(($D$6="")+($D$6&lt;&gt;"")*( DB!D$2:D$2576=$D$6))*(($D$7="")+($D$7&lt;&gt;"")*(ISNUMBER(SEARCH($D$7,DB!G$2:G$2576))))*(($F$7="전체")+($F$7&lt;&gt;"전체")*(DB!H$2:H$2576=$F$7))),ROW()-13)-1,"")</f>
        <v/>
      </c>
      <c r="Q2341" t="str" cm="1">
        <f t="array" ref="Q2341">IFERROR(INDEX(DB!G$2:G$2576,P2341),"")</f>
        <v/>
      </c>
      <c r="R2341" t="str" cm="1">
        <f t="array" ref="R2341">IFERROR(INDEX(DB!O$2:O$2576,P2341),"")</f>
        <v/>
      </c>
      <c r="S2341" t="str">
        <f t="shared" si="111"/>
        <v/>
      </c>
      <c r="T2341" t="str">
        <f t="shared" si="112"/>
        <v/>
      </c>
    </row>
    <row r="2342" spans="1:20" ht="100" customHeight="1">
      <c r="A2342" s="26"/>
      <c r="B2342" s="39" t="str">
        <f t="shared" si="110"/>
        <v/>
      </c>
      <c r="C2342" s="43"/>
      <c r="D2342" s="51" t="str" cm="1">
        <f t="array" ref="D2342">IFERROR(INDEX(DB!G$2:G$2576,T2342),"")</f>
        <v/>
      </c>
      <c r="E2342" s="43"/>
      <c r="F2342" s="52" t="str" cm="1">
        <f t="array" ref="F2342">IFERROR(INDEX(DB!O$2:O$2576,T2342),"")</f>
        <v/>
      </c>
      <c r="G2342" s="43"/>
      <c r="H2342" s="40" t="str" cm="1">
        <f t="array" ref="H2342">IFERROR(INDEX(DB!P$2:P$2576,T2342),"")</f>
        <v/>
      </c>
      <c r="I2342" s="43"/>
      <c r="J2342" s="53" t="str" cm="1">
        <f t="array" ref="J2342">IFERROR(INDEX(DB!Q$2:Q$2576,T2342),"")</f>
        <v/>
      </c>
      <c r="K2342" s="43"/>
      <c r="L2342" s="41" t="str" cm="1">
        <f t="array" ref="L2342">IFERROR(INDEX(DB!R$2:R$2576,T2342),"")</f>
        <v/>
      </c>
      <c r="M2342" s="43"/>
      <c r="P2342" t="str" cm="1">
        <f t="array" ref="P2342">IFERROR(_xlfn.AGGREGATE(15,6,ROW(DB!A$2:A$2576)/((($D$3&lt;&gt;"YES")+($D$3="YES")*(DB!E$2:E$2576="YES"))*(($D$4="")+($D$4&lt;&gt;"")*( DB!B$2:B$2576=$D$4))*(($D$5="")+($D$5&lt;&gt;"")*( DB!C$2:C$2576=$D$5))*(($D$6="")+($D$6&lt;&gt;"")*( DB!D$2:D$2576=$D$6))*(($D$7="")+($D$7&lt;&gt;"")*(ISNUMBER(SEARCH($D$7,DB!G$2:G$2576))))*(($F$7="전체")+($F$7&lt;&gt;"전체")*(DB!H$2:H$2576=$F$7))),ROW()-13)-1,"")</f>
        <v/>
      </c>
      <c r="Q2342" t="str" cm="1">
        <f t="array" ref="Q2342">IFERROR(INDEX(DB!G$2:G$2576,P2342),"")</f>
        <v/>
      </c>
      <c r="R2342" t="str" cm="1">
        <f t="array" ref="R2342">IFERROR(INDEX(DB!O$2:O$2576,P2342),"")</f>
        <v/>
      </c>
      <c r="S2342" t="str">
        <f t="shared" si="111"/>
        <v/>
      </c>
      <c r="T2342" t="str">
        <f t="shared" si="112"/>
        <v/>
      </c>
    </row>
    <row r="2343" spans="1:20" ht="100" customHeight="1">
      <c r="A2343" s="26"/>
      <c r="B2343" s="42" t="str">
        <f t="shared" si="110"/>
        <v/>
      </c>
      <c r="C2343" s="43"/>
      <c r="D2343" s="51" t="str" cm="1">
        <f t="array" ref="D2343">IFERROR(INDEX(DB!G$2:G$2576,T2343),"")</f>
        <v/>
      </c>
      <c r="E2343" s="43"/>
      <c r="F2343" s="52" t="str" cm="1">
        <f t="array" ref="F2343">IFERROR(INDEX(DB!O$2:O$2576,T2343),"")</f>
        <v/>
      </c>
      <c r="G2343" s="43"/>
      <c r="H2343" s="40" t="str" cm="1">
        <f t="array" ref="H2343">IFERROR(INDEX(DB!P$2:P$2576,T2343),"")</f>
        <v/>
      </c>
      <c r="I2343" s="43"/>
      <c r="J2343" s="53" t="str" cm="1">
        <f t="array" ref="J2343">IFERROR(INDEX(DB!Q$2:Q$2576,T2343),"")</f>
        <v/>
      </c>
      <c r="K2343" s="43"/>
      <c r="L2343" s="41" t="str" cm="1">
        <f t="array" ref="L2343">IFERROR(INDEX(DB!R$2:R$2576,T2343),"")</f>
        <v/>
      </c>
      <c r="M2343" s="43"/>
      <c r="P2343" t="str" cm="1">
        <f t="array" ref="P2343">IFERROR(_xlfn.AGGREGATE(15,6,ROW(DB!A$2:A$2576)/((($D$3&lt;&gt;"YES")+($D$3="YES")*(DB!E$2:E$2576="YES"))*(($D$4="")+($D$4&lt;&gt;"")*( DB!B$2:B$2576=$D$4))*(($D$5="")+($D$5&lt;&gt;"")*( DB!C$2:C$2576=$D$5))*(($D$6="")+($D$6&lt;&gt;"")*( DB!D$2:D$2576=$D$6))*(($D$7="")+($D$7&lt;&gt;"")*(ISNUMBER(SEARCH($D$7,DB!G$2:G$2576))))*(($F$7="전체")+($F$7&lt;&gt;"전체")*(DB!H$2:H$2576=$F$7))),ROW()-13)-1,"")</f>
        <v/>
      </c>
      <c r="Q2343" t="str" cm="1">
        <f t="array" ref="Q2343">IFERROR(INDEX(DB!G$2:G$2576,P2343),"")</f>
        <v/>
      </c>
      <c r="R2343" t="str" cm="1">
        <f t="array" ref="R2343">IFERROR(INDEX(DB!O$2:O$2576,P2343),"")</f>
        <v/>
      </c>
      <c r="S2343" t="str">
        <f t="shared" si="111"/>
        <v/>
      </c>
      <c r="T2343" t="str">
        <f t="shared" si="112"/>
        <v/>
      </c>
    </row>
    <row r="2344" spans="1:20" ht="100" customHeight="1">
      <c r="A2344" s="26"/>
      <c r="B2344" s="39" t="str">
        <f t="shared" si="110"/>
        <v/>
      </c>
      <c r="C2344" s="43"/>
      <c r="D2344" s="51" t="str" cm="1">
        <f t="array" ref="D2344">IFERROR(INDEX(DB!G$2:G$2576,T2344),"")</f>
        <v/>
      </c>
      <c r="E2344" s="43"/>
      <c r="F2344" s="52" t="str" cm="1">
        <f t="array" ref="F2344">IFERROR(INDEX(DB!O$2:O$2576,T2344),"")</f>
        <v/>
      </c>
      <c r="G2344" s="43"/>
      <c r="H2344" s="40" t="str" cm="1">
        <f t="array" ref="H2344">IFERROR(INDEX(DB!P$2:P$2576,T2344),"")</f>
        <v/>
      </c>
      <c r="I2344" s="43"/>
      <c r="J2344" s="53" t="str" cm="1">
        <f t="array" ref="J2344">IFERROR(INDEX(DB!Q$2:Q$2576,T2344),"")</f>
        <v/>
      </c>
      <c r="K2344" s="43"/>
      <c r="L2344" s="41" t="str" cm="1">
        <f t="array" ref="L2344">IFERROR(INDEX(DB!R$2:R$2576,T2344),"")</f>
        <v/>
      </c>
      <c r="M2344" s="43"/>
      <c r="P2344" t="str" cm="1">
        <f t="array" ref="P2344">IFERROR(_xlfn.AGGREGATE(15,6,ROW(DB!A$2:A$2576)/((($D$3&lt;&gt;"YES")+($D$3="YES")*(DB!E$2:E$2576="YES"))*(($D$4="")+($D$4&lt;&gt;"")*( DB!B$2:B$2576=$D$4))*(($D$5="")+($D$5&lt;&gt;"")*( DB!C$2:C$2576=$D$5))*(($D$6="")+($D$6&lt;&gt;"")*( DB!D$2:D$2576=$D$6))*(($D$7="")+($D$7&lt;&gt;"")*(ISNUMBER(SEARCH($D$7,DB!G$2:G$2576))))*(($F$7="전체")+($F$7&lt;&gt;"전체")*(DB!H$2:H$2576=$F$7))),ROW()-13)-1,"")</f>
        <v/>
      </c>
      <c r="Q2344" t="str" cm="1">
        <f t="array" ref="Q2344">IFERROR(INDEX(DB!G$2:G$2576,P2344),"")</f>
        <v/>
      </c>
      <c r="R2344" t="str" cm="1">
        <f t="array" ref="R2344">IFERROR(INDEX(DB!O$2:O$2576,P2344),"")</f>
        <v/>
      </c>
      <c r="S2344" t="str">
        <f t="shared" si="111"/>
        <v/>
      </c>
      <c r="T2344" t="str">
        <f t="shared" si="112"/>
        <v/>
      </c>
    </row>
    <row r="2345" spans="1:20" ht="100" customHeight="1">
      <c r="A2345" s="26"/>
      <c r="B2345" s="42" t="str">
        <f t="shared" si="110"/>
        <v/>
      </c>
      <c r="C2345" s="43"/>
      <c r="D2345" s="51" t="str" cm="1">
        <f t="array" ref="D2345">IFERROR(INDEX(DB!G$2:G$2576,T2345),"")</f>
        <v/>
      </c>
      <c r="E2345" s="43"/>
      <c r="F2345" s="52" t="str" cm="1">
        <f t="array" ref="F2345">IFERROR(INDEX(DB!O$2:O$2576,T2345),"")</f>
        <v/>
      </c>
      <c r="G2345" s="43"/>
      <c r="H2345" s="40" t="str" cm="1">
        <f t="array" ref="H2345">IFERROR(INDEX(DB!P$2:P$2576,T2345),"")</f>
        <v/>
      </c>
      <c r="I2345" s="43"/>
      <c r="J2345" s="53" t="str" cm="1">
        <f t="array" ref="J2345">IFERROR(INDEX(DB!Q$2:Q$2576,T2345),"")</f>
        <v/>
      </c>
      <c r="K2345" s="43"/>
      <c r="L2345" s="41" t="str" cm="1">
        <f t="array" ref="L2345">IFERROR(INDEX(DB!R$2:R$2576,T2345),"")</f>
        <v/>
      </c>
      <c r="M2345" s="43"/>
      <c r="P2345" t="str" cm="1">
        <f t="array" ref="P2345">IFERROR(_xlfn.AGGREGATE(15,6,ROW(DB!A$2:A$2576)/((($D$3&lt;&gt;"YES")+($D$3="YES")*(DB!E$2:E$2576="YES"))*(($D$4="")+($D$4&lt;&gt;"")*( DB!B$2:B$2576=$D$4))*(($D$5="")+($D$5&lt;&gt;"")*( DB!C$2:C$2576=$D$5))*(($D$6="")+($D$6&lt;&gt;"")*( DB!D$2:D$2576=$D$6))*(($D$7="")+($D$7&lt;&gt;"")*(ISNUMBER(SEARCH($D$7,DB!G$2:G$2576))))*(($F$7="전체")+($F$7&lt;&gt;"전체")*(DB!H$2:H$2576=$F$7))),ROW()-13)-1,"")</f>
        <v/>
      </c>
      <c r="Q2345" t="str" cm="1">
        <f t="array" ref="Q2345">IFERROR(INDEX(DB!G$2:G$2576,P2345),"")</f>
        <v/>
      </c>
      <c r="R2345" t="str" cm="1">
        <f t="array" ref="R2345">IFERROR(INDEX(DB!O$2:O$2576,P2345),"")</f>
        <v/>
      </c>
      <c r="S2345" t="str">
        <f t="shared" si="111"/>
        <v/>
      </c>
      <c r="T2345" t="str">
        <f t="shared" si="112"/>
        <v/>
      </c>
    </row>
    <row r="2346" spans="1:20" ht="100" customHeight="1">
      <c r="A2346" s="26"/>
      <c r="B2346" s="39" t="str">
        <f t="shared" si="110"/>
        <v/>
      </c>
      <c r="C2346" s="43"/>
      <c r="D2346" s="51" t="str" cm="1">
        <f t="array" ref="D2346">IFERROR(INDEX(DB!G$2:G$2576,T2346),"")</f>
        <v/>
      </c>
      <c r="E2346" s="43"/>
      <c r="F2346" s="52" t="str" cm="1">
        <f t="array" ref="F2346">IFERROR(INDEX(DB!O$2:O$2576,T2346),"")</f>
        <v/>
      </c>
      <c r="G2346" s="43"/>
      <c r="H2346" s="40" t="str" cm="1">
        <f t="array" ref="H2346">IFERROR(INDEX(DB!P$2:P$2576,T2346),"")</f>
        <v/>
      </c>
      <c r="I2346" s="43"/>
      <c r="J2346" s="53" t="str" cm="1">
        <f t="array" ref="J2346">IFERROR(INDEX(DB!Q$2:Q$2576,T2346),"")</f>
        <v/>
      </c>
      <c r="K2346" s="43"/>
      <c r="L2346" s="41" t="str" cm="1">
        <f t="array" ref="L2346">IFERROR(INDEX(DB!R$2:R$2576,T2346),"")</f>
        <v/>
      </c>
      <c r="M2346" s="43"/>
      <c r="P2346" t="str" cm="1">
        <f t="array" ref="P2346">IFERROR(_xlfn.AGGREGATE(15,6,ROW(DB!A$2:A$2576)/((($D$3&lt;&gt;"YES")+($D$3="YES")*(DB!E$2:E$2576="YES"))*(($D$4="")+($D$4&lt;&gt;"")*( DB!B$2:B$2576=$D$4))*(($D$5="")+($D$5&lt;&gt;"")*( DB!C$2:C$2576=$D$5))*(($D$6="")+($D$6&lt;&gt;"")*( DB!D$2:D$2576=$D$6))*(($D$7="")+($D$7&lt;&gt;"")*(ISNUMBER(SEARCH($D$7,DB!G$2:G$2576))))*(($F$7="전체")+($F$7&lt;&gt;"전체")*(DB!H$2:H$2576=$F$7))),ROW()-13)-1,"")</f>
        <v/>
      </c>
      <c r="Q2346" t="str" cm="1">
        <f t="array" ref="Q2346">IFERROR(INDEX(DB!G$2:G$2576,P2346),"")</f>
        <v/>
      </c>
      <c r="R2346" t="str" cm="1">
        <f t="array" ref="R2346">IFERROR(INDEX(DB!O$2:O$2576,P2346),"")</f>
        <v/>
      </c>
      <c r="S2346" t="str">
        <f t="shared" si="111"/>
        <v/>
      </c>
      <c r="T2346" t="str">
        <f t="shared" si="112"/>
        <v/>
      </c>
    </row>
    <row r="2347" spans="1:20" ht="100" customHeight="1">
      <c r="A2347" s="26"/>
      <c r="B2347" s="42" t="str">
        <f t="shared" si="110"/>
        <v/>
      </c>
      <c r="C2347" s="43"/>
      <c r="D2347" s="51" t="str" cm="1">
        <f t="array" ref="D2347">IFERROR(INDEX(DB!G$2:G$2576,T2347),"")</f>
        <v/>
      </c>
      <c r="E2347" s="43"/>
      <c r="F2347" s="52" t="str" cm="1">
        <f t="array" ref="F2347">IFERROR(INDEX(DB!O$2:O$2576,T2347),"")</f>
        <v/>
      </c>
      <c r="G2347" s="43"/>
      <c r="H2347" s="40" t="str" cm="1">
        <f t="array" ref="H2347">IFERROR(INDEX(DB!P$2:P$2576,T2347),"")</f>
        <v/>
      </c>
      <c r="I2347" s="43"/>
      <c r="J2347" s="53" t="str" cm="1">
        <f t="array" ref="J2347">IFERROR(INDEX(DB!Q$2:Q$2576,T2347),"")</f>
        <v/>
      </c>
      <c r="K2347" s="43"/>
      <c r="L2347" s="41" t="str" cm="1">
        <f t="array" ref="L2347">IFERROR(INDEX(DB!R$2:R$2576,T2347),"")</f>
        <v/>
      </c>
      <c r="M2347" s="43"/>
      <c r="P2347" t="str" cm="1">
        <f t="array" ref="P2347">IFERROR(_xlfn.AGGREGATE(15,6,ROW(DB!A$2:A$2576)/((($D$3&lt;&gt;"YES")+($D$3="YES")*(DB!E$2:E$2576="YES"))*(($D$4="")+($D$4&lt;&gt;"")*( DB!B$2:B$2576=$D$4))*(($D$5="")+($D$5&lt;&gt;"")*( DB!C$2:C$2576=$D$5))*(($D$6="")+($D$6&lt;&gt;"")*( DB!D$2:D$2576=$D$6))*(($D$7="")+($D$7&lt;&gt;"")*(ISNUMBER(SEARCH($D$7,DB!G$2:G$2576))))*(($F$7="전체")+($F$7&lt;&gt;"전체")*(DB!H$2:H$2576=$F$7))),ROW()-13)-1,"")</f>
        <v/>
      </c>
      <c r="Q2347" t="str" cm="1">
        <f t="array" ref="Q2347">IFERROR(INDEX(DB!G$2:G$2576,P2347),"")</f>
        <v/>
      </c>
      <c r="R2347" t="str" cm="1">
        <f t="array" ref="R2347">IFERROR(INDEX(DB!O$2:O$2576,P2347),"")</f>
        <v/>
      </c>
      <c r="S2347" t="str">
        <f t="shared" si="111"/>
        <v/>
      </c>
      <c r="T2347" t="str">
        <f t="shared" si="112"/>
        <v/>
      </c>
    </row>
    <row r="2348" spans="1:20" ht="100" customHeight="1">
      <c r="A2348" s="26"/>
      <c r="B2348" s="39" t="str">
        <f t="shared" si="110"/>
        <v/>
      </c>
      <c r="C2348" s="43"/>
      <c r="D2348" s="51" t="str" cm="1">
        <f t="array" ref="D2348">IFERROR(INDEX(DB!G$2:G$2576,T2348),"")</f>
        <v/>
      </c>
      <c r="E2348" s="43"/>
      <c r="F2348" s="52" t="str" cm="1">
        <f t="array" ref="F2348">IFERROR(INDEX(DB!O$2:O$2576,T2348),"")</f>
        <v/>
      </c>
      <c r="G2348" s="43"/>
      <c r="H2348" s="40" t="str" cm="1">
        <f t="array" ref="H2348">IFERROR(INDEX(DB!P$2:P$2576,T2348),"")</f>
        <v/>
      </c>
      <c r="I2348" s="43"/>
      <c r="J2348" s="53" t="str" cm="1">
        <f t="array" ref="J2348">IFERROR(INDEX(DB!Q$2:Q$2576,T2348),"")</f>
        <v/>
      </c>
      <c r="K2348" s="43"/>
      <c r="L2348" s="41" t="str" cm="1">
        <f t="array" ref="L2348">IFERROR(INDEX(DB!R$2:R$2576,T2348),"")</f>
        <v/>
      </c>
      <c r="M2348" s="43"/>
      <c r="P2348" t="str" cm="1">
        <f t="array" ref="P2348">IFERROR(_xlfn.AGGREGATE(15,6,ROW(DB!A$2:A$2576)/((($D$3&lt;&gt;"YES")+($D$3="YES")*(DB!E$2:E$2576="YES"))*(($D$4="")+($D$4&lt;&gt;"")*( DB!B$2:B$2576=$D$4))*(($D$5="")+($D$5&lt;&gt;"")*( DB!C$2:C$2576=$D$5))*(($D$6="")+($D$6&lt;&gt;"")*( DB!D$2:D$2576=$D$6))*(($D$7="")+($D$7&lt;&gt;"")*(ISNUMBER(SEARCH($D$7,DB!G$2:G$2576))))*(($F$7="전체")+($F$7&lt;&gt;"전체")*(DB!H$2:H$2576=$F$7))),ROW()-13)-1,"")</f>
        <v/>
      </c>
      <c r="Q2348" t="str" cm="1">
        <f t="array" ref="Q2348">IFERROR(INDEX(DB!G$2:G$2576,P2348),"")</f>
        <v/>
      </c>
      <c r="R2348" t="str" cm="1">
        <f t="array" ref="R2348">IFERROR(INDEX(DB!O$2:O$2576,P2348),"")</f>
        <v/>
      </c>
      <c r="S2348" t="str">
        <f t="shared" si="111"/>
        <v/>
      </c>
      <c r="T2348" t="str">
        <f t="shared" si="112"/>
        <v/>
      </c>
    </row>
    <row r="2349" spans="1:20" ht="100" customHeight="1">
      <c r="A2349" s="26"/>
      <c r="B2349" s="42" t="str">
        <f t="shared" si="110"/>
        <v/>
      </c>
      <c r="C2349" s="43"/>
      <c r="D2349" s="51" t="str" cm="1">
        <f t="array" ref="D2349">IFERROR(INDEX(DB!G$2:G$2576,T2349),"")</f>
        <v/>
      </c>
      <c r="E2349" s="43"/>
      <c r="F2349" s="52" t="str" cm="1">
        <f t="array" ref="F2349">IFERROR(INDEX(DB!O$2:O$2576,T2349),"")</f>
        <v/>
      </c>
      <c r="G2349" s="43"/>
      <c r="H2349" s="40" t="str" cm="1">
        <f t="array" ref="H2349">IFERROR(INDEX(DB!P$2:P$2576,T2349),"")</f>
        <v/>
      </c>
      <c r="I2349" s="43"/>
      <c r="J2349" s="53" t="str" cm="1">
        <f t="array" ref="J2349">IFERROR(INDEX(DB!Q$2:Q$2576,T2349),"")</f>
        <v/>
      </c>
      <c r="K2349" s="43"/>
      <c r="L2349" s="41" t="str" cm="1">
        <f t="array" ref="L2349">IFERROR(INDEX(DB!R$2:R$2576,T2349),"")</f>
        <v/>
      </c>
      <c r="M2349" s="43"/>
      <c r="P2349" t="str" cm="1">
        <f t="array" ref="P2349">IFERROR(_xlfn.AGGREGATE(15,6,ROW(DB!A$2:A$2576)/((($D$3&lt;&gt;"YES")+($D$3="YES")*(DB!E$2:E$2576="YES"))*(($D$4="")+($D$4&lt;&gt;"")*( DB!B$2:B$2576=$D$4))*(($D$5="")+($D$5&lt;&gt;"")*( DB!C$2:C$2576=$D$5))*(($D$6="")+($D$6&lt;&gt;"")*( DB!D$2:D$2576=$D$6))*(($D$7="")+($D$7&lt;&gt;"")*(ISNUMBER(SEARCH($D$7,DB!G$2:G$2576))))*(($F$7="전체")+($F$7&lt;&gt;"전체")*(DB!H$2:H$2576=$F$7))),ROW()-13)-1,"")</f>
        <v/>
      </c>
      <c r="Q2349" t="str" cm="1">
        <f t="array" ref="Q2349">IFERROR(INDEX(DB!G$2:G$2576,P2349),"")</f>
        <v/>
      </c>
      <c r="R2349" t="str" cm="1">
        <f t="array" ref="R2349">IFERROR(INDEX(DB!O$2:O$2576,P2349),"")</f>
        <v/>
      </c>
      <c r="S2349" t="str">
        <f t="shared" si="111"/>
        <v/>
      </c>
      <c r="T2349" t="str">
        <f t="shared" si="112"/>
        <v/>
      </c>
    </row>
    <row r="2350" spans="1:20" ht="100" customHeight="1">
      <c r="A2350" s="26"/>
      <c r="B2350" s="39" t="str">
        <f t="shared" si="110"/>
        <v/>
      </c>
      <c r="C2350" s="43"/>
      <c r="D2350" s="51" t="str" cm="1">
        <f t="array" ref="D2350">IFERROR(INDEX(DB!G$2:G$2576,T2350),"")</f>
        <v/>
      </c>
      <c r="E2350" s="43"/>
      <c r="F2350" s="52" t="str" cm="1">
        <f t="array" ref="F2350">IFERROR(INDEX(DB!O$2:O$2576,T2350),"")</f>
        <v/>
      </c>
      <c r="G2350" s="43"/>
      <c r="H2350" s="40" t="str" cm="1">
        <f t="array" ref="H2350">IFERROR(INDEX(DB!P$2:P$2576,T2350),"")</f>
        <v/>
      </c>
      <c r="I2350" s="43"/>
      <c r="J2350" s="53" t="str" cm="1">
        <f t="array" ref="J2350">IFERROR(INDEX(DB!Q$2:Q$2576,T2350),"")</f>
        <v/>
      </c>
      <c r="K2350" s="43"/>
      <c r="L2350" s="41" t="str" cm="1">
        <f t="array" ref="L2350">IFERROR(INDEX(DB!R$2:R$2576,T2350),"")</f>
        <v/>
      </c>
      <c r="M2350" s="43"/>
      <c r="P2350" t="str" cm="1">
        <f t="array" ref="P2350">IFERROR(_xlfn.AGGREGATE(15,6,ROW(DB!A$2:A$2576)/((($D$3&lt;&gt;"YES")+($D$3="YES")*(DB!E$2:E$2576="YES"))*(($D$4="")+($D$4&lt;&gt;"")*( DB!B$2:B$2576=$D$4))*(($D$5="")+($D$5&lt;&gt;"")*( DB!C$2:C$2576=$D$5))*(($D$6="")+($D$6&lt;&gt;"")*( DB!D$2:D$2576=$D$6))*(($D$7="")+($D$7&lt;&gt;"")*(ISNUMBER(SEARCH($D$7,DB!G$2:G$2576))))*(($F$7="전체")+($F$7&lt;&gt;"전체")*(DB!H$2:H$2576=$F$7))),ROW()-13)-1,"")</f>
        <v/>
      </c>
      <c r="Q2350" t="str" cm="1">
        <f t="array" ref="Q2350">IFERROR(INDEX(DB!G$2:G$2576,P2350),"")</f>
        <v/>
      </c>
      <c r="R2350" t="str" cm="1">
        <f t="array" ref="R2350">IFERROR(INDEX(DB!O$2:O$2576,P2350),"")</f>
        <v/>
      </c>
      <c r="S2350" t="str">
        <f t="shared" si="111"/>
        <v/>
      </c>
      <c r="T2350" t="str">
        <f t="shared" si="112"/>
        <v/>
      </c>
    </row>
    <row r="2351" spans="1:20" ht="100" customHeight="1">
      <c r="A2351" s="26"/>
      <c r="B2351" s="42" t="str">
        <f t="shared" si="110"/>
        <v/>
      </c>
      <c r="C2351" s="43"/>
      <c r="D2351" s="51" t="str" cm="1">
        <f t="array" ref="D2351">IFERROR(INDEX(DB!G$2:G$2576,T2351),"")</f>
        <v/>
      </c>
      <c r="E2351" s="43"/>
      <c r="F2351" s="52" t="str" cm="1">
        <f t="array" ref="F2351">IFERROR(INDEX(DB!O$2:O$2576,T2351),"")</f>
        <v/>
      </c>
      <c r="G2351" s="43"/>
      <c r="H2351" s="40" t="str" cm="1">
        <f t="array" ref="H2351">IFERROR(INDEX(DB!P$2:P$2576,T2351),"")</f>
        <v/>
      </c>
      <c r="I2351" s="43"/>
      <c r="J2351" s="53" t="str" cm="1">
        <f t="array" ref="J2351">IFERROR(INDEX(DB!Q$2:Q$2576,T2351),"")</f>
        <v/>
      </c>
      <c r="K2351" s="43"/>
      <c r="L2351" s="41" t="str" cm="1">
        <f t="array" ref="L2351">IFERROR(INDEX(DB!R$2:R$2576,T2351),"")</f>
        <v/>
      </c>
      <c r="M2351" s="43"/>
      <c r="P2351" t="str" cm="1">
        <f t="array" ref="P2351">IFERROR(_xlfn.AGGREGATE(15,6,ROW(DB!A$2:A$2576)/((($D$3&lt;&gt;"YES")+($D$3="YES")*(DB!E$2:E$2576="YES"))*(($D$4="")+($D$4&lt;&gt;"")*( DB!B$2:B$2576=$D$4))*(($D$5="")+($D$5&lt;&gt;"")*( DB!C$2:C$2576=$D$5))*(($D$6="")+($D$6&lt;&gt;"")*( DB!D$2:D$2576=$D$6))*(($D$7="")+($D$7&lt;&gt;"")*(ISNUMBER(SEARCH($D$7,DB!G$2:G$2576))))*(($F$7="전체")+($F$7&lt;&gt;"전체")*(DB!H$2:H$2576=$F$7))),ROW()-13)-1,"")</f>
        <v/>
      </c>
      <c r="Q2351" t="str" cm="1">
        <f t="array" ref="Q2351">IFERROR(INDEX(DB!G$2:G$2576,P2351),"")</f>
        <v/>
      </c>
      <c r="R2351" t="str" cm="1">
        <f t="array" ref="R2351">IFERROR(INDEX(DB!O$2:O$2576,P2351),"")</f>
        <v/>
      </c>
      <c r="S2351" t="str">
        <f t="shared" si="111"/>
        <v/>
      </c>
      <c r="T2351" t="str">
        <f t="shared" si="112"/>
        <v/>
      </c>
    </row>
    <row r="2352" spans="1:20" ht="100" customHeight="1">
      <c r="A2352" s="26"/>
      <c r="B2352" s="39" t="str">
        <f t="shared" si="110"/>
        <v/>
      </c>
      <c r="C2352" s="43"/>
      <c r="D2352" s="51" t="str" cm="1">
        <f t="array" ref="D2352">IFERROR(INDEX(DB!G$2:G$2576,T2352),"")</f>
        <v/>
      </c>
      <c r="E2352" s="43"/>
      <c r="F2352" s="52" t="str" cm="1">
        <f t="array" ref="F2352">IFERROR(INDEX(DB!O$2:O$2576,T2352),"")</f>
        <v/>
      </c>
      <c r="G2352" s="43"/>
      <c r="H2352" s="40" t="str" cm="1">
        <f t="array" ref="H2352">IFERROR(INDEX(DB!P$2:P$2576,T2352),"")</f>
        <v/>
      </c>
      <c r="I2352" s="43"/>
      <c r="J2352" s="53" t="str" cm="1">
        <f t="array" ref="J2352">IFERROR(INDEX(DB!Q$2:Q$2576,T2352),"")</f>
        <v/>
      </c>
      <c r="K2352" s="43"/>
      <c r="L2352" s="41" t="str" cm="1">
        <f t="array" ref="L2352">IFERROR(INDEX(DB!R$2:R$2576,T2352),"")</f>
        <v/>
      </c>
      <c r="M2352" s="43"/>
      <c r="P2352" t="str" cm="1">
        <f t="array" ref="P2352">IFERROR(_xlfn.AGGREGATE(15,6,ROW(DB!A$2:A$2576)/((($D$3&lt;&gt;"YES")+($D$3="YES")*(DB!E$2:E$2576="YES"))*(($D$4="")+($D$4&lt;&gt;"")*( DB!B$2:B$2576=$D$4))*(($D$5="")+($D$5&lt;&gt;"")*( DB!C$2:C$2576=$D$5))*(($D$6="")+($D$6&lt;&gt;"")*( DB!D$2:D$2576=$D$6))*(($D$7="")+($D$7&lt;&gt;"")*(ISNUMBER(SEARCH($D$7,DB!G$2:G$2576))))*(($F$7="전체")+($F$7&lt;&gt;"전체")*(DB!H$2:H$2576=$F$7))),ROW()-13)-1,"")</f>
        <v/>
      </c>
      <c r="Q2352" t="str" cm="1">
        <f t="array" ref="Q2352">IFERROR(INDEX(DB!G$2:G$2576,P2352),"")</f>
        <v/>
      </c>
      <c r="R2352" t="str" cm="1">
        <f t="array" ref="R2352">IFERROR(INDEX(DB!O$2:O$2576,P2352),"")</f>
        <v/>
      </c>
      <c r="S2352" t="str">
        <f t="shared" si="111"/>
        <v/>
      </c>
      <c r="T2352" t="str">
        <f t="shared" si="112"/>
        <v/>
      </c>
    </row>
    <row r="2353" spans="1:20" ht="100" customHeight="1">
      <c r="A2353" s="26"/>
      <c r="B2353" s="42" t="str">
        <f t="shared" si="110"/>
        <v/>
      </c>
      <c r="C2353" s="43"/>
      <c r="D2353" s="51" t="str" cm="1">
        <f t="array" ref="D2353">IFERROR(INDEX(DB!G$2:G$2576,T2353),"")</f>
        <v/>
      </c>
      <c r="E2353" s="43"/>
      <c r="F2353" s="52" t="str" cm="1">
        <f t="array" ref="F2353">IFERROR(INDEX(DB!O$2:O$2576,T2353),"")</f>
        <v/>
      </c>
      <c r="G2353" s="43"/>
      <c r="H2353" s="40" t="str" cm="1">
        <f t="array" ref="H2353">IFERROR(INDEX(DB!P$2:P$2576,T2353),"")</f>
        <v/>
      </c>
      <c r="I2353" s="43"/>
      <c r="J2353" s="53" t="str" cm="1">
        <f t="array" ref="J2353">IFERROR(INDEX(DB!Q$2:Q$2576,T2353),"")</f>
        <v/>
      </c>
      <c r="K2353" s="43"/>
      <c r="L2353" s="41" t="str" cm="1">
        <f t="array" ref="L2353">IFERROR(INDEX(DB!R$2:R$2576,T2353),"")</f>
        <v/>
      </c>
      <c r="M2353" s="43"/>
      <c r="P2353" t="str" cm="1">
        <f t="array" ref="P2353">IFERROR(_xlfn.AGGREGATE(15,6,ROW(DB!A$2:A$2576)/((($D$3&lt;&gt;"YES")+($D$3="YES")*(DB!E$2:E$2576="YES"))*(($D$4="")+($D$4&lt;&gt;"")*( DB!B$2:B$2576=$D$4))*(($D$5="")+($D$5&lt;&gt;"")*( DB!C$2:C$2576=$D$5))*(($D$6="")+($D$6&lt;&gt;"")*( DB!D$2:D$2576=$D$6))*(($D$7="")+($D$7&lt;&gt;"")*(ISNUMBER(SEARCH($D$7,DB!G$2:G$2576))))*(($F$7="전체")+($F$7&lt;&gt;"전체")*(DB!H$2:H$2576=$F$7))),ROW()-13)-1,"")</f>
        <v/>
      </c>
      <c r="Q2353" t="str" cm="1">
        <f t="array" ref="Q2353">IFERROR(INDEX(DB!G$2:G$2576,P2353),"")</f>
        <v/>
      </c>
      <c r="R2353" t="str" cm="1">
        <f t="array" ref="R2353">IFERROR(INDEX(DB!O$2:O$2576,P2353),"")</f>
        <v/>
      </c>
      <c r="S2353" t="str">
        <f t="shared" si="111"/>
        <v/>
      </c>
      <c r="T2353" t="str">
        <f t="shared" si="112"/>
        <v/>
      </c>
    </row>
    <row r="2354" spans="1:20" ht="100" customHeight="1">
      <c r="A2354" s="26"/>
      <c r="B2354" s="39" t="str">
        <f t="shared" si="110"/>
        <v/>
      </c>
      <c r="C2354" s="43"/>
      <c r="D2354" s="51" t="str" cm="1">
        <f t="array" ref="D2354">IFERROR(INDEX(DB!G$2:G$2576,T2354),"")</f>
        <v/>
      </c>
      <c r="E2354" s="43"/>
      <c r="F2354" s="52" t="str" cm="1">
        <f t="array" ref="F2354">IFERROR(INDEX(DB!O$2:O$2576,T2354),"")</f>
        <v/>
      </c>
      <c r="G2354" s="43"/>
      <c r="H2354" s="40" t="str" cm="1">
        <f t="array" ref="H2354">IFERROR(INDEX(DB!P$2:P$2576,T2354),"")</f>
        <v/>
      </c>
      <c r="I2354" s="43"/>
      <c r="J2354" s="53" t="str" cm="1">
        <f t="array" ref="J2354">IFERROR(INDEX(DB!Q$2:Q$2576,T2354),"")</f>
        <v/>
      </c>
      <c r="K2354" s="43"/>
      <c r="L2354" s="41" t="str" cm="1">
        <f t="array" ref="L2354">IFERROR(INDEX(DB!R$2:R$2576,T2354),"")</f>
        <v/>
      </c>
      <c r="M2354" s="43"/>
      <c r="P2354" t="str" cm="1">
        <f t="array" ref="P2354">IFERROR(_xlfn.AGGREGATE(15,6,ROW(DB!A$2:A$2576)/((($D$3&lt;&gt;"YES")+($D$3="YES")*(DB!E$2:E$2576="YES"))*(($D$4="")+($D$4&lt;&gt;"")*( DB!B$2:B$2576=$D$4))*(($D$5="")+($D$5&lt;&gt;"")*( DB!C$2:C$2576=$D$5))*(($D$6="")+($D$6&lt;&gt;"")*( DB!D$2:D$2576=$D$6))*(($D$7="")+($D$7&lt;&gt;"")*(ISNUMBER(SEARCH($D$7,DB!G$2:G$2576))))*(($F$7="전체")+($F$7&lt;&gt;"전체")*(DB!H$2:H$2576=$F$7))),ROW()-13)-1,"")</f>
        <v/>
      </c>
      <c r="Q2354" t="str" cm="1">
        <f t="array" ref="Q2354">IFERROR(INDEX(DB!G$2:G$2576,P2354),"")</f>
        <v/>
      </c>
      <c r="R2354" t="str" cm="1">
        <f t="array" ref="R2354">IFERROR(INDEX(DB!O$2:O$2576,P2354),"")</f>
        <v/>
      </c>
      <c r="S2354" t="str">
        <f t="shared" si="111"/>
        <v/>
      </c>
      <c r="T2354" t="str">
        <f t="shared" si="112"/>
        <v/>
      </c>
    </row>
    <row r="2355" spans="1:20" ht="100" customHeight="1">
      <c r="A2355" s="26"/>
      <c r="B2355" s="42" t="str">
        <f t="shared" si="110"/>
        <v/>
      </c>
      <c r="C2355" s="43"/>
      <c r="D2355" s="51" t="str" cm="1">
        <f t="array" ref="D2355">IFERROR(INDEX(DB!G$2:G$2576,T2355),"")</f>
        <v/>
      </c>
      <c r="E2355" s="43"/>
      <c r="F2355" s="52" t="str" cm="1">
        <f t="array" ref="F2355">IFERROR(INDEX(DB!O$2:O$2576,T2355),"")</f>
        <v/>
      </c>
      <c r="G2355" s="43"/>
      <c r="H2355" s="40" t="str" cm="1">
        <f t="array" ref="H2355">IFERROR(INDEX(DB!P$2:P$2576,T2355),"")</f>
        <v/>
      </c>
      <c r="I2355" s="43"/>
      <c r="J2355" s="53" t="str" cm="1">
        <f t="array" ref="J2355">IFERROR(INDEX(DB!Q$2:Q$2576,T2355),"")</f>
        <v/>
      </c>
      <c r="K2355" s="43"/>
      <c r="L2355" s="41" t="str" cm="1">
        <f t="array" ref="L2355">IFERROR(INDEX(DB!R$2:R$2576,T2355),"")</f>
        <v/>
      </c>
      <c r="M2355" s="43"/>
      <c r="P2355" t="str" cm="1">
        <f t="array" ref="P2355">IFERROR(_xlfn.AGGREGATE(15,6,ROW(DB!A$2:A$2576)/((($D$3&lt;&gt;"YES")+($D$3="YES")*(DB!E$2:E$2576="YES"))*(($D$4="")+($D$4&lt;&gt;"")*( DB!B$2:B$2576=$D$4))*(($D$5="")+($D$5&lt;&gt;"")*( DB!C$2:C$2576=$D$5))*(($D$6="")+($D$6&lt;&gt;"")*( DB!D$2:D$2576=$D$6))*(($D$7="")+($D$7&lt;&gt;"")*(ISNUMBER(SEARCH($D$7,DB!G$2:G$2576))))*(($F$7="전체")+($F$7&lt;&gt;"전체")*(DB!H$2:H$2576=$F$7))),ROW()-13)-1,"")</f>
        <v/>
      </c>
      <c r="Q2355" t="str" cm="1">
        <f t="array" ref="Q2355">IFERROR(INDEX(DB!G$2:G$2576,P2355),"")</f>
        <v/>
      </c>
      <c r="R2355" t="str" cm="1">
        <f t="array" ref="R2355">IFERROR(INDEX(DB!O$2:O$2576,P2355),"")</f>
        <v/>
      </c>
      <c r="S2355" t="str">
        <f t="shared" si="111"/>
        <v/>
      </c>
      <c r="T2355" t="str">
        <f t="shared" si="112"/>
        <v/>
      </c>
    </row>
    <row r="2356" spans="1:20" ht="100" customHeight="1">
      <c r="A2356" s="26"/>
      <c r="B2356" s="39" t="str">
        <f t="shared" si="110"/>
        <v/>
      </c>
      <c r="C2356" s="43"/>
      <c r="D2356" s="51" t="str" cm="1">
        <f t="array" ref="D2356">IFERROR(INDEX(DB!G$2:G$2576,T2356),"")</f>
        <v/>
      </c>
      <c r="E2356" s="43"/>
      <c r="F2356" s="52" t="str" cm="1">
        <f t="array" ref="F2356">IFERROR(INDEX(DB!O$2:O$2576,T2356),"")</f>
        <v/>
      </c>
      <c r="G2356" s="43"/>
      <c r="H2356" s="40" t="str" cm="1">
        <f t="array" ref="H2356">IFERROR(INDEX(DB!P$2:P$2576,T2356),"")</f>
        <v/>
      </c>
      <c r="I2356" s="43"/>
      <c r="J2356" s="53" t="str" cm="1">
        <f t="array" ref="J2356">IFERROR(INDEX(DB!Q$2:Q$2576,T2356),"")</f>
        <v/>
      </c>
      <c r="K2356" s="43"/>
      <c r="L2356" s="41" t="str" cm="1">
        <f t="array" ref="L2356">IFERROR(INDEX(DB!R$2:R$2576,T2356),"")</f>
        <v/>
      </c>
      <c r="M2356" s="43"/>
      <c r="P2356" t="str" cm="1">
        <f t="array" ref="P2356">IFERROR(_xlfn.AGGREGATE(15,6,ROW(DB!A$2:A$2576)/((($D$3&lt;&gt;"YES")+($D$3="YES")*(DB!E$2:E$2576="YES"))*(($D$4="")+($D$4&lt;&gt;"")*( DB!B$2:B$2576=$D$4))*(($D$5="")+($D$5&lt;&gt;"")*( DB!C$2:C$2576=$D$5))*(($D$6="")+($D$6&lt;&gt;"")*( DB!D$2:D$2576=$D$6))*(($D$7="")+($D$7&lt;&gt;"")*(ISNUMBER(SEARCH($D$7,DB!G$2:G$2576))))*(($F$7="전체")+($F$7&lt;&gt;"전체")*(DB!H$2:H$2576=$F$7))),ROW()-13)-1,"")</f>
        <v/>
      </c>
      <c r="Q2356" t="str" cm="1">
        <f t="array" ref="Q2356">IFERROR(INDEX(DB!G$2:G$2576,P2356),"")</f>
        <v/>
      </c>
      <c r="R2356" t="str" cm="1">
        <f t="array" ref="R2356">IFERROR(INDEX(DB!O$2:O$2576,P2356),"")</f>
        <v/>
      </c>
      <c r="S2356" t="str">
        <f t="shared" si="111"/>
        <v/>
      </c>
      <c r="T2356" t="str">
        <f t="shared" si="112"/>
        <v/>
      </c>
    </row>
    <row r="2357" spans="1:20" ht="100" customHeight="1">
      <c r="A2357" s="26"/>
      <c r="B2357" s="42" t="str">
        <f t="shared" si="110"/>
        <v/>
      </c>
      <c r="C2357" s="43"/>
      <c r="D2357" s="51" t="str" cm="1">
        <f t="array" ref="D2357">IFERROR(INDEX(DB!G$2:G$2576,T2357),"")</f>
        <v/>
      </c>
      <c r="E2357" s="43"/>
      <c r="F2357" s="52" t="str" cm="1">
        <f t="array" ref="F2357">IFERROR(INDEX(DB!O$2:O$2576,T2357),"")</f>
        <v/>
      </c>
      <c r="G2357" s="43"/>
      <c r="H2357" s="40" t="str" cm="1">
        <f t="array" ref="H2357">IFERROR(INDEX(DB!P$2:P$2576,T2357),"")</f>
        <v/>
      </c>
      <c r="I2357" s="43"/>
      <c r="J2357" s="53" t="str" cm="1">
        <f t="array" ref="J2357">IFERROR(INDEX(DB!Q$2:Q$2576,T2357),"")</f>
        <v/>
      </c>
      <c r="K2357" s="43"/>
      <c r="L2357" s="41" t="str" cm="1">
        <f t="array" ref="L2357">IFERROR(INDEX(DB!R$2:R$2576,T2357),"")</f>
        <v/>
      </c>
      <c r="M2357" s="43"/>
      <c r="P2357" t="str" cm="1">
        <f t="array" ref="P2357">IFERROR(_xlfn.AGGREGATE(15,6,ROW(DB!A$2:A$2576)/((($D$3&lt;&gt;"YES")+($D$3="YES")*(DB!E$2:E$2576="YES"))*(($D$4="")+($D$4&lt;&gt;"")*( DB!B$2:B$2576=$D$4))*(($D$5="")+($D$5&lt;&gt;"")*( DB!C$2:C$2576=$D$5))*(($D$6="")+($D$6&lt;&gt;"")*( DB!D$2:D$2576=$D$6))*(($D$7="")+($D$7&lt;&gt;"")*(ISNUMBER(SEARCH($D$7,DB!G$2:G$2576))))*(($F$7="전체")+($F$7&lt;&gt;"전체")*(DB!H$2:H$2576=$F$7))),ROW()-13)-1,"")</f>
        <v/>
      </c>
      <c r="Q2357" t="str" cm="1">
        <f t="array" ref="Q2357">IFERROR(INDEX(DB!G$2:G$2576,P2357),"")</f>
        <v/>
      </c>
      <c r="R2357" t="str" cm="1">
        <f t="array" ref="R2357">IFERROR(INDEX(DB!O$2:O$2576,P2357),"")</f>
        <v/>
      </c>
      <c r="S2357" t="str">
        <f t="shared" si="111"/>
        <v/>
      </c>
      <c r="T2357" t="str">
        <f t="shared" si="112"/>
        <v/>
      </c>
    </row>
    <row r="2358" spans="1:20" ht="100" customHeight="1">
      <c r="A2358" s="26"/>
      <c r="B2358" s="39" t="str">
        <f t="shared" si="110"/>
        <v/>
      </c>
      <c r="C2358" s="43"/>
      <c r="D2358" s="51" t="str" cm="1">
        <f t="array" ref="D2358">IFERROR(INDEX(DB!G$2:G$2576,T2358),"")</f>
        <v/>
      </c>
      <c r="E2358" s="43"/>
      <c r="F2358" s="52" t="str" cm="1">
        <f t="array" ref="F2358">IFERROR(INDEX(DB!O$2:O$2576,T2358),"")</f>
        <v/>
      </c>
      <c r="G2358" s="43"/>
      <c r="H2358" s="40" t="str" cm="1">
        <f t="array" ref="H2358">IFERROR(INDEX(DB!P$2:P$2576,T2358),"")</f>
        <v/>
      </c>
      <c r="I2358" s="43"/>
      <c r="J2358" s="53" t="str" cm="1">
        <f t="array" ref="J2358">IFERROR(INDEX(DB!Q$2:Q$2576,T2358),"")</f>
        <v/>
      </c>
      <c r="K2358" s="43"/>
      <c r="L2358" s="41" t="str" cm="1">
        <f t="array" ref="L2358">IFERROR(INDEX(DB!R$2:R$2576,T2358),"")</f>
        <v/>
      </c>
      <c r="M2358" s="43"/>
      <c r="P2358" t="str" cm="1">
        <f t="array" ref="P2358">IFERROR(_xlfn.AGGREGATE(15,6,ROW(DB!A$2:A$2576)/((($D$3&lt;&gt;"YES")+($D$3="YES")*(DB!E$2:E$2576="YES"))*(($D$4="")+($D$4&lt;&gt;"")*( DB!B$2:B$2576=$D$4))*(($D$5="")+($D$5&lt;&gt;"")*( DB!C$2:C$2576=$D$5))*(($D$6="")+($D$6&lt;&gt;"")*( DB!D$2:D$2576=$D$6))*(($D$7="")+($D$7&lt;&gt;"")*(ISNUMBER(SEARCH($D$7,DB!G$2:G$2576))))*(($F$7="전체")+($F$7&lt;&gt;"전체")*(DB!H$2:H$2576=$F$7))),ROW()-13)-1,"")</f>
        <v/>
      </c>
      <c r="Q2358" t="str" cm="1">
        <f t="array" ref="Q2358">IFERROR(INDEX(DB!G$2:G$2576,P2358),"")</f>
        <v/>
      </c>
      <c r="R2358" t="str" cm="1">
        <f t="array" ref="R2358">IFERROR(INDEX(DB!O$2:O$2576,P2358),"")</f>
        <v/>
      </c>
      <c r="S2358" t="str">
        <f t="shared" si="111"/>
        <v/>
      </c>
      <c r="T2358" t="str">
        <f t="shared" si="112"/>
        <v/>
      </c>
    </row>
    <row r="2359" spans="1:20" ht="100" customHeight="1">
      <c r="A2359" s="26"/>
      <c r="B2359" s="42" t="str">
        <f t="shared" si="110"/>
        <v/>
      </c>
      <c r="C2359" s="43"/>
      <c r="D2359" s="51" t="str" cm="1">
        <f t="array" ref="D2359">IFERROR(INDEX(DB!G$2:G$2576,T2359),"")</f>
        <v/>
      </c>
      <c r="E2359" s="43"/>
      <c r="F2359" s="52" t="str" cm="1">
        <f t="array" ref="F2359">IFERROR(INDEX(DB!O$2:O$2576,T2359),"")</f>
        <v/>
      </c>
      <c r="G2359" s="43"/>
      <c r="H2359" s="40" t="str" cm="1">
        <f t="array" ref="H2359">IFERROR(INDEX(DB!P$2:P$2576,T2359),"")</f>
        <v/>
      </c>
      <c r="I2359" s="43"/>
      <c r="J2359" s="53" t="str" cm="1">
        <f t="array" ref="J2359">IFERROR(INDEX(DB!Q$2:Q$2576,T2359),"")</f>
        <v/>
      </c>
      <c r="K2359" s="43"/>
      <c r="L2359" s="41" t="str" cm="1">
        <f t="array" ref="L2359">IFERROR(INDEX(DB!R$2:R$2576,T2359),"")</f>
        <v/>
      </c>
      <c r="M2359" s="43"/>
      <c r="P2359" t="str" cm="1">
        <f t="array" ref="P2359">IFERROR(_xlfn.AGGREGATE(15,6,ROW(DB!A$2:A$2576)/((($D$3&lt;&gt;"YES")+($D$3="YES")*(DB!E$2:E$2576="YES"))*(($D$4="")+($D$4&lt;&gt;"")*( DB!B$2:B$2576=$D$4))*(($D$5="")+($D$5&lt;&gt;"")*( DB!C$2:C$2576=$D$5))*(($D$6="")+($D$6&lt;&gt;"")*( DB!D$2:D$2576=$D$6))*(($D$7="")+($D$7&lt;&gt;"")*(ISNUMBER(SEARCH($D$7,DB!G$2:G$2576))))*(($F$7="전체")+($F$7&lt;&gt;"전체")*(DB!H$2:H$2576=$F$7))),ROW()-13)-1,"")</f>
        <v/>
      </c>
      <c r="Q2359" t="str" cm="1">
        <f t="array" ref="Q2359">IFERROR(INDEX(DB!G$2:G$2576,P2359),"")</f>
        <v/>
      </c>
      <c r="R2359" t="str" cm="1">
        <f t="array" ref="R2359">IFERROR(INDEX(DB!O$2:O$2576,P2359),"")</f>
        <v/>
      </c>
      <c r="S2359" t="str">
        <f t="shared" si="111"/>
        <v/>
      </c>
      <c r="T2359" t="str">
        <f t="shared" si="112"/>
        <v/>
      </c>
    </row>
    <row r="2360" spans="1:20" ht="100" customHeight="1">
      <c r="A2360" s="26"/>
      <c r="B2360" s="39" t="str">
        <f t="shared" si="110"/>
        <v/>
      </c>
      <c r="C2360" s="43"/>
      <c r="D2360" s="51" t="str" cm="1">
        <f t="array" ref="D2360">IFERROR(INDEX(DB!G$2:G$2576,T2360),"")</f>
        <v/>
      </c>
      <c r="E2360" s="43"/>
      <c r="F2360" s="52" t="str" cm="1">
        <f t="array" ref="F2360">IFERROR(INDEX(DB!O$2:O$2576,T2360),"")</f>
        <v/>
      </c>
      <c r="G2360" s="43"/>
      <c r="H2360" s="40" t="str" cm="1">
        <f t="array" ref="H2360">IFERROR(INDEX(DB!P$2:P$2576,T2360),"")</f>
        <v/>
      </c>
      <c r="I2360" s="43"/>
      <c r="J2360" s="53" t="str" cm="1">
        <f t="array" ref="J2360">IFERROR(INDEX(DB!Q$2:Q$2576,T2360),"")</f>
        <v/>
      </c>
      <c r="K2360" s="43"/>
      <c r="L2360" s="41" t="str" cm="1">
        <f t="array" ref="L2360">IFERROR(INDEX(DB!R$2:R$2576,T2360),"")</f>
        <v/>
      </c>
      <c r="M2360" s="43"/>
      <c r="P2360" t="str" cm="1">
        <f t="array" ref="P2360">IFERROR(_xlfn.AGGREGATE(15,6,ROW(DB!A$2:A$2576)/((($D$3&lt;&gt;"YES")+($D$3="YES")*(DB!E$2:E$2576="YES"))*(($D$4="")+($D$4&lt;&gt;"")*( DB!B$2:B$2576=$D$4))*(($D$5="")+($D$5&lt;&gt;"")*( DB!C$2:C$2576=$D$5))*(($D$6="")+($D$6&lt;&gt;"")*( DB!D$2:D$2576=$D$6))*(($D$7="")+($D$7&lt;&gt;"")*(ISNUMBER(SEARCH($D$7,DB!G$2:G$2576))))*(($F$7="전체")+($F$7&lt;&gt;"전체")*(DB!H$2:H$2576=$F$7))),ROW()-13)-1,"")</f>
        <v/>
      </c>
      <c r="Q2360" t="str" cm="1">
        <f t="array" ref="Q2360">IFERROR(INDEX(DB!G$2:G$2576,P2360),"")</f>
        <v/>
      </c>
      <c r="R2360" t="str" cm="1">
        <f t="array" ref="R2360">IFERROR(INDEX(DB!O$2:O$2576,P2360),"")</f>
        <v/>
      </c>
      <c r="S2360" t="str">
        <f t="shared" si="111"/>
        <v/>
      </c>
      <c r="T2360" t="str">
        <f t="shared" si="112"/>
        <v/>
      </c>
    </row>
    <row r="2361" spans="1:20" ht="100" customHeight="1">
      <c r="A2361" s="26"/>
      <c r="B2361" s="42" t="str">
        <f t="shared" si="110"/>
        <v/>
      </c>
      <c r="C2361" s="43"/>
      <c r="D2361" s="51" t="str" cm="1">
        <f t="array" ref="D2361">IFERROR(INDEX(DB!G$2:G$2576,T2361),"")</f>
        <v/>
      </c>
      <c r="E2361" s="43"/>
      <c r="F2361" s="52" t="str" cm="1">
        <f t="array" ref="F2361">IFERROR(INDEX(DB!O$2:O$2576,T2361),"")</f>
        <v/>
      </c>
      <c r="G2361" s="43"/>
      <c r="H2361" s="40" t="str" cm="1">
        <f t="array" ref="H2361">IFERROR(INDEX(DB!P$2:P$2576,T2361),"")</f>
        <v/>
      </c>
      <c r="I2361" s="43"/>
      <c r="J2361" s="53" t="str" cm="1">
        <f t="array" ref="J2361">IFERROR(INDEX(DB!Q$2:Q$2576,T2361),"")</f>
        <v/>
      </c>
      <c r="K2361" s="43"/>
      <c r="L2361" s="41" t="str" cm="1">
        <f t="array" ref="L2361">IFERROR(INDEX(DB!R$2:R$2576,T2361),"")</f>
        <v/>
      </c>
      <c r="M2361" s="43"/>
      <c r="P2361" t="str" cm="1">
        <f t="array" ref="P2361">IFERROR(_xlfn.AGGREGATE(15,6,ROW(DB!A$2:A$2576)/((($D$3&lt;&gt;"YES")+($D$3="YES")*(DB!E$2:E$2576="YES"))*(($D$4="")+($D$4&lt;&gt;"")*( DB!B$2:B$2576=$D$4))*(($D$5="")+($D$5&lt;&gt;"")*( DB!C$2:C$2576=$D$5))*(($D$6="")+($D$6&lt;&gt;"")*( DB!D$2:D$2576=$D$6))*(($D$7="")+($D$7&lt;&gt;"")*(ISNUMBER(SEARCH($D$7,DB!G$2:G$2576))))*(($F$7="전체")+($F$7&lt;&gt;"전체")*(DB!H$2:H$2576=$F$7))),ROW()-13)-1,"")</f>
        <v/>
      </c>
      <c r="Q2361" t="str" cm="1">
        <f t="array" ref="Q2361">IFERROR(INDEX(DB!G$2:G$2576,P2361),"")</f>
        <v/>
      </c>
      <c r="R2361" t="str" cm="1">
        <f t="array" ref="R2361">IFERROR(INDEX(DB!O$2:O$2576,P2361),"")</f>
        <v/>
      </c>
      <c r="S2361" t="str">
        <f t="shared" si="111"/>
        <v/>
      </c>
      <c r="T2361" t="str">
        <f t="shared" si="112"/>
        <v/>
      </c>
    </row>
    <row r="2362" spans="1:20" ht="100" customHeight="1">
      <c r="A2362" s="26"/>
      <c r="B2362" s="39" t="str">
        <f t="shared" si="110"/>
        <v/>
      </c>
      <c r="C2362" s="43"/>
      <c r="D2362" s="51" t="str" cm="1">
        <f t="array" ref="D2362">IFERROR(INDEX(DB!G$2:G$2576,T2362),"")</f>
        <v/>
      </c>
      <c r="E2362" s="43"/>
      <c r="F2362" s="52" t="str" cm="1">
        <f t="array" ref="F2362">IFERROR(INDEX(DB!O$2:O$2576,T2362),"")</f>
        <v/>
      </c>
      <c r="G2362" s="43"/>
      <c r="H2362" s="40" t="str" cm="1">
        <f t="array" ref="H2362">IFERROR(INDEX(DB!P$2:P$2576,T2362),"")</f>
        <v/>
      </c>
      <c r="I2362" s="43"/>
      <c r="J2362" s="53" t="str" cm="1">
        <f t="array" ref="J2362">IFERROR(INDEX(DB!Q$2:Q$2576,T2362),"")</f>
        <v/>
      </c>
      <c r="K2362" s="43"/>
      <c r="L2362" s="41" t="str" cm="1">
        <f t="array" ref="L2362">IFERROR(INDEX(DB!R$2:R$2576,T2362),"")</f>
        <v/>
      </c>
      <c r="M2362" s="43"/>
      <c r="P2362" t="str" cm="1">
        <f t="array" ref="P2362">IFERROR(_xlfn.AGGREGATE(15,6,ROW(DB!A$2:A$2576)/((($D$3&lt;&gt;"YES")+($D$3="YES")*(DB!E$2:E$2576="YES"))*(($D$4="")+($D$4&lt;&gt;"")*( DB!B$2:B$2576=$D$4))*(($D$5="")+($D$5&lt;&gt;"")*( DB!C$2:C$2576=$D$5))*(($D$6="")+($D$6&lt;&gt;"")*( DB!D$2:D$2576=$D$6))*(($D$7="")+($D$7&lt;&gt;"")*(ISNUMBER(SEARCH($D$7,DB!G$2:G$2576))))*(($F$7="전체")+($F$7&lt;&gt;"전체")*(DB!H$2:H$2576=$F$7))),ROW()-13)-1,"")</f>
        <v/>
      </c>
      <c r="Q2362" t="str" cm="1">
        <f t="array" ref="Q2362">IFERROR(INDEX(DB!G$2:G$2576,P2362),"")</f>
        <v/>
      </c>
      <c r="R2362" t="str" cm="1">
        <f t="array" ref="R2362">IFERROR(INDEX(DB!O$2:O$2576,P2362),"")</f>
        <v/>
      </c>
      <c r="S2362" t="str">
        <f t="shared" si="111"/>
        <v/>
      </c>
      <c r="T2362" t="str">
        <f t="shared" si="112"/>
        <v/>
      </c>
    </row>
    <row r="2363" spans="1:20" ht="100" customHeight="1">
      <c r="A2363" s="26"/>
      <c r="B2363" s="42" t="str">
        <f t="shared" si="110"/>
        <v/>
      </c>
      <c r="C2363" s="43"/>
      <c r="D2363" s="51" t="str" cm="1">
        <f t="array" ref="D2363">IFERROR(INDEX(DB!G$2:G$2576,T2363),"")</f>
        <v/>
      </c>
      <c r="E2363" s="43"/>
      <c r="F2363" s="52" t="str" cm="1">
        <f t="array" ref="F2363">IFERROR(INDEX(DB!O$2:O$2576,T2363),"")</f>
        <v/>
      </c>
      <c r="G2363" s="43"/>
      <c r="H2363" s="40" t="str" cm="1">
        <f t="array" ref="H2363">IFERROR(INDEX(DB!P$2:P$2576,T2363),"")</f>
        <v/>
      </c>
      <c r="I2363" s="43"/>
      <c r="J2363" s="53" t="str" cm="1">
        <f t="array" ref="J2363">IFERROR(INDEX(DB!Q$2:Q$2576,T2363),"")</f>
        <v/>
      </c>
      <c r="K2363" s="43"/>
      <c r="L2363" s="41" t="str" cm="1">
        <f t="array" ref="L2363">IFERROR(INDEX(DB!R$2:R$2576,T2363),"")</f>
        <v/>
      </c>
      <c r="M2363" s="43"/>
      <c r="P2363" t="str" cm="1">
        <f t="array" ref="P2363">IFERROR(_xlfn.AGGREGATE(15,6,ROW(DB!A$2:A$2576)/((($D$3&lt;&gt;"YES")+($D$3="YES")*(DB!E$2:E$2576="YES"))*(($D$4="")+($D$4&lt;&gt;"")*( DB!B$2:B$2576=$D$4))*(($D$5="")+($D$5&lt;&gt;"")*( DB!C$2:C$2576=$D$5))*(($D$6="")+($D$6&lt;&gt;"")*( DB!D$2:D$2576=$D$6))*(($D$7="")+($D$7&lt;&gt;"")*(ISNUMBER(SEARCH($D$7,DB!G$2:G$2576))))*(($F$7="전체")+($F$7&lt;&gt;"전체")*(DB!H$2:H$2576=$F$7))),ROW()-13)-1,"")</f>
        <v/>
      </c>
      <c r="Q2363" t="str" cm="1">
        <f t="array" ref="Q2363">IFERROR(INDEX(DB!G$2:G$2576,P2363),"")</f>
        <v/>
      </c>
      <c r="R2363" t="str" cm="1">
        <f t="array" ref="R2363">IFERROR(INDEX(DB!O$2:O$2576,P2363),"")</f>
        <v/>
      </c>
      <c r="S2363" t="str">
        <f t="shared" si="111"/>
        <v/>
      </c>
      <c r="T2363" t="str">
        <f t="shared" si="112"/>
        <v/>
      </c>
    </row>
    <row r="2364" spans="1:20" ht="100" customHeight="1">
      <c r="A2364" s="26"/>
      <c r="B2364" s="39" t="str">
        <f t="shared" si="110"/>
        <v/>
      </c>
      <c r="C2364" s="43"/>
      <c r="D2364" s="51" t="str" cm="1">
        <f t="array" ref="D2364">IFERROR(INDEX(DB!G$2:G$2576,T2364),"")</f>
        <v/>
      </c>
      <c r="E2364" s="43"/>
      <c r="F2364" s="52" t="str" cm="1">
        <f t="array" ref="F2364">IFERROR(INDEX(DB!O$2:O$2576,T2364),"")</f>
        <v/>
      </c>
      <c r="G2364" s="43"/>
      <c r="H2364" s="40" t="str" cm="1">
        <f t="array" ref="H2364">IFERROR(INDEX(DB!P$2:P$2576,T2364),"")</f>
        <v/>
      </c>
      <c r="I2364" s="43"/>
      <c r="J2364" s="53" t="str" cm="1">
        <f t="array" ref="J2364">IFERROR(INDEX(DB!Q$2:Q$2576,T2364),"")</f>
        <v/>
      </c>
      <c r="K2364" s="43"/>
      <c r="L2364" s="41" t="str" cm="1">
        <f t="array" ref="L2364">IFERROR(INDEX(DB!R$2:R$2576,T2364),"")</f>
        <v/>
      </c>
      <c r="M2364" s="43"/>
      <c r="P2364" t="str" cm="1">
        <f t="array" ref="P2364">IFERROR(_xlfn.AGGREGATE(15,6,ROW(DB!A$2:A$2576)/((($D$3&lt;&gt;"YES")+($D$3="YES")*(DB!E$2:E$2576="YES"))*(($D$4="")+($D$4&lt;&gt;"")*( DB!B$2:B$2576=$D$4))*(($D$5="")+($D$5&lt;&gt;"")*( DB!C$2:C$2576=$D$5))*(($D$6="")+($D$6&lt;&gt;"")*( DB!D$2:D$2576=$D$6))*(($D$7="")+($D$7&lt;&gt;"")*(ISNUMBER(SEARCH($D$7,DB!G$2:G$2576))))*(($F$7="전체")+($F$7&lt;&gt;"전체")*(DB!H$2:H$2576=$F$7))),ROW()-13)-1,"")</f>
        <v/>
      </c>
      <c r="Q2364" t="str" cm="1">
        <f t="array" ref="Q2364">IFERROR(INDEX(DB!G$2:G$2576,P2364),"")</f>
        <v/>
      </c>
      <c r="R2364" t="str" cm="1">
        <f t="array" ref="R2364">IFERROR(INDEX(DB!O$2:O$2576,P2364),"")</f>
        <v/>
      </c>
      <c r="S2364" t="str">
        <f t="shared" si="111"/>
        <v/>
      </c>
      <c r="T2364" t="str">
        <f t="shared" si="112"/>
        <v/>
      </c>
    </row>
    <row r="2365" spans="1:20" ht="100" customHeight="1">
      <c r="A2365" s="26"/>
      <c r="B2365" s="42" t="str">
        <f t="shared" si="110"/>
        <v/>
      </c>
      <c r="C2365" s="43"/>
      <c r="D2365" s="51" t="str" cm="1">
        <f t="array" ref="D2365">IFERROR(INDEX(DB!G$2:G$2576,T2365),"")</f>
        <v/>
      </c>
      <c r="E2365" s="43"/>
      <c r="F2365" s="52" t="str" cm="1">
        <f t="array" ref="F2365">IFERROR(INDEX(DB!O$2:O$2576,T2365),"")</f>
        <v/>
      </c>
      <c r="G2365" s="43"/>
      <c r="H2365" s="40" t="str" cm="1">
        <f t="array" ref="H2365">IFERROR(INDEX(DB!P$2:P$2576,T2365),"")</f>
        <v/>
      </c>
      <c r="I2365" s="43"/>
      <c r="J2365" s="53" t="str" cm="1">
        <f t="array" ref="J2365">IFERROR(INDEX(DB!Q$2:Q$2576,T2365),"")</f>
        <v/>
      </c>
      <c r="K2365" s="43"/>
      <c r="L2365" s="41" t="str" cm="1">
        <f t="array" ref="L2365">IFERROR(INDEX(DB!R$2:R$2576,T2365),"")</f>
        <v/>
      </c>
      <c r="M2365" s="43"/>
      <c r="P2365" t="str" cm="1">
        <f t="array" ref="P2365">IFERROR(_xlfn.AGGREGATE(15,6,ROW(DB!A$2:A$2576)/((($D$3&lt;&gt;"YES")+($D$3="YES")*(DB!E$2:E$2576="YES"))*(($D$4="")+($D$4&lt;&gt;"")*( DB!B$2:B$2576=$D$4))*(($D$5="")+($D$5&lt;&gt;"")*( DB!C$2:C$2576=$D$5))*(($D$6="")+($D$6&lt;&gt;"")*( DB!D$2:D$2576=$D$6))*(($D$7="")+($D$7&lt;&gt;"")*(ISNUMBER(SEARCH($D$7,DB!G$2:G$2576))))*(($F$7="전체")+($F$7&lt;&gt;"전체")*(DB!H$2:H$2576=$F$7))),ROW()-13)-1,"")</f>
        <v/>
      </c>
      <c r="Q2365" t="str" cm="1">
        <f t="array" ref="Q2365">IFERROR(INDEX(DB!G$2:G$2576,P2365),"")</f>
        <v/>
      </c>
      <c r="R2365" t="str" cm="1">
        <f t="array" ref="R2365">IFERROR(INDEX(DB!O$2:O$2576,P2365),"")</f>
        <v/>
      </c>
      <c r="S2365" t="str">
        <f t="shared" si="111"/>
        <v/>
      </c>
      <c r="T2365" t="str">
        <f t="shared" si="112"/>
        <v/>
      </c>
    </row>
    <row r="2366" spans="1:20" ht="100" customHeight="1">
      <c r="A2366" s="26"/>
      <c r="B2366" s="39" t="str">
        <f t="shared" si="110"/>
        <v/>
      </c>
      <c r="C2366" s="43"/>
      <c r="D2366" s="51" t="str" cm="1">
        <f t="array" ref="D2366">IFERROR(INDEX(DB!G$2:G$2576,T2366),"")</f>
        <v/>
      </c>
      <c r="E2366" s="43"/>
      <c r="F2366" s="52" t="str" cm="1">
        <f t="array" ref="F2366">IFERROR(INDEX(DB!O$2:O$2576,T2366),"")</f>
        <v/>
      </c>
      <c r="G2366" s="43"/>
      <c r="H2366" s="40" t="str" cm="1">
        <f t="array" ref="H2366">IFERROR(INDEX(DB!P$2:P$2576,T2366),"")</f>
        <v/>
      </c>
      <c r="I2366" s="43"/>
      <c r="J2366" s="53" t="str" cm="1">
        <f t="array" ref="J2366">IFERROR(INDEX(DB!Q$2:Q$2576,T2366),"")</f>
        <v/>
      </c>
      <c r="K2366" s="43"/>
      <c r="L2366" s="41" t="str" cm="1">
        <f t="array" ref="L2366">IFERROR(INDEX(DB!R$2:R$2576,T2366),"")</f>
        <v/>
      </c>
      <c r="M2366" s="43"/>
      <c r="P2366" t="str" cm="1">
        <f t="array" ref="P2366">IFERROR(_xlfn.AGGREGATE(15,6,ROW(DB!A$2:A$2576)/((($D$3&lt;&gt;"YES")+($D$3="YES")*(DB!E$2:E$2576="YES"))*(($D$4="")+($D$4&lt;&gt;"")*( DB!B$2:B$2576=$D$4))*(($D$5="")+($D$5&lt;&gt;"")*( DB!C$2:C$2576=$D$5))*(($D$6="")+($D$6&lt;&gt;"")*( DB!D$2:D$2576=$D$6))*(($D$7="")+($D$7&lt;&gt;"")*(ISNUMBER(SEARCH($D$7,DB!G$2:G$2576))))*(($F$7="전체")+($F$7&lt;&gt;"전체")*(DB!H$2:H$2576=$F$7))),ROW()-13)-1,"")</f>
        <v/>
      </c>
      <c r="Q2366" t="str" cm="1">
        <f t="array" ref="Q2366">IFERROR(INDEX(DB!G$2:G$2576,P2366),"")</f>
        <v/>
      </c>
      <c r="R2366" t="str" cm="1">
        <f t="array" ref="R2366">IFERROR(INDEX(DB!O$2:O$2576,P2366),"")</f>
        <v/>
      </c>
      <c r="S2366" t="str">
        <f t="shared" si="111"/>
        <v/>
      </c>
      <c r="T2366" t="str">
        <f t="shared" si="112"/>
        <v/>
      </c>
    </row>
    <row r="2367" spans="1:20" ht="100" customHeight="1">
      <c r="A2367" s="26"/>
      <c r="B2367" s="42" t="str">
        <f t="shared" si="110"/>
        <v/>
      </c>
      <c r="C2367" s="43"/>
      <c r="D2367" s="51" t="str" cm="1">
        <f t="array" ref="D2367">IFERROR(INDEX(DB!G$2:G$2576,T2367),"")</f>
        <v/>
      </c>
      <c r="E2367" s="43"/>
      <c r="F2367" s="52" t="str" cm="1">
        <f t="array" ref="F2367">IFERROR(INDEX(DB!O$2:O$2576,T2367),"")</f>
        <v/>
      </c>
      <c r="G2367" s="43"/>
      <c r="H2367" s="40" t="str" cm="1">
        <f t="array" ref="H2367">IFERROR(INDEX(DB!P$2:P$2576,T2367),"")</f>
        <v/>
      </c>
      <c r="I2367" s="43"/>
      <c r="J2367" s="53" t="str" cm="1">
        <f t="array" ref="J2367">IFERROR(INDEX(DB!Q$2:Q$2576,T2367),"")</f>
        <v/>
      </c>
      <c r="K2367" s="43"/>
      <c r="L2367" s="41" t="str" cm="1">
        <f t="array" ref="L2367">IFERROR(INDEX(DB!R$2:R$2576,T2367),"")</f>
        <v/>
      </c>
      <c r="M2367" s="43"/>
      <c r="P2367" t="str" cm="1">
        <f t="array" ref="P2367">IFERROR(_xlfn.AGGREGATE(15,6,ROW(DB!A$2:A$2576)/((($D$3&lt;&gt;"YES")+($D$3="YES")*(DB!E$2:E$2576="YES"))*(($D$4="")+($D$4&lt;&gt;"")*( DB!B$2:B$2576=$D$4))*(($D$5="")+($D$5&lt;&gt;"")*( DB!C$2:C$2576=$D$5))*(($D$6="")+($D$6&lt;&gt;"")*( DB!D$2:D$2576=$D$6))*(($D$7="")+($D$7&lt;&gt;"")*(ISNUMBER(SEARCH($D$7,DB!G$2:G$2576))))*(($F$7="전체")+($F$7&lt;&gt;"전체")*(DB!H$2:H$2576=$F$7))),ROW()-13)-1,"")</f>
        <v/>
      </c>
      <c r="Q2367" t="str" cm="1">
        <f t="array" ref="Q2367">IFERROR(INDEX(DB!G$2:G$2576,P2367),"")</f>
        <v/>
      </c>
      <c r="R2367" t="str" cm="1">
        <f t="array" ref="R2367">IFERROR(INDEX(DB!O$2:O$2576,P2367),"")</f>
        <v/>
      </c>
      <c r="S2367" t="str">
        <f t="shared" si="111"/>
        <v/>
      </c>
      <c r="T2367" t="str">
        <f t="shared" si="112"/>
        <v/>
      </c>
    </row>
    <row r="2368" spans="1:20" ht="100" customHeight="1">
      <c r="A2368" s="26"/>
      <c r="B2368" s="39" t="str">
        <f t="shared" si="110"/>
        <v/>
      </c>
      <c r="C2368" s="43"/>
      <c r="D2368" s="51" t="str" cm="1">
        <f t="array" ref="D2368">IFERROR(INDEX(DB!G$2:G$2576,T2368),"")</f>
        <v/>
      </c>
      <c r="E2368" s="43"/>
      <c r="F2368" s="52" t="str" cm="1">
        <f t="array" ref="F2368">IFERROR(INDEX(DB!O$2:O$2576,T2368),"")</f>
        <v/>
      </c>
      <c r="G2368" s="43"/>
      <c r="H2368" s="40" t="str" cm="1">
        <f t="array" ref="H2368">IFERROR(INDEX(DB!P$2:P$2576,T2368),"")</f>
        <v/>
      </c>
      <c r="I2368" s="43"/>
      <c r="J2368" s="53" t="str" cm="1">
        <f t="array" ref="J2368">IFERROR(INDEX(DB!Q$2:Q$2576,T2368),"")</f>
        <v/>
      </c>
      <c r="K2368" s="43"/>
      <c r="L2368" s="41" t="str" cm="1">
        <f t="array" ref="L2368">IFERROR(INDEX(DB!R$2:R$2576,T2368),"")</f>
        <v/>
      </c>
      <c r="M2368" s="43"/>
      <c r="P2368" t="str" cm="1">
        <f t="array" ref="P2368">IFERROR(_xlfn.AGGREGATE(15,6,ROW(DB!A$2:A$2576)/((($D$3&lt;&gt;"YES")+($D$3="YES")*(DB!E$2:E$2576="YES"))*(($D$4="")+($D$4&lt;&gt;"")*( DB!B$2:B$2576=$D$4))*(($D$5="")+($D$5&lt;&gt;"")*( DB!C$2:C$2576=$D$5))*(($D$6="")+($D$6&lt;&gt;"")*( DB!D$2:D$2576=$D$6))*(($D$7="")+($D$7&lt;&gt;"")*(ISNUMBER(SEARCH($D$7,DB!G$2:G$2576))))*(($F$7="전체")+($F$7&lt;&gt;"전체")*(DB!H$2:H$2576=$F$7))),ROW()-13)-1,"")</f>
        <v/>
      </c>
      <c r="Q2368" t="str" cm="1">
        <f t="array" ref="Q2368">IFERROR(INDEX(DB!G$2:G$2576,P2368),"")</f>
        <v/>
      </c>
      <c r="R2368" t="str" cm="1">
        <f t="array" ref="R2368">IFERROR(INDEX(DB!O$2:O$2576,P2368),"")</f>
        <v/>
      </c>
      <c r="S2368" t="str">
        <f t="shared" si="111"/>
        <v/>
      </c>
      <c r="T2368" t="str">
        <f t="shared" si="112"/>
        <v/>
      </c>
    </row>
    <row r="2369" spans="1:20" ht="100" customHeight="1">
      <c r="A2369" s="26"/>
      <c r="B2369" s="42" t="str">
        <f t="shared" si="110"/>
        <v/>
      </c>
      <c r="C2369" s="43"/>
      <c r="D2369" s="51" t="str" cm="1">
        <f t="array" ref="D2369">IFERROR(INDEX(DB!G$2:G$2576,T2369),"")</f>
        <v/>
      </c>
      <c r="E2369" s="43"/>
      <c r="F2369" s="52" t="str" cm="1">
        <f t="array" ref="F2369">IFERROR(INDEX(DB!O$2:O$2576,T2369),"")</f>
        <v/>
      </c>
      <c r="G2369" s="43"/>
      <c r="H2369" s="40" t="str" cm="1">
        <f t="array" ref="H2369">IFERROR(INDEX(DB!P$2:P$2576,T2369),"")</f>
        <v/>
      </c>
      <c r="I2369" s="43"/>
      <c r="J2369" s="53" t="str" cm="1">
        <f t="array" ref="J2369">IFERROR(INDEX(DB!Q$2:Q$2576,T2369),"")</f>
        <v/>
      </c>
      <c r="K2369" s="43"/>
      <c r="L2369" s="41" t="str" cm="1">
        <f t="array" ref="L2369">IFERROR(INDEX(DB!R$2:R$2576,T2369),"")</f>
        <v/>
      </c>
      <c r="M2369" s="43"/>
      <c r="P2369" t="str" cm="1">
        <f t="array" ref="P2369">IFERROR(_xlfn.AGGREGATE(15,6,ROW(DB!A$2:A$2576)/((($D$3&lt;&gt;"YES")+($D$3="YES")*(DB!E$2:E$2576="YES"))*(($D$4="")+($D$4&lt;&gt;"")*( DB!B$2:B$2576=$D$4))*(($D$5="")+($D$5&lt;&gt;"")*( DB!C$2:C$2576=$D$5))*(($D$6="")+($D$6&lt;&gt;"")*( DB!D$2:D$2576=$D$6))*(($D$7="")+($D$7&lt;&gt;"")*(ISNUMBER(SEARCH($D$7,DB!G$2:G$2576))))*(($F$7="전체")+($F$7&lt;&gt;"전체")*(DB!H$2:H$2576=$F$7))),ROW()-13)-1,"")</f>
        <v/>
      </c>
      <c r="Q2369" t="str" cm="1">
        <f t="array" ref="Q2369">IFERROR(INDEX(DB!G$2:G$2576,P2369),"")</f>
        <v/>
      </c>
      <c r="R2369" t="str" cm="1">
        <f t="array" ref="R2369">IFERROR(INDEX(DB!O$2:O$2576,P2369),"")</f>
        <v/>
      </c>
      <c r="S2369" t="str">
        <f t="shared" si="111"/>
        <v/>
      </c>
      <c r="T2369" t="str">
        <f t="shared" si="112"/>
        <v/>
      </c>
    </row>
    <row r="2370" spans="1:20" ht="100" customHeight="1">
      <c r="A2370" s="26"/>
      <c r="B2370" s="39" t="str">
        <f t="shared" si="110"/>
        <v/>
      </c>
      <c r="C2370" s="43"/>
      <c r="D2370" s="51" t="str" cm="1">
        <f t="array" ref="D2370">IFERROR(INDEX(DB!G$2:G$2576,T2370),"")</f>
        <v/>
      </c>
      <c r="E2370" s="43"/>
      <c r="F2370" s="52" t="str" cm="1">
        <f t="array" ref="F2370">IFERROR(INDEX(DB!O$2:O$2576,T2370),"")</f>
        <v/>
      </c>
      <c r="G2370" s="43"/>
      <c r="H2370" s="40" t="str" cm="1">
        <f t="array" ref="H2370">IFERROR(INDEX(DB!P$2:P$2576,T2370),"")</f>
        <v/>
      </c>
      <c r="I2370" s="43"/>
      <c r="J2370" s="53" t="str" cm="1">
        <f t="array" ref="J2370">IFERROR(INDEX(DB!Q$2:Q$2576,T2370),"")</f>
        <v/>
      </c>
      <c r="K2370" s="43"/>
      <c r="L2370" s="41" t="str" cm="1">
        <f t="array" ref="L2370">IFERROR(INDEX(DB!R$2:R$2576,T2370),"")</f>
        <v/>
      </c>
      <c r="M2370" s="43"/>
      <c r="P2370" t="str" cm="1">
        <f t="array" ref="P2370">IFERROR(_xlfn.AGGREGATE(15,6,ROW(DB!A$2:A$2576)/((($D$3&lt;&gt;"YES")+($D$3="YES")*(DB!E$2:E$2576="YES"))*(($D$4="")+($D$4&lt;&gt;"")*( DB!B$2:B$2576=$D$4))*(($D$5="")+($D$5&lt;&gt;"")*( DB!C$2:C$2576=$D$5))*(($D$6="")+($D$6&lt;&gt;"")*( DB!D$2:D$2576=$D$6))*(($D$7="")+($D$7&lt;&gt;"")*(ISNUMBER(SEARCH($D$7,DB!G$2:G$2576))))*(($F$7="전체")+($F$7&lt;&gt;"전체")*(DB!H$2:H$2576=$F$7))),ROW()-13)-1,"")</f>
        <v/>
      </c>
      <c r="Q2370" t="str" cm="1">
        <f t="array" ref="Q2370">IFERROR(INDEX(DB!G$2:G$2576,P2370),"")</f>
        <v/>
      </c>
      <c r="R2370" t="str" cm="1">
        <f t="array" ref="R2370">IFERROR(INDEX(DB!O$2:O$2576,P2370),"")</f>
        <v/>
      </c>
      <c r="S2370" t="str">
        <f t="shared" si="111"/>
        <v/>
      </c>
      <c r="T2370" t="str">
        <f t="shared" si="112"/>
        <v/>
      </c>
    </row>
    <row r="2371" spans="1:20" ht="100" customHeight="1">
      <c r="A2371" s="26"/>
      <c r="B2371" s="42" t="str">
        <f t="shared" si="110"/>
        <v/>
      </c>
      <c r="C2371" s="43"/>
      <c r="D2371" s="51" t="str" cm="1">
        <f t="array" ref="D2371">IFERROR(INDEX(DB!G$2:G$2576,T2371),"")</f>
        <v/>
      </c>
      <c r="E2371" s="43"/>
      <c r="F2371" s="52" t="str" cm="1">
        <f t="array" ref="F2371">IFERROR(INDEX(DB!O$2:O$2576,T2371),"")</f>
        <v/>
      </c>
      <c r="G2371" s="43"/>
      <c r="H2371" s="40" t="str" cm="1">
        <f t="array" ref="H2371">IFERROR(INDEX(DB!P$2:P$2576,T2371),"")</f>
        <v/>
      </c>
      <c r="I2371" s="43"/>
      <c r="J2371" s="53" t="str" cm="1">
        <f t="array" ref="J2371">IFERROR(INDEX(DB!Q$2:Q$2576,T2371),"")</f>
        <v/>
      </c>
      <c r="K2371" s="43"/>
      <c r="L2371" s="41" t="str" cm="1">
        <f t="array" ref="L2371">IFERROR(INDEX(DB!R$2:R$2576,T2371),"")</f>
        <v/>
      </c>
      <c r="M2371" s="43"/>
      <c r="P2371" t="str" cm="1">
        <f t="array" ref="P2371">IFERROR(_xlfn.AGGREGATE(15,6,ROW(DB!A$2:A$2576)/((($D$3&lt;&gt;"YES")+($D$3="YES")*(DB!E$2:E$2576="YES"))*(($D$4="")+($D$4&lt;&gt;"")*( DB!B$2:B$2576=$D$4))*(($D$5="")+($D$5&lt;&gt;"")*( DB!C$2:C$2576=$D$5))*(($D$6="")+($D$6&lt;&gt;"")*( DB!D$2:D$2576=$D$6))*(($D$7="")+($D$7&lt;&gt;"")*(ISNUMBER(SEARCH($D$7,DB!G$2:G$2576))))*(($F$7="전체")+($F$7&lt;&gt;"전체")*(DB!H$2:H$2576=$F$7))),ROW()-13)-1,"")</f>
        <v/>
      </c>
      <c r="Q2371" t="str" cm="1">
        <f t="array" ref="Q2371">IFERROR(INDEX(DB!G$2:G$2576,P2371),"")</f>
        <v/>
      </c>
      <c r="R2371" t="str" cm="1">
        <f t="array" ref="R2371">IFERROR(INDEX(DB!O$2:O$2576,P2371),"")</f>
        <v/>
      </c>
      <c r="S2371" t="str">
        <f t="shared" si="111"/>
        <v/>
      </c>
      <c r="T2371" t="str">
        <f t="shared" si="112"/>
        <v/>
      </c>
    </row>
    <row r="2372" spans="1:20" ht="100" customHeight="1">
      <c r="A2372" s="26"/>
      <c r="B2372" s="39" t="str">
        <f t="shared" si="110"/>
        <v/>
      </c>
      <c r="C2372" s="43"/>
      <c r="D2372" s="51" t="str" cm="1">
        <f t="array" ref="D2372">IFERROR(INDEX(DB!G$2:G$2576,T2372),"")</f>
        <v/>
      </c>
      <c r="E2372" s="43"/>
      <c r="F2372" s="52" t="str" cm="1">
        <f t="array" ref="F2372">IFERROR(INDEX(DB!O$2:O$2576,T2372),"")</f>
        <v/>
      </c>
      <c r="G2372" s="43"/>
      <c r="H2372" s="40" t="str" cm="1">
        <f t="array" ref="H2372">IFERROR(INDEX(DB!P$2:P$2576,T2372),"")</f>
        <v/>
      </c>
      <c r="I2372" s="43"/>
      <c r="J2372" s="53" t="str" cm="1">
        <f t="array" ref="J2372">IFERROR(INDEX(DB!Q$2:Q$2576,T2372),"")</f>
        <v/>
      </c>
      <c r="K2372" s="43"/>
      <c r="L2372" s="41" t="str" cm="1">
        <f t="array" ref="L2372">IFERROR(INDEX(DB!R$2:R$2576,T2372),"")</f>
        <v/>
      </c>
      <c r="M2372" s="43"/>
      <c r="P2372" t="str" cm="1">
        <f t="array" ref="P2372">IFERROR(_xlfn.AGGREGATE(15,6,ROW(DB!A$2:A$2576)/((($D$3&lt;&gt;"YES")+($D$3="YES")*(DB!E$2:E$2576="YES"))*(($D$4="")+($D$4&lt;&gt;"")*( DB!B$2:B$2576=$D$4))*(($D$5="")+($D$5&lt;&gt;"")*( DB!C$2:C$2576=$D$5))*(($D$6="")+($D$6&lt;&gt;"")*( DB!D$2:D$2576=$D$6))*(($D$7="")+($D$7&lt;&gt;"")*(ISNUMBER(SEARCH($D$7,DB!G$2:G$2576))))*(($F$7="전체")+($F$7&lt;&gt;"전체")*(DB!H$2:H$2576=$F$7))),ROW()-13)-1,"")</f>
        <v/>
      </c>
      <c r="Q2372" t="str" cm="1">
        <f t="array" ref="Q2372">IFERROR(INDEX(DB!G$2:G$2576,P2372),"")</f>
        <v/>
      </c>
      <c r="R2372" t="str" cm="1">
        <f t="array" ref="R2372">IFERROR(INDEX(DB!O$2:O$2576,P2372),"")</f>
        <v/>
      </c>
      <c r="S2372" t="str">
        <f t="shared" si="111"/>
        <v/>
      </c>
      <c r="T2372" t="str">
        <f t="shared" si="112"/>
        <v/>
      </c>
    </row>
    <row r="2373" spans="1:20" ht="100" customHeight="1">
      <c r="A2373" s="26"/>
      <c r="B2373" s="42" t="str">
        <f t="shared" si="110"/>
        <v/>
      </c>
      <c r="C2373" s="43"/>
      <c r="D2373" s="51" t="str" cm="1">
        <f t="array" ref="D2373">IFERROR(INDEX(DB!G$2:G$2576,T2373),"")</f>
        <v/>
      </c>
      <c r="E2373" s="43"/>
      <c r="F2373" s="52" t="str" cm="1">
        <f t="array" ref="F2373">IFERROR(INDEX(DB!O$2:O$2576,T2373),"")</f>
        <v/>
      </c>
      <c r="G2373" s="43"/>
      <c r="H2373" s="40" t="str" cm="1">
        <f t="array" ref="H2373">IFERROR(INDEX(DB!P$2:P$2576,T2373),"")</f>
        <v/>
      </c>
      <c r="I2373" s="43"/>
      <c r="J2373" s="53" t="str" cm="1">
        <f t="array" ref="J2373">IFERROR(INDEX(DB!Q$2:Q$2576,T2373),"")</f>
        <v/>
      </c>
      <c r="K2373" s="43"/>
      <c r="L2373" s="41" t="str" cm="1">
        <f t="array" ref="L2373">IFERROR(INDEX(DB!R$2:R$2576,T2373),"")</f>
        <v/>
      </c>
      <c r="M2373" s="43"/>
      <c r="P2373" t="str" cm="1">
        <f t="array" ref="P2373">IFERROR(_xlfn.AGGREGATE(15,6,ROW(DB!A$2:A$2576)/((($D$3&lt;&gt;"YES")+($D$3="YES")*(DB!E$2:E$2576="YES"))*(($D$4="")+($D$4&lt;&gt;"")*( DB!B$2:B$2576=$D$4))*(($D$5="")+($D$5&lt;&gt;"")*( DB!C$2:C$2576=$D$5))*(($D$6="")+($D$6&lt;&gt;"")*( DB!D$2:D$2576=$D$6))*(($D$7="")+($D$7&lt;&gt;"")*(ISNUMBER(SEARCH($D$7,DB!G$2:G$2576))))*(($F$7="전체")+($F$7&lt;&gt;"전체")*(DB!H$2:H$2576=$F$7))),ROW()-13)-1,"")</f>
        <v/>
      </c>
      <c r="Q2373" t="str" cm="1">
        <f t="array" ref="Q2373">IFERROR(INDEX(DB!G$2:G$2576,P2373),"")</f>
        <v/>
      </c>
      <c r="R2373" t="str" cm="1">
        <f t="array" ref="R2373">IFERROR(INDEX(DB!O$2:O$2576,P2373),"")</f>
        <v/>
      </c>
      <c r="S2373" t="str">
        <f t="shared" si="111"/>
        <v/>
      </c>
      <c r="T2373" t="str">
        <f t="shared" si="112"/>
        <v/>
      </c>
    </row>
    <row r="2374" spans="1:20" ht="100" customHeight="1">
      <c r="A2374" s="26"/>
      <c r="B2374" s="39" t="str">
        <f t="shared" si="110"/>
        <v/>
      </c>
      <c r="C2374" s="43"/>
      <c r="D2374" s="51" t="str" cm="1">
        <f t="array" ref="D2374">IFERROR(INDEX(DB!G$2:G$2576,T2374),"")</f>
        <v/>
      </c>
      <c r="E2374" s="43"/>
      <c r="F2374" s="52" t="str" cm="1">
        <f t="array" ref="F2374">IFERROR(INDEX(DB!O$2:O$2576,T2374),"")</f>
        <v/>
      </c>
      <c r="G2374" s="43"/>
      <c r="H2374" s="40" t="str" cm="1">
        <f t="array" ref="H2374">IFERROR(INDEX(DB!P$2:P$2576,T2374),"")</f>
        <v/>
      </c>
      <c r="I2374" s="43"/>
      <c r="J2374" s="53" t="str" cm="1">
        <f t="array" ref="J2374">IFERROR(INDEX(DB!Q$2:Q$2576,T2374),"")</f>
        <v/>
      </c>
      <c r="K2374" s="43"/>
      <c r="L2374" s="41" t="str" cm="1">
        <f t="array" ref="L2374">IFERROR(INDEX(DB!R$2:R$2576,T2374),"")</f>
        <v/>
      </c>
      <c r="M2374" s="43"/>
      <c r="P2374" t="str" cm="1">
        <f t="array" ref="P2374">IFERROR(_xlfn.AGGREGATE(15,6,ROW(DB!A$2:A$2576)/((($D$3&lt;&gt;"YES")+($D$3="YES")*(DB!E$2:E$2576="YES"))*(($D$4="")+($D$4&lt;&gt;"")*( DB!B$2:B$2576=$D$4))*(($D$5="")+($D$5&lt;&gt;"")*( DB!C$2:C$2576=$D$5))*(($D$6="")+($D$6&lt;&gt;"")*( DB!D$2:D$2576=$D$6))*(($D$7="")+($D$7&lt;&gt;"")*(ISNUMBER(SEARCH($D$7,DB!G$2:G$2576))))*(($F$7="전체")+($F$7&lt;&gt;"전체")*(DB!H$2:H$2576=$F$7))),ROW()-13)-1,"")</f>
        <v/>
      </c>
      <c r="Q2374" t="str" cm="1">
        <f t="array" ref="Q2374">IFERROR(INDEX(DB!G$2:G$2576,P2374),"")</f>
        <v/>
      </c>
      <c r="R2374" t="str" cm="1">
        <f t="array" ref="R2374">IFERROR(INDEX(DB!O$2:O$2576,P2374),"")</f>
        <v/>
      </c>
      <c r="S2374" t="str">
        <f t="shared" si="111"/>
        <v/>
      </c>
      <c r="T2374" t="str">
        <f t="shared" si="112"/>
        <v/>
      </c>
    </row>
    <row r="2375" spans="1:20" ht="100" customHeight="1">
      <c r="A2375" s="26"/>
      <c r="B2375" s="42" t="str">
        <f t="shared" si="110"/>
        <v/>
      </c>
      <c r="C2375" s="43"/>
      <c r="D2375" s="51" t="str" cm="1">
        <f t="array" ref="D2375">IFERROR(INDEX(DB!G$2:G$2576,T2375),"")</f>
        <v/>
      </c>
      <c r="E2375" s="43"/>
      <c r="F2375" s="52" t="str" cm="1">
        <f t="array" ref="F2375">IFERROR(INDEX(DB!O$2:O$2576,T2375),"")</f>
        <v/>
      </c>
      <c r="G2375" s="43"/>
      <c r="H2375" s="40" t="str" cm="1">
        <f t="array" ref="H2375">IFERROR(INDEX(DB!P$2:P$2576,T2375),"")</f>
        <v/>
      </c>
      <c r="I2375" s="43"/>
      <c r="J2375" s="53" t="str" cm="1">
        <f t="array" ref="J2375">IFERROR(INDEX(DB!Q$2:Q$2576,T2375),"")</f>
        <v/>
      </c>
      <c r="K2375" s="43"/>
      <c r="L2375" s="41" t="str" cm="1">
        <f t="array" ref="L2375">IFERROR(INDEX(DB!R$2:R$2576,T2375),"")</f>
        <v/>
      </c>
      <c r="M2375" s="43"/>
      <c r="P2375" t="str" cm="1">
        <f t="array" ref="P2375">IFERROR(_xlfn.AGGREGATE(15,6,ROW(DB!A$2:A$2576)/((($D$3&lt;&gt;"YES")+($D$3="YES")*(DB!E$2:E$2576="YES"))*(($D$4="")+($D$4&lt;&gt;"")*( DB!B$2:B$2576=$D$4))*(($D$5="")+($D$5&lt;&gt;"")*( DB!C$2:C$2576=$D$5))*(($D$6="")+($D$6&lt;&gt;"")*( DB!D$2:D$2576=$D$6))*(($D$7="")+($D$7&lt;&gt;"")*(ISNUMBER(SEARCH($D$7,DB!G$2:G$2576))))*(($F$7="전체")+($F$7&lt;&gt;"전체")*(DB!H$2:H$2576=$F$7))),ROW()-13)-1,"")</f>
        <v/>
      </c>
      <c r="Q2375" t="str" cm="1">
        <f t="array" ref="Q2375">IFERROR(INDEX(DB!G$2:G$2576,P2375),"")</f>
        <v/>
      </c>
      <c r="R2375" t="str" cm="1">
        <f t="array" ref="R2375">IFERROR(INDEX(DB!O$2:O$2576,P2375),"")</f>
        <v/>
      </c>
      <c r="S2375" t="str">
        <f t="shared" si="111"/>
        <v/>
      </c>
      <c r="T2375" t="str">
        <f t="shared" si="112"/>
        <v/>
      </c>
    </row>
    <row r="2376" spans="1:20" ht="100" customHeight="1">
      <c r="A2376" s="26"/>
      <c r="B2376" s="39" t="str">
        <f t="shared" si="110"/>
        <v/>
      </c>
      <c r="C2376" s="43"/>
      <c r="D2376" s="51" t="str" cm="1">
        <f t="array" ref="D2376">IFERROR(INDEX(DB!G$2:G$2576,T2376),"")</f>
        <v/>
      </c>
      <c r="E2376" s="43"/>
      <c r="F2376" s="52" t="str" cm="1">
        <f t="array" ref="F2376">IFERROR(INDEX(DB!O$2:O$2576,T2376),"")</f>
        <v/>
      </c>
      <c r="G2376" s="43"/>
      <c r="H2376" s="40" t="str" cm="1">
        <f t="array" ref="H2376">IFERROR(INDEX(DB!P$2:P$2576,T2376),"")</f>
        <v/>
      </c>
      <c r="I2376" s="43"/>
      <c r="J2376" s="53" t="str" cm="1">
        <f t="array" ref="J2376">IFERROR(INDEX(DB!Q$2:Q$2576,T2376),"")</f>
        <v/>
      </c>
      <c r="K2376" s="43"/>
      <c r="L2376" s="41" t="str" cm="1">
        <f t="array" ref="L2376">IFERROR(INDEX(DB!R$2:R$2576,T2376),"")</f>
        <v/>
      </c>
      <c r="M2376" s="43"/>
      <c r="P2376" t="str" cm="1">
        <f t="array" ref="P2376">IFERROR(_xlfn.AGGREGATE(15,6,ROW(DB!A$2:A$2576)/((($D$3&lt;&gt;"YES")+($D$3="YES")*(DB!E$2:E$2576="YES"))*(($D$4="")+($D$4&lt;&gt;"")*( DB!B$2:B$2576=$D$4))*(($D$5="")+($D$5&lt;&gt;"")*( DB!C$2:C$2576=$D$5))*(($D$6="")+($D$6&lt;&gt;"")*( DB!D$2:D$2576=$D$6))*(($D$7="")+($D$7&lt;&gt;"")*(ISNUMBER(SEARCH($D$7,DB!G$2:G$2576))))*(($F$7="전체")+($F$7&lt;&gt;"전체")*(DB!H$2:H$2576=$F$7))),ROW()-13)-1,"")</f>
        <v/>
      </c>
      <c r="Q2376" t="str" cm="1">
        <f t="array" ref="Q2376">IFERROR(INDEX(DB!G$2:G$2576,P2376),"")</f>
        <v/>
      </c>
      <c r="R2376" t="str" cm="1">
        <f t="array" ref="R2376">IFERROR(INDEX(DB!O$2:O$2576,P2376),"")</f>
        <v/>
      </c>
      <c r="S2376" t="str">
        <f t="shared" si="111"/>
        <v/>
      </c>
      <c r="T2376" t="str">
        <f t="shared" si="112"/>
        <v/>
      </c>
    </row>
    <row r="2377" spans="1:20" ht="100" customHeight="1">
      <c r="A2377" s="26"/>
      <c r="B2377" s="42" t="str">
        <f t="shared" si="110"/>
        <v/>
      </c>
      <c r="C2377" s="43"/>
      <c r="D2377" s="51" t="str" cm="1">
        <f t="array" ref="D2377">IFERROR(INDEX(DB!G$2:G$2576,T2377),"")</f>
        <v/>
      </c>
      <c r="E2377" s="43"/>
      <c r="F2377" s="52" t="str" cm="1">
        <f t="array" ref="F2377">IFERROR(INDEX(DB!O$2:O$2576,T2377),"")</f>
        <v/>
      </c>
      <c r="G2377" s="43"/>
      <c r="H2377" s="40" t="str" cm="1">
        <f t="array" ref="H2377">IFERROR(INDEX(DB!P$2:P$2576,T2377),"")</f>
        <v/>
      </c>
      <c r="I2377" s="43"/>
      <c r="J2377" s="53" t="str" cm="1">
        <f t="array" ref="J2377">IFERROR(INDEX(DB!Q$2:Q$2576,T2377),"")</f>
        <v/>
      </c>
      <c r="K2377" s="43"/>
      <c r="L2377" s="41" t="str" cm="1">
        <f t="array" ref="L2377">IFERROR(INDEX(DB!R$2:R$2576,T2377),"")</f>
        <v/>
      </c>
      <c r="M2377" s="43"/>
      <c r="P2377" t="str" cm="1">
        <f t="array" ref="P2377">IFERROR(_xlfn.AGGREGATE(15,6,ROW(DB!A$2:A$2576)/((($D$3&lt;&gt;"YES")+($D$3="YES")*(DB!E$2:E$2576="YES"))*(($D$4="")+($D$4&lt;&gt;"")*( DB!B$2:B$2576=$D$4))*(($D$5="")+($D$5&lt;&gt;"")*( DB!C$2:C$2576=$D$5))*(($D$6="")+($D$6&lt;&gt;"")*( DB!D$2:D$2576=$D$6))*(($D$7="")+($D$7&lt;&gt;"")*(ISNUMBER(SEARCH($D$7,DB!G$2:G$2576))))*(($F$7="전체")+($F$7&lt;&gt;"전체")*(DB!H$2:H$2576=$F$7))),ROW()-13)-1,"")</f>
        <v/>
      </c>
      <c r="Q2377" t="str" cm="1">
        <f t="array" ref="Q2377">IFERROR(INDEX(DB!G$2:G$2576,P2377),"")</f>
        <v/>
      </c>
      <c r="R2377" t="str" cm="1">
        <f t="array" ref="R2377">IFERROR(INDEX(DB!O$2:O$2576,P2377),"")</f>
        <v/>
      </c>
      <c r="S2377" t="str">
        <f t="shared" si="111"/>
        <v/>
      </c>
      <c r="T2377" t="str">
        <f t="shared" si="112"/>
        <v/>
      </c>
    </row>
    <row r="2378" spans="1:20" ht="100" customHeight="1">
      <c r="A2378" s="26"/>
      <c r="B2378" s="39" t="str">
        <f t="shared" si="110"/>
        <v/>
      </c>
      <c r="C2378" s="43"/>
      <c r="D2378" s="51" t="str" cm="1">
        <f t="array" ref="D2378">IFERROR(INDEX(DB!G$2:G$2576,T2378),"")</f>
        <v/>
      </c>
      <c r="E2378" s="43"/>
      <c r="F2378" s="52" t="str" cm="1">
        <f t="array" ref="F2378">IFERROR(INDEX(DB!O$2:O$2576,T2378),"")</f>
        <v/>
      </c>
      <c r="G2378" s="43"/>
      <c r="H2378" s="40" t="str" cm="1">
        <f t="array" ref="H2378">IFERROR(INDEX(DB!P$2:P$2576,T2378),"")</f>
        <v/>
      </c>
      <c r="I2378" s="43"/>
      <c r="J2378" s="53" t="str" cm="1">
        <f t="array" ref="J2378">IFERROR(INDEX(DB!Q$2:Q$2576,T2378),"")</f>
        <v/>
      </c>
      <c r="K2378" s="43"/>
      <c r="L2378" s="41" t="str" cm="1">
        <f t="array" ref="L2378">IFERROR(INDEX(DB!R$2:R$2576,T2378),"")</f>
        <v/>
      </c>
      <c r="M2378" s="43"/>
      <c r="P2378" t="str" cm="1">
        <f t="array" ref="P2378">IFERROR(_xlfn.AGGREGATE(15,6,ROW(DB!A$2:A$2576)/((($D$3&lt;&gt;"YES")+($D$3="YES")*(DB!E$2:E$2576="YES"))*(($D$4="")+($D$4&lt;&gt;"")*( DB!B$2:B$2576=$D$4))*(($D$5="")+($D$5&lt;&gt;"")*( DB!C$2:C$2576=$D$5))*(($D$6="")+($D$6&lt;&gt;"")*( DB!D$2:D$2576=$D$6))*(($D$7="")+($D$7&lt;&gt;"")*(ISNUMBER(SEARCH($D$7,DB!G$2:G$2576))))*(($F$7="전체")+($F$7&lt;&gt;"전체")*(DB!H$2:H$2576=$F$7))),ROW()-13)-1,"")</f>
        <v/>
      </c>
      <c r="Q2378" t="str" cm="1">
        <f t="array" ref="Q2378">IFERROR(INDEX(DB!G$2:G$2576,P2378),"")</f>
        <v/>
      </c>
      <c r="R2378" t="str" cm="1">
        <f t="array" ref="R2378">IFERROR(INDEX(DB!O$2:O$2576,P2378),"")</f>
        <v/>
      </c>
      <c r="S2378" t="str">
        <f t="shared" si="111"/>
        <v/>
      </c>
      <c r="T2378" t="str">
        <f t="shared" si="112"/>
        <v/>
      </c>
    </row>
    <row r="2379" spans="1:20" ht="100" customHeight="1">
      <c r="A2379" s="26"/>
      <c r="B2379" s="42" t="str">
        <f t="shared" si="110"/>
        <v/>
      </c>
      <c r="C2379" s="43"/>
      <c r="D2379" s="51" t="str" cm="1">
        <f t="array" ref="D2379">IFERROR(INDEX(DB!G$2:G$2576,T2379),"")</f>
        <v/>
      </c>
      <c r="E2379" s="43"/>
      <c r="F2379" s="52" t="str" cm="1">
        <f t="array" ref="F2379">IFERROR(INDEX(DB!O$2:O$2576,T2379),"")</f>
        <v/>
      </c>
      <c r="G2379" s="43"/>
      <c r="H2379" s="40" t="str" cm="1">
        <f t="array" ref="H2379">IFERROR(INDEX(DB!P$2:P$2576,T2379),"")</f>
        <v/>
      </c>
      <c r="I2379" s="43"/>
      <c r="J2379" s="53" t="str" cm="1">
        <f t="array" ref="J2379">IFERROR(INDEX(DB!Q$2:Q$2576,T2379),"")</f>
        <v/>
      </c>
      <c r="K2379" s="43"/>
      <c r="L2379" s="41" t="str" cm="1">
        <f t="array" ref="L2379">IFERROR(INDEX(DB!R$2:R$2576,T2379),"")</f>
        <v/>
      </c>
      <c r="M2379" s="43"/>
      <c r="P2379" t="str" cm="1">
        <f t="array" ref="P2379">IFERROR(_xlfn.AGGREGATE(15,6,ROW(DB!A$2:A$2576)/((($D$3&lt;&gt;"YES")+($D$3="YES")*(DB!E$2:E$2576="YES"))*(($D$4="")+($D$4&lt;&gt;"")*( DB!B$2:B$2576=$D$4))*(($D$5="")+($D$5&lt;&gt;"")*( DB!C$2:C$2576=$D$5))*(($D$6="")+($D$6&lt;&gt;"")*( DB!D$2:D$2576=$D$6))*(($D$7="")+($D$7&lt;&gt;"")*(ISNUMBER(SEARCH($D$7,DB!G$2:G$2576))))*(($F$7="전체")+($F$7&lt;&gt;"전체")*(DB!H$2:H$2576=$F$7))),ROW()-13)-1,"")</f>
        <v/>
      </c>
      <c r="Q2379" t="str" cm="1">
        <f t="array" ref="Q2379">IFERROR(INDEX(DB!G$2:G$2576,P2379),"")</f>
        <v/>
      </c>
      <c r="R2379" t="str" cm="1">
        <f t="array" ref="R2379">IFERROR(INDEX(DB!O$2:O$2576,P2379),"")</f>
        <v/>
      </c>
      <c r="S2379" t="str">
        <f t="shared" si="111"/>
        <v/>
      </c>
      <c r="T2379" t="str">
        <f t="shared" si="112"/>
        <v/>
      </c>
    </row>
    <row r="2380" spans="1:20" ht="100" customHeight="1">
      <c r="A2380" s="26"/>
      <c r="B2380" s="39" t="str">
        <f t="shared" si="110"/>
        <v/>
      </c>
      <c r="C2380" s="43"/>
      <c r="D2380" s="51" t="str" cm="1">
        <f t="array" ref="D2380">IFERROR(INDEX(DB!G$2:G$2576,T2380),"")</f>
        <v/>
      </c>
      <c r="E2380" s="43"/>
      <c r="F2380" s="52" t="str" cm="1">
        <f t="array" ref="F2380">IFERROR(INDEX(DB!O$2:O$2576,T2380),"")</f>
        <v/>
      </c>
      <c r="G2380" s="43"/>
      <c r="H2380" s="40" t="str" cm="1">
        <f t="array" ref="H2380">IFERROR(INDEX(DB!P$2:P$2576,T2380),"")</f>
        <v/>
      </c>
      <c r="I2380" s="43"/>
      <c r="J2380" s="53" t="str" cm="1">
        <f t="array" ref="J2380">IFERROR(INDEX(DB!Q$2:Q$2576,T2380),"")</f>
        <v/>
      </c>
      <c r="K2380" s="43"/>
      <c r="L2380" s="41" t="str" cm="1">
        <f t="array" ref="L2380">IFERROR(INDEX(DB!R$2:R$2576,T2380),"")</f>
        <v/>
      </c>
      <c r="M2380" s="43"/>
      <c r="P2380" t="str" cm="1">
        <f t="array" ref="P2380">IFERROR(_xlfn.AGGREGATE(15,6,ROW(DB!A$2:A$2576)/((($D$3&lt;&gt;"YES")+($D$3="YES")*(DB!E$2:E$2576="YES"))*(($D$4="")+($D$4&lt;&gt;"")*( DB!B$2:B$2576=$D$4))*(($D$5="")+($D$5&lt;&gt;"")*( DB!C$2:C$2576=$D$5))*(($D$6="")+($D$6&lt;&gt;"")*( DB!D$2:D$2576=$D$6))*(($D$7="")+($D$7&lt;&gt;"")*(ISNUMBER(SEARCH($D$7,DB!G$2:G$2576))))*(($F$7="전체")+($F$7&lt;&gt;"전체")*(DB!H$2:H$2576=$F$7))),ROW()-13)-1,"")</f>
        <v/>
      </c>
      <c r="Q2380" t="str" cm="1">
        <f t="array" ref="Q2380">IFERROR(INDEX(DB!G$2:G$2576,P2380),"")</f>
        <v/>
      </c>
      <c r="R2380" t="str" cm="1">
        <f t="array" ref="R2380">IFERROR(INDEX(DB!O$2:O$2576,P2380),"")</f>
        <v/>
      </c>
      <c r="S2380" t="str">
        <f t="shared" si="111"/>
        <v/>
      </c>
      <c r="T2380" t="str">
        <f t="shared" si="112"/>
        <v/>
      </c>
    </row>
    <row r="2381" spans="1:20" ht="100" customHeight="1">
      <c r="A2381" s="26"/>
      <c r="B2381" s="42" t="str">
        <f t="shared" si="110"/>
        <v/>
      </c>
      <c r="C2381" s="43"/>
      <c r="D2381" s="51" t="str" cm="1">
        <f t="array" ref="D2381">IFERROR(INDEX(DB!G$2:G$2576,T2381),"")</f>
        <v/>
      </c>
      <c r="E2381" s="43"/>
      <c r="F2381" s="52" t="str" cm="1">
        <f t="array" ref="F2381">IFERROR(INDEX(DB!O$2:O$2576,T2381),"")</f>
        <v/>
      </c>
      <c r="G2381" s="43"/>
      <c r="H2381" s="40" t="str" cm="1">
        <f t="array" ref="H2381">IFERROR(INDEX(DB!P$2:P$2576,T2381),"")</f>
        <v/>
      </c>
      <c r="I2381" s="43"/>
      <c r="J2381" s="53" t="str" cm="1">
        <f t="array" ref="J2381">IFERROR(INDEX(DB!Q$2:Q$2576,T2381),"")</f>
        <v/>
      </c>
      <c r="K2381" s="43"/>
      <c r="L2381" s="41" t="str" cm="1">
        <f t="array" ref="L2381">IFERROR(INDEX(DB!R$2:R$2576,T2381),"")</f>
        <v/>
      </c>
      <c r="M2381" s="43"/>
      <c r="P2381" t="str" cm="1">
        <f t="array" ref="P2381">IFERROR(_xlfn.AGGREGATE(15,6,ROW(DB!A$2:A$2576)/((($D$3&lt;&gt;"YES")+($D$3="YES")*(DB!E$2:E$2576="YES"))*(($D$4="")+($D$4&lt;&gt;"")*( DB!B$2:B$2576=$D$4))*(($D$5="")+($D$5&lt;&gt;"")*( DB!C$2:C$2576=$D$5))*(($D$6="")+($D$6&lt;&gt;"")*( DB!D$2:D$2576=$D$6))*(($D$7="")+($D$7&lt;&gt;"")*(ISNUMBER(SEARCH($D$7,DB!G$2:G$2576))))*(($F$7="전체")+($F$7&lt;&gt;"전체")*(DB!H$2:H$2576=$F$7))),ROW()-13)-1,"")</f>
        <v/>
      </c>
      <c r="Q2381" t="str" cm="1">
        <f t="array" ref="Q2381">IFERROR(INDEX(DB!G$2:G$2576,P2381),"")</f>
        <v/>
      </c>
      <c r="R2381" t="str" cm="1">
        <f t="array" ref="R2381">IFERROR(INDEX(DB!O$2:O$2576,P2381),"")</f>
        <v/>
      </c>
      <c r="S2381" t="str">
        <f t="shared" si="111"/>
        <v/>
      </c>
      <c r="T2381" t="str">
        <f t="shared" si="112"/>
        <v/>
      </c>
    </row>
    <row r="2382" spans="1:20" ht="100" customHeight="1">
      <c r="A2382" s="26"/>
      <c r="B2382" s="39" t="str">
        <f t="shared" si="110"/>
        <v/>
      </c>
      <c r="C2382" s="43"/>
      <c r="D2382" s="51" t="str" cm="1">
        <f t="array" ref="D2382">IFERROR(INDEX(DB!G$2:G$2576,T2382),"")</f>
        <v/>
      </c>
      <c r="E2382" s="43"/>
      <c r="F2382" s="52" t="str" cm="1">
        <f t="array" ref="F2382">IFERROR(INDEX(DB!O$2:O$2576,T2382),"")</f>
        <v/>
      </c>
      <c r="G2382" s="43"/>
      <c r="H2382" s="40" t="str" cm="1">
        <f t="array" ref="H2382">IFERROR(INDEX(DB!P$2:P$2576,T2382),"")</f>
        <v/>
      </c>
      <c r="I2382" s="43"/>
      <c r="J2382" s="53" t="str" cm="1">
        <f t="array" ref="J2382">IFERROR(INDEX(DB!Q$2:Q$2576,T2382),"")</f>
        <v/>
      </c>
      <c r="K2382" s="43"/>
      <c r="L2382" s="41" t="str" cm="1">
        <f t="array" ref="L2382">IFERROR(INDEX(DB!R$2:R$2576,T2382),"")</f>
        <v/>
      </c>
      <c r="M2382" s="43"/>
      <c r="P2382" t="str" cm="1">
        <f t="array" ref="P2382">IFERROR(_xlfn.AGGREGATE(15,6,ROW(DB!A$2:A$2576)/((($D$3&lt;&gt;"YES")+($D$3="YES")*(DB!E$2:E$2576="YES"))*(($D$4="")+($D$4&lt;&gt;"")*( DB!B$2:B$2576=$D$4))*(($D$5="")+($D$5&lt;&gt;"")*( DB!C$2:C$2576=$D$5))*(($D$6="")+($D$6&lt;&gt;"")*( DB!D$2:D$2576=$D$6))*(($D$7="")+($D$7&lt;&gt;"")*(ISNUMBER(SEARCH($D$7,DB!G$2:G$2576))))*(($F$7="전체")+($F$7&lt;&gt;"전체")*(DB!H$2:H$2576=$F$7))),ROW()-13)-1,"")</f>
        <v/>
      </c>
      <c r="Q2382" t="str" cm="1">
        <f t="array" ref="Q2382">IFERROR(INDEX(DB!G$2:G$2576,P2382),"")</f>
        <v/>
      </c>
      <c r="R2382" t="str" cm="1">
        <f t="array" ref="R2382">IFERROR(INDEX(DB!O$2:O$2576,P2382),"")</f>
        <v/>
      </c>
      <c r="S2382" t="str">
        <f t="shared" si="111"/>
        <v/>
      </c>
      <c r="T2382" t="str">
        <f t="shared" si="112"/>
        <v/>
      </c>
    </row>
    <row r="2383" spans="1:20" ht="100" customHeight="1">
      <c r="A2383" s="26"/>
      <c r="B2383" s="42" t="str">
        <f t="shared" ref="B2383:B2446" si="113">IFERROR(IF(T2383="","",ROW()-13),"")</f>
        <v/>
      </c>
      <c r="C2383" s="43"/>
      <c r="D2383" s="51" t="str" cm="1">
        <f t="array" ref="D2383">IFERROR(INDEX(DB!G$2:G$2576,T2383),"")</f>
        <v/>
      </c>
      <c r="E2383" s="43"/>
      <c r="F2383" s="52" t="str" cm="1">
        <f t="array" ref="F2383">IFERROR(INDEX(DB!O$2:O$2576,T2383),"")</f>
        <v/>
      </c>
      <c r="G2383" s="43"/>
      <c r="H2383" s="40" t="str" cm="1">
        <f t="array" ref="H2383">IFERROR(INDEX(DB!P$2:P$2576,T2383),"")</f>
        <v/>
      </c>
      <c r="I2383" s="43"/>
      <c r="J2383" s="53" t="str" cm="1">
        <f t="array" ref="J2383">IFERROR(INDEX(DB!Q$2:Q$2576,T2383),"")</f>
        <v/>
      </c>
      <c r="K2383" s="43"/>
      <c r="L2383" s="41" t="str" cm="1">
        <f t="array" ref="L2383">IFERROR(INDEX(DB!R$2:R$2576,T2383),"")</f>
        <v/>
      </c>
      <c r="M2383" s="43"/>
      <c r="P2383" t="str" cm="1">
        <f t="array" ref="P2383">IFERROR(_xlfn.AGGREGATE(15,6,ROW(DB!A$2:A$2576)/((($D$3&lt;&gt;"YES")+($D$3="YES")*(DB!E$2:E$2576="YES"))*(($D$4="")+($D$4&lt;&gt;"")*( DB!B$2:B$2576=$D$4))*(($D$5="")+($D$5&lt;&gt;"")*( DB!C$2:C$2576=$D$5))*(($D$6="")+($D$6&lt;&gt;"")*( DB!D$2:D$2576=$D$6))*(($D$7="")+($D$7&lt;&gt;"")*(ISNUMBER(SEARCH($D$7,DB!G$2:G$2576))))*(($F$7="전체")+($F$7&lt;&gt;"전체")*(DB!H$2:H$2576=$F$7))),ROW()-13)-1,"")</f>
        <v/>
      </c>
      <c r="Q2383" t="str" cm="1">
        <f t="array" ref="Q2383">IFERROR(INDEX(DB!G$2:G$2576,P2383),"")</f>
        <v/>
      </c>
      <c r="R2383" t="str" cm="1">
        <f t="array" ref="R2383">IFERROR(INDEX(DB!O$2:O$2576,P2383),"")</f>
        <v/>
      </c>
      <c r="S2383" t="str">
        <f t="shared" ref="S2383:S2446" si="114">IF(P2383="","",COUNTIF($Q$14:$Q$2587,"&lt;"&amp;Q2383)*100+COUNTIF($R$14:$R$2587,"&lt;"&amp;R2383)+(ROW()-13)*0.001)</f>
        <v/>
      </c>
      <c r="T2383" t="str">
        <f t="shared" ref="T2383:T2446" si="115">IFERROR(INDEX($P$14:$P$2587,MATCH(SMALL($S$14:$S$2587,ROW()-13),$S$14:$S$2587,0)),"")</f>
        <v/>
      </c>
    </row>
    <row r="2384" spans="1:20" ht="100" customHeight="1">
      <c r="A2384" s="26"/>
      <c r="B2384" s="39" t="str">
        <f t="shared" si="113"/>
        <v/>
      </c>
      <c r="C2384" s="43"/>
      <c r="D2384" s="51" t="str" cm="1">
        <f t="array" ref="D2384">IFERROR(INDEX(DB!G$2:G$2576,T2384),"")</f>
        <v/>
      </c>
      <c r="E2384" s="43"/>
      <c r="F2384" s="52" t="str" cm="1">
        <f t="array" ref="F2384">IFERROR(INDEX(DB!O$2:O$2576,T2384),"")</f>
        <v/>
      </c>
      <c r="G2384" s="43"/>
      <c r="H2384" s="40" t="str" cm="1">
        <f t="array" ref="H2384">IFERROR(INDEX(DB!P$2:P$2576,T2384),"")</f>
        <v/>
      </c>
      <c r="I2384" s="43"/>
      <c r="J2384" s="53" t="str" cm="1">
        <f t="array" ref="J2384">IFERROR(INDEX(DB!Q$2:Q$2576,T2384),"")</f>
        <v/>
      </c>
      <c r="K2384" s="43"/>
      <c r="L2384" s="41" t="str" cm="1">
        <f t="array" ref="L2384">IFERROR(INDEX(DB!R$2:R$2576,T2384),"")</f>
        <v/>
      </c>
      <c r="M2384" s="43"/>
      <c r="P2384" t="str" cm="1">
        <f t="array" ref="P2384">IFERROR(_xlfn.AGGREGATE(15,6,ROW(DB!A$2:A$2576)/((($D$3&lt;&gt;"YES")+($D$3="YES")*(DB!E$2:E$2576="YES"))*(($D$4="")+($D$4&lt;&gt;"")*( DB!B$2:B$2576=$D$4))*(($D$5="")+($D$5&lt;&gt;"")*( DB!C$2:C$2576=$D$5))*(($D$6="")+($D$6&lt;&gt;"")*( DB!D$2:D$2576=$D$6))*(($D$7="")+($D$7&lt;&gt;"")*(ISNUMBER(SEARCH($D$7,DB!G$2:G$2576))))*(($F$7="전체")+($F$7&lt;&gt;"전체")*(DB!H$2:H$2576=$F$7))),ROW()-13)-1,"")</f>
        <v/>
      </c>
      <c r="Q2384" t="str" cm="1">
        <f t="array" ref="Q2384">IFERROR(INDEX(DB!G$2:G$2576,P2384),"")</f>
        <v/>
      </c>
      <c r="R2384" t="str" cm="1">
        <f t="array" ref="R2384">IFERROR(INDEX(DB!O$2:O$2576,P2384),"")</f>
        <v/>
      </c>
      <c r="S2384" t="str">
        <f t="shared" si="114"/>
        <v/>
      </c>
      <c r="T2384" t="str">
        <f t="shared" si="115"/>
        <v/>
      </c>
    </row>
    <row r="2385" spans="1:20" ht="100" customHeight="1">
      <c r="A2385" s="26"/>
      <c r="B2385" s="42" t="str">
        <f t="shared" si="113"/>
        <v/>
      </c>
      <c r="C2385" s="43"/>
      <c r="D2385" s="51" t="str" cm="1">
        <f t="array" ref="D2385">IFERROR(INDEX(DB!G$2:G$2576,T2385),"")</f>
        <v/>
      </c>
      <c r="E2385" s="43"/>
      <c r="F2385" s="52" t="str" cm="1">
        <f t="array" ref="F2385">IFERROR(INDEX(DB!O$2:O$2576,T2385),"")</f>
        <v/>
      </c>
      <c r="G2385" s="43"/>
      <c r="H2385" s="40" t="str" cm="1">
        <f t="array" ref="H2385">IFERROR(INDEX(DB!P$2:P$2576,T2385),"")</f>
        <v/>
      </c>
      <c r="I2385" s="43"/>
      <c r="J2385" s="53" t="str" cm="1">
        <f t="array" ref="J2385">IFERROR(INDEX(DB!Q$2:Q$2576,T2385),"")</f>
        <v/>
      </c>
      <c r="K2385" s="43"/>
      <c r="L2385" s="41" t="str" cm="1">
        <f t="array" ref="L2385">IFERROR(INDEX(DB!R$2:R$2576,T2385),"")</f>
        <v/>
      </c>
      <c r="M2385" s="43"/>
      <c r="P2385" t="str" cm="1">
        <f t="array" ref="P2385">IFERROR(_xlfn.AGGREGATE(15,6,ROW(DB!A$2:A$2576)/((($D$3&lt;&gt;"YES")+($D$3="YES")*(DB!E$2:E$2576="YES"))*(($D$4="")+($D$4&lt;&gt;"")*( DB!B$2:B$2576=$D$4))*(($D$5="")+($D$5&lt;&gt;"")*( DB!C$2:C$2576=$D$5))*(($D$6="")+($D$6&lt;&gt;"")*( DB!D$2:D$2576=$D$6))*(($D$7="")+($D$7&lt;&gt;"")*(ISNUMBER(SEARCH($D$7,DB!G$2:G$2576))))*(($F$7="전체")+($F$7&lt;&gt;"전체")*(DB!H$2:H$2576=$F$7))),ROW()-13)-1,"")</f>
        <v/>
      </c>
      <c r="Q2385" t="str" cm="1">
        <f t="array" ref="Q2385">IFERROR(INDEX(DB!G$2:G$2576,P2385),"")</f>
        <v/>
      </c>
      <c r="R2385" t="str" cm="1">
        <f t="array" ref="R2385">IFERROR(INDEX(DB!O$2:O$2576,P2385),"")</f>
        <v/>
      </c>
      <c r="S2385" t="str">
        <f t="shared" si="114"/>
        <v/>
      </c>
      <c r="T2385" t="str">
        <f t="shared" si="115"/>
        <v/>
      </c>
    </row>
    <row r="2386" spans="1:20" ht="100" customHeight="1">
      <c r="A2386" s="26"/>
      <c r="B2386" s="39" t="str">
        <f t="shared" si="113"/>
        <v/>
      </c>
      <c r="C2386" s="43"/>
      <c r="D2386" s="51" t="str" cm="1">
        <f t="array" ref="D2386">IFERROR(INDEX(DB!G$2:G$2576,T2386),"")</f>
        <v/>
      </c>
      <c r="E2386" s="43"/>
      <c r="F2386" s="52" t="str" cm="1">
        <f t="array" ref="F2386">IFERROR(INDEX(DB!O$2:O$2576,T2386),"")</f>
        <v/>
      </c>
      <c r="G2386" s="43"/>
      <c r="H2386" s="40" t="str" cm="1">
        <f t="array" ref="H2386">IFERROR(INDEX(DB!P$2:P$2576,T2386),"")</f>
        <v/>
      </c>
      <c r="I2386" s="43"/>
      <c r="J2386" s="53" t="str" cm="1">
        <f t="array" ref="J2386">IFERROR(INDEX(DB!Q$2:Q$2576,T2386),"")</f>
        <v/>
      </c>
      <c r="K2386" s="43"/>
      <c r="L2386" s="41" t="str" cm="1">
        <f t="array" ref="L2386">IFERROR(INDEX(DB!R$2:R$2576,T2386),"")</f>
        <v/>
      </c>
      <c r="M2386" s="43"/>
      <c r="P2386" t="str" cm="1">
        <f t="array" ref="P2386">IFERROR(_xlfn.AGGREGATE(15,6,ROW(DB!A$2:A$2576)/((($D$3&lt;&gt;"YES")+($D$3="YES")*(DB!E$2:E$2576="YES"))*(($D$4="")+($D$4&lt;&gt;"")*( DB!B$2:B$2576=$D$4))*(($D$5="")+($D$5&lt;&gt;"")*( DB!C$2:C$2576=$D$5))*(($D$6="")+($D$6&lt;&gt;"")*( DB!D$2:D$2576=$D$6))*(($D$7="")+($D$7&lt;&gt;"")*(ISNUMBER(SEARCH($D$7,DB!G$2:G$2576))))*(($F$7="전체")+($F$7&lt;&gt;"전체")*(DB!H$2:H$2576=$F$7))),ROW()-13)-1,"")</f>
        <v/>
      </c>
      <c r="Q2386" t="str" cm="1">
        <f t="array" ref="Q2386">IFERROR(INDEX(DB!G$2:G$2576,P2386),"")</f>
        <v/>
      </c>
      <c r="R2386" t="str" cm="1">
        <f t="array" ref="R2386">IFERROR(INDEX(DB!O$2:O$2576,P2386),"")</f>
        <v/>
      </c>
      <c r="S2386" t="str">
        <f t="shared" si="114"/>
        <v/>
      </c>
      <c r="T2386" t="str">
        <f t="shared" si="115"/>
        <v/>
      </c>
    </row>
    <row r="2387" spans="1:20" ht="100" customHeight="1">
      <c r="A2387" s="26"/>
      <c r="B2387" s="42" t="str">
        <f t="shared" si="113"/>
        <v/>
      </c>
      <c r="C2387" s="43"/>
      <c r="D2387" s="51" t="str" cm="1">
        <f t="array" ref="D2387">IFERROR(INDEX(DB!G$2:G$2576,T2387),"")</f>
        <v/>
      </c>
      <c r="E2387" s="43"/>
      <c r="F2387" s="52" t="str" cm="1">
        <f t="array" ref="F2387">IFERROR(INDEX(DB!O$2:O$2576,T2387),"")</f>
        <v/>
      </c>
      <c r="G2387" s="43"/>
      <c r="H2387" s="40" t="str" cm="1">
        <f t="array" ref="H2387">IFERROR(INDEX(DB!P$2:P$2576,T2387),"")</f>
        <v/>
      </c>
      <c r="I2387" s="43"/>
      <c r="J2387" s="53" t="str" cm="1">
        <f t="array" ref="J2387">IFERROR(INDEX(DB!Q$2:Q$2576,T2387),"")</f>
        <v/>
      </c>
      <c r="K2387" s="43"/>
      <c r="L2387" s="41" t="str" cm="1">
        <f t="array" ref="L2387">IFERROR(INDEX(DB!R$2:R$2576,T2387),"")</f>
        <v/>
      </c>
      <c r="M2387" s="43"/>
      <c r="P2387" t="str" cm="1">
        <f t="array" ref="P2387">IFERROR(_xlfn.AGGREGATE(15,6,ROW(DB!A$2:A$2576)/((($D$3&lt;&gt;"YES")+($D$3="YES")*(DB!E$2:E$2576="YES"))*(($D$4="")+($D$4&lt;&gt;"")*( DB!B$2:B$2576=$D$4))*(($D$5="")+($D$5&lt;&gt;"")*( DB!C$2:C$2576=$D$5))*(($D$6="")+($D$6&lt;&gt;"")*( DB!D$2:D$2576=$D$6))*(($D$7="")+($D$7&lt;&gt;"")*(ISNUMBER(SEARCH($D$7,DB!G$2:G$2576))))*(($F$7="전체")+($F$7&lt;&gt;"전체")*(DB!H$2:H$2576=$F$7))),ROW()-13)-1,"")</f>
        <v/>
      </c>
      <c r="Q2387" t="str" cm="1">
        <f t="array" ref="Q2387">IFERROR(INDEX(DB!G$2:G$2576,P2387),"")</f>
        <v/>
      </c>
      <c r="R2387" t="str" cm="1">
        <f t="array" ref="R2387">IFERROR(INDEX(DB!O$2:O$2576,P2387),"")</f>
        <v/>
      </c>
      <c r="S2387" t="str">
        <f t="shared" si="114"/>
        <v/>
      </c>
      <c r="T2387" t="str">
        <f t="shared" si="115"/>
        <v/>
      </c>
    </row>
    <row r="2388" spans="1:20" ht="100" customHeight="1">
      <c r="A2388" s="26"/>
      <c r="B2388" s="39" t="str">
        <f t="shared" si="113"/>
        <v/>
      </c>
      <c r="C2388" s="43"/>
      <c r="D2388" s="51" t="str" cm="1">
        <f t="array" ref="D2388">IFERROR(INDEX(DB!G$2:G$2576,T2388),"")</f>
        <v/>
      </c>
      <c r="E2388" s="43"/>
      <c r="F2388" s="52" t="str" cm="1">
        <f t="array" ref="F2388">IFERROR(INDEX(DB!O$2:O$2576,T2388),"")</f>
        <v/>
      </c>
      <c r="G2388" s="43"/>
      <c r="H2388" s="40" t="str" cm="1">
        <f t="array" ref="H2388">IFERROR(INDEX(DB!P$2:P$2576,T2388),"")</f>
        <v/>
      </c>
      <c r="I2388" s="43"/>
      <c r="J2388" s="53" t="str" cm="1">
        <f t="array" ref="J2388">IFERROR(INDEX(DB!Q$2:Q$2576,T2388),"")</f>
        <v/>
      </c>
      <c r="K2388" s="43"/>
      <c r="L2388" s="41" t="str" cm="1">
        <f t="array" ref="L2388">IFERROR(INDEX(DB!R$2:R$2576,T2388),"")</f>
        <v/>
      </c>
      <c r="M2388" s="43"/>
      <c r="P2388" t="str" cm="1">
        <f t="array" ref="P2388">IFERROR(_xlfn.AGGREGATE(15,6,ROW(DB!A$2:A$2576)/((($D$3&lt;&gt;"YES")+($D$3="YES")*(DB!E$2:E$2576="YES"))*(($D$4="")+($D$4&lt;&gt;"")*( DB!B$2:B$2576=$D$4))*(($D$5="")+($D$5&lt;&gt;"")*( DB!C$2:C$2576=$D$5))*(($D$6="")+($D$6&lt;&gt;"")*( DB!D$2:D$2576=$D$6))*(($D$7="")+($D$7&lt;&gt;"")*(ISNUMBER(SEARCH($D$7,DB!G$2:G$2576))))*(($F$7="전체")+($F$7&lt;&gt;"전체")*(DB!H$2:H$2576=$F$7))),ROW()-13)-1,"")</f>
        <v/>
      </c>
      <c r="Q2388" t="str" cm="1">
        <f t="array" ref="Q2388">IFERROR(INDEX(DB!G$2:G$2576,P2388),"")</f>
        <v/>
      </c>
      <c r="R2388" t="str" cm="1">
        <f t="array" ref="R2388">IFERROR(INDEX(DB!O$2:O$2576,P2388),"")</f>
        <v/>
      </c>
      <c r="S2388" t="str">
        <f t="shared" si="114"/>
        <v/>
      </c>
      <c r="T2388" t="str">
        <f t="shared" si="115"/>
        <v/>
      </c>
    </row>
    <row r="2389" spans="1:20" ht="100" customHeight="1">
      <c r="A2389" s="26"/>
      <c r="B2389" s="42" t="str">
        <f t="shared" si="113"/>
        <v/>
      </c>
      <c r="C2389" s="43"/>
      <c r="D2389" s="51" t="str" cm="1">
        <f t="array" ref="D2389">IFERROR(INDEX(DB!G$2:G$2576,T2389),"")</f>
        <v/>
      </c>
      <c r="E2389" s="43"/>
      <c r="F2389" s="52" t="str" cm="1">
        <f t="array" ref="F2389">IFERROR(INDEX(DB!O$2:O$2576,T2389),"")</f>
        <v/>
      </c>
      <c r="G2389" s="43"/>
      <c r="H2389" s="40" t="str" cm="1">
        <f t="array" ref="H2389">IFERROR(INDEX(DB!P$2:P$2576,T2389),"")</f>
        <v/>
      </c>
      <c r="I2389" s="43"/>
      <c r="J2389" s="53" t="str" cm="1">
        <f t="array" ref="J2389">IFERROR(INDEX(DB!Q$2:Q$2576,T2389),"")</f>
        <v/>
      </c>
      <c r="K2389" s="43"/>
      <c r="L2389" s="41" t="str" cm="1">
        <f t="array" ref="L2389">IFERROR(INDEX(DB!R$2:R$2576,T2389),"")</f>
        <v/>
      </c>
      <c r="M2389" s="43"/>
      <c r="P2389" t="str" cm="1">
        <f t="array" ref="P2389">IFERROR(_xlfn.AGGREGATE(15,6,ROW(DB!A$2:A$2576)/((($D$3&lt;&gt;"YES")+($D$3="YES")*(DB!E$2:E$2576="YES"))*(($D$4="")+($D$4&lt;&gt;"")*( DB!B$2:B$2576=$D$4))*(($D$5="")+($D$5&lt;&gt;"")*( DB!C$2:C$2576=$D$5))*(($D$6="")+($D$6&lt;&gt;"")*( DB!D$2:D$2576=$D$6))*(($D$7="")+($D$7&lt;&gt;"")*(ISNUMBER(SEARCH($D$7,DB!G$2:G$2576))))*(($F$7="전체")+($F$7&lt;&gt;"전체")*(DB!H$2:H$2576=$F$7))),ROW()-13)-1,"")</f>
        <v/>
      </c>
      <c r="Q2389" t="str" cm="1">
        <f t="array" ref="Q2389">IFERROR(INDEX(DB!G$2:G$2576,P2389),"")</f>
        <v/>
      </c>
      <c r="R2389" t="str" cm="1">
        <f t="array" ref="R2389">IFERROR(INDEX(DB!O$2:O$2576,P2389),"")</f>
        <v/>
      </c>
      <c r="S2389" t="str">
        <f t="shared" si="114"/>
        <v/>
      </c>
      <c r="T2389" t="str">
        <f t="shared" si="115"/>
        <v/>
      </c>
    </row>
    <row r="2390" spans="1:20" ht="100" customHeight="1">
      <c r="A2390" s="26"/>
      <c r="B2390" s="39" t="str">
        <f t="shared" si="113"/>
        <v/>
      </c>
      <c r="C2390" s="43"/>
      <c r="D2390" s="51" t="str" cm="1">
        <f t="array" ref="D2390">IFERROR(INDEX(DB!G$2:G$2576,T2390),"")</f>
        <v/>
      </c>
      <c r="E2390" s="43"/>
      <c r="F2390" s="52" t="str" cm="1">
        <f t="array" ref="F2390">IFERROR(INDEX(DB!O$2:O$2576,T2390),"")</f>
        <v/>
      </c>
      <c r="G2390" s="43"/>
      <c r="H2390" s="40" t="str" cm="1">
        <f t="array" ref="H2390">IFERROR(INDEX(DB!P$2:P$2576,T2390),"")</f>
        <v/>
      </c>
      <c r="I2390" s="43"/>
      <c r="J2390" s="53" t="str" cm="1">
        <f t="array" ref="J2390">IFERROR(INDEX(DB!Q$2:Q$2576,T2390),"")</f>
        <v/>
      </c>
      <c r="K2390" s="43"/>
      <c r="L2390" s="41" t="str" cm="1">
        <f t="array" ref="L2390">IFERROR(INDEX(DB!R$2:R$2576,T2390),"")</f>
        <v/>
      </c>
      <c r="M2390" s="43"/>
      <c r="P2390" t="str" cm="1">
        <f t="array" ref="P2390">IFERROR(_xlfn.AGGREGATE(15,6,ROW(DB!A$2:A$2576)/((($D$3&lt;&gt;"YES")+($D$3="YES")*(DB!E$2:E$2576="YES"))*(($D$4="")+($D$4&lt;&gt;"")*( DB!B$2:B$2576=$D$4))*(($D$5="")+($D$5&lt;&gt;"")*( DB!C$2:C$2576=$D$5))*(($D$6="")+($D$6&lt;&gt;"")*( DB!D$2:D$2576=$D$6))*(($D$7="")+($D$7&lt;&gt;"")*(ISNUMBER(SEARCH($D$7,DB!G$2:G$2576))))*(($F$7="전체")+($F$7&lt;&gt;"전체")*(DB!H$2:H$2576=$F$7))),ROW()-13)-1,"")</f>
        <v/>
      </c>
      <c r="Q2390" t="str" cm="1">
        <f t="array" ref="Q2390">IFERROR(INDEX(DB!G$2:G$2576,P2390),"")</f>
        <v/>
      </c>
      <c r="R2390" t="str" cm="1">
        <f t="array" ref="R2390">IFERROR(INDEX(DB!O$2:O$2576,P2390),"")</f>
        <v/>
      </c>
      <c r="S2390" t="str">
        <f t="shared" si="114"/>
        <v/>
      </c>
      <c r="T2390" t="str">
        <f t="shared" si="115"/>
        <v/>
      </c>
    </row>
    <row r="2391" spans="1:20" ht="100" customHeight="1">
      <c r="A2391" s="26"/>
      <c r="B2391" s="42" t="str">
        <f t="shared" si="113"/>
        <v/>
      </c>
      <c r="C2391" s="43"/>
      <c r="D2391" s="51" t="str" cm="1">
        <f t="array" ref="D2391">IFERROR(INDEX(DB!G$2:G$2576,T2391),"")</f>
        <v/>
      </c>
      <c r="E2391" s="43"/>
      <c r="F2391" s="52" t="str" cm="1">
        <f t="array" ref="F2391">IFERROR(INDEX(DB!O$2:O$2576,T2391),"")</f>
        <v/>
      </c>
      <c r="G2391" s="43"/>
      <c r="H2391" s="40" t="str" cm="1">
        <f t="array" ref="H2391">IFERROR(INDEX(DB!P$2:P$2576,T2391),"")</f>
        <v/>
      </c>
      <c r="I2391" s="43"/>
      <c r="J2391" s="53" t="str" cm="1">
        <f t="array" ref="J2391">IFERROR(INDEX(DB!Q$2:Q$2576,T2391),"")</f>
        <v/>
      </c>
      <c r="K2391" s="43"/>
      <c r="L2391" s="41" t="str" cm="1">
        <f t="array" ref="L2391">IFERROR(INDEX(DB!R$2:R$2576,T2391),"")</f>
        <v/>
      </c>
      <c r="M2391" s="43"/>
      <c r="P2391" t="str" cm="1">
        <f t="array" ref="P2391">IFERROR(_xlfn.AGGREGATE(15,6,ROW(DB!A$2:A$2576)/((($D$3&lt;&gt;"YES")+($D$3="YES")*(DB!E$2:E$2576="YES"))*(($D$4="")+($D$4&lt;&gt;"")*( DB!B$2:B$2576=$D$4))*(($D$5="")+($D$5&lt;&gt;"")*( DB!C$2:C$2576=$D$5))*(($D$6="")+($D$6&lt;&gt;"")*( DB!D$2:D$2576=$D$6))*(($D$7="")+($D$7&lt;&gt;"")*(ISNUMBER(SEARCH($D$7,DB!G$2:G$2576))))*(($F$7="전체")+($F$7&lt;&gt;"전체")*(DB!H$2:H$2576=$F$7))),ROW()-13)-1,"")</f>
        <v/>
      </c>
      <c r="Q2391" t="str" cm="1">
        <f t="array" ref="Q2391">IFERROR(INDEX(DB!G$2:G$2576,P2391),"")</f>
        <v/>
      </c>
      <c r="R2391" t="str" cm="1">
        <f t="array" ref="R2391">IFERROR(INDEX(DB!O$2:O$2576,P2391),"")</f>
        <v/>
      </c>
      <c r="S2391" t="str">
        <f t="shared" si="114"/>
        <v/>
      </c>
      <c r="T2391" t="str">
        <f t="shared" si="115"/>
        <v/>
      </c>
    </row>
    <row r="2392" spans="1:20" ht="100" customHeight="1">
      <c r="A2392" s="26"/>
      <c r="B2392" s="39" t="str">
        <f t="shared" si="113"/>
        <v/>
      </c>
      <c r="C2392" s="43"/>
      <c r="D2392" s="51" t="str" cm="1">
        <f t="array" ref="D2392">IFERROR(INDEX(DB!G$2:G$2576,T2392),"")</f>
        <v/>
      </c>
      <c r="E2392" s="43"/>
      <c r="F2392" s="52" t="str" cm="1">
        <f t="array" ref="F2392">IFERROR(INDEX(DB!O$2:O$2576,T2392),"")</f>
        <v/>
      </c>
      <c r="G2392" s="43"/>
      <c r="H2392" s="40" t="str" cm="1">
        <f t="array" ref="H2392">IFERROR(INDEX(DB!P$2:P$2576,T2392),"")</f>
        <v/>
      </c>
      <c r="I2392" s="43"/>
      <c r="J2392" s="53" t="str" cm="1">
        <f t="array" ref="J2392">IFERROR(INDEX(DB!Q$2:Q$2576,T2392),"")</f>
        <v/>
      </c>
      <c r="K2392" s="43"/>
      <c r="L2392" s="41" t="str" cm="1">
        <f t="array" ref="L2392">IFERROR(INDEX(DB!R$2:R$2576,T2392),"")</f>
        <v/>
      </c>
      <c r="M2392" s="43"/>
      <c r="P2392" t="str" cm="1">
        <f t="array" ref="P2392">IFERROR(_xlfn.AGGREGATE(15,6,ROW(DB!A$2:A$2576)/((($D$3&lt;&gt;"YES")+($D$3="YES")*(DB!E$2:E$2576="YES"))*(($D$4="")+($D$4&lt;&gt;"")*( DB!B$2:B$2576=$D$4))*(($D$5="")+($D$5&lt;&gt;"")*( DB!C$2:C$2576=$D$5))*(($D$6="")+($D$6&lt;&gt;"")*( DB!D$2:D$2576=$D$6))*(($D$7="")+($D$7&lt;&gt;"")*(ISNUMBER(SEARCH($D$7,DB!G$2:G$2576))))*(($F$7="전체")+($F$7&lt;&gt;"전체")*(DB!H$2:H$2576=$F$7))),ROW()-13)-1,"")</f>
        <v/>
      </c>
      <c r="Q2392" t="str" cm="1">
        <f t="array" ref="Q2392">IFERROR(INDEX(DB!G$2:G$2576,P2392),"")</f>
        <v/>
      </c>
      <c r="R2392" t="str" cm="1">
        <f t="array" ref="R2392">IFERROR(INDEX(DB!O$2:O$2576,P2392),"")</f>
        <v/>
      </c>
      <c r="S2392" t="str">
        <f t="shared" si="114"/>
        <v/>
      </c>
      <c r="T2392" t="str">
        <f t="shared" si="115"/>
        <v/>
      </c>
    </row>
    <row r="2393" spans="1:20" ht="100" customHeight="1">
      <c r="A2393" s="26"/>
      <c r="B2393" s="42" t="str">
        <f t="shared" si="113"/>
        <v/>
      </c>
      <c r="C2393" s="43"/>
      <c r="D2393" s="51" t="str" cm="1">
        <f t="array" ref="D2393">IFERROR(INDEX(DB!G$2:G$2576,T2393),"")</f>
        <v/>
      </c>
      <c r="E2393" s="43"/>
      <c r="F2393" s="52" t="str" cm="1">
        <f t="array" ref="F2393">IFERROR(INDEX(DB!O$2:O$2576,T2393),"")</f>
        <v/>
      </c>
      <c r="G2393" s="43"/>
      <c r="H2393" s="40" t="str" cm="1">
        <f t="array" ref="H2393">IFERROR(INDEX(DB!P$2:P$2576,T2393),"")</f>
        <v/>
      </c>
      <c r="I2393" s="43"/>
      <c r="J2393" s="53" t="str" cm="1">
        <f t="array" ref="J2393">IFERROR(INDEX(DB!Q$2:Q$2576,T2393),"")</f>
        <v/>
      </c>
      <c r="K2393" s="43"/>
      <c r="L2393" s="41" t="str" cm="1">
        <f t="array" ref="L2393">IFERROR(INDEX(DB!R$2:R$2576,T2393),"")</f>
        <v/>
      </c>
      <c r="M2393" s="43"/>
      <c r="P2393" t="str" cm="1">
        <f t="array" ref="P2393">IFERROR(_xlfn.AGGREGATE(15,6,ROW(DB!A$2:A$2576)/((($D$3&lt;&gt;"YES")+($D$3="YES")*(DB!E$2:E$2576="YES"))*(($D$4="")+($D$4&lt;&gt;"")*( DB!B$2:B$2576=$D$4))*(($D$5="")+($D$5&lt;&gt;"")*( DB!C$2:C$2576=$D$5))*(($D$6="")+($D$6&lt;&gt;"")*( DB!D$2:D$2576=$D$6))*(($D$7="")+($D$7&lt;&gt;"")*(ISNUMBER(SEARCH($D$7,DB!G$2:G$2576))))*(($F$7="전체")+($F$7&lt;&gt;"전체")*(DB!H$2:H$2576=$F$7))),ROW()-13)-1,"")</f>
        <v/>
      </c>
      <c r="Q2393" t="str" cm="1">
        <f t="array" ref="Q2393">IFERROR(INDEX(DB!G$2:G$2576,P2393),"")</f>
        <v/>
      </c>
      <c r="R2393" t="str" cm="1">
        <f t="array" ref="R2393">IFERROR(INDEX(DB!O$2:O$2576,P2393),"")</f>
        <v/>
      </c>
      <c r="S2393" t="str">
        <f t="shared" si="114"/>
        <v/>
      </c>
      <c r="T2393" t="str">
        <f t="shared" si="115"/>
        <v/>
      </c>
    </row>
    <row r="2394" spans="1:20" ht="100" customHeight="1">
      <c r="A2394" s="26"/>
      <c r="B2394" s="39" t="str">
        <f t="shared" si="113"/>
        <v/>
      </c>
      <c r="C2394" s="43"/>
      <c r="D2394" s="51" t="str" cm="1">
        <f t="array" ref="D2394">IFERROR(INDEX(DB!G$2:G$2576,T2394),"")</f>
        <v/>
      </c>
      <c r="E2394" s="43"/>
      <c r="F2394" s="52" t="str" cm="1">
        <f t="array" ref="F2394">IFERROR(INDEX(DB!O$2:O$2576,T2394),"")</f>
        <v/>
      </c>
      <c r="G2394" s="43"/>
      <c r="H2394" s="40" t="str" cm="1">
        <f t="array" ref="H2394">IFERROR(INDEX(DB!P$2:P$2576,T2394),"")</f>
        <v/>
      </c>
      <c r="I2394" s="43"/>
      <c r="J2394" s="53" t="str" cm="1">
        <f t="array" ref="J2394">IFERROR(INDEX(DB!Q$2:Q$2576,T2394),"")</f>
        <v/>
      </c>
      <c r="K2394" s="43"/>
      <c r="L2394" s="41" t="str" cm="1">
        <f t="array" ref="L2394">IFERROR(INDEX(DB!R$2:R$2576,T2394),"")</f>
        <v/>
      </c>
      <c r="M2394" s="43"/>
      <c r="P2394" t="str" cm="1">
        <f t="array" ref="P2394">IFERROR(_xlfn.AGGREGATE(15,6,ROW(DB!A$2:A$2576)/((($D$3&lt;&gt;"YES")+($D$3="YES")*(DB!E$2:E$2576="YES"))*(($D$4="")+($D$4&lt;&gt;"")*( DB!B$2:B$2576=$D$4))*(($D$5="")+($D$5&lt;&gt;"")*( DB!C$2:C$2576=$D$5))*(($D$6="")+($D$6&lt;&gt;"")*( DB!D$2:D$2576=$D$6))*(($D$7="")+($D$7&lt;&gt;"")*(ISNUMBER(SEARCH($D$7,DB!G$2:G$2576))))*(($F$7="전체")+($F$7&lt;&gt;"전체")*(DB!H$2:H$2576=$F$7))),ROW()-13)-1,"")</f>
        <v/>
      </c>
      <c r="Q2394" t="str" cm="1">
        <f t="array" ref="Q2394">IFERROR(INDEX(DB!G$2:G$2576,P2394),"")</f>
        <v/>
      </c>
      <c r="R2394" t="str" cm="1">
        <f t="array" ref="R2394">IFERROR(INDEX(DB!O$2:O$2576,P2394),"")</f>
        <v/>
      </c>
      <c r="S2394" t="str">
        <f t="shared" si="114"/>
        <v/>
      </c>
      <c r="T2394" t="str">
        <f t="shared" si="115"/>
        <v/>
      </c>
    </row>
    <row r="2395" spans="1:20" ht="100" customHeight="1">
      <c r="A2395" s="26"/>
      <c r="B2395" s="42" t="str">
        <f t="shared" si="113"/>
        <v/>
      </c>
      <c r="C2395" s="43"/>
      <c r="D2395" s="51" t="str" cm="1">
        <f t="array" ref="D2395">IFERROR(INDEX(DB!G$2:G$2576,T2395),"")</f>
        <v/>
      </c>
      <c r="E2395" s="43"/>
      <c r="F2395" s="52" t="str" cm="1">
        <f t="array" ref="F2395">IFERROR(INDEX(DB!O$2:O$2576,T2395),"")</f>
        <v/>
      </c>
      <c r="G2395" s="43"/>
      <c r="H2395" s="40" t="str" cm="1">
        <f t="array" ref="H2395">IFERROR(INDEX(DB!P$2:P$2576,T2395),"")</f>
        <v/>
      </c>
      <c r="I2395" s="43"/>
      <c r="J2395" s="53" t="str" cm="1">
        <f t="array" ref="J2395">IFERROR(INDEX(DB!Q$2:Q$2576,T2395),"")</f>
        <v/>
      </c>
      <c r="K2395" s="43"/>
      <c r="L2395" s="41" t="str" cm="1">
        <f t="array" ref="L2395">IFERROR(INDEX(DB!R$2:R$2576,T2395),"")</f>
        <v/>
      </c>
      <c r="M2395" s="43"/>
      <c r="P2395" t="str" cm="1">
        <f t="array" ref="P2395">IFERROR(_xlfn.AGGREGATE(15,6,ROW(DB!A$2:A$2576)/((($D$3&lt;&gt;"YES")+($D$3="YES")*(DB!E$2:E$2576="YES"))*(($D$4="")+($D$4&lt;&gt;"")*( DB!B$2:B$2576=$D$4))*(($D$5="")+($D$5&lt;&gt;"")*( DB!C$2:C$2576=$D$5))*(($D$6="")+($D$6&lt;&gt;"")*( DB!D$2:D$2576=$D$6))*(($D$7="")+($D$7&lt;&gt;"")*(ISNUMBER(SEARCH($D$7,DB!G$2:G$2576))))*(($F$7="전체")+($F$7&lt;&gt;"전체")*(DB!H$2:H$2576=$F$7))),ROW()-13)-1,"")</f>
        <v/>
      </c>
      <c r="Q2395" t="str" cm="1">
        <f t="array" ref="Q2395">IFERROR(INDEX(DB!G$2:G$2576,P2395),"")</f>
        <v/>
      </c>
      <c r="R2395" t="str" cm="1">
        <f t="array" ref="R2395">IFERROR(INDEX(DB!O$2:O$2576,P2395),"")</f>
        <v/>
      </c>
      <c r="S2395" t="str">
        <f t="shared" si="114"/>
        <v/>
      </c>
      <c r="T2395" t="str">
        <f t="shared" si="115"/>
        <v/>
      </c>
    </row>
    <row r="2396" spans="1:20" ht="100" customHeight="1">
      <c r="A2396" s="26"/>
      <c r="B2396" s="39" t="str">
        <f t="shared" si="113"/>
        <v/>
      </c>
      <c r="C2396" s="43"/>
      <c r="D2396" s="51" t="str" cm="1">
        <f t="array" ref="D2396">IFERROR(INDEX(DB!G$2:G$2576,T2396),"")</f>
        <v/>
      </c>
      <c r="E2396" s="43"/>
      <c r="F2396" s="52" t="str" cm="1">
        <f t="array" ref="F2396">IFERROR(INDEX(DB!O$2:O$2576,T2396),"")</f>
        <v/>
      </c>
      <c r="G2396" s="43"/>
      <c r="H2396" s="40" t="str" cm="1">
        <f t="array" ref="H2396">IFERROR(INDEX(DB!P$2:P$2576,T2396),"")</f>
        <v/>
      </c>
      <c r="I2396" s="43"/>
      <c r="J2396" s="53" t="str" cm="1">
        <f t="array" ref="J2396">IFERROR(INDEX(DB!Q$2:Q$2576,T2396),"")</f>
        <v/>
      </c>
      <c r="K2396" s="43"/>
      <c r="L2396" s="41" t="str" cm="1">
        <f t="array" ref="L2396">IFERROR(INDEX(DB!R$2:R$2576,T2396),"")</f>
        <v/>
      </c>
      <c r="M2396" s="43"/>
      <c r="P2396" t="str" cm="1">
        <f t="array" ref="P2396">IFERROR(_xlfn.AGGREGATE(15,6,ROW(DB!A$2:A$2576)/((($D$3&lt;&gt;"YES")+($D$3="YES")*(DB!E$2:E$2576="YES"))*(($D$4="")+($D$4&lt;&gt;"")*( DB!B$2:B$2576=$D$4))*(($D$5="")+($D$5&lt;&gt;"")*( DB!C$2:C$2576=$D$5))*(($D$6="")+($D$6&lt;&gt;"")*( DB!D$2:D$2576=$D$6))*(($D$7="")+($D$7&lt;&gt;"")*(ISNUMBER(SEARCH($D$7,DB!G$2:G$2576))))*(($F$7="전체")+($F$7&lt;&gt;"전체")*(DB!H$2:H$2576=$F$7))),ROW()-13)-1,"")</f>
        <v/>
      </c>
      <c r="Q2396" t="str" cm="1">
        <f t="array" ref="Q2396">IFERROR(INDEX(DB!G$2:G$2576,P2396),"")</f>
        <v/>
      </c>
      <c r="R2396" t="str" cm="1">
        <f t="array" ref="R2396">IFERROR(INDEX(DB!O$2:O$2576,P2396),"")</f>
        <v/>
      </c>
      <c r="S2396" t="str">
        <f t="shared" si="114"/>
        <v/>
      </c>
      <c r="T2396" t="str">
        <f t="shared" si="115"/>
        <v/>
      </c>
    </row>
    <row r="2397" spans="1:20" ht="100" customHeight="1">
      <c r="A2397" s="26"/>
      <c r="B2397" s="42" t="str">
        <f t="shared" si="113"/>
        <v/>
      </c>
      <c r="C2397" s="43"/>
      <c r="D2397" s="51" t="str" cm="1">
        <f t="array" ref="D2397">IFERROR(INDEX(DB!G$2:G$2576,T2397),"")</f>
        <v/>
      </c>
      <c r="E2397" s="43"/>
      <c r="F2397" s="52" t="str" cm="1">
        <f t="array" ref="F2397">IFERROR(INDEX(DB!O$2:O$2576,T2397),"")</f>
        <v/>
      </c>
      <c r="G2397" s="43"/>
      <c r="H2397" s="40" t="str" cm="1">
        <f t="array" ref="H2397">IFERROR(INDEX(DB!P$2:P$2576,T2397),"")</f>
        <v/>
      </c>
      <c r="I2397" s="43"/>
      <c r="J2397" s="53" t="str" cm="1">
        <f t="array" ref="J2397">IFERROR(INDEX(DB!Q$2:Q$2576,T2397),"")</f>
        <v/>
      </c>
      <c r="K2397" s="43"/>
      <c r="L2397" s="41" t="str" cm="1">
        <f t="array" ref="L2397">IFERROR(INDEX(DB!R$2:R$2576,T2397),"")</f>
        <v/>
      </c>
      <c r="M2397" s="43"/>
      <c r="P2397" t="str" cm="1">
        <f t="array" ref="P2397">IFERROR(_xlfn.AGGREGATE(15,6,ROW(DB!A$2:A$2576)/((($D$3&lt;&gt;"YES")+($D$3="YES")*(DB!E$2:E$2576="YES"))*(($D$4="")+($D$4&lt;&gt;"")*( DB!B$2:B$2576=$D$4))*(($D$5="")+($D$5&lt;&gt;"")*( DB!C$2:C$2576=$D$5))*(($D$6="")+($D$6&lt;&gt;"")*( DB!D$2:D$2576=$D$6))*(($D$7="")+($D$7&lt;&gt;"")*(ISNUMBER(SEARCH($D$7,DB!G$2:G$2576))))*(($F$7="전체")+($F$7&lt;&gt;"전체")*(DB!H$2:H$2576=$F$7))),ROW()-13)-1,"")</f>
        <v/>
      </c>
      <c r="Q2397" t="str" cm="1">
        <f t="array" ref="Q2397">IFERROR(INDEX(DB!G$2:G$2576,P2397),"")</f>
        <v/>
      </c>
      <c r="R2397" t="str" cm="1">
        <f t="array" ref="R2397">IFERROR(INDEX(DB!O$2:O$2576,P2397),"")</f>
        <v/>
      </c>
      <c r="S2397" t="str">
        <f t="shared" si="114"/>
        <v/>
      </c>
      <c r="T2397" t="str">
        <f t="shared" si="115"/>
        <v/>
      </c>
    </row>
    <row r="2398" spans="1:20" ht="100" customHeight="1">
      <c r="A2398" s="26"/>
      <c r="B2398" s="39" t="str">
        <f t="shared" si="113"/>
        <v/>
      </c>
      <c r="C2398" s="43"/>
      <c r="D2398" s="51" t="str" cm="1">
        <f t="array" ref="D2398">IFERROR(INDEX(DB!G$2:G$2576,T2398),"")</f>
        <v/>
      </c>
      <c r="E2398" s="43"/>
      <c r="F2398" s="52" t="str" cm="1">
        <f t="array" ref="F2398">IFERROR(INDEX(DB!O$2:O$2576,T2398),"")</f>
        <v/>
      </c>
      <c r="G2398" s="43"/>
      <c r="H2398" s="40" t="str" cm="1">
        <f t="array" ref="H2398">IFERROR(INDEX(DB!P$2:P$2576,T2398),"")</f>
        <v/>
      </c>
      <c r="I2398" s="43"/>
      <c r="J2398" s="53" t="str" cm="1">
        <f t="array" ref="J2398">IFERROR(INDEX(DB!Q$2:Q$2576,T2398),"")</f>
        <v/>
      </c>
      <c r="K2398" s="43"/>
      <c r="L2398" s="41" t="str" cm="1">
        <f t="array" ref="L2398">IFERROR(INDEX(DB!R$2:R$2576,T2398),"")</f>
        <v/>
      </c>
      <c r="M2398" s="43"/>
      <c r="P2398" t="str" cm="1">
        <f t="array" ref="P2398">IFERROR(_xlfn.AGGREGATE(15,6,ROW(DB!A$2:A$2576)/((($D$3&lt;&gt;"YES")+($D$3="YES")*(DB!E$2:E$2576="YES"))*(($D$4="")+($D$4&lt;&gt;"")*( DB!B$2:B$2576=$D$4))*(($D$5="")+($D$5&lt;&gt;"")*( DB!C$2:C$2576=$D$5))*(($D$6="")+($D$6&lt;&gt;"")*( DB!D$2:D$2576=$D$6))*(($D$7="")+($D$7&lt;&gt;"")*(ISNUMBER(SEARCH($D$7,DB!G$2:G$2576))))*(($F$7="전체")+($F$7&lt;&gt;"전체")*(DB!H$2:H$2576=$F$7))),ROW()-13)-1,"")</f>
        <v/>
      </c>
      <c r="Q2398" t="str" cm="1">
        <f t="array" ref="Q2398">IFERROR(INDEX(DB!G$2:G$2576,P2398),"")</f>
        <v/>
      </c>
      <c r="R2398" t="str" cm="1">
        <f t="array" ref="R2398">IFERROR(INDEX(DB!O$2:O$2576,P2398),"")</f>
        <v/>
      </c>
      <c r="S2398" t="str">
        <f t="shared" si="114"/>
        <v/>
      </c>
      <c r="T2398" t="str">
        <f t="shared" si="115"/>
        <v/>
      </c>
    </row>
    <row r="2399" spans="1:20" ht="100" customHeight="1">
      <c r="A2399" s="26"/>
      <c r="B2399" s="42" t="str">
        <f t="shared" si="113"/>
        <v/>
      </c>
      <c r="C2399" s="43"/>
      <c r="D2399" s="51" t="str" cm="1">
        <f t="array" ref="D2399">IFERROR(INDEX(DB!G$2:G$2576,T2399),"")</f>
        <v/>
      </c>
      <c r="E2399" s="43"/>
      <c r="F2399" s="52" t="str" cm="1">
        <f t="array" ref="F2399">IFERROR(INDEX(DB!O$2:O$2576,T2399),"")</f>
        <v/>
      </c>
      <c r="G2399" s="43"/>
      <c r="H2399" s="40" t="str" cm="1">
        <f t="array" ref="H2399">IFERROR(INDEX(DB!P$2:P$2576,T2399),"")</f>
        <v/>
      </c>
      <c r="I2399" s="43"/>
      <c r="J2399" s="53" t="str" cm="1">
        <f t="array" ref="J2399">IFERROR(INDEX(DB!Q$2:Q$2576,T2399),"")</f>
        <v/>
      </c>
      <c r="K2399" s="43"/>
      <c r="L2399" s="41" t="str" cm="1">
        <f t="array" ref="L2399">IFERROR(INDEX(DB!R$2:R$2576,T2399),"")</f>
        <v/>
      </c>
      <c r="M2399" s="43"/>
      <c r="P2399" t="str" cm="1">
        <f t="array" ref="P2399">IFERROR(_xlfn.AGGREGATE(15,6,ROW(DB!A$2:A$2576)/((($D$3&lt;&gt;"YES")+($D$3="YES")*(DB!E$2:E$2576="YES"))*(($D$4="")+($D$4&lt;&gt;"")*( DB!B$2:B$2576=$D$4))*(($D$5="")+($D$5&lt;&gt;"")*( DB!C$2:C$2576=$D$5))*(($D$6="")+($D$6&lt;&gt;"")*( DB!D$2:D$2576=$D$6))*(($D$7="")+($D$7&lt;&gt;"")*(ISNUMBER(SEARCH($D$7,DB!G$2:G$2576))))*(($F$7="전체")+($F$7&lt;&gt;"전체")*(DB!H$2:H$2576=$F$7))),ROW()-13)-1,"")</f>
        <v/>
      </c>
      <c r="Q2399" t="str" cm="1">
        <f t="array" ref="Q2399">IFERROR(INDEX(DB!G$2:G$2576,P2399),"")</f>
        <v/>
      </c>
      <c r="R2399" t="str" cm="1">
        <f t="array" ref="R2399">IFERROR(INDEX(DB!O$2:O$2576,P2399),"")</f>
        <v/>
      </c>
      <c r="S2399" t="str">
        <f t="shared" si="114"/>
        <v/>
      </c>
      <c r="T2399" t="str">
        <f t="shared" si="115"/>
        <v/>
      </c>
    </row>
    <row r="2400" spans="1:20" ht="100" customHeight="1">
      <c r="A2400" s="26"/>
      <c r="B2400" s="39" t="str">
        <f t="shared" si="113"/>
        <v/>
      </c>
      <c r="C2400" s="43"/>
      <c r="D2400" s="51" t="str" cm="1">
        <f t="array" ref="D2400">IFERROR(INDEX(DB!G$2:G$2576,T2400),"")</f>
        <v/>
      </c>
      <c r="E2400" s="43"/>
      <c r="F2400" s="52" t="str" cm="1">
        <f t="array" ref="F2400">IFERROR(INDEX(DB!O$2:O$2576,T2400),"")</f>
        <v/>
      </c>
      <c r="G2400" s="43"/>
      <c r="H2400" s="40" t="str" cm="1">
        <f t="array" ref="H2400">IFERROR(INDEX(DB!P$2:P$2576,T2400),"")</f>
        <v/>
      </c>
      <c r="I2400" s="43"/>
      <c r="J2400" s="53" t="str" cm="1">
        <f t="array" ref="J2400">IFERROR(INDEX(DB!Q$2:Q$2576,T2400),"")</f>
        <v/>
      </c>
      <c r="K2400" s="43"/>
      <c r="L2400" s="41" t="str" cm="1">
        <f t="array" ref="L2400">IFERROR(INDEX(DB!R$2:R$2576,T2400),"")</f>
        <v/>
      </c>
      <c r="M2400" s="43"/>
      <c r="P2400" t="str" cm="1">
        <f t="array" ref="P2400">IFERROR(_xlfn.AGGREGATE(15,6,ROW(DB!A$2:A$2576)/((($D$3&lt;&gt;"YES")+($D$3="YES")*(DB!E$2:E$2576="YES"))*(($D$4="")+($D$4&lt;&gt;"")*( DB!B$2:B$2576=$D$4))*(($D$5="")+($D$5&lt;&gt;"")*( DB!C$2:C$2576=$D$5))*(($D$6="")+($D$6&lt;&gt;"")*( DB!D$2:D$2576=$D$6))*(($D$7="")+($D$7&lt;&gt;"")*(ISNUMBER(SEARCH($D$7,DB!G$2:G$2576))))*(($F$7="전체")+($F$7&lt;&gt;"전체")*(DB!H$2:H$2576=$F$7))),ROW()-13)-1,"")</f>
        <v/>
      </c>
      <c r="Q2400" t="str" cm="1">
        <f t="array" ref="Q2400">IFERROR(INDEX(DB!G$2:G$2576,P2400),"")</f>
        <v/>
      </c>
      <c r="R2400" t="str" cm="1">
        <f t="array" ref="R2400">IFERROR(INDEX(DB!O$2:O$2576,P2400),"")</f>
        <v/>
      </c>
      <c r="S2400" t="str">
        <f t="shared" si="114"/>
        <v/>
      </c>
      <c r="T2400" t="str">
        <f t="shared" si="115"/>
        <v/>
      </c>
    </row>
    <row r="2401" spans="1:20" ht="100" customHeight="1">
      <c r="A2401" s="26"/>
      <c r="B2401" s="42" t="str">
        <f t="shared" si="113"/>
        <v/>
      </c>
      <c r="C2401" s="43"/>
      <c r="D2401" s="51" t="str" cm="1">
        <f t="array" ref="D2401">IFERROR(INDEX(DB!G$2:G$2576,T2401),"")</f>
        <v/>
      </c>
      <c r="E2401" s="43"/>
      <c r="F2401" s="52" t="str" cm="1">
        <f t="array" ref="F2401">IFERROR(INDEX(DB!O$2:O$2576,T2401),"")</f>
        <v/>
      </c>
      <c r="G2401" s="43"/>
      <c r="H2401" s="40" t="str" cm="1">
        <f t="array" ref="H2401">IFERROR(INDEX(DB!P$2:P$2576,T2401),"")</f>
        <v/>
      </c>
      <c r="I2401" s="43"/>
      <c r="J2401" s="53" t="str" cm="1">
        <f t="array" ref="J2401">IFERROR(INDEX(DB!Q$2:Q$2576,T2401),"")</f>
        <v/>
      </c>
      <c r="K2401" s="43"/>
      <c r="L2401" s="41" t="str" cm="1">
        <f t="array" ref="L2401">IFERROR(INDEX(DB!R$2:R$2576,T2401),"")</f>
        <v/>
      </c>
      <c r="M2401" s="43"/>
      <c r="P2401" t="str" cm="1">
        <f t="array" ref="P2401">IFERROR(_xlfn.AGGREGATE(15,6,ROW(DB!A$2:A$2576)/((($D$3&lt;&gt;"YES")+($D$3="YES")*(DB!E$2:E$2576="YES"))*(($D$4="")+($D$4&lt;&gt;"")*( DB!B$2:B$2576=$D$4))*(($D$5="")+($D$5&lt;&gt;"")*( DB!C$2:C$2576=$D$5))*(($D$6="")+($D$6&lt;&gt;"")*( DB!D$2:D$2576=$D$6))*(($D$7="")+($D$7&lt;&gt;"")*(ISNUMBER(SEARCH($D$7,DB!G$2:G$2576))))*(($F$7="전체")+($F$7&lt;&gt;"전체")*(DB!H$2:H$2576=$F$7))),ROW()-13)-1,"")</f>
        <v/>
      </c>
      <c r="Q2401" t="str" cm="1">
        <f t="array" ref="Q2401">IFERROR(INDEX(DB!G$2:G$2576,P2401),"")</f>
        <v/>
      </c>
      <c r="R2401" t="str" cm="1">
        <f t="array" ref="R2401">IFERROR(INDEX(DB!O$2:O$2576,P2401),"")</f>
        <v/>
      </c>
      <c r="S2401" t="str">
        <f t="shared" si="114"/>
        <v/>
      </c>
      <c r="T2401" t="str">
        <f t="shared" si="115"/>
        <v/>
      </c>
    </row>
    <row r="2402" spans="1:20" ht="100" customHeight="1">
      <c r="A2402" s="26"/>
      <c r="B2402" s="39" t="str">
        <f t="shared" si="113"/>
        <v/>
      </c>
      <c r="C2402" s="43"/>
      <c r="D2402" s="51" t="str" cm="1">
        <f t="array" ref="D2402">IFERROR(INDEX(DB!G$2:G$2576,T2402),"")</f>
        <v/>
      </c>
      <c r="E2402" s="43"/>
      <c r="F2402" s="52" t="str" cm="1">
        <f t="array" ref="F2402">IFERROR(INDEX(DB!O$2:O$2576,T2402),"")</f>
        <v/>
      </c>
      <c r="G2402" s="43"/>
      <c r="H2402" s="40" t="str" cm="1">
        <f t="array" ref="H2402">IFERROR(INDEX(DB!P$2:P$2576,T2402),"")</f>
        <v/>
      </c>
      <c r="I2402" s="43"/>
      <c r="J2402" s="53" t="str" cm="1">
        <f t="array" ref="J2402">IFERROR(INDEX(DB!Q$2:Q$2576,T2402),"")</f>
        <v/>
      </c>
      <c r="K2402" s="43"/>
      <c r="L2402" s="41" t="str" cm="1">
        <f t="array" ref="L2402">IFERROR(INDEX(DB!R$2:R$2576,T2402),"")</f>
        <v/>
      </c>
      <c r="M2402" s="43"/>
      <c r="P2402" t="str" cm="1">
        <f t="array" ref="P2402">IFERROR(_xlfn.AGGREGATE(15,6,ROW(DB!A$2:A$2576)/((($D$3&lt;&gt;"YES")+($D$3="YES")*(DB!E$2:E$2576="YES"))*(($D$4="")+($D$4&lt;&gt;"")*( DB!B$2:B$2576=$D$4))*(($D$5="")+($D$5&lt;&gt;"")*( DB!C$2:C$2576=$D$5))*(($D$6="")+($D$6&lt;&gt;"")*( DB!D$2:D$2576=$D$6))*(($D$7="")+($D$7&lt;&gt;"")*(ISNUMBER(SEARCH($D$7,DB!G$2:G$2576))))*(($F$7="전체")+($F$7&lt;&gt;"전체")*(DB!H$2:H$2576=$F$7))),ROW()-13)-1,"")</f>
        <v/>
      </c>
      <c r="Q2402" t="str" cm="1">
        <f t="array" ref="Q2402">IFERROR(INDEX(DB!G$2:G$2576,P2402),"")</f>
        <v/>
      </c>
      <c r="R2402" t="str" cm="1">
        <f t="array" ref="R2402">IFERROR(INDEX(DB!O$2:O$2576,P2402),"")</f>
        <v/>
      </c>
      <c r="S2402" t="str">
        <f t="shared" si="114"/>
        <v/>
      </c>
      <c r="T2402" t="str">
        <f t="shared" si="115"/>
        <v/>
      </c>
    </row>
    <row r="2403" spans="1:20" ht="100" customHeight="1">
      <c r="A2403" s="26"/>
      <c r="B2403" s="42" t="str">
        <f t="shared" si="113"/>
        <v/>
      </c>
      <c r="C2403" s="43"/>
      <c r="D2403" s="51" t="str" cm="1">
        <f t="array" ref="D2403">IFERROR(INDEX(DB!G$2:G$2576,T2403),"")</f>
        <v/>
      </c>
      <c r="E2403" s="43"/>
      <c r="F2403" s="52" t="str" cm="1">
        <f t="array" ref="F2403">IFERROR(INDEX(DB!O$2:O$2576,T2403),"")</f>
        <v/>
      </c>
      <c r="G2403" s="43"/>
      <c r="H2403" s="40" t="str" cm="1">
        <f t="array" ref="H2403">IFERROR(INDEX(DB!P$2:P$2576,T2403),"")</f>
        <v/>
      </c>
      <c r="I2403" s="43"/>
      <c r="J2403" s="53" t="str" cm="1">
        <f t="array" ref="J2403">IFERROR(INDEX(DB!Q$2:Q$2576,T2403),"")</f>
        <v/>
      </c>
      <c r="K2403" s="43"/>
      <c r="L2403" s="41" t="str" cm="1">
        <f t="array" ref="L2403">IFERROR(INDEX(DB!R$2:R$2576,T2403),"")</f>
        <v/>
      </c>
      <c r="M2403" s="43"/>
      <c r="P2403" t="str" cm="1">
        <f t="array" ref="P2403">IFERROR(_xlfn.AGGREGATE(15,6,ROW(DB!A$2:A$2576)/((($D$3&lt;&gt;"YES")+($D$3="YES")*(DB!E$2:E$2576="YES"))*(($D$4="")+($D$4&lt;&gt;"")*( DB!B$2:B$2576=$D$4))*(($D$5="")+($D$5&lt;&gt;"")*( DB!C$2:C$2576=$D$5))*(($D$6="")+($D$6&lt;&gt;"")*( DB!D$2:D$2576=$D$6))*(($D$7="")+($D$7&lt;&gt;"")*(ISNUMBER(SEARCH($D$7,DB!G$2:G$2576))))*(($F$7="전체")+($F$7&lt;&gt;"전체")*(DB!H$2:H$2576=$F$7))),ROW()-13)-1,"")</f>
        <v/>
      </c>
      <c r="Q2403" t="str" cm="1">
        <f t="array" ref="Q2403">IFERROR(INDEX(DB!G$2:G$2576,P2403),"")</f>
        <v/>
      </c>
      <c r="R2403" t="str" cm="1">
        <f t="array" ref="R2403">IFERROR(INDEX(DB!O$2:O$2576,P2403),"")</f>
        <v/>
      </c>
      <c r="S2403" t="str">
        <f t="shared" si="114"/>
        <v/>
      </c>
      <c r="T2403" t="str">
        <f t="shared" si="115"/>
        <v/>
      </c>
    </row>
    <row r="2404" spans="1:20" ht="100" customHeight="1">
      <c r="A2404" s="26"/>
      <c r="B2404" s="39" t="str">
        <f t="shared" si="113"/>
        <v/>
      </c>
      <c r="C2404" s="43"/>
      <c r="D2404" s="51" t="str" cm="1">
        <f t="array" ref="D2404">IFERROR(INDEX(DB!G$2:G$2576,T2404),"")</f>
        <v/>
      </c>
      <c r="E2404" s="43"/>
      <c r="F2404" s="52" t="str" cm="1">
        <f t="array" ref="F2404">IFERROR(INDEX(DB!O$2:O$2576,T2404),"")</f>
        <v/>
      </c>
      <c r="G2404" s="43"/>
      <c r="H2404" s="40" t="str" cm="1">
        <f t="array" ref="H2404">IFERROR(INDEX(DB!P$2:P$2576,T2404),"")</f>
        <v/>
      </c>
      <c r="I2404" s="43"/>
      <c r="J2404" s="53" t="str" cm="1">
        <f t="array" ref="J2404">IFERROR(INDEX(DB!Q$2:Q$2576,T2404),"")</f>
        <v/>
      </c>
      <c r="K2404" s="43"/>
      <c r="L2404" s="41" t="str" cm="1">
        <f t="array" ref="L2404">IFERROR(INDEX(DB!R$2:R$2576,T2404),"")</f>
        <v/>
      </c>
      <c r="M2404" s="43"/>
      <c r="P2404" t="str" cm="1">
        <f t="array" ref="P2404">IFERROR(_xlfn.AGGREGATE(15,6,ROW(DB!A$2:A$2576)/((($D$3&lt;&gt;"YES")+($D$3="YES")*(DB!E$2:E$2576="YES"))*(($D$4="")+($D$4&lt;&gt;"")*( DB!B$2:B$2576=$D$4))*(($D$5="")+($D$5&lt;&gt;"")*( DB!C$2:C$2576=$D$5))*(($D$6="")+($D$6&lt;&gt;"")*( DB!D$2:D$2576=$D$6))*(($D$7="")+($D$7&lt;&gt;"")*(ISNUMBER(SEARCH($D$7,DB!G$2:G$2576))))*(($F$7="전체")+($F$7&lt;&gt;"전체")*(DB!H$2:H$2576=$F$7))),ROW()-13)-1,"")</f>
        <v/>
      </c>
      <c r="Q2404" t="str" cm="1">
        <f t="array" ref="Q2404">IFERROR(INDEX(DB!G$2:G$2576,P2404),"")</f>
        <v/>
      </c>
      <c r="R2404" t="str" cm="1">
        <f t="array" ref="R2404">IFERROR(INDEX(DB!O$2:O$2576,P2404),"")</f>
        <v/>
      </c>
      <c r="S2404" t="str">
        <f t="shared" si="114"/>
        <v/>
      </c>
      <c r="T2404" t="str">
        <f t="shared" si="115"/>
        <v/>
      </c>
    </row>
    <row r="2405" spans="1:20" ht="100" customHeight="1">
      <c r="A2405" s="26"/>
      <c r="B2405" s="42" t="str">
        <f t="shared" si="113"/>
        <v/>
      </c>
      <c r="C2405" s="43"/>
      <c r="D2405" s="51" t="str" cm="1">
        <f t="array" ref="D2405">IFERROR(INDEX(DB!G$2:G$2576,T2405),"")</f>
        <v/>
      </c>
      <c r="E2405" s="43"/>
      <c r="F2405" s="52" t="str" cm="1">
        <f t="array" ref="F2405">IFERROR(INDEX(DB!O$2:O$2576,T2405),"")</f>
        <v/>
      </c>
      <c r="G2405" s="43"/>
      <c r="H2405" s="40" t="str" cm="1">
        <f t="array" ref="H2405">IFERROR(INDEX(DB!P$2:P$2576,T2405),"")</f>
        <v/>
      </c>
      <c r="I2405" s="43"/>
      <c r="J2405" s="53" t="str" cm="1">
        <f t="array" ref="J2405">IFERROR(INDEX(DB!Q$2:Q$2576,T2405),"")</f>
        <v/>
      </c>
      <c r="K2405" s="43"/>
      <c r="L2405" s="41" t="str" cm="1">
        <f t="array" ref="L2405">IFERROR(INDEX(DB!R$2:R$2576,T2405),"")</f>
        <v/>
      </c>
      <c r="M2405" s="43"/>
      <c r="P2405" t="str" cm="1">
        <f t="array" ref="P2405">IFERROR(_xlfn.AGGREGATE(15,6,ROW(DB!A$2:A$2576)/((($D$3&lt;&gt;"YES")+($D$3="YES")*(DB!E$2:E$2576="YES"))*(($D$4="")+($D$4&lt;&gt;"")*( DB!B$2:B$2576=$D$4))*(($D$5="")+($D$5&lt;&gt;"")*( DB!C$2:C$2576=$D$5))*(($D$6="")+($D$6&lt;&gt;"")*( DB!D$2:D$2576=$D$6))*(($D$7="")+($D$7&lt;&gt;"")*(ISNUMBER(SEARCH($D$7,DB!G$2:G$2576))))*(($F$7="전체")+($F$7&lt;&gt;"전체")*(DB!H$2:H$2576=$F$7))),ROW()-13)-1,"")</f>
        <v/>
      </c>
      <c r="Q2405" t="str" cm="1">
        <f t="array" ref="Q2405">IFERROR(INDEX(DB!G$2:G$2576,P2405),"")</f>
        <v/>
      </c>
      <c r="R2405" t="str" cm="1">
        <f t="array" ref="R2405">IFERROR(INDEX(DB!O$2:O$2576,P2405),"")</f>
        <v/>
      </c>
      <c r="S2405" t="str">
        <f t="shared" si="114"/>
        <v/>
      </c>
      <c r="T2405" t="str">
        <f t="shared" si="115"/>
        <v/>
      </c>
    </row>
    <row r="2406" spans="1:20" ht="100" customHeight="1">
      <c r="A2406" s="26"/>
      <c r="B2406" s="39" t="str">
        <f t="shared" si="113"/>
        <v/>
      </c>
      <c r="C2406" s="43"/>
      <c r="D2406" s="51" t="str" cm="1">
        <f t="array" ref="D2406">IFERROR(INDEX(DB!G$2:G$2576,T2406),"")</f>
        <v/>
      </c>
      <c r="E2406" s="43"/>
      <c r="F2406" s="52" t="str" cm="1">
        <f t="array" ref="F2406">IFERROR(INDEX(DB!O$2:O$2576,T2406),"")</f>
        <v/>
      </c>
      <c r="G2406" s="43"/>
      <c r="H2406" s="40" t="str" cm="1">
        <f t="array" ref="H2406">IFERROR(INDEX(DB!P$2:P$2576,T2406),"")</f>
        <v/>
      </c>
      <c r="I2406" s="43"/>
      <c r="J2406" s="53" t="str" cm="1">
        <f t="array" ref="J2406">IFERROR(INDEX(DB!Q$2:Q$2576,T2406),"")</f>
        <v/>
      </c>
      <c r="K2406" s="43"/>
      <c r="L2406" s="41" t="str" cm="1">
        <f t="array" ref="L2406">IFERROR(INDEX(DB!R$2:R$2576,T2406),"")</f>
        <v/>
      </c>
      <c r="M2406" s="43"/>
      <c r="P2406" t="str" cm="1">
        <f t="array" ref="P2406">IFERROR(_xlfn.AGGREGATE(15,6,ROW(DB!A$2:A$2576)/((($D$3&lt;&gt;"YES")+($D$3="YES")*(DB!E$2:E$2576="YES"))*(($D$4="")+($D$4&lt;&gt;"")*( DB!B$2:B$2576=$D$4))*(($D$5="")+($D$5&lt;&gt;"")*( DB!C$2:C$2576=$D$5))*(($D$6="")+($D$6&lt;&gt;"")*( DB!D$2:D$2576=$D$6))*(($D$7="")+($D$7&lt;&gt;"")*(ISNUMBER(SEARCH($D$7,DB!G$2:G$2576))))*(($F$7="전체")+($F$7&lt;&gt;"전체")*(DB!H$2:H$2576=$F$7))),ROW()-13)-1,"")</f>
        <v/>
      </c>
      <c r="Q2406" t="str" cm="1">
        <f t="array" ref="Q2406">IFERROR(INDEX(DB!G$2:G$2576,P2406),"")</f>
        <v/>
      </c>
      <c r="R2406" t="str" cm="1">
        <f t="array" ref="R2406">IFERROR(INDEX(DB!O$2:O$2576,P2406),"")</f>
        <v/>
      </c>
      <c r="S2406" t="str">
        <f t="shared" si="114"/>
        <v/>
      </c>
      <c r="T2406" t="str">
        <f t="shared" si="115"/>
        <v/>
      </c>
    </row>
    <row r="2407" spans="1:20" ht="100" customHeight="1">
      <c r="A2407" s="26"/>
      <c r="B2407" s="42" t="str">
        <f t="shared" si="113"/>
        <v/>
      </c>
      <c r="C2407" s="43"/>
      <c r="D2407" s="51" t="str" cm="1">
        <f t="array" ref="D2407">IFERROR(INDEX(DB!G$2:G$2576,T2407),"")</f>
        <v/>
      </c>
      <c r="E2407" s="43"/>
      <c r="F2407" s="52" t="str" cm="1">
        <f t="array" ref="F2407">IFERROR(INDEX(DB!O$2:O$2576,T2407),"")</f>
        <v/>
      </c>
      <c r="G2407" s="43"/>
      <c r="H2407" s="40" t="str" cm="1">
        <f t="array" ref="H2407">IFERROR(INDEX(DB!P$2:P$2576,T2407),"")</f>
        <v/>
      </c>
      <c r="I2407" s="43"/>
      <c r="J2407" s="53" t="str" cm="1">
        <f t="array" ref="J2407">IFERROR(INDEX(DB!Q$2:Q$2576,T2407),"")</f>
        <v/>
      </c>
      <c r="K2407" s="43"/>
      <c r="L2407" s="41" t="str" cm="1">
        <f t="array" ref="L2407">IFERROR(INDEX(DB!R$2:R$2576,T2407),"")</f>
        <v/>
      </c>
      <c r="M2407" s="43"/>
      <c r="P2407" t="str" cm="1">
        <f t="array" ref="P2407">IFERROR(_xlfn.AGGREGATE(15,6,ROW(DB!A$2:A$2576)/((($D$3&lt;&gt;"YES")+($D$3="YES")*(DB!E$2:E$2576="YES"))*(($D$4="")+($D$4&lt;&gt;"")*( DB!B$2:B$2576=$D$4))*(($D$5="")+($D$5&lt;&gt;"")*( DB!C$2:C$2576=$D$5))*(($D$6="")+($D$6&lt;&gt;"")*( DB!D$2:D$2576=$D$6))*(($D$7="")+($D$7&lt;&gt;"")*(ISNUMBER(SEARCH($D$7,DB!G$2:G$2576))))*(($F$7="전체")+($F$7&lt;&gt;"전체")*(DB!H$2:H$2576=$F$7))),ROW()-13)-1,"")</f>
        <v/>
      </c>
      <c r="Q2407" t="str" cm="1">
        <f t="array" ref="Q2407">IFERROR(INDEX(DB!G$2:G$2576,P2407),"")</f>
        <v/>
      </c>
      <c r="R2407" t="str" cm="1">
        <f t="array" ref="R2407">IFERROR(INDEX(DB!O$2:O$2576,P2407),"")</f>
        <v/>
      </c>
      <c r="S2407" t="str">
        <f t="shared" si="114"/>
        <v/>
      </c>
      <c r="T2407" t="str">
        <f t="shared" si="115"/>
        <v/>
      </c>
    </row>
    <row r="2408" spans="1:20" ht="100" customHeight="1">
      <c r="A2408" s="26"/>
      <c r="B2408" s="39" t="str">
        <f t="shared" si="113"/>
        <v/>
      </c>
      <c r="C2408" s="43"/>
      <c r="D2408" s="51" t="str" cm="1">
        <f t="array" ref="D2408">IFERROR(INDEX(DB!G$2:G$2576,T2408),"")</f>
        <v/>
      </c>
      <c r="E2408" s="43"/>
      <c r="F2408" s="52" t="str" cm="1">
        <f t="array" ref="F2408">IFERROR(INDEX(DB!O$2:O$2576,T2408),"")</f>
        <v/>
      </c>
      <c r="G2408" s="43"/>
      <c r="H2408" s="40" t="str" cm="1">
        <f t="array" ref="H2408">IFERROR(INDEX(DB!P$2:P$2576,T2408),"")</f>
        <v/>
      </c>
      <c r="I2408" s="43"/>
      <c r="J2408" s="53" t="str" cm="1">
        <f t="array" ref="J2408">IFERROR(INDEX(DB!Q$2:Q$2576,T2408),"")</f>
        <v/>
      </c>
      <c r="K2408" s="43"/>
      <c r="L2408" s="41" t="str" cm="1">
        <f t="array" ref="L2408">IFERROR(INDEX(DB!R$2:R$2576,T2408),"")</f>
        <v/>
      </c>
      <c r="M2408" s="43"/>
      <c r="P2408" t="str" cm="1">
        <f t="array" ref="P2408">IFERROR(_xlfn.AGGREGATE(15,6,ROW(DB!A$2:A$2576)/((($D$3&lt;&gt;"YES")+($D$3="YES")*(DB!E$2:E$2576="YES"))*(($D$4="")+($D$4&lt;&gt;"")*( DB!B$2:B$2576=$D$4))*(($D$5="")+($D$5&lt;&gt;"")*( DB!C$2:C$2576=$D$5))*(($D$6="")+($D$6&lt;&gt;"")*( DB!D$2:D$2576=$D$6))*(($D$7="")+($D$7&lt;&gt;"")*(ISNUMBER(SEARCH($D$7,DB!G$2:G$2576))))*(($F$7="전체")+($F$7&lt;&gt;"전체")*(DB!H$2:H$2576=$F$7))),ROW()-13)-1,"")</f>
        <v/>
      </c>
      <c r="Q2408" t="str" cm="1">
        <f t="array" ref="Q2408">IFERROR(INDEX(DB!G$2:G$2576,P2408),"")</f>
        <v/>
      </c>
      <c r="R2408" t="str" cm="1">
        <f t="array" ref="R2408">IFERROR(INDEX(DB!O$2:O$2576,P2408),"")</f>
        <v/>
      </c>
      <c r="S2408" t="str">
        <f t="shared" si="114"/>
        <v/>
      </c>
      <c r="T2408" t="str">
        <f t="shared" si="115"/>
        <v/>
      </c>
    </row>
    <row r="2409" spans="1:20" ht="100" customHeight="1">
      <c r="A2409" s="26"/>
      <c r="B2409" s="42" t="str">
        <f t="shared" si="113"/>
        <v/>
      </c>
      <c r="C2409" s="43"/>
      <c r="D2409" s="51" t="str" cm="1">
        <f t="array" ref="D2409">IFERROR(INDEX(DB!G$2:G$2576,T2409),"")</f>
        <v/>
      </c>
      <c r="E2409" s="43"/>
      <c r="F2409" s="52" t="str" cm="1">
        <f t="array" ref="F2409">IFERROR(INDEX(DB!O$2:O$2576,T2409),"")</f>
        <v/>
      </c>
      <c r="G2409" s="43"/>
      <c r="H2409" s="40" t="str" cm="1">
        <f t="array" ref="H2409">IFERROR(INDEX(DB!P$2:P$2576,T2409),"")</f>
        <v/>
      </c>
      <c r="I2409" s="43"/>
      <c r="J2409" s="53" t="str" cm="1">
        <f t="array" ref="J2409">IFERROR(INDEX(DB!Q$2:Q$2576,T2409),"")</f>
        <v/>
      </c>
      <c r="K2409" s="43"/>
      <c r="L2409" s="41" t="str" cm="1">
        <f t="array" ref="L2409">IFERROR(INDEX(DB!R$2:R$2576,T2409),"")</f>
        <v/>
      </c>
      <c r="M2409" s="43"/>
      <c r="P2409" t="str" cm="1">
        <f t="array" ref="P2409">IFERROR(_xlfn.AGGREGATE(15,6,ROW(DB!A$2:A$2576)/((($D$3&lt;&gt;"YES")+($D$3="YES")*(DB!E$2:E$2576="YES"))*(($D$4="")+($D$4&lt;&gt;"")*( DB!B$2:B$2576=$D$4))*(($D$5="")+($D$5&lt;&gt;"")*( DB!C$2:C$2576=$D$5))*(($D$6="")+($D$6&lt;&gt;"")*( DB!D$2:D$2576=$D$6))*(($D$7="")+($D$7&lt;&gt;"")*(ISNUMBER(SEARCH($D$7,DB!G$2:G$2576))))*(($F$7="전체")+($F$7&lt;&gt;"전체")*(DB!H$2:H$2576=$F$7))),ROW()-13)-1,"")</f>
        <v/>
      </c>
      <c r="Q2409" t="str" cm="1">
        <f t="array" ref="Q2409">IFERROR(INDEX(DB!G$2:G$2576,P2409),"")</f>
        <v/>
      </c>
      <c r="R2409" t="str" cm="1">
        <f t="array" ref="R2409">IFERROR(INDEX(DB!O$2:O$2576,P2409),"")</f>
        <v/>
      </c>
      <c r="S2409" t="str">
        <f t="shared" si="114"/>
        <v/>
      </c>
      <c r="T2409" t="str">
        <f t="shared" si="115"/>
        <v/>
      </c>
    </row>
    <row r="2410" spans="1:20" ht="100" customHeight="1">
      <c r="A2410" s="26"/>
      <c r="B2410" s="39" t="str">
        <f t="shared" si="113"/>
        <v/>
      </c>
      <c r="C2410" s="43"/>
      <c r="D2410" s="51" t="str" cm="1">
        <f t="array" ref="D2410">IFERROR(INDEX(DB!G$2:G$2576,T2410),"")</f>
        <v/>
      </c>
      <c r="E2410" s="43"/>
      <c r="F2410" s="52" t="str" cm="1">
        <f t="array" ref="F2410">IFERROR(INDEX(DB!O$2:O$2576,T2410),"")</f>
        <v/>
      </c>
      <c r="G2410" s="43"/>
      <c r="H2410" s="40" t="str" cm="1">
        <f t="array" ref="H2410">IFERROR(INDEX(DB!P$2:P$2576,T2410),"")</f>
        <v/>
      </c>
      <c r="I2410" s="43"/>
      <c r="J2410" s="53" t="str" cm="1">
        <f t="array" ref="J2410">IFERROR(INDEX(DB!Q$2:Q$2576,T2410),"")</f>
        <v/>
      </c>
      <c r="K2410" s="43"/>
      <c r="L2410" s="41" t="str" cm="1">
        <f t="array" ref="L2410">IFERROR(INDEX(DB!R$2:R$2576,T2410),"")</f>
        <v/>
      </c>
      <c r="M2410" s="43"/>
      <c r="P2410" t="str" cm="1">
        <f t="array" ref="P2410">IFERROR(_xlfn.AGGREGATE(15,6,ROW(DB!A$2:A$2576)/((($D$3&lt;&gt;"YES")+($D$3="YES")*(DB!E$2:E$2576="YES"))*(($D$4="")+($D$4&lt;&gt;"")*( DB!B$2:B$2576=$D$4))*(($D$5="")+($D$5&lt;&gt;"")*( DB!C$2:C$2576=$D$5))*(($D$6="")+($D$6&lt;&gt;"")*( DB!D$2:D$2576=$D$6))*(($D$7="")+($D$7&lt;&gt;"")*(ISNUMBER(SEARCH($D$7,DB!G$2:G$2576))))*(($F$7="전체")+($F$7&lt;&gt;"전체")*(DB!H$2:H$2576=$F$7))),ROW()-13)-1,"")</f>
        <v/>
      </c>
      <c r="Q2410" t="str" cm="1">
        <f t="array" ref="Q2410">IFERROR(INDEX(DB!G$2:G$2576,P2410),"")</f>
        <v/>
      </c>
      <c r="R2410" t="str" cm="1">
        <f t="array" ref="R2410">IFERROR(INDEX(DB!O$2:O$2576,P2410),"")</f>
        <v/>
      </c>
      <c r="S2410" t="str">
        <f t="shared" si="114"/>
        <v/>
      </c>
      <c r="T2410" t="str">
        <f t="shared" si="115"/>
        <v/>
      </c>
    </row>
    <row r="2411" spans="1:20" ht="100" customHeight="1">
      <c r="A2411" s="26"/>
      <c r="B2411" s="42" t="str">
        <f t="shared" si="113"/>
        <v/>
      </c>
      <c r="C2411" s="43"/>
      <c r="D2411" s="51" t="str" cm="1">
        <f t="array" ref="D2411">IFERROR(INDEX(DB!G$2:G$2576,T2411),"")</f>
        <v/>
      </c>
      <c r="E2411" s="43"/>
      <c r="F2411" s="52" t="str" cm="1">
        <f t="array" ref="F2411">IFERROR(INDEX(DB!O$2:O$2576,T2411),"")</f>
        <v/>
      </c>
      <c r="G2411" s="43"/>
      <c r="H2411" s="40" t="str" cm="1">
        <f t="array" ref="H2411">IFERROR(INDEX(DB!P$2:P$2576,T2411),"")</f>
        <v/>
      </c>
      <c r="I2411" s="43"/>
      <c r="J2411" s="53" t="str" cm="1">
        <f t="array" ref="J2411">IFERROR(INDEX(DB!Q$2:Q$2576,T2411),"")</f>
        <v/>
      </c>
      <c r="K2411" s="43"/>
      <c r="L2411" s="41" t="str" cm="1">
        <f t="array" ref="L2411">IFERROR(INDEX(DB!R$2:R$2576,T2411),"")</f>
        <v/>
      </c>
      <c r="M2411" s="43"/>
      <c r="P2411" t="str" cm="1">
        <f t="array" ref="P2411">IFERROR(_xlfn.AGGREGATE(15,6,ROW(DB!A$2:A$2576)/((($D$3&lt;&gt;"YES")+($D$3="YES")*(DB!E$2:E$2576="YES"))*(($D$4="")+($D$4&lt;&gt;"")*( DB!B$2:B$2576=$D$4))*(($D$5="")+($D$5&lt;&gt;"")*( DB!C$2:C$2576=$D$5))*(($D$6="")+($D$6&lt;&gt;"")*( DB!D$2:D$2576=$D$6))*(($D$7="")+($D$7&lt;&gt;"")*(ISNUMBER(SEARCH($D$7,DB!G$2:G$2576))))*(($F$7="전체")+($F$7&lt;&gt;"전체")*(DB!H$2:H$2576=$F$7))),ROW()-13)-1,"")</f>
        <v/>
      </c>
      <c r="Q2411" t="str" cm="1">
        <f t="array" ref="Q2411">IFERROR(INDEX(DB!G$2:G$2576,P2411),"")</f>
        <v/>
      </c>
      <c r="R2411" t="str" cm="1">
        <f t="array" ref="R2411">IFERROR(INDEX(DB!O$2:O$2576,P2411),"")</f>
        <v/>
      </c>
      <c r="S2411" t="str">
        <f t="shared" si="114"/>
        <v/>
      </c>
      <c r="T2411" t="str">
        <f t="shared" si="115"/>
        <v/>
      </c>
    </row>
    <row r="2412" spans="1:20" ht="100" customHeight="1">
      <c r="A2412" s="26"/>
      <c r="B2412" s="39" t="str">
        <f t="shared" si="113"/>
        <v/>
      </c>
      <c r="C2412" s="43"/>
      <c r="D2412" s="51" t="str" cm="1">
        <f t="array" ref="D2412">IFERROR(INDEX(DB!G$2:G$2576,T2412),"")</f>
        <v/>
      </c>
      <c r="E2412" s="43"/>
      <c r="F2412" s="52" t="str" cm="1">
        <f t="array" ref="F2412">IFERROR(INDEX(DB!O$2:O$2576,T2412),"")</f>
        <v/>
      </c>
      <c r="G2412" s="43"/>
      <c r="H2412" s="40" t="str" cm="1">
        <f t="array" ref="H2412">IFERROR(INDEX(DB!P$2:P$2576,T2412),"")</f>
        <v/>
      </c>
      <c r="I2412" s="43"/>
      <c r="J2412" s="53" t="str" cm="1">
        <f t="array" ref="J2412">IFERROR(INDEX(DB!Q$2:Q$2576,T2412),"")</f>
        <v/>
      </c>
      <c r="K2412" s="43"/>
      <c r="L2412" s="41" t="str" cm="1">
        <f t="array" ref="L2412">IFERROR(INDEX(DB!R$2:R$2576,T2412),"")</f>
        <v/>
      </c>
      <c r="M2412" s="43"/>
      <c r="P2412" t="str" cm="1">
        <f t="array" ref="P2412">IFERROR(_xlfn.AGGREGATE(15,6,ROW(DB!A$2:A$2576)/((($D$3&lt;&gt;"YES")+($D$3="YES")*(DB!E$2:E$2576="YES"))*(($D$4="")+($D$4&lt;&gt;"")*( DB!B$2:B$2576=$D$4))*(($D$5="")+($D$5&lt;&gt;"")*( DB!C$2:C$2576=$D$5))*(($D$6="")+($D$6&lt;&gt;"")*( DB!D$2:D$2576=$D$6))*(($D$7="")+($D$7&lt;&gt;"")*(ISNUMBER(SEARCH($D$7,DB!G$2:G$2576))))*(($F$7="전체")+($F$7&lt;&gt;"전체")*(DB!H$2:H$2576=$F$7))),ROW()-13)-1,"")</f>
        <v/>
      </c>
      <c r="Q2412" t="str" cm="1">
        <f t="array" ref="Q2412">IFERROR(INDEX(DB!G$2:G$2576,P2412),"")</f>
        <v/>
      </c>
      <c r="R2412" t="str" cm="1">
        <f t="array" ref="R2412">IFERROR(INDEX(DB!O$2:O$2576,P2412),"")</f>
        <v/>
      </c>
      <c r="S2412" t="str">
        <f t="shared" si="114"/>
        <v/>
      </c>
      <c r="T2412" t="str">
        <f t="shared" si="115"/>
        <v/>
      </c>
    </row>
    <row r="2413" spans="1:20" ht="100" customHeight="1">
      <c r="A2413" s="26"/>
      <c r="B2413" s="42" t="str">
        <f t="shared" si="113"/>
        <v/>
      </c>
      <c r="C2413" s="43"/>
      <c r="D2413" s="51" t="str" cm="1">
        <f t="array" ref="D2413">IFERROR(INDEX(DB!G$2:G$2576,T2413),"")</f>
        <v/>
      </c>
      <c r="E2413" s="43"/>
      <c r="F2413" s="52" t="str" cm="1">
        <f t="array" ref="F2413">IFERROR(INDEX(DB!O$2:O$2576,T2413),"")</f>
        <v/>
      </c>
      <c r="G2413" s="43"/>
      <c r="H2413" s="40" t="str" cm="1">
        <f t="array" ref="H2413">IFERROR(INDEX(DB!P$2:P$2576,T2413),"")</f>
        <v/>
      </c>
      <c r="I2413" s="43"/>
      <c r="J2413" s="53" t="str" cm="1">
        <f t="array" ref="J2413">IFERROR(INDEX(DB!Q$2:Q$2576,T2413),"")</f>
        <v/>
      </c>
      <c r="K2413" s="43"/>
      <c r="L2413" s="41" t="str" cm="1">
        <f t="array" ref="L2413">IFERROR(INDEX(DB!R$2:R$2576,T2413),"")</f>
        <v/>
      </c>
      <c r="M2413" s="43"/>
      <c r="P2413" t="str" cm="1">
        <f t="array" ref="P2413">IFERROR(_xlfn.AGGREGATE(15,6,ROW(DB!A$2:A$2576)/((($D$3&lt;&gt;"YES")+($D$3="YES")*(DB!E$2:E$2576="YES"))*(($D$4="")+($D$4&lt;&gt;"")*( DB!B$2:B$2576=$D$4))*(($D$5="")+($D$5&lt;&gt;"")*( DB!C$2:C$2576=$D$5))*(($D$6="")+($D$6&lt;&gt;"")*( DB!D$2:D$2576=$D$6))*(($D$7="")+($D$7&lt;&gt;"")*(ISNUMBER(SEARCH($D$7,DB!G$2:G$2576))))*(($F$7="전체")+($F$7&lt;&gt;"전체")*(DB!H$2:H$2576=$F$7))),ROW()-13)-1,"")</f>
        <v/>
      </c>
      <c r="Q2413" t="str" cm="1">
        <f t="array" ref="Q2413">IFERROR(INDEX(DB!G$2:G$2576,P2413),"")</f>
        <v/>
      </c>
      <c r="R2413" t="str" cm="1">
        <f t="array" ref="R2413">IFERROR(INDEX(DB!O$2:O$2576,P2413),"")</f>
        <v/>
      </c>
      <c r="S2413" t="str">
        <f t="shared" si="114"/>
        <v/>
      </c>
      <c r="T2413" t="str">
        <f t="shared" si="115"/>
        <v/>
      </c>
    </row>
    <row r="2414" spans="1:20" ht="100" customHeight="1">
      <c r="A2414" s="26"/>
      <c r="B2414" s="39" t="str">
        <f t="shared" si="113"/>
        <v/>
      </c>
      <c r="C2414" s="43"/>
      <c r="D2414" s="51" t="str" cm="1">
        <f t="array" ref="D2414">IFERROR(INDEX(DB!G$2:G$2576,T2414),"")</f>
        <v/>
      </c>
      <c r="E2414" s="43"/>
      <c r="F2414" s="52" t="str" cm="1">
        <f t="array" ref="F2414">IFERROR(INDEX(DB!O$2:O$2576,T2414),"")</f>
        <v/>
      </c>
      <c r="G2414" s="43"/>
      <c r="H2414" s="40" t="str" cm="1">
        <f t="array" ref="H2414">IFERROR(INDEX(DB!P$2:P$2576,T2414),"")</f>
        <v/>
      </c>
      <c r="I2414" s="43"/>
      <c r="J2414" s="53" t="str" cm="1">
        <f t="array" ref="J2414">IFERROR(INDEX(DB!Q$2:Q$2576,T2414),"")</f>
        <v/>
      </c>
      <c r="K2414" s="43"/>
      <c r="L2414" s="41" t="str" cm="1">
        <f t="array" ref="L2414">IFERROR(INDEX(DB!R$2:R$2576,T2414),"")</f>
        <v/>
      </c>
      <c r="M2414" s="43"/>
      <c r="P2414" t="str" cm="1">
        <f t="array" ref="P2414">IFERROR(_xlfn.AGGREGATE(15,6,ROW(DB!A$2:A$2576)/((($D$3&lt;&gt;"YES")+($D$3="YES")*(DB!E$2:E$2576="YES"))*(($D$4="")+($D$4&lt;&gt;"")*( DB!B$2:B$2576=$D$4))*(($D$5="")+($D$5&lt;&gt;"")*( DB!C$2:C$2576=$D$5))*(($D$6="")+($D$6&lt;&gt;"")*( DB!D$2:D$2576=$D$6))*(($D$7="")+($D$7&lt;&gt;"")*(ISNUMBER(SEARCH($D$7,DB!G$2:G$2576))))*(($F$7="전체")+($F$7&lt;&gt;"전체")*(DB!H$2:H$2576=$F$7))),ROW()-13)-1,"")</f>
        <v/>
      </c>
      <c r="Q2414" t="str" cm="1">
        <f t="array" ref="Q2414">IFERROR(INDEX(DB!G$2:G$2576,P2414),"")</f>
        <v/>
      </c>
      <c r="R2414" t="str" cm="1">
        <f t="array" ref="R2414">IFERROR(INDEX(DB!O$2:O$2576,P2414),"")</f>
        <v/>
      </c>
      <c r="S2414" t="str">
        <f t="shared" si="114"/>
        <v/>
      </c>
      <c r="T2414" t="str">
        <f t="shared" si="115"/>
        <v/>
      </c>
    </row>
    <row r="2415" spans="1:20" ht="100" customHeight="1">
      <c r="A2415" s="26"/>
      <c r="B2415" s="42" t="str">
        <f t="shared" si="113"/>
        <v/>
      </c>
      <c r="C2415" s="43"/>
      <c r="D2415" s="51" t="str" cm="1">
        <f t="array" ref="D2415">IFERROR(INDEX(DB!G$2:G$2576,T2415),"")</f>
        <v/>
      </c>
      <c r="E2415" s="43"/>
      <c r="F2415" s="52" t="str" cm="1">
        <f t="array" ref="F2415">IFERROR(INDEX(DB!O$2:O$2576,T2415),"")</f>
        <v/>
      </c>
      <c r="G2415" s="43"/>
      <c r="H2415" s="40" t="str" cm="1">
        <f t="array" ref="H2415">IFERROR(INDEX(DB!P$2:P$2576,T2415),"")</f>
        <v/>
      </c>
      <c r="I2415" s="43"/>
      <c r="J2415" s="53" t="str" cm="1">
        <f t="array" ref="J2415">IFERROR(INDEX(DB!Q$2:Q$2576,T2415),"")</f>
        <v/>
      </c>
      <c r="K2415" s="43"/>
      <c r="L2415" s="41" t="str" cm="1">
        <f t="array" ref="L2415">IFERROR(INDEX(DB!R$2:R$2576,T2415),"")</f>
        <v/>
      </c>
      <c r="M2415" s="43"/>
      <c r="P2415" t="str" cm="1">
        <f t="array" ref="P2415">IFERROR(_xlfn.AGGREGATE(15,6,ROW(DB!A$2:A$2576)/((($D$3&lt;&gt;"YES")+($D$3="YES")*(DB!E$2:E$2576="YES"))*(($D$4="")+($D$4&lt;&gt;"")*( DB!B$2:B$2576=$D$4))*(($D$5="")+($D$5&lt;&gt;"")*( DB!C$2:C$2576=$D$5))*(($D$6="")+($D$6&lt;&gt;"")*( DB!D$2:D$2576=$D$6))*(($D$7="")+($D$7&lt;&gt;"")*(ISNUMBER(SEARCH($D$7,DB!G$2:G$2576))))*(($F$7="전체")+($F$7&lt;&gt;"전체")*(DB!H$2:H$2576=$F$7))),ROW()-13)-1,"")</f>
        <v/>
      </c>
      <c r="Q2415" t="str" cm="1">
        <f t="array" ref="Q2415">IFERROR(INDEX(DB!G$2:G$2576,P2415),"")</f>
        <v/>
      </c>
      <c r="R2415" t="str" cm="1">
        <f t="array" ref="R2415">IFERROR(INDEX(DB!O$2:O$2576,P2415),"")</f>
        <v/>
      </c>
      <c r="S2415" t="str">
        <f t="shared" si="114"/>
        <v/>
      </c>
      <c r="T2415" t="str">
        <f t="shared" si="115"/>
        <v/>
      </c>
    </row>
    <row r="2416" spans="1:20" ht="100" customHeight="1">
      <c r="A2416" s="26"/>
      <c r="B2416" s="39" t="str">
        <f t="shared" si="113"/>
        <v/>
      </c>
      <c r="C2416" s="43"/>
      <c r="D2416" s="51" t="str" cm="1">
        <f t="array" ref="D2416">IFERROR(INDEX(DB!G$2:G$2576,T2416),"")</f>
        <v/>
      </c>
      <c r="E2416" s="43"/>
      <c r="F2416" s="52" t="str" cm="1">
        <f t="array" ref="F2416">IFERROR(INDEX(DB!O$2:O$2576,T2416),"")</f>
        <v/>
      </c>
      <c r="G2416" s="43"/>
      <c r="H2416" s="40" t="str" cm="1">
        <f t="array" ref="H2416">IFERROR(INDEX(DB!P$2:P$2576,T2416),"")</f>
        <v/>
      </c>
      <c r="I2416" s="43"/>
      <c r="J2416" s="53" t="str" cm="1">
        <f t="array" ref="J2416">IFERROR(INDEX(DB!Q$2:Q$2576,T2416),"")</f>
        <v/>
      </c>
      <c r="K2416" s="43"/>
      <c r="L2416" s="41" t="str" cm="1">
        <f t="array" ref="L2416">IFERROR(INDEX(DB!R$2:R$2576,T2416),"")</f>
        <v/>
      </c>
      <c r="M2416" s="43"/>
      <c r="P2416" t="str" cm="1">
        <f t="array" ref="P2416">IFERROR(_xlfn.AGGREGATE(15,6,ROW(DB!A$2:A$2576)/((($D$3&lt;&gt;"YES")+($D$3="YES")*(DB!E$2:E$2576="YES"))*(($D$4="")+($D$4&lt;&gt;"")*( DB!B$2:B$2576=$D$4))*(($D$5="")+($D$5&lt;&gt;"")*( DB!C$2:C$2576=$D$5))*(($D$6="")+($D$6&lt;&gt;"")*( DB!D$2:D$2576=$D$6))*(($D$7="")+($D$7&lt;&gt;"")*(ISNUMBER(SEARCH($D$7,DB!G$2:G$2576))))*(($F$7="전체")+($F$7&lt;&gt;"전체")*(DB!H$2:H$2576=$F$7))),ROW()-13)-1,"")</f>
        <v/>
      </c>
      <c r="Q2416" t="str" cm="1">
        <f t="array" ref="Q2416">IFERROR(INDEX(DB!G$2:G$2576,P2416),"")</f>
        <v/>
      </c>
      <c r="R2416" t="str" cm="1">
        <f t="array" ref="R2416">IFERROR(INDEX(DB!O$2:O$2576,P2416),"")</f>
        <v/>
      </c>
      <c r="S2416" t="str">
        <f t="shared" si="114"/>
        <v/>
      </c>
      <c r="T2416" t="str">
        <f t="shared" si="115"/>
        <v/>
      </c>
    </row>
    <row r="2417" spans="1:20" ht="100" customHeight="1">
      <c r="A2417" s="26"/>
      <c r="B2417" s="42" t="str">
        <f t="shared" si="113"/>
        <v/>
      </c>
      <c r="C2417" s="43"/>
      <c r="D2417" s="51" t="str" cm="1">
        <f t="array" ref="D2417">IFERROR(INDEX(DB!G$2:G$2576,T2417),"")</f>
        <v/>
      </c>
      <c r="E2417" s="43"/>
      <c r="F2417" s="52" t="str" cm="1">
        <f t="array" ref="F2417">IFERROR(INDEX(DB!O$2:O$2576,T2417),"")</f>
        <v/>
      </c>
      <c r="G2417" s="43"/>
      <c r="H2417" s="40" t="str" cm="1">
        <f t="array" ref="H2417">IFERROR(INDEX(DB!P$2:P$2576,T2417),"")</f>
        <v/>
      </c>
      <c r="I2417" s="43"/>
      <c r="J2417" s="53" t="str" cm="1">
        <f t="array" ref="J2417">IFERROR(INDEX(DB!Q$2:Q$2576,T2417),"")</f>
        <v/>
      </c>
      <c r="K2417" s="43"/>
      <c r="L2417" s="41" t="str" cm="1">
        <f t="array" ref="L2417">IFERROR(INDEX(DB!R$2:R$2576,T2417),"")</f>
        <v/>
      </c>
      <c r="M2417" s="43"/>
      <c r="P2417" t="str" cm="1">
        <f t="array" ref="P2417">IFERROR(_xlfn.AGGREGATE(15,6,ROW(DB!A$2:A$2576)/((($D$3&lt;&gt;"YES")+($D$3="YES")*(DB!E$2:E$2576="YES"))*(($D$4="")+($D$4&lt;&gt;"")*( DB!B$2:B$2576=$D$4))*(($D$5="")+($D$5&lt;&gt;"")*( DB!C$2:C$2576=$D$5))*(($D$6="")+($D$6&lt;&gt;"")*( DB!D$2:D$2576=$D$6))*(($D$7="")+($D$7&lt;&gt;"")*(ISNUMBER(SEARCH($D$7,DB!G$2:G$2576))))*(($F$7="전체")+($F$7&lt;&gt;"전체")*(DB!H$2:H$2576=$F$7))),ROW()-13)-1,"")</f>
        <v/>
      </c>
      <c r="Q2417" t="str" cm="1">
        <f t="array" ref="Q2417">IFERROR(INDEX(DB!G$2:G$2576,P2417),"")</f>
        <v/>
      </c>
      <c r="R2417" t="str" cm="1">
        <f t="array" ref="R2417">IFERROR(INDEX(DB!O$2:O$2576,P2417),"")</f>
        <v/>
      </c>
      <c r="S2417" t="str">
        <f t="shared" si="114"/>
        <v/>
      </c>
      <c r="T2417" t="str">
        <f t="shared" si="115"/>
        <v/>
      </c>
    </row>
    <row r="2418" spans="1:20" ht="100" customHeight="1">
      <c r="A2418" s="26"/>
      <c r="B2418" s="39" t="str">
        <f t="shared" si="113"/>
        <v/>
      </c>
      <c r="C2418" s="43"/>
      <c r="D2418" s="51" t="str" cm="1">
        <f t="array" ref="D2418">IFERROR(INDEX(DB!G$2:G$2576,T2418),"")</f>
        <v/>
      </c>
      <c r="E2418" s="43"/>
      <c r="F2418" s="52" t="str" cm="1">
        <f t="array" ref="F2418">IFERROR(INDEX(DB!O$2:O$2576,T2418),"")</f>
        <v/>
      </c>
      <c r="G2418" s="43"/>
      <c r="H2418" s="40" t="str" cm="1">
        <f t="array" ref="H2418">IFERROR(INDEX(DB!P$2:P$2576,T2418),"")</f>
        <v/>
      </c>
      <c r="I2418" s="43"/>
      <c r="J2418" s="53" t="str" cm="1">
        <f t="array" ref="J2418">IFERROR(INDEX(DB!Q$2:Q$2576,T2418),"")</f>
        <v/>
      </c>
      <c r="K2418" s="43"/>
      <c r="L2418" s="41" t="str" cm="1">
        <f t="array" ref="L2418">IFERROR(INDEX(DB!R$2:R$2576,T2418),"")</f>
        <v/>
      </c>
      <c r="M2418" s="43"/>
      <c r="P2418" t="str" cm="1">
        <f t="array" ref="P2418">IFERROR(_xlfn.AGGREGATE(15,6,ROW(DB!A$2:A$2576)/((($D$3&lt;&gt;"YES")+($D$3="YES")*(DB!E$2:E$2576="YES"))*(($D$4="")+($D$4&lt;&gt;"")*( DB!B$2:B$2576=$D$4))*(($D$5="")+($D$5&lt;&gt;"")*( DB!C$2:C$2576=$D$5))*(($D$6="")+($D$6&lt;&gt;"")*( DB!D$2:D$2576=$D$6))*(($D$7="")+($D$7&lt;&gt;"")*(ISNUMBER(SEARCH($D$7,DB!G$2:G$2576))))*(($F$7="전체")+($F$7&lt;&gt;"전체")*(DB!H$2:H$2576=$F$7))),ROW()-13)-1,"")</f>
        <v/>
      </c>
      <c r="Q2418" t="str" cm="1">
        <f t="array" ref="Q2418">IFERROR(INDEX(DB!G$2:G$2576,P2418),"")</f>
        <v/>
      </c>
      <c r="R2418" t="str" cm="1">
        <f t="array" ref="R2418">IFERROR(INDEX(DB!O$2:O$2576,P2418),"")</f>
        <v/>
      </c>
      <c r="S2418" t="str">
        <f t="shared" si="114"/>
        <v/>
      </c>
      <c r="T2418" t="str">
        <f t="shared" si="115"/>
        <v/>
      </c>
    </row>
    <row r="2419" spans="1:20" ht="100" customHeight="1">
      <c r="A2419" s="26"/>
      <c r="B2419" s="42" t="str">
        <f t="shared" si="113"/>
        <v/>
      </c>
      <c r="C2419" s="43"/>
      <c r="D2419" s="51" t="str" cm="1">
        <f t="array" ref="D2419">IFERROR(INDEX(DB!G$2:G$2576,T2419),"")</f>
        <v/>
      </c>
      <c r="E2419" s="43"/>
      <c r="F2419" s="52" t="str" cm="1">
        <f t="array" ref="F2419">IFERROR(INDEX(DB!O$2:O$2576,T2419),"")</f>
        <v/>
      </c>
      <c r="G2419" s="43"/>
      <c r="H2419" s="40" t="str" cm="1">
        <f t="array" ref="H2419">IFERROR(INDEX(DB!P$2:P$2576,T2419),"")</f>
        <v/>
      </c>
      <c r="I2419" s="43"/>
      <c r="J2419" s="53" t="str" cm="1">
        <f t="array" ref="J2419">IFERROR(INDEX(DB!Q$2:Q$2576,T2419),"")</f>
        <v/>
      </c>
      <c r="K2419" s="43"/>
      <c r="L2419" s="41" t="str" cm="1">
        <f t="array" ref="L2419">IFERROR(INDEX(DB!R$2:R$2576,T2419),"")</f>
        <v/>
      </c>
      <c r="M2419" s="43"/>
      <c r="P2419" t="str" cm="1">
        <f t="array" ref="P2419">IFERROR(_xlfn.AGGREGATE(15,6,ROW(DB!A$2:A$2576)/((($D$3&lt;&gt;"YES")+($D$3="YES")*(DB!E$2:E$2576="YES"))*(($D$4="")+($D$4&lt;&gt;"")*( DB!B$2:B$2576=$D$4))*(($D$5="")+($D$5&lt;&gt;"")*( DB!C$2:C$2576=$D$5))*(($D$6="")+($D$6&lt;&gt;"")*( DB!D$2:D$2576=$D$6))*(($D$7="")+($D$7&lt;&gt;"")*(ISNUMBER(SEARCH($D$7,DB!G$2:G$2576))))*(($F$7="전체")+($F$7&lt;&gt;"전체")*(DB!H$2:H$2576=$F$7))),ROW()-13)-1,"")</f>
        <v/>
      </c>
      <c r="Q2419" t="str" cm="1">
        <f t="array" ref="Q2419">IFERROR(INDEX(DB!G$2:G$2576,P2419),"")</f>
        <v/>
      </c>
      <c r="R2419" t="str" cm="1">
        <f t="array" ref="R2419">IFERROR(INDEX(DB!O$2:O$2576,P2419),"")</f>
        <v/>
      </c>
      <c r="S2419" t="str">
        <f t="shared" si="114"/>
        <v/>
      </c>
      <c r="T2419" t="str">
        <f t="shared" si="115"/>
        <v/>
      </c>
    </row>
    <row r="2420" spans="1:20" ht="100" customHeight="1">
      <c r="A2420" s="26"/>
      <c r="B2420" s="39" t="str">
        <f t="shared" si="113"/>
        <v/>
      </c>
      <c r="C2420" s="43"/>
      <c r="D2420" s="51" t="str" cm="1">
        <f t="array" ref="D2420">IFERROR(INDEX(DB!G$2:G$2576,T2420),"")</f>
        <v/>
      </c>
      <c r="E2420" s="43"/>
      <c r="F2420" s="52" t="str" cm="1">
        <f t="array" ref="F2420">IFERROR(INDEX(DB!O$2:O$2576,T2420),"")</f>
        <v/>
      </c>
      <c r="G2420" s="43"/>
      <c r="H2420" s="40" t="str" cm="1">
        <f t="array" ref="H2420">IFERROR(INDEX(DB!P$2:P$2576,T2420),"")</f>
        <v/>
      </c>
      <c r="I2420" s="43"/>
      <c r="J2420" s="53" t="str" cm="1">
        <f t="array" ref="J2420">IFERROR(INDEX(DB!Q$2:Q$2576,T2420),"")</f>
        <v/>
      </c>
      <c r="K2420" s="43"/>
      <c r="L2420" s="41" t="str" cm="1">
        <f t="array" ref="L2420">IFERROR(INDEX(DB!R$2:R$2576,T2420),"")</f>
        <v/>
      </c>
      <c r="M2420" s="43"/>
      <c r="P2420" t="str" cm="1">
        <f t="array" ref="P2420">IFERROR(_xlfn.AGGREGATE(15,6,ROW(DB!A$2:A$2576)/((($D$3&lt;&gt;"YES")+($D$3="YES")*(DB!E$2:E$2576="YES"))*(($D$4="")+($D$4&lt;&gt;"")*( DB!B$2:B$2576=$D$4))*(($D$5="")+($D$5&lt;&gt;"")*( DB!C$2:C$2576=$D$5))*(($D$6="")+($D$6&lt;&gt;"")*( DB!D$2:D$2576=$D$6))*(($D$7="")+($D$7&lt;&gt;"")*(ISNUMBER(SEARCH($D$7,DB!G$2:G$2576))))*(($F$7="전체")+($F$7&lt;&gt;"전체")*(DB!H$2:H$2576=$F$7))),ROW()-13)-1,"")</f>
        <v/>
      </c>
      <c r="Q2420" t="str" cm="1">
        <f t="array" ref="Q2420">IFERROR(INDEX(DB!G$2:G$2576,P2420),"")</f>
        <v/>
      </c>
      <c r="R2420" t="str" cm="1">
        <f t="array" ref="R2420">IFERROR(INDEX(DB!O$2:O$2576,P2420),"")</f>
        <v/>
      </c>
      <c r="S2420" t="str">
        <f t="shared" si="114"/>
        <v/>
      </c>
      <c r="T2420" t="str">
        <f t="shared" si="115"/>
        <v/>
      </c>
    </row>
    <row r="2421" spans="1:20" ht="100" customHeight="1">
      <c r="A2421" s="26"/>
      <c r="B2421" s="42" t="str">
        <f t="shared" si="113"/>
        <v/>
      </c>
      <c r="C2421" s="43"/>
      <c r="D2421" s="51" t="str" cm="1">
        <f t="array" ref="D2421">IFERROR(INDEX(DB!G$2:G$2576,T2421),"")</f>
        <v/>
      </c>
      <c r="E2421" s="43"/>
      <c r="F2421" s="52" t="str" cm="1">
        <f t="array" ref="F2421">IFERROR(INDEX(DB!O$2:O$2576,T2421),"")</f>
        <v/>
      </c>
      <c r="G2421" s="43"/>
      <c r="H2421" s="40" t="str" cm="1">
        <f t="array" ref="H2421">IFERROR(INDEX(DB!P$2:P$2576,T2421),"")</f>
        <v/>
      </c>
      <c r="I2421" s="43"/>
      <c r="J2421" s="53" t="str" cm="1">
        <f t="array" ref="J2421">IFERROR(INDEX(DB!Q$2:Q$2576,T2421),"")</f>
        <v/>
      </c>
      <c r="K2421" s="43"/>
      <c r="L2421" s="41" t="str" cm="1">
        <f t="array" ref="L2421">IFERROR(INDEX(DB!R$2:R$2576,T2421),"")</f>
        <v/>
      </c>
      <c r="M2421" s="43"/>
      <c r="P2421" t="str" cm="1">
        <f t="array" ref="P2421">IFERROR(_xlfn.AGGREGATE(15,6,ROW(DB!A$2:A$2576)/((($D$3&lt;&gt;"YES")+($D$3="YES")*(DB!E$2:E$2576="YES"))*(($D$4="")+($D$4&lt;&gt;"")*( DB!B$2:B$2576=$D$4))*(($D$5="")+($D$5&lt;&gt;"")*( DB!C$2:C$2576=$D$5))*(($D$6="")+($D$6&lt;&gt;"")*( DB!D$2:D$2576=$D$6))*(($D$7="")+($D$7&lt;&gt;"")*(ISNUMBER(SEARCH($D$7,DB!G$2:G$2576))))*(($F$7="전체")+($F$7&lt;&gt;"전체")*(DB!H$2:H$2576=$F$7))),ROW()-13)-1,"")</f>
        <v/>
      </c>
      <c r="Q2421" t="str" cm="1">
        <f t="array" ref="Q2421">IFERROR(INDEX(DB!G$2:G$2576,P2421),"")</f>
        <v/>
      </c>
      <c r="R2421" t="str" cm="1">
        <f t="array" ref="R2421">IFERROR(INDEX(DB!O$2:O$2576,P2421),"")</f>
        <v/>
      </c>
      <c r="S2421" t="str">
        <f t="shared" si="114"/>
        <v/>
      </c>
      <c r="T2421" t="str">
        <f t="shared" si="115"/>
        <v/>
      </c>
    </row>
    <row r="2422" spans="1:20" ht="100" customHeight="1">
      <c r="A2422" s="26"/>
      <c r="B2422" s="39" t="str">
        <f t="shared" si="113"/>
        <v/>
      </c>
      <c r="C2422" s="43"/>
      <c r="D2422" s="51" t="str" cm="1">
        <f t="array" ref="D2422">IFERROR(INDEX(DB!G$2:G$2576,T2422),"")</f>
        <v/>
      </c>
      <c r="E2422" s="43"/>
      <c r="F2422" s="52" t="str" cm="1">
        <f t="array" ref="F2422">IFERROR(INDEX(DB!O$2:O$2576,T2422),"")</f>
        <v/>
      </c>
      <c r="G2422" s="43"/>
      <c r="H2422" s="40" t="str" cm="1">
        <f t="array" ref="H2422">IFERROR(INDEX(DB!P$2:P$2576,T2422),"")</f>
        <v/>
      </c>
      <c r="I2422" s="43"/>
      <c r="J2422" s="53" t="str" cm="1">
        <f t="array" ref="J2422">IFERROR(INDEX(DB!Q$2:Q$2576,T2422),"")</f>
        <v/>
      </c>
      <c r="K2422" s="43"/>
      <c r="L2422" s="41" t="str" cm="1">
        <f t="array" ref="L2422">IFERROR(INDEX(DB!R$2:R$2576,T2422),"")</f>
        <v/>
      </c>
      <c r="M2422" s="43"/>
      <c r="P2422" t="str" cm="1">
        <f t="array" ref="P2422">IFERROR(_xlfn.AGGREGATE(15,6,ROW(DB!A$2:A$2576)/((($D$3&lt;&gt;"YES")+($D$3="YES")*(DB!E$2:E$2576="YES"))*(($D$4="")+($D$4&lt;&gt;"")*( DB!B$2:B$2576=$D$4))*(($D$5="")+($D$5&lt;&gt;"")*( DB!C$2:C$2576=$D$5))*(($D$6="")+($D$6&lt;&gt;"")*( DB!D$2:D$2576=$D$6))*(($D$7="")+($D$7&lt;&gt;"")*(ISNUMBER(SEARCH($D$7,DB!G$2:G$2576))))*(($F$7="전체")+($F$7&lt;&gt;"전체")*(DB!H$2:H$2576=$F$7))),ROW()-13)-1,"")</f>
        <v/>
      </c>
      <c r="Q2422" t="str" cm="1">
        <f t="array" ref="Q2422">IFERROR(INDEX(DB!G$2:G$2576,P2422),"")</f>
        <v/>
      </c>
      <c r="R2422" t="str" cm="1">
        <f t="array" ref="R2422">IFERROR(INDEX(DB!O$2:O$2576,P2422),"")</f>
        <v/>
      </c>
      <c r="S2422" t="str">
        <f t="shared" si="114"/>
        <v/>
      </c>
      <c r="T2422" t="str">
        <f t="shared" si="115"/>
        <v/>
      </c>
    </row>
    <row r="2423" spans="1:20" ht="100" customHeight="1">
      <c r="A2423" s="26"/>
      <c r="B2423" s="42" t="str">
        <f t="shared" si="113"/>
        <v/>
      </c>
      <c r="C2423" s="43"/>
      <c r="D2423" s="51" t="str" cm="1">
        <f t="array" ref="D2423">IFERROR(INDEX(DB!G$2:G$2576,T2423),"")</f>
        <v/>
      </c>
      <c r="E2423" s="43"/>
      <c r="F2423" s="52" t="str" cm="1">
        <f t="array" ref="F2423">IFERROR(INDEX(DB!O$2:O$2576,T2423),"")</f>
        <v/>
      </c>
      <c r="G2423" s="43"/>
      <c r="H2423" s="40" t="str" cm="1">
        <f t="array" ref="H2423">IFERROR(INDEX(DB!P$2:P$2576,T2423),"")</f>
        <v/>
      </c>
      <c r="I2423" s="43"/>
      <c r="J2423" s="53" t="str" cm="1">
        <f t="array" ref="J2423">IFERROR(INDEX(DB!Q$2:Q$2576,T2423),"")</f>
        <v/>
      </c>
      <c r="K2423" s="43"/>
      <c r="L2423" s="41" t="str" cm="1">
        <f t="array" ref="L2423">IFERROR(INDEX(DB!R$2:R$2576,T2423),"")</f>
        <v/>
      </c>
      <c r="M2423" s="43"/>
      <c r="P2423" t="str" cm="1">
        <f t="array" ref="P2423">IFERROR(_xlfn.AGGREGATE(15,6,ROW(DB!A$2:A$2576)/((($D$3&lt;&gt;"YES")+($D$3="YES")*(DB!E$2:E$2576="YES"))*(($D$4="")+($D$4&lt;&gt;"")*( DB!B$2:B$2576=$D$4))*(($D$5="")+($D$5&lt;&gt;"")*( DB!C$2:C$2576=$D$5))*(($D$6="")+($D$6&lt;&gt;"")*( DB!D$2:D$2576=$D$6))*(($D$7="")+($D$7&lt;&gt;"")*(ISNUMBER(SEARCH($D$7,DB!G$2:G$2576))))*(($F$7="전체")+($F$7&lt;&gt;"전체")*(DB!H$2:H$2576=$F$7))),ROW()-13)-1,"")</f>
        <v/>
      </c>
      <c r="Q2423" t="str" cm="1">
        <f t="array" ref="Q2423">IFERROR(INDEX(DB!G$2:G$2576,P2423),"")</f>
        <v/>
      </c>
      <c r="R2423" t="str" cm="1">
        <f t="array" ref="R2423">IFERROR(INDEX(DB!O$2:O$2576,P2423),"")</f>
        <v/>
      </c>
      <c r="S2423" t="str">
        <f t="shared" si="114"/>
        <v/>
      </c>
      <c r="T2423" t="str">
        <f t="shared" si="115"/>
        <v/>
      </c>
    </row>
    <row r="2424" spans="1:20" ht="100" customHeight="1">
      <c r="A2424" s="26"/>
      <c r="B2424" s="39" t="str">
        <f t="shared" si="113"/>
        <v/>
      </c>
      <c r="C2424" s="43"/>
      <c r="D2424" s="51" t="str" cm="1">
        <f t="array" ref="D2424">IFERROR(INDEX(DB!G$2:G$2576,T2424),"")</f>
        <v/>
      </c>
      <c r="E2424" s="43"/>
      <c r="F2424" s="52" t="str" cm="1">
        <f t="array" ref="F2424">IFERROR(INDEX(DB!O$2:O$2576,T2424),"")</f>
        <v/>
      </c>
      <c r="G2424" s="43"/>
      <c r="H2424" s="40" t="str" cm="1">
        <f t="array" ref="H2424">IFERROR(INDEX(DB!P$2:P$2576,T2424),"")</f>
        <v/>
      </c>
      <c r="I2424" s="43"/>
      <c r="J2424" s="53" t="str" cm="1">
        <f t="array" ref="J2424">IFERROR(INDEX(DB!Q$2:Q$2576,T2424),"")</f>
        <v/>
      </c>
      <c r="K2424" s="43"/>
      <c r="L2424" s="41" t="str" cm="1">
        <f t="array" ref="L2424">IFERROR(INDEX(DB!R$2:R$2576,T2424),"")</f>
        <v/>
      </c>
      <c r="M2424" s="43"/>
      <c r="P2424" t="str" cm="1">
        <f t="array" ref="P2424">IFERROR(_xlfn.AGGREGATE(15,6,ROW(DB!A$2:A$2576)/((($D$3&lt;&gt;"YES")+($D$3="YES")*(DB!E$2:E$2576="YES"))*(($D$4="")+($D$4&lt;&gt;"")*( DB!B$2:B$2576=$D$4))*(($D$5="")+($D$5&lt;&gt;"")*( DB!C$2:C$2576=$D$5))*(($D$6="")+($D$6&lt;&gt;"")*( DB!D$2:D$2576=$D$6))*(($D$7="")+($D$7&lt;&gt;"")*(ISNUMBER(SEARCH($D$7,DB!G$2:G$2576))))*(($F$7="전체")+($F$7&lt;&gt;"전체")*(DB!H$2:H$2576=$F$7))),ROW()-13)-1,"")</f>
        <v/>
      </c>
      <c r="Q2424" t="str" cm="1">
        <f t="array" ref="Q2424">IFERROR(INDEX(DB!G$2:G$2576,P2424),"")</f>
        <v/>
      </c>
      <c r="R2424" t="str" cm="1">
        <f t="array" ref="R2424">IFERROR(INDEX(DB!O$2:O$2576,P2424),"")</f>
        <v/>
      </c>
      <c r="S2424" t="str">
        <f t="shared" si="114"/>
        <v/>
      </c>
      <c r="T2424" t="str">
        <f t="shared" si="115"/>
        <v/>
      </c>
    </row>
    <row r="2425" spans="1:20" ht="100" customHeight="1">
      <c r="A2425" s="26"/>
      <c r="B2425" s="42" t="str">
        <f t="shared" si="113"/>
        <v/>
      </c>
      <c r="C2425" s="43"/>
      <c r="D2425" s="51" t="str" cm="1">
        <f t="array" ref="D2425">IFERROR(INDEX(DB!G$2:G$2576,T2425),"")</f>
        <v/>
      </c>
      <c r="E2425" s="43"/>
      <c r="F2425" s="52" t="str" cm="1">
        <f t="array" ref="F2425">IFERROR(INDEX(DB!O$2:O$2576,T2425),"")</f>
        <v/>
      </c>
      <c r="G2425" s="43"/>
      <c r="H2425" s="40" t="str" cm="1">
        <f t="array" ref="H2425">IFERROR(INDEX(DB!P$2:P$2576,T2425),"")</f>
        <v/>
      </c>
      <c r="I2425" s="43"/>
      <c r="J2425" s="53" t="str" cm="1">
        <f t="array" ref="J2425">IFERROR(INDEX(DB!Q$2:Q$2576,T2425),"")</f>
        <v/>
      </c>
      <c r="K2425" s="43"/>
      <c r="L2425" s="41" t="str" cm="1">
        <f t="array" ref="L2425">IFERROR(INDEX(DB!R$2:R$2576,T2425),"")</f>
        <v/>
      </c>
      <c r="M2425" s="43"/>
      <c r="P2425" t="str" cm="1">
        <f t="array" ref="P2425">IFERROR(_xlfn.AGGREGATE(15,6,ROW(DB!A$2:A$2576)/((($D$3&lt;&gt;"YES")+($D$3="YES")*(DB!E$2:E$2576="YES"))*(($D$4="")+($D$4&lt;&gt;"")*( DB!B$2:B$2576=$D$4))*(($D$5="")+($D$5&lt;&gt;"")*( DB!C$2:C$2576=$D$5))*(($D$6="")+($D$6&lt;&gt;"")*( DB!D$2:D$2576=$D$6))*(($D$7="")+($D$7&lt;&gt;"")*(ISNUMBER(SEARCH($D$7,DB!G$2:G$2576))))*(($F$7="전체")+($F$7&lt;&gt;"전체")*(DB!H$2:H$2576=$F$7))),ROW()-13)-1,"")</f>
        <v/>
      </c>
      <c r="Q2425" t="str" cm="1">
        <f t="array" ref="Q2425">IFERROR(INDEX(DB!G$2:G$2576,P2425),"")</f>
        <v/>
      </c>
      <c r="R2425" t="str" cm="1">
        <f t="array" ref="R2425">IFERROR(INDEX(DB!O$2:O$2576,P2425),"")</f>
        <v/>
      </c>
      <c r="S2425" t="str">
        <f t="shared" si="114"/>
        <v/>
      </c>
      <c r="T2425" t="str">
        <f t="shared" si="115"/>
        <v/>
      </c>
    </row>
    <row r="2426" spans="1:20" ht="100" customHeight="1">
      <c r="A2426" s="26"/>
      <c r="B2426" s="39" t="str">
        <f t="shared" si="113"/>
        <v/>
      </c>
      <c r="C2426" s="43"/>
      <c r="D2426" s="51" t="str" cm="1">
        <f t="array" ref="D2426">IFERROR(INDEX(DB!G$2:G$2576,T2426),"")</f>
        <v/>
      </c>
      <c r="E2426" s="43"/>
      <c r="F2426" s="52" t="str" cm="1">
        <f t="array" ref="F2426">IFERROR(INDEX(DB!O$2:O$2576,T2426),"")</f>
        <v/>
      </c>
      <c r="G2426" s="43"/>
      <c r="H2426" s="40" t="str" cm="1">
        <f t="array" ref="H2426">IFERROR(INDEX(DB!P$2:P$2576,T2426),"")</f>
        <v/>
      </c>
      <c r="I2426" s="43"/>
      <c r="J2426" s="53" t="str" cm="1">
        <f t="array" ref="J2426">IFERROR(INDEX(DB!Q$2:Q$2576,T2426),"")</f>
        <v/>
      </c>
      <c r="K2426" s="43"/>
      <c r="L2426" s="41" t="str" cm="1">
        <f t="array" ref="L2426">IFERROR(INDEX(DB!R$2:R$2576,T2426),"")</f>
        <v/>
      </c>
      <c r="M2426" s="43"/>
      <c r="P2426" t="str" cm="1">
        <f t="array" ref="P2426">IFERROR(_xlfn.AGGREGATE(15,6,ROW(DB!A$2:A$2576)/((($D$3&lt;&gt;"YES")+($D$3="YES")*(DB!E$2:E$2576="YES"))*(($D$4="")+($D$4&lt;&gt;"")*( DB!B$2:B$2576=$D$4))*(($D$5="")+($D$5&lt;&gt;"")*( DB!C$2:C$2576=$D$5))*(($D$6="")+($D$6&lt;&gt;"")*( DB!D$2:D$2576=$D$6))*(($D$7="")+($D$7&lt;&gt;"")*(ISNUMBER(SEARCH($D$7,DB!G$2:G$2576))))*(($F$7="전체")+($F$7&lt;&gt;"전체")*(DB!H$2:H$2576=$F$7))),ROW()-13)-1,"")</f>
        <v/>
      </c>
      <c r="Q2426" t="str" cm="1">
        <f t="array" ref="Q2426">IFERROR(INDEX(DB!G$2:G$2576,P2426),"")</f>
        <v/>
      </c>
      <c r="R2426" t="str" cm="1">
        <f t="array" ref="R2426">IFERROR(INDEX(DB!O$2:O$2576,P2426),"")</f>
        <v/>
      </c>
      <c r="S2426" t="str">
        <f t="shared" si="114"/>
        <v/>
      </c>
      <c r="T2426" t="str">
        <f t="shared" si="115"/>
        <v/>
      </c>
    </row>
    <row r="2427" spans="1:20" ht="100" customHeight="1">
      <c r="A2427" s="26"/>
      <c r="B2427" s="42" t="str">
        <f t="shared" si="113"/>
        <v/>
      </c>
      <c r="C2427" s="43"/>
      <c r="D2427" s="51" t="str" cm="1">
        <f t="array" ref="D2427">IFERROR(INDEX(DB!G$2:G$2576,T2427),"")</f>
        <v/>
      </c>
      <c r="E2427" s="43"/>
      <c r="F2427" s="52" t="str" cm="1">
        <f t="array" ref="F2427">IFERROR(INDEX(DB!O$2:O$2576,T2427),"")</f>
        <v/>
      </c>
      <c r="G2427" s="43"/>
      <c r="H2427" s="40" t="str" cm="1">
        <f t="array" ref="H2427">IFERROR(INDEX(DB!P$2:P$2576,T2427),"")</f>
        <v/>
      </c>
      <c r="I2427" s="43"/>
      <c r="J2427" s="53" t="str" cm="1">
        <f t="array" ref="J2427">IFERROR(INDEX(DB!Q$2:Q$2576,T2427),"")</f>
        <v/>
      </c>
      <c r="K2427" s="43"/>
      <c r="L2427" s="41" t="str" cm="1">
        <f t="array" ref="L2427">IFERROR(INDEX(DB!R$2:R$2576,T2427),"")</f>
        <v/>
      </c>
      <c r="M2427" s="43"/>
      <c r="P2427" t="str" cm="1">
        <f t="array" ref="P2427">IFERROR(_xlfn.AGGREGATE(15,6,ROW(DB!A$2:A$2576)/((($D$3&lt;&gt;"YES")+($D$3="YES")*(DB!E$2:E$2576="YES"))*(($D$4="")+($D$4&lt;&gt;"")*( DB!B$2:B$2576=$D$4))*(($D$5="")+($D$5&lt;&gt;"")*( DB!C$2:C$2576=$D$5))*(($D$6="")+($D$6&lt;&gt;"")*( DB!D$2:D$2576=$D$6))*(($D$7="")+($D$7&lt;&gt;"")*(ISNUMBER(SEARCH($D$7,DB!G$2:G$2576))))*(($F$7="전체")+($F$7&lt;&gt;"전체")*(DB!H$2:H$2576=$F$7))),ROW()-13)-1,"")</f>
        <v/>
      </c>
      <c r="Q2427" t="str" cm="1">
        <f t="array" ref="Q2427">IFERROR(INDEX(DB!G$2:G$2576,P2427),"")</f>
        <v/>
      </c>
      <c r="R2427" t="str" cm="1">
        <f t="array" ref="R2427">IFERROR(INDEX(DB!O$2:O$2576,P2427),"")</f>
        <v/>
      </c>
      <c r="S2427" t="str">
        <f t="shared" si="114"/>
        <v/>
      </c>
      <c r="T2427" t="str">
        <f t="shared" si="115"/>
        <v/>
      </c>
    </row>
    <row r="2428" spans="1:20" ht="100" customHeight="1">
      <c r="A2428" s="26"/>
      <c r="B2428" s="39" t="str">
        <f t="shared" si="113"/>
        <v/>
      </c>
      <c r="C2428" s="43"/>
      <c r="D2428" s="51" t="str" cm="1">
        <f t="array" ref="D2428">IFERROR(INDEX(DB!G$2:G$2576,T2428),"")</f>
        <v/>
      </c>
      <c r="E2428" s="43"/>
      <c r="F2428" s="52" t="str" cm="1">
        <f t="array" ref="F2428">IFERROR(INDEX(DB!O$2:O$2576,T2428),"")</f>
        <v/>
      </c>
      <c r="G2428" s="43"/>
      <c r="H2428" s="40" t="str" cm="1">
        <f t="array" ref="H2428">IFERROR(INDEX(DB!P$2:P$2576,T2428),"")</f>
        <v/>
      </c>
      <c r="I2428" s="43"/>
      <c r="J2428" s="53" t="str" cm="1">
        <f t="array" ref="J2428">IFERROR(INDEX(DB!Q$2:Q$2576,T2428),"")</f>
        <v/>
      </c>
      <c r="K2428" s="43"/>
      <c r="L2428" s="41" t="str" cm="1">
        <f t="array" ref="L2428">IFERROR(INDEX(DB!R$2:R$2576,T2428),"")</f>
        <v/>
      </c>
      <c r="M2428" s="43"/>
      <c r="P2428" t="str" cm="1">
        <f t="array" ref="P2428">IFERROR(_xlfn.AGGREGATE(15,6,ROW(DB!A$2:A$2576)/((($D$3&lt;&gt;"YES")+($D$3="YES")*(DB!E$2:E$2576="YES"))*(($D$4="")+($D$4&lt;&gt;"")*( DB!B$2:B$2576=$D$4))*(($D$5="")+($D$5&lt;&gt;"")*( DB!C$2:C$2576=$D$5))*(($D$6="")+($D$6&lt;&gt;"")*( DB!D$2:D$2576=$D$6))*(($D$7="")+($D$7&lt;&gt;"")*(ISNUMBER(SEARCH($D$7,DB!G$2:G$2576))))*(($F$7="전체")+($F$7&lt;&gt;"전체")*(DB!H$2:H$2576=$F$7))),ROW()-13)-1,"")</f>
        <v/>
      </c>
      <c r="Q2428" t="str" cm="1">
        <f t="array" ref="Q2428">IFERROR(INDEX(DB!G$2:G$2576,P2428),"")</f>
        <v/>
      </c>
      <c r="R2428" t="str" cm="1">
        <f t="array" ref="R2428">IFERROR(INDEX(DB!O$2:O$2576,P2428),"")</f>
        <v/>
      </c>
      <c r="S2428" t="str">
        <f t="shared" si="114"/>
        <v/>
      </c>
      <c r="T2428" t="str">
        <f t="shared" si="115"/>
        <v/>
      </c>
    </row>
    <row r="2429" spans="1:20" ht="100" customHeight="1">
      <c r="A2429" s="26"/>
      <c r="B2429" s="42" t="str">
        <f t="shared" si="113"/>
        <v/>
      </c>
      <c r="C2429" s="43"/>
      <c r="D2429" s="51" t="str" cm="1">
        <f t="array" ref="D2429">IFERROR(INDEX(DB!G$2:G$2576,T2429),"")</f>
        <v/>
      </c>
      <c r="E2429" s="43"/>
      <c r="F2429" s="52" t="str" cm="1">
        <f t="array" ref="F2429">IFERROR(INDEX(DB!O$2:O$2576,T2429),"")</f>
        <v/>
      </c>
      <c r="G2429" s="43"/>
      <c r="H2429" s="40" t="str" cm="1">
        <f t="array" ref="H2429">IFERROR(INDEX(DB!P$2:P$2576,T2429),"")</f>
        <v/>
      </c>
      <c r="I2429" s="43"/>
      <c r="J2429" s="53" t="str" cm="1">
        <f t="array" ref="J2429">IFERROR(INDEX(DB!Q$2:Q$2576,T2429),"")</f>
        <v/>
      </c>
      <c r="K2429" s="43"/>
      <c r="L2429" s="41" t="str" cm="1">
        <f t="array" ref="L2429">IFERROR(INDEX(DB!R$2:R$2576,T2429),"")</f>
        <v/>
      </c>
      <c r="M2429" s="43"/>
      <c r="P2429" t="str" cm="1">
        <f t="array" ref="P2429">IFERROR(_xlfn.AGGREGATE(15,6,ROW(DB!A$2:A$2576)/((($D$3&lt;&gt;"YES")+($D$3="YES")*(DB!E$2:E$2576="YES"))*(($D$4="")+($D$4&lt;&gt;"")*( DB!B$2:B$2576=$D$4))*(($D$5="")+($D$5&lt;&gt;"")*( DB!C$2:C$2576=$D$5))*(($D$6="")+($D$6&lt;&gt;"")*( DB!D$2:D$2576=$D$6))*(($D$7="")+($D$7&lt;&gt;"")*(ISNUMBER(SEARCH($D$7,DB!G$2:G$2576))))*(($F$7="전체")+($F$7&lt;&gt;"전체")*(DB!H$2:H$2576=$F$7))),ROW()-13)-1,"")</f>
        <v/>
      </c>
      <c r="Q2429" t="str" cm="1">
        <f t="array" ref="Q2429">IFERROR(INDEX(DB!G$2:G$2576,P2429),"")</f>
        <v/>
      </c>
      <c r="R2429" t="str" cm="1">
        <f t="array" ref="R2429">IFERROR(INDEX(DB!O$2:O$2576,P2429),"")</f>
        <v/>
      </c>
      <c r="S2429" t="str">
        <f t="shared" si="114"/>
        <v/>
      </c>
      <c r="T2429" t="str">
        <f t="shared" si="115"/>
        <v/>
      </c>
    </row>
    <row r="2430" spans="1:20" ht="100" customHeight="1">
      <c r="A2430" s="26"/>
      <c r="B2430" s="39" t="str">
        <f t="shared" si="113"/>
        <v/>
      </c>
      <c r="C2430" s="43"/>
      <c r="D2430" s="51" t="str" cm="1">
        <f t="array" ref="D2430">IFERROR(INDEX(DB!G$2:G$2576,T2430),"")</f>
        <v/>
      </c>
      <c r="E2430" s="43"/>
      <c r="F2430" s="52" t="str" cm="1">
        <f t="array" ref="F2430">IFERROR(INDEX(DB!O$2:O$2576,T2430),"")</f>
        <v/>
      </c>
      <c r="G2430" s="43"/>
      <c r="H2430" s="40" t="str" cm="1">
        <f t="array" ref="H2430">IFERROR(INDEX(DB!P$2:P$2576,T2430),"")</f>
        <v/>
      </c>
      <c r="I2430" s="43"/>
      <c r="J2430" s="53" t="str" cm="1">
        <f t="array" ref="J2430">IFERROR(INDEX(DB!Q$2:Q$2576,T2430),"")</f>
        <v/>
      </c>
      <c r="K2430" s="43"/>
      <c r="L2430" s="41" t="str" cm="1">
        <f t="array" ref="L2430">IFERROR(INDEX(DB!R$2:R$2576,T2430),"")</f>
        <v/>
      </c>
      <c r="M2430" s="43"/>
      <c r="P2430" t="str" cm="1">
        <f t="array" ref="P2430">IFERROR(_xlfn.AGGREGATE(15,6,ROW(DB!A$2:A$2576)/((($D$3&lt;&gt;"YES")+($D$3="YES")*(DB!E$2:E$2576="YES"))*(($D$4="")+($D$4&lt;&gt;"")*( DB!B$2:B$2576=$D$4))*(($D$5="")+($D$5&lt;&gt;"")*( DB!C$2:C$2576=$D$5))*(($D$6="")+($D$6&lt;&gt;"")*( DB!D$2:D$2576=$D$6))*(($D$7="")+($D$7&lt;&gt;"")*(ISNUMBER(SEARCH($D$7,DB!G$2:G$2576))))*(($F$7="전체")+($F$7&lt;&gt;"전체")*(DB!H$2:H$2576=$F$7))),ROW()-13)-1,"")</f>
        <v/>
      </c>
      <c r="Q2430" t="str" cm="1">
        <f t="array" ref="Q2430">IFERROR(INDEX(DB!G$2:G$2576,P2430),"")</f>
        <v/>
      </c>
      <c r="R2430" t="str" cm="1">
        <f t="array" ref="R2430">IFERROR(INDEX(DB!O$2:O$2576,P2430),"")</f>
        <v/>
      </c>
      <c r="S2430" t="str">
        <f t="shared" si="114"/>
        <v/>
      </c>
      <c r="T2430" t="str">
        <f t="shared" si="115"/>
        <v/>
      </c>
    </row>
    <row r="2431" spans="1:20" ht="100" customHeight="1">
      <c r="A2431" s="26"/>
      <c r="B2431" s="42" t="str">
        <f t="shared" si="113"/>
        <v/>
      </c>
      <c r="C2431" s="43"/>
      <c r="D2431" s="51" t="str" cm="1">
        <f t="array" ref="D2431">IFERROR(INDEX(DB!G$2:G$2576,T2431),"")</f>
        <v/>
      </c>
      <c r="E2431" s="43"/>
      <c r="F2431" s="52" t="str" cm="1">
        <f t="array" ref="F2431">IFERROR(INDEX(DB!O$2:O$2576,T2431),"")</f>
        <v/>
      </c>
      <c r="G2431" s="43"/>
      <c r="H2431" s="40" t="str" cm="1">
        <f t="array" ref="H2431">IFERROR(INDEX(DB!P$2:P$2576,T2431),"")</f>
        <v/>
      </c>
      <c r="I2431" s="43"/>
      <c r="J2431" s="53" t="str" cm="1">
        <f t="array" ref="J2431">IFERROR(INDEX(DB!Q$2:Q$2576,T2431),"")</f>
        <v/>
      </c>
      <c r="K2431" s="43"/>
      <c r="L2431" s="41" t="str" cm="1">
        <f t="array" ref="L2431">IFERROR(INDEX(DB!R$2:R$2576,T2431),"")</f>
        <v/>
      </c>
      <c r="M2431" s="43"/>
      <c r="P2431" t="str" cm="1">
        <f t="array" ref="P2431">IFERROR(_xlfn.AGGREGATE(15,6,ROW(DB!A$2:A$2576)/((($D$3&lt;&gt;"YES")+($D$3="YES")*(DB!E$2:E$2576="YES"))*(($D$4="")+($D$4&lt;&gt;"")*( DB!B$2:B$2576=$D$4))*(($D$5="")+($D$5&lt;&gt;"")*( DB!C$2:C$2576=$D$5))*(($D$6="")+($D$6&lt;&gt;"")*( DB!D$2:D$2576=$D$6))*(($D$7="")+($D$7&lt;&gt;"")*(ISNUMBER(SEARCH($D$7,DB!G$2:G$2576))))*(($F$7="전체")+($F$7&lt;&gt;"전체")*(DB!H$2:H$2576=$F$7))),ROW()-13)-1,"")</f>
        <v/>
      </c>
      <c r="Q2431" t="str" cm="1">
        <f t="array" ref="Q2431">IFERROR(INDEX(DB!G$2:G$2576,P2431),"")</f>
        <v/>
      </c>
      <c r="R2431" t="str" cm="1">
        <f t="array" ref="R2431">IFERROR(INDEX(DB!O$2:O$2576,P2431),"")</f>
        <v/>
      </c>
      <c r="S2431" t="str">
        <f t="shared" si="114"/>
        <v/>
      </c>
      <c r="T2431" t="str">
        <f t="shared" si="115"/>
        <v/>
      </c>
    </row>
    <row r="2432" spans="1:20" ht="100" customHeight="1">
      <c r="A2432" s="26"/>
      <c r="B2432" s="39" t="str">
        <f t="shared" si="113"/>
        <v/>
      </c>
      <c r="C2432" s="43"/>
      <c r="D2432" s="51" t="str" cm="1">
        <f t="array" ref="D2432">IFERROR(INDEX(DB!G$2:G$2576,T2432),"")</f>
        <v/>
      </c>
      <c r="E2432" s="43"/>
      <c r="F2432" s="52" t="str" cm="1">
        <f t="array" ref="F2432">IFERROR(INDEX(DB!O$2:O$2576,T2432),"")</f>
        <v/>
      </c>
      <c r="G2432" s="43"/>
      <c r="H2432" s="40" t="str" cm="1">
        <f t="array" ref="H2432">IFERROR(INDEX(DB!P$2:P$2576,T2432),"")</f>
        <v/>
      </c>
      <c r="I2432" s="43"/>
      <c r="J2432" s="53" t="str" cm="1">
        <f t="array" ref="J2432">IFERROR(INDEX(DB!Q$2:Q$2576,T2432),"")</f>
        <v/>
      </c>
      <c r="K2432" s="43"/>
      <c r="L2432" s="41" t="str" cm="1">
        <f t="array" ref="L2432">IFERROR(INDEX(DB!R$2:R$2576,T2432),"")</f>
        <v/>
      </c>
      <c r="M2432" s="43"/>
      <c r="P2432" t="str" cm="1">
        <f t="array" ref="P2432">IFERROR(_xlfn.AGGREGATE(15,6,ROW(DB!A$2:A$2576)/((($D$3&lt;&gt;"YES")+($D$3="YES")*(DB!E$2:E$2576="YES"))*(($D$4="")+($D$4&lt;&gt;"")*( DB!B$2:B$2576=$D$4))*(($D$5="")+($D$5&lt;&gt;"")*( DB!C$2:C$2576=$D$5))*(($D$6="")+($D$6&lt;&gt;"")*( DB!D$2:D$2576=$D$6))*(($D$7="")+($D$7&lt;&gt;"")*(ISNUMBER(SEARCH($D$7,DB!G$2:G$2576))))*(($F$7="전체")+($F$7&lt;&gt;"전체")*(DB!H$2:H$2576=$F$7))),ROW()-13)-1,"")</f>
        <v/>
      </c>
      <c r="Q2432" t="str" cm="1">
        <f t="array" ref="Q2432">IFERROR(INDEX(DB!G$2:G$2576,P2432),"")</f>
        <v/>
      </c>
      <c r="R2432" t="str" cm="1">
        <f t="array" ref="R2432">IFERROR(INDEX(DB!O$2:O$2576,P2432),"")</f>
        <v/>
      </c>
      <c r="S2432" t="str">
        <f t="shared" si="114"/>
        <v/>
      </c>
      <c r="T2432" t="str">
        <f t="shared" si="115"/>
        <v/>
      </c>
    </row>
    <row r="2433" spans="1:20" ht="100" customHeight="1">
      <c r="A2433" s="26"/>
      <c r="B2433" s="42" t="str">
        <f t="shared" si="113"/>
        <v/>
      </c>
      <c r="C2433" s="43"/>
      <c r="D2433" s="51" t="str" cm="1">
        <f t="array" ref="D2433">IFERROR(INDEX(DB!G$2:G$2576,T2433),"")</f>
        <v/>
      </c>
      <c r="E2433" s="43"/>
      <c r="F2433" s="52" t="str" cm="1">
        <f t="array" ref="F2433">IFERROR(INDEX(DB!O$2:O$2576,T2433),"")</f>
        <v/>
      </c>
      <c r="G2433" s="43"/>
      <c r="H2433" s="40" t="str" cm="1">
        <f t="array" ref="H2433">IFERROR(INDEX(DB!P$2:P$2576,T2433),"")</f>
        <v/>
      </c>
      <c r="I2433" s="43"/>
      <c r="J2433" s="53" t="str" cm="1">
        <f t="array" ref="J2433">IFERROR(INDEX(DB!Q$2:Q$2576,T2433),"")</f>
        <v/>
      </c>
      <c r="K2433" s="43"/>
      <c r="L2433" s="41" t="str" cm="1">
        <f t="array" ref="L2433">IFERROR(INDEX(DB!R$2:R$2576,T2433),"")</f>
        <v/>
      </c>
      <c r="M2433" s="43"/>
      <c r="P2433" t="str" cm="1">
        <f t="array" ref="P2433">IFERROR(_xlfn.AGGREGATE(15,6,ROW(DB!A$2:A$2576)/((($D$3&lt;&gt;"YES")+($D$3="YES")*(DB!E$2:E$2576="YES"))*(($D$4="")+($D$4&lt;&gt;"")*( DB!B$2:B$2576=$D$4))*(($D$5="")+($D$5&lt;&gt;"")*( DB!C$2:C$2576=$D$5))*(($D$6="")+($D$6&lt;&gt;"")*( DB!D$2:D$2576=$D$6))*(($D$7="")+($D$7&lt;&gt;"")*(ISNUMBER(SEARCH($D$7,DB!G$2:G$2576))))*(($F$7="전체")+($F$7&lt;&gt;"전체")*(DB!H$2:H$2576=$F$7))),ROW()-13)-1,"")</f>
        <v/>
      </c>
      <c r="Q2433" t="str" cm="1">
        <f t="array" ref="Q2433">IFERROR(INDEX(DB!G$2:G$2576,P2433),"")</f>
        <v/>
      </c>
      <c r="R2433" t="str" cm="1">
        <f t="array" ref="R2433">IFERROR(INDEX(DB!O$2:O$2576,P2433),"")</f>
        <v/>
      </c>
      <c r="S2433" t="str">
        <f t="shared" si="114"/>
        <v/>
      </c>
      <c r="T2433" t="str">
        <f t="shared" si="115"/>
        <v/>
      </c>
    </row>
    <row r="2434" spans="1:20" ht="100" customHeight="1">
      <c r="A2434" s="26"/>
      <c r="B2434" s="39" t="str">
        <f t="shared" si="113"/>
        <v/>
      </c>
      <c r="C2434" s="43"/>
      <c r="D2434" s="51" t="str" cm="1">
        <f t="array" ref="D2434">IFERROR(INDEX(DB!G$2:G$2576,T2434),"")</f>
        <v/>
      </c>
      <c r="E2434" s="43"/>
      <c r="F2434" s="52" t="str" cm="1">
        <f t="array" ref="F2434">IFERROR(INDEX(DB!O$2:O$2576,T2434),"")</f>
        <v/>
      </c>
      <c r="G2434" s="43"/>
      <c r="H2434" s="40" t="str" cm="1">
        <f t="array" ref="H2434">IFERROR(INDEX(DB!P$2:P$2576,T2434),"")</f>
        <v/>
      </c>
      <c r="I2434" s="43"/>
      <c r="J2434" s="53" t="str" cm="1">
        <f t="array" ref="J2434">IFERROR(INDEX(DB!Q$2:Q$2576,T2434),"")</f>
        <v/>
      </c>
      <c r="K2434" s="43"/>
      <c r="L2434" s="41" t="str" cm="1">
        <f t="array" ref="L2434">IFERROR(INDEX(DB!R$2:R$2576,T2434),"")</f>
        <v/>
      </c>
      <c r="M2434" s="43"/>
      <c r="P2434" t="str" cm="1">
        <f t="array" ref="P2434">IFERROR(_xlfn.AGGREGATE(15,6,ROW(DB!A$2:A$2576)/((($D$3&lt;&gt;"YES")+($D$3="YES")*(DB!E$2:E$2576="YES"))*(($D$4="")+($D$4&lt;&gt;"")*( DB!B$2:B$2576=$D$4))*(($D$5="")+($D$5&lt;&gt;"")*( DB!C$2:C$2576=$D$5))*(($D$6="")+($D$6&lt;&gt;"")*( DB!D$2:D$2576=$D$6))*(($D$7="")+($D$7&lt;&gt;"")*(ISNUMBER(SEARCH($D$7,DB!G$2:G$2576))))*(($F$7="전체")+($F$7&lt;&gt;"전체")*(DB!H$2:H$2576=$F$7))),ROW()-13)-1,"")</f>
        <v/>
      </c>
      <c r="Q2434" t="str" cm="1">
        <f t="array" ref="Q2434">IFERROR(INDEX(DB!G$2:G$2576,P2434),"")</f>
        <v/>
      </c>
      <c r="R2434" t="str" cm="1">
        <f t="array" ref="R2434">IFERROR(INDEX(DB!O$2:O$2576,P2434),"")</f>
        <v/>
      </c>
      <c r="S2434" t="str">
        <f t="shared" si="114"/>
        <v/>
      </c>
      <c r="T2434" t="str">
        <f t="shared" si="115"/>
        <v/>
      </c>
    </row>
    <row r="2435" spans="1:20" ht="100" customHeight="1">
      <c r="A2435" s="26"/>
      <c r="B2435" s="42" t="str">
        <f t="shared" si="113"/>
        <v/>
      </c>
      <c r="C2435" s="43"/>
      <c r="D2435" s="51" t="str" cm="1">
        <f t="array" ref="D2435">IFERROR(INDEX(DB!G$2:G$2576,T2435),"")</f>
        <v/>
      </c>
      <c r="E2435" s="43"/>
      <c r="F2435" s="52" t="str" cm="1">
        <f t="array" ref="F2435">IFERROR(INDEX(DB!O$2:O$2576,T2435),"")</f>
        <v/>
      </c>
      <c r="G2435" s="43"/>
      <c r="H2435" s="40" t="str" cm="1">
        <f t="array" ref="H2435">IFERROR(INDEX(DB!P$2:P$2576,T2435),"")</f>
        <v/>
      </c>
      <c r="I2435" s="43"/>
      <c r="J2435" s="53" t="str" cm="1">
        <f t="array" ref="J2435">IFERROR(INDEX(DB!Q$2:Q$2576,T2435),"")</f>
        <v/>
      </c>
      <c r="K2435" s="43"/>
      <c r="L2435" s="41" t="str" cm="1">
        <f t="array" ref="L2435">IFERROR(INDEX(DB!R$2:R$2576,T2435),"")</f>
        <v/>
      </c>
      <c r="M2435" s="43"/>
      <c r="P2435" t="str" cm="1">
        <f t="array" ref="P2435">IFERROR(_xlfn.AGGREGATE(15,6,ROW(DB!A$2:A$2576)/((($D$3&lt;&gt;"YES")+($D$3="YES")*(DB!E$2:E$2576="YES"))*(($D$4="")+($D$4&lt;&gt;"")*( DB!B$2:B$2576=$D$4))*(($D$5="")+($D$5&lt;&gt;"")*( DB!C$2:C$2576=$D$5))*(($D$6="")+($D$6&lt;&gt;"")*( DB!D$2:D$2576=$D$6))*(($D$7="")+($D$7&lt;&gt;"")*(ISNUMBER(SEARCH($D$7,DB!G$2:G$2576))))*(($F$7="전체")+($F$7&lt;&gt;"전체")*(DB!H$2:H$2576=$F$7))),ROW()-13)-1,"")</f>
        <v/>
      </c>
      <c r="Q2435" t="str" cm="1">
        <f t="array" ref="Q2435">IFERROR(INDEX(DB!G$2:G$2576,P2435),"")</f>
        <v/>
      </c>
      <c r="R2435" t="str" cm="1">
        <f t="array" ref="R2435">IFERROR(INDEX(DB!O$2:O$2576,P2435),"")</f>
        <v/>
      </c>
      <c r="S2435" t="str">
        <f t="shared" si="114"/>
        <v/>
      </c>
      <c r="T2435" t="str">
        <f t="shared" si="115"/>
        <v/>
      </c>
    </row>
    <row r="2436" spans="1:20" ht="100" customHeight="1">
      <c r="A2436" s="26"/>
      <c r="B2436" s="39" t="str">
        <f t="shared" si="113"/>
        <v/>
      </c>
      <c r="C2436" s="43"/>
      <c r="D2436" s="51" t="str" cm="1">
        <f t="array" ref="D2436">IFERROR(INDEX(DB!G$2:G$2576,T2436),"")</f>
        <v/>
      </c>
      <c r="E2436" s="43"/>
      <c r="F2436" s="52" t="str" cm="1">
        <f t="array" ref="F2436">IFERROR(INDEX(DB!O$2:O$2576,T2436),"")</f>
        <v/>
      </c>
      <c r="G2436" s="43"/>
      <c r="H2436" s="40" t="str" cm="1">
        <f t="array" ref="H2436">IFERROR(INDEX(DB!P$2:P$2576,T2436),"")</f>
        <v/>
      </c>
      <c r="I2436" s="43"/>
      <c r="J2436" s="53" t="str" cm="1">
        <f t="array" ref="J2436">IFERROR(INDEX(DB!Q$2:Q$2576,T2436),"")</f>
        <v/>
      </c>
      <c r="K2436" s="43"/>
      <c r="L2436" s="41" t="str" cm="1">
        <f t="array" ref="L2436">IFERROR(INDEX(DB!R$2:R$2576,T2436),"")</f>
        <v/>
      </c>
      <c r="M2436" s="43"/>
      <c r="P2436" t="str" cm="1">
        <f t="array" ref="P2436">IFERROR(_xlfn.AGGREGATE(15,6,ROW(DB!A$2:A$2576)/((($D$3&lt;&gt;"YES")+($D$3="YES")*(DB!E$2:E$2576="YES"))*(($D$4="")+($D$4&lt;&gt;"")*( DB!B$2:B$2576=$D$4))*(($D$5="")+($D$5&lt;&gt;"")*( DB!C$2:C$2576=$D$5))*(($D$6="")+($D$6&lt;&gt;"")*( DB!D$2:D$2576=$D$6))*(($D$7="")+($D$7&lt;&gt;"")*(ISNUMBER(SEARCH($D$7,DB!G$2:G$2576))))*(($F$7="전체")+($F$7&lt;&gt;"전체")*(DB!H$2:H$2576=$F$7))),ROW()-13)-1,"")</f>
        <v/>
      </c>
      <c r="Q2436" t="str" cm="1">
        <f t="array" ref="Q2436">IFERROR(INDEX(DB!G$2:G$2576,P2436),"")</f>
        <v/>
      </c>
      <c r="R2436" t="str" cm="1">
        <f t="array" ref="R2436">IFERROR(INDEX(DB!O$2:O$2576,P2436),"")</f>
        <v/>
      </c>
      <c r="S2436" t="str">
        <f t="shared" si="114"/>
        <v/>
      </c>
      <c r="T2436" t="str">
        <f t="shared" si="115"/>
        <v/>
      </c>
    </row>
    <row r="2437" spans="1:20" ht="100" customHeight="1">
      <c r="A2437" s="26"/>
      <c r="B2437" s="42" t="str">
        <f t="shared" si="113"/>
        <v/>
      </c>
      <c r="C2437" s="43"/>
      <c r="D2437" s="51" t="str" cm="1">
        <f t="array" ref="D2437">IFERROR(INDEX(DB!G$2:G$2576,T2437),"")</f>
        <v/>
      </c>
      <c r="E2437" s="43"/>
      <c r="F2437" s="52" t="str" cm="1">
        <f t="array" ref="F2437">IFERROR(INDEX(DB!O$2:O$2576,T2437),"")</f>
        <v/>
      </c>
      <c r="G2437" s="43"/>
      <c r="H2437" s="40" t="str" cm="1">
        <f t="array" ref="H2437">IFERROR(INDEX(DB!P$2:P$2576,T2437),"")</f>
        <v/>
      </c>
      <c r="I2437" s="43"/>
      <c r="J2437" s="53" t="str" cm="1">
        <f t="array" ref="J2437">IFERROR(INDEX(DB!Q$2:Q$2576,T2437),"")</f>
        <v/>
      </c>
      <c r="K2437" s="43"/>
      <c r="L2437" s="41" t="str" cm="1">
        <f t="array" ref="L2437">IFERROR(INDEX(DB!R$2:R$2576,T2437),"")</f>
        <v/>
      </c>
      <c r="M2437" s="43"/>
      <c r="P2437" t="str" cm="1">
        <f t="array" ref="P2437">IFERROR(_xlfn.AGGREGATE(15,6,ROW(DB!A$2:A$2576)/((($D$3&lt;&gt;"YES")+($D$3="YES")*(DB!E$2:E$2576="YES"))*(($D$4="")+($D$4&lt;&gt;"")*( DB!B$2:B$2576=$D$4))*(($D$5="")+($D$5&lt;&gt;"")*( DB!C$2:C$2576=$D$5))*(($D$6="")+($D$6&lt;&gt;"")*( DB!D$2:D$2576=$D$6))*(($D$7="")+($D$7&lt;&gt;"")*(ISNUMBER(SEARCH($D$7,DB!G$2:G$2576))))*(($F$7="전체")+($F$7&lt;&gt;"전체")*(DB!H$2:H$2576=$F$7))),ROW()-13)-1,"")</f>
        <v/>
      </c>
      <c r="Q2437" t="str" cm="1">
        <f t="array" ref="Q2437">IFERROR(INDEX(DB!G$2:G$2576,P2437),"")</f>
        <v/>
      </c>
      <c r="R2437" t="str" cm="1">
        <f t="array" ref="R2437">IFERROR(INDEX(DB!O$2:O$2576,P2437),"")</f>
        <v/>
      </c>
      <c r="S2437" t="str">
        <f t="shared" si="114"/>
        <v/>
      </c>
      <c r="T2437" t="str">
        <f t="shared" si="115"/>
        <v/>
      </c>
    </row>
    <row r="2438" spans="1:20" ht="100" customHeight="1">
      <c r="A2438" s="26"/>
      <c r="B2438" s="39" t="str">
        <f t="shared" si="113"/>
        <v/>
      </c>
      <c r="C2438" s="43"/>
      <c r="D2438" s="51" t="str" cm="1">
        <f t="array" ref="D2438">IFERROR(INDEX(DB!G$2:G$2576,T2438),"")</f>
        <v/>
      </c>
      <c r="E2438" s="43"/>
      <c r="F2438" s="52" t="str" cm="1">
        <f t="array" ref="F2438">IFERROR(INDEX(DB!O$2:O$2576,T2438),"")</f>
        <v/>
      </c>
      <c r="G2438" s="43"/>
      <c r="H2438" s="40" t="str" cm="1">
        <f t="array" ref="H2438">IFERROR(INDEX(DB!P$2:P$2576,T2438),"")</f>
        <v/>
      </c>
      <c r="I2438" s="43"/>
      <c r="J2438" s="53" t="str" cm="1">
        <f t="array" ref="J2438">IFERROR(INDEX(DB!Q$2:Q$2576,T2438),"")</f>
        <v/>
      </c>
      <c r="K2438" s="43"/>
      <c r="L2438" s="41" t="str" cm="1">
        <f t="array" ref="L2438">IFERROR(INDEX(DB!R$2:R$2576,T2438),"")</f>
        <v/>
      </c>
      <c r="M2438" s="43"/>
      <c r="P2438" t="str" cm="1">
        <f t="array" ref="P2438">IFERROR(_xlfn.AGGREGATE(15,6,ROW(DB!A$2:A$2576)/((($D$3&lt;&gt;"YES")+($D$3="YES")*(DB!E$2:E$2576="YES"))*(($D$4="")+($D$4&lt;&gt;"")*( DB!B$2:B$2576=$D$4))*(($D$5="")+($D$5&lt;&gt;"")*( DB!C$2:C$2576=$D$5))*(($D$6="")+($D$6&lt;&gt;"")*( DB!D$2:D$2576=$D$6))*(($D$7="")+($D$7&lt;&gt;"")*(ISNUMBER(SEARCH($D$7,DB!G$2:G$2576))))*(($F$7="전체")+($F$7&lt;&gt;"전체")*(DB!H$2:H$2576=$F$7))),ROW()-13)-1,"")</f>
        <v/>
      </c>
      <c r="Q2438" t="str" cm="1">
        <f t="array" ref="Q2438">IFERROR(INDEX(DB!G$2:G$2576,P2438),"")</f>
        <v/>
      </c>
      <c r="R2438" t="str" cm="1">
        <f t="array" ref="R2438">IFERROR(INDEX(DB!O$2:O$2576,P2438),"")</f>
        <v/>
      </c>
      <c r="S2438" t="str">
        <f t="shared" si="114"/>
        <v/>
      </c>
      <c r="T2438" t="str">
        <f t="shared" si="115"/>
        <v/>
      </c>
    </row>
    <row r="2439" spans="1:20" ht="100" customHeight="1">
      <c r="A2439" s="26"/>
      <c r="B2439" s="42" t="str">
        <f t="shared" si="113"/>
        <v/>
      </c>
      <c r="C2439" s="43"/>
      <c r="D2439" s="51" t="str" cm="1">
        <f t="array" ref="D2439">IFERROR(INDEX(DB!G$2:G$2576,T2439),"")</f>
        <v/>
      </c>
      <c r="E2439" s="43"/>
      <c r="F2439" s="52" t="str" cm="1">
        <f t="array" ref="F2439">IFERROR(INDEX(DB!O$2:O$2576,T2439),"")</f>
        <v/>
      </c>
      <c r="G2439" s="43"/>
      <c r="H2439" s="40" t="str" cm="1">
        <f t="array" ref="H2439">IFERROR(INDEX(DB!P$2:P$2576,T2439),"")</f>
        <v/>
      </c>
      <c r="I2439" s="43"/>
      <c r="J2439" s="53" t="str" cm="1">
        <f t="array" ref="J2439">IFERROR(INDEX(DB!Q$2:Q$2576,T2439),"")</f>
        <v/>
      </c>
      <c r="K2439" s="43"/>
      <c r="L2439" s="41" t="str" cm="1">
        <f t="array" ref="L2439">IFERROR(INDEX(DB!R$2:R$2576,T2439),"")</f>
        <v/>
      </c>
      <c r="M2439" s="43"/>
      <c r="P2439" t="str" cm="1">
        <f t="array" ref="P2439">IFERROR(_xlfn.AGGREGATE(15,6,ROW(DB!A$2:A$2576)/((($D$3&lt;&gt;"YES")+($D$3="YES")*(DB!E$2:E$2576="YES"))*(($D$4="")+($D$4&lt;&gt;"")*( DB!B$2:B$2576=$D$4))*(($D$5="")+($D$5&lt;&gt;"")*( DB!C$2:C$2576=$D$5))*(($D$6="")+($D$6&lt;&gt;"")*( DB!D$2:D$2576=$D$6))*(($D$7="")+($D$7&lt;&gt;"")*(ISNUMBER(SEARCH($D$7,DB!G$2:G$2576))))*(($F$7="전체")+($F$7&lt;&gt;"전체")*(DB!H$2:H$2576=$F$7))),ROW()-13)-1,"")</f>
        <v/>
      </c>
      <c r="Q2439" t="str" cm="1">
        <f t="array" ref="Q2439">IFERROR(INDEX(DB!G$2:G$2576,P2439),"")</f>
        <v/>
      </c>
      <c r="R2439" t="str" cm="1">
        <f t="array" ref="R2439">IFERROR(INDEX(DB!O$2:O$2576,P2439),"")</f>
        <v/>
      </c>
      <c r="S2439" t="str">
        <f t="shared" si="114"/>
        <v/>
      </c>
      <c r="T2439" t="str">
        <f t="shared" si="115"/>
        <v/>
      </c>
    </row>
    <row r="2440" spans="1:20" ht="100" customHeight="1">
      <c r="A2440" s="26"/>
      <c r="B2440" s="39" t="str">
        <f t="shared" si="113"/>
        <v/>
      </c>
      <c r="C2440" s="43"/>
      <c r="D2440" s="51" t="str" cm="1">
        <f t="array" ref="D2440">IFERROR(INDEX(DB!G$2:G$2576,T2440),"")</f>
        <v/>
      </c>
      <c r="E2440" s="43"/>
      <c r="F2440" s="52" t="str" cm="1">
        <f t="array" ref="F2440">IFERROR(INDEX(DB!O$2:O$2576,T2440),"")</f>
        <v/>
      </c>
      <c r="G2440" s="43"/>
      <c r="H2440" s="40" t="str" cm="1">
        <f t="array" ref="H2440">IFERROR(INDEX(DB!P$2:P$2576,T2440),"")</f>
        <v/>
      </c>
      <c r="I2440" s="43"/>
      <c r="J2440" s="53" t="str" cm="1">
        <f t="array" ref="J2440">IFERROR(INDEX(DB!Q$2:Q$2576,T2440),"")</f>
        <v/>
      </c>
      <c r="K2440" s="43"/>
      <c r="L2440" s="41" t="str" cm="1">
        <f t="array" ref="L2440">IFERROR(INDEX(DB!R$2:R$2576,T2440),"")</f>
        <v/>
      </c>
      <c r="M2440" s="43"/>
      <c r="P2440" t="str" cm="1">
        <f t="array" ref="P2440">IFERROR(_xlfn.AGGREGATE(15,6,ROW(DB!A$2:A$2576)/((($D$3&lt;&gt;"YES")+($D$3="YES")*(DB!E$2:E$2576="YES"))*(($D$4="")+($D$4&lt;&gt;"")*( DB!B$2:B$2576=$D$4))*(($D$5="")+($D$5&lt;&gt;"")*( DB!C$2:C$2576=$D$5))*(($D$6="")+($D$6&lt;&gt;"")*( DB!D$2:D$2576=$D$6))*(($D$7="")+($D$7&lt;&gt;"")*(ISNUMBER(SEARCH($D$7,DB!G$2:G$2576))))*(($F$7="전체")+($F$7&lt;&gt;"전체")*(DB!H$2:H$2576=$F$7))),ROW()-13)-1,"")</f>
        <v/>
      </c>
      <c r="Q2440" t="str" cm="1">
        <f t="array" ref="Q2440">IFERROR(INDEX(DB!G$2:G$2576,P2440),"")</f>
        <v/>
      </c>
      <c r="R2440" t="str" cm="1">
        <f t="array" ref="R2440">IFERROR(INDEX(DB!O$2:O$2576,P2440),"")</f>
        <v/>
      </c>
      <c r="S2440" t="str">
        <f t="shared" si="114"/>
        <v/>
      </c>
      <c r="T2440" t="str">
        <f t="shared" si="115"/>
        <v/>
      </c>
    </row>
    <row r="2441" spans="1:20" ht="100" customHeight="1">
      <c r="A2441" s="26"/>
      <c r="B2441" s="42" t="str">
        <f t="shared" si="113"/>
        <v/>
      </c>
      <c r="C2441" s="43"/>
      <c r="D2441" s="51" t="str" cm="1">
        <f t="array" ref="D2441">IFERROR(INDEX(DB!G$2:G$2576,T2441),"")</f>
        <v/>
      </c>
      <c r="E2441" s="43"/>
      <c r="F2441" s="52" t="str" cm="1">
        <f t="array" ref="F2441">IFERROR(INDEX(DB!O$2:O$2576,T2441),"")</f>
        <v/>
      </c>
      <c r="G2441" s="43"/>
      <c r="H2441" s="40" t="str" cm="1">
        <f t="array" ref="H2441">IFERROR(INDEX(DB!P$2:P$2576,T2441),"")</f>
        <v/>
      </c>
      <c r="I2441" s="43"/>
      <c r="J2441" s="53" t="str" cm="1">
        <f t="array" ref="J2441">IFERROR(INDEX(DB!Q$2:Q$2576,T2441),"")</f>
        <v/>
      </c>
      <c r="K2441" s="43"/>
      <c r="L2441" s="41" t="str" cm="1">
        <f t="array" ref="L2441">IFERROR(INDEX(DB!R$2:R$2576,T2441),"")</f>
        <v/>
      </c>
      <c r="M2441" s="43"/>
      <c r="P2441" t="str" cm="1">
        <f t="array" ref="P2441">IFERROR(_xlfn.AGGREGATE(15,6,ROW(DB!A$2:A$2576)/((($D$3&lt;&gt;"YES")+($D$3="YES")*(DB!E$2:E$2576="YES"))*(($D$4="")+($D$4&lt;&gt;"")*( DB!B$2:B$2576=$D$4))*(($D$5="")+($D$5&lt;&gt;"")*( DB!C$2:C$2576=$D$5))*(($D$6="")+($D$6&lt;&gt;"")*( DB!D$2:D$2576=$D$6))*(($D$7="")+($D$7&lt;&gt;"")*(ISNUMBER(SEARCH($D$7,DB!G$2:G$2576))))*(($F$7="전체")+($F$7&lt;&gt;"전체")*(DB!H$2:H$2576=$F$7))),ROW()-13)-1,"")</f>
        <v/>
      </c>
      <c r="Q2441" t="str" cm="1">
        <f t="array" ref="Q2441">IFERROR(INDEX(DB!G$2:G$2576,P2441),"")</f>
        <v/>
      </c>
      <c r="R2441" t="str" cm="1">
        <f t="array" ref="R2441">IFERROR(INDEX(DB!O$2:O$2576,P2441),"")</f>
        <v/>
      </c>
      <c r="S2441" t="str">
        <f t="shared" si="114"/>
        <v/>
      </c>
      <c r="T2441" t="str">
        <f t="shared" si="115"/>
        <v/>
      </c>
    </row>
    <row r="2442" spans="1:20" ht="100" customHeight="1">
      <c r="A2442" s="26"/>
      <c r="B2442" s="39" t="str">
        <f t="shared" si="113"/>
        <v/>
      </c>
      <c r="C2442" s="43"/>
      <c r="D2442" s="51" t="str" cm="1">
        <f t="array" ref="D2442">IFERROR(INDEX(DB!G$2:G$2576,T2442),"")</f>
        <v/>
      </c>
      <c r="E2442" s="43"/>
      <c r="F2442" s="52" t="str" cm="1">
        <f t="array" ref="F2442">IFERROR(INDEX(DB!O$2:O$2576,T2442),"")</f>
        <v/>
      </c>
      <c r="G2442" s="43"/>
      <c r="H2442" s="40" t="str" cm="1">
        <f t="array" ref="H2442">IFERROR(INDEX(DB!P$2:P$2576,T2442),"")</f>
        <v/>
      </c>
      <c r="I2442" s="43"/>
      <c r="J2442" s="53" t="str" cm="1">
        <f t="array" ref="J2442">IFERROR(INDEX(DB!Q$2:Q$2576,T2442),"")</f>
        <v/>
      </c>
      <c r="K2442" s="43"/>
      <c r="L2442" s="41" t="str" cm="1">
        <f t="array" ref="L2442">IFERROR(INDEX(DB!R$2:R$2576,T2442),"")</f>
        <v/>
      </c>
      <c r="M2442" s="43"/>
      <c r="P2442" t="str" cm="1">
        <f t="array" ref="P2442">IFERROR(_xlfn.AGGREGATE(15,6,ROW(DB!A$2:A$2576)/((($D$3&lt;&gt;"YES")+($D$3="YES")*(DB!E$2:E$2576="YES"))*(($D$4="")+($D$4&lt;&gt;"")*( DB!B$2:B$2576=$D$4))*(($D$5="")+($D$5&lt;&gt;"")*( DB!C$2:C$2576=$D$5))*(($D$6="")+($D$6&lt;&gt;"")*( DB!D$2:D$2576=$D$6))*(($D$7="")+($D$7&lt;&gt;"")*(ISNUMBER(SEARCH($D$7,DB!G$2:G$2576))))*(($F$7="전체")+($F$7&lt;&gt;"전체")*(DB!H$2:H$2576=$F$7))),ROW()-13)-1,"")</f>
        <v/>
      </c>
      <c r="Q2442" t="str" cm="1">
        <f t="array" ref="Q2442">IFERROR(INDEX(DB!G$2:G$2576,P2442),"")</f>
        <v/>
      </c>
      <c r="R2442" t="str" cm="1">
        <f t="array" ref="R2442">IFERROR(INDEX(DB!O$2:O$2576,P2442),"")</f>
        <v/>
      </c>
      <c r="S2442" t="str">
        <f t="shared" si="114"/>
        <v/>
      </c>
      <c r="T2442" t="str">
        <f t="shared" si="115"/>
        <v/>
      </c>
    </row>
    <row r="2443" spans="1:20" ht="100" customHeight="1">
      <c r="A2443" s="26"/>
      <c r="B2443" s="42" t="str">
        <f t="shared" si="113"/>
        <v/>
      </c>
      <c r="C2443" s="43"/>
      <c r="D2443" s="51" t="str" cm="1">
        <f t="array" ref="D2443">IFERROR(INDEX(DB!G$2:G$2576,T2443),"")</f>
        <v/>
      </c>
      <c r="E2443" s="43"/>
      <c r="F2443" s="52" t="str" cm="1">
        <f t="array" ref="F2443">IFERROR(INDEX(DB!O$2:O$2576,T2443),"")</f>
        <v/>
      </c>
      <c r="G2443" s="43"/>
      <c r="H2443" s="40" t="str" cm="1">
        <f t="array" ref="H2443">IFERROR(INDEX(DB!P$2:P$2576,T2443),"")</f>
        <v/>
      </c>
      <c r="I2443" s="43"/>
      <c r="J2443" s="53" t="str" cm="1">
        <f t="array" ref="J2443">IFERROR(INDEX(DB!Q$2:Q$2576,T2443),"")</f>
        <v/>
      </c>
      <c r="K2443" s="43"/>
      <c r="L2443" s="41" t="str" cm="1">
        <f t="array" ref="L2443">IFERROR(INDEX(DB!R$2:R$2576,T2443),"")</f>
        <v/>
      </c>
      <c r="M2443" s="43"/>
      <c r="P2443" t="str" cm="1">
        <f t="array" ref="P2443">IFERROR(_xlfn.AGGREGATE(15,6,ROW(DB!A$2:A$2576)/((($D$3&lt;&gt;"YES")+($D$3="YES")*(DB!E$2:E$2576="YES"))*(($D$4="")+($D$4&lt;&gt;"")*( DB!B$2:B$2576=$D$4))*(($D$5="")+($D$5&lt;&gt;"")*( DB!C$2:C$2576=$D$5))*(($D$6="")+($D$6&lt;&gt;"")*( DB!D$2:D$2576=$D$6))*(($D$7="")+($D$7&lt;&gt;"")*(ISNUMBER(SEARCH($D$7,DB!G$2:G$2576))))*(($F$7="전체")+($F$7&lt;&gt;"전체")*(DB!H$2:H$2576=$F$7))),ROW()-13)-1,"")</f>
        <v/>
      </c>
      <c r="Q2443" t="str" cm="1">
        <f t="array" ref="Q2443">IFERROR(INDEX(DB!G$2:G$2576,P2443),"")</f>
        <v/>
      </c>
      <c r="R2443" t="str" cm="1">
        <f t="array" ref="R2443">IFERROR(INDEX(DB!O$2:O$2576,P2443),"")</f>
        <v/>
      </c>
      <c r="S2443" t="str">
        <f t="shared" si="114"/>
        <v/>
      </c>
      <c r="T2443" t="str">
        <f t="shared" si="115"/>
        <v/>
      </c>
    </row>
    <row r="2444" spans="1:20" ht="100" customHeight="1">
      <c r="A2444" s="26"/>
      <c r="B2444" s="39" t="str">
        <f t="shared" si="113"/>
        <v/>
      </c>
      <c r="C2444" s="43"/>
      <c r="D2444" s="51" t="str" cm="1">
        <f t="array" ref="D2444">IFERROR(INDEX(DB!G$2:G$2576,T2444),"")</f>
        <v/>
      </c>
      <c r="E2444" s="43"/>
      <c r="F2444" s="52" t="str" cm="1">
        <f t="array" ref="F2444">IFERROR(INDEX(DB!O$2:O$2576,T2444),"")</f>
        <v/>
      </c>
      <c r="G2444" s="43"/>
      <c r="H2444" s="40" t="str" cm="1">
        <f t="array" ref="H2444">IFERROR(INDEX(DB!P$2:P$2576,T2444),"")</f>
        <v/>
      </c>
      <c r="I2444" s="43"/>
      <c r="J2444" s="53" t="str" cm="1">
        <f t="array" ref="J2444">IFERROR(INDEX(DB!Q$2:Q$2576,T2444),"")</f>
        <v/>
      </c>
      <c r="K2444" s="43"/>
      <c r="L2444" s="41" t="str" cm="1">
        <f t="array" ref="L2444">IFERROR(INDEX(DB!R$2:R$2576,T2444),"")</f>
        <v/>
      </c>
      <c r="M2444" s="43"/>
      <c r="P2444" t="str" cm="1">
        <f t="array" ref="P2444">IFERROR(_xlfn.AGGREGATE(15,6,ROW(DB!A$2:A$2576)/((($D$3&lt;&gt;"YES")+($D$3="YES")*(DB!E$2:E$2576="YES"))*(($D$4="")+($D$4&lt;&gt;"")*( DB!B$2:B$2576=$D$4))*(($D$5="")+($D$5&lt;&gt;"")*( DB!C$2:C$2576=$D$5))*(($D$6="")+($D$6&lt;&gt;"")*( DB!D$2:D$2576=$D$6))*(($D$7="")+($D$7&lt;&gt;"")*(ISNUMBER(SEARCH($D$7,DB!G$2:G$2576))))*(($F$7="전체")+($F$7&lt;&gt;"전체")*(DB!H$2:H$2576=$F$7))),ROW()-13)-1,"")</f>
        <v/>
      </c>
      <c r="Q2444" t="str" cm="1">
        <f t="array" ref="Q2444">IFERROR(INDEX(DB!G$2:G$2576,P2444),"")</f>
        <v/>
      </c>
      <c r="R2444" t="str" cm="1">
        <f t="array" ref="R2444">IFERROR(INDEX(DB!O$2:O$2576,P2444),"")</f>
        <v/>
      </c>
      <c r="S2444" t="str">
        <f t="shared" si="114"/>
        <v/>
      </c>
      <c r="T2444" t="str">
        <f t="shared" si="115"/>
        <v/>
      </c>
    </row>
    <row r="2445" spans="1:20" ht="100" customHeight="1">
      <c r="A2445" s="26"/>
      <c r="B2445" s="42" t="str">
        <f t="shared" si="113"/>
        <v/>
      </c>
      <c r="C2445" s="43"/>
      <c r="D2445" s="51" t="str" cm="1">
        <f t="array" ref="D2445">IFERROR(INDEX(DB!G$2:G$2576,T2445),"")</f>
        <v/>
      </c>
      <c r="E2445" s="43"/>
      <c r="F2445" s="52" t="str" cm="1">
        <f t="array" ref="F2445">IFERROR(INDEX(DB!O$2:O$2576,T2445),"")</f>
        <v/>
      </c>
      <c r="G2445" s="43"/>
      <c r="H2445" s="40" t="str" cm="1">
        <f t="array" ref="H2445">IFERROR(INDEX(DB!P$2:P$2576,T2445),"")</f>
        <v/>
      </c>
      <c r="I2445" s="43"/>
      <c r="J2445" s="53" t="str" cm="1">
        <f t="array" ref="J2445">IFERROR(INDEX(DB!Q$2:Q$2576,T2445),"")</f>
        <v/>
      </c>
      <c r="K2445" s="43"/>
      <c r="L2445" s="41" t="str" cm="1">
        <f t="array" ref="L2445">IFERROR(INDEX(DB!R$2:R$2576,T2445),"")</f>
        <v/>
      </c>
      <c r="M2445" s="43"/>
      <c r="P2445" t="str" cm="1">
        <f t="array" ref="P2445">IFERROR(_xlfn.AGGREGATE(15,6,ROW(DB!A$2:A$2576)/((($D$3&lt;&gt;"YES")+($D$3="YES")*(DB!E$2:E$2576="YES"))*(($D$4="")+($D$4&lt;&gt;"")*( DB!B$2:B$2576=$D$4))*(($D$5="")+($D$5&lt;&gt;"")*( DB!C$2:C$2576=$D$5))*(($D$6="")+($D$6&lt;&gt;"")*( DB!D$2:D$2576=$D$6))*(($D$7="")+($D$7&lt;&gt;"")*(ISNUMBER(SEARCH($D$7,DB!G$2:G$2576))))*(($F$7="전체")+($F$7&lt;&gt;"전체")*(DB!H$2:H$2576=$F$7))),ROW()-13)-1,"")</f>
        <v/>
      </c>
      <c r="Q2445" t="str" cm="1">
        <f t="array" ref="Q2445">IFERROR(INDEX(DB!G$2:G$2576,P2445),"")</f>
        <v/>
      </c>
      <c r="R2445" t="str" cm="1">
        <f t="array" ref="R2445">IFERROR(INDEX(DB!O$2:O$2576,P2445),"")</f>
        <v/>
      </c>
      <c r="S2445" t="str">
        <f t="shared" si="114"/>
        <v/>
      </c>
      <c r="T2445" t="str">
        <f t="shared" si="115"/>
        <v/>
      </c>
    </row>
    <row r="2446" spans="1:20" ht="100" customHeight="1">
      <c r="A2446" s="26"/>
      <c r="B2446" s="39" t="str">
        <f t="shared" si="113"/>
        <v/>
      </c>
      <c r="C2446" s="43"/>
      <c r="D2446" s="51" t="str" cm="1">
        <f t="array" ref="D2446">IFERROR(INDEX(DB!G$2:G$2576,T2446),"")</f>
        <v/>
      </c>
      <c r="E2446" s="43"/>
      <c r="F2446" s="52" t="str" cm="1">
        <f t="array" ref="F2446">IFERROR(INDEX(DB!O$2:O$2576,T2446),"")</f>
        <v/>
      </c>
      <c r="G2446" s="43"/>
      <c r="H2446" s="40" t="str" cm="1">
        <f t="array" ref="H2446">IFERROR(INDEX(DB!P$2:P$2576,T2446),"")</f>
        <v/>
      </c>
      <c r="I2446" s="43"/>
      <c r="J2446" s="53" t="str" cm="1">
        <f t="array" ref="J2446">IFERROR(INDEX(DB!Q$2:Q$2576,T2446),"")</f>
        <v/>
      </c>
      <c r="K2446" s="43"/>
      <c r="L2446" s="41" t="str" cm="1">
        <f t="array" ref="L2446">IFERROR(INDEX(DB!R$2:R$2576,T2446),"")</f>
        <v/>
      </c>
      <c r="M2446" s="43"/>
      <c r="P2446" t="str" cm="1">
        <f t="array" ref="P2446">IFERROR(_xlfn.AGGREGATE(15,6,ROW(DB!A$2:A$2576)/((($D$3&lt;&gt;"YES")+($D$3="YES")*(DB!E$2:E$2576="YES"))*(($D$4="")+($D$4&lt;&gt;"")*( DB!B$2:B$2576=$D$4))*(($D$5="")+($D$5&lt;&gt;"")*( DB!C$2:C$2576=$D$5))*(($D$6="")+($D$6&lt;&gt;"")*( DB!D$2:D$2576=$D$6))*(($D$7="")+($D$7&lt;&gt;"")*(ISNUMBER(SEARCH($D$7,DB!G$2:G$2576))))*(($F$7="전체")+($F$7&lt;&gt;"전체")*(DB!H$2:H$2576=$F$7))),ROW()-13)-1,"")</f>
        <v/>
      </c>
      <c r="Q2446" t="str" cm="1">
        <f t="array" ref="Q2446">IFERROR(INDEX(DB!G$2:G$2576,P2446),"")</f>
        <v/>
      </c>
      <c r="R2446" t="str" cm="1">
        <f t="array" ref="R2446">IFERROR(INDEX(DB!O$2:O$2576,P2446),"")</f>
        <v/>
      </c>
      <c r="S2446" t="str">
        <f t="shared" si="114"/>
        <v/>
      </c>
      <c r="T2446" t="str">
        <f t="shared" si="115"/>
        <v/>
      </c>
    </row>
    <row r="2447" spans="1:20" ht="100" customHeight="1">
      <c r="A2447" s="26"/>
      <c r="B2447" s="42" t="str">
        <f t="shared" ref="B2447:B2510" si="116">IFERROR(IF(T2447="","",ROW()-13),"")</f>
        <v/>
      </c>
      <c r="C2447" s="43"/>
      <c r="D2447" s="51" t="str" cm="1">
        <f t="array" ref="D2447">IFERROR(INDEX(DB!G$2:G$2576,T2447),"")</f>
        <v/>
      </c>
      <c r="E2447" s="43"/>
      <c r="F2447" s="52" t="str" cm="1">
        <f t="array" ref="F2447">IFERROR(INDEX(DB!O$2:O$2576,T2447),"")</f>
        <v/>
      </c>
      <c r="G2447" s="43"/>
      <c r="H2447" s="40" t="str" cm="1">
        <f t="array" ref="H2447">IFERROR(INDEX(DB!P$2:P$2576,T2447),"")</f>
        <v/>
      </c>
      <c r="I2447" s="43"/>
      <c r="J2447" s="53" t="str" cm="1">
        <f t="array" ref="J2447">IFERROR(INDEX(DB!Q$2:Q$2576,T2447),"")</f>
        <v/>
      </c>
      <c r="K2447" s="43"/>
      <c r="L2447" s="41" t="str" cm="1">
        <f t="array" ref="L2447">IFERROR(INDEX(DB!R$2:R$2576,T2447),"")</f>
        <v/>
      </c>
      <c r="M2447" s="43"/>
      <c r="P2447" t="str" cm="1">
        <f t="array" ref="P2447">IFERROR(_xlfn.AGGREGATE(15,6,ROW(DB!A$2:A$2576)/((($D$3&lt;&gt;"YES")+($D$3="YES")*(DB!E$2:E$2576="YES"))*(($D$4="")+($D$4&lt;&gt;"")*( DB!B$2:B$2576=$D$4))*(($D$5="")+($D$5&lt;&gt;"")*( DB!C$2:C$2576=$D$5))*(($D$6="")+($D$6&lt;&gt;"")*( DB!D$2:D$2576=$D$6))*(($D$7="")+($D$7&lt;&gt;"")*(ISNUMBER(SEARCH($D$7,DB!G$2:G$2576))))*(($F$7="전체")+($F$7&lt;&gt;"전체")*(DB!H$2:H$2576=$F$7))),ROW()-13)-1,"")</f>
        <v/>
      </c>
      <c r="Q2447" t="str" cm="1">
        <f t="array" ref="Q2447">IFERROR(INDEX(DB!G$2:G$2576,P2447),"")</f>
        <v/>
      </c>
      <c r="R2447" t="str" cm="1">
        <f t="array" ref="R2447">IFERROR(INDEX(DB!O$2:O$2576,P2447),"")</f>
        <v/>
      </c>
      <c r="S2447" t="str">
        <f t="shared" ref="S2447:S2510" si="117">IF(P2447="","",COUNTIF($Q$14:$Q$2587,"&lt;"&amp;Q2447)*100+COUNTIF($R$14:$R$2587,"&lt;"&amp;R2447)+(ROW()-13)*0.001)</f>
        <v/>
      </c>
      <c r="T2447" t="str">
        <f t="shared" ref="T2447:T2510" si="118">IFERROR(INDEX($P$14:$P$2587,MATCH(SMALL($S$14:$S$2587,ROW()-13),$S$14:$S$2587,0)),"")</f>
        <v/>
      </c>
    </row>
    <row r="2448" spans="1:20" ht="100" customHeight="1">
      <c r="A2448" s="26"/>
      <c r="B2448" s="39" t="str">
        <f t="shared" si="116"/>
        <v/>
      </c>
      <c r="C2448" s="43"/>
      <c r="D2448" s="51" t="str" cm="1">
        <f t="array" ref="D2448">IFERROR(INDEX(DB!G$2:G$2576,T2448),"")</f>
        <v/>
      </c>
      <c r="E2448" s="43"/>
      <c r="F2448" s="52" t="str" cm="1">
        <f t="array" ref="F2448">IFERROR(INDEX(DB!O$2:O$2576,T2448),"")</f>
        <v/>
      </c>
      <c r="G2448" s="43"/>
      <c r="H2448" s="40" t="str" cm="1">
        <f t="array" ref="H2448">IFERROR(INDEX(DB!P$2:P$2576,T2448),"")</f>
        <v/>
      </c>
      <c r="I2448" s="43"/>
      <c r="J2448" s="53" t="str" cm="1">
        <f t="array" ref="J2448">IFERROR(INDEX(DB!Q$2:Q$2576,T2448),"")</f>
        <v/>
      </c>
      <c r="K2448" s="43"/>
      <c r="L2448" s="41" t="str" cm="1">
        <f t="array" ref="L2448">IFERROR(INDEX(DB!R$2:R$2576,T2448),"")</f>
        <v/>
      </c>
      <c r="M2448" s="43"/>
      <c r="P2448" t="str" cm="1">
        <f t="array" ref="P2448">IFERROR(_xlfn.AGGREGATE(15,6,ROW(DB!A$2:A$2576)/((($D$3&lt;&gt;"YES")+($D$3="YES")*(DB!E$2:E$2576="YES"))*(($D$4="")+($D$4&lt;&gt;"")*( DB!B$2:B$2576=$D$4))*(($D$5="")+($D$5&lt;&gt;"")*( DB!C$2:C$2576=$D$5))*(($D$6="")+($D$6&lt;&gt;"")*( DB!D$2:D$2576=$D$6))*(($D$7="")+($D$7&lt;&gt;"")*(ISNUMBER(SEARCH($D$7,DB!G$2:G$2576))))*(($F$7="전체")+($F$7&lt;&gt;"전체")*(DB!H$2:H$2576=$F$7))),ROW()-13)-1,"")</f>
        <v/>
      </c>
      <c r="Q2448" t="str" cm="1">
        <f t="array" ref="Q2448">IFERROR(INDEX(DB!G$2:G$2576,P2448),"")</f>
        <v/>
      </c>
      <c r="R2448" t="str" cm="1">
        <f t="array" ref="R2448">IFERROR(INDEX(DB!O$2:O$2576,P2448),"")</f>
        <v/>
      </c>
      <c r="S2448" t="str">
        <f t="shared" si="117"/>
        <v/>
      </c>
      <c r="T2448" t="str">
        <f t="shared" si="118"/>
        <v/>
      </c>
    </row>
    <row r="2449" spans="1:20" ht="100" customHeight="1">
      <c r="A2449" s="26"/>
      <c r="B2449" s="42" t="str">
        <f t="shared" si="116"/>
        <v/>
      </c>
      <c r="C2449" s="43"/>
      <c r="D2449" s="51" t="str" cm="1">
        <f t="array" ref="D2449">IFERROR(INDEX(DB!G$2:G$2576,T2449),"")</f>
        <v/>
      </c>
      <c r="E2449" s="43"/>
      <c r="F2449" s="52" t="str" cm="1">
        <f t="array" ref="F2449">IFERROR(INDEX(DB!O$2:O$2576,T2449),"")</f>
        <v/>
      </c>
      <c r="G2449" s="43"/>
      <c r="H2449" s="40" t="str" cm="1">
        <f t="array" ref="H2449">IFERROR(INDEX(DB!P$2:P$2576,T2449),"")</f>
        <v/>
      </c>
      <c r="I2449" s="43"/>
      <c r="J2449" s="53" t="str" cm="1">
        <f t="array" ref="J2449">IFERROR(INDEX(DB!Q$2:Q$2576,T2449),"")</f>
        <v/>
      </c>
      <c r="K2449" s="43"/>
      <c r="L2449" s="41" t="str" cm="1">
        <f t="array" ref="L2449">IFERROR(INDEX(DB!R$2:R$2576,T2449),"")</f>
        <v/>
      </c>
      <c r="M2449" s="43"/>
      <c r="P2449" t="str" cm="1">
        <f t="array" ref="P2449">IFERROR(_xlfn.AGGREGATE(15,6,ROW(DB!A$2:A$2576)/((($D$3&lt;&gt;"YES")+($D$3="YES")*(DB!E$2:E$2576="YES"))*(($D$4="")+($D$4&lt;&gt;"")*( DB!B$2:B$2576=$D$4))*(($D$5="")+($D$5&lt;&gt;"")*( DB!C$2:C$2576=$D$5))*(($D$6="")+($D$6&lt;&gt;"")*( DB!D$2:D$2576=$D$6))*(($D$7="")+($D$7&lt;&gt;"")*(ISNUMBER(SEARCH($D$7,DB!G$2:G$2576))))*(($F$7="전체")+($F$7&lt;&gt;"전체")*(DB!H$2:H$2576=$F$7))),ROW()-13)-1,"")</f>
        <v/>
      </c>
      <c r="Q2449" t="str" cm="1">
        <f t="array" ref="Q2449">IFERROR(INDEX(DB!G$2:G$2576,P2449),"")</f>
        <v/>
      </c>
      <c r="R2449" t="str" cm="1">
        <f t="array" ref="R2449">IFERROR(INDEX(DB!O$2:O$2576,P2449),"")</f>
        <v/>
      </c>
      <c r="S2449" t="str">
        <f t="shared" si="117"/>
        <v/>
      </c>
      <c r="T2449" t="str">
        <f t="shared" si="118"/>
        <v/>
      </c>
    </row>
    <row r="2450" spans="1:20" ht="100" customHeight="1">
      <c r="A2450" s="26"/>
      <c r="B2450" s="39" t="str">
        <f t="shared" si="116"/>
        <v/>
      </c>
      <c r="C2450" s="43"/>
      <c r="D2450" s="51" t="str" cm="1">
        <f t="array" ref="D2450">IFERROR(INDEX(DB!G$2:G$2576,T2450),"")</f>
        <v/>
      </c>
      <c r="E2450" s="43"/>
      <c r="F2450" s="52" t="str" cm="1">
        <f t="array" ref="F2450">IFERROR(INDEX(DB!O$2:O$2576,T2450),"")</f>
        <v/>
      </c>
      <c r="G2450" s="43"/>
      <c r="H2450" s="40" t="str" cm="1">
        <f t="array" ref="H2450">IFERROR(INDEX(DB!P$2:P$2576,T2450),"")</f>
        <v/>
      </c>
      <c r="I2450" s="43"/>
      <c r="J2450" s="53" t="str" cm="1">
        <f t="array" ref="J2450">IFERROR(INDEX(DB!Q$2:Q$2576,T2450),"")</f>
        <v/>
      </c>
      <c r="K2450" s="43"/>
      <c r="L2450" s="41" t="str" cm="1">
        <f t="array" ref="L2450">IFERROR(INDEX(DB!R$2:R$2576,T2450),"")</f>
        <v/>
      </c>
      <c r="M2450" s="43"/>
      <c r="P2450" t="str" cm="1">
        <f t="array" ref="P2450">IFERROR(_xlfn.AGGREGATE(15,6,ROW(DB!A$2:A$2576)/((($D$3&lt;&gt;"YES")+($D$3="YES")*(DB!E$2:E$2576="YES"))*(($D$4="")+($D$4&lt;&gt;"")*( DB!B$2:B$2576=$D$4))*(($D$5="")+($D$5&lt;&gt;"")*( DB!C$2:C$2576=$D$5))*(($D$6="")+($D$6&lt;&gt;"")*( DB!D$2:D$2576=$D$6))*(($D$7="")+($D$7&lt;&gt;"")*(ISNUMBER(SEARCH($D$7,DB!G$2:G$2576))))*(($F$7="전체")+($F$7&lt;&gt;"전체")*(DB!H$2:H$2576=$F$7))),ROW()-13)-1,"")</f>
        <v/>
      </c>
      <c r="Q2450" t="str" cm="1">
        <f t="array" ref="Q2450">IFERROR(INDEX(DB!G$2:G$2576,P2450),"")</f>
        <v/>
      </c>
      <c r="R2450" t="str" cm="1">
        <f t="array" ref="R2450">IFERROR(INDEX(DB!O$2:O$2576,P2450),"")</f>
        <v/>
      </c>
      <c r="S2450" t="str">
        <f t="shared" si="117"/>
        <v/>
      </c>
      <c r="T2450" t="str">
        <f t="shared" si="118"/>
        <v/>
      </c>
    </row>
    <row r="2451" spans="1:20" ht="100" customHeight="1">
      <c r="A2451" s="26"/>
      <c r="B2451" s="42" t="str">
        <f t="shared" si="116"/>
        <v/>
      </c>
      <c r="C2451" s="43"/>
      <c r="D2451" s="51" t="str" cm="1">
        <f t="array" ref="D2451">IFERROR(INDEX(DB!G$2:G$2576,T2451),"")</f>
        <v/>
      </c>
      <c r="E2451" s="43"/>
      <c r="F2451" s="52" t="str" cm="1">
        <f t="array" ref="F2451">IFERROR(INDEX(DB!O$2:O$2576,T2451),"")</f>
        <v/>
      </c>
      <c r="G2451" s="43"/>
      <c r="H2451" s="40" t="str" cm="1">
        <f t="array" ref="H2451">IFERROR(INDEX(DB!P$2:P$2576,T2451),"")</f>
        <v/>
      </c>
      <c r="I2451" s="43"/>
      <c r="J2451" s="53" t="str" cm="1">
        <f t="array" ref="J2451">IFERROR(INDEX(DB!Q$2:Q$2576,T2451),"")</f>
        <v/>
      </c>
      <c r="K2451" s="43"/>
      <c r="L2451" s="41" t="str" cm="1">
        <f t="array" ref="L2451">IFERROR(INDEX(DB!R$2:R$2576,T2451),"")</f>
        <v/>
      </c>
      <c r="M2451" s="43"/>
      <c r="P2451" t="str" cm="1">
        <f t="array" ref="P2451">IFERROR(_xlfn.AGGREGATE(15,6,ROW(DB!A$2:A$2576)/((($D$3&lt;&gt;"YES")+($D$3="YES")*(DB!E$2:E$2576="YES"))*(($D$4="")+($D$4&lt;&gt;"")*( DB!B$2:B$2576=$D$4))*(($D$5="")+($D$5&lt;&gt;"")*( DB!C$2:C$2576=$D$5))*(($D$6="")+($D$6&lt;&gt;"")*( DB!D$2:D$2576=$D$6))*(($D$7="")+($D$7&lt;&gt;"")*(ISNUMBER(SEARCH($D$7,DB!G$2:G$2576))))*(($F$7="전체")+($F$7&lt;&gt;"전체")*(DB!H$2:H$2576=$F$7))),ROW()-13)-1,"")</f>
        <v/>
      </c>
      <c r="Q2451" t="str" cm="1">
        <f t="array" ref="Q2451">IFERROR(INDEX(DB!G$2:G$2576,P2451),"")</f>
        <v/>
      </c>
      <c r="R2451" t="str" cm="1">
        <f t="array" ref="R2451">IFERROR(INDEX(DB!O$2:O$2576,P2451),"")</f>
        <v/>
      </c>
      <c r="S2451" t="str">
        <f t="shared" si="117"/>
        <v/>
      </c>
      <c r="T2451" t="str">
        <f t="shared" si="118"/>
        <v/>
      </c>
    </row>
    <row r="2452" spans="1:20" ht="100" customHeight="1">
      <c r="A2452" s="26"/>
      <c r="B2452" s="39" t="str">
        <f t="shared" si="116"/>
        <v/>
      </c>
      <c r="C2452" s="43"/>
      <c r="D2452" s="51" t="str" cm="1">
        <f t="array" ref="D2452">IFERROR(INDEX(DB!G$2:G$2576,T2452),"")</f>
        <v/>
      </c>
      <c r="E2452" s="43"/>
      <c r="F2452" s="52" t="str" cm="1">
        <f t="array" ref="F2452">IFERROR(INDEX(DB!O$2:O$2576,T2452),"")</f>
        <v/>
      </c>
      <c r="G2452" s="43"/>
      <c r="H2452" s="40" t="str" cm="1">
        <f t="array" ref="H2452">IFERROR(INDEX(DB!P$2:P$2576,T2452),"")</f>
        <v/>
      </c>
      <c r="I2452" s="43"/>
      <c r="J2452" s="53" t="str" cm="1">
        <f t="array" ref="J2452">IFERROR(INDEX(DB!Q$2:Q$2576,T2452),"")</f>
        <v/>
      </c>
      <c r="K2452" s="43"/>
      <c r="L2452" s="41" t="str" cm="1">
        <f t="array" ref="L2452">IFERROR(INDEX(DB!R$2:R$2576,T2452),"")</f>
        <v/>
      </c>
      <c r="M2452" s="43"/>
      <c r="P2452" t="str" cm="1">
        <f t="array" ref="P2452">IFERROR(_xlfn.AGGREGATE(15,6,ROW(DB!A$2:A$2576)/((($D$3&lt;&gt;"YES")+($D$3="YES")*(DB!E$2:E$2576="YES"))*(($D$4="")+($D$4&lt;&gt;"")*( DB!B$2:B$2576=$D$4))*(($D$5="")+($D$5&lt;&gt;"")*( DB!C$2:C$2576=$D$5))*(($D$6="")+($D$6&lt;&gt;"")*( DB!D$2:D$2576=$D$6))*(($D$7="")+($D$7&lt;&gt;"")*(ISNUMBER(SEARCH($D$7,DB!G$2:G$2576))))*(($F$7="전체")+($F$7&lt;&gt;"전체")*(DB!H$2:H$2576=$F$7))),ROW()-13)-1,"")</f>
        <v/>
      </c>
      <c r="Q2452" t="str" cm="1">
        <f t="array" ref="Q2452">IFERROR(INDEX(DB!G$2:G$2576,P2452),"")</f>
        <v/>
      </c>
      <c r="R2452" t="str" cm="1">
        <f t="array" ref="R2452">IFERROR(INDEX(DB!O$2:O$2576,P2452),"")</f>
        <v/>
      </c>
      <c r="S2452" t="str">
        <f t="shared" si="117"/>
        <v/>
      </c>
      <c r="T2452" t="str">
        <f t="shared" si="118"/>
        <v/>
      </c>
    </row>
    <row r="2453" spans="1:20" ht="100" customHeight="1">
      <c r="A2453" s="26"/>
      <c r="B2453" s="42" t="str">
        <f t="shared" si="116"/>
        <v/>
      </c>
      <c r="C2453" s="43"/>
      <c r="D2453" s="51" t="str" cm="1">
        <f t="array" ref="D2453">IFERROR(INDEX(DB!G$2:G$2576,T2453),"")</f>
        <v/>
      </c>
      <c r="E2453" s="43"/>
      <c r="F2453" s="52" t="str" cm="1">
        <f t="array" ref="F2453">IFERROR(INDEX(DB!O$2:O$2576,T2453),"")</f>
        <v/>
      </c>
      <c r="G2453" s="43"/>
      <c r="H2453" s="40" t="str" cm="1">
        <f t="array" ref="H2453">IFERROR(INDEX(DB!P$2:P$2576,T2453),"")</f>
        <v/>
      </c>
      <c r="I2453" s="43"/>
      <c r="J2453" s="53" t="str" cm="1">
        <f t="array" ref="J2453">IFERROR(INDEX(DB!Q$2:Q$2576,T2453),"")</f>
        <v/>
      </c>
      <c r="K2453" s="43"/>
      <c r="L2453" s="41" t="str" cm="1">
        <f t="array" ref="L2453">IFERROR(INDEX(DB!R$2:R$2576,T2453),"")</f>
        <v/>
      </c>
      <c r="M2453" s="43"/>
      <c r="P2453" t="str" cm="1">
        <f t="array" ref="P2453">IFERROR(_xlfn.AGGREGATE(15,6,ROW(DB!A$2:A$2576)/((($D$3&lt;&gt;"YES")+($D$3="YES")*(DB!E$2:E$2576="YES"))*(($D$4="")+($D$4&lt;&gt;"")*( DB!B$2:B$2576=$D$4))*(($D$5="")+($D$5&lt;&gt;"")*( DB!C$2:C$2576=$D$5))*(($D$6="")+($D$6&lt;&gt;"")*( DB!D$2:D$2576=$D$6))*(($D$7="")+($D$7&lt;&gt;"")*(ISNUMBER(SEARCH($D$7,DB!G$2:G$2576))))*(($F$7="전체")+($F$7&lt;&gt;"전체")*(DB!H$2:H$2576=$F$7))),ROW()-13)-1,"")</f>
        <v/>
      </c>
      <c r="Q2453" t="str" cm="1">
        <f t="array" ref="Q2453">IFERROR(INDEX(DB!G$2:G$2576,P2453),"")</f>
        <v/>
      </c>
      <c r="R2453" t="str" cm="1">
        <f t="array" ref="R2453">IFERROR(INDEX(DB!O$2:O$2576,P2453),"")</f>
        <v/>
      </c>
      <c r="S2453" t="str">
        <f t="shared" si="117"/>
        <v/>
      </c>
      <c r="T2453" t="str">
        <f t="shared" si="118"/>
        <v/>
      </c>
    </row>
    <row r="2454" spans="1:20" ht="100" customHeight="1">
      <c r="A2454" s="26"/>
      <c r="B2454" s="39" t="str">
        <f t="shared" si="116"/>
        <v/>
      </c>
      <c r="C2454" s="43"/>
      <c r="D2454" s="51" t="str" cm="1">
        <f t="array" ref="D2454">IFERROR(INDEX(DB!G$2:G$2576,T2454),"")</f>
        <v/>
      </c>
      <c r="E2454" s="43"/>
      <c r="F2454" s="52" t="str" cm="1">
        <f t="array" ref="F2454">IFERROR(INDEX(DB!O$2:O$2576,T2454),"")</f>
        <v/>
      </c>
      <c r="G2454" s="43"/>
      <c r="H2454" s="40" t="str" cm="1">
        <f t="array" ref="H2454">IFERROR(INDEX(DB!P$2:P$2576,T2454),"")</f>
        <v/>
      </c>
      <c r="I2454" s="43"/>
      <c r="J2454" s="53" t="str" cm="1">
        <f t="array" ref="J2454">IFERROR(INDEX(DB!Q$2:Q$2576,T2454),"")</f>
        <v/>
      </c>
      <c r="K2454" s="43"/>
      <c r="L2454" s="41" t="str" cm="1">
        <f t="array" ref="L2454">IFERROR(INDEX(DB!R$2:R$2576,T2454),"")</f>
        <v/>
      </c>
      <c r="M2454" s="43"/>
      <c r="P2454" t="str" cm="1">
        <f t="array" ref="P2454">IFERROR(_xlfn.AGGREGATE(15,6,ROW(DB!A$2:A$2576)/((($D$3&lt;&gt;"YES")+($D$3="YES")*(DB!E$2:E$2576="YES"))*(($D$4="")+($D$4&lt;&gt;"")*( DB!B$2:B$2576=$D$4))*(($D$5="")+($D$5&lt;&gt;"")*( DB!C$2:C$2576=$D$5))*(($D$6="")+($D$6&lt;&gt;"")*( DB!D$2:D$2576=$D$6))*(($D$7="")+($D$7&lt;&gt;"")*(ISNUMBER(SEARCH($D$7,DB!G$2:G$2576))))*(($F$7="전체")+($F$7&lt;&gt;"전체")*(DB!H$2:H$2576=$F$7))),ROW()-13)-1,"")</f>
        <v/>
      </c>
      <c r="Q2454" t="str" cm="1">
        <f t="array" ref="Q2454">IFERROR(INDEX(DB!G$2:G$2576,P2454),"")</f>
        <v/>
      </c>
      <c r="R2454" t="str" cm="1">
        <f t="array" ref="R2454">IFERROR(INDEX(DB!O$2:O$2576,P2454),"")</f>
        <v/>
      </c>
      <c r="S2454" t="str">
        <f t="shared" si="117"/>
        <v/>
      </c>
      <c r="T2454" t="str">
        <f t="shared" si="118"/>
        <v/>
      </c>
    </row>
    <row r="2455" spans="1:20" ht="100" customHeight="1">
      <c r="A2455" s="26"/>
      <c r="B2455" s="42" t="str">
        <f t="shared" si="116"/>
        <v/>
      </c>
      <c r="C2455" s="43"/>
      <c r="D2455" s="51" t="str" cm="1">
        <f t="array" ref="D2455">IFERROR(INDEX(DB!G$2:G$2576,T2455),"")</f>
        <v/>
      </c>
      <c r="E2455" s="43"/>
      <c r="F2455" s="52" t="str" cm="1">
        <f t="array" ref="F2455">IFERROR(INDEX(DB!O$2:O$2576,T2455),"")</f>
        <v/>
      </c>
      <c r="G2455" s="43"/>
      <c r="H2455" s="40" t="str" cm="1">
        <f t="array" ref="H2455">IFERROR(INDEX(DB!P$2:P$2576,T2455),"")</f>
        <v/>
      </c>
      <c r="I2455" s="43"/>
      <c r="J2455" s="53" t="str" cm="1">
        <f t="array" ref="J2455">IFERROR(INDEX(DB!Q$2:Q$2576,T2455),"")</f>
        <v/>
      </c>
      <c r="K2455" s="43"/>
      <c r="L2455" s="41" t="str" cm="1">
        <f t="array" ref="L2455">IFERROR(INDEX(DB!R$2:R$2576,T2455),"")</f>
        <v/>
      </c>
      <c r="M2455" s="43"/>
      <c r="P2455" t="str" cm="1">
        <f t="array" ref="P2455">IFERROR(_xlfn.AGGREGATE(15,6,ROW(DB!A$2:A$2576)/((($D$3&lt;&gt;"YES")+($D$3="YES")*(DB!E$2:E$2576="YES"))*(($D$4="")+($D$4&lt;&gt;"")*( DB!B$2:B$2576=$D$4))*(($D$5="")+($D$5&lt;&gt;"")*( DB!C$2:C$2576=$D$5))*(($D$6="")+($D$6&lt;&gt;"")*( DB!D$2:D$2576=$D$6))*(($D$7="")+($D$7&lt;&gt;"")*(ISNUMBER(SEARCH($D$7,DB!G$2:G$2576))))*(($F$7="전체")+($F$7&lt;&gt;"전체")*(DB!H$2:H$2576=$F$7))),ROW()-13)-1,"")</f>
        <v/>
      </c>
      <c r="Q2455" t="str" cm="1">
        <f t="array" ref="Q2455">IFERROR(INDEX(DB!G$2:G$2576,P2455),"")</f>
        <v/>
      </c>
      <c r="R2455" t="str" cm="1">
        <f t="array" ref="R2455">IFERROR(INDEX(DB!O$2:O$2576,P2455),"")</f>
        <v/>
      </c>
      <c r="S2455" t="str">
        <f t="shared" si="117"/>
        <v/>
      </c>
      <c r="T2455" t="str">
        <f t="shared" si="118"/>
        <v/>
      </c>
    </row>
    <row r="2456" spans="1:20" ht="100" customHeight="1">
      <c r="A2456" s="26"/>
      <c r="B2456" s="39" t="str">
        <f t="shared" si="116"/>
        <v/>
      </c>
      <c r="C2456" s="43"/>
      <c r="D2456" s="51" t="str" cm="1">
        <f t="array" ref="D2456">IFERROR(INDEX(DB!G$2:G$2576,T2456),"")</f>
        <v/>
      </c>
      <c r="E2456" s="43"/>
      <c r="F2456" s="52" t="str" cm="1">
        <f t="array" ref="F2456">IFERROR(INDEX(DB!O$2:O$2576,T2456),"")</f>
        <v/>
      </c>
      <c r="G2456" s="43"/>
      <c r="H2456" s="40" t="str" cm="1">
        <f t="array" ref="H2456">IFERROR(INDEX(DB!P$2:P$2576,T2456),"")</f>
        <v/>
      </c>
      <c r="I2456" s="43"/>
      <c r="J2456" s="53" t="str" cm="1">
        <f t="array" ref="J2456">IFERROR(INDEX(DB!Q$2:Q$2576,T2456),"")</f>
        <v/>
      </c>
      <c r="K2456" s="43"/>
      <c r="L2456" s="41" t="str" cm="1">
        <f t="array" ref="L2456">IFERROR(INDEX(DB!R$2:R$2576,T2456),"")</f>
        <v/>
      </c>
      <c r="M2456" s="43"/>
      <c r="P2456" t="str" cm="1">
        <f t="array" ref="P2456">IFERROR(_xlfn.AGGREGATE(15,6,ROW(DB!A$2:A$2576)/((($D$3&lt;&gt;"YES")+($D$3="YES")*(DB!E$2:E$2576="YES"))*(($D$4="")+($D$4&lt;&gt;"")*( DB!B$2:B$2576=$D$4))*(($D$5="")+($D$5&lt;&gt;"")*( DB!C$2:C$2576=$D$5))*(($D$6="")+($D$6&lt;&gt;"")*( DB!D$2:D$2576=$D$6))*(($D$7="")+($D$7&lt;&gt;"")*(ISNUMBER(SEARCH($D$7,DB!G$2:G$2576))))*(($F$7="전체")+($F$7&lt;&gt;"전체")*(DB!H$2:H$2576=$F$7))),ROW()-13)-1,"")</f>
        <v/>
      </c>
      <c r="Q2456" t="str" cm="1">
        <f t="array" ref="Q2456">IFERROR(INDEX(DB!G$2:G$2576,P2456),"")</f>
        <v/>
      </c>
      <c r="R2456" t="str" cm="1">
        <f t="array" ref="R2456">IFERROR(INDEX(DB!O$2:O$2576,P2456),"")</f>
        <v/>
      </c>
      <c r="S2456" t="str">
        <f t="shared" si="117"/>
        <v/>
      </c>
      <c r="T2456" t="str">
        <f t="shared" si="118"/>
        <v/>
      </c>
    </row>
    <row r="2457" spans="1:20" ht="100" customHeight="1">
      <c r="A2457" s="26"/>
      <c r="B2457" s="42" t="str">
        <f t="shared" si="116"/>
        <v/>
      </c>
      <c r="C2457" s="43"/>
      <c r="D2457" s="51" t="str" cm="1">
        <f t="array" ref="D2457">IFERROR(INDEX(DB!G$2:G$2576,T2457),"")</f>
        <v/>
      </c>
      <c r="E2457" s="43"/>
      <c r="F2457" s="52" t="str" cm="1">
        <f t="array" ref="F2457">IFERROR(INDEX(DB!O$2:O$2576,T2457),"")</f>
        <v/>
      </c>
      <c r="G2457" s="43"/>
      <c r="H2457" s="40" t="str" cm="1">
        <f t="array" ref="H2457">IFERROR(INDEX(DB!P$2:P$2576,T2457),"")</f>
        <v/>
      </c>
      <c r="I2457" s="43"/>
      <c r="J2457" s="53" t="str" cm="1">
        <f t="array" ref="J2457">IFERROR(INDEX(DB!Q$2:Q$2576,T2457),"")</f>
        <v/>
      </c>
      <c r="K2457" s="43"/>
      <c r="L2457" s="41" t="str" cm="1">
        <f t="array" ref="L2457">IFERROR(INDEX(DB!R$2:R$2576,T2457),"")</f>
        <v/>
      </c>
      <c r="M2457" s="43"/>
      <c r="P2457" t="str" cm="1">
        <f t="array" ref="P2457">IFERROR(_xlfn.AGGREGATE(15,6,ROW(DB!A$2:A$2576)/((($D$3&lt;&gt;"YES")+($D$3="YES")*(DB!E$2:E$2576="YES"))*(($D$4="")+($D$4&lt;&gt;"")*( DB!B$2:B$2576=$D$4))*(($D$5="")+($D$5&lt;&gt;"")*( DB!C$2:C$2576=$D$5))*(($D$6="")+($D$6&lt;&gt;"")*( DB!D$2:D$2576=$D$6))*(($D$7="")+($D$7&lt;&gt;"")*(ISNUMBER(SEARCH($D$7,DB!G$2:G$2576))))*(($F$7="전체")+($F$7&lt;&gt;"전체")*(DB!H$2:H$2576=$F$7))),ROW()-13)-1,"")</f>
        <v/>
      </c>
      <c r="Q2457" t="str" cm="1">
        <f t="array" ref="Q2457">IFERROR(INDEX(DB!G$2:G$2576,P2457),"")</f>
        <v/>
      </c>
      <c r="R2457" t="str" cm="1">
        <f t="array" ref="R2457">IFERROR(INDEX(DB!O$2:O$2576,P2457),"")</f>
        <v/>
      </c>
      <c r="S2457" t="str">
        <f t="shared" si="117"/>
        <v/>
      </c>
      <c r="T2457" t="str">
        <f t="shared" si="118"/>
        <v/>
      </c>
    </row>
    <row r="2458" spans="1:20" ht="100" customHeight="1">
      <c r="A2458" s="26"/>
      <c r="B2458" s="39" t="str">
        <f t="shared" si="116"/>
        <v/>
      </c>
      <c r="C2458" s="43"/>
      <c r="D2458" s="51" t="str" cm="1">
        <f t="array" ref="D2458">IFERROR(INDEX(DB!G$2:G$2576,T2458),"")</f>
        <v/>
      </c>
      <c r="E2458" s="43"/>
      <c r="F2458" s="52" t="str" cm="1">
        <f t="array" ref="F2458">IFERROR(INDEX(DB!O$2:O$2576,T2458),"")</f>
        <v/>
      </c>
      <c r="G2458" s="43"/>
      <c r="H2458" s="40" t="str" cm="1">
        <f t="array" ref="H2458">IFERROR(INDEX(DB!P$2:P$2576,T2458),"")</f>
        <v/>
      </c>
      <c r="I2458" s="43"/>
      <c r="J2458" s="53" t="str" cm="1">
        <f t="array" ref="J2458">IFERROR(INDEX(DB!Q$2:Q$2576,T2458),"")</f>
        <v/>
      </c>
      <c r="K2458" s="43"/>
      <c r="L2458" s="41" t="str" cm="1">
        <f t="array" ref="L2458">IFERROR(INDEX(DB!R$2:R$2576,T2458),"")</f>
        <v/>
      </c>
      <c r="M2458" s="43"/>
      <c r="P2458" t="str" cm="1">
        <f t="array" ref="P2458">IFERROR(_xlfn.AGGREGATE(15,6,ROW(DB!A$2:A$2576)/((($D$3&lt;&gt;"YES")+($D$3="YES")*(DB!E$2:E$2576="YES"))*(($D$4="")+($D$4&lt;&gt;"")*( DB!B$2:B$2576=$D$4))*(($D$5="")+($D$5&lt;&gt;"")*( DB!C$2:C$2576=$D$5))*(($D$6="")+($D$6&lt;&gt;"")*( DB!D$2:D$2576=$D$6))*(($D$7="")+($D$7&lt;&gt;"")*(ISNUMBER(SEARCH($D$7,DB!G$2:G$2576))))*(($F$7="전체")+($F$7&lt;&gt;"전체")*(DB!H$2:H$2576=$F$7))),ROW()-13)-1,"")</f>
        <v/>
      </c>
      <c r="Q2458" t="str" cm="1">
        <f t="array" ref="Q2458">IFERROR(INDEX(DB!G$2:G$2576,P2458),"")</f>
        <v/>
      </c>
      <c r="R2458" t="str" cm="1">
        <f t="array" ref="R2458">IFERROR(INDEX(DB!O$2:O$2576,P2458),"")</f>
        <v/>
      </c>
      <c r="S2458" t="str">
        <f t="shared" si="117"/>
        <v/>
      </c>
      <c r="T2458" t="str">
        <f t="shared" si="118"/>
        <v/>
      </c>
    </row>
    <row r="2459" spans="1:20" ht="100" customHeight="1">
      <c r="A2459" s="26"/>
      <c r="B2459" s="42" t="str">
        <f t="shared" si="116"/>
        <v/>
      </c>
      <c r="C2459" s="43"/>
      <c r="D2459" s="51" t="str" cm="1">
        <f t="array" ref="D2459">IFERROR(INDEX(DB!G$2:G$2576,T2459),"")</f>
        <v/>
      </c>
      <c r="E2459" s="43"/>
      <c r="F2459" s="52" t="str" cm="1">
        <f t="array" ref="F2459">IFERROR(INDEX(DB!O$2:O$2576,T2459),"")</f>
        <v/>
      </c>
      <c r="G2459" s="43"/>
      <c r="H2459" s="40" t="str" cm="1">
        <f t="array" ref="H2459">IFERROR(INDEX(DB!P$2:P$2576,T2459),"")</f>
        <v/>
      </c>
      <c r="I2459" s="43"/>
      <c r="J2459" s="53" t="str" cm="1">
        <f t="array" ref="J2459">IFERROR(INDEX(DB!Q$2:Q$2576,T2459),"")</f>
        <v/>
      </c>
      <c r="K2459" s="43"/>
      <c r="L2459" s="41" t="str" cm="1">
        <f t="array" ref="L2459">IFERROR(INDEX(DB!R$2:R$2576,T2459),"")</f>
        <v/>
      </c>
      <c r="M2459" s="43"/>
      <c r="P2459" t="str" cm="1">
        <f t="array" ref="P2459">IFERROR(_xlfn.AGGREGATE(15,6,ROW(DB!A$2:A$2576)/((($D$3&lt;&gt;"YES")+($D$3="YES")*(DB!E$2:E$2576="YES"))*(($D$4="")+($D$4&lt;&gt;"")*( DB!B$2:B$2576=$D$4))*(($D$5="")+($D$5&lt;&gt;"")*( DB!C$2:C$2576=$D$5))*(($D$6="")+($D$6&lt;&gt;"")*( DB!D$2:D$2576=$D$6))*(($D$7="")+($D$7&lt;&gt;"")*(ISNUMBER(SEARCH($D$7,DB!G$2:G$2576))))*(($F$7="전체")+($F$7&lt;&gt;"전체")*(DB!H$2:H$2576=$F$7))),ROW()-13)-1,"")</f>
        <v/>
      </c>
      <c r="Q2459" t="str" cm="1">
        <f t="array" ref="Q2459">IFERROR(INDEX(DB!G$2:G$2576,P2459),"")</f>
        <v/>
      </c>
      <c r="R2459" t="str" cm="1">
        <f t="array" ref="R2459">IFERROR(INDEX(DB!O$2:O$2576,P2459),"")</f>
        <v/>
      </c>
      <c r="S2459" t="str">
        <f t="shared" si="117"/>
        <v/>
      </c>
      <c r="T2459" t="str">
        <f t="shared" si="118"/>
        <v/>
      </c>
    </row>
    <row r="2460" spans="1:20" ht="100" customHeight="1">
      <c r="A2460" s="26"/>
      <c r="B2460" s="39" t="str">
        <f t="shared" si="116"/>
        <v/>
      </c>
      <c r="C2460" s="43"/>
      <c r="D2460" s="51" t="str" cm="1">
        <f t="array" ref="D2460">IFERROR(INDEX(DB!G$2:G$2576,T2460),"")</f>
        <v/>
      </c>
      <c r="E2460" s="43"/>
      <c r="F2460" s="52" t="str" cm="1">
        <f t="array" ref="F2460">IFERROR(INDEX(DB!O$2:O$2576,T2460),"")</f>
        <v/>
      </c>
      <c r="G2460" s="43"/>
      <c r="H2460" s="40" t="str" cm="1">
        <f t="array" ref="H2460">IFERROR(INDEX(DB!P$2:P$2576,T2460),"")</f>
        <v/>
      </c>
      <c r="I2460" s="43"/>
      <c r="J2460" s="53" t="str" cm="1">
        <f t="array" ref="J2460">IFERROR(INDEX(DB!Q$2:Q$2576,T2460),"")</f>
        <v/>
      </c>
      <c r="K2460" s="43"/>
      <c r="L2460" s="41" t="str" cm="1">
        <f t="array" ref="L2460">IFERROR(INDEX(DB!R$2:R$2576,T2460),"")</f>
        <v/>
      </c>
      <c r="M2460" s="43"/>
      <c r="P2460" t="str" cm="1">
        <f t="array" ref="P2460">IFERROR(_xlfn.AGGREGATE(15,6,ROW(DB!A$2:A$2576)/((($D$3&lt;&gt;"YES")+($D$3="YES")*(DB!E$2:E$2576="YES"))*(($D$4="")+($D$4&lt;&gt;"")*( DB!B$2:B$2576=$D$4))*(($D$5="")+($D$5&lt;&gt;"")*( DB!C$2:C$2576=$D$5))*(($D$6="")+($D$6&lt;&gt;"")*( DB!D$2:D$2576=$D$6))*(($D$7="")+($D$7&lt;&gt;"")*(ISNUMBER(SEARCH($D$7,DB!G$2:G$2576))))*(($F$7="전체")+($F$7&lt;&gt;"전체")*(DB!H$2:H$2576=$F$7))),ROW()-13)-1,"")</f>
        <v/>
      </c>
      <c r="Q2460" t="str" cm="1">
        <f t="array" ref="Q2460">IFERROR(INDEX(DB!G$2:G$2576,P2460),"")</f>
        <v/>
      </c>
      <c r="R2460" t="str" cm="1">
        <f t="array" ref="R2460">IFERROR(INDEX(DB!O$2:O$2576,P2460),"")</f>
        <v/>
      </c>
      <c r="S2460" t="str">
        <f t="shared" si="117"/>
        <v/>
      </c>
      <c r="T2460" t="str">
        <f t="shared" si="118"/>
        <v/>
      </c>
    </row>
    <row r="2461" spans="1:20" ht="100" customHeight="1">
      <c r="A2461" s="26"/>
      <c r="B2461" s="42" t="str">
        <f t="shared" si="116"/>
        <v/>
      </c>
      <c r="C2461" s="43"/>
      <c r="D2461" s="51" t="str" cm="1">
        <f t="array" ref="D2461">IFERROR(INDEX(DB!G$2:G$2576,T2461),"")</f>
        <v/>
      </c>
      <c r="E2461" s="43"/>
      <c r="F2461" s="52" t="str" cm="1">
        <f t="array" ref="F2461">IFERROR(INDEX(DB!O$2:O$2576,T2461),"")</f>
        <v/>
      </c>
      <c r="G2461" s="43"/>
      <c r="H2461" s="40" t="str" cm="1">
        <f t="array" ref="H2461">IFERROR(INDEX(DB!P$2:P$2576,T2461),"")</f>
        <v/>
      </c>
      <c r="I2461" s="43"/>
      <c r="J2461" s="53" t="str" cm="1">
        <f t="array" ref="J2461">IFERROR(INDEX(DB!Q$2:Q$2576,T2461),"")</f>
        <v/>
      </c>
      <c r="K2461" s="43"/>
      <c r="L2461" s="41" t="str" cm="1">
        <f t="array" ref="L2461">IFERROR(INDEX(DB!R$2:R$2576,T2461),"")</f>
        <v/>
      </c>
      <c r="M2461" s="43"/>
      <c r="P2461" t="str" cm="1">
        <f t="array" ref="P2461">IFERROR(_xlfn.AGGREGATE(15,6,ROW(DB!A$2:A$2576)/((($D$3&lt;&gt;"YES")+($D$3="YES")*(DB!E$2:E$2576="YES"))*(($D$4="")+($D$4&lt;&gt;"")*( DB!B$2:B$2576=$D$4))*(($D$5="")+($D$5&lt;&gt;"")*( DB!C$2:C$2576=$D$5))*(($D$6="")+($D$6&lt;&gt;"")*( DB!D$2:D$2576=$D$6))*(($D$7="")+($D$7&lt;&gt;"")*(ISNUMBER(SEARCH($D$7,DB!G$2:G$2576))))*(($F$7="전체")+($F$7&lt;&gt;"전체")*(DB!H$2:H$2576=$F$7))),ROW()-13)-1,"")</f>
        <v/>
      </c>
      <c r="Q2461" t="str" cm="1">
        <f t="array" ref="Q2461">IFERROR(INDEX(DB!G$2:G$2576,P2461),"")</f>
        <v/>
      </c>
      <c r="R2461" t="str" cm="1">
        <f t="array" ref="R2461">IFERROR(INDEX(DB!O$2:O$2576,P2461),"")</f>
        <v/>
      </c>
      <c r="S2461" t="str">
        <f t="shared" si="117"/>
        <v/>
      </c>
      <c r="T2461" t="str">
        <f t="shared" si="118"/>
        <v/>
      </c>
    </row>
    <row r="2462" spans="1:20" ht="100" customHeight="1">
      <c r="A2462" s="26"/>
      <c r="B2462" s="39" t="str">
        <f t="shared" si="116"/>
        <v/>
      </c>
      <c r="C2462" s="43"/>
      <c r="D2462" s="51" t="str" cm="1">
        <f t="array" ref="D2462">IFERROR(INDEX(DB!G$2:G$2576,T2462),"")</f>
        <v/>
      </c>
      <c r="E2462" s="43"/>
      <c r="F2462" s="52" t="str" cm="1">
        <f t="array" ref="F2462">IFERROR(INDEX(DB!O$2:O$2576,T2462),"")</f>
        <v/>
      </c>
      <c r="G2462" s="43"/>
      <c r="H2462" s="40" t="str" cm="1">
        <f t="array" ref="H2462">IFERROR(INDEX(DB!P$2:P$2576,T2462),"")</f>
        <v/>
      </c>
      <c r="I2462" s="43"/>
      <c r="J2462" s="53" t="str" cm="1">
        <f t="array" ref="J2462">IFERROR(INDEX(DB!Q$2:Q$2576,T2462),"")</f>
        <v/>
      </c>
      <c r="K2462" s="43"/>
      <c r="L2462" s="41" t="str" cm="1">
        <f t="array" ref="L2462">IFERROR(INDEX(DB!R$2:R$2576,T2462),"")</f>
        <v/>
      </c>
      <c r="M2462" s="43"/>
      <c r="P2462" t="str" cm="1">
        <f t="array" ref="P2462">IFERROR(_xlfn.AGGREGATE(15,6,ROW(DB!A$2:A$2576)/((($D$3&lt;&gt;"YES")+($D$3="YES")*(DB!E$2:E$2576="YES"))*(($D$4="")+($D$4&lt;&gt;"")*( DB!B$2:B$2576=$D$4))*(($D$5="")+($D$5&lt;&gt;"")*( DB!C$2:C$2576=$D$5))*(($D$6="")+($D$6&lt;&gt;"")*( DB!D$2:D$2576=$D$6))*(($D$7="")+($D$7&lt;&gt;"")*(ISNUMBER(SEARCH($D$7,DB!G$2:G$2576))))*(($F$7="전체")+($F$7&lt;&gt;"전체")*(DB!H$2:H$2576=$F$7))),ROW()-13)-1,"")</f>
        <v/>
      </c>
      <c r="Q2462" t="str" cm="1">
        <f t="array" ref="Q2462">IFERROR(INDEX(DB!G$2:G$2576,P2462),"")</f>
        <v/>
      </c>
      <c r="R2462" t="str" cm="1">
        <f t="array" ref="R2462">IFERROR(INDEX(DB!O$2:O$2576,P2462),"")</f>
        <v/>
      </c>
      <c r="S2462" t="str">
        <f t="shared" si="117"/>
        <v/>
      </c>
      <c r="T2462" t="str">
        <f t="shared" si="118"/>
        <v/>
      </c>
    </row>
    <row r="2463" spans="1:20" ht="100" customHeight="1">
      <c r="A2463" s="26"/>
      <c r="B2463" s="42" t="str">
        <f t="shared" si="116"/>
        <v/>
      </c>
      <c r="C2463" s="43"/>
      <c r="D2463" s="51" t="str" cm="1">
        <f t="array" ref="D2463">IFERROR(INDEX(DB!G$2:G$2576,T2463),"")</f>
        <v/>
      </c>
      <c r="E2463" s="43"/>
      <c r="F2463" s="52" t="str" cm="1">
        <f t="array" ref="F2463">IFERROR(INDEX(DB!O$2:O$2576,T2463),"")</f>
        <v/>
      </c>
      <c r="G2463" s="43"/>
      <c r="H2463" s="40" t="str" cm="1">
        <f t="array" ref="H2463">IFERROR(INDEX(DB!P$2:P$2576,T2463),"")</f>
        <v/>
      </c>
      <c r="I2463" s="43"/>
      <c r="J2463" s="53" t="str" cm="1">
        <f t="array" ref="J2463">IFERROR(INDEX(DB!Q$2:Q$2576,T2463),"")</f>
        <v/>
      </c>
      <c r="K2463" s="43"/>
      <c r="L2463" s="41" t="str" cm="1">
        <f t="array" ref="L2463">IFERROR(INDEX(DB!R$2:R$2576,T2463),"")</f>
        <v/>
      </c>
      <c r="M2463" s="43"/>
      <c r="P2463" t="str" cm="1">
        <f t="array" ref="P2463">IFERROR(_xlfn.AGGREGATE(15,6,ROW(DB!A$2:A$2576)/((($D$3&lt;&gt;"YES")+($D$3="YES")*(DB!E$2:E$2576="YES"))*(($D$4="")+($D$4&lt;&gt;"")*( DB!B$2:B$2576=$D$4))*(($D$5="")+($D$5&lt;&gt;"")*( DB!C$2:C$2576=$D$5))*(($D$6="")+($D$6&lt;&gt;"")*( DB!D$2:D$2576=$D$6))*(($D$7="")+($D$7&lt;&gt;"")*(ISNUMBER(SEARCH($D$7,DB!G$2:G$2576))))*(($F$7="전체")+($F$7&lt;&gt;"전체")*(DB!H$2:H$2576=$F$7))),ROW()-13)-1,"")</f>
        <v/>
      </c>
      <c r="Q2463" t="str" cm="1">
        <f t="array" ref="Q2463">IFERROR(INDEX(DB!G$2:G$2576,P2463),"")</f>
        <v/>
      </c>
      <c r="R2463" t="str" cm="1">
        <f t="array" ref="R2463">IFERROR(INDEX(DB!O$2:O$2576,P2463),"")</f>
        <v/>
      </c>
      <c r="S2463" t="str">
        <f t="shared" si="117"/>
        <v/>
      </c>
      <c r="T2463" t="str">
        <f t="shared" si="118"/>
        <v/>
      </c>
    </row>
    <row r="2464" spans="1:20" ht="100" customHeight="1">
      <c r="A2464" s="26"/>
      <c r="B2464" s="39" t="str">
        <f t="shared" si="116"/>
        <v/>
      </c>
      <c r="C2464" s="43"/>
      <c r="D2464" s="51" t="str" cm="1">
        <f t="array" ref="D2464">IFERROR(INDEX(DB!G$2:G$2576,T2464),"")</f>
        <v/>
      </c>
      <c r="E2464" s="43"/>
      <c r="F2464" s="52" t="str" cm="1">
        <f t="array" ref="F2464">IFERROR(INDEX(DB!O$2:O$2576,T2464),"")</f>
        <v/>
      </c>
      <c r="G2464" s="43"/>
      <c r="H2464" s="40" t="str" cm="1">
        <f t="array" ref="H2464">IFERROR(INDEX(DB!P$2:P$2576,T2464),"")</f>
        <v/>
      </c>
      <c r="I2464" s="43"/>
      <c r="J2464" s="53" t="str" cm="1">
        <f t="array" ref="J2464">IFERROR(INDEX(DB!Q$2:Q$2576,T2464),"")</f>
        <v/>
      </c>
      <c r="K2464" s="43"/>
      <c r="L2464" s="41" t="str" cm="1">
        <f t="array" ref="L2464">IFERROR(INDEX(DB!R$2:R$2576,T2464),"")</f>
        <v/>
      </c>
      <c r="M2464" s="43"/>
      <c r="P2464" t="str" cm="1">
        <f t="array" ref="P2464">IFERROR(_xlfn.AGGREGATE(15,6,ROW(DB!A$2:A$2576)/((($D$3&lt;&gt;"YES")+($D$3="YES")*(DB!E$2:E$2576="YES"))*(($D$4="")+($D$4&lt;&gt;"")*( DB!B$2:B$2576=$D$4))*(($D$5="")+($D$5&lt;&gt;"")*( DB!C$2:C$2576=$D$5))*(($D$6="")+($D$6&lt;&gt;"")*( DB!D$2:D$2576=$D$6))*(($D$7="")+($D$7&lt;&gt;"")*(ISNUMBER(SEARCH($D$7,DB!G$2:G$2576))))*(($F$7="전체")+($F$7&lt;&gt;"전체")*(DB!H$2:H$2576=$F$7))),ROW()-13)-1,"")</f>
        <v/>
      </c>
      <c r="Q2464" t="str" cm="1">
        <f t="array" ref="Q2464">IFERROR(INDEX(DB!G$2:G$2576,P2464),"")</f>
        <v/>
      </c>
      <c r="R2464" t="str" cm="1">
        <f t="array" ref="R2464">IFERROR(INDEX(DB!O$2:O$2576,P2464),"")</f>
        <v/>
      </c>
      <c r="S2464" t="str">
        <f t="shared" si="117"/>
        <v/>
      </c>
      <c r="T2464" t="str">
        <f t="shared" si="118"/>
        <v/>
      </c>
    </row>
    <row r="2465" spans="1:20" ht="100" customHeight="1">
      <c r="A2465" s="26"/>
      <c r="B2465" s="42" t="str">
        <f t="shared" si="116"/>
        <v/>
      </c>
      <c r="C2465" s="43"/>
      <c r="D2465" s="51" t="str" cm="1">
        <f t="array" ref="D2465">IFERROR(INDEX(DB!G$2:G$2576,T2465),"")</f>
        <v/>
      </c>
      <c r="E2465" s="43"/>
      <c r="F2465" s="52" t="str" cm="1">
        <f t="array" ref="F2465">IFERROR(INDEX(DB!O$2:O$2576,T2465),"")</f>
        <v/>
      </c>
      <c r="G2465" s="43"/>
      <c r="H2465" s="40" t="str" cm="1">
        <f t="array" ref="H2465">IFERROR(INDEX(DB!P$2:P$2576,T2465),"")</f>
        <v/>
      </c>
      <c r="I2465" s="43"/>
      <c r="J2465" s="53" t="str" cm="1">
        <f t="array" ref="J2465">IFERROR(INDEX(DB!Q$2:Q$2576,T2465),"")</f>
        <v/>
      </c>
      <c r="K2465" s="43"/>
      <c r="L2465" s="41" t="str" cm="1">
        <f t="array" ref="L2465">IFERROR(INDEX(DB!R$2:R$2576,T2465),"")</f>
        <v/>
      </c>
      <c r="M2465" s="43"/>
      <c r="P2465" t="str" cm="1">
        <f t="array" ref="P2465">IFERROR(_xlfn.AGGREGATE(15,6,ROW(DB!A$2:A$2576)/((($D$3&lt;&gt;"YES")+($D$3="YES")*(DB!E$2:E$2576="YES"))*(($D$4="")+($D$4&lt;&gt;"")*( DB!B$2:B$2576=$D$4))*(($D$5="")+($D$5&lt;&gt;"")*( DB!C$2:C$2576=$D$5))*(($D$6="")+($D$6&lt;&gt;"")*( DB!D$2:D$2576=$D$6))*(($D$7="")+($D$7&lt;&gt;"")*(ISNUMBER(SEARCH($D$7,DB!G$2:G$2576))))*(($F$7="전체")+($F$7&lt;&gt;"전체")*(DB!H$2:H$2576=$F$7))),ROW()-13)-1,"")</f>
        <v/>
      </c>
      <c r="Q2465" t="str" cm="1">
        <f t="array" ref="Q2465">IFERROR(INDEX(DB!G$2:G$2576,P2465),"")</f>
        <v/>
      </c>
      <c r="R2465" t="str" cm="1">
        <f t="array" ref="R2465">IFERROR(INDEX(DB!O$2:O$2576,P2465),"")</f>
        <v/>
      </c>
      <c r="S2465" t="str">
        <f t="shared" si="117"/>
        <v/>
      </c>
      <c r="T2465" t="str">
        <f t="shared" si="118"/>
        <v/>
      </c>
    </row>
    <row r="2466" spans="1:20" ht="100" customHeight="1">
      <c r="A2466" s="26"/>
      <c r="B2466" s="39" t="str">
        <f t="shared" si="116"/>
        <v/>
      </c>
      <c r="C2466" s="43"/>
      <c r="D2466" s="51" t="str" cm="1">
        <f t="array" ref="D2466">IFERROR(INDEX(DB!G$2:G$2576,T2466),"")</f>
        <v/>
      </c>
      <c r="E2466" s="43"/>
      <c r="F2466" s="52" t="str" cm="1">
        <f t="array" ref="F2466">IFERROR(INDEX(DB!O$2:O$2576,T2466),"")</f>
        <v/>
      </c>
      <c r="G2466" s="43"/>
      <c r="H2466" s="40" t="str" cm="1">
        <f t="array" ref="H2466">IFERROR(INDEX(DB!P$2:P$2576,T2466),"")</f>
        <v/>
      </c>
      <c r="I2466" s="43"/>
      <c r="J2466" s="53" t="str" cm="1">
        <f t="array" ref="J2466">IFERROR(INDEX(DB!Q$2:Q$2576,T2466),"")</f>
        <v/>
      </c>
      <c r="K2466" s="43"/>
      <c r="L2466" s="41" t="str" cm="1">
        <f t="array" ref="L2466">IFERROR(INDEX(DB!R$2:R$2576,T2466),"")</f>
        <v/>
      </c>
      <c r="M2466" s="43"/>
      <c r="P2466" t="str" cm="1">
        <f t="array" ref="P2466">IFERROR(_xlfn.AGGREGATE(15,6,ROW(DB!A$2:A$2576)/((($D$3&lt;&gt;"YES")+($D$3="YES")*(DB!E$2:E$2576="YES"))*(($D$4="")+($D$4&lt;&gt;"")*( DB!B$2:B$2576=$D$4))*(($D$5="")+($D$5&lt;&gt;"")*( DB!C$2:C$2576=$D$5))*(($D$6="")+($D$6&lt;&gt;"")*( DB!D$2:D$2576=$D$6))*(($D$7="")+($D$7&lt;&gt;"")*(ISNUMBER(SEARCH($D$7,DB!G$2:G$2576))))*(($F$7="전체")+($F$7&lt;&gt;"전체")*(DB!H$2:H$2576=$F$7))),ROW()-13)-1,"")</f>
        <v/>
      </c>
      <c r="Q2466" t="str" cm="1">
        <f t="array" ref="Q2466">IFERROR(INDEX(DB!G$2:G$2576,P2466),"")</f>
        <v/>
      </c>
      <c r="R2466" t="str" cm="1">
        <f t="array" ref="R2466">IFERROR(INDEX(DB!O$2:O$2576,P2466),"")</f>
        <v/>
      </c>
      <c r="S2466" t="str">
        <f t="shared" si="117"/>
        <v/>
      </c>
      <c r="T2466" t="str">
        <f t="shared" si="118"/>
        <v/>
      </c>
    </row>
    <row r="2467" spans="1:20" ht="100" customHeight="1">
      <c r="A2467" s="26"/>
      <c r="B2467" s="42" t="str">
        <f t="shared" si="116"/>
        <v/>
      </c>
      <c r="C2467" s="43"/>
      <c r="D2467" s="51" t="str" cm="1">
        <f t="array" ref="D2467">IFERROR(INDEX(DB!G$2:G$2576,T2467),"")</f>
        <v/>
      </c>
      <c r="E2467" s="43"/>
      <c r="F2467" s="52" t="str" cm="1">
        <f t="array" ref="F2467">IFERROR(INDEX(DB!O$2:O$2576,T2467),"")</f>
        <v/>
      </c>
      <c r="G2467" s="43"/>
      <c r="H2467" s="40" t="str" cm="1">
        <f t="array" ref="H2467">IFERROR(INDEX(DB!P$2:P$2576,T2467),"")</f>
        <v/>
      </c>
      <c r="I2467" s="43"/>
      <c r="J2467" s="53" t="str" cm="1">
        <f t="array" ref="J2467">IFERROR(INDEX(DB!Q$2:Q$2576,T2467),"")</f>
        <v/>
      </c>
      <c r="K2467" s="43"/>
      <c r="L2467" s="41" t="str" cm="1">
        <f t="array" ref="L2467">IFERROR(INDEX(DB!R$2:R$2576,T2467),"")</f>
        <v/>
      </c>
      <c r="M2467" s="43"/>
      <c r="P2467" t="str" cm="1">
        <f t="array" ref="P2467">IFERROR(_xlfn.AGGREGATE(15,6,ROW(DB!A$2:A$2576)/((($D$3&lt;&gt;"YES")+($D$3="YES")*(DB!E$2:E$2576="YES"))*(($D$4="")+($D$4&lt;&gt;"")*( DB!B$2:B$2576=$D$4))*(($D$5="")+($D$5&lt;&gt;"")*( DB!C$2:C$2576=$D$5))*(($D$6="")+($D$6&lt;&gt;"")*( DB!D$2:D$2576=$D$6))*(($D$7="")+($D$7&lt;&gt;"")*(ISNUMBER(SEARCH($D$7,DB!G$2:G$2576))))*(($F$7="전체")+($F$7&lt;&gt;"전체")*(DB!H$2:H$2576=$F$7))),ROW()-13)-1,"")</f>
        <v/>
      </c>
      <c r="Q2467" t="str" cm="1">
        <f t="array" ref="Q2467">IFERROR(INDEX(DB!G$2:G$2576,P2467),"")</f>
        <v/>
      </c>
      <c r="R2467" t="str" cm="1">
        <f t="array" ref="R2467">IFERROR(INDEX(DB!O$2:O$2576,P2467),"")</f>
        <v/>
      </c>
      <c r="S2467" t="str">
        <f t="shared" si="117"/>
        <v/>
      </c>
      <c r="T2467" t="str">
        <f t="shared" si="118"/>
        <v/>
      </c>
    </row>
    <row r="2468" spans="1:20" ht="100" customHeight="1">
      <c r="A2468" s="26"/>
      <c r="B2468" s="39" t="str">
        <f t="shared" si="116"/>
        <v/>
      </c>
      <c r="C2468" s="43"/>
      <c r="D2468" s="51" t="str" cm="1">
        <f t="array" ref="D2468">IFERROR(INDEX(DB!G$2:G$2576,T2468),"")</f>
        <v/>
      </c>
      <c r="E2468" s="43"/>
      <c r="F2468" s="52" t="str" cm="1">
        <f t="array" ref="F2468">IFERROR(INDEX(DB!O$2:O$2576,T2468),"")</f>
        <v/>
      </c>
      <c r="G2468" s="43"/>
      <c r="H2468" s="40" t="str" cm="1">
        <f t="array" ref="H2468">IFERROR(INDEX(DB!P$2:P$2576,T2468),"")</f>
        <v/>
      </c>
      <c r="I2468" s="43"/>
      <c r="J2468" s="53" t="str" cm="1">
        <f t="array" ref="J2468">IFERROR(INDEX(DB!Q$2:Q$2576,T2468),"")</f>
        <v/>
      </c>
      <c r="K2468" s="43"/>
      <c r="L2468" s="41" t="str" cm="1">
        <f t="array" ref="L2468">IFERROR(INDEX(DB!R$2:R$2576,T2468),"")</f>
        <v/>
      </c>
      <c r="M2468" s="43"/>
      <c r="P2468" t="str" cm="1">
        <f t="array" ref="P2468">IFERROR(_xlfn.AGGREGATE(15,6,ROW(DB!A$2:A$2576)/((($D$3&lt;&gt;"YES")+($D$3="YES")*(DB!E$2:E$2576="YES"))*(($D$4="")+($D$4&lt;&gt;"")*( DB!B$2:B$2576=$D$4))*(($D$5="")+($D$5&lt;&gt;"")*( DB!C$2:C$2576=$D$5))*(($D$6="")+($D$6&lt;&gt;"")*( DB!D$2:D$2576=$D$6))*(($D$7="")+($D$7&lt;&gt;"")*(ISNUMBER(SEARCH($D$7,DB!G$2:G$2576))))*(($F$7="전체")+($F$7&lt;&gt;"전체")*(DB!H$2:H$2576=$F$7))),ROW()-13)-1,"")</f>
        <v/>
      </c>
      <c r="Q2468" t="str" cm="1">
        <f t="array" ref="Q2468">IFERROR(INDEX(DB!G$2:G$2576,P2468),"")</f>
        <v/>
      </c>
      <c r="R2468" t="str" cm="1">
        <f t="array" ref="R2468">IFERROR(INDEX(DB!O$2:O$2576,P2468),"")</f>
        <v/>
      </c>
      <c r="S2468" t="str">
        <f t="shared" si="117"/>
        <v/>
      </c>
      <c r="T2468" t="str">
        <f t="shared" si="118"/>
        <v/>
      </c>
    </row>
    <row r="2469" spans="1:20" ht="100" customHeight="1">
      <c r="A2469" s="26"/>
      <c r="B2469" s="42" t="str">
        <f t="shared" si="116"/>
        <v/>
      </c>
      <c r="C2469" s="43"/>
      <c r="D2469" s="51" t="str" cm="1">
        <f t="array" ref="D2469">IFERROR(INDEX(DB!G$2:G$2576,T2469),"")</f>
        <v/>
      </c>
      <c r="E2469" s="43"/>
      <c r="F2469" s="52" t="str" cm="1">
        <f t="array" ref="F2469">IFERROR(INDEX(DB!O$2:O$2576,T2469),"")</f>
        <v/>
      </c>
      <c r="G2469" s="43"/>
      <c r="H2469" s="40" t="str" cm="1">
        <f t="array" ref="H2469">IFERROR(INDEX(DB!P$2:P$2576,T2469),"")</f>
        <v/>
      </c>
      <c r="I2469" s="43"/>
      <c r="J2469" s="53" t="str" cm="1">
        <f t="array" ref="J2469">IFERROR(INDEX(DB!Q$2:Q$2576,T2469),"")</f>
        <v/>
      </c>
      <c r="K2469" s="43"/>
      <c r="L2469" s="41" t="str" cm="1">
        <f t="array" ref="L2469">IFERROR(INDEX(DB!R$2:R$2576,T2469),"")</f>
        <v/>
      </c>
      <c r="M2469" s="43"/>
      <c r="P2469" t="str" cm="1">
        <f t="array" ref="P2469">IFERROR(_xlfn.AGGREGATE(15,6,ROW(DB!A$2:A$2576)/((($D$3&lt;&gt;"YES")+($D$3="YES")*(DB!E$2:E$2576="YES"))*(($D$4="")+($D$4&lt;&gt;"")*( DB!B$2:B$2576=$D$4))*(($D$5="")+($D$5&lt;&gt;"")*( DB!C$2:C$2576=$D$5))*(($D$6="")+($D$6&lt;&gt;"")*( DB!D$2:D$2576=$D$6))*(($D$7="")+($D$7&lt;&gt;"")*(ISNUMBER(SEARCH($D$7,DB!G$2:G$2576))))*(($F$7="전체")+($F$7&lt;&gt;"전체")*(DB!H$2:H$2576=$F$7))),ROW()-13)-1,"")</f>
        <v/>
      </c>
      <c r="Q2469" t="str" cm="1">
        <f t="array" ref="Q2469">IFERROR(INDEX(DB!G$2:G$2576,P2469),"")</f>
        <v/>
      </c>
      <c r="R2469" t="str" cm="1">
        <f t="array" ref="R2469">IFERROR(INDEX(DB!O$2:O$2576,P2469),"")</f>
        <v/>
      </c>
      <c r="S2469" t="str">
        <f t="shared" si="117"/>
        <v/>
      </c>
      <c r="T2469" t="str">
        <f t="shared" si="118"/>
        <v/>
      </c>
    </row>
    <row r="2470" spans="1:20" ht="100" customHeight="1">
      <c r="A2470" s="26"/>
      <c r="B2470" s="39" t="str">
        <f t="shared" si="116"/>
        <v/>
      </c>
      <c r="C2470" s="43"/>
      <c r="D2470" s="51" t="str" cm="1">
        <f t="array" ref="D2470">IFERROR(INDEX(DB!G$2:G$2576,T2470),"")</f>
        <v/>
      </c>
      <c r="E2470" s="43"/>
      <c r="F2470" s="52" t="str" cm="1">
        <f t="array" ref="F2470">IFERROR(INDEX(DB!O$2:O$2576,T2470),"")</f>
        <v/>
      </c>
      <c r="G2470" s="43"/>
      <c r="H2470" s="40" t="str" cm="1">
        <f t="array" ref="H2470">IFERROR(INDEX(DB!P$2:P$2576,T2470),"")</f>
        <v/>
      </c>
      <c r="I2470" s="43"/>
      <c r="J2470" s="53" t="str" cm="1">
        <f t="array" ref="J2470">IFERROR(INDEX(DB!Q$2:Q$2576,T2470),"")</f>
        <v/>
      </c>
      <c r="K2470" s="43"/>
      <c r="L2470" s="41" t="str" cm="1">
        <f t="array" ref="L2470">IFERROR(INDEX(DB!R$2:R$2576,T2470),"")</f>
        <v/>
      </c>
      <c r="M2470" s="43"/>
      <c r="P2470" t="str" cm="1">
        <f t="array" ref="P2470">IFERROR(_xlfn.AGGREGATE(15,6,ROW(DB!A$2:A$2576)/((($D$3&lt;&gt;"YES")+($D$3="YES")*(DB!E$2:E$2576="YES"))*(($D$4="")+($D$4&lt;&gt;"")*( DB!B$2:B$2576=$D$4))*(($D$5="")+($D$5&lt;&gt;"")*( DB!C$2:C$2576=$D$5))*(($D$6="")+($D$6&lt;&gt;"")*( DB!D$2:D$2576=$D$6))*(($D$7="")+($D$7&lt;&gt;"")*(ISNUMBER(SEARCH($D$7,DB!G$2:G$2576))))*(($F$7="전체")+($F$7&lt;&gt;"전체")*(DB!H$2:H$2576=$F$7))),ROW()-13)-1,"")</f>
        <v/>
      </c>
      <c r="Q2470" t="str" cm="1">
        <f t="array" ref="Q2470">IFERROR(INDEX(DB!G$2:G$2576,P2470),"")</f>
        <v/>
      </c>
      <c r="R2470" t="str" cm="1">
        <f t="array" ref="R2470">IFERROR(INDEX(DB!O$2:O$2576,P2470),"")</f>
        <v/>
      </c>
      <c r="S2470" t="str">
        <f t="shared" si="117"/>
        <v/>
      </c>
      <c r="T2470" t="str">
        <f t="shared" si="118"/>
        <v/>
      </c>
    </row>
    <row r="2471" spans="1:20" ht="100" customHeight="1">
      <c r="A2471" s="26"/>
      <c r="B2471" s="42" t="str">
        <f t="shared" si="116"/>
        <v/>
      </c>
      <c r="C2471" s="43"/>
      <c r="D2471" s="51" t="str" cm="1">
        <f t="array" ref="D2471">IFERROR(INDEX(DB!G$2:G$2576,T2471),"")</f>
        <v/>
      </c>
      <c r="E2471" s="43"/>
      <c r="F2471" s="52" t="str" cm="1">
        <f t="array" ref="F2471">IFERROR(INDEX(DB!O$2:O$2576,T2471),"")</f>
        <v/>
      </c>
      <c r="G2471" s="43"/>
      <c r="H2471" s="40" t="str" cm="1">
        <f t="array" ref="H2471">IFERROR(INDEX(DB!P$2:P$2576,T2471),"")</f>
        <v/>
      </c>
      <c r="I2471" s="43"/>
      <c r="J2471" s="53" t="str" cm="1">
        <f t="array" ref="J2471">IFERROR(INDEX(DB!Q$2:Q$2576,T2471),"")</f>
        <v/>
      </c>
      <c r="K2471" s="43"/>
      <c r="L2471" s="41" t="str" cm="1">
        <f t="array" ref="L2471">IFERROR(INDEX(DB!R$2:R$2576,T2471),"")</f>
        <v/>
      </c>
      <c r="M2471" s="43"/>
      <c r="P2471" t="str" cm="1">
        <f t="array" ref="P2471">IFERROR(_xlfn.AGGREGATE(15,6,ROW(DB!A$2:A$2576)/((($D$3&lt;&gt;"YES")+($D$3="YES")*(DB!E$2:E$2576="YES"))*(($D$4="")+($D$4&lt;&gt;"")*( DB!B$2:B$2576=$D$4))*(($D$5="")+($D$5&lt;&gt;"")*( DB!C$2:C$2576=$D$5))*(($D$6="")+($D$6&lt;&gt;"")*( DB!D$2:D$2576=$D$6))*(($D$7="")+($D$7&lt;&gt;"")*(ISNUMBER(SEARCH($D$7,DB!G$2:G$2576))))*(($F$7="전체")+($F$7&lt;&gt;"전체")*(DB!H$2:H$2576=$F$7))),ROW()-13)-1,"")</f>
        <v/>
      </c>
      <c r="Q2471" t="str" cm="1">
        <f t="array" ref="Q2471">IFERROR(INDEX(DB!G$2:G$2576,P2471),"")</f>
        <v/>
      </c>
      <c r="R2471" t="str" cm="1">
        <f t="array" ref="R2471">IFERROR(INDEX(DB!O$2:O$2576,P2471),"")</f>
        <v/>
      </c>
      <c r="S2471" t="str">
        <f t="shared" si="117"/>
        <v/>
      </c>
      <c r="T2471" t="str">
        <f t="shared" si="118"/>
        <v/>
      </c>
    </row>
    <row r="2472" spans="1:20" ht="100" customHeight="1">
      <c r="A2472" s="26"/>
      <c r="B2472" s="39" t="str">
        <f t="shared" si="116"/>
        <v/>
      </c>
      <c r="C2472" s="43"/>
      <c r="D2472" s="51" t="str" cm="1">
        <f t="array" ref="D2472">IFERROR(INDEX(DB!G$2:G$2576,T2472),"")</f>
        <v/>
      </c>
      <c r="E2472" s="43"/>
      <c r="F2472" s="52" t="str" cm="1">
        <f t="array" ref="F2472">IFERROR(INDEX(DB!O$2:O$2576,T2472),"")</f>
        <v/>
      </c>
      <c r="G2472" s="43"/>
      <c r="H2472" s="40" t="str" cm="1">
        <f t="array" ref="H2472">IFERROR(INDEX(DB!P$2:P$2576,T2472),"")</f>
        <v/>
      </c>
      <c r="I2472" s="43"/>
      <c r="J2472" s="53" t="str" cm="1">
        <f t="array" ref="J2472">IFERROR(INDEX(DB!Q$2:Q$2576,T2472),"")</f>
        <v/>
      </c>
      <c r="K2472" s="43"/>
      <c r="L2472" s="41" t="str" cm="1">
        <f t="array" ref="L2472">IFERROR(INDEX(DB!R$2:R$2576,T2472),"")</f>
        <v/>
      </c>
      <c r="M2472" s="43"/>
      <c r="P2472" t="str" cm="1">
        <f t="array" ref="P2472">IFERROR(_xlfn.AGGREGATE(15,6,ROW(DB!A$2:A$2576)/((($D$3&lt;&gt;"YES")+($D$3="YES")*(DB!E$2:E$2576="YES"))*(($D$4="")+($D$4&lt;&gt;"")*( DB!B$2:B$2576=$D$4))*(($D$5="")+($D$5&lt;&gt;"")*( DB!C$2:C$2576=$D$5))*(($D$6="")+($D$6&lt;&gt;"")*( DB!D$2:D$2576=$D$6))*(($D$7="")+($D$7&lt;&gt;"")*(ISNUMBER(SEARCH($D$7,DB!G$2:G$2576))))*(($F$7="전체")+($F$7&lt;&gt;"전체")*(DB!H$2:H$2576=$F$7))),ROW()-13)-1,"")</f>
        <v/>
      </c>
      <c r="Q2472" t="str" cm="1">
        <f t="array" ref="Q2472">IFERROR(INDEX(DB!G$2:G$2576,P2472),"")</f>
        <v/>
      </c>
      <c r="R2472" t="str" cm="1">
        <f t="array" ref="R2472">IFERROR(INDEX(DB!O$2:O$2576,P2472),"")</f>
        <v/>
      </c>
      <c r="S2472" t="str">
        <f t="shared" si="117"/>
        <v/>
      </c>
      <c r="T2472" t="str">
        <f t="shared" si="118"/>
        <v/>
      </c>
    </row>
    <row r="2473" spans="1:20" ht="100" customHeight="1">
      <c r="A2473" s="26"/>
      <c r="B2473" s="42" t="str">
        <f t="shared" si="116"/>
        <v/>
      </c>
      <c r="C2473" s="43"/>
      <c r="D2473" s="51" t="str" cm="1">
        <f t="array" ref="D2473">IFERROR(INDEX(DB!G$2:G$2576,T2473),"")</f>
        <v/>
      </c>
      <c r="E2473" s="43"/>
      <c r="F2473" s="52" t="str" cm="1">
        <f t="array" ref="F2473">IFERROR(INDEX(DB!O$2:O$2576,T2473),"")</f>
        <v/>
      </c>
      <c r="G2473" s="43"/>
      <c r="H2473" s="40" t="str" cm="1">
        <f t="array" ref="H2473">IFERROR(INDEX(DB!P$2:P$2576,T2473),"")</f>
        <v/>
      </c>
      <c r="I2473" s="43"/>
      <c r="J2473" s="53" t="str" cm="1">
        <f t="array" ref="J2473">IFERROR(INDEX(DB!Q$2:Q$2576,T2473),"")</f>
        <v/>
      </c>
      <c r="K2473" s="43"/>
      <c r="L2473" s="41" t="str" cm="1">
        <f t="array" ref="L2473">IFERROR(INDEX(DB!R$2:R$2576,T2473),"")</f>
        <v/>
      </c>
      <c r="M2473" s="43"/>
      <c r="P2473" t="str" cm="1">
        <f t="array" ref="P2473">IFERROR(_xlfn.AGGREGATE(15,6,ROW(DB!A$2:A$2576)/((($D$3&lt;&gt;"YES")+($D$3="YES")*(DB!E$2:E$2576="YES"))*(($D$4="")+($D$4&lt;&gt;"")*( DB!B$2:B$2576=$D$4))*(($D$5="")+($D$5&lt;&gt;"")*( DB!C$2:C$2576=$D$5))*(($D$6="")+($D$6&lt;&gt;"")*( DB!D$2:D$2576=$D$6))*(($D$7="")+($D$7&lt;&gt;"")*(ISNUMBER(SEARCH($D$7,DB!G$2:G$2576))))*(($F$7="전체")+($F$7&lt;&gt;"전체")*(DB!H$2:H$2576=$F$7))),ROW()-13)-1,"")</f>
        <v/>
      </c>
      <c r="Q2473" t="str" cm="1">
        <f t="array" ref="Q2473">IFERROR(INDEX(DB!G$2:G$2576,P2473),"")</f>
        <v/>
      </c>
      <c r="R2473" t="str" cm="1">
        <f t="array" ref="R2473">IFERROR(INDEX(DB!O$2:O$2576,P2473),"")</f>
        <v/>
      </c>
      <c r="S2473" t="str">
        <f t="shared" si="117"/>
        <v/>
      </c>
      <c r="T2473" t="str">
        <f t="shared" si="118"/>
        <v/>
      </c>
    </row>
    <row r="2474" spans="1:20" ht="100" customHeight="1">
      <c r="A2474" s="26"/>
      <c r="B2474" s="39" t="str">
        <f t="shared" si="116"/>
        <v/>
      </c>
      <c r="C2474" s="43"/>
      <c r="D2474" s="51" t="str" cm="1">
        <f t="array" ref="D2474">IFERROR(INDEX(DB!G$2:G$2576,T2474),"")</f>
        <v/>
      </c>
      <c r="E2474" s="43"/>
      <c r="F2474" s="52" t="str" cm="1">
        <f t="array" ref="F2474">IFERROR(INDEX(DB!O$2:O$2576,T2474),"")</f>
        <v/>
      </c>
      <c r="G2474" s="43"/>
      <c r="H2474" s="40" t="str" cm="1">
        <f t="array" ref="H2474">IFERROR(INDEX(DB!P$2:P$2576,T2474),"")</f>
        <v/>
      </c>
      <c r="I2474" s="43"/>
      <c r="J2474" s="53" t="str" cm="1">
        <f t="array" ref="J2474">IFERROR(INDEX(DB!Q$2:Q$2576,T2474),"")</f>
        <v/>
      </c>
      <c r="K2474" s="43"/>
      <c r="L2474" s="41" t="str" cm="1">
        <f t="array" ref="L2474">IFERROR(INDEX(DB!R$2:R$2576,T2474),"")</f>
        <v/>
      </c>
      <c r="M2474" s="43"/>
      <c r="P2474" t="str" cm="1">
        <f t="array" ref="P2474">IFERROR(_xlfn.AGGREGATE(15,6,ROW(DB!A$2:A$2576)/((($D$3&lt;&gt;"YES")+($D$3="YES")*(DB!E$2:E$2576="YES"))*(($D$4="")+($D$4&lt;&gt;"")*( DB!B$2:B$2576=$D$4))*(($D$5="")+($D$5&lt;&gt;"")*( DB!C$2:C$2576=$D$5))*(($D$6="")+($D$6&lt;&gt;"")*( DB!D$2:D$2576=$D$6))*(($D$7="")+($D$7&lt;&gt;"")*(ISNUMBER(SEARCH($D$7,DB!G$2:G$2576))))*(($F$7="전체")+($F$7&lt;&gt;"전체")*(DB!H$2:H$2576=$F$7))),ROW()-13)-1,"")</f>
        <v/>
      </c>
      <c r="Q2474" t="str" cm="1">
        <f t="array" ref="Q2474">IFERROR(INDEX(DB!G$2:G$2576,P2474),"")</f>
        <v/>
      </c>
      <c r="R2474" t="str" cm="1">
        <f t="array" ref="R2474">IFERROR(INDEX(DB!O$2:O$2576,P2474),"")</f>
        <v/>
      </c>
      <c r="S2474" t="str">
        <f t="shared" si="117"/>
        <v/>
      </c>
      <c r="T2474" t="str">
        <f t="shared" si="118"/>
        <v/>
      </c>
    </row>
    <row r="2475" spans="1:20" ht="100" customHeight="1">
      <c r="A2475" s="26"/>
      <c r="B2475" s="42" t="str">
        <f t="shared" si="116"/>
        <v/>
      </c>
      <c r="C2475" s="43"/>
      <c r="D2475" s="51" t="str" cm="1">
        <f t="array" ref="D2475">IFERROR(INDEX(DB!G$2:G$2576,T2475),"")</f>
        <v/>
      </c>
      <c r="E2475" s="43"/>
      <c r="F2475" s="52" t="str" cm="1">
        <f t="array" ref="F2475">IFERROR(INDEX(DB!O$2:O$2576,T2475),"")</f>
        <v/>
      </c>
      <c r="G2475" s="43"/>
      <c r="H2475" s="40" t="str" cm="1">
        <f t="array" ref="H2475">IFERROR(INDEX(DB!P$2:P$2576,T2475),"")</f>
        <v/>
      </c>
      <c r="I2475" s="43"/>
      <c r="J2475" s="53" t="str" cm="1">
        <f t="array" ref="J2475">IFERROR(INDEX(DB!Q$2:Q$2576,T2475),"")</f>
        <v/>
      </c>
      <c r="K2475" s="43"/>
      <c r="L2475" s="41" t="str" cm="1">
        <f t="array" ref="L2475">IFERROR(INDEX(DB!R$2:R$2576,T2475),"")</f>
        <v/>
      </c>
      <c r="M2475" s="43"/>
      <c r="P2475" t="str" cm="1">
        <f t="array" ref="P2475">IFERROR(_xlfn.AGGREGATE(15,6,ROW(DB!A$2:A$2576)/((($D$3&lt;&gt;"YES")+($D$3="YES")*(DB!E$2:E$2576="YES"))*(($D$4="")+($D$4&lt;&gt;"")*( DB!B$2:B$2576=$D$4))*(($D$5="")+($D$5&lt;&gt;"")*( DB!C$2:C$2576=$D$5))*(($D$6="")+($D$6&lt;&gt;"")*( DB!D$2:D$2576=$D$6))*(($D$7="")+($D$7&lt;&gt;"")*(ISNUMBER(SEARCH($D$7,DB!G$2:G$2576))))*(($F$7="전체")+($F$7&lt;&gt;"전체")*(DB!H$2:H$2576=$F$7))),ROW()-13)-1,"")</f>
        <v/>
      </c>
      <c r="Q2475" t="str" cm="1">
        <f t="array" ref="Q2475">IFERROR(INDEX(DB!G$2:G$2576,P2475),"")</f>
        <v/>
      </c>
      <c r="R2475" t="str" cm="1">
        <f t="array" ref="R2475">IFERROR(INDEX(DB!O$2:O$2576,P2475),"")</f>
        <v/>
      </c>
      <c r="S2475" t="str">
        <f t="shared" si="117"/>
        <v/>
      </c>
      <c r="T2475" t="str">
        <f t="shared" si="118"/>
        <v/>
      </c>
    </row>
    <row r="2476" spans="1:20" ht="100" customHeight="1">
      <c r="A2476" s="26"/>
      <c r="B2476" s="39" t="str">
        <f t="shared" si="116"/>
        <v/>
      </c>
      <c r="C2476" s="43"/>
      <c r="D2476" s="51" t="str" cm="1">
        <f t="array" ref="D2476">IFERROR(INDEX(DB!G$2:G$2576,T2476),"")</f>
        <v/>
      </c>
      <c r="E2476" s="43"/>
      <c r="F2476" s="52" t="str" cm="1">
        <f t="array" ref="F2476">IFERROR(INDEX(DB!O$2:O$2576,T2476),"")</f>
        <v/>
      </c>
      <c r="G2476" s="43"/>
      <c r="H2476" s="40" t="str" cm="1">
        <f t="array" ref="H2476">IFERROR(INDEX(DB!P$2:P$2576,T2476),"")</f>
        <v/>
      </c>
      <c r="I2476" s="43"/>
      <c r="J2476" s="53" t="str" cm="1">
        <f t="array" ref="J2476">IFERROR(INDEX(DB!Q$2:Q$2576,T2476),"")</f>
        <v/>
      </c>
      <c r="K2476" s="43"/>
      <c r="L2476" s="41" t="str" cm="1">
        <f t="array" ref="L2476">IFERROR(INDEX(DB!R$2:R$2576,T2476),"")</f>
        <v/>
      </c>
      <c r="M2476" s="43"/>
      <c r="P2476" t="str" cm="1">
        <f t="array" ref="P2476">IFERROR(_xlfn.AGGREGATE(15,6,ROW(DB!A$2:A$2576)/((($D$3&lt;&gt;"YES")+($D$3="YES")*(DB!E$2:E$2576="YES"))*(($D$4="")+($D$4&lt;&gt;"")*( DB!B$2:B$2576=$D$4))*(($D$5="")+($D$5&lt;&gt;"")*( DB!C$2:C$2576=$D$5))*(($D$6="")+($D$6&lt;&gt;"")*( DB!D$2:D$2576=$D$6))*(($D$7="")+($D$7&lt;&gt;"")*(ISNUMBER(SEARCH($D$7,DB!G$2:G$2576))))*(($F$7="전체")+($F$7&lt;&gt;"전체")*(DB!H$2:H$2576=$F$7))),ROW()-13)-1,"")</f>
        <v/>
      </c>
      <c r="Q2476" t="str" cm="1">
        <f t="array" ref="Q2476">IFERROR(INDEX(DB!G$2:G$2576,P2476),"")</f>
        <v/>
      </c>
      <c r="R2476" t="str" cm="1">
        <f t="array" ref="R2476">IFERROR(INDEX(DB!O$2:O$2576,P2476),"")</f>
        <v/>
      </c>
      <c r="S2476" t="str">
        <f t="shared" si="117"/>
        <v/>
      </c>
      <c r="T2476" t="str">
        <f t="shared" si="118"/>
        <v/>
      </c>
    </row>
    <row r="2477" spans="1:20" ht="100" customHeight="1">
      <c r="A2477" s="26"/>
      <c r="B2477" s="42" t="str">
        <f t="shared" si="116"/>
        <v/>
      </c>
      <c r="C2477" s="43"/>
      <c r="D2477" s="51" t="str" cm="1">
        <f t="array" ref="D2477">IFERROR(INDEX(DB!G$2:G$2576,T2477),"")</f>
        <v/>
      </c>
      <c r="E2477" s="43"/>
      <c r="F2477" s="52" t="str" cm="1">
        <f t="array" ref="F2477">IFERROR(INDEX(DB!O$2:O$2576,T2477),"")</f>
        <v/>
      </c>
      <c r="G2477" s="43"/>
      <c r="H2477" s="40" t="str" cm="1">
        <f t="array" ref="H2477">IFERROR(INDEX(DB!P$2:P$2576,T2477),"")</f>
        <v/>
      </c>
      <c r="I2477" s="43"/>
      <c r="J2477" s="53" t="str" cm="1">
        <f t="array" ref="J2477">IFERROR(INDEX(DB!Q$2:Q$2576,T2477),"")</f>
        <v/>
      </c>
      <c r="K2477" s="43"/>
      <c r="L2477" s="41" t="str" cm="1">
        <f t="array" ref="L2477">IFERROR(INDEX(DB!R$2:R$2576,T2477),"")</f>
        <v/>
      </c>
      <c r="M2477" s="43"/>
      <c r="P2477" t="str" cm="1">
        <f t="array" ref="P2477">IFERROR(_xlfn.AGGREGATE(15,6,ROW(DB!A$2:A$2576)/((($D$3&lt;&gt;"YES")+($D$3="YES")*(DB!E$2:E$2576="YES"))*(($D$4="")+($D$4&lt;&gt;"")*( DB!B$2:B$2576=$D$4))*(($D$5="")+($D$5&lt;&gt;"")*( DB!C$2:C$2576=$D$5))*(($D$6="")+($D$6&lt;&gt;"")*( DB!D$2:D$2576=$D$6))*(($D$7="")+($D$7&lt;&gt;"")*(ISNUMBER(SEARCH($D$7,DB!G$2:G$2576))))*(($F$7="전체")+($F$7&lt;&gt;"전체")*(DB!H$2:H$2576=$F$7))),ROW()-13)-1,"")</f>
        <v/>
      </c>
      <c r="Q2477" t="str" cm="1">
        <f t="array" ref="Q2477">IFERROR(INDEX(DB!G$2:G$2576,P2477),"")</f>
        <v/>
      </c>
      <c r="R2477" t="str" cm="1">
        <f t="array" ref="R2477">IFERROR(INDEX(DB!O$2:O$2576,P2477),"")</f>
        <v/>
      </c>
      <c r="S2477" t="str">
        <f t="shared" si="117"/>
        <v/>
      </c>
      <c r="T2477" t="str">
        <f t="shared" si="118"/>
        <v/>
      </c>
    </row>
    <row r="2478" spans="1:20" ht="100" customHeight="1">
      <c r="A2478" s="26"/>
      <c r="B2478" s="39" t="str">
        <f t="shared" si="116"/>
        <v/>
      </c>
      <c r="C2478" s="43"/>
      <c r="D2478" s="51" t="str" cm="1">
        <f t="array" ref="D2478">IFERROR(INDEX(DB!G$2:G$2576,T2478),"")</f>
        <v/>
      </c>
      <c r="E2478" s="43"/>
      <c r="F2478" s="52" t="str" cm="1">
        <f t="array" ref="F2478">IFERROR(INDEX(DB!O$2:O$2576,T2478),"")</f>
        <v/>
      </c>
      <c r="G2478" s="43"/>
      <c r="H2478" s="40" t="str" cm="1">
        <f t="array" ref="H2478">IFERROR(INDEX(DB!P$2:P$2576,T2478),"")</f>
        <v/>
      </c>
      <c r="I2478" s="43"/>
      <c r="J2478" s="53" t="str" cm="1">
        <f t="array" ref="J2478">IFERROR(INDEX(DB!Q$2:Q$2576,T2478),"")</f>
        <v/>
      </c>
      <c r="K2478" s="43"/>
      <c r="L2478" s="41" t="str" cm="1">
        <f t="array" ref="L2478">IFERROR(INDEX(DB!R$2:R$2576,T2478),"")</f>
        <v/>
      </c>
      <c r="M2478" s="43"/>
      <c r="P2478" t="str" cm="1">
        <f t="array" ref="P2478">IFERROR(_xlfn.AGGREGATE(15,6,ROW(DB!A$2:A$2576)/((($D$3&lt;&gt;"YES")+($D$3="YES")*(DB!E$2:E$2576="YES"))*(($D$4="")+($D$4&lt;&gt;"")*( DB!B$2:B$2576=$D$4))*(($D$5="")+($D$5&lt;&gt;"")*( DB!C$2:C$2576=$D$5))*(($D$6="")+($D$6&lt;&gt;"")*( DB!D$2:D$2576=$D$6))*(($D$7="")+($D$7&lt;&gt;"")*(ISNUMBER(SEARCH($D$7,DB!G$2:G$2576))))*(($F$7="전체")+($F$7&lt;&gt;"전체")*(DB!H$2:H$2576=$F$7))),ROW()-13)-1,"")</f>
        <v/>
      </c>
      <c r="Q2478" t="str" cm="1">
        <f t="array" ref="Q2478">IFERROR(INDEX(DB!G$2:G$2576,P2478),"")</f>
        <v/>
      </c>
      <c r="R2478" t="str" cm="1">
        <f t="array" ref="R2478">IFERROR(INDEX(DB!O$2:O$2576,P2478),"")</f>
        <v/>
      </c>
      <c r="S2478" t="str">
        <f t="shared" si="117"/>
        <v/>
      </c>
      <c r="T2478" t="str">
        <f t="shared" si="118"/>
        <v/>
      </c>
    </row>
    <row r="2479" spans="1:20" ht="100" customHeight="1">
      <c r="A2479" s="26"/>
      <c r="B2479" s="42" t="str">
        <f t="shared" si="116"/>
        <v/>
      </c>
      <c r="C2479" s="43"/>
      <c r="D2479" s="51" t="str" cm="1">
        <f t="array" ref="D2479">IFERROR(INDEX(DB!G$2:G$2576,T2479),"")</f>
        <v/>
      </c>
      <c r="E2479" s="43"/>
      <c r="F2479" s="52" t="str" cm="1">
        <f t="array" ref="F2479">IFERROR(INDEX(DB!O$2:O$2576,T2479),"")</f>
        <v/>
      </c>
      <c r="G2479" s="43"/>
      <c r="H2479" s="40" t="str" cm="1">
        <f t="array" ref="H2479">IFERROR(INDEX(DB!P$2:P$2576,T2479),"")</f>
        <v/>
      </c>
      <c r="I2479" s="43"/>
      <c r="J2479" s="53" t="str" cm="1">
        <f t="array" ref="J2479">IFERROR(INDEX(DB!Q$2:Q$2576,T2479),"")</f>
        <v/>
      </c>
      <c r="K2479" s="43"/>
      <c r="L2479" s="41" t="str" cm="1">
        <f t="array" ref="L2479">IFERROR(INDEX(DB!R$2:R$2576,T2479),"")</f>
        <v/>
      </c>
      <c r="M2479" s="43"/>
      <c r="P2479" t="str" cm="1">
        <f t="array" ref="P2479">IFERROR(_xlfn.AGGREGATE(15,6,ROW(DB!A$2:A$2576)/((($D$3&lt;&gt;"YES")+($D$3="YES")*(DB!E$2:E$2576="YES"))*(($D$4="")+($D$4&lt;&gt;"")*( DB!B$2:B$2576=$D$4))*(($D$5="")+($D$5&lt;&gt;"")*( DB!C$2:C$2576=$D$5))*(($D$6="")+($D$6&lt;&gt;"")*( DB!D$2:D$2576=$D$6))*(($D$7="")+($D$7&lt;&gt;"")*(ISNUMBER(SEARCH($D$7,DB!G$2:G$2576))))*(($F$7="전체")+($F$7&lt;&gt;"전체")*(DB!H$2:H$2576=$F$7))),ROW()-13)-1,"")</f>
        <v/>
      </c>
      <c r="Q2479" t="str" cm="1">
        <f t="array" ref="Q2479">IFERROR(INDEX(DB!G$2:G$2576,P2479),"")</f>
        <v/>
      </c>
      <c r="R2479" t="str" cm="1">
        <f t="array" ref="R2479">IFERROR(INDEX(DB!O$2:O$2576,P2479),"")</f>
        <v/>
      </c>
      <c r="S2479" t="str">
        <f t="shared" si="117"/>
        <v/>
      </c>
      <c r="T2479" t="str">
        <f t="shared" si="118"/>
        <v/>
      </c>
    </row>
    <row r="2480" spans="1:20" ht="100" customHeight="1">
      <c r="A2480" s="26"/>
      <c r="B2480" s="39" t="str">
        <f t="shared" si="116"/>
        <v/>
      </c>
      <c r="C2480" s="43"/>
      <c r="D2480" s="51" t="str" cm="1">
        <f t="array" ref="D2480">IFERROR(INDEX(DB!G$2:G$2576,T2480),"")</f>
        <v/>
      </c>
      <c r="E2480" s="43"/>
      <c r="F2480" s="52" t="str" cm="1">
        <f t="array" ref="F2480">IFERROR(INDEX(DB!O$2:O$2576,T2480),"")</f>
        <v/>
      </c>
      <c r="G2480" s="43"/>
      <c r="H2480" s="40" t="str" cm="1">
        <f t="array" ref="H2480">IFERROR(INDEX(DB!P$2:P$2576,T2480),"")</f>
        <v/>
      </c>
      <c r="I2480" s="43"/>
      <c r="J2480" s="53" t="str" cm="1">
        <f t="array" ref="J2480">IFERROR(INDEX(DB!Q$2:Q$2576,T2480),"")</f>
        <v/>
      </c>
      <c r="K2480" s="43"/>
      <c r="L2480" s="41" t="str" cm="1">
        <f t="array" ref="L2480">IFERROR(INDEX(DB!R$2:R$2576,T2480),"")</f>
        <v/>
      </c>
      <c r="M2480" s="43"/>
      <c r="P2480" t="str" cm="1">
        <f t="array" ref="P2480">IFERROR(_xlfn.AGGREGATE(15,6,ROW(DB!A$2:A$2576)/((($D$3&lt;&gt;"YES")+($D$3="YES")*(DB!E$2:E$2576="YES"))*(($D$4="")+($D$4&lt;&gt;"")*( DB!B$2:B$2576=$D$4))*(($D$5="")+($D$5&lt;&gt;"")*( DB!C$2:C$2576=$D$5))*(($D$6="")+($D$6&lt;&gt;"")*( DB!D$2:D$2576=$D$6))*(($D$7="")+($D$7&lt;&gt;"")*(ISNUMBER(SEARCH($D$7,DB!G$2:G$2576))))*(($F$7="전체")+($F$7&lt;&gt;"전체")*(DB!H$2:H$2576=$F$7))),ROW()-13)-1,"")</f>
        <v/>
      </c>
      <c r="Q2480" t="str" cm="1">
        <f t="array" ref="Q2480">IFERROR(INDEX(DB!G$2:G$2576,P2480),"")</f>
        <v/>
      </c>
      <c r="R2480" t="str" cm="1">
        <f t="array" ref="R2480">IFERROR(INDEX(DB!O$2:O$2576,P2480),"")</f>
        <v/>
      </c>
      <c r="S2480" t="str">
        <f t="shared" si="117"/>
        <v/>
      </c>
      <c r="T2480" t="str">
        <f t="shared" si="118"/>
        <v/>
      </c>
    </row>
    <row r="2481" spans="1:20" ht="100" customHeight="1">
      <c r="A2481" s="26"/>
      <c r="B2481" s="42" t="str">
        <f t="shared" si="116"/>
        <v/>
      </c>
      <c r="C2481" s="43"/>
      <c r="D2481" s="51" t="str" cm="1">
        <f t="array" ref="D2481">IFERROR(INDEX(DB!G$2:G$2576,T2481),"")</f>
        <v/>
      </c>
      <c r="E2481" s="43"/>
      <c r="F2481" s="52" t="str" cm="1">
        <f t="array" ref="F2481">IFERROR(INDEX(DB!O$2:O$2576,T2481),"")</f>
        <v/>
      </c>
      <c r="G2481" s="43"/>
      <c r="H2481" s="40" t="str" cm="1">
        <f t="array" ref="H2481">IFERROR(INDEX(DB!P$2:P$2576,T2481),"")</f>
        <v/>
      </c>
      <c r="I2481" s="43"/>
      <c r="J2481" s="53" t="str" cm="1">
        <f t="array" ref="J2481">IFERROR(INDEX(DB!Q$2:Q$2576,T2481),"")</f>
        <v/>
      </c>
      <c r="K2481" s="43"/>
      <c r="L2481" s="41" t="str" cm="1">
        <f t="array" ref="L2481">IFERROR(INDEX(DB!R$2:R$2576,T2481),"")</f>
        <v/>
      </c>
      <c r="M2481" s="43"/>
      <c r="P2481" t="str" cm="1">
        <f t="array" ref="P2481">IFERROR(_xlfn.AGGREGATE(15,6,ROW(DB!A$2:A$2576)/((($D$3&lt;&gt;"YES")+($D$3="YES")*(DB!E$2:E$2576="YES"))*(($D$4="")+($D$4&lt;&gt;"")*( DB!B$2:B$2576=$D$4))*(($D$5="")+($D$5&lt;&gt;"")*( DB!C$2:C$2576=$D$5))*(($D$6="")+($D$6&lt;&gt;"")*( DB!D$2:D$2576=$D$6))*(($D$7="")+($D$7&lt;&gt;"")*(ISNUMBER(SEARCH($D$7,DB!G$2:G$2576))))*(($F$7="전체")+($F$7&lt;&gt;"전체")*(DB!H$2:H$2576=$F$7))),ROW()-13)-1,"")</f>
        <v/>
      </c>
      <c r="Q2481" t="str" cm="1">
        <f t="array" ref="Q2481">IFERROR(INDEX(DB!G$2:G$2576,P2481),"")</f>
        <v/>
      </c>
      <c r="R2481" t="str" cm="1">
        <f t="array" ref="R2481">IFERROR(INDEX(DB!O$2:O$2576,P2481),"")</f>
        <v/>
      </c>
      <c r="S2481" t="str">
        <f t="shared" si="117"/>
        <v/>
      </c>
      <c r="T2481" t="str">
        <f t="shared" si="118"/>
        <v/>
      </c>
    </row>
    <row r="2482" spans="1:20" ht="100" customHeight="1">
      <c r="A2482" s="26"/>
      <c r="B2482" s="39" t="str">
        <f t="shared" si="116"/>
        <v/>
      </c>
      <c r="C2482" s="43"/>
      <c r="D2482" s="51" t="str" cm="1">
        <f t="array" ref="D2482">IFERROR(INDEX(DB!G$2:G$2576,T2482),"")</f>
        <v/>
      </c>
      <c r="E2482" s="43"/>
      <c r="F2482" s="52" t="str" cm="1">
        <f t="array" ref="F2482">IFERROR(INDEX(DB!O$2:O$2576,T2482),"")</f>
        <v/>
      </c>
      <c r="G2482" s="43"/>
      <c r="H2482" s="40" t="str" cm="1">
        <f t="array" ref="H2482">IFERROR(INDEX(DB!P$2:P$2576,T2482),"")</f>
        <v/>
      </c>
      <c r="I2482" s="43"/>
      <c r="J2482" s="53" t="str" cm="1">
        <f t="array" ref="J2482">IFERROR(INDEX(DB!Q$2:Q$2576,T2482),"")</f>
        <v/>
      </c>
      <c r="K2482" s="43"/>
      <c r="L2482" s="41" t="str" cm="1">
        <f t="array" ref="L2482">IFERROR(INDEX(DB!R$2:R$2576,T2482),"")</f>
        <v/>
      </c>
      <c r="M2482" s="43"/>
      <c r="P2482" t="str" cm="1">
        <f t="array" ref="P2482">IFERROR(_xlfn.AGGREGATE(15,6,ROW(DB!A$2:A$2576)/((($D$3&lt;&gt;"YES")+($D$3="YES")*(DB!E$2:E$2576="YES"))*(($D$4="")+($D$4&lt;&gt;"")*( DB!B$2:B$2576=$D$4))*(($D$5="")+($D$5&lt;&gt;"")*( DB!C$2:C$2576=$D$5))*(($D$6="")+($D$6&lt;&gt;"")*( DB!D$2:D$2576=$D$6))*(($D$7="")+($D$7&lt;&gt;"")*(ISNUMBER(SEARCH($D$7,DB!G$2:G$2576))))*(($F$7="전체")+($F$7&lt;&gt;"전체")*(DB!H$2:H$2576=$F$7))),ROW()-13)-1,"")</f>
        <v/>
      </c>
      <c r="Q2482" t="str" cm="1">
        <f t="array" ref="Q2482">IFERROR(INDEX(DB!G$2:G$2576,P2482),"")</f>
        <v/>
      </c>
      <c r="R2482" t="str" cm="1">
        <f t="array" ref="R2482">IFERROR(INDEX(DB!O$2:O$2576,P2482),"")</f>
        <v/>
      </c>
      <c r="S2482" t="str">
        <f t="shared" si="117"/>
        <v/>
      </c>
      <c r="T2482" t="str">
        <f t="shared" si="118"/>
        <v/>
      </c>
    </row>
    <row r="2483" spans="1:20" ht="100" customHeight="1">
      <c r="A2483" s="26"/>
      <c r="B2483" s="42" t="str">
        <f t="shared" si="116"/>
        <v/>
      </c>
      <c r="C2483" s="43"/>
      <c r="D2483" s="51" t="str" cm="1">
        <f t="array" ref="D2483">IFERROR(INDEX(DB!G$2:G$2576,T2483),"")</f>
        <v/>
      </c>
      <c r="E2483" s="43"/>
      <c r="F2483" s="52" t="str" cm="1">
        <f t="array" ref="F2483">IFERROR(INDEX(DB!O$2:O$2576,T2483),"")</f>
        <v/>
      </c>
      <c r="G2483" s="43"/>
      <c r="H2483" s="40" t="str" cm="1">
        <f t="array" ref="H2483">IFERROR(INDEX(DB!P$2:P$2576,T2483),"")</f>
        <v/>
      </c>
      <c r="I2483" s="43"/>
      <c r="J2483" s="53" t="str" cm="1">
        <f t="array" ref="J2483">IFERROR(INDEX(DB!Q$2:Q$2576,T2483),"")</f>
        <v/>
      </c>
      <c r="K2483" s="43"/>
      <c r="L2483" s="41" t="str" cm="1">
        <f t="array" ref="L2483">IFERROR(INDEX(DB!R$2:R$2576,T2483),"")</f>
        <v/>
      </c>
      <c r="M2483" s="43"/>
      <c r="P2483" t="str" cm="1">
        <f t="array" ref="P2483">IFERROR(_xlfn.AGGREGATE(15,6,ROW(DB!A$2:A$2576)/((($D$3&lt;&gt;"YES")+($D$3="YES")*(DB!E$2:E$2576="YES"))*(($D$4="")+($D$4&lt;&gt;"")*( DB!B$2:B$2576=$D$4))*(($D$5="")+($D$5&lt;&gt;"")*( DB!C$2:C$2576=$D$5))*(($D$6="")+($D$6&lt;&gt;"")*( DB!D$2:D$2576=$D$6))*(($D$7="")+($D$7&lt;&gt;"")*(ISNUMBER(SEARCH($D$7,DB!G$2:G$2576))))*(($F$7="전체")+($F$7&lt;&gt;"전체")*(DB!H$2:H$2576=$F$7))),ROW()-13)-1,"")</f>
        <v/>
      </c>
      <c r="Q2483" t="str" cm="1">
        <f t="array" ref="Q2483">IFERROR(INDEX(DB!G$2:G$2576,P2483),"")</f>
        <v/>
      </c>
      <c r="R2483" t="str" cm="1">
        <f t="array" ref="R2483">IFERROR(INDEX(DB!O$2:O$2576,P2483),"")</f>
        <v/>
      </c>
      <c r="S2483" t="str">
        <f t="shared" si="117"/>
        <v/>
      </c>
      <c r="T2483" t="str">
        <f t="shared" si="118"/>
        <v/>
      </c>
    </row>
    <row r="2484" spans="1:20" ht="100" customHeight="1">
      <c r="A2484" s="26"/>
      <c r="B2484" s="39" t="str">
        <f t="shared" si="116"/>
        <v/>
      </c>
      <c r="C2484" s="43"/>
      <c r="D2484" s="51" t="str" cm="1">
        <f t="array" ref="D2484">IFERROR(INDEX(DB!G$2:G$2576,T2484),"")</f>
        <v/>
      </c>
      <c r="E2484" s="43"/>
      <c r="F2484" s="52" t="str" cm="1">
        <f t="array" ref="F2484">IFERROR(INDEX(DB!O$2:O$2576,T2484),"")</f>
        <v/>
      </c>
      <c r="G2484" s="43"/>
      <c r="H2484" s="40" t="str" cm="1">
        <f t="array" ref="H2484">IFERROR(INDEX(DB!P$2:P$2576,T2484),"")</f>
        <v/>
      </c>
      <c r="I2484" s="43"/>
      <c r="J2484" s="53" t="str" cm="1">
        <f t="array" ref="J2484">IFERROR(INDEX(DB!Q$2:Q$2576,T2484),"")</f>
        <v/>
      </c>
      <c r="K2484" s="43"/>
      <c r="L2484" s="41" t="str" cm="1">
        <f t="array" ref="L2484">IFERROR(INDEX(DB!R$2:R$2576,T2484),"")</f>
        <v/>
      </c>
      <c r="M2484" s="43"/>
      <c r="P2484" t="str" cm="1">
        <f t="array" ref="P2484">IFERROR(_xlfn.AGGREGATE(15,6,ROW(DB!A$2:A$2576)/((($D$3&lt;&gt;"YES")+($D$3="YES")*(DB!E$2:E$2576="YES"))*(($D$4="")+($D$4&lt;&gt;"")*( DB!B$2:B$2576=$D$4))*(($D$5="")+($D$5&lt;&gt;"")*( DB!C$2:C$2576=$D$5))*(($D$6="")+($D$6&lt;&gt;"")*( DB!D$2:D$2576=$D$6))*(($D$7="")+($D$7&lt;&gt;"")*(ISNUMBER(SEARCH($D$7,DB!G$2:G$2576))))*(($F$7="전체")+($F$7&lt;&gt;"전체")*(DB!H$2:H$2576=$F$7))),ROW()-13)-1,"")</f>
        <v/>
      </c>
      <c r="Q2484" t="str" cm="1">
        <f t="array" ref="Q2484">IFERROR(INDEX(DB!G$2:G$2576,P2484),"")</f>
        <v/>
      </c>
      <c r="R2484" t="str" cm="1">
        <f t="array" ref="R2484">IFERROR(INDEX(DB!O$2:O$2576,P2484),"")</f>
        <v/>
      </c>
      <c r="S2484" t="str">
        <f t="shared" si="117"/>
        <v/>
      </c>
      <c r="T2484" t="str">
        <f t="shared" si="118"/>
        <v/>
      </c>
    </row>
    <row r="2485" spans="1:20" ht="100" customHeight="1">
      <c r="A2485" s="26"/>
      <c r="B2485" s="42" t="str">
        <f t="shared" si="116"/>
        <v/>
      </c>
      <c r="C2485" s="43"/>
      <c r="D2485" s="51" t="str" cm="1">
        <f t="array" ref="D2485">IFERROR(INDEX(DB!G$2:G$2576,T2485),"")</f>
        <v/>
      </c>
      <c r="E2485" s="43"/>
      <c r="F2485" s="52" t="str" cm="1">
        <f t="array" ref="F2485">IFERROR(INDEX(DB!O$2:O$2576,T2485),"")</f>
        <v/>
      </c>
      <c r="G2485" s="43"/>
      <c r="H2485" s="40" t="str" cm="1">
        <f t="array" ref="H2485">IFERROR(INDEX(DB!P$2:P$2576,T2485),"")</f>
        <v/>
      </c>
      <c r="I2485" s="43"/>
      <c r="J2485" s="53" t="str" cm="1">
        <f t="array" ref="J2485">IFERROR(INDEX(DB!Q$2:Q$2576,T2485),"")</f>
        <v/>
      </c>
      <c r="K2485" s="43"/>
      <c r="L2485" s="41" t="str" cm="1">
        <f t="array" ref="L2485">IFERROR(INDEX(DB!R$2:R$2576,T2485),"")</f>
        <v/>
      </c>
      <c r="M2485" s="43"/>
      <c r="P2485" t="str" cm="1">
        <f t="array" ref="P2485">IFERROR(_xlfn.AGGREGATE(15,6,ROW(DB!A$2:A$2576)/((($D$3&lt;&gt;"YES")+($D$3="YES")*(DB!E$2:E$2576="YES"))*(($D$4="")+($D$4&lt;&gt;"")*( DB!B$2:B$2576=$D$4))*(($D$5="")+($D$5&lt;&gt;"")*( DB!C$2:C$2576=$D$5))*(($D$6="")+($D$6&lt;&gt;"")*( DB!D$2:D$2576=$D$6))*(($D$7="")+($D$7&lt;&gt;"")*(ISNUMBER(SEARCH($D$7,DB!G$2:G$2576))))*(($F$7="전체")+($F$7&lt;&gt;"전체")*(DB!H$2:H$2576=$F$7))),ROW()-13)-1,"")</f>
        <v/>
      </c>
      <c r="Q2485" t="str" cm="1">
        <f t="array" ref="Q2485">IFERROR(INDEX(DB!G$2:G$2576,P2485),"")</f>
        <v/>
      </c>
      <c r="R2485" t="str" cm="1">
        <f t="array" ref="R2485">IFERROR(INDEX(DB!O$2:O$2576,P2485),"")</f>
        <v/>
      </c>
      <c r="S2485" t="str">
        <f t="shared" si="117"/>
        <v/>
      </c>
      <c r="T2485" t="str">
        <f t="shared" si="118"/>
        <v/>
      </c>
    </row>
    <row r="2486" spans="1:20" ht="100" customHeight="1">
      <c r="A2486" s="26"/>
      <c r="B2486" s="39" t="str">
        <f t="shared" si="116"/>
        <v/>
      </c>
      <c r="C2486" s="43"/>
      <c r="D2486" s="51" t="str" cm="1">
        <f t="array" ref="D2486">IFERROR(INDEX(DB!G$2:G$2576,T2486),"")</f>
        <v/>
      </c>
      <c r="E2486" s="43"/>
      <c r="F2486" s="52" t="str" cm="1">
        <f t="array" ref="F2486">IFERROR(INDEX(DB!O$2:O$2576,T2486),"")</f>
        <v/>
      </c>
      <c r="G2486" s="43"/>
      <c r="H2486" s="40" t="str" cm="1">
        <f t="array" ref="H2486">IFERROR(INDEX(DB!P$2:P$2576,T2486),"")</f>
        <v/>
      </c>
      <c r="I2486" s="43"/>
      <c r="J2486" s="53" t="str" cm="1">
        <f t="array" ref="J2486">IFERROR(INDEX(DB!Q$2:Q$2576,T2486),"")</f>
        <v/>
      </c>
      <c r="K2486" s="43"/>
      <c r="L2486" s="41" t="str" cm="1">
        <f t="array" ref="L2486">IFERROR(INDEX(DB!R$2:R$2576,T2486),"")</f>
        <v/>
      </c>
      <c r="M2486" s="43"/>
      <c r="P2486" t="str" cm="1">
        <f t="array" ref="P2486">IFERROR(_xlfn.AGGREGATE(15,6,ROW(DB!A$2:A$2576)/((($D$3&lt;&gt;"YES")+($D$3="YES")*(DB!E$2:E$2576="YES"))*(($D$4="")+($D$4&lt;&gt;"")*( DB!B$2:B$2576=$D$4))*(($D$5="")+($D$5&lt;&gt;"")*( DB!C$2:C$2576=$D$5))*(($D$6="")+($D$6&lt;&gt;"")*( DB!D$2:D$2576=$D$6))*(($D$7="")+($D$7&lt;&gt;"")*(ISNUMBER(SEARCH($D$7,DB!G$2:G$2576))))*(($F$7="전체")+($F$7&lt;&gt;"전체")*(DB!H$2:H$2576=$F$7))),ROW()-13)-1,"")</f>
        <v/>
      </c>
      <c r="Q2486" t="str" cm="1">
        <f t="array" ref="Q2486">IFERROR(INDEX(DB!G$2:G$2576,P2486),"")</f>
        <v/>
      </c>
      <c r="R2486" t="str" cm="1">
        <f t="array" ref="R2486">IFERROR(INDEX(DB!O$2:O$2576,P2486),"")</f>
        <v/>
      </c>
      <c r="S2486" t="str">
        <f t="shared" si="117"/>
        <v/>
      </c>
      <c r="T2486" t="str">
        <f t="shared" si="118"/>
        <v/>
      </c>
    </row>
    <row r="2487" spans="1:20" ht="100" customHeight="1">
      <c r="A2487" s="26"/>
      <c r="B2487" s="42" t="str">
        <f t="shared" si="116"/>
        <v/>
      </c>
      <c r="C2487" s="43"/>
      <c r="D2487" s="51" t="str" cm="1">
        <f t="array" ref="D2487">IFERROR(INDEX(DB!G$2:G$2576,T2487),"")</f>
        <v/>
      </c>
      <c r="E2487" s="43"/>
      <c r="F2487" s="52" t="str" cm="1">
        <f t="array" ref="F2487">IFERROR(INDEX(DB!O$2:O$2576,T2487),"")</f>
        <v/>
      </c>
      <c r="G2487" s="43"/>
      <c r="H2487" s="40" t="str" cm="1">
        <f t="array" ref="H2487">IFERROR(INDEX(DB!P$2:P$2576,T2487),"")</f>
        <v/>
      </c>
      <c r="I2487" s="43"/>
      <c r="J2487" s="53" t="str" cm="1">
        <f t="array" ref="J2487">IFERROR(INDEX(DB!Q$2:Q$2576,T2487),"")</f>
        <v/>
      </c>
      <c r="K2487" s="43"/>
      <c r="L2487" s="41" t="str" cm="1">
        <f t="array" ref="L2487">IFERROR(INDEX(DB!R$2:R$2576,T2487),"")</f>
        <v/>
      </c>
      <c r="M2487" s="43"/>
      <c r="P2487" t="str" cm="1">
        <f t="array" ref="P2487">IFERROR(_xlfn.AGGREGATE(15,6,ROW(DB!A$2:A$2576)/((($D$3&lt;&gt;"YES")+($D$3="YES")*(DB!E$2:E$2576="YES"))*(($D$4="")+($D$4&lt;&gt;"")*( DB!B$2:B$2576=$D$4))*(($D$5="")+($D$5&lt;&gt;"")*( DB!C$2:C$2576=$D$5))*(($D$6="")+($D$6&lt;&gt;"")*( DB!D$2:D$2576=$D$6))*(($D$7="")+($D$7&lt;&gt;"")*(ISNUMBER(SEARCH($D$7,DB!G$2:G$2576))))*(($F$7="전체")+($F$7&lt;&gt;"전체")*(DB!H$2:H$2576=$F$7))),ROW()-13)-1,"")</f>
        <v/>
      </c>
      <c r="Q2487" t="str" cm="1">
        <f t="array" ref="Q2487">IFERROR(INDEX(DB!G$2:G$2576,P2487),"")</f>
        <v/>
      </c>
      <c r="R2487" t="str" cm="1">
        <f t="array" ref="R2487">IFERROR(INDEX(DB!O$2:O$2576,P2487),"")</f>
        <v/>
      </c>
      <c r="S2487" t="str">
        <f t="shared" si="117"/>
        <v/>
      </c>
      <c r="T2487" t="str">
        <f t="shared" si="118"/>
        <v/>
      </c>
    </row>
    <row r="2488" spans="1:20" ht="100" customHeight="1">
      <c r="A2488" s="26"/>
      <c r="B2488" s="39" t="str">
        <f t="shared" si="116"/>
        <v/>
      </c>
      <c r="C2488" s="43"/>
      <c r="D2488" s="51" t="str" cm="1">
        <f t="array" ref="D2488">IFERROR(INDEX(DB!G$2:G$2576,T2488),"")</f>
        <v/>
      </c>
      <c r="E2488" s="43"/>
      <c r="F2488" s="52" t="str" cm="1">
        <f t="array" ref="F2488">IFERROR(INDEX(DB!O$2:O$2576,T2488),"")</f>
        <v/>
      </c>
      <c r="G2488" s="43"/>
      <c r="H2488" s="40" t="str" cm="1">
        <f t="array" ref="H2488">IFERROR(INDEX(DB!P$2:P$2576,T2488),"")</f>
        <v/>
      </c>
      <c r="I2488" s="43"/>
      <c r="J2488" s="53" t="str" cm="1">
        <f t="array" ref="J2488">IFERROR(INDEX(DB!Q$2:Q$2576,T2488),"")</f>
        <v/>
      </c>
      <c r="K2488" s="43"/>
      <c r="L2488" s="41" t="str" cm="1">
        <f t="array" ref="L2488">IFERROR(INDEX(DB!R$2:R$2576,T2488),"")</f>
        <v/>
      </c>
      <c r="M2488" s="43"/>
      <c r="P2488" t="str" cm="1">
        <f t="array" ref="P2488">IFERROR(_xlfn.AGGREGATE(15,6,ROW(DB!A$2:A$2576)/((($D$3&lt;&gt;"YES")+($D$3="YES")*(DB!E$2:E$2576="YES"))*(($D$4="")+($D$4&lt;&gt;"")*( DB!B$2:B$2576=$D$4))*(($D$5="")+($D$5&lt;&gt;"")*( DB!C$2:C$2576=$D$5))*(($D$6="")+($D$6&lt;&gt;"")*( DB!D$2:D$2576=$D$6))*(($D$7="")+($D$7&lt;&gt;"")*(ISNUMBER(SEARCH($D$7,DB!G$2:G$2576))))*(($F$7="전체")+($F$7&lt;&gt;"전체")*(DB!H$2:H$2576=$F$7))),ROW()-13)-1,"")</f>
        <v/>
      </c>
      <c r="Q2488" t="str" cm="1">
        <f t="array" ref="Q2488">IFERROR(INDEX(DB!G$2:G$2576,P2488),"")</f>
        <v/>
      </c>
      <c r="R2488" t="str" cm="1">
        <f t="array" ref="R2488">IFERROR(INDEX(DB!O$2:O$2576,P2488),"")</f>
        <v/>
      </c>
      <c r="S2488" t="str">
        <f t="shared" si="117"/>
        <v/>
      </c>
      <c r="T2488" t="str">
        <f t="shared" si="118"/>
        <v/>
      </c>
    </row>
    <row r="2489" spans="1:20" ht="100" customHeight="1">
      <c r="A2489" s="26"/>
      <c r="B2489" s="42" t="str">
        <f t="shared" si="116"/>
        <v/>
      </c>
      <c r="C2489" s="43"/>
      <c r="D2489" s="51" t="str" cm="1">
        <f t="array" ref="D2489">IFERROR(INDEX(DB!G$2:G$2576,T2489),"")</f>
        <v/>
      </c>
      <c r="E2489" s="43"/>
      <c r="F2489" s="52" t="str" cm="1">
        <f t="array" ref="F2489">IFERROR(INDEX(DB!O$2:O$2576,T2489),"")</f>
        <v/>
      </c>
      <c r="G2489" s="43"/>
      <c r="H2489" s="40" t="str" cm="1">
        <f t="array" ref="H2489">IFERROR(INDEX(DB!P$2:P$2576,T2489),"")</f>
        <v/>
      </c>
      <c r="I2489" s="43"/>
      <c r="J2489" s="53" t="str" cm="1">
        <f t="array" ref="J2489">IFERROR(INDEX(DB!Q$2:Q$2576,T2489),"")</f>
        <v/>
      </c>
      <c r="K2489" s="43"/>
      <c r="L2489" s="41" t="str" cm="1">
        <f t="array" ref="L2489">IFERROR(INDEX(DB!R$2:R$2576,T2489),"")</f>
        <v/>
      </c>
      <c r="M2489" s="43"/>
      <c r="P2489" t="str" cm="1">
        <f t="array" ref="P2489">IFERROR(_xlfn.AGGREGATE(15,6,ROW(DB!A$2:A$2576)/((($D$3&lt;&gt;"YES")+($D$3="YES")*(DB!E$2:E$2576="YES"))*(($D$4="")+($D$4&lt;&gt;"")*( DB!B$2:B$2576=$D$4))*(($D$5="")+($D$5&lt;&gt;"")*( DB!C$2:C$2576=$D$5))*(($D$6="")+($D$6&lt;&gt;"")*( DB!D$2:D$2576=$D$6))*(($D$7="")+($D$7&lt;&gt;"")*(ISNUMBER(SEARCH($D$7,DB!G$2:G$2576))))*(($F$7="전체")+($F$7&lt;&gt;"전체")*(DB!H$2:H$2576=$F$7))),ROW()-13)-1,"")</f>
        <v/>
      </c>
      <c r="Q2489" t="str" cm="1">
        <f t="array" ref="Q2489">IFERROR(INDEX(DB!G$2:G$2576,P2489),"")</f>
        <v/>
      </c>
      <c r="R2489" t="str" cm="1">
        <f t="array" ref="R2489">IFERROR(INDEX(DB!O$2:O$2576,P2489),"")</f>
        <v/>
      </c>
      <c r="S2489" t="str">
        <f t="shared" si="117"/>
        <v/>
      </c>
      <c r="T2489" t="str">
        <f t="shared" si="118"/>
        <v/>
      </c>
    </row>
    <row r="2490" spans="1:20" ht="100" customHeight="1">
      <c r="A2490" s="26"/>
      <c r="B2490" s="39" t="str">
        <f t="shared" si="116"/>
        <v/>
      </c>
      <c r="C2490" s="43"/>
      <c r="D2490" s="51" t="str" cm="1">
        <f t="array" ref="D2490">IFERROR(INDEX(DB!G$2:G$2576,T2490),"")</f>
        <v/>
      </c>
      <c r="E2490" s="43"/>
      <c r="F2490" s="52" t="str" cm="1">
        <f t="array" ref="F2490">IFERROR(INDEX(DB!O$2:O$2576,T2490),"")</f>
        <v/>
      </c>
      <c r="G2490" s="43"/>
      <c r="H2490" s="40" t="str" cm="1">
        <f t="array" ref="H2490">IFERROR(INDEX(DB!P$2:P$2576,T2490),"")</f>
        <v/>
      </c>
      <c r="I2490" s="43"/>
      <c r="J2490" s="53" t="str" cm="1">
        <f t="array" ref="J2490">IFERROR(INDEX(DB!Q$2:Q$2576,T2490),"")</f>
        <v/>
      </c>
      <c r="K2490" s="43"/>
      <c r="L2490" s="41" t="str" cm="1">
        <f t="array" ref="L2490">IFERROR(INDEX(DB!R$2:R$2576,T2490),"")</f>
        <v/>
      </c>
      <c r="M2490" s="43"/>
      <c r="P2490" t="str" cm="1">
        <f t="array" ref="P2490">IFERROR(_xlfn.AGGREGATE(15,6,ROW(DB!A$2:A$2576)/((($D$3&lt;&gt;"YES")+($D$3="YES")*(DB!E$2:E$2576="YES"))*(($D$4="")+($D$4&lt;&gt;"")*( DB!B$2:B$2576=$D$4))*(($D$5="")+($D$5&lt;&gt;"")*( DB!C$2:C$2576=$D$5))*(($D$6="")+($D$6&lt;&gt;"")*( DB!D$2:D$2576=$D$6))*(($D$7="")+($D$7&lt;&gt;"")*(ISNUMBER(SEARCH($D$7,DB!G$2:G$2576))))*(($F$7="전체")+($F$7&lt;&gt;"전체")*(DB!H$2:H$2576=$F$7))),ROW()-13)-1,"")</f>
        <v/>
      </c>
      <c r="Q2490" t="str" cm="1">
        <f t="array" ref="Q2490">IFERROR(INDEX(DB!G$2:G$2576,P2490),"")</f>
        <v/>
      </c>
      <c r="R2490" t="str" cm="1">
        <f t="array" ref="R2490">IFERROR(INDEX(DB!O$2:O$2576,P2490),"")</f>
        <v/>
      </c>
      <c r="S2490" t="str">
        <f t="shared" si="117"/>
        <v/>
      </c>
      <c r="T2490" t="str">
        <f t="shared" si="118"/>
        <v/>
      </c>
    </row>
    <row r="2491" spans="1:20" ht="100" customHeight="1">
      <c r="A2491" s="26"/>
      <c r="B2491" s="42" t="str">
        <f t="shared" si="116"/>
        <v/>
      </c>
      <c r="C2491" s="43"/>
      <c r="D2491" s="51" t="str" cm="1">
        <f t="array" ref="D2491">IFERROR(INDEX(DB!G$2:G$2576,T2491),"")</f>
        <v/>
      </c>
      <c r="E2491" s="43"/>
      <c r="F2491" s="52" t="str" cm="1">
        <f t="array" ref="F2491">IFERROR(INDEX(DB!O$2:O$2576,T2491),"")</f>
        <v/>
      </c>
      <c r="G2491" s="43"/>
      <c r="H2491" s="40" t="str" cm="1">
        <f t="array" ref="H2491">IFERROR(INDEX(DB!P$2:P$2576,T2491),"")</f>
        <v/>
      </c>
      <c r="I2491" s="43"/>
      <c r="J2491" s="53" t="str" cm="1">
        <f t="array" ref="J2491">IFERROR(INDEX(DB!Q$2:Q$2576,T2491),"")</f>
        <v/>
      </c>
      <c r="K2491" s="43"/>
      <c r="L2491" s="41" t="str" cm="1">
        <f t="array" ref="L2491">IFERROR(INDEX(DB!R$2:R$2576,T2491),"")</f>
        <v/>
      </c>
      <c r="M2491" s="43"/>
      <c r="P2491" t="str" cm="1">
        <f t="array" ref="P2491">IFERROR(_xlfn.AGGREGATE(15,6,ROW(DB!A$2:A$2576)/((($D$3&lt;&gt;"YES")+($D$3="YES")*(DB!E$2:E$2576="YES"))*(($D$4="")+($D$4&lt;&gt;"")*( DB!B$2:B$2576=$D$4))*(($D$5="")+($D$5&lt;&gt;"")*( DB!C$2:C$2576=$D$5))*(($D$6="")+($D$6&lt;&gt;"")*( DB!D$2:D$2576=$D$6))*(($D$7="")+($D$7&lt;&gt;"")*(ISNUMBER(SEARCH($D$7,DB!G$2:G$2576))))*(($F$7="전체")+($F$7&lt;&gt;"전체")*(DB!H$2:H$2576=$F$7))),ROW()-13)-1,"")</f>
        <v/>
      </c>
      <c r="Q2491" t="str" cm="1">
        <f t="array" ref="Q2491">IFERROR(INDEX(DB!G$2:G$2576,P2491),"")</f>
        <v/>
      </c>
      <c r="R2491" t="str" cm="1">
        <f t="array" ref="R2491">IFERROR(INDEX(DB!O$2:O$2576,P2491),"")</f>
        <v/>
      </c>
      <c r="S2491" t="str">
        <f t="shared" si="117"/>
        <v/>
      </c>
      <c r="T2491" t="str">
        <f t="shared" si="118"/>
        <v/>
      </c>
    </row>
    <row r="2492" spans="1:20" ht="100" customHeight="1">
      <c r="A2492" s="26"/>
      <c r="B2492" s="39" t="str">
        <f t="shared" si="116"/>
        <v/>
      </c>
      <c r="C2492" s="43"/>
      <c r="D2492" s="51" t="str" cm="1">
        <f t="array" ref="D2492">IFERROR(INDEX(DB!G$2:G$2576,T2492),"")</f>
        <v/>
      </c>
      <c r="E2492" s="43"/>
      <c r="F2492" s="52" t="str" cm="1">
        <f t="array" ref="F2492">IFERROR(INDEX(DB!O$2:O$2576,T2492),"")</f>
        <v/>
      </c>
      <c r="G2492" s="43"/>
      <c r="H2492" s="40" t="str" cm="1">
        <f t="array" ref="H2492">IFERROR(INDEX(DB!P$2:P$2576,T2492),"")</f>
        <v/>
      </c>
      <c r="I2492" s="43"/>
      <c r="J2492" s="53" t="str" cm="1">
        <f t="array" ref="J2492">IFERROR(INDEX(DB!Q$2:Q$2576,T2492),"")</f>
        <v/>
      </c>
      <c r="K2492" s="43"/>
      <c r="L2492" s="41" t="str" cm="1">
        <f t="array" ref="L2492">IFERROR(INDEX(DB!R$2:R$2576,T2492),"")</f>
        <v/>
      </c>
      <c r="M2492" s="43"/>
      <c r="P2492" t="str" cm="1">
        <f t="array" ref="P2492">IFERROR(_xlfn.AGGREGATE(15,6,ROW(DB!A$2:A$2576)/((($D$3&lt;&gt;"YES")+($D$3="YES")*(DB!E$2:E$2576="YES"))*(($D$4="")+($D$4&lt;&gt;"")*( DB!B$2:B$2576=$D$4))*(($D$5="")+($D$5&lt;&gt;"")*( DB!C$2:C$2576=$D$5))*(($D$6="")+($D$6&lt;&gt;"")*( DB!D$2:D$2576=$D$6))*(($D$7="")+($D$7&lt;&gt;"")*(ISNUMBER(SEARCH($D$7,DB!G$2:G$2576))))*(($F$7="전체")+($F$7&lt;&gt;"전체")*(DB!H$2:H$2576=$F$7))),ROW()-13)-1,"")</f>
        <v/>
      </c>
      <c r="Q2492" t="str" cm="1">
        <f t="array" ref="Q2492">IFERROR(INDEX(DB!G$2:G$2576,P2492),"")</f>
        <v/>
      </c>
      <c r="R2492" t="str" cm="1">
        <f t="array" ref="R2492">IFERROR(INDEX(DB!O$2:O$2576,P2492),"")</f>
        <v/>
      </c>
      <c r="S2492" t="str">
        <f t="shared" si="117"/>
        <v/>
      </c>
      <c r="T2492" t="str">
        <f t="shared" si="118"/>
        <v/>
      </c>
    </row>
    <row r="2493" spans="1:20" ht="100" customHeight="1">
      <c r="A2493" s="26"/>
      <c r="B2493" s="42" t="str">
        <f t="shared" si="116"/>
        <v/>
      </c>
      <c r="C2493" s="43"/>
      <c r="D2493" s="51" t="str" cm="1">
        <f t="array" ref="D2493">IFERROR(INDEX(DB!G$2:G$2576,T2493),"")</f>
        <v/>
      </c>
      <c r="E2493" s="43"/>
      <c r="F2493" s="52" t="str" cm="1">
        <f t="array" ref="F2493">IFERROR(INDEX(DB!O$2:O$2576,T2493),"")</f>
        <v/>
      </c>
      <c r="G2493" s="43"/>
      <c r="H2493" s="40" t="str" cm="1">
        <f t="array" ref="H2493">IFERROR(INDEX(DB!P$2:P$2576,T2493),"")</f>
        <v/>
      </c>
      <c r="I2493" s="43"/>
      <c r="J2493" s="53" t="str" cm="1">
        <f t="array" ref="J2493">IFERROR(INDEX(DB!Q$2:Q$2576,T2493),"")</f>
        <v/>
      </c>
      <c r="K2493" s="43"/>
      <c r="L2493" s="41" t="str" cm="1">
        <f t="array" ref="L2493">IFERROR(INDEX(DB!R$2:R$2576,T2493),"")</f>
        <v/>
      </c>
      <c r="M2493" s="43"/>
      <c r="P2493" t="str" cm="1">
        <f t="array" ref="P2493">IFERROR(_xlfn.AGGREGATE(15,6,ROW(DB!A$2:A$2576)/((($D$3&lt;&gt;"YES")+($D$3="YES")*(DB!E$2:E$2576="YES"))*(($D$4="")+($D$4&lt;&gt;"")*( DB!B$2:B$2576=$D$4))*(($D$5="")+($D$5&lt;&gt;"")*( DB!C$2:C$2576=$D$5))*(($D$6="")+($D$6&lt;&gt;"")*( DB!D$2:D$2576=$D$6))*(($D$7="")+($D$7&lt;&gt;"")*(ISNUMBER(SEARCH($D$7,DB!G$2:G$2576))))*(($F$7="전체")+($F$7&lt;&gt;"전체")*(DB!H$2:H$2576=$F$7))),ROW()-13)-1,"")</f>
        <v/>
      </c>
      <c r="Q2493" t="str" cm="1">
        <f t="array" ref="Q2493">IFERROR(INDEX(DB!G$2:G$2576,P2493),"")</f>
        <v/>
      </c>
      <c r="R2493" t="str" cm="1">
        <f t="array" ref="R2493">IFERROR(INDEX(DB!O$2:O$2576,P2493),"")</f>
        <v/>
      </c>
      <c r="S2493" t="str">
        <f t="shared" si="117"/>
        <v/>
      </c>
      <c r="T2493" t="str">
        <f t="shared" si="118"/>
        <v/>
      </c>
    </row>
    <row r="2494" spans="1:20" ht="100" customHeight="1">
      <c r="A2494" s="26"/>
      <c r="B2494" s="39" t="str">
        <f t="shared" si="116"/>
        <v/>
      </c>
      <c r="C2494" s="43"/>
      <c r="D2494" s="51" t="str" cm="1">
        <f t="array" ref="D2494">IFERROR(INDEX(DB!G$2:G$2576,T2494),"")</f>
        <v/>
      </c>
      <c r="E2494" s="43"/>
      <c r="F2494" s="52" t="str" cm="1">
        <f t="array" ref="F2494">IFERROR(INDEX(DB!O$2:O$2576,T2494),"")</f>
        <v/>
      </c>
      <c r="G2494" s="43"/>
      <c r="H2494" s="40" t="str" cm="1">
        <f t="array" ref="H2494">IFERROR(INDEX(DB!P$2:P$2576,T2494),"")</f>
        <v/>
      </c>
      <c r="I2494" s="43"/>
      <c r="J2494" s="53" t="str" cm="1">
        <f t="array" ref="J2494">IFERROR(INDEX(DB!Q$2:Q$2576,T2494),"")</f>
        <v/>
      </c>
      <c r="K2494" s="43"/>
      <c r="L2494" s="41" t="str" cm="1">
        <f t="array" ref="L2494">IFERROR(INDEX(DB!R$2:R$2576,T2494),"")</f>
        <v/>
      </c>
      <c r="M2494" s="43"/>
      <c r="P2494" t="str" cm="1">
        <f t="array" ref="P2494">IFERROR(_xlfn.AGGREGATE(15,6,ROW(DB!A$2:A$2576)/((($D$3&lt;&gt;"YES")+($D$3="YES")*(DB!E$2:E$2576="YES"))*(($D$4="")+($D$4&lt;&gt;"")*( DB!B$2:B$2576=$D$4))*(($D$5="")+($D$5&lt;&gt;"")*( DB!C$2:C$2576=$D$5))*(($D$6="")+($D$6&lt;&gt;"")*( DB!D$2:D$2576=$D$6))*(($D$7="")+($D$7&lt;&gt;"")*(ISNUMBER(SEARCH($D$7,DB!G$2:G$2576))))*(($F$7="전체")+($F$7&lt;&gt;"전체")*(DB!H$2:H$2576=$F$7))),ROW()-13)-1,"")</f>
        <v/>
      </c>
      <c r="Q2494" t="str" cm="1">
        <f t="array" ref="Q2494">IFERROR(INDEX(DB!G$2:G$2576,P2494),"")</f>
        <v/>
      </c>
      <c r="R2494" t="str" cm="1">
        <f t="array" ref="R2494">IFERROR(INDEX(DB!O$2:O$2576,P2494),"")</f>
        <v/>
      </c>
      <c r="S2494" t="str">
        <f t="shared" si="117"/>
        <v/>
      </c>
      <c r="T2494" t="str">
        <f t="shared" si="118"/>
        <v/>
      </c>
    </row>
    <row r="2495" spans="1:20" ht="100" customHeight="1">
      <c r="A2495" s="26"/>
      <c r="B2495" s="42" t="str">
        <f t="shared" si="116"/>
        <v/>
      </c>
      <c r="C2495" s="43"/>
      <c r="D2495" s="51" t="str" cm="1">
        <f t="array" ref="D2495">IFERROR(INDEX(DB!G$2:G$2576,T2495),"")</f>
        <v/>
      </c>
      <c r="E2495" s="43"/>
      <c r="F2495" s="52" t="str" cm="1">
        <f t="array" ref="F2495">IFERROR(INDEX(DB!O$2:O$2576,T2495),"")</f>
        <v/>
      </c>
      <c r="G2495" s="43"/>
      <c r="H2495" s="40" t="str" cm="1">
        <f t="array" ref="H2495">IFERROR(INDEX(DB!P$2:P$2576,T2495),"")</f>
        <v/>
      </c>
      <c r="I2495" s="43"/>
      <c r="J2495" s="53" t="str" cm="1">
        <f t="array" ref="J2495">IFERROR(INDEX(DB!Q$2:Q$2576,T2495),"")</f>
        <v/>
      </c>
      <c r="K2495" s="43"/>
      <c r="L2495" s="41" t="str" cm="1">
        <f t="array" ref="L2495">IFERROR(INDEX(DB!R$2:R$2576,T2495),"")</f>
        <v/>
      </c>
      <c r="M2495" s="43"/>
      <c r="P2495" t="str" cm="1">
        <f t="array" ref="P2495">IFERROR(_xlfn.AGGREGATE(15,6,ROW(DB!A$2:A$2576)/((($D$3&lt;&gt;"YES")+($D$3="YES")*(DB!E$2:E$2576="YES"))*(($D$4="")+($D$4&lt;&gt;"")*( DB!B$2:B$2576=$D$4))*(($D$5="")+($D$5&lt;&gt;"")*( DB!C$2:C$2576=$D$5))*(($D$6="")+($D$6&lt;&gt;"")*( DB!D$2:D$2576=$D$6))*(($D$7="")+($D$7&lt;&gt;"")*(ISNUMBER(SEARCH($D$7,DB!G$2:G$2576))))*(($F$7="전체")+($F$7&lt;&gt;"전체")*(DB!H$2:H$2576=$F$7))),ROW()-13)-1,"")</f>
        <v/>
      </c>
      <c r="Q2495" t="str" cm="1">
        <f t="array" ref="Q2495">IFERROR(INDEX(DB!G$2:G$2576,P2495),"")</f>
        <v/>
      </c>
      <c r="R2495" t="str" cm="1">
        <f t="array" ref="R2495">IFERROR(INDEX(DB!O$2:O$2576,P2495),"")</f>
        <v/>
      </c>
      <c r="S2495" t="str">
        <f t="shared" si="117"/>
        <v/>
      </c>
      <c r="T2495" t="str">
        <f t="shared" si="118"/>
        <v/>
      </c>
    </row>
    <row r="2496" spans="1:20" ht="100" customHeight="1">
      <c r="A2496" s="26"/>
      <c r="B2496" s="39" t="str">
        <f t="shared" si="116"/>
        <v/>
      </c>
      <c r="C2496" s="43"/>
      <c r="D2496" s="51" t="str" cm="1">
        <f t="array" ref="D2496">IFERROR(INDEX(DB!G$2:G$2576,T2496),"")</f>
        <v/>
      </c>
      <c r="E2496" s="43"/>
      <c r="F2496" s="52" t="str" cm="1">
        <f t="array" ref="F2496">IFERROR(INDEX(DB!O$2:O$2576,T2496),"")</f>
        <v/>
      </c>
      <c r="G2496" s="43"/>
      <c r="H2496" s="40" t="str" cm="1">
        <f t="array" ref="H2496">IFERROR(INDEX(DB!P$2:P$2576,T2496),"")</f>
        <v/>
      </c>
      <c r="I2496" s="43"/>
      <c r="J2496" s="53" t="str" cm="1">
        <f t="array" ref="J2496">IFERROR(INDEX(DB!Q$2:Q$2576,T2496),"")</f>
        <v/>
      </c>
      <c r="K2496" s="43"/>
      <c r="L2496" s="41" t="str" cm="1">
        <f t="array" ref="L2496">IFERROR(INDEX(DB!R$2:R$2576,T2496),"")</f>
        <v/>
      </c>
      <c r="M2496" s="43"/>
      <c r="P2496" t="str" cm="1">
        <f t="array" ref="P2496">IFERROR(_xlfn.AGGREGATE(15,6,ROW(DB!A$2:A$2576)/((($D$3&lt;&gt;"YES")+($D$3="YES")*(DB!E$2:E$2576="YES"))*(($D$4="")+($D$4&lt;&gt;"")*( DB!B$2:B$2576=$D$4))*(($D$5="")+($D$5&lt;&gt;"")*( DB!C$2:C$2576=$D$5))*(($D$6="")+($D$6&lt;&gt;"")*( DB!D$2:D$2576=$D$6))*(($D$7="")+($D$7&lt;&gt;"")*(ISNUMBER(SEARCH($D$7,DB!G$2:G$2576))))*(($F$7="전체")+($F$7&lt;&gt;"전체")*(DB!H$2:H$2576=$F$7))),ROW()-13)-1,"")</f>
        <v/>
      </c>
      <c r="Q2496" t="str" cm="1">
        <f t="array" ref="Q2496">IFERROR(INDEX(DB!G$2:G$2576,P2496),"")</f>
        <v/>
      </c>
      <c r="R2496" t="str" cm="1">
        <f t="array" ref="R2496">IFERROR(INDEX(DB!O$2:O$2576,P2496),"")</f>
        <v/>
      </c>
      <c r="S2496" t="str">
        <f t="shared" si="117"/>
        <v/>
      </c>
      <c r="T2496" t="str">
        <f t="shared" si="118"/>
        <v/>
      </c>
    </row>
    <row r="2497" spans="1:20" ht="100" customHeight="1">
      <c r="A2497" s="26"/>
      <c r="B2497" s="42" t="str">
        <f t="shared" si="116"/>
        <v/>
      </c>
      <c r="C2497" s="43"/>
      <c r="D2497" s="51" t="str" cm="1">
        <f t="array" ref="D2497">IFERROR(INDEX(DB!G$2:G$2576,T2497),"")</f>
        <v/>
      </c>
      <c r="E2497" s="43"/>
      <c r="F2497" s="52" t="str" cm="1">
        <f t="array" ref="F2497">IFERROR(INDEX(DB!O$2:O$2576,T2497),"")</f>
        <v/>
      </c>
      <c r="G2497" s="43"/>
      <c r="H2497" s="40" t="str" cm="1">
        <f t="array" ref="H2497">IFERROR(INDEX(DB!P$2:P$2576,T2497),"")</f>
        <v/>
      </c>
      <c r="I2497" s="43"/>
      <c r="J2497" s="53" t="str" cm="1">
        <f t="array" ref="J2497">IFERROR(INDEX(DB!Q$2:Q$2576,T2497),"")</f>
        <v/>
      </c>
      <c r="K2497" s="43"/>
      <c r="L2497" s="41" t="str" cm="1">
        <f t="array" ref="L2497">IFERROR(INDEX(DB!R$2:R$2576,T2497),"")</f>
        <v/>
      </c>
      <c r="M2497" s="43"/>
      <c r="P2497" t="str" cm="1">
        <f t="array" ref="P2497">IFERROR(_xlfn.AGGREGATE(15,6,ROW(DB!A$2:A$2576)/((($D$3&lt;&gt;"YES")+($D$3="YES")*(DB!E$2:E$2576="YES"))*(($D$4="")+($D$4&lt;&gt;"")*( DB!B$2:B$2576=$D$4))*(($D$5="")+($D$5&lt;&gt;"")*( DB!C$2:C$2576=$D$5))*(($D$6="")+($D$6&lt;&gt;"")*( DB!D$2:D$2576=$D$6))*(($D$7="")+($D$7&lt;&gt;"")*(ISNUMBER(SEARCH($D$7,DB!G$2:G$2576))))*(($F$7="전체")+($F$7&lt;&gt;"전체")*(DB!H$2:H$2576=$F$7))),ROW()-13)-1,"")</f>
        <v/>
      </c>
      <c r="Q2497" t="str" cm="1">
        <f t="array" ref="Q2497">IFERROR(INDEX(DB!G$2:G$2576,P2497),"")</f>
        <v/>
      </c>
      <c r="R2497" t="str" cm="1">
        <f t="array" ref="R2497">IFERROR(INDEX(DB!O$2:O$2576,P2497),"")</f>
        <v/>
      </c>
      <c r="S2497" t="str">
        <f t="shared" si="117"/>
        <v/>
      </c>
      <c r="T2497" t="str">
        <f t="shared" si="118"/>
        <v/>
      </c>
    </row>
    <row r="2498" spans="1:20" ht="100" customHeight="1">
      <c r="A2498" s="26"/>
      <c r="B2498" s="39" t="str">
        <f t="shared" si="116"/>
        <v/>
      </c>
      <c r="C2498" s="43"/>
      <c r="D2498" s="51" t="str" cm="1">
        <f t="array" ref="D2498">IFERROR(INDEX(DB!G$2:G$2576,T2498),"")</f>
        <v/>
      </c>
      <c r="E2498" s="43"/>
      <c r="F2498" s="52" t="str" cm="1">
        <f t="array" ref="F2498">IFERROR(INDEX(DB!O$2:O$2576,T2498),"")</f>
        <v/>
      </c>
      <c r="G2498" s="43"/>
      <c r="H2498" s="40" t="str" cm="1">
        <f t="array" ref="H2498">IFERROR(INDEX(DB!P$2:P$2576,T2498),"")</f>
        <v/>
      </c>
      <c r="I2498" s="43"/>
      <c r="J2498" s="53" t="str" cm="1">
        <f t="array" ref="J2498">IFERROR(INDEX(DB!Q$2:Q$2576,T2498),"")</f>
        <v/>
      </c>
      <c r="K2498" s="43"/>
      <c r="L2498" s="41" t="str" cm="1">
        <f t="array" ref="L2498">IFERROR(INDEX(DB!R$2:R$2576,T2498),"")</f>
        <v/>
      </c>
      <c r="M2498" s="43"/>
      <c r="P2498" t="str" cm="1">
        <f t="array" ref="P2498">IFERROR(_xlfn.AGGREGATE(15,6,ROW(DB!A$2:A$2576)/((($D$3&lt;&gt;"YES")+($D$3="YES")*(DB!E$2:E$2576="YES"))*(($D$4="")+($D$4&lt;&gt;"")*( DB!B$2:B$2576=$D$4))*(($D$5="")+($D$5&lt;&gt;"")*( DB!C$2:C$2576=$D$5))*(($D$6="")+($D$6&lt;&gt;"")*( DB!D$2:D$2576=$D$6))*(($D$7="")+($D$7&lt;&gt;"")*(ISNUMBER(SEARCH($D$7,DB!G$2:G$2576))))*(($F$7="전체")+($F$7&lt;&gt;"전체")*(DB!H$2:H$2576=$F$7))),ROW()-13)-1,"")</f>
        <v/>
      </c>
      <c r="Q2498" t="str" cm="1">
        <f t="array" ref="Q2498">IFERROR(INDEX(DB!G$2:G$2576,P2498),"")</f>
        <v/>
      </c>
      <c r="R2498" t="str" cm="1">
        <f t="array" ref="R2498">IFERROR(INDEX(DB!O$2:O$2576,P2498),"")</f>
        <v/>
      </c>
      <c r="S2498" t="str">
        <f t="shared" si="117"/>
        <v/>
      </c>
      <c r="T2498" t="str">
        <f t="shared" si="118"/>
        <v/>
      </c>
    </row>
    <row r="2499" spans="1:20" ht="100" customHeight="1">
      <c r="A2499" s="26"/>
      <c r="B2499" s="42" t="str">
        <f t="shared" si="116"/>
        <v/>
      </c>
      <c r="C2499" s="43"/>
      <c r="D2499" s="51" t="str" cm="1">
        <f t="array" ref="D2499">IFERROR(INDEX(DB!G$2:G$2576,T2499),"")</f>
        <v/>
      </c>
      <c r="E2499" s="43"/>
      <c r="F2499" s="52" t="str" cm="1">
        <f t="array" ref="F2499">IFERROR(INDEX(DB!O$2:O$2576,T2499),"")</f>
        <v/>
      </c>
      <c r="G2499" s="43"/>
      <c r="H2499" s="40" t="str" cm="1">
        <f t="array" ref="H2499">IFERROR(INDEX(DB!P$2:P$2576,T2499),"")</f>
        <v/>
      </c>
      <c r="I2499" s="43"/>
      <c r="J2499" s="53" t="str" cm="1">
        <f t="array" ref="J2499">IFERROR(INDEX(DB!Q$2:Q$2576,T2499),"")</f>
        <v/>
      </c>
      <c r="K2499" s="43"/>
      <c r="L2499" s="41" t="str" cm="1">
        <f t="array" ref="L2499">IFERROR(INDEX(DB!R$2:R$2576,T2499),"")</f>
        <v/>
      </c>
      <c r="M2499" s="43"/>
      <c r="P2499" t="str" cm="1">
        <f t="array" ref="P2499">IFERROR(_xlfn.AGGREGATE(15,6,ROW(DB!A$2:A$2576)/((($D$3&lt;&gt;"YES")+($D$3="YES")*(DB!E$2:E$2576="YES"))*(($D$4="")+($D$4&lt;&gt;"")*( DB!B$2:B$2576=$D$4))*(($D$5="")+($D$5&lt;&gt;"")*( DB!C$2:C$2576=$D$5))*(($D$6="")+($D$6&lt;&gt;"")*( DB!D$2:D$2576=$D$6))*(($D$7="")+($D$7&lt;&gt;"")*(ISNUMBER(SEARCH($D$7,DB!G$2:G$2576))))*(($F$7="전체")+($F$7&lt;&gt;"전체")*(DB!H$2:H$2576=$F$7))),ROW()-13)-1,"")</f>
        <v/>
      </c>
      <c r="Q2499" t="str" cm="1">
        <f t="array" ref="Q2499">IFERROR(INDEX(DB!G$2:G$2576,P2499),"")</f>
        <v/>
      </c>
      <c r="R2499" t="str" cm="1">
        <f t="array" ref="R2499">IFERROR(INDEX(DB!O$2:O$2576,P2499),"")</f>
        <v/>
      </c>
      <c r="S2499" t="str">
        <f t="shared" si="117"/>
        <v/>
      </c>
      <c r="T2499" t="str">
        <f t="shared" si="118"/>
        <v/>
      </c>
    </row>
    <row r="2500" spans="1:20" ht="100" customHeight="1">
      <c r="A2500" s="26"/>
      <c r="B2500" s="39" t="str">
        <f t="shared" si="116"/>
        <v/>
      </c>
      <c r="C2500" s="43"/>
      <c r="D2500" s="51" t="str" cm="1">
        <f t="array" ref="D2500">IFERROR(INDEX(DB!G$2:G$2576,T2500),"")</f>
        <v/>
      </c>
      <c r="E2500" s="43"/>
      <c r="F2500" s="52" t="str" cm="1">
        <f t="array" ref="F2500">IFERROR(INDEX(DB!O$2:O$2576,T2500),"")</f>
        <v/>
      </c>
      <c r="G2500" s="43"/>
      <c r="H2500" s="40" t="str" cm="1">
        <f t="array" ref="H2500">IFERROR(INDEX(DB!P$2:P$2576,T2500),"")</f>
        <v/>
      </c>
      <c r="I2500" s="43"/>
      <c r="J2500" s="53" t="str" cm="1">
        <f t="array" ref="J2500">IFERROR(INDEX(DB!Q$2:Q$2576,T2500),"")</f>
        <v/>
      </c>
      <c r="K2500" s="43"/>
      <c r="L2500" s="41" t="str" cm="1">
        <f t="array" ref="L2500">IFERROR(INDEX(DB!R$2:R$2576,T2500),"")</f>
        <v/>
      </c>
      <c r="M2500" s="43"/>
      <c r="P2500" t="str" cm="1">
        <f t="array" ref="P2500">IFERROR(_xlfn.AGGREGATE(15,6,ROW(DB!A$2:A$2576)/((($D$3&lt;&gt;"YES")+($D$3="YES")*(DB!E$2:E$2576="YES"))*(($D$4="")+($D$4&lt;&gt;"")*( DB!B$2:B$2576=$D$4))*(($D$5="")+($D$5&lt;&gt;"")*( DB!C$2:C$2576=$D$5))*(($D$6="")+($D$6&lt;&gt;"")*( DB!D$2:D$2576=$D$6))*(($D$7="")+($D$7&lt;&gt;"")*(ISNUMBER(SEARCH($D$7,DB!G$2:G$2576))))*(($F$7="전체")+($F$7&lt;&gt;"전체")*(DB!H$2:H$2576=$F$7))),ROW()-13)-1,"")</f>
        <v/>
      </c>
      <c r="Q2500" t="str" cm="1">
        <f t="array" ref="Q2500">IFERROR(INDEX(DB!G$2:G$2576,P2500),"")</f>
        <v/>
      </c>
      <c r="R2500" t="str" cm="1">
        <f t="array" ref="R2500">IFERROR(INDEX(DB!O$2:O$2576,P2500),"")</f>
        <v/>
      </c>
      <c r="S2500" t="str">
        <f t="shared" si="117"/>
        <v/>
      </c>
      <c r="T2500" t="str">
        <f t="shared" si="118"/>
        <v/>
      </c>
    </row>
    <row r="2501" spans="1:20" ht="100" customHeight="1">
      <c r="A2501" s="26"/>
      <c r="B2501" s="42" t="str">
        <f t="shared" si="116"/>
        <v/>
      </c>
      <c r="C2501" s="43"/>
      <c r="D2501" s="51" t="str" cm="1">
        <f t="array" ref="D2501">IFERROR(INDEX(DB!G$2:G$2576,T2501),"")</f>
        <v/>
      </c>
      <c r="E2501" s="43"/>
      <c r="F2501" s="52" t="str" cm="1">
        <f t="array" ref="F2501">IFERROR(INDEX(DB!O$2:O$2576,T2501),"")</f>
        <v/>
      </c>
      <c r="G2501" s="43"/>
      <c r="H2501" s="40" t="str" cm="1">
        <f t="array" ref="H2501">IFERROR(INDEX(DB!P$2:P$2576,T2501),"")</f>
        <v/>
      </c>
      <c r="I2501" s="43"/>
      <c r="J2501" s="53" t="str" cm="1">
        <f t="array" ref="J2501">IFERROR(INDEX(DB!Q$2:Q$2576,T2501),"")</f>
        <v/>
      </c>
      <c r="K2501" s="43"/>
      <c r="L2501" s="41" t="str" cm="1">
        <f t="array" ref="L2501">IFERROR(INDEX(DB!R$2:R$2576,T2501),"")</f>
        <v/>
      </c>
      <c r="M2501" s="43"/>
      <c r="P2501" t="str" cm="1">
        <f t="array" ref="P2501">IFERROR(_xlfn.AGGREGATE(15,6,ROW(DB!A$2:A$2576)/((($D$3&lt;&gt;"YES")+($D$3="YES")*(DB!E$2:E$2576="YES"))*(($D$4="")+($D$4&lt;&gt;"")*( DB!B$2:B$2576=$D$4))*(($D$5="")+($D$5&lt;&gt;"")*( DB!C$2:C$2576=$D$5))*(($D$6="")+($D$6&lt;&gt;"")*( DB!D$2:D$2576=$D$6))*(($D$7="")+($D$7&lt;&gt;"")*(ISNUMBER(SEARCH($D$7,DB!G$2:G$2576))))*(($F$7="전체")+($F$7&lt;&gt;"전체")*(DB!H$2:H$2576=$F$7))),ROW()-13)-1,"")</f>
        <v/>
      </c>
      <c r="Q2501" t="str" cm="1">
        <f t="array" ref="Q2501">IFERROR(INDEX(DB!G$2:G$2576,P2501),"")</f>
        <v/>
      </c>
      <c r="R2501" t="str" cm="1">
        <f t="array" ref="R2501">IFERROR(INDEX(DB!O$2:O$2576,P2501),"")</f>
        <v/>
      </c>
      <c r="S2501" t="str">
        <f t="shared" si="117"/>
        <v/>
      </c>
      <c r="T2501" t="str">
        <f t="shared" si="118"/>
        <v/>
      </c>
    </row>
    <row r="2502" spans="1:20" ht="100" customHeight="1">
      <c r="A2502" s="26"/>
      <c r="B2502" s="39" t="str">
        <f t="shared" si="116"/>
        <v/>
      </c>
      <c r="C2502" s="43"/>
      <c r="D2502" s="51" t="str" cm="1">
        <f t="array" ref="D2502">IFERROR(INDEX(DB!G$2:G$2576,T2502),"")</f>
        <v/>
      </c>
      <c r="E2502" s="43"/>
      <c r="F2502" s="52" t="str" cm="1">
        <f t="array" ref="F2502">IFERROR(INDEX(DB!O$2:O$2576,T2502),"")</f>
        <v/>
      </c>
      <c r="G2502" s="43"/>
      <c r="H2502" s="40" t="str" cm="1">
        <f t="array" ref="H2502">IFERROR(INDEX(DB!P$2:P$2576,T2502),"")</f>
        <v/>
      </c>
      <c r="I2502" s="43"/>
      <c r="J2502" s="53" t="str" cm="1">
        <f t="array" ref="J2502">IFERROR(INDEX(DB!Q$2:Q$2576,T2502),"")</f>
        <v/>
      </c>
      <c r="K2502" s="43"/>
      <c r="L2502" s="41" t="str" cm="1">
        <f t="array" ref="L2502">IFERROR(INDEX(DB!R$2:R$2576,T2502),"")</f>
        <v/>
      </c>
      <c r="M2502" s="43"/>
      <c r="P2502" t="str" cm="1">
        <f t="array" ref="P2502">IFERROR(_xlfn.AGGREGATE(15,6,ROW(DB!A$2:A$2576)/((($D$3&lt;&gt;"YES")+($D$3="YES")*(DB!E$2:E$2576="YES"))*(($D$4="")+($D$4&lt;&gt;"")*( DB!B$2:B$2576=$D$4))*(($D$5="")+($D$5&lt;&gt;"")*( DB!C$2:C$2576=$D$5))*(($D$6="")+($D$6&lt;&gt;"")*( DB!D$2:D$2576=$D$6))*(($D$7="")+($D$7&lt;&gt;"")*(ISNUMBER(SEARCH($D$7,DB!G$2:G$2576))))*(($F$7="전체")+($F$7&lt;&gt;"전체")*(DB!H$2:H$2576=$F$7))),ROW()-13)-1,"")</f>
        <v/>
      </c>
      <c r="Q2502" t="str" cm="1">
        <f t="array" ref="Q2502">IFERROR(INDEX(DB!G$2:G$2576,P2502),"")</f>
        <v/>
      </c>
      <c r="R2502" t="str" cm="1">
        <f t="array" ref="R2502">IFERROR(INDEX(DB!O$2:O$2576,P2502),"")</f>
        <v/>
      </c>
      <c r="S2502" t="str">
        <f t="shared" si="117"/>
        <v/>
      </c>
      <c r="T2502" t="str">
        <f t="shared" si="118"/>
        <v/>
      </c>
    </row>
    <row r="2503" spans="1:20" ht="100" customHeight="1">
      <c r="A2503" s="26"/>
      <c r="B2503" s="42" t="str">
        <f t="shared" si="116"/>
        <v/>
      </c>
      <c r="C2503" s="43"/>
      <c r="D2503" s="51" t="str" cm="1">
        <f t="array" ref="D2503">IFERROR(INDEX(DB!G$2:G$2576,T2503),"")</f>
        <v/>
      </c>
      <c r="E2503" s="43"/>
      <c r="F2503" s="52" t="str" cm="1">
        <f t="array" ref="F2503">IFERROR(INDEX(DB!O$2:O$2576,T2503),"")</f>
        <v/>
      </c>
      <c r="G2503" s="43"/>
      <c r="H2503" s="40" t="str" cm="1">
        <f t="array" ref="H2503">IFERROR(INDEX(DB!P$2:P$2576,T2503),"")</f>
        <v/>
      </c>
      <c r="I2503" s="43"/>
      <c r="J2503" s="53" t="str" cm="1">
        <f t="array" ref="J2503">IFERROR(INDEX(DB!Q$2:Q$2576,T2503),"")</f>
        <v/>
      </c>
      <c r="K2503" s="43"/>
      <c r="L2503" s="41" t="str" cm="1">
        <f t="array" ref="L2503">IFERROR(INDEX(DB!R$2:R$2576,T2503),"")</f>
        <v/>
      </c>
      <c r="M2503" s="43"/>
      <c r="P2503" t="str" cm="1">
        <f t="array" ref="P2503">IFERROR(_xlfn.AGGREGATE(15,6,ROW(DB!A$2:A$2576)/((($D$3&lt;&gt;"YES")+($D$3="YES")*(DB!E$2:E$2576="YES"))*(($D$4="")+($D$4&lt;&gt;"")*( DB!B$2:B$2576=$D$4))*(($D$5="")+($D$5&lt;&gt;"")*( DB!C$2:C$2576=$D$5))*(($D$6="")+($D$6&lt;&gt;"")*( DB!D$2:D$2576=$D$6))*(($D$7="")+($D$7&lt;&gt;"")*(ISNUMBER(SEARCH($D$7,DB!G$2:G$2576))))*(($F$7="전체")+($F$7&lt;&gt;"전체")*(DB!H$2:H$2576=$F$7))),ROW()-13)-1,"")</f>
        <v/>
      </c>
      <c r="Q2503" t="str" cm="1">
        <f t="array" ref="Q2503">IFERROR(INDEX(DB!G$2:G$2576,P2503),"")</f>
        <v/>
      </c>
      <c r="R2503" t="str" cm="1">
        <f t="array" ref="R2503">IFERROR(INDEX(DB!O$2:O$2576,P2503),"")</f>
        <v/>
      </c>
      <c r="S2503" t="str">
        <f t="shared" si="117"/>
        <v/>
      </c>
      <c r="T2503" t="str">
        <f t="shared" si="118"/>
        <v/>
      </c>
    </row>
    <row r="2504" spans="1:20" ht="100" customHeight="1">
      <c r="A2504" s="26"/>
      <c r="B2504" s="39" t="str">
        <f t="shared" si="116"/>
        <v/>
      </c>
      <c r="C2504" s="43"/>
      <c r="D2504" s="51" t="str" cm="1">
        <f t="array" ref="D2504">IFERROR(INDEX(DB!G$2:G$2576,T2504),"")</f>
        <v/>
      </c>
      <c r="E2504" s="43"/>
      <c r="F2504" s="52" t="str" cm="1">
        <f t="array" ref="F2504">IFERROR(INDEX(DB!O$2:O$2576,T2504),"")</f>
        <v/>
      </c>
      <c r="G2504" s="43"/>
      <c r="H2504" s="40" t="str" cm="1">
        <f t="array" ref="H2504">IFERROR(INDEX(DB!P$2:P$2576,T2504),"")</f>
        <v/>
      </c>
      <c r="I2504" s="43"/>
      <c r="J2504" s="53" t="str" cm="1">
        <f t="array" ref="J2504">IFERROR(INDEX(DB!Q$2:Q$2576,T2504),"")</f>
        <v/>
      </c>
      <c r="K2504" s="43"/>
      <c r="L2504" s="41" t="str" cm="1">
        <f t="array" ref="L2504">IFERROR(INDEX(DB!R$2:R$2576,T2504),"")</f>
        <v/>
      </c>
      <c r="M2504" s="43"/>
      <c r="P2504" t="str" cm="1">
        <f t="array" ref="P2504">IFERROR(_xlfn.AGGREGATE(15,6,ROW(DB!A$2:A$2576)/((($D$3&lt;&gt;"YES")+($D$3="YES")*(DB!E$2:E$2576="YES"))*(($D$4="")+($D$4&lt;&gt;"")*( DB!B$2:B$2576=$D$4))*(($D$5="")+($D$5&lt;&gt;"")*( DB!C$2:C$2576=$D$5))*(($D$6="")+($D$6&lt;&gt;"")*( DB!D$2:D$2576=$D$6))*(($D$7="")+($D$7&lt;&gt;"")*(ISNUMBER(SEARCH($D$7,DB!G$2:G$2576))))*(($F$7="전체")+($F$7&lt;&gt;"전체")*(DB!H$2:H$2576=$F$7))),ROW()-13)-1,"")</f>
        <v/>
      </c>
      <c r="Q2504" t="str" cm="1">
        <f t="array" ref="Q2504">IFERROR(INDEX(DB!G$2:G$2576,P2504),"")</f>
        <v/>
      </c>
      <c r="R2504" t="str" cm="1">
        <f t="array" ref="R2504">IFERROR(INDEX(DB!O$2:O$2576,P2504),"")</f>
        <v/>
      </c>
      <c r="S2504" t="str">
        <f t="shared" si="117"/>
        <v/>
      </c>
      <c r="T2504" t="str">
        <f t="shared" si="118"/>
        <v/>
      </c>
    </row>
    <row r="2505" spans="1:20" ht="100" customHeight="1">
      <c r="A2505" s="26"/>
      <c r="B2505" s="42" t="str">
        <f t="shared" si="116"/>
        <v/>
      </c>
      <c r="C2505" s="43"/>
      <c r="D2505" s="51" t="str" cm="1">
        <f t="array" ref="D2505">IFERROR(INDEX(DB!G$2:G$2576,T2505),"")</f>
        <v/>
      </c>
      <c r="E2505" s="43"/>
      <c r="F2505" s="52" t="str" cm="1">
        <f t="array" ref="F2505">IFERROR(INDEX(DB!O$2:O$2576,T2505),"")</f>
        <v/>
      </c>
      <c r="G2505" s="43"/>
      <c r="H2505" s="40" t="str" cm="1">
        <f t="array" ref="H2505">IFERROR(INDEX(DB!P$2:P$2576,T2505),"")</f>
        <v/>
      </c>
      <c r="I2505" s="43"/>
      <c r="J2505" s="53" t="str" cm="1">
        <f t="array" ref="J2505">IFERROR(INDEX(DB!Q$2:Q$2576,T2505),"")</f>
        <v/>
      </c>
      <c r="K2505" s="43"/>
      <c r="L2505" s="41" t="str" cm="1">
        <f t="array" ref="L2505">IFERROR(INDEX(DB!R$2:R$2576,T2505),"")</f>
        <v/>
      </c>
      <c r="M2505" s="43"/>
      <c r="P2505" t="str" cm="1">
        <f t="array" ref="P2505">IFERROR(_xlfn.AGGREGATE(15,6,ROW(DB!A$2:A$2576)/((($D$3&lt;&gt;"YES")+($D$3="YES")*(DB!E$2:E$2576="YES"))*(($D$4="")+($D$4&lt;&gt;"")*( DB!B$2:B$2576=$D$4))*(($D$5="")+($D$5&lt;&gt;"")*( DB!C$2:C$2576=$D$5))*(($D$6="")+($D$6&lt;&gt;"")*( DB!D$2:D$2576=$D$6))*(($D$7="")+($D$7&lt;&gt;"")*(ISNUMBER(SEARCH($D$7,DB!G$2:G$2576))))*(($F$7="전체")+($F$7&lt;&gt;"전체")*(DB!H$2:H$2576=$F$7))),ROW()-13)-1,"")</f>
        <v/>
      </c>
      <c r="Q2505" t="str" cm="1">
        <f t="array" ref="Q2505">IFERROR(INDEX(DB!G$2:G$2576,P2505),"")</f>
        <v/>
      </c>
      <c r="R2505" t="str" cm="1">
        <f t="array" ref="R2505">IFERROR(INDEX(DB!O$2:O$2576,P2505),"")</f>
        <v/>
      </c>
      <c r="S2505" t="str">
        <f t="shared" si="117"/>
        <v/>
      </c>
      <c r="T2505" t="str">
        <f t="shared" si="118"/>
        <v/>
      </c>
    </row>
    <row r="2506" spans="1:20" ht="100" customHeight="1">
      <c r="A2506" s="26"/>
      <c r="B2506" s="39" t="str">
        <f t="shared" si="116"/>
        <v/>
      </c>
      <c r="C2506" s="43"/>
      <c r="D2506" s="51" t="str" cm="1">
        <f t="array" ref="D2506">IFERROR(INDEX(DB!G$2:G$2576,T2506),"")</f>
        <v/>
      </c>
      <c r="E2506" s="43"/>
      <c r="F2506" s="52" t="str" cm="1">
        <f t="array" ref="F2506">IFERROR(INDEX(DB!O$2:O$2576,T2506),"")</f>
        <v/>
      </c>
      <c r="G2506" s="43"/>
      <c r="H2506" s="40" t="str" cm="1">
        <f t="array" ref="H2506">IFERROR(INDEX(DB!P$2:P$2576,T2506),"")</f>
        <v/>
      </c>
      <c r="I2506" s="43"/>
      <c r="J2506" s="53" t="str" cm="1">
        <f t="array" ref="J2506">IFERROR(INDEX(DB!Q$2:Q$2576,T2506),"")</f>
        <v/>
      </c>
      <c r="K2506" s="43"/>
      <c r="L2506" s="41" t="str" cm="1">
        <f t="array" ref="L2506">IFERROR(INDEX(DB!R$2:R$2576,T2506),"")</f>
        <v/>
      </c>
      <c r="M2506" s="43"/>
      <c r="P2506" t="str" cm="1">
        <f t="array" ref="P2506">IFERROR(_xlfn.AGGREGATE(15,6,ROW(DB!A$2:A$2576)/((($D$3&lt;&gt;"YES")+($D$3="YES")*(DB!E$2:E$2576="YES"))*(($D$4="")+($D$4&lt;&gt;"")*( DB!B$2:B$2576=$D$4))*(($D$5="")+($D$5&lt;&gt;"")*( DB!C$2:C$2576=$D$5))*(($D$6="")+($D$6&lt;&gt;"")*( DB!D$2:D$2576=$D$6))*(($D$7="")+($D$7&lt;&gt;"")*(ISNUMBER(SEARCH($D$7,DB!G$2:G$2576))))*(($F$7="전체")+($F$7&lt;&gt;"전체")*(DB!H$2:H$2576=$F$7))),ROW()-13)-1,"")</f>
        <v/>
      </c>
      <c r="Q2506" t="str" cm="1">
        <f t="array" ref="Q2506">IFERROR(INDEX(DB!G$2:G$2576,P2506),"")</f>
        <v/>
      </c>
      <c r="R2506" t="str" cm="1">
        <f t="array" ref="R2506">IFERROR(INDEX(DB!O$2:O$2576,P2506),"")</f>
        <v/>
      </c>
      <c r="S2506" t="str">
        <f t="shared" si="117"/>
        <v/>
      </c>
      <c r="T2506" t="str">
        <f t="shared" si="118"/>
        <v/>
      </c>
    </row>
    <row r="2507" spans="1:20" ht="100" customHeight="1">
      <c r="A2507" s="26"/>
      <c r="B2507" s="42" t="str">
        <f t="shared" si="116"/>
        <v/>
      </c>
      <c r="C2507" s="43"/>
      <c r="D2507" s="51" t="str" cm="1">
        <f t="array" ref="D2507">IFERROR(INDEX(DB!G$2:G$2576,T2507),"")</f>
        <v/>
      </c>
      <c r="E2507" s="43"/>
      <c r="F2507" s="52" t="str" cm="1">
        <f t="array" ref="F2507">IFERROR(INDEX(DB!O$2:O$2576,T2507),"")</f>
        <v/>
      </c>
      <c r="G2507" s="43"/>
      <c r="H2507" s="40" t="str" cm="1">
        <f t="array" ref="H2507">IFERROR(INDEX(DB!P$2:P$2576,T2507),"")</f>
        <v/>
      </c>
      <c r="I2507" s="43"/>
      <c r="J2507" s="53" t="str" cm="1">
        <f t="array" ref="J2507">IFERROR(INDEX(DB!Q$2:Q$2576,T2507),"")</f>
        <v/>
      </c>
      <c r="K2507" s="43"/>
      <c r="L2507" s="41" t="str" cm="1">
        <f t="array" ref="L2507">IFERROR(INDEX(DB!R$2:R$2576,T2507),"")</f>
        <v/>
      </c>
      <c r="M2507" s="43"/>
      <c r="P2507" t="str" cm="1">
        <f t="array" ref="P2507">IFERROR(_xlfn.AGGREGATE(15,6,ROW(DB!A$2:A$2576)/((($D$3&lt;&gt;"YES")+($D$3="YES")*(DB!E$2:E$2576="YES"))*(($D$4="")+($D$4&lt;&gt;"")*( DB!B$2:B$2576=$D$4))*(($D$5="")+($D$5&lt;&gt;"")*( DB!C$2:C$2576=$D$5))*(($D$6="")+($D$6&lt;&gt;"")*( DB!D$2:D$2576=$D$6))*(($D$7="")+($D$7&lt;&gt;"")*(ISNUMBER(SEARCH($D$7,DB!G$2:G$2576))))*(($F$7="전체")+($F$7&lt;&gt;"전체")*(DB!H$2:H$2576=$F$7))),ROW()-13)-1,"")</f>
        <v/>
      </c>
      <c r="Q2507" t="str" cm="1">
        <f t="array" ref="Q2507">IFERROR(INDEX(DB!G$2:G$2576,P2507),"")</f>
        <v/>
      </c>
      <c r="R2507" t="str" cm="1">
        <f t="array" ref="R2507">IFERROR(INDEX(DB!O$2:O$2576,P2507),"")</f>
        <v/>
      </c>
      <c r="S2507" t="str">
        <f t="shared" si="117"/>
        <v/>
      </c>
      <c r="T2507" t="str">
        <f t="shared" si="118"/>
        <v/>
      </c>
    </row>
    <row r="2508" spans="1:20" ht="100" customHeight="1">
      <c r="A2508" s="26"/>
      <c r="B2508" s="39" t="str">
        <f t="shared" si="116"/>
        <v/>
      </c>
      <c r="C2508" s="43"/>
      <c r="D2508" s="51" t="str" cm="1">
        <f t="array" ref="D2508">IFERROR(INDEX(DB!G$2:G$2576,T2508),"")</f>
        <v/>
      </c>
      <c r="E2508" s="43"/>
      <c r="F2508" s="52" t="str" cm="1">
        <f t="array" ref="F2508">IFERROR(INDEX(DB!O$2:O$2576,T2508),"")</f>
        <v/>
      </c>
      <c r="G2508" s="43"/>
      <c r="H2508" s="40" t="str" cm="1">
        <f t="array" ref="H2508">IFERROR(INDEX(DB!P$2:P$2576,T2508),"")</f>
        <v/>
      </c>
      <c r="I2508" s="43"/>
      <c r="J2508" s="53" t="str" cm="1">
        <f t="array" ref="J2508">IFERROR(INDEX(DB!Q$2:Q$2576,T2508),"")</f>
        <v/>
      </c>
      <c r="K2508" s="43"/>
      <c r="L2508" s="41" t="str" cm="1">
        <f t="array" ref="L2508">IFERROR(INDEX(DB!R$2:R$2576,T2508),"")</f>
        <v/>
      </c>
      <c r="M2508" s="43"/>
      <c r="P2508" t="str" cm="1">
        <f t="array" ref="P2508">IFERROR(_xlfn.AGGREGATE(15,6,ROW(DB!A$2:A$2576)/((($D$3&lt;&gt;"YES")+($D$3="YES")*(DB!E$2:E$2576="YES"))*(($D$4="")+($D$4&lt;&gt;"")*( DB!B$2:B$2576=$D$4))*(($D$5="")+($D$5&lt;&gt;"")*( DB!C$2:C$2576=$D$5))*(($D$6="")+($D$6&lt;&gt;"")*( DB!D$2:D$2576=$D$6))*(($D$7="")+($D$7&lt;&gt;"")*(ISNUMBER(SEARCH($D$7,DB!G$2:G$2576))))*(($F$7="전체")+($F$7&lt;&gt;"전체")*(DB!H$2:H$2576=$F$7))),ROW()-13)-1,"")</f>
        <v/>
      </c>
      <c r="Q2508" t="str" cm="1">
        <f t="array" ref="Q2508">IFERROR(INDEX(DB!G$2:G$2576,P2508),"")</f>
        <v/>
      </c>
      <c r="R2508" t="str" cm="1">
        <f t="array" ref="R2508">IFERROR(INDEX(DB!O$2:O$2576,P2508),"")</f>
        <v/>
      </c>
      <c r="S2508" t="str">
        <f t="shared" si="117"/>
        <v/>
      </c>
      <c r="T2508" t="str">
        <f t="shared" si="118"/>
        <v/>
      </c>
    </row>
    <row r="2509" spans="1:20" ht="100" customHeight="1">
      <c r="A2509" s="26"/>
      <c r="B2509" s="42" t="str">
        <f t="shared" si="116"/>
        <v/>
      </c>
      <c r="C2509" s="43"/>
      <c r="D2509" s="51" t="str" cm="1">
        <f t="array" ref="D2509">IFERROR(INDEX(DB!G$2:G$2576,T2509),"")</f>
        <v/>
      </c>
      <c r="E2509" s="43"/>
      <c r="F2509" s="52" t="str" cm="1">
        <f t="array" ref="F2509">IFERROR(INDEX(DB!O$2:O$2576,T2509),"")</f>
        <v/>
      </c>
      <c r="G2509" s="43"/>
      <c r="H2509" s="40" t="str" cm="1">
        <f t="array" ref="H2509">IFERROR(INDEX(DB!P$2:P$2576,T2509),"")</f>
        <v/>
      </c>
      <c r="I2509" s="43"/>
      <c r="J2509" s="53" t="str" cm="1">
        <f t="array" ref="J2509">IFERROR(INDEX(DB!Q$2:Q$2576,T2509),"")</f>
        <v/>
      </c>
      <c r="K2509" s="43"/>
      <c r="L2509" s="41" t="str" cm="1">
        <f t="array" ref="L2509">IFERROR(INDEX(DB!R$2:R$2576,T2509),"")</f>
        <v/>
      </c>
      <c r="M2509" s="43"/>
      <c r="P2509" t="str" cm="1">
        <f t="array" ref="P2509">IFERROR(_xlfn.AGGREGATE(15,6,ROW(DB!A$2:A$2576)/((($D$3&lt;&gt;"YES")+($D$3="YES")*(DB!E$2:E$2576="YES"))*(($D$4="")+($D$4&lt;&gt;"")*( DB!B$2:B$2576=$D$4))*(($D$5="")+($D$5&lt;&gt;"")*( DB!C$2:C$2576=$D$5))*(($D$6="")+($D$6&lt;&gt;"")*( DB!D$2:D$2576=$D$6))*(($D$7="")+($D$7&lt;&gt;"")*(ISNUMBER(SEARCH($D$7,DB!G$2:G$2576))))*(($F$7="전체")+($F$7&lt;&gt;"전체")*(DB!H$2:H$2576=$F$7))),ROW()-13)-1,"")</f>
        <v/>
      </c>
      <c r="Q2509" t="str" cm="1">
        <f t="array" ref="Q2509">IFERROR(INDEX(DB!G$2:G$2576,P2509),"")</f>
        <v/>
      </c>
      <c r="R2509" t="str" cm="1">
        <f t="array" ref="R2509">IFERROR(INDEX(DB!O$2:O$2576,P2509),"")</f>
        <v/>
      </c>
      <c r="S2509" t="str">
        <f t="shared" si="117"/>
        <v/>
      </c>
      <c r="T2509" t="str">
        <f t="shared" si="118"/>
        <v/>
      </c>
    </row>
    <row r="2510" spans="1:20" ht="100" customHeight="1">
      <c r="A2510" s="26"/>
      <c r="B2510" s="39" t="str">
        <f t="shared" si="116"/>
        <v/>
      </c>
      <c r="C2510" s="43"/>
      <c r="D2510" s="51" t="str" cm="1">
        <f t="array" ref="D2510">IFERROR(INDEX(DB!G$2:G$2576,T2510),"")</f>
        <v/>
      </c>
      <c r="E2510" s="43"/>
      <c r="F2510" s="52" t="str" cm="1">
        <f t="array" ref="F2510">IFERROR(INDEX(DB!O$2:O$2576,T2510),"")</f>
        <v/>
      </c>
      <c r="G2510" s="43"/>
      <c r="H2510" s="40" t="str" cm="1">
        <f t="array" ref="H2510">IFERROR(INDEX(DB!P$2:P$2576,T2510),"")</f>
        <v/>
      </c>
      <c r="I2510" s="43"/>
      <c r="J2510" s="53" t="str" cm="1">
        <f t="array" ref="J2510">IFERROR(INDEX(DB!Q$2:Q$2576,T2510),"")</f>
        <v/>
      </c>
      <c r="K2510" s="43"/>
      <c r="L2510" s="41" t="str" cm="1">
        <f t="array" ref="L2510">IFERROR(INDEX(DB!R$2:R$2576,T2510),"")</f>
        <v/>
      </c>
      <c r="M2510" s="43"/>
      <c r="P2510" t="str" cm="1">
        <f t="array" ref="P2510">IFERROR(_xlfn.AGGREGATE(15,6,ROW(DB!A$2:A$2576)/((($D$3&lt;&gt;"YES")+($D$3="YES")*(DB!E$2:E$2576="YES"))*(($D$4="")+($D$4&lt;&gt;"")*( DB!B$2:B$2576=$D$4))*(($D$5="")+($D$5&lt;&gt;"")*( DB!C$2:C$2576=$D$5))*(($D$6="")+($D$6&lt;&gt;"")*( DB!D$2:D$2576=$D$6))*(($D$7="")+($D$7&lt;&gt;"")*(ISNUMBER(SEARCH($D$7,DB!G$2:G$2576))))*(($F$7="전체")+($F$7&lt;&gt;"전체")*(DB!H$2:H$2576=$F$7))),ROW()-13)-1,"")</f>
        <v/>
      </c>
      <c r="Q2510" t="str" cm="1">
        <f t="array" ref="Q2510">IFERROR(INDEX(DB!G$2:G$2576,P2510),"")</f>
        <v/>
      </c>
      <c r="R2510" t="str" cm="1">
        <f t="array" ref="R2510">IFERROR(INDEX(DB!O$2:O$2576,P2510),"")</f>
        <v/>
      </c>
      <c r="S2510" t="str">
        <f t="shared" si="117"/>
        <v/>
      </c>
      <c r="T2510" t="str">
        <f t="shared" si="118"/>
        <v/>
      </c>
    </row>
    <row r="2511" spans="1:20" ht="100" customHeight="1">
      <c r="A2511" s="26"/>
      <c r="B2511" s="42" t="str">
        <f t="shared" ref="B2511:B2574" si="119">IFERROR(IF(T2511="","",ROW()-13),"")</f>
        <v/>
      </c>
      <c r="C2511" s="43"/>
      <c r="D2511" s="51" t="str" cm="1">
        <f t="array" ref="D2511">IFERROR(INDEX(DB!G$2:G$2576,T2511),"")</f>
        <v/>
      </c>
      <c r="E2511" s="43"/>
      <c r="F2511" s="52" t="str" cm="1">
        <f t="array" ref="F2511">IFERROR(INDEX(DB!O$2:O$2576,T2511),"")</f>
        <v/>
      </c>
      <c r="G2511" s="43"/>
      <c r="H2511" s="40" t="str" cm="1">
        <f t="array" ref="H2511">IFERROR(INDEX(DB!P$2:P$2576,T2511),"")</f>
        <v/>
      </c>
      <c r="I2511" s="43"/>
      <c r="J2511" s="53" t="str" cm="1">
        <f t="array" ref="J2511">IFERROR(INDEX(DB!Q$2:Q$2576,T2511),"")</f>
        <v/>
      </c>
      <c r="K2511" s="43"/>
      <c r="L2511" s="41" t="str" cm="1">
        <f t="array" ref="L2511">IFERROR(INDEX(DB!R$2:R$2576,T2511),"")</f>
        <v/>
      </c>
      <c r="M2511" s="43"/>
      <c r="P2511" t="str" cm="1">
        <f t="array" ref="P2511">IFERROR(_xlfn.AGGREGATE(15,6,ROW(DB!A$2:A$2576)/((($D$3&lt;&gt;"YES")+($D$3="YES")*(DB!E$2:E$2576="YES"))*(($D$4="")+($D$4&lt;&gt;"")*( DB!B$2:B$2576=$D$4))*(($D$5="")+($D$5&lt;&gt;"")*( DB!C$2:C$2576=$D$5))*(($D$6="")+($D$6&lt;&gt;"")*( DB!D$2:D$2576=$D$6))*(($D$7="")+($D$7&lt;&gt;"")*(ISNUMBER(SEARCH($D$7,DB!G$2:G$2576))))*(($F$7="전체")+($F$7&lt;&gt;"전체")*(DB!H$2:H$2576=$F$7))),ROW()-13)-1,"")</f>
        <v/>
      </c>
      <c r="Q2511" t="str" cm="1">
        <f t="array" ref="Q2511">IFERROR(INDEX(DB!G$2:G$2576,P2511),"")</f>
        <v/>
      </c>
      <c r="R2511" t="str" cm="1">
        <f t="array" ref="R2511">IFERROR(INDEX(DB!O$2:O$2576,P2511),"")</f>
        <v/>
      </c>
      <c r="S2511" t="str">
        <f t="shared" ref="S2511:S2574" si="120">IF(P2511="","",COUNTIF($Q$14:$Q$2587,"&lt;"&amp;Q2511)*100+COUNTIF($R$14:$R$2587,"&lt;"&amp;R2511)+(ROW()-13)*0.001)</f>
        <v/>
      </c>
      <c r="T2511" t="str">
        <f t="shared" ref="T2511:T2574" si="121">IFERROR(INDEX($P$14:$P$2587,MATCH(SMALL($S$14:$S$2587,ROW()-13),$S$14:$S$2587,0)),"")</f>
        <v/>
      </c>
    </row>
    <row r="2512" spans="1:20" ht="100" customHeight="1">
      <c r="A2512" s="26"/>
      <c r="B2512" s="39" t="str">
        <f t="shared" si="119"/>
        <v/>
      </c>
      <c r="C2512" s="43"/>
      <c r="D2512" s="51" t="str" cm="1">
        <f t="array" ref="D2512">IFERROR(INDEX(DB!G$2:G$2576,T2512),"")</f>
        <v/>
      </c>
      <c r="E2512" s="43"/>
      <c r="F2512" s="52" t="str" cm="1">
        <f t="array" ref="F2512">IFERROR(INDEX(DB!O$2:O$2576,T2512),"")</f>
        <v/>
      </c>
      <c r="G2512" s="43"/>
      <c r="H2512" s="40" t="str" cm="1">
        <f t="array" ref="H2512">IFERROR(INDEX(DB!P$2:P$2576,T2512),"")</f>
        <v/>
      </c>
      <c r="I2512" s="43"/>
      <c r="J2512" s="53" t="str" cm="1">
        <f t="array" ref="J2512">IFERROR(INDEX(DB!Q$2:Q$2576,T2512),"")</f>
        <v/>
      </c>
      <c r="K2512" s="43"/>
      <c r="L2512" s="41" t="str" cm="1">
        <f t="array" ref="L2512">IFERROR(INDEX(DB!R$2:R$2576,T2512),"")</f>
        <v/>
      </c>
      <c r="M2512" s="43"/>
      <c r="P2512" t="str" cm="1">
        <f t="array" ref="P2512">IFERROR(_xlfn.AGGREGATE(15,6,ROW(DB!A$2:A$2576)/((($D$3&lt;&gt;"YES")+($D$3="YES")*(DB!E$2:E$2576="YES"))*(($D$4="")+($D$4&lt;&gt;"")*( DB!B$2:B$2576=$D$4))*(($D$5="")+($D$5&lt;&gt;"")*( DB!C$2:C$2576=$D$5))*(($D$6="")+($D$6&lt;&gt;"")*( DB!D$2:D$2576=$D$6))*(($D$7="")+($D$7&lt;&gt;"")*(ISNUMBER(SEARCH($D$7,DB!G$2:G$2576))))*(($F$7="전체")+($F$7&lt;&gt;"전체")*(DB!H$2:H$2576=$F$7))),ROW()-13)-1,"")</f>
        <v/>
      </c>
      <c r="Q2512" t="str" cm="1">
        <f t="array" ref="Q2512">IFERROR(INDEX(DB!G$2:G$2576,P2512),"")</f>
        <v/>
      </c>
      <c r="R2512" t="str" cm="1">
        <f t="array" ref="R2512">IFERROR(INDEX(DB!O$2:O$2576,P2512),"")</f>
        <v/>
      </c>
      <c r="S2512" t="str">
        <f t="shared" si="120"/>
        <v/>
      </c>
      <c r="T2512" t="str">
        <f t="shared" si="121"/>
        <v/>
      </c>
    </row>
    <row r="2513" spans="1:20" ht="100" customHeight="1">
      <c r="A2513" s="26"/>
      <c r="B2513" s="42" t="str">
        <f t="shared" si="119"/>
        <v/>
      </c>
      <c r="C2513" s="43"/>
      <c r="D2513" s="51" t="str" cm="1">
        <f t="array" ref="D2513">IFERROR(INDEX(DB!G$2:G$2576,T2513),"")</f>
        <v/>
      </c>
      <c r="E2513" s="43"/>
      <c r="F2513" s="52" t="str" cm="1">
        <f t="array" ref="F2513">IFERROR(INDEX(DB!O$2:O$2576,T2513),"")</f>
        <v/>
      </c>
      <c r="G2513" s="43"/>
      <c r="H2513" s="40" t="str" cm="1">
        <f t="array" ref="H2513">IFERROR(INDEX(DB!P$2:P$2576,T2513),"")</f>
        <v/>
      </c>
      <c r="I2513" s="43"/>
      <c r="J2513" s="53" t="str" cm="1">
        <f t="array" ref="J2513">IFERROR(INDEX(DB!Q$2:Q$2576,T2513),"")</f>
        <v/>
      </c>
      <c r="K2513" s="43"/>
      <c r="L2513" s="41" t="str" cm="1">
        <f t="array" ref="L2513">IFERROR(INDEX(DB!R$2:R$2576,T2513),"")</f>
        <v/>
      </c>
      <c r="M2513" s="43"/>
      <c r="P2513" t="str" cm="1">
        <f t="array" ref="P2513">IFERROR(_xlfn.AGGREGATE(15,6,ROW(DB!A$2:A$2576)/((($D$3&lt;&gt;"YES")+($D$3="YES")*(DB!E$2:E$2576="YES"))*(($D$4="")+($D$4&lt;&gt;"")*( DB!B$2:B$2576=$D$4))*(($D$5="")+($D$5&lt;&gt;"")*( DB!C$2:C$2576=$D$5))*(($D$6="")+($D$6&lt;&gt;"")*( DB!D$2:D$2576=$D$6))*(($D$7="")+($D$7&lt;&gt;"")*(ISNUMBER(SEARCH($D$7,DB!G$2:G$2576))))*(($F$7="전체")+($F$7&lt;&gt;"전체")*(DB!H$2:H$2576=$F$7))),ROW()-13)-1,"")</f>
        <v/>
      </c>
      <c r="Q2513" t="str" cm="1">
        <f t="array" ref="Q2513">IFERROR(INDEX(DB!G$2:G$2576,P2513),"")</f>
        <v/>
      </c>
      <c r="R2513" t="str" cm="1">
        <f t="array" ref="R2513">IFERROR(INDEX(DB!O$2:O$2576,P2513),"")</f>
        <v/>
      </c>
      <c r="S2513" t="str">
        <f t="shared" si="120"/>
        <v/>
      </c>
      <c r="T2513" t="str">
        <f t="shared" si="121"/>
        <v/>
      </c>
    </row>
    <row r="2514" spans="1:20" ht="100" customHeight="1">
      <c r="A2514" s="26"/>
      <c r="B2514" s="39" t="str">
        <f t="shared" si="119"/>
        <v/>
      </c>
      <c r="C2514" s="43"/>
      <c r="D2514" s="51" t="str" cm="1">
        <f t="array" ref="D2514">IFERROR(INDEX(DB!G$2:G$2576,T2514),"")</f>
        <v/>
      </c>
      <c r="E2514" s="43"/>
      <c r="F2514" s="52" t="str" cm="1">
        <f t="array" ref="F2514">IFERROR(INDEX(DB!O$2:O$2576,T2514),"")</f>
        <v/>
      </c>
      <c r="G2514" s="43"/>
      <c r="H2514" s="40" t="str" cm="1">
        <f t="array" ref="H2514">IFERROR(INDEX(DB!P$2:P$2576,T2514),"")</f>
        <v/>
      </c>
      <c r="I2514" s="43"/>
      <c r="J2514" s="53" t="str" cm="1">
        <f t="array" ref="J2514">IFERROR(INDEX(DB!Q$2:Q$2576,T2514),"")</f>
        <v/>
      </c>
      <c r="K2514" s="43"/>
      <c r="L2514" s="41" t="str" cm="1">
        <f t="array" ref="L2514">IFERROR(INDEX(DB!R$2:R$2576,T2514),"")</f>
        <v/>
      </c>
      <c r="M2514" s="43"/>
      <c r="P2514" t="str" cm="1">
        <f t="array" ref="P2514">IFERROR(_xlfn.AGGREGATE(15,6,ROW(DB!A$2:A$2576)/((($D$3&lt;&gt;"YES")+($D$3="YES")*(DB!E$2:E$2576="YES"))*(($D$4="")+($D$4&lt;&gt;"")*( DB!B$2:B$2576=$D$4))*(($D$5="")+($D$5&lt;&gt;"")*( DB!C$2:C$2576=$D$5))*(($D$6="")+($D$6&lt;&gt;"")*( DB!D$2:D$2576=$D$6))*(($D$7="")+($D$7&lt;&gt;"")*(ISNUMBER(SEARCH($D$7,DB!G$2:G$2576))))*(($F$7="전체")+($F$7&lt;&gt;"전체")*(DB!H$2:H$2576=$F$7))),ROW()-13)-1,"")</f>
        <v/>
      </c>
      <c r="Q2514" t="str" cm="1">
        <f t="array" ref="Q2514">IFERROR(INDEX(DB!G$2:G$2576,P2514),"")</f>
        <v/>
      </c>
      <c r="R2514" t="str" cm="1">
        <f t="array" ref="R2514">IFERROR(INDEX(DB!O$2:O$2576,P2514),"")</f>
        <v/>
      </c>
      <c r="S2514" t="str">
        <f t="shared" si="120"/>
        <v/>
      </c>
      <c r="T2514" t="str">
        <f t="shared" si="121"/>
        <v/>
      </c>
    </row>
    <row r="2515" spans="1:20" ht="100" customHeight="1">
      <c r="A2515" s="26"/>
      <c r="B2515" s="42" t="str">
        <f t="shared" si="119"/>
        <v/>
      </c>
      <c r="C2515" s="43"/>
      <c r="D2515" s="51" t="str" cm="1">
        <f t="array" ref="D2515">IFERROR(INDEX(DB!G$2:G$2576,T2515),"")</f>
        <v/>
      </c>
      <c r="E2515" s="43"/>
      <c r="F2515" s="52" t="str" cm="1">
        <f t="array" ref="F2515">IFERROR(INDEX(DB!O$2:O$2576,T2515),"")</f>
        <v/>
      </c>
      <c r="G2515" s="43"/>
      <c r="H2515" s="40" t="str" cm="1">
        <f t="array" ref="H2515">IFERROR(INDEX(DB!P$2:P$2576,T2515),"")</f>
        <v/>
      </c>
      <c r="I2515" s="43"/>
      <c r="J2515" s="53" t="str" cm="1">
        <f t="array" ref="J2515">IFERROR(INDEX(DB!Q$2:Q$2576,T2515),"")</f>
        <v/>
      </c>
      <c r="K2515" s="43"/>
      <c r="L2515" s="41" t="str" cm="1">
        <f t="array" ref="L2515">IFERROR(INDEX(DB!R$2:R$2576,T2515),"")</f>
        <v/>
      </c>
      <c r="M2515" s="43"/>
      <c r="P2515" t="str" cm="1">
        <f t="array" ref="P2515">IFERROR(_xlfn.AGGREGATE(15,6,ROW(DB!A$2:A$2576)/((($D$3&lt;&gt;"YES")+($D$3="YES")*(DB!E$2:E$2576="YES"))*(($D$4="")+($D$4&lt;&gt;"")*( DB!B$2:B$2576=$D$4))*(($D$5="")+($D$5&lt;&gt;"")*( DB!C$2:C$2576=$D$5))*(($D$6="")+($D$6&lt;&gt;"")*( DB!D$2:D$2576=$D$6))*(($D$7="")+($D$7&lt;&gt;"")*(ISNUMBER(SEARCH($D$7,DB!G$2:G$2576))))*(($F$7="전체")+($F$7&lt;&gt;"전체")*(DB!H$2:H$2576=$F$7))),ROW()-13)-1,"")</f>
        <v/>
      </c>
      <c r="Q2515" t="str" cm="1">
        <f t="array" ref="Q2515">IFERROR(INDEX(DB!G$2:G$2576,P2515),"")</f>
        <v/>
      </c>
      <c r="R2515" t="str" cm="1">
        <f t="array" ref="R2515">IFERROR(INDEX(DB!O$2:O$2576,P2515),"")</f>
        <v/>
      </c>
      <c r="S2515" t="str">
        <f t="shared" si="120"/>
        <v/>
      </c>
      <c r="T2515" t="str">
        <f t="shared" si="121"/>
        <v/>
      </c>
    </row>
    <row r="2516" spans="1:20" ht="100" customHeight="1">
      <c r="A2516" s="26"/>
      <c r="B2516" s="39" t="str">
        <f t="shared" si="119"/>
        <v/>
      </c>
      <c r="C2516" s="43"/>
      <c r="D2516" s="51" t="str" cm="1">
        <f t="array" ref="D2516">IFERROR(INDEX(DB!G$2:G$2576,T2516),"")</f>
        <v/>
      </c>
      <c r="E2516" s="43"/>
      <c r="F2516" s="52" t="str" cm="1">
        <f t="array" ref="F2516">IFERROR(INDEX(DB!O$2:O$2576,T2516),"")</f>
        <v/>
      </c>
      <c r="G2516" s="43"/>
      <c r="H2516" s="40" t="str" cm="1">
        <f t="array" ref="H2516">IFERROR(INDEX(DB!P$2:P$2576,T2516),"")</f>
        <v/>
      </c>
      <c r="I2516" s="43"/>
      <c r="J2516" s="53" t="str" cm="1">
        <f t="array" ref="J2516">IFERROR(INDEX(DB!Q$2:Q$2576,T2516),"")</f>
        <v/>
      </c>
      <c r="K2516" s="43"/>
      <c r="L2516" s="41" t="str" cm="1">
        <f t="array" ref="L2516">IFERROR(INDEX(DB!R$2:R$2576,T2516),"")</f>
        <v/>
      </c>
      <c r="M2516" s="43"/>
      <c r="P2516" t="str" cm="1">
        <f t="array" ref="P2516">IFERROR(_xlfn.AGGREGATE(15,6,ROW(DB!A$2:A$2576)/((($D$3&lt;&gt;"YES")+($D$3="YES")*(DB!E$2:E$2576="YES"))*(($D$4="")+($D$4&lt;&gt;"")*( DB!B$2:B$2576=$D$4))*(($D$5="")+($D$5&lt;&gt;"")*( DB!C$2:C$2576=$D$5))*(($D$6="")+($D$6&lt;&gt;"")*( DB!D$2:D$2576=$D$6))*(($D$7="")+($D$7&lt;&gt;"")*(ISNUMBER(SEARCH($D$7,DB!G$2:G$2576))))*(($F$7="전체")+($F$7&lt;&gt;"전체")*(DB!H$2:H$2576=$F$7))),ROW()-13)-1,"")</f>
        <v/>
      </c>
      <c r="Q2516" t="str" cm="1">
        <f t="array" ref="Q2516">IFERROR(INDEX(DB!G$2:G$2576,P2516),"")</f>
        <v/>
      </c>
      <c r="R2516" t="str" cm="1">
        <f t="array" ref="R2516">IFERROR(INDEX(DB!O$2:O$2576,P2516),"")</f>
        <v/>
      </c>
      <c r="S2516" t="str">
        <f t="shared" si="120"/>
        <v/>
      </c>
      <c r="T2516" t="str">
        <f t="shared" si="121"/>
        <v/>
      </c>
    </row>
    <row r="2517" spans="1:20" ht="100" customHeight="1">
      <c r="A2517" s="26"/>
      <c r="B2517" s="42" t="str">
        <f t="shared" si="119"/>
        <v/>
      </c>
      <c r="C2517" s="43"/>
      <c r="D2517" s="51" t="str" cm="1">
        <f t="array" ref="D2517">IFERROR(INDEX(DB!G$2:G$2576,T2517),"")</f>
        <v/>
      </c>
      <c r="E2517" s="43"/>
      <c r="F2517" s="52" t="str" cm="1">
        <f t="array" ref="F2517">IFERROR(INDEX(DB!O$2:O$2576,T2517),"")</f>
        <v/>
      </c>
      <c r="G2517" s="43"/>
      <c r="H2517" s="40" t="str" cm="1">
        <f t="array" ref="H2517">IFERROR(INDEX(DB!P$2:P$2576,T2517),"")</f>
        <v/>
      </c>
      <c r="I2517" s="43"/>
      <c r="J2517" s="53" t="str" cm="1">
        <f t="array" ref="J2517">IFERROR(INDEX(DB!Q$2:Q$2576,T2517),"")</f>
        <v/>
      </c>
      <c r="K2517" s="43"/>
      <c r="L2517" s="41" t="str" cm="1">
        <f t="array" ref="L2517">IFERROR(INDEX(DB!R$2:R$2576,T2517),"")</f>
        <v/>
      </c>
      <c r="M2517" s="43"/>
      <c r="P2517" t="str" cm="1">
        <f t="array" ref="P2517">IFERROR(_xlfn.AGGREGATE(15,6,ROW(DB!A$2:A$2576)/((($D$3&lt;&gt;"YES")+($D$3="YES")*(DB!E$2:E$2576="YES"))*(($D$4="")+($D$4&lt;&gt;"")*( DB!B$2:B$2576=$D$4))*(($D$5="")+($D$5&lt;&gt;"")*( DB!C$2:C$2576=$D$5))*(($D$6="")+($D$6&lt;&gt;"")*( DB!D$2:D$2576=$D$6))*(($D$7="")+($D$7&lt;&gt;"")*(ISNUMBER(SEARCH($D$7,DB!G$2:G$2576))))*(($F$7="전체")+($F$7&lt;&gt;"전체")*(DB!H$2:H$2576=$F$7))),ROW()-13)-1,"")</f>
        <v/>
      </c>
      <c r="Q2517" t="str" cm="1">
        <f t="array" ref="Q2517">IFERROR(INDEX(DB!G$2:G$2576,P2517),"")</f>
        <v/>
      </c>
      <c r="R2517" t="str" cm="1">
        <f t="array" ref="R2517">IFERROR(INDEX(DB!O$2:O$2576,P2517),"")</f>
        <v/>
      </c>
      <c r="S2517" t="str">
        <f t="shared" si="120"/>
        <v/>
      </c>
      <c r="T2517" t="str">
        <f t="shared" si="121"/>
        <v/>
      </c>
    </row>
    <row r="2518" spans="1:20" ht="100" customHeight="1">
      <c r="A2518" s="26"/>
      <c r="B2518" s="39" t="str">
        <f t="shared" si="119"/>
        <v/>
      </c>
      <c r="C2518" s="43"/>
      <c r="D2518" s="51" t="str" cm="1">
        <f t="array" ref="D2518">IFERROR(INDEX(DB!G$2:G$2576,T2518),"")</f>
        <v/>
      </c>
      <c r="E2518" s="43"/>
      <c r="F2518" s="52" t="str" cm="1">
        <f t="array" ref="F2518">IFERROR(INDEX(DB!O$2:O$2576,T2518),"")</f>
        <v/>
      </c>
      <c r="G2518" s="43"/>
      <c r="H2518" s="40" t="str" cm="1">
        <f t="array" ref="H2518">IFERROR(INDEX(DB!P$2:P$2576,T2518),"")</f>
        <v/>
      </c>
      <c r="I2518" s="43"/>
      <c r="J2518" s="53" t="str" cm="1">
        <f t="array" ref="J2518">IFERROR(INDEX(DB!Q$2:Q$2576,T2518),"")</f>
        <v/>
      </c>
      <c r="K2518" s="43"/>
      <c r="L2518" s="41" t="str" cm="1">
        <f t="array" ref="L2518">IFERROR(INDEX(DB!R$2:R$2576,T2518),"")</f>
        <v/>
      </c>
      <c r="M2518" s="43"/>
      <c r="P2518" t="str" cm="1">
        <f t="array" ref="P2518">IFERROR(_xlfn.AGGREGATE(15,6,ROW(DB!A$2:A$2576)/((($D$3&lt;&gt;"YES")+($D$3="YES")*(DB!E$2:E$2576="YES"))*(($D$4="")+($D$4&lt;&gt;"")*( DB!B$2:B$2576=$D$4))*(($D$5="")+($D$5&lt;&gt;"")*( DB!C$2:C$2576=$D$5))*(($D$6="")+($D$6&lt;&gt;"")*( DB!D$2:D$2576=$D$6))*(($D$7="")+($D$7&lt;&gt;"")*(ISNUMBER(SEARCH($D$7,DB!G$2:G$2576))))*(($F$7="전체")+($F$7&lt;&gt;"전체")*(DB!H$2:H$2576=$F$7))),ROW()-13)-1,"")</f>
        <v/>
      </c>
      <c r="Q2518" t="str" cm="1">
        <f t="array" ref="Q2518">IFERROR(INDEX(DB!G$2:G$2576,P2518),"")</f>
        <v/>
      </c>
      <c r="R2518" t="str" cm="1">
        <f t="array" ref="R2518">IFERROR(INDEX(DB!O$2:O$2576,P2518),"")</f>
        <v/>
      </c>
      <c r="S2518" t="str">
        <f t="shared" si="120"/>
        <v/>
      </c>
      <c r="T2518" t="str">
        <f t="shared" si="121"/>
        <v/>
      </c>
    </row>
    <row r="2519" spans="1:20" ht="100" customHeight="1">
      <c r="A2519" s="26"/>
      <c r="B2519" s="42" t="str">
        <f t="shared" si="119"/>
        <v/>
      </c>
      <c r="C2519" s="43"/>
      <c r="D2519" s="51" t="str" cm="1">
        <f t="array" ref="D2519">IFERROR(INDEX(DB!G$2:G$2576,T2519),"")</f>
        <v/>
      </c>
      <c r="E2519" s="43"/>
      <c r="F2519" s="52" t="str" cm="1">
        <f t="array" ref="F2519">IFERROR(INDEX(DB!O$2:O$2576,T2519),"")</f>
        <v/>
      </c>
      <c r="G2519" s="43"/>
      <c r="H2519" s="40" t="str" cm="1">
        <f t="array" ref="H2519">IFERROR(INDEX(DB!P$2:P$2576,T2519),"")</f>
        <v/>
      </c>
      <c r="I2519" s="43"/>
      <c r="J2519" s="53" t="str" cm="1">
        <f t="array" ref="J2519">IFERROR(INDEX(DB!Q$2:Q$2576,T2519),"")</f>
        <v/>
      </c>
      <c r="K2519" s="43"/>
      <c r="L2519" s="41" t="str" cm="1">
        <f t="array" ref="L2519">IFERROR(INDEX(DB!R$2:R$2576,T2519),"")</f>
        <v/>
      </c>
      <c r="M2519" s="43"/>
      <c r="P2519" t="str" cm="1">
        <f t="array" ref="P2519">IFERROR(_xlfn.AGGREGATE(15,6,ROW(DB!A$2:A$2576)/((($D$3&lt;&gt;"YES")+($D$3="YES")*(DB!E$2:E$2576="YES"))*(($D$4="")+($D$4&lt;&gt;"")*( DB!B$2:B$2576=$D$4))*(($D$5="")+($D$5&lt;&gt;"")*( DB!C$2:C$2576=$D$5))*(($D$6="")+($D$6&lt;&gt;"")*( DB!D$2:D$2576=$D$6))*(($D$7="")+($D$7&lt;&gt;"")*(ISNUMBER(SEARCH($D$7,DB!G$2:G$2576))))*(($F$7="전체")+($F$7&lt;&gt;"전체")*(DB!H$2:H$2576=$F$7))),ROW()-13)-1,"")</f>
        <v/>
      </c>
      <c r="Q2519" t="str" cm="1">
        <f t="array" ref="Q2519">IFERROR(INDEX(DB!G$2:G$2576,P2519),"")</f>
        <v/>
      </c>
      <c r="R2519" t="str" cm="1">
        <f t="array" ref="R2519">IFERROR(INDEX(DB!O$2:O$2576,P2519),"")</f>
        <v/>
      </c>
      <c r="S2519" t="str">
        <f t="shared" si="120"/>
        <v/>
      </c>
      <c r="T2519" t="str">
        <f t="shared" si="121"/>
        <v/>
      </c>
    </row>
    <row r="2520" spans="1:20" ht="100" customHeight="1">
      <c r="A2520" s="26"/>
      <c r="B2520" s="39" t="str">
        <f t="shared" si="119"/>
        <v/>
      </c>
      <c r="C2520" s="43"/>
      <c r="D2520" s="51" t="str" cm="1">
        <f t="array" ref="D2520">IFERROR(INDEX(DB!G$2:G$2576,T2520),"")</f>
        <v/>
      </c>
      <c r="E2520" s="43"/>
      <c r="F2520" s="52" t="str" cm="1">
        <f t="array" ref="F2520">IFERROR(INDEX(DB!O$2:O$2576,T2520),"")</f>
        <v/>
      </c>
      <c r="G2520" s="43"/>
      <c r="H2520" s="40" t="str" cm="1">
        <f t="array" ref="H2520">IFERROR(INDEX(DB!P$2:P$2576,T2520),"")</f>
        <v/>
      </c>
      <c r="I2520" s="43"/>
      <c r="J2520" s="53" t="str" cm="1">
        <f t="array" ref="J2520">IFERROR(INDEX(DB!Q$2:Q$2576,T2520),"")</f>
        <v/>
      </c>
      <c r="K2520" s="43"/>
      <c r="L2520" s="41" t="str" cm="1">
        <f t="array" ref="L2520">IFERROR(INDEX(DB!R$2:R$2576,T2520),"")</f>
        <v/>
      </c>
      <c r="M2520" s="43"/>
      <c r="P2520" t="str" cm="1">
        <f t="array" ref="P2520">IFERROR(_xlfn.AGGREGATE(15,6,ROW(DB!A$2:A$2576)/((($D$3&lt;&gt;"YES")+($D$3="YES")*(DB!E$2:E$2576="YES"))*(($D$4="")+($D$4&lt;&gt;"")*( DB!B$2:B$2576=$D$4))*(($D$5="")+($D$5&lt;&gt;"")*( DB!C$2:C$2576=$D$5))*(($D$6="")+($D$6&lt;&gt;"")*( DB!D$2:D$2576=$D$6))*(($D$7="")+($D$7&lt;&gt;"")*(ISNUMBER(SEARCH($D$7,DB!G$2:G$2576))))*(($F$7="전체")+($F$7&lt;&gt;"전체")*(DB!H$2:H$2576=$F$7))),ROW()-13)-1,"")</f>
        <v/>
      </c>
      <c r="Q2520" t="str" cm="1">
        <f t="array" ref="Q2520">IFERROR(INDEX(DB!G$2:G$2576,P2520),"")</f>
        <v/>
      </c>
      <c r="R2520" t="str" cm="1">
        <f t="array" ref="R2520">IFERROR(INDEX(DB!O$2:O$2576,P2520),"")</f>
        <v/>
      </c>
      <c r="S2520" t="str">
        <f t="shared" si="120"/>
        <v/>
      </c>
      <c r="T2520" t="str">
        <f t="shared" si="121"/>
        <v/>
      </c>
    </row>
    <row r="2521" spans="1:20" ht="100" customHeight="1">
      <c r="A2521" s="26"/>
      <c r="B2521" s="42" t="str">
        <f t="shared" si="119"/>
        <v/>
      </c>
      <c r="C2521" s="43"/>
      <c r="D2521" s="51" t="str" cm="1">
        <f t="array" ref="D2521">IFERROR(INDEX(DB!G$2:G$2576,T2521),"")</f>
        <v/>
      </c>
      <c r="E2521" s="43"/>
      <c r="F2521" s="52" t="str" cm="1">
        <f t="array" ref="F2521">IFERROR(INDEX(DB!O$2:O$2576,T2521),"")</f>
        <v/>
      </c>
      <c r="G2521" s="43"/>
      <c r="H2521" s="40" t="str" cm="1">
        <f t="array" ref="H2521">IFERROR(INDEX(DB!P$2:P$2576,T2521),"")</f>
        <v/>
      </c>
      <c r="I2521" s="43"/>
      <c r="J2521" s="53" t="str" cm="1">
        <f t="array" ref="J2521">IFERROR(INDEX(DB!Q$2:Q$2576,T2521),"")</f>
        <v/>
      </c>
      <c r="K2521" s="43"/>
      <c r="L2521" s="41" t="str" cm="1">
        <f t="array" ref="L2521">IFERROR(INDEX(DB!R$2:R$2576,T2521),"")</f>
        <v/>
      </c>
      <c r="M2521" s="43"/>
      <c r="P2521" t="str" cm="1">
        <f t="array" ref="P2521">IFERROR(_xlfn.AGGREGATE(15,6,ROW(DB!A$2:A$2576)/((($D$3&lt;&gt;"YES")+($D$3="YES")*(DB!E$2:E$2576="YES"))*(($D$4="")+($D$4&lt;&gt;"")*( DB!B$2:B$2576=$D$4))*(($D$5="")+($D$5&lt;&gt;"")*( DB!C$2:C$2576=$D$5))*(($D$6="")+($D$6&lt;&gt;"")*( DB!D$2:D$2576=$D$6))*(($D$7="")+($D$7&lt;&gt;"")*(ISNUMBER(SEARCH($D$7,DB!G$2:G$2576))))*(($F$7="전체")+($F$7&lt;&gt;"전체")*(DB!H$2:H$2576=$F$7))),ROW()-13)-1,"")</f>
        <v/>
      </c>
      <c r="Q2521" t="str" cm="1">
        <f t="array" ref="Q2521">IFERROR(INDEX(DB!G$2:G$2576,P2521),"")</f>
        <v/>
      </c>
      <c r="R2521" t="str" cm="1">
        <f t="array" ref="R2521">IFERROR(INDEX(DB!O$2:O$2576,P2521),"")</f>
        <v/>
      </c>
      <c r="S2521" t="str">
        <f t="shared" si="120"/>
        <v/>
      </c>
      <c r="T2521" t="str">
        <f t="shared" si="121"/>
        <v/>
      </c>
    </row>
    <row r="2522" spans="1:20" ht="100" customHeight="1">
      <c r="A2522" s="26"/>
      <c r="B2522" s="39" t="str">
        <f t="shared" si="119"/>
        <v/>
      </c>
      <c r="C2522" s="43"/>
      <c r="D2522" s="51" t="str" cm="1">
        <f t="array" ref="D2522">IFERROR(INDEX(DB!G$2:G$2576,T2522),"")</f>
        <v/>
      </c>
      <c r="E2522" s="43"/>
      <c r="F2522" s="52" t="str" cm="1">
        <f t="array" ref="F2522">IFERROR(INDEX(DB!O$2:O$2576,T2522),"")</f>
        <v/>
      </c>
      <c r="G2522" s="43"/>
      <c r="H2522" s="40" t="str" cm="1">
        <f t="array" ref="H2522">IFERROR(INDEX(DB!P$2:P$2576,T2522),"")</f>
        <v/>
      </c>
      <c r="I2522" s="43"/>
      <c r="J2522" s="53" t="str" cm="1">
        <f t="array" ref="J2522">IFERROR(INDEX(DB!Q$2:Q$2576,T2522),"")</f>
        <v/>
      </c>
      <c r="K2522" s="43"/>
      <c r="L2522" s="41" t="str" cm="1">
        <f t="array" ref="L2522">IFERROR(INDEX(DB!R$2:R$2576,T2522),"")</f>
        <v/>
      </c>
      <c r="M2522" s="43"/>
      <c r="P2522" t="str" cm="1">
        <f t="array" ref="P2522">IFERROR(_xlfn.AGGREGATE(15,6,ROW(DB!A$2:A$2576)/((($D$3&lt;&gt;"YES")+($D$3="YES")*(DB!E$2:E$2576="YES"))*(($D$4="")+($D$4&lt;&gt;"")*( DB!B$2:B$2576=$D$4))*(($D$5="")+($D$5&lt;&gt;"")*( DB!C$2:C$2576=$D$5))*(($D$6="")+($D$6&lt;&gt;"")*( DB!D$2:D$2576=$D$6))*(($D$7="")+($D$7&lt;&gt;"")*(ISNUMBER(SEARCH($D$7,DB!G$2:G$2576))))*(($F$7="전체")+($F$7&lt;&gt;"전체")*(DB!H$2:H$2576=$F$7))),ROW()-13)-1,"")</f>
        <v/>
      </c>
      <c r="Q2522" t="str" cm="1">
        <f t="array" ref="Q2522">IFERROR(INDEX(DB!G$2:G$2576,P2522),"")</f>
        <v/>
      </c>
      <c r="R2522" t="str" cm="1">
        <f t="array" ref="R2522">IFERROR(INDEX(DB!O$2:O$2576,P2522),"")</f>
        <v/>
      </c>
      <c r="S2522" t="str">
        <f t="shared" si="120"/>
        <v/>
      </c>
      <c r="T2522" t="str">
        <f t="shared" si="121"/>
        <v/>
      </c>
    </row>
    <row r="2523" spans="1:20" ht="100" customHeight="1">
      <c r="A2523" s="26"/>
      <c r="B2523" s="42" t="str">
        <f t="shared" si="119"/>
        <v/>
      </c>
      <c r="C2523" s="43"/>
      <c r="D2523" s="51" t="str" cm="1">
        <f t="array" ref="D2523">IFERROR(INDEX(DB!G$2:G$2576,T2523),"")</f>
        <v/>
      </c>
      <c r="E2523" s="43"/>
      <c r="F2523" s="52" t="str" cm="1">
        <f t="array" ref="F2523">IFERROR(INDEX(DB!O$2:O$2576,T2523),"")</f>
        <v/>
      </c>
      <c r="G2523" s="43"/>
      <c r="H2523" s="40" t="str" cm="1">
        <f t="array" ref="H2523">IFERROR(INDEX(DB!P$2:P$2576,T2523),"")</f>
        <v/>
      </c>
      <c r="I2523" s="43"/>
      <c r="J2523" s="53" t="str" cm="1">
        <f t="array" ref="J2523">IFERROR(INDEX(DB!Q$2:Q$2576,T2523),"")</f>
        <v/>
      </c>
      <c r="K2523" s="43"/>
      <c r="L2523" s="41" t="str" cm="1">
        <f t="array" ref="L2523">IFERROR(INDEX(DB!R$2:R$2576,T2523),"")</f>
        <v/>
      </c>
      <c r="M2523" s="43"/>
      <c r="P2523" t="str" cm="1">
        <f t="array" ref="P2523">IFERROR(_xlfn.AGGREGATE(15,6,ROW(DB!A$2:A$2576)/((($D$3&lt;&gt;"YES")+($D$3="YES")*(DB!E$2:E$2576="YES"))*(($D$4="")+($D$4&lt;&gt;"")*( DB!B$2:B$2576=$D$4))*(($D$5="")+($D$5&lt;&gt;"")*( DB!C$2:C$2576=$D$5))*(($D$6="")+($D$6&lt;&gt;"")*( DB!D$2:D$2576=$D$6))*(($D$7="")+($D$7&lt;&gt;"")*(ISNUMBER(SEARCH($D$7,DB!G$2:G$2576))))*(($F$7="전체")+($F$7&lt;&gt;"전체")*(DB!H$2:H$2576=$F$7))),ROW()-13)-1,"")</f>
        <v/>
      </c>
      <c r="Q2523" t="str" cm="1">
        <f t="array" ref="Q2523">IFERROR(INDEX(DB!G$2:G$2576,P2523),"")</f>
        <v/>
      </c>
      <c r="R2523" t="str" cm="1">
        <f t="array" ref="R2523">IFERROR(INDEX(DB!O$2:O$2576,P2523),"")</f>
        <v/>
      </c>
      <c r="S2523" t="str">
        <f t="shared" si="120"/>
        <v/>
      </c>
      <c r="T2523" t="str">
        <f t="shared" si="121"/>
        <v/>
      </c>
    </row>
    <row r="2524" spans="1:20" ht="100" customHeight="1">
      <c r="A2524" s="26"/>
      <c r="B2524" s="39" t="str">
        <f t="shared" si="119"/>
        <v/>
      </c>
      <c r="C2524" s="43"/>
      <c r="D2524" s="51" t="str" cm="1">
        <f t="array" ref="D2524">IFERROR(INDEX(DB!G$2:G$2576,T2524),"")</f>
        <v/>
      </c>
      <c r="E2524" s="43"/>
      <c r="F2524" s="52" t="str" cm="1">
        <f t="array" ref="F2524">IFERROR(INDEX(DB!O$2:O$2576,T2524),"")</f>
        <v/>
      </c>
      <c r="G2524" s="43"/>
      <c r="H2524" s="40" t="str" cm="1">
        <f t="array" ref="H2524">IFERROR(INDEX(DB!P$2:P$2576,T2524),"")</f>
        <v/>
      </c>
      <c r="I2524" s="43"/>
      <c r="J2524" s="53" t="str" cm="1">
        <f t="array" ref="J2524">IFERROR(INDEX(DB!Q$2:Q$2576,T2524),"")</f>
        <v/>
      </c>
      <c r="K2524" s="43"/>
      <c r="L2524" s="41" t="str" cm="1">
        <f t="array" ref="L2524">IFERROR(INDEX(DB!R$2:R$2576,T2524),"")</f>
        <v/>
      </c>
      <c r="M2524" s="43"/>
      <c r="P2524" t="str" cm="1">
        <f t="array" ref="P2524">IFERROR(_xlfn.AGGREGATE(15,6,ROW(DB!A$2:A$2576)/((($D$3&lt;&gt;"YES")+($D$3="YES")*(DB!E$2:E$2576="YES"))*(($D$4="")+($D$4&lt;&gt;"")*( DB!B$2:B$2576=$D$4))*(($D$5="")+($D$5&lt;&gt;"")*( DB!C$2:C$2576=$D$5))*(($D$6="")+($D$6&lt;&gt;"")*( DB!D$2:D$2576=$D$6))*(($D$7="")+($D$7&lt;&gt;"")*(ISNUMBER(SEARCH($D$7,DB!G$2:G$2576))))*(($F$7="전체")+($F$7&lt;&gt;"전체")*(DB!H$2:H$2576=$F$7))),ROW()-13)-1,"")</f>
        <v/>
      </c>
      <c r="Q2524" t="str" cm="1">
        <f t="array" ref="Q2524">IFERROR(INDEX(DB!G$2:G$2576,P2524),"")</f>
        <v/>
      </c>
      <c r="R2524" t="str" cm="1">
        <f t="array" ref="R2524">IFERROR(INDEX(DB!O$2:O$2576,P2524),"")</f>
        <v/>
      </c>
      <c r="S2524" t="str">
        <f t="shared" si="120"/>
        <v/>
      </c>
      <c r="T2524" t="str">
        <f t="shared" si="121"/>
        <v/>
      </c>
    </row>
    <row r="2525" spans="1:20" ht="100" customHeight="1">
      <c r="A2525" s="26"/>
      <c r="B2525" s="42" t="str">
        <f t="shared" si="119"/>
        <v/>
      </c>
      <c r="C2525" s="43"/>
      <c r="D2525" s="51" t="str" cm="1">
        <f t="array" ref="D2525">IFERROR(INDEX(DB!G$2:G$2576,T2525),"")</f>
        <v/>
      </c>
      <c r="E2525" s="43"/>
      <c r="F2525" s="52" t="str" cm="1">
        <f t="array" ref="F2525">IFERROR(INDEX(DB!O$2:O$2576,T2525),"")</f>
        <v/>
      </c>
      <c r="G2525" s="43"/>
      <c r="H2525" s="40" t="str" cm="1">
        <f t="array" ref="H2525">IFERROR(INDEX(DB!P$2:P$2576,T2525),"")</f>
        <v/>
      </c>
      <c r="I2525" s="43"/>
      <c r="J2525" s="53" t="str" cm="1">
        <f t="array" ref="J2525">IFERROR(INDEX(DB!Q$2:Q$2576,T2525),"")</f>
        <v/>
      </c>
      <c r="K2525" s="43"/>
      <c r="L2525" s="41" t="str" cm="1">
        <f t="array" ref="L2525">IFERROR(INDEX(DB!R$2:R$2576,T2525),"")</f>
        <v/>
      </c>
      <c r="M2525" s="43"/>
      <c r="P2525" t="str" cm="1">
        <f t="array" ref="P2525">IFERROR(_xlfn.AGGREGATE(15,6,ROW(DB!A$2:A$2576)/((($D$3&lt;&gt;"YES")+($D$3="YES")*(DB!E$2:E$2576="YES"))*(($D$4="")+($D$4&lt;&gt;"")*( DB!B$2:B$2576=$D$4))*(($D$5="")+($D$5&lt;&gt;"")*( DB!C$2:C$2576=$D$5))*(($D$6="")+($D$6&lt;&gt;"")*( DB!D$2:D$2576=$D$6))*(($D$7="")+($D$7&lt;&gt;"")*(ISNUMBER(SEARCH($D$7,DB!G$2:G$2576))))*(($F$7="전체")+($F$7&lt;&gt;"전체")*(DB!H$2:H$2576=$F$7))),ROW()-13)-1,"")</f>
        <v/>
      </c>
      <c r="Q2525" t="str" cm="1">
        <f t="array" ref="Q2525">IFERROR(INDEX(DB!G$2:G$2576,P2525),"")</f>
        <v/>
      </c>
      <c r="R2525" t="str" cm="1">
        <f t="array" ref="R2525">IFERROR(INDEX(DB!O$2:O$2576,P2525),"")</f>
        <v/>
      </c>
      <c r="S2525" t="str">
        <f t="shared" si="120"/>
        <v/>
      </c>
      <c r="T2525" t="str">
        <f t="shared" si="121"/>
        <v/>
      </c>
    </row>
    <row r="2526" spans="1:20" ht="100" customHeight="1">
      <c r="A2526" s="26"/>
      <c r="B2526" s="39" t="str">
        <f t="shared" si="119"/>
        <v/>
      </c>
      <c r="C2526" s="43"/>
      <c r="D2526" s="51" t="str" cm="1">
        <f t="array" ref="D2526">IFERROR(INDEX(DB!G$2:G$2576,T2526),"")</f>
        <v/>
      </c>
      <c r="E2526" s="43"/>
      <c r="F2526" s="52" t="str" cm="1">
        <f t="array" ref="F2526">IFERROR(INDEX(DB!O$2:O$2576,T2526),"")</f>
        <v/>
      </c>
      <c r="G2526" s="43"/>
      <c r="H2526" s="40" t="str" cm="1">
        <f t="array" ref="H2526">IFERROR(INDEX(DB!P$2:P$2576,T2526),"")</f>
        <v/>
      </c>
      <c r="I2526" s="43"/>
      <c r="J2526" s="53" t="str" cm="1">
        <f t="array" ref="J2526">IFERROR(INDEX(DB!Q$2:Q$2576,T2526),"")</f>
        <v/>
      </c>
      <c r="K2526" s="43"/>
      <c r="L2526" s="41" t="str" cm="1">
        <f t="array" ref="L2526">IFERROR(INDEX(DB!R$2:R$2576,T2526),"")</f>
        <v/>
      </c>
      <c r="M2526" s="43"/>
      <c r="P2526" t="str" cm="1">
        <f t="array" ref="P2526">IFERROR(_xlfn.AGGREGATE(15,6,ROW(DB!A$2:A$2576)/((($D$3&lt;&gt;"YES")+($D$3="YES")*(DB!E$2:E$2576="YES"))*(($D$4="")+($D$4&lt;&gt;"")*( DB!B$2:B$2576=$D$4))*(($D$5="")+($D$5&lt;&gt;"")*( DB!C$2:C$2576=$D$5))*(($D$6="")+($D$6&lt;&gt;"")*( DB!D$2:D$2576=$D$6))*(($D$7="")+($D$7&lt;&gt;"")*(ISNUMBER(SEARCH($D$7,DB!G$2:G$2576))))*(($F$7="전체")+($F$7&lt;&gt;"전체")*(DB!H$2:H$2576=$F$7))),ROW()-13)-1,"")</f>
        <v/>
      </c>
      <c r="Q2526" t="str" cm="1">
        <f t="array" ref="Q2526">IFERROR(INDEX(DB!G$2:G$2576,P2526),"")</f>
        <v/>
      </c>
      <c r="R2526" t="str" cm="1">
        <f t="array" ref="R2526">IFERROR(INDEX(DB!O$2:O$2576,P2526),"")</f>
        <v/>
      </c>
      <c r="S2526" t="str">
        <f t="shared" si="120"/>
        <v/>
      </c>
      <c r="T2526" t="str">
        <f t="shared" si="121"/>
        <v/>
      </c>
    </row>
    <row r="2527" spans="1:20" ht="100" customHeight="1">
      <c r="A2527" s="26"/>
      <c r="B2527" s="42" t="str">
        <f t="shared" si="119"/>
        <v/>
      </c>
      <c r="C2527" s="43"/>
      <c r="D2527" s="51" t="str" cm="1">
        <f t="array" ref="D2527">IFERROR(INDEX(DB!G$2:G$2576,T2527),"")</f>
        <v/>
      </c>
      <c r="E2527" s="43"/>
      <c r="F2527" s="52" t="str" cm="1">
        <f t="array" ref="F2527">IFERROR(INDEX(DB!O$2:O$2576,T2527),"")</f>
        <v/>
      </c>
      <c r="G2527" s="43"/>
      <c r="H2527" s="40" t="str" cm="1">
        <f t="array" ref="H2527">IFERROR(INDEX(DB!P$2:P$2576,T2527),"")</f>
        <v/>
      </c>
      <c r="I2527" s="43"/>
      <c r="J2527" s="53" t="str" cm="1">
        <f t="array" ref="J2527">IFERROR(INDEX(DB!Q$2:Q$2576,T2527),"")</f>
        <v/>
      </c>
      <c r="K2527" s="43"/>
      <c r="L2527" s="41" t="str" cm="1">
        <f t="array" ref="L2527">IFERROR(INDEX(DB!R$2:R$2576,T2527),"")</f>
        <v/>
      </c>
      <c r="M2527" s="43"/>
      <c r="P2527" t="str" cm="1">
        <f t="array" ref="P2527">IFERROR(_xlfn.AGGREGATE(15,6,ROW(DB!A$2:A$2576)/((($D$3&lt;&gt;"YES")+($D$3="YES")*(DB!E$2:E$2576="YES"))*(($D$4="")+($D$4&lt;&gt;"")*( DB!B$2:B$2576=$D$4))*(($D$5="")+($D$5&lt;&gt;"")*( DB!C$2:C$2576=$D$5))*(($D$6="")+($D$6&lt;&gt;"")*( DB!D$2:D$2576=$D$6))*(($D$7="")+($D$7&lt;&gt;"")*(ISNUMBER(SEARCH($D$7,DB!G$2:G$2576))))*(($F$7="전체")+($F$7&lt;&gt;"전체")*(DB!H$2:H$2576=$F$7))),ROW()-13)-1,"")</f>
        <v/>
      </c>
      <c r="Q2527" t="str" cm="1">
        <f t="array" ref="Q2527">IFERROR(INDEX(DB!G$2:G$2576,P2527),"")</f>
        <v/>
      </c>
      <c r="R2527" t="str" cm="1">
        <f t="array" ref="R2527">IFERROR(INDEX(DB!O$2:O$2576,P2527),"")</f>
        <v/>
      </c>
      <c r="S2527" t="str">
        <f t="shared" si="120"/>
        <v/>
      </c>
      <c r="T2527" t="str">
        <f t="shared" si="121"/>
        <v/>
      </c>
    </row>
    <row r="2528" spans="1:20" ht="100" customHeight="1">
      <c r="A2528" s="26"/>
      <c r="B2528" s="39" t="str">
        <f t="shared" si="119"/>
        <v/>
      </c>
      <c r="C2528" s="43"/>
      <c r="D2528" s="51" t="str" cm="1">
        <f t="array" ref="D2528">IFERROR(INDEX(DB!G$2:G$2576,T2528),"")</f>
        <v/>
      </c>
      <c r="E2528" s="43"/>
      <c r="F2528" s="52" t="str" cm="1">
        <f t="array" ref="F2528">IFERROR(INDEX(DB!O$2:O$2576,T2528),"")</f>
        <v/>
      </c>
      <c r="G2528" s="43"/>
      <c r="H2528" s="40" t="str" cm="1">
        <f t="array" ref="H2528">IFERROR(INDEX(DB!P$2:P$2576,T2528),"")</f>
        <v/>
      </c>
      <c r="I2528" s="43"/>
      <c r="J2528" s="53" t="str" cm="1">
        <f t="array" ref="J2528">IFERROR(INDEX(DB!Q$2:Q$2576,T2528),"")</f>
        <v/>
      </c>
      <c r="K2528" s="43"/>
      <c r="L2528" s="41" t="str" cm="1">
        <f t="array" ref="L2528">IFERROR(INDEX(DB!R$2:R$2576,T2528),"")</f>
        <v/>
      </c>
      <c r="M2528" s="43"/>
      <c r="P2528" t="str" cm="1">
        <f t="array" ref="P2528">IFERROR(_xlfn.AGGREGATE(15,6,ROW(DB!A$2:A$2576)/((($D$3&lt;&gt;"YES")+($D$3="YES")*(DB!E$2:E$2576="YES"))*(($D$4="")+($D$4&lt;&gt;"")*( DB!B$2:B$2576=$D$4))*(($D$5="")+($D$5&lt;&gt;"")*( DB!C$2:C$2576=$D$5))*(($D$6="")+($D$6&lt;&gt;"")*( DB!D$2:D$2576=$D$6))*(($D$7="")+($D$7&lt;&gt;"")*(ISNUMBER(SEARCH($D$7,DB!G$2:G$2576))))*(($F$7="전체")+($F$7&lt;&gt;"전체")*(DB!H$2:H$2576=$F$7))),ROW()-13)-1,"")</f>
        <v/>
      </c>
      <c r="Q2528" t="str" cm="1">
        <f t="array" ref="Q2528">IFERROR(INDEX(DB!G$2:G$2576,P2528),"")</f>
        <v/>
      </c>
      <c r="R2528" t="str" cm="1">
        <f t="array" ref="R2528">IFERROR(INDEX(DB!O$2:O$2576,P2528),"")</f>
        <v/>
      </c>
      <c r="S2528" t="str">
        <f t="shared" si="120"/>
        <v/>
      </c>
      <c r="T2528" t="str">
        <f t="shared" si="121"/>
        <v/>
      </c>
    </row>
    <row r="2529" spans="1:20" ht="100" customHeight="1">
      <c r="A2529" s="26"/>
      <c r="B2529" s="42" t="str">
        <f t="shared" si="119"/>
        <v/>
      </c>
      <c r="C2529" s="43"/>
      <c r="D2529" s="51" t="str" cm="1">
        <f t="array" ref="D2529">IFERROR(INDEX(DB!G$2:G$2576,T2529),"")</f>
        <v/>
      </c>
      <c r="E2529" s="43"/>
      <c r="F2529" s="52" t="str" cm="1">
        <f t="array" ref="F2529">IFERROR(INDEX(DB!O$2:O$2576,T2529),"")</f>
        <v/>
      </c>
      <c r="G2529" s="43"/>
      <c r="H2529" s="40" t="str" cm="1">
        <f t="array" ref="H2529">IFERROR(INDEX(DB!P$2:P$2576,T2529),"")</f>
        <v/>
      </c>
      <c r="I2529" s="43"/>
      <c r="J2529" s="53" t="str" cm="1">
        <f t="array" ref="J2529">IFERROR(INDEX(DB!Q$2:Q$2576,T2529),"")</f>
        <v/>
      </c>
      <c r="K2529" s="43"/>
      <c r="L2529" s="41" t="str" cm="1">
        <f t="array" ref="L2529">IFERROR(INDEX(DB!R$2:R$2576,T2529),"")</f>
        <v/>
      </c>
      <c r="M2529" s="43"/>
      <c r="P2529" t="str" cm="1">
        <f t="array" ref="P2529">IFERROR(_xlfn.AGGREGATE(15,6,ROW(DB!A$2:A$2576)/((($D$3&lt;&gt;"YES")+($D$3="YES")*(DB!E$2:E$2576="YES"))*(($D$4="")+($D$4&lt;&gt;"")*( DB!B$2:B$2576=$D$4))*(($D$5="")+($D$5&lt;&gt;"")*( DB!C$2:C$2576=$D$5))*(($D$6="")+($D$6&lt;&gt;"")*( DB!D$2:D$2576=$D$6))*(($D$7="")+($D$7&lt;&gt;"")*(ISNUMBER(SEARCH($D$7,DB!G$2:G$2576))))*(($F$7="전체")+($F$7&lt;&gt;"전체")*(DB!H$2:H$2576=$F$7))),ROW()-13)-1,"")</f>
        <v/>
      </c>
      <c r="Q2529" t="str" cm="1">
        <f t="array" ref="Q2529">IFERROR(INDEX(DB!G$2:G$2576,P2529),"")</f>
        <v/>
      </c>
      <c r="R2529" t="str" cm="1">
        <f t="array" ref="R2529">IFERROR(INDEX(DB!O$2:O$2576,P2529),"")</f>
        <v/>
      </c>
      <c r="S2529" t="str">
        <f t="shared" si="120"/>
        <v/>
      </c>
      <c r="T2529" t="str">
        <f t="shared" si="121"/>
        <v/>
      </c>
    </row>
    <row r="2530" spans="1:20" ht="100" customHeight="1">
      <c r="A2530" s="26"/>
      <c r="B2530" s="39" t="str">
        <f t="shared" si="119"/>
        <v/>
      </c>
      <c r="C2530" s="43"/>
      <c r="D2530" s="51" t="str" cm="1">
        <f t="array" ref="D2530">IFERROR(INDEX(DB!G$2:G$2576,T2530),"")</f>
        <v/>
      </c>
      <c r="E2530" s="43"/>
      <c r="F2530" s="52" t="str" cm="1">
        <f t="array" ref="F2530">IFERROR(INDEX(DB!O$2:O$2576,T2530),"")</f>
        <v/>
      </c>
      <c r="G2530" s="43"/>
      <c r="H2530" s="40" t="str" cm="1">
        <f t="array" ref="H2530">IFERROR(INDEX(DB!P$2:P$2576,T2530),"")</f>
        <v/>
      </c>
      <c r="I2530" s="43"/>
      <c r="J2530" s="53" t="str" cm="1">
        <f t="array" ref="J2530">IFERROR(INDEX(DB!Q$2:Q$2576,T2530),"")</f>
        <v/>
      </c>
      <c r="K2530" s="43"/>
      <c r="L2530" s="41" t="str" cm="1">
        <f t="array" ref="L2530">IFERROR(INDEX(DB!R$2:R$2576,T2530),"")</f>
        <v/>
      </c>
      <c r="M2530" s="43"/>
      <c r="P2530" t="str" cm="1">
        <f t="array" ref="P2530">IFERROR(_xlfn.AGGREGATE(15,6,ROW(DB!A$2:A$2576)/((($D$3&lt;&gt;"YES")+($D$3="YES")*(DB!E$2:E$2576="YES"))*(($D$4="")+($D$4&lt;&gt;"")*( DB!B$2:B$2576=$D$4))*(($D$5="")+($D$5&lt;&gt;"")*( DB!C$2:C$2576=$D$5))*(($D$6="")+($D$6&lt;&gt;"")*( DB!D$2:D$2576=$D$6))*(($D$7="")+($D$7&lt;&gt;"")*(ISNUMBER(SEARCH($D$7,DB!G$2:G$2576))))*(($F$7="전체")+($F$7&lt;&gt;"전체")*(DB!H$2:H$2576=$F$7))),ROW()-13)-1,"")</f>
        <v/>
      </c>
      <c r="Q2530" t="str" cm="1">
        <f t="array" ref="Q2530">IFERROR(INDEX(DB!G$2:G$2576,P2530),"")</f>
        <v/>
      </c>
      <c r="R2530" t="str" cm="1">
        <f t="array" ref="R2530">IFERROR(INDEX(DB!O$2:O$2576,P2530),"")</f>
        <v/>
      </c>
      <c r="S2530" t="str">
        <f t="shared" si="120"/>
        <v/>
      </c>
      <c r="T2530" t="str">
        <f t="shared" si="121"/>
        <v/>
      </c>
    </row>
    <row r="2531" spans="1:20" ht="100" customHeight="1">
      <c r="A2531" s="26"/>
      <c r="B2531" s="42" t="str">
        <f t="shared" si="119"/>
        <v/>
      </c>
      <c r="C2531" s="43"/>
      <c r="D2531" s="51" t="str" cm="1">
        <f t="array" ref="D2531">IFERROR(INDEX(DB!G$2:G$2576,T2531),"")</f>
        <v/>
      </c>
      <c r="E2531" s="43"/>
      <c r="F2531" s="52" t="str" cm="1">
        <f t="array" ref="F2531">IFERROR(INDEX(DB!O$2:O$2576,T2531),"")</f>
        <v/>
      </c>
      <c r="G2531" s="43"/>
      <c r="H2531" s="40" t="str" cm="1">
        <f t="array" ref="H2531">IFERROR(INDEX(DB!P$2:P$2576,T2531),"")</f>
        <v/>
      </c>
      <c r="I2531" s="43"/>
      <c r="J2531" s="53" t="str" cm="1">
        <f t="array" ref="J2531">IFERROR(INDEX(DB!Q$2:Q$2576,T2531),"")</f>
        <v/>
      </c>
      <c r="K2531" s="43"/>
      <c r="L2531" s="41" t="str" cm="1">
        <f t="array" ref="L2531">IFERROR(INDEX(DB!R$2:R$2576,T2531),"")</f>
        <v/>
      </c>
      <c r="M2531" s="43"/>
      <c r="P2531" t="str" cm="1">
        <f t="array" ref="P2531">IFERROR(_xlfn.AGGREGATE(15,6,ROW(DB!A$2:A$2576)/((($D$3&lt;&gt;"YES")+($D$3="YES")*(DB!E$2:E$2576="YES"))*(($D$4="")+($D$4&lt;&gt;"")*( DB!B$2:B$2576=$D$4))*(($D$5="")+($D$5&lt;&gt;"")*( DB!C$2:C$2576=$D$5))*(($D$6="")+($D$6&lt;&gt;"")*( DB!D$2:D$2576=$D$6))*(($D$7="")+($D$7&lt;&gt;"")*(ISNUMBER(SEARCH($D$7,DB!G$2:G$2576))))*(($F$7="전체")+($F$7&lt;&gt;"전체")*(DB!H$2:H$2576=$F$7))),ROW()-13)-1,"")</f>
        <v/>
      </c>
      <c r="Q2531" t="str" cm="1">
        <f t="array" ref="Q2531">IFERROR(INDEX(DB!G$2:G$2576,P2531),"")</f>
        <v/>
      </c>
      <c r="R2531" t="str" cm="1">
        <f t="array" ref="R2531">IFERROR(INDEX(DB!O$2:O$2576,P2531),"")</f>
        <v/>
      </c>
      <c r="S2531" t="str">
        <f t="shared" si="120"/>
        <v/>
      </c>
      <c r="T2531" t="str">
        <f t="shared" si="121"/>
        <v/>
      </c>
    </row>
    <row r="2532" spans="1:20" ht="100" customHeight="1">
      <c r="A2532" s="26"/>
      <c r="B2532" s="39" t="str">
        <f t="shared" si="119"/>
        <v/>
      </c>
      <c r="C2532" s="43"/>
      <c r="D2532" s="51" t="str" cm="1">
        <f t="array" ref="D2532">IFERROR(INDEX(DB!G$2:G$2576,T2532),"")</f>
        <v/>
      </c>
      <c r="E2532" s="43"/>
      <c r="F2532" s="52" t="str" cm="1">
        <f t="array" ref="F2532">IFERROR(INDEX(DB!O$2:O$2576,T2532),"")</f>
        <v/>
      </c>
      <c r="G2532" s="43"/>
      <c r="H2532" s="40" t="str" cm="1">
        <f t="array" ref="H2532">IFERROR(INDEX(DB!P$2:P$2576,T2532),"")</f>
        <v/>
      </c>
      <c r="I2532" s="43"/>
      <c r="J2532" s="53" t="str" cm="1">
        <f t="array" ref="J2532">IFERROR(INDEX(DB!Q$2:Q$2576,T2532),"")</f>
        <v/>
      </c>
      <c r="K2532" s="43"/>
      <c r="L2532" s="41" t="str" cm="1">
        <f t="array" ref="L2532">IFERROR(INDEX(DB!R$2:R$2576,T2532),"")</f>
        <v/>
      </c>
      <c r="M2532" s="43"/>
      <c r="P2532" t="str" cm="1">
        <f t="array" ref="P2532">IFERROR(_xlfn.AGGREGATE(15,6,ROW(DB!A$2:A$2576)/((($D$3&lt;&gt;"YES")+($D$3="YES")*(DB!E$2:E$2576="YES"))*(($D$4="")+($D$4&lt;&gt;"")*( DB!B$2:B$2576=$D$4))*(($D$5="")+($D$5&lt;&gt;"")*( DB!C$2:C$2576=$D$5))*(($D$6="")+($D$6&lt;&gt;"")*( DB!D$2:D$2576=$D$6))*(($D$7="")+($D$7&lt;&gt;"")*(ISNUMBER(SEARCH($D$7,DB!G$2:G$2576))))*(($F$7="전체")+($F$7&lt;&gt;"전체")*(DB!H$2:H$2576=$F$7))),ROW()-13)-1,"")</f>
        <v/>
      </c>
      <c r="Q2532" t="str" cm="1">
        <f t="array" ref="Q2532">IFERROR(INDEX(DB!G$2:G$2576,P2532),"")</f>
        <v/>
      </c>
      <c r="R2532" t="str" cm="1">
        <f t="array" ref="R2532">IFERROR(INDEX(DB!O$2:O$2576,P2532),"")</f>
        <v/>
      </c>
      <c r="S2532" t="str">
        <f t="shared" si="120"/>
        <v/>
      </c>
      <c r="T2532" t="str">
        <f t="shared" si="121"/>
        <v/>
      </c>
    </row>
    <row r="2533" spans="1:20" ht="100" customHeight="1">
      <c r="A2533" s="26"/>
      <c r="B2533" s="42" t="str">
        <f t="shared" si="119"/>
        <v/>
      </c>
      <c r="C2533" s="43"/>
      <c r="D2533" s="51" t="str" cm="1">
        <f t="array" ref="D2533">IFERROR(INDEX(DB!G$2:G$2576,T2533),"")</f>
        <v/>
      </c>
      <c r="E2533" s="43"/>
      <c r="F2533" s="52" t="str" cm="1">
        <f t="array" ref="F2533">IFERROR(INDEX(DB!O$2:O$2576,T2533),"")</f>
        <v/>
      </c>
      <c r="G2533" s="43"/>
      <c r="H2533" s="40" t="str" cm="1">
        <f t="array" ref="H2533">IFERROR(INDEX(DB!P$2:P$2576,T2533),"")</f>
        <v/>
      </c>
      <c r="I2533" s="43"/>
      <c r="J2533" s="53" t="str" cm="1">
        <f t="array" ref="J2533">IFERROR(INDEX(DB!Q$2:Q$2576,T2533),"")</f>
        <v/>
      </c>
      <c r="K2533" s="43"/>
      <c r="L2533" s="41" t="str" cm="1">
        <f t="array" ref="L2533">IFERROR(INDEX(DB!R$2:R$2576,T2533),"")</f>
        <v/>
      </c>
      <c r="M2533" s="43"/>
      <c r="P2533" t="str" cm="1">
        <f t="array" ref="P2533">IFERROR(_xlfn.AGGREGATE(15,6,ROW(DB!A$2:A$2576)/((($D$3&lt;&gt;"YES")+($D$3="YES")*(DB!E$2:E$2576="YES"))*(($D$4="")+($D$4&lt;&gt;"")*( DB!B$2:B$2576=$D$4))*(($D$5="")+($D$5&lt;&gt;"")*( DB!C$2:C$2576=$D$5))*(($D$6="")+($D$6&lt;&gt;"")*( DB!D$2:D$2576=$D$6))*(($D$7="")+($D$7&lt;&gt;"")*(ISNUMBER(SEARCH($D$7,DB!G$2:G$2576))))*(($F$7="전체")+($F$7&lt;&gt;"전체")*(DB!H$2:H$2576=$F$7))),ROW()-13)-1,"")</f>
        <v/>
      </c>
      <c r="Q2533" t="str" cm="1">
        <f t="array" ref="Q2533">IFERROR(INDEX(DB!G$2:G$2576,P2533),"")</f>
        <v/>
      </c>
      <c r="R2533" t="str" cm="1">
        <f t="array" ref="R2533">IFERROR(INDEX(DB!O$2:O$2576,P2533),"")</f>
        <v/>
      </c>
      <c r="S2533" t="str">
        <f t="shared" si="120"/>
        <v/>
      </c>
      <c r="T2533" t="str">
        <f t="shared" si="121"/>
        <v/>
      </c>
    </row>
    <row r="2534" spans="1:20" ht="100" customHeight="1">
      <c r="A2534" s="26"/>
      <c r="B2534" s="39" t="str">
        <f t="shared" si="119"/>
        <v/>
      </c>
      <c r="C2534" s="43"/>
      <c r="D2534" s="51" t="str" cm="1">
        <f t="array" ref="D2534">IFERROR(INDEX(DB!G$2:G$2576,T2534),"")</f>
        <v/>
      </c>
      <c r="E2534" s="43"/>
      <c r="F2534" s="52" t="str" cm="1">
        <f t="array" ref="F2534">IFERROR(INDEX(DB!O$2:O$2576,T2534),"")</f>
        <v/>
      </c>
      <c r="G2534" s="43"/>
      <c r="H2534" s="40" t="str" cm="1">
        <f t="array" ref="H2534">IFERROR(INDEX(DB!P$2:P$2576,T2534),"")</f>
        <v/>
      </c>
      <c r="I2534" s="43"/>
      <c r="J2534" s="53" t="str" cm="1">
        <f t="array" ref="J2534">IFERROR(INDEX(DB!Q$2:Q$2576,T2534),"")</f>
        <v/>
      </c>
      <c r="K2534" s="43"/>
      <c r="L2534" s="41" t="str" cm="1">
        <f t="array" ref="L2534">IFERROR(INDEX(DB!R$2:R$2576,T2534),"")</f>
        <v/>
      </c>
      <c r="M2534" s="43"/>
      <c r="P2534" t="str" cm="1">
        <f t="array" ref="P2534">IFERROR(_xlfn.AGGREGATE(15,6,ROW(DB!A$2:A$2576)/((($D$3&lt;&gt;"YES")+($D$3="YES")*(DB!E$2:E$2576="YES"))*(($D$4="")+($D$4&lt;&gt;"")*( DB!B$2:B$2576=$D$4))*(($D$5="")+($D$5&lt;&gt;"")*( DB!C$2:C$2576=$D$5))*(($D$6="")+($D$6&lt;&gt;"")*( DB!D$2:D$2576=$D$6))*(($D$7="")+($D$7&lt;&gt;"")*(ISNUMBER(SEARCH($D$7,DB!G$2:G$2576))))*(($F$7="전체")+($F$7&lt;&gt;"전체")*(DB!H$2:H$2576=$F$7))),ROW()-13)-1,"")</f>
        <v/>
      </c>
      <c r="Q2534" t="str" cm="1">
        <f t="array" ref="Q2534">IFERROR(INDEX(DB!G$2:G$2576,P2534),"")</f>
        <v/>
      </c>
      <c r="R2534" t="str" cm="1">
        <f t="array" ref="R2534">IFERROR(INDEX(DB!O$2:O$2576,P2534),"")</f>
        <v/>
      </c>
      <c r="S2534" t="str">
        <f t="shared" si="120"/>
        <v/>
      </c>
      <c r="T2534" t="str">
        <f t="shared" si="121"/>
        <v/>
      </c>
    </row>
    <row r="2535" spans="1:20" ht="100" customHeight="1">
      <c r="A2535" s="26"/>
      <c r="B2535" s="42" t="str">
        <f t="shared" si="119"/>
        <v/>
      </c>
      <c r="C2535" s="43"/>
      <c r="D2535" s="51" t="str" cm="1">
        <f t="array" ref="D2535">IFERROR(INDEX(DB!G$2:G$2576,T2535),"")</f>
        <v/>
      </c>
      <c r="E2535" s="43"/>
      <c r="F2535" s="52" t="str" cm="1">
        <f t="array" ref="F2535">IFERROR(INDEX(DB!O$2:O$2576,T2535),"")</f>
        <v/>
      </c>
      <c r="G2535" s="43"/>
      <c r="H2535" s="40" t="str" cm="1">
        <f t="array" ref="H2535">IFERROR(INDEX(DB!P$2:P$2576,T2535),"")</f>
        <v/>
      </c>
      <c r="I2535" s="43"/>
      <c r="J2535" s="53" t="str" cm="1">
        <f t="array" ref="J2535">IFERROR(INDEX(DB!Q$2:Q$2576,T2535),"")</f>
        <v/>
      </c>
      <c r="K2535" s="43"/>
      <c r="L2535" s="41" t="str" cm="1">
        <f t="array" ref="L2535">IFERROR(INDEX(DB!R$2:R$2576,T2535),"")</f>
        <v/>
      </c>
      <c r="M2535" s="43"/>
      <c r="P2535" t="str" cm="1">
        <f t="array" ref="P2535">IFERROR(_xlfn.AGGREGATE(15,6,ROW(DB!A$2:A$2576)/((($D$3&lt;&gt;"YES")+($D$3="YES")*(DB!E$2:E$2576="YES"))*(($D$4="")+($D$4&lt;&gt;"")*( DB!B$2:B$2576=$D$4))*(($D$5="")+($D$5&lt;&gt;"")*( DB!C$2:C$2576=$D$5))*(($D$6="")+($D$6&lt;&gt;"")*( DB!D$2:D$2576=$D$6))*(($D$7="")+($D$7&lt;&gt;"")*(ISNUMBER(SEARCH($D$7,DB!G$2:G$2576))))*(($F$7="전체")+($F$7&lt;&gt;"전체")*(DB!H$2:H$2576=$F$7))),ROW()-13)-1,"")</f>
        <v/>
      </c>
      <c r="Q2535" t="str" cm="1">
        <f t="array" ref="Q2535">IFERROR(INDEX(DB!G$2:G$2576,P2535),"")</f>
        <v/>
      </c>
      <c r="R2535" t="str" cm="1">
        <f t="array" ref="R2535">IFERROR(INDEX(DB!O$2:O$2576,P2535),"")</f>
        <v/>
      </c>
      <c r="S2535" t="str">
        <f t="shared" si="120"/>
        <v/>
      </c>
      <c r="T2535" t="str">
        <f t="shared" si="121"/>
        <v/>
      </c>
    </row>
    <row r="2536" spans="1:20" ht="100" customHeight="1">
      <c r="A2536" s="26"/>
      <c r="B2536" s="39" t="str">
        <f t="shared" si="119"/>
        <v/>
      </c>
      <c r="C2536" s="43"/>
      <c r="D2536" s="51" t="str" cm="1">
        <f t="array" ref="D2536">IFERROR(INDEX(DB!G$2:G$2576,T2536),"")</f>
        <v/>
      </c>
      <c r="E2536" s="43"/>
      <c r="F2536" s="52" t="str" cm="1">
        <f t="array" ref="F2536">IFERROR(INDEX(DB!O$2:O$2576,T2536),"")</f>
        <v/>
      </c>
      <c r="G2536" s="43"/>
      <c r="H2536" s="40" t="str" cm="1">
        <f t="array" ref="H2536">IFERROR(INDEX(DB!P$2:P$2576,T2536),"")</f>
        <v/>
      </c>
      <c r="I2536" s="43"/>
      <c r="J2536" s="53" t="str" cm="1">
        <f t="array" ref="J2536">IFERROR(INDEX(DB!Q$2:Q$2576,T2536),"")</f>
        <v/>
      </c>
      <c r="K2536" s="43"/>
      <c r="L2536" s="41" t="str" cm="1">
        <f t="array" ref="L2536">IFERROR(INDEX(DB!R$2:R$2576,T2536),"")</f>
        <v/>
      </c>
      <c r="M2536" s="43"/>
      <c r="P2536" t="str" cm="1">
        <f t="array" ref="P2536">IFERROR(_xlfn.AGGREGATE(15,6,ROW(DB!A$2:A$2576)/((($D$3&lt;&gt;"YES")+($D$3="YES")*(DB!E$2:E$2576="YES"))*(($D$4="")+($D$4&lt;&gt;"")*( DB!B$2:B$2576=$D$4))*(($D$5="")+($D$5&lt;&gt;"")*( DB!C$2:C$2576=$D$5))*(($D$6="")+($D$6&lt;&gt;"")*( DB!D$2:D$2576=$D$6))*(($D$7="")+($D$7&lt;&gt;"")*(ISNUMBER(SEARCH($D$7,DB!G$2:G$2576))))*(($F$7="전체")+($F$7&lt;&gt;"전체")*(DB!H$2:H$2576=$F$7))),ROW()-13)-1,"")</f>
        <v/>
      </c>
      <c r="Q2536" t="str" cm="1">
        <f t="array" ref="Q2536">IFERROR(INDEX(DB!G$2:G$2576,P2536),"")</f>
        <v/>
      </c>
      <c r="R2536" t="str" cm="1">
        <f t="array" ref="R2536">IFERROR(INDEX(DB!O$2:O$2576,P2536),"")</f>
        <v/>
      </c>
      <c r="S2536" t="str">
        <f t="shared" si="120"/>
        <v/>
      </c>
      <c r="T2536" t="str">
        <f t="shared" si="121"/>
        <v/>
      </c>
    </row>
    <row r="2537" spans="1:20" ht="100" customHeight="1">
      <c r="A2537" s="26"/>
      <c r="B2537" s="42" t="str">
        <f t="shared" si="119"/>
        <v/>
      </c>
      <c r="C2537" s="43"/>
      <c r="D2537" s="51" t="str" cm="1">
        <f t="array" ref="D2537">IFERROR(INDEX(DB!G$2:G$2576,T2537),"")</f>
        <v/>
      </c>
      <c r="E2537" s="43"/>
      <c r="F2537" s="52" t="str" cm="1">
        <f t="array" ref="F2537">IFERROR(INDEX(DB!O$2:O$2576,T2537),"")</f>
        <v/>
      </c>
      <c r="G2537" s="43"/>
      <c r="H2537" s="40" t="str" cm="1">
        <f t="array" ref="H2537">IFERROR(INDEX(DB!P$2:P$2576,T2537),"")</f>
        <v/>
      </c>
      <c r="I2537" s="43"/>
      <c r="J2537" s="53" t="str" cm="1">
        <f t="array" ref="J2537">IFERROR(INDEX(DB!Q$2:Q$2576,T2537),"")</f>
        <v/>
      </c>
      <c r="K2537" s="43"/>
      <c r="L2537" s="41" t="str" cm="1">
        <f t="array" ref="L2537">IFERROR(INDEX(DB!R$2:R$2576,T2537),"")</f>
        <v/>
      </c>
      <c r="M2537" s="43"/>
      <c r="P2537" t="str" cm="1">
        <f t="array" ref="P2537">IFERROR(_xlfn.AGGREGATE(15,6,ROW(DB!A$2:A$2576)/((($D$3&lt;&gt;"YES")+($D$3="YES")*(DB!E$2:E$2576="YES"))*(($D$4="")+($D$4&lt;&gt;"")*( DB!B$2:B$2576=$D$4))*(($D$5="")+($D$5&lt;&gt;"")*( DB!C$2:C$2576=$D$5))*(($D$6="")+($D$6&lt;&gt;"")*( DB!D$2:D$2576=$D$6))*(($D$7="")+($D$7&lt;&gt;"")*(ISNUMBER(SEARCH($D$7,DB!G$2:G$2576))))*(($F$7="전체")+($F$7&lt;&gt;"전체")*(DB!H$2:H$2576=$F$7))),ROW()-13)-1,"")</f>
        <v/>
      </c>
      <c r="Q2537" t="str" cm="1">
        <f t="array" ref="Q2537">IFERROR(INDEX(DB!G$2:G$2576,P2537),"")</f>
        <v/>
      </c>
      <c r="R2537" t="str" cm="1">
        <f t="array" ref="R2537">IFERROR(INDEX(DB!O$2:O$2576,P2537),"")</f>
        <v/>
      </c>
      <c r="S2537" t="str">
        <f t="shared" si="120"/>
        <v/>
      </c>
      <c r="T2537" t="str">
        <f t="shared" si="121"/>
        <v/>
      </c>
    </row>
    <row r="2538" spans="1:20" ht="100" customHeight="1">
      <c r="A2538" s="26"/>
      <c r="B2538" s="39" t="str">
        <f t="shared" si="119"/>
        <v/>
      </c>
      <c r="C2538" s="43"/>
      <c r="D2538" s="51" t="str" cm="1">
        <f t="array" ref="D2538">IFERROR(INDEX(DB!G$2:G$2576,T2538),"")</f>
        <v/>
      </c>
      <c r="E2538" s="43"/>
      <c r="F2538" s="52" t="str" cm="1">
        <f t="array" ref="F2538">IFERROR(INDEX(DB!O$2:O$2576,T2538),"")</f>
        <v/>
      </c>
      <c r="G2538" s="43"/>
      <c r="H2538" s="40" t="str" cm="1">
        <f t="array" ref="H2538">IFERROR(INDEX(DB!P$2:P$2576,T2538),"")</f>
        <v/>
      </c>
      <c r="I2538" s="43"/>
      <c r="J2538" s="53" t="str" cm="1">
        <f t="array" ref="J2538">IFERROR(INDEX(DB!Q$2:Q$2576,T2538),"")</f>
        <v/>
      </c>
      <c r="K2538" s="43"/>
      <c r="L2538" s="41" t="str" cm="1">
        <f t="array" ref="L2538">IFERROR(INDEX(DB!R$2:R$2576,T2538),"")</f>
        <v/>
      </c>
      <c r="M2538" s="43"/>
      <c r="P2538" t="str" cm="1">
        <f t="array" ref="P2538">IFERROR(_xlfn.AGGREGATE(15,6,ROW(DB!A$2:A$2576)/((($D$3&lt;&gt;"YES")+($D$3="YES")*(DB!E$2:E$2576="YES"))*(($D$4="")+($D$4&lt;&gt;"")*( DB!B$2:B$2576=$D$4))*(($D$5="")+($D$5&lt;&gt;"")*( DB!C$2:C$2576=$D$5))*(($D$6="")+($D$6&lt;&gt;"")*( DB!D$2:D$2576=$D$6))*(($D$7="")+($D$7&lt;&gt;"")*(ISNUMBER(SEARCH($D$7,DB!G$2:G$2576))))*(($F$7="전체")+($F$7&lt;&gt;"전체")*(DB!H$2:H$2576=$F$7))),ROW()-13)-1,"")</f>
        <v/>
      </c>
      <c r="Q2538" t="str" cm="1">
        <f t="array" ref="Q2538">IFERROR(INDEX(DB!G$2:G$2576,P2538),"")</f>
        <v/>
      </c>
      <c r="R2538" t="str" cm="1">
        <f t="array" ref="R2538">IFERROR(INDEX(DB!O$2:O$2576,P2538),"")</f>
        <v/>
      </c>
      <c r="S2538" t="str">
        <f t="shared" si="120"/>
        <v/>
      </c>
      <c r="T2538" t="str">
        <f t="shared" si="121"/>
        <v/>
      </c>
    </row>
    <row r="2539" spans="1:20" ht="100" customHeight="1">
      <c r="A2539" s="26"/>
      <c r="B2539" s="42" t="str">
        <f t="shared" si="119"/>
        <v/>
      </c>
      <c r="C2539" s="43"/>
      <c r="D2539" s="51" t="str" cm="1">
        <f t="array" ref="D2539">IFERROR(INDEX(DB!G$2:G$2576,T2539),"")</f>
        <v/>
      </c>
      <c r="E2539" s="43"/>
      <c r="F2539" s="52" t="str" cm="1">
        <f t="array" ref="F2539">IFERROR(INDEX(DB!O$2:O$2576,T2539),"")</f>
        <v/>
      </c>
      <c r="G2539" s="43"/>
      <c r="H2539" s="40" t="str" cm="1">
        <f t="array" ref="H2539">IFERROR(INDEX(DB!P$2:P$2576,T2539),"")</f>
        <v/>
      </c>
      <c r="I2539" s="43"/>
      <c r="J2539" s="53" t="str" cm="1">
        <f t="array" ref="J2539">IFERROR(INDEX(DB!Q$2:Q$2576,T2539),"")</f>
        <v/>
      </c>
      <c r="K2539" s="43"/>
      <c r="L2539" s="41" t="str" cm="1">
        <f t="array" ref="L2539">IFERROR(INDEX(DB!R$2:R$2576,T2539),"")</f>
        <v/>
      </c>
      <c r="M2539" s="43"/>
      <c r="P2539" t="str" cm="1">
        <f t="array" ref="P2539">IFERROR(_xlfn.AGGREGATE(15,6,ROW(DB!A$2:A$2576)/((($D$3&lt;&gt;"YES")+($D$3="YES")*(DB!E$2:E$2576="YES"))*(($D$4="")+($D$4&lt;&gt;"")*( DB!B$2:B$2576=$D$4))*(($D$5="")+($D$5&lt;&gt;"")*( DB!C$2:C$2576=$D$5))*(($D$6="")+($D$6&lt;&gt;"")*( DB!D$2:D$2576=$D$6))*(($D$7="")+($D$7&lt;&gt;"")*(ISNUMBER(SEARCH($D$7,DB!G$2:G$2576))))*(($F$7="전체")+($F$7&lt;&gt;"전체")*(DB!H$2:H$2576=$F$7))),ROW()-13)-1,"")</f>
        <v/>
      </c>
      <c r="Q2539" t="str" cm="1">
        <f t="array" ref="Q2539">IFERROR(INDEX(DB!G$2:G$2576,P2539),"")</f>
        <v/>
      </c>
      <c r="R2539" t="str" cm="1">
        <f t="array" ref="R2539">IFERROR(INDEX(DB!O$2:O$2576,P2539),"")</f>
        <v/>
      </c>
      <c r="S2539" t="str">
        <f t="shared" si="120"/>
        <v/>
      </c>
      <c r="T2539" t="str">
        <f t="shared" si="121"/>
        <v/>
      </c>
    </row>
    <row r="2540" spans="1:20" ht="100" customHeight="1">
      <c r="A2540" s="26"/>
      <c r="B2540" s="39" t="str">
        <f t="shared" si="119"/>
        <v/>
      </c>
      <c r="C2540" s="43"/>
      <c r="D2540" s="51" t="str" cm="1">
        <f t="array" ref="D2540">IFERROR(INDEX(DB!G$2:G$2576,T2540),"")</f>
        <v/>
      </c>
      <c r="E2540" s="43"/>
      <c r="F2540" s="52" t="str" cm="1">
        <f t="array" ref="F2540">IFERROR(INDEX(DB!O$2:O$2576,T2540),"")</f>
        <v/>
      </c>
      <c r="G2540" s="43"/>
      <c r="H2540" s="40" t="str" cm="1">
        <f t="array" ref="H2540">IFERROR(INDEX(DB!P$2:P$2576,T2540),"")</f>
        <v/>
      </c>
      <c r="I2540" s="43"/>
      <c r="J2540" s="53" t="str" cm="1">
        <f t="array" ref="J2540">IFERROR(INDEX(DB!Q$2:Q$2576,T2540),"")</f>
        <v/>
      </c>
      <c r="K2540" s="43"/>
      <c r="L2540" s="41" t="str" cm="1">
        <f t="array" ref="L2540">IFERROR(INDEX(DB!R$2:R$2576,T2540),"")</f>
        <v/>
      </c>
      <c r="M2540" s="43"/>
      <c r="P2540" t="str" cm="1">
        <f t="array" ref="P2540">IFERROR(_xlfn.AGGREGATE(15,6,ROW(DB!A$2:A$2576)/((($D$3&lt;&gt;"YES")+($D$3="YES")*(DB!E$2:E$2576="YES"))*(($D$4="")+($D$4&lt;&gt;"")*( DB!B$2:B$2576=$D$4))*(($D$5="")+($D$5&lt;&gt;"")*( DB!C$2:C$2576=$D$5))*(($D$6="")+($D$6&lt;&gt;"")*( DB!D$2:D$2576=$D$6))*(($D$7="")+($D$7&lt;&gt;"")*(ISNUMBER(SEARCH($D$7,DB!G$2:G$2576))))*(($F$7="전체")+($F$7&lt;&gt;"전체")*(DB!H$2:H$2576=$F$7))),ROW()-13)-1,"")</f>
        <v/>
      </c>
      <c r="Q2540" t="str" cm="1">
        <f t="array" ref="Q2540">IFERROR(INDEX(DB!G$2:G$2576,P2540),"")</f>
        <v/>
      </c>
      <c r="R2540" t="str" cm="1">
        <f t="array" ref="R2540">IFERROR(INDEX(DB!O$2:O$2576,P2540),"")</f>
        <v/>
      </c>
      <c r="S2540" t="str">
        <f t="shared" si="120"/>
        <v/>
      </c>
      <c r="T2540" t="str">
        <f t="shared" si="121"/>
        <v/>
      </c>
    </row>
    <row r="2541" spans="1:20" ht="100" customHeight="1">
      <c r="A2541" s="26"/>
      <c r="B2541" s="42" t="str">
        <f t="shared" si="119"/>
        <v/>
      </c>
      <c r="C2541" s="43"/>
      <c r="D2541" s="51" t="str" cm="1">
        <f t="array" ref="D2541">IFERROR(INDEX(DB!G$2:G$2576,T2541),"")</f>
        <v/>
      </c>
      <c r="E2541" s="43"/>
      <c r="F2541" s="52" t="str" cm="1">
        <f t="array" ref="F2541">IFERROR(INDEX(DB!O$2:O$2576,T2541),"")</f>
        <v/>
      </c>
      <c r="G2541" s="43"/>
      <c r="H2541" s="40" t="str" cm="1">
        <f t="array" ref="H2541">IFERROR(INDEX(DB!P$2:P$2576,T2541),"")</f>
        <v/>
      </c>
      <c r="I2541" s="43"/>
      <c r="J2541" s="53" t="str" cm="1">
        <f t="array" ref="J2541">IFERROR(INDEX(DB!Q$2:Q$2576,T2541),"")</f>
        <v/>
      </c>
      <c r="K2541" s="43"/>
      <c r="L2541" s="41" t="str" cm="1">
        <f t="array" ref="L2541">IFERROR(INDEX(DB!R$2:R$2576,T2541),"")</f>
        <v/>
      </c>
      <c r="M2541" s="43"/>
      <c r="P2541" t="str" cm="1">
        <f t="array" ref="P2541">IFERROR(_xlfn.AGGREGATE(15,6,ROW(DB!A$2:A$2576)/((($D$3&lt;&gt;"YES")+($D$3="YES")*(DB!E$2:E$2576="YES"))*(($D$4="")+($D$4&lt;&gt;"")*( DB!B$2:B$2576=$D$4))*(($D$5="")+($D$5&lt;&gt;"")*( DB!C$2:C$2576=$D$5))*(($D$6="")+($D$6&lt;&gt;"")*( DB!D$2:D$2576=$D$6))*(($D$7="")+($D$7&lt;&gt;"")*(ISNUMBER(SEARCH($D$7,DB!G$2:G$2576))))*(($F$7="전체")+($F$7&lt;&gt;"전체")*(DB!H$2:H$2576=$F$7))),ROW()-13)-1,"")</f>
        <v/>
      </c>
      <c r="Q2541" t="str" cm="1">
        <f t="array" ref="Q2541">IFERROR(INDEX(DB!G$2:G$2576,P2541),"")</f>
        <v/>
      </c>
      <c r="R2541" t="str" cm="1">
        <f t="array" ref="R2541">IFERROR(INDEX(DB!O$2:O$2576,P2541),"")</f>
        <v/>
      </c>
      <c r="S2541" t="str">
        <f t="shared" si="120"/>
        <v/>
      </c>
      <c r="T2541" t="str">
        <f t="shared" si="121"/>
        <v/>
      </c>
    </row>
    <row r="2542" spans="1:20" ht="100" customHeight="1">
      <c r="A2542" s="26"/>
      <c r="B2542" s="39" t="str">
        <f t="shared" si="119"/>
        <v/>
      </c>
      <c r="C2542" s="43"/>
      <c r="D2542" s="51" t="str" cm="1">
        <f t="array" ref="D2542">IFERROR(INDEX(DB!G$2:G$2576,T2542),"")</f>
        <v/>
      </c>
      <c r="E2542" s="43"/>
      <c r="F2542" s="52" t="str" cm="1">
        <f t="array" ref="F2542">IFERROR(INDEX(DB!O$2:O$2576,T2542),"")</f>
        <v/>
      </c>
      <c r="G2542" s="43"/>
      <c r="H2542" s="40" t="str" cm="1">
        <f t="array" ref="H2542">IFERROR(INDEX(DB!P$2:P$2576,T2542),"")</f>
        <v/>
      </c>
      <c r="I2542" s="43"/>
      <c r="J2542" s="53" t="str" cm="1">
        <f t="array" ref="J2542">IFERROR(INDEX(DB!Q$2:Q$2576,T2542),"")</f>
        <v/>
      </c>
      <c r="K2542" s="43"/>
      <c r="L2542" s="41" t="str" cm="1">
        <f t="array" ref="L2542">IFERROR(INDEX(DB!R$2:R$2576,T2542),"")</f>
        <v/>
      </c>
      <c r="M2542" s="43"/>
      <c r="P2542" t="str" cm="1">
        <f t="array" ref="P2542">IFERROR(_xlfn.AGGREGATE(15,6,ROW(DB!A$2:A$2576)/((($D$3&lt;&gt;"YES")+($D$3="YES")*(DB!E$2:E$2576="YES"))*(($D$4="")+($D$4&lt;&gt;"")*( DB!B$2:B$2576=$D$4))*(($D$5="")+($D$5&lt;&gt;"")*( DB!C$2:C$2576=$D$5))*(($D$6="")+($D$6&lt;&gt;"")*( DB!D$2:D$2576=$D$6))*(($D$7="")+($D$7&lt;&gt;"")*(ISNUMBER(SEARCH($D$7,DB!G$2:G$2576))))*(($F$7="전체")+($F$7&lt;&gt;"전체")*(DB!H$2:H$2576=$F$7))),ROW()-13)-1,"")</f>
        <v/>
      </c>
      <c r="Q2542" t="str" cm="1">
        <f t="array" ref="Q2542">IFERROR(INDEX(DB!G$2:G$2576,P2542),"")</f>
        <v/>
      </c>
      <c r="R2542" t="str" cm="1">
        <f t="array" ref="R2542">IFERROR(INDEX(DB!O$2:O$2576,P2542),"")</f>
        <v/>
      </c>
      <c r="S2542" t="str">
        <f t="shared" si="120"/>
        <v/>
      </c>
      <c r="T2542" t="str">
        <f t="shared" si="121"/>
        <v/>
      </c>
    </row>
    <row r="2543" spans="1:20" ht="100" customHeight="1">
      <c r="A2543" s="26"/>
      <c r="B2543" s="42" t="str">
        <f t="shared" si="119"/>
        <v/>
      </c>
      <c r="C2543" s="43"/>
      <c r="D2543" s="51" t="str" cm="1">
        <f t="array" ref="D2543">IFERROR(INDEX(DB!G$2:G$2576,T2543),"")</f>
        <v/>
      </c>
      <c r="E2543" s="43"/>
      <c r="F2543" s="52" t="str" cm="1">
        <f t="array" ref="F2543">IFERROR(INDEX(DB!O$2:O$2576,T2543),"")</f>
        <v/>
      </c>
      <c r="G2543" s="43"/>
      <c r="H2543" s="40" t="str" cm="1">
        <f t="array" ref="H2543">IFERROR(INDEX(DB!P$2:P$2576,T2543),"")</f>
        <v/>
      </c>
      <c r="I2543" s="43"/>
      <c r="J2543" s="53" t="str" cm="1">
        <f t="array" ref="J2543">IFERROR(INDEX(DB!Q$2:Q$2576,T2543),"")</f>
        <v/>
      </c>
      <c r="K2543" s="43"/>
      <c r="L2543" s="41" t="str" cm="1">
        <f t="array" ref="L2543">IFERROR(INDEX(DB!R$2:R$2576,T2543),"")</f>
        <v/>
      </c>
      <c r="M2543" s="43"/>
      <c r="P2543" t="str" cm="1">
        <f t="array" ref="P2543">IFERROR(_xlfn.AGGREGATE(15,6,ROW(DB!A$2:A$2576)/((($D$3&lt;&gt;"YES")+($D$3="YES")*(DB!E$2:E$2576="YES"))*(($D$4="")+($D$4&lt;&gt;"")*( DB!B$2:B$2576=$D$4))*(($D$5="")+($D$5&lt;&gt;"")*( DB!C$2:C$2576=$D$5))*(($D$6="")+($D$6&lt;&gt;"")*( DB!D$2:D$2576=$D$6))*(($D$7="")+($D$7&lt;&gt;"")*(ISNUMBER(SEARCH($D$7,DB!G$2:G$2576))))*(($F$7="전체")+($F$7&lt;&gt;"전체")*(DB!H$2:H$2576=$F$7))),ROW()-13)-1,"")</f>
        <v/>
      </c>
      <c r="Q2543" t="str" cm="1">
        <f t="array" ref="Q2543">IFERROR(INDEX(DB!G$2:G$2576,P2543),"")</f>
        <v/>
      </c>
      <c r="R2543" t="str" cm="1">
        <f t="array" ref="R2543">IFERROR(INDEX(DB!O$2:O$2576,P2543),"")</f>
        <v/>
      </c>
      <c r="S2543" t="str">
        <f t="shared" si="120"/>
        <v/>
      </c>
      <c r="T2543" t="str">
        <f t="shared" si="121"/>
        <v/>
      </c>
    </row>
    <row r="2544" spans="1:20" ht="100" customHeight="1">
      <c r="A2544" s="26"/>
      <c r="B2544" s="39" t="str">
        <f t="shared" si="119"/>
        <v/>
      </c>
      <c r="C2544" s="43"/>
      <c r="D2544" s="51" t="str" cm="1">
        <f t="array" ref="D2544">IFERROR(INDEX(DB!G$2:G$2576,T2544),"")</f>
        <v/>
      </c>
      <c r="E2544" s="43"/>
      <c r="F2544" s="52" t="str" cm="1">
        <f t="array" ref="F2544">IFERROR(INDEX(DB!O$2:O$2576,T2544),"")</f>
        <v/>
      </c>
      <c r="G2544" s="43"/>
      <c r="H2544" s="40" t="str" cm="1">
        <f t="array" ref="H2544">IFERROR(INDEX(DB!P$2:P$2576,T2544),"")</f>
        <v/>
      </c>
      <c r="I2544" s="43"/>
      <c r="J2544" s="53" t="str" cm="1">
        <f t="array" ref="J2544">IFERROR(INDEX(DB!Q$2:Q$2576,T2544),"")</f>
        <v/>
      </c>
      <c r="K2544" s="43"/>
      <c r="L2544" s="41" t="str" cm="1">
        <f t="array" ref="L2544">IFERROR(INDEX(DB!R$2:R$2576,T2544),"")</f>
        <v/>
      </c>
      <c r="M2544" s="43"/>
      <c r="P2544" t="str" cm="1">
        <f t="array" ref="P2544">IFERROR(_xlfn.AGGREGATE(15,6,ROW(DB!A$2:A$2576)/((($D$3&lt;&gt;"YES")+($D$3="YES")*(DB!E$2:E$2576="YES"))*(($D$4="")+($D$4&lt;&gt;"")*( DB!B$2:B$2576=$D$4))*(($D$5="")+($D$5&lt;&gt;"")*( DB!C$2:C$2576=$D$5))*(($D$6="")+($D$6&lt;&gt;"")*( DB!D$2:D$2576=$D$6))*(($D$7="")+($D$7&lt;&gt;"")*(ISNUMBER(SEARCH($D$7,DB!G$2:G$2576))))*(($F$7="전체")+($F$7&lt;&gt;"전체")*(DB!H$2:H$2576=$F$7))),ROW()-13)-1,"")</f>
        <v/>
      </c>
      <c r="Q2544" t="str" cm="1">
        <f t="array" ref="Q2544">IFERROR(INDEX(DB!G$2:G$2576,P2544),"")</f>
        <v/>
      </c>
      <c r="R2544" t="str" cm="1">
        <f t="array" ref="R2544">IFERROR(INDEX(DB!O$2:O$2576,P2544),"")</f>
        <v/>
      </c>
      <c r="S2544" t="str">
        <f t="shared" si="120"/>
        <v/>
      </c>
      <c r="T2544" t="str">
        <f t="shared" si="121"/>
        <v/>
      </c>
    </row>
    <row r="2545" spans="1:20" ht="100" customHeight="1">
      <c r="A2545" s="26"/>
      <c r="B2545" s="42" t="str">
        <f t="shared" si="119"/>
        <v/>
      </c>
      <c r="C2545" s="43"/>
      <c r="D2545" s="51" t="str" cm="1">
        <f t="array" ref="D2545">IFERROR(INDEX(DB!G$2:G$2576,T2545),"")</f>
        <v/>
      </c>
      <c r="E2545" s="43"/>
      <c r="F2545" s="52" t="str" cm="1">
        <f t="array" ref="F2545">IFERROR(INDEX(DB!O$2:O$2576,T2545),"")</f>
        <v/>
      </c>
      <c r="G2545" s="43"/>
      <c r="H2545" s="40" t="str" cm="1">
        <f t="array" ref="H2545">IFERROR(INDEX(DB!P$2:P$2576,T2545),"")</f>
        <v/>
      </c>
      <c r="I2545" s="43"/>
      <c r="J2545" s="53" t="str" cm="1">
        <f t="array" ref="J2545">IFERROR(INDEX(DB!Q$2:Q$2576,T2545),"")</f>
        <v/>
      </c>
      <c r="K2545" s="43"/>
      <c r="L2545" s="41" t="str" cm="1">
        <f t="array" ref="L2545">IFERROR(INDEX(DB!R$2:R$2576,T2545),"")</f>
        <v/>
      </c>
      <c r="M2545" s="43"/>
      <c r="P2545" t="str" cm="1">
        <f t="array" ref="P2545">IFERROR(_xlfn.AGGREGATE(15,6,ROW(DB!A$2:A$2576)/((($D$3&lt;&gt;"YES")+($D$3="YES")*(DB!E$2:E$2576="YES"))*(($D$4="")+($D$4&lt;&gt;"")*( DB!B$2:B$2576=$D$4))*(($D$5="")+($D$5&lt;&gt;"")*( DB!C$2:C$2576=$D$5))*(($D$6="")+($D$6&lt;&gt;"")*( DB!D$2:D$2576=$D$6))*(($D$7="")+($D$7&lt;&gt;"")*(ISNUMBER(SEARCH($D$7,DB!G$2:G$2576))))*(($F$7="전체")+($F$7&lt;&gt;"전체")*(DB!H$2:H$2576=$F$7))),ROW()-13)-1,"")</f>
        <v/>
      </c>
      <c r="Q2545" t="str" cm="1">
        <f t="array" ref="Q2545">IFERROR(INDEX(DB!G$2:G$2576,P2545),"")</f>
        <v/>
      </c>
      <c r="R2545" t="str" cm="1">
        <f t="array" ref="R2545">IFERROR(INDEX(DB!O$2:O$2576,P2545),"")</f>
        <v/>
      </c>
      <c r="S2545" t="str">
        <f t="shared" si="120"/>
        <v/>
      </c>
      <c r="T2545" t="str">
        <f t="shared" si="121"/>
        <v/>
      </c>
    </row>
    <row r="2546" spans="1:20" ht="100" customHeight="1">
      <c r="A2546" s="26"/>
      <c r="B2546" s="39" t="str">
        <f t="shared" si="119"/>
        <v/>
      </c>
      <c r="C2546" s="43"/>
      <c r="D2546" s="51" t="str" cm="1">
        <f t="array" ref="D2546">IFERROR(INDEX(DB!G$2:G$2576,T2546),"")</f>
        <v/>
      </c>
      <c r="E2546" s="43"/>
      <c r="F2546" s="52" t="str" cm="1">
        <f t="array" ref="F2546">IFERROR(INDEX(DB!O$2:O$2576,T2546),"")</f>
        <v/>
      </c>
      <c r="G2546" s="43"/>
      <c r="H2546" s="40" t="str" cm="1">
        <f t="array" ref="H2546">IFERROR(INDEX(DB!P$2:P$2576,T2546),"")</f>
        <v/>
      </c>
      <c r="I2546" s="43"/>
      <c r="J2546" s="53" t="str" cm="1">
        <f t="array" ref="J2546">IFERROR(INDEX(DB!Q$2:Q$2576,T2546),"")</f>
        <v/>
      </c>
      <c r="K2546" s="43"/>
      <c r="L2546" s="41" t="str" cm="1">
        <f t="array" ref="L2546">IFERROR(INDEX(DB!R$2:R$2576,T2546),"")</f>
        <v/>
      </c>
      <c r="M2546" s="43"/>
      <c r="P2546" t="str" cm="1">
        <f t="array" ref="P2546">IFERROR(_xlfn.AGGREGATE(15,6,ROW(DB!A$2:A$2576)/((($D$3&lt;&gt;"YES")+($D$3="YES")*(DB!E$2:E$2576="YES"))*(($D$4="")+($D$4&lt;&gt;"")*( DB!B$2:B$2576=$D$4))*(($D$5="")+($D$5&lt;&gt;"")*( DB!C$2:C$2576=$D$5))*(($D$6="")+($D$6&lt;&gt;"")*( DB!D$2:D$2576=$D$6))*(($D$7="")+($D$7&lt;&gt;"")*(ISNUMBER(SEARCH($D$7,DB!G$2:G$2576))))*(($F$7="전체")+($F$7&lt;&gt;"전체")*(DB!H$2:H$2576=$F$7))),ROW()-13)-1,"")</f>
        <v/>
      </c>
      <c r="Q2546" t="str" cm="1">
        <f t="array" ref="Q2546">IFERROR(INDEX(DB!G$2:G$2576,P2546),"")</f>
        <v/>
      </c>
      <c r="R2546" t="str" cm="1">
        <f t="array" ref="R2546">IFERROR(INDEX(DB!O$2:O$2576,P2546),"")</f>
        <v/>
      </c>
      <c r="S2546" t="str">
        <f t="shared" si="120"/>
        <v/>
      </c>
      <c r="T2546" t="str">
        <f t="shared" si="121"/>
        <v/>
      </c>
    </row>
    <row r="2547" spans="1:20" ht="100" customHeight="1">
      <c r="A2547" s="26"/>
      <c r="B2547" s="42" t="str">
        <f t="shared" si="119"/>
        <v/>
      </c>
      <c r="C2547" s="43"/>
      <c r="D2547" s="51" t="str" cm="1">
        <f t="array" ref="D2547">IFERROR(INDEX(DB!G$2:G$2576,T2547),"")</f>
        <v/>
      </c>
      <c r="E2547" s="43"/>
      <c r="F2547" s="52" t="str" cm="1">
        <f t="array" ref="F2547">IFERROR(INDEX(DB!O$2:O$2576,T2547),"")</f>
        <v/>
      </c>
      <c r="G2547" s="43"/>
      <c r="H2547" s="40" t="str" cm="1">
        <f t="array" ref="H2547">IFERROR(INDEX(DB!P$2:P$2576,T2547),"")</f>
        <v/>
      </c>
      <c r="I2547" s="43"/>
      <c r="J2547" s="53" t="str" cm="1">
        <f t="array" ref="J2547">IFERROR(INDEX(DB!Q$2:Q$2576,T2547),"")</f>
        <v/>
      </c>
      <c r="K2547" s="43"/>
      <c r="L2547" s="41" t="str" cm="1">
        <f t="array" ref="L2547">IFERROR(INDEX(DB!R$2:R$2576,T2547),"")</f>
        <v/>
      </c>
      <c r="M2547" s="43"/>
      <c r="P2547" t="str" cm="1">
        <f t="array" ref="P2547">IFERROR(_xlfn.AGGREGATE(15,6,ROW(DB!A$2:A$2576)/((($D$3&lt;&gt;"YES")+($D$3="YES")*(DB!E$2:E$2576="YES"))*(($D$4="")+($D$4&lt;&gt;"")*( DB!B$2:B$2576=$D$4))*(($D$5="")+($D$5&lt;&gt;"")*( DB!C$2:C$2576=$D$5))*(($D$6="")+($D$6&lt;&gt;"")*( DB!D$2:D$2576=$D$6))*(($D$7="")+($D$7&lt;&gt;"")*(ISNUMBER(SEARCH($D$7,DB!G$2:G$2576))))*(($F$7="전체")+($F$7&lt;&gt;"전체")*(DB!H$2:H$2576=$F$7))),ROW()-13)-1,"")</f>
        <v/>
      </c>
      <c r="Q2547" t="str" cm="1">
        <f t="array" ref="Q2547">IFERROR(INDEX(DB!G$2:G$2576,P2547),"")</f>
        <v/>
      </c>
      <c r="R2547" t="str" cm="1">
        <f t="array" ref="R2547">IFERROR(INDEX(DB!O$2:O$2576,P2547),"")</f>
        <v/>
      </c>
      <c r="S2547" t="str">
        <f t="shared" si="120"/>
        <v/>
      </c>
      <c r="T2547" t="str">
        <f t="shared" si="121"/>
        <v/>
      </c>
    </row>
    <row r="2548" spans="1:20" ht="100" customHeight="1">
      <c r="A2548" s="26"/>
      <c r="B2548" s="39" t="str">
        <f t="shared" si="119"/>
        <v/>
      </c>
      <c r="C2548" s="43"/>
      <c r="D2548" s="51" t="str" cm="1">
        <f t="array" ref="D2548">IFERROR(INDEX(DB!G$2:G$2576,T2548),"")</f>
        <v/>
      </c>
      <c r="E2548" s="43"/>
      <c r="F2548" s="52" t="str" cm="1">
        <f t="array" ref="F2548">IFERROR(INDEX(DB!O$2:O$2576,T2548),"")</f>
        <v/>
      </c>
      <c r="G2548" s="43"/>
      <c r="H2548" s="40" t="str" cm="1">
        <f t="array" ref="H2548">IFERROR(INDEX(DB!P$2:P$2576,T2548),"")</f>
        <v/>
      </c>
      <c r="I2548" s="43"/>
      <c r="J2548" s="53" t="str" cm="1">
        <f t="array" ref="J2548">IFERROR(INDEX(DB!Q$2:Q$2576,T2548),"")</f>
        <v/>
      </c>
      <c r="K2548" s="43"/>
      <c r="L2548" s="41" t="str" cm="1">
        <f t="array" ref="L2548">IFERROR(INDEX(DB!R$2:R$2576,T2548),"")</f>
        <v/>
      </c>
      <c r="M2548" s="43"/>
      <c r="P2548" t="str" cm="1">
        <f t="array" ref="P2548">IFERROR(_xlfn.AGGREGATE(15,6,ROW(DB!A$2:A$2576)/((($D$3&lt;&gt;"YES")+($D$3="YES")*(DB!E$2:E$2576="YES"))*(($D$4="")+($D$4&lt;&gt;"")*( DB!B$2:B$2576=$D$4))*(($D$5="")+($D$5&lt;&gt;"")*( DB!C$2:C$2576=$D$5))*(($D$6="")+($D$6&lt;&gt;"")*( DB!D$2:D$2576=$D$6))*(($D$7="")+($D$7&lt;&gt;"")*(ISNUMBER(SEARCH($D$7,DB!G$2:G$2576))))*(($F$7="전체")+($F$7&lt;&gt;"전체")*(DB!H$2:H$2576=$F$7))),ROW()-13)-1,"")</f>
        <v/>
      </c>
      <c r="Q2548" t="str" cm="1">
        <f t="array" ref="Q2548">IFERROR(INDEX(DB!G$2:G$2576,P2548),"")</f>
        <v/>
      </c>
      <c r="R2548" t="str" cm="1">
        <f t="array" ref="R2548">IFERROR(INDEX(DB!O$2:O$2576,P2548),"")</f>
        <v/>
      </c>
      <c r="S2548" t="str">
        <f t="shared" si="120"/>
        <v/>
      </c>
      <c r="T2548" t="str">
        <f t="shared" si="121"/>
        <v/>
      </c>
    </row>
    <row r="2549" spans="1:20" ht="100" customHeight="1">
      <c r="A2549" s="26"/>
      <c r="B2549" s="42" t="str">
        <f t="shared" si="119"/>
        <v/>
      </c>
      <c r="C2549" s="43"/>
      <c r="D2549" s="51" t="str" cm="1">
        <f t="array" ref="D2549">IFERROR(INDEX(DB!G$2:G$2576,T2549),"")</f>
        <v/>
      </c>
      <c r="E2549" s="43"/>
      <c r="F2549" s="52" t="str" cm="1">
        <f t="array" ref="F2549">IFERROR(INDEX(DB!O$2:O$2576,T2549),"")</f>
        <v/>
      </c>
      <c r="G2549" s="43"/>
      <c r="H2549" s="40" t="str" cm="1">
        <f t="array" ref="H2549">IFERROR(INDEX(DB!P$2:P$2576,T2549),"")</f>
        <v/>
      </c>
      <c r="I2549" s="43"/>
      <c r="J2549" s="53" t="str" cm="1">
        <f t="array" ref="J2549">IFERROR(INDEX(DB!Q$2:Q$2576,T2549),"")</f>
        <v/>
      </c>
      <c r="K2549" s="43"/>
      <c r="L2549" s="41" t="str" cm="1">
        <f t="array" ref="L2549">IFERROR(INDEX(DB!R$2:R$2576,T2549),"")</f>
        <v/>
      </c>
      <c r="M2549" s="43"/>
      <c r="P2549" t="str" cm="1">
        <f t="array" ref="P2549">IFERROR(_xlfn.AGGREGATE(15,6,ROW(DB!A$2:A$2576)/((($D$3&lt;&gt;"YES")+($D$3="YES")*(DB!E$2:E$2576="YES"))*(($D$4="")+($D$4&lt;&gt;"")*( DB!B$2:B$2576=$D$4))*(($D$5="")+($D$5&lt;&gt;"")*( DB!C$2:C$2576=$D$5))*(($D$6="")+($D$6&lt;&gt;"")*( DB!D$2:D$2576=$D$6))*(($D$7="")+($D$7&lt;&gt;"")*(ISNUMBER(SEARCH($D$7,DB!G$2:G$2576))))*(($F$7="전체")+($F$7&lt;&gt;"전체")*(DB!H$2:H$2576=$F$7))),ROW()-13)-1,"")</f>
        <v/>
      </c>
      <c r="Q2549" t="str" cm="1">
        <f t="array" ref="Q2549">IFERROR(INDEX(DB!G$2:G$2576,P2549),"")</f>
        <v/>
      </c>
      <c r="R2549" t="str" cm="1">
        <f t="array" ref="R2549">IFERROR(INDEX(DB!O$2:O$2576,P2549),"")</f>
        <v/>
      </c>
      <c r="S2549" t="str">
        <f t="shared" si="120"/>
        <v/>
      </c>
      <c r="T2549" t="str">
        <f t="shared" si="121"/>
        <v/>
      </c>
    </row>
    <row r="2550" spans="1:20" ht="100" customHeight="1">
      <c r="A2550" s="26"/>
      <c r="B2550" s="39" t="str">
        <f t="shared" si="119"/>
        <v/>
      </c>
      <c r="C2550" s="43"/>
      <c r="D2550" s="51" t="str" cm="1">
        <f t="array" ref="D2550">IFERROR(INDEX(DB!G$2:G$2576,T2550),"")</f>
        <v/>
      </c>
      <c r="E2550" s="43"/>
      <c r="F2550" s="52" t="str" cm="1">
        <f t="array" ref="F2550">IFERROR(INDEX(DB!O$2:O$2576,T2550),"")</f>
        <v/>
      </c>
      <c r="G2550" s="43"/>
      <c r="H2550" s="40" t="str" cm="1">
        <f t="array" ref="H2550">IFERROR(INDEX(DB!P$2:P$2576,T2550),"")</f>
        <v/>
      </c>
      <c r="I2550" s="43"/>
      <c r="J2550" s="53" t="str" cm="1">
        <f t="array" ref="J2550">IFERROR(INDEX(DB!Q$2:Q$2576,T2550),"")</f>
        <v/>
      </c>
      <c r="K2550" s="43"/>
      <c r="L2550" s="41" t="str" cm="1">
        <f t="array" ref="L2550">IFERROR(INDEX(DB!R$2:R$2576,T2550),"")</f>
        <v/>
      </c>
      <c r="M2550" s="43"/>
      <c r="P2550" t="str" cm="1">
        <f t="array" ref="P2550">IFERROR(_xlfn.AGGREGATE(15,6,ROW(DB!A$2:A$2576)/((($D$3&lt;&gt;"YES")+($D$3="YES")*(DB!E$2:E$2576="YES"))*(($D$4="")+($D$4&lt;&gt;"")*( DB!B$2:B$2576=$D$4))*(($D$5="")+($D$5&lt;&gt;"")*( DB!C$2:C$2576=$D$5))*(($D$6="")+($D$6&lt;&gt;"")*( DB!D$2:D$2576=$D$6))*(($D$7="")+($D$7&lt;&gt;"")*(ISNUMBER(SEARCH($D$7,DB!G$2:G$2576))))*(($F$7="전체")+($F$7&lt;&gt;"전체")*(DB!H$2:H$2576=$F$7))),ROW()-13)-1,"")</f>
        <v/>
      </c>
      <c r="Q2550" t="str" cm="1">
        <f t="array" ref="Q2550">IFERROR(INDEX(DB!G$2:G$2576,P2550),"")</f>
        <v/>
      </c>
      <c r="R2550" t="str" cm="1">
        <f t="array" ref="R2550">IFERROR(INDEX(DB!O$2:O$2576,P2550),"")</f>
        <v/>
      </c>
      <c r="S2550" t="str">
        <f t="shared" si="120"/>
        <v/>
      </c>
      <c r="T2550" t="str">
        <f t="shared" si="121"/>
        <v/>
      </c>
    </row>
    <row r="2551" spans="1:20" ht="100" customHeight="1">
      <c r="A2551" s="26"/>
      <c r="B2551" s="42" t="str">
        <f t="shared" si="119"/>
        <v/>
      </c>
      <c r="C2551" s="43"/>
      <c r="D2551" s="51" t="str" cm="1">
        <f t="array" ref="D2551">IFERROR(INDEX(DB!G$2:G$2576,T2551),"")</f>
        <v/>
      </c>
      <c r="E2551" s="43"/>
      <c r="F2551" s="52" t="str" cm="1">
        <f t="array" ref="F2551">IFERROR(INDEX(DB!O$2:O$2576,T2551),"")</f>
        <v/>
      </c>
      <c r="G2551" s="43"/>
      <c r="H2551" s="40" t="str" cm="1">
        <f t="array" ref="H2551">IFERROR(INDEX(DB!P$2:P$2576,T2551),"")</f>
        <v/>
      </c>
      <c r="I2551" s="43"/>
      <c r="J2551" s="53" t="str" cm="1">
        <f t="array" ref="J2551">IFERROR(INDEX(DB!Q$2:Q$2576,T2551),"")</f>
        <v/>
      </c>
      <c r="K2551" s="43"/>
      <c r="L2551" s="41" t="str" cm="1">
        <f t="array" ref="L2551">IFERROR(INDEX(DB!R$2:R$2576,T2551),"")</f>
        <v/>
      </c>
      <c r="M2551" s="43"/>
      <c r="P2551" t="str" cm="1">
        <f t="array" ref="P2551">IFERROR(_xlfn.AGGREGATE(15,6,ROW(DB!A$2:A$2576)/((($D$3&lt;&gt;"YES")+($D$3="YES")*(DB!E$2:E$2576="YES"))*(($D$4="")+($D$4&lt;&gt;"")*( DB!B$2:B$2576=$D$4))*(($D$5="")+($D$5&lt;&gt;"")*( DB!C$2:C$2576=$D$5))*(($D$6="")+($D$6&lt;&gt;"")*( DB!D$2:D$2576=$D$6))*(($D$7="")+($D$7&lt;&gt;"")*(ISNUMBER(SEARCH($D$7,DB!G$2:G$2576))))*(($F$7="전체")+($F$7&lt;&gt;"전체")*(DB!H$2:H$2576=$F$7))),ROW()-13)-1,"")</f>
        <v/>
      </c>
      <c r="Q2551" t="str" cm="1">
        <f t="array" ref="Q2551">IFERROR(INDEX(DB!G$2:G$2576,P2551),"")</f>
        <v/>
      </c>
      <c r="R2551" t="str" cm="1">
        <f t="array" ref="R2551">IFERROR(INDEX(DB!O$2:O$2576,P2551),"")</f>
        <v/>
      </c>
      <c r="S2551" t="str">
        <f t="shared" si="120"/>
        <v/>
      </c>
      <c r="T2551" t="str">
        <f t="shared" si="121"/>
        <v/>
      </c>
    </row>
    <row r="2552" spans="1:20" ht="100" customHeight="1">
      <c r="A2552" s="26"/>
      <c r="B2552" s="39" t="str">
        <f t="shared" si="119"/>
        <v/>
      </c>
      <c r="C2552" s="43"/>
      <c r="D2552" s="51" t="str" cm="1">
        <f t="array" ref="D2552">IFERROR(INDEX(DB!G$2:G$2576,T2552),"")</f>
        <v/>
      </c>
      <c r="E2552" s="43"/>
      <c r="F2552" s="52" t="str" cm="1">
        <f t="array" ref="F2552">IFERROR(INDEX(DB!O$2:O$2576,T2552),"")</f>
        <v/>
      </c>
      <c r="G2552" s="43"/>
      <c r="H2552" s="40" t="str" cm="1">
        <f t="array" ref="H2552">IFERROR(INDEX(DB!P$2:P$2576,T2552),"")</f>
        <v/>
      </c>
      <c r="I2552" s="43"/>
      <c r="J2552" s="53" t="str" cm="1">
        <f t="array" ref="J2552">IFERROR(INDEX(DB!Q$2:Q$2576,T2552),"")</f>
        <v/>
      </c>
      <c r="K2552" s="43"/>
      <c r="L2552" s="41" t="str" cm="1">
        <f t="array" ref="L2552">IFERROR(INDEX(DB!R$2:R$2576,T2552),"")</f>
        <v/>
      </c>
      <c r="M2552" s="43"/>
      <c r="P2552" t="str" cm="1">
        <f t="array" ref="P2552">IFERROR(_xlfn.AGGREGATE(15,6,ROW(DB!A$2:A$2576)/((($D$3&lt;&gt;"YES")+($D$3="YES")*(DB!E$2:E$2576="YES"))*(($D$4="")+($D$4&lt;&gt;"")*( DB!B$2:B$2576=$D$4))*(($D$5="")+($D$5&lt;&gt;"")*( DB!C$2:C$2576=$D$5))*(($D$6="")+($D$6&lt;&gt;"")*( DB!D$2:D$2576=$D$6))*(($D$7="")+($D$7&lt;&gt;"")*(ISNUMBER(SEARCH($D$7,DB!G$2:G$2576))))*(($F$7="전체")+($F$7&lt;&gt;"전체")*(DB!H$2:H$2576=$F$7))),ROW()-13)-1,"")</f>
        <v/>
      </c>
      <c r="Q2552" t="str" cm="1">
        <f t="array" ref="Q2552">IFERROR(INDEX(DB!G$2:G$2576,P2552),"")</f>
        <v/>
      </c>
      <c r="R2552" t="str" cm="1">
        <f t="array" ref="R2552">IFERROR(INDEX(DB!O$2:O$2576,P2552),"")</f>
        <v/>
      </c>
      <c r="S2552" t="str">
        <f t="shared" si="120"/>
        <v/>
      </c>
      <c r="T2552" t="str">
        <f t="shared" si="121"/>
        <v/>
      </c>
    </row>
    <row r="2553" spans="1:20" ht="100" customHeight="1">
      <c r="A2553" s="26"/>
      <c r="B2553" s="42" t="str">
        <f t="shared" si="119"/>
        <v/>
      </c>
      <c r="C2553" s="43"/>
      <c r="D2553" s="51" t="str" cm="1">
        <f t="array" ref="D2553">IFERROR(INDEX(DB!G$2:G$2576,T2553),"")</f>
        <v/>
      </c>
      <c r="E2553" s="43"/>
      <c r="F2553" s="52" t="str" cm="1">
        <f t="array" ref="F2553">IFERROR(INDEX(DB!O$2:O$2576,T2553),"")</f>
        <v/>
      </c>
      <c r="G2553" s="43"/>
      <c r="H2553" s="40" t="str" cm="1">
        <f t="array" ref="H2553">IFERROR(INDEX(DB!P$2:P$2576,T2553),"")</f>
        <v/>
      </c>
      <c r="I2553" s="43"/>
      <c r="J2553" s="53" t="str" cm="1">
        <f t="array" ref="J2553">IFERROR(INDEX(DB!Q$2:Q$2576,T2553),"")</f>
        <v/>
      </c>
      <c r="K2553" s="43"/>
      <c r="L2553" s="41" t="str" cm="1">
        <f t="array" ref="L2553">IFERROR(INDEX(DB!R$2:R$2576,T2553),"")</f>
        <v/>
      </c>
      <c r="M2553" s="43"/>
      <c r="P2553" t="str" cm="1">
        <f t="array" ref="P2553">IFERROR(_xlfn.AGGREGATE(15,6,ROW(DB!A$2:A$2576)/((($D$3&lt;&gt;"YES")+($D$3="YES")*(DB!E$2:E$2576="YES"))*(($D$4="")+($D$4&lt;&gt;"")*( DB!B$2:B$2576=$D$4))*(($D$5="")+($D$5&lt;&gt;"")*( DB!C$2:C$2576=$D$5))*(($D$6="")+($D$6&lt;&gt;"")*( DB!D$2:D$2576=$D$6))*(($D$7="")+($D$7&lt;&gt;"")*(ISNUMBER(SEARCH($D$7,DB!G$2:G$2576))))*(($F$7="전체")+($F$7&lt;&gt;"전체")*(DB!H$2:H$2576=$F$7))),ROW()-13)-1,"")</f>
        <v/>
      </c>
      <c r="Q2553" t="str" cm="1">
        <f t="array" ref="Q2553">IFERROR(INDEX(DB!G$2:G$2576,P2553),"")</f>
        <v/>
      </c>
      <c r="R2553" t="str" cm="1">
        <f t="array" ref="R2553">IFERROR(INDEX(DB!O$2:O$2576,P2553),"")</f>
        <v/>
      </c>
      <c r="S2553" t="str">
        <f t="shared" si="120"/>
        <v/>
      </c>
      <c r="T2553" t="str">
        <f t="shared" si="121"/>
        <v/>
      </c>
    </row>
    <row r="2554" spans="1:20" ht="100" customHeight="1">
      <c r="A2554" s="26"/>
      <c r="B2554" s="39" t="str">
        <f t="shared" si="119"/>
        <v/>
      </c>
      <c r="C2554" s="43"/>
      <c r="D2554" s="51" t="str" cm="1">
        <f t="array" ref="D2554">IFERROR(INDEX(DB!G$2:G$2576,T2554),"")</f>
        <v/>
      </c>
      <c r="E2554" s="43"/>
      <c r="F2554" s="52" t="str" cm="1">
        <f t="array" ref="F2554">IFERROR(INDEX(DB!O$2:O$2576,T2554),"")</f>
        <v/>
      </c>
      <c r="G2554" s="43"/>
      <c r="H2554" s="40" t="str" cm="1">
        <f t="array" ref="H2554">IFERROR(INDEX(DB!P$2:P$2576,T2554),"")</f>
        <v/>
      </c>
      <c r="I2554" s="43"/>
      <c r="J2554" s="53" t="str" cm="1">
        <f t="array" ref="J2554">IFERROR(INDEX(DB!Q$2:Q$2576,T2554),"")</f>
        <v/>
      </c>
      <c r="K2554" s="43"/>
      <c r="L2554" s="41" t="str" cm="1">
        <f t="array" ref="L2554">IFERROR(INDEX(DB!R$2:R$2576,T2554),"")</f>
        <v/>
      </c>
      <c r="M2554" s="43"/>
      <c r="P2554" t="str" cm="1">
        <f t="array" ref="P2554">IFERROR(_xlfn.AGGREGATE(15,6,ROW(DB!A$2:A$2576)/((($D$3&lt;&gt;"YES")+($D$3="YES")*(DB!E$2:E$2576="YES"))*(($D$4="")+($D$4&lt;&gt;"")*( DB!B$2:B$2576=$D$4))*(($D$5="")+($D$5&lt;&gt;"")*( DB!C$2:C$2576=$D$5))*(($D$6="")+($D$6&lt;&gt;"")*( DB!D$2:D$2576=$D$6))*(($D$7="")+($D$7&lt;&gt;"")*(ISNUMBER(SEARCH($D$7,DB!G$2:G$2576))))*(($F$7="전체")+($F$7&lt;&gt;"전체")*(DB!H$2:H$2576=$F$7))),ROW()-13)-1,"")</f>
        <v/>
      </c>
      <c r="Q2554" t="str" cm="1">
        <f t="array" ref="Q2554">IFERROR(INDEX(DB!G$2:G$2576,P2554),"")</f>
        <v/>
      </c>
      <c r="R2554" t="str" cm="1">
        <f t="array" ref="R2554">IFERROR(INDEX(DB!O$2:O$2576,P2554),"")</f>
        <v/>
      </c>
      <c r="S2554" t="str">
        <f t="shared" si="120"/>
        <v/>
      </c>
      <c r="T2554" t="str">
        <f t="shared" si="121"/>
        <v/>
      </c>
    </row>
    <row r="2555" spans="1:20" ht="100" customHeight="1">
      <c r="A2555" s="26"/>
      <c r="B2555" s="42" t="str">
        <f t="shared" si="119"/>
        <v/>
      </c>
      <c r="C2555" s="43"/>
      <c r="D2555" s="51" t="str" cm="1">
        <f t="array" ref="D2555">IFERROR(INDEX(DB!G$2:G$2576,T2555),"")</f>
        <v/>
      </c>
      <c r="E2555" s="43"/>
      <c r="F2555" s="52" t="str" cm="1">
        <f t="array" ref="F2555">IFERROR(INDEX(DB!O$2:O$2576,T2555),"")</f>
        <v/>
      </c>
      <c r="G2555" s="43"/>
      <c r="H2555" s="40" t="str" cm="1">
        <f t="array" ref="H2555">IFERROR(INDEX(DB!P$2:P$2576,T2555),"")</f>
        <v/>
      </c>
      <c r="I2555" s="43"/>
      <c r="J2555" s="53" t="str" cm="1">
        <f t="array" ref="J2555">IFERROR(INDEX(DB!Q$2:Q$2576,T2555),"")</f>
        <v/>
      </c>
      <c r="K2555" s="43"/>
      <c r="L2555" s="41" t="str" cm="1">
        <f t="array" ref="L2555">IFERROR(INDEX(DB!R$2:R$2576,T2555),"")</f>
        <v/>
      </c>
      <c r="M2555" s="43"/>
      <c r="P2555" t="str" cm="1">
        <f t="array" ref="P2555">IFERROR(_xlfn.AGGREGATE(15,6,ROW(DB!A$2:A$2576)/((($D$3&lt;&gt;"YES")+($D$3="YES")*(DB!E$2:E$2576="YES"))*(($D$4="")+($D$4&lt;&gt;"")*( DB!B$2:B$2576=$D$4))*(($D$5="")+($D$5&lt;&gt;"")*( DB!C$2:C$2576=$D$5))*(($D$6="")+($D$6&lt;&gt;"")*( DB!D$2:D$2576=$D$6))*(($D$7="")+($D$7&lt;&gt;"")*(ISNUMBER(SEARCH($D$7,DB!G$2:G$2576))))*(($F$7="전체")+($F$7&lt;&gt;"전체")*(DB!H$2:H$2576=$F$7))),ROW()-13)-1,"")</f>
        <v/>
      </c>
      <c r="Q2555" t="str" cm="1">
        <f t="array" ref="Q2555">IFERROR(INDEX(DB!G$2:G$2576,P2555),"")</f>
        <v/>
      </c>
      <c r="R2555" t="str" cm="1">
        <f t="array" ref="R2555">IFERROR(INDEX(DB!O$2:O$2576,P2555),"")</f>
        <v/>
      </c>
      <c r="S2555" t="str">
        <f t="shared" si="120"/>
        <v/>
      </c>
      <c r="T2555" t="str">
        <f t="shared" si="121"/>
        <v/>
      </c>
    </row>
    <row r="2556" spans="1:20" ht="100" customHeight="1">
      <c r="A2556" s="26"/>
      <c r="B2556" s="39" t="str">
        <f t="shared" si="119"/>
        <v/>
      </c>
      <c r="C2556" s="43"/>
      <c r="D2556" s="51" t="str" cm="1">
        <f t="array" ref="D2556">IFERROR(INDEX(DB!G$2:G$2576,T2556),"")</f>
        <v/>
      </c>
      <c r="E2556" s="43"/>
      <c r="F2556" s="52" t="str" cm="1">
        <f t="array" ref="F2556">IFERROR(INDEX(DB!O$2:O$2576,T2556),"")</f>
        <v/>
      </c>
      <c r="G2556" s="43"/>
      <c r="H2556" s="40" t="str" cm="1">
        <f t="array" ref="H2556">IFERROR(INDEX(DB!P$2:P$2576,T2556),"")</f>
        <v/>
      </c>
      <c r="I2556" s="43"/>
      <c r="J2556" s="53" t="str" cm="1">
        <f t="array" ref="J2556">IFERROR(INDEX(DB!Q$2:Q$2576,T2556),"")</f>
        <v/>
      </c>
      <c r="K2556" s="43"/>
      <c r="L2556" s="41" t="str" cm="1">
        <f t="array" ref="L2556">IFERROR(INDEX(DB!R$2:R$2576,T2556),"")</f>
        <v/>
      </c>
      <c r="M2556" s="43"/>
      <c r="P2556" t="str" cm="1">
        <f t="array" ref="P2556">IFERROR(_xlfn.AGGREGATE(15,6,ROW(DB!A$2:A$2576)/((($D$3&lt;&gt;"YES")+($D$3="YES")*(DB!E$2:E$2576="YES"))*(($D$4="")+($D$4&lt;&gt;"")*( DB!B$2:B$2576=$D$4))*(($D$5="")+($D$5&lt;&gt;"")*( DB!C$2:C$2576=$D$5))*(($D$6="")+($D$6&lt;&gt;"")*( DB!D$2:D$2576=$D$6))*(($D$7="")+($D$7&lt;&gt;"")*(ISNUMBER(SEARCH($D$7,DB!G$2:G$2576))))*(($F$7="전체")+($F$7&lt;&gt;"전체")*(DB!H$2:H$2576=$F$7))),ROW()-13)-1,"")</f>
        <v/>
      </c>
      <c r="Q2556" t="str" cm="1">
        <f t="array" ref="Q2556">IFERROR(INDEX(DB!G$2:G$2576,P2556),"")</f>
        <v/>
      </c>
      <c r="R2556" t="str" cm="1">
        <f t="array" ref="R2556">IFERROR(INDEX(DB!O$2:O$2576,P2556),"")</f>
        <v/>
      </c>
      <c r="S2556" t="str">
        <f t="shared" si="120"/>
        <v/>
      </c>
      <c r="T2556" t="str">
        <f t="shared" si="121"/>
        <v/>
      </c>
    </row>
    <row r="2557" spans="1:20" ht="100" customHeight="1">
      <c r="A2557" s="26"/>
      <c r="B2557" s="42" t="str">
        <f t="shared" si="119"/>
        <v/>
      </c>
      <c r="C2557" s="43"/>
      <c r="D2557" s="51" t="str" cm="1">
        <f t="array" ref="D2557">IFERROR(INDEX(DB!G$2:G$2576,T2557),"")</f>
        <v/>
      </c>
      <c r="E2557" s="43"/>
      <c r="F2557" s="52" t="str" cm="1">
        <f t="array" ref="F2557">IFERROR(INDEX(DB!O$2:O$2576,T2557),"")</f>
        <v/>
      </c>
      <c r="G2557" s="43"/>
      <c r="H2557" s="40" t="str" cm="1">
        <f t="array" ref="H2557">IFERROR(INDEX(DB!P$2:P$2576,T2557),"")</f>
        <v/>
      </c>
      <c r="I2557" s="43"/>
      <c r="J2557" s="53" t="str" cm="1">
        <f t="array" ref="J2557">IFERROR(INDEX(DB!Q$2:Q$2576,T2557),"")</f>
        <v/>
      </c>
      <c r="K2557" s="43"/>
      <c r="L2557" s="41" t="str" cm="1">
        <f t="array" ref="L2557">IFERROR(INDEX(DB!R$2:R$2576,T2557),"")</f>
        <v/>
      </c>
      <c r="M2557" s="43"/>
      <c r="P2557" t="str" cm="1">
        <f t="array" ref="P2557">IFERROR(_xlfn.AGGREGATE(15,6,ROW(DB!A$2:A$2576)/((($D$3&lt;&gt;"YES")+($D$3="YES")*(DB!E$2:E$2576="YES"))*(($D$4="")+($D$4&lt;&gt;"")*( DB!B$2:B$2576=$D$4))*(($D$5="")+($D$5&lt;&gt;"")*( DB!C$2:C$2576=$D$5))*(($D$6="")+($D$6&lt;&gt;"")*( DB!D$2:D$2576=$D$6))*(($D$7="")+($D$7&lt;&gt;"")*(ISNUMBER(SEARCH($D$7,DB!G$2:G$2576))))*(($F$7="전체")+($F$7&lt;&gt;"전체")*(DB!H$2:H$2576=$F$7))),ROW()-13)-1,"")</f>
        <v/>
      </c>
      <c r="Q2557" t="str" cm="1">
        <f t="array" ref="Q2557">IFERROR(INDEX(DB!G$2:G$2576,P2557),"")</f>
        <v/>
      </c>
      <c r="R2557" t="str" cm="1">
        <f t="array" ref="R2557">IFERROR(INDEX(DB!O$2:O$2576,P2557),"")</f>
        <v/>
      </c>
      <c r="S2557" t="str">
        <f t="shared" si="120"/>
        <v/>
      </c>
      <c r="T2557" t="str">
        <f t="shared" si="121"/>
        <v/>
      </c>
    </row>
    <row r="2558" spans="1:20" ht="100" customHeight="1">
      <c r="A2558" s="26"/>
      <c r="B2558" s="39" t="str">
        <f t="shared" si="119"/>
        <v/>
      </c>
      <c r="C2558" s="43"/>
      <c r="D2558" s="51" t="str" cm="1">
        <f t="array" ref="D2558">IFERROR(INDEX(DB!G$2:G$2576,T2558),"")</f>
        <v/>
      </c>
      <c r="E2558" s="43"/>
      <c r="F2558" s="52" t="str" cm="1">
        <f t="array" ref="F2558">IFERROR(INDEX(DB!O$2:O$2576,T2558),"")</f>
        <v/>
      </c>
      <c r="G2558" s="43"/>
      <c r="H2558" s="40" t="str" cm="1">
        <f t="array" ref="H2558">IFERROR(INDEX(DB!P$2:P$2576,T2558),"")</f>
        <v/>
      </c>
      <c r="I2558" s="43"/>
      <c r="J2558" s="53" t="str" cm="1">
        <f t="array" ref="J2558">IFERROR(INDEX(DB!Q$2:Q$2576,T2558),"")</f>
        <v/>
      </c>
      <c r="K2558" s="43"/>
      <c r="L2558" s="41" t="str" cm="1">
        <f t="array" ref="L2558">IFERROR(INDEX(DB!R$2:R$2576,T2558),"")</f>
        <v/>
      </c>
      <c r="M2558" s="43"/>
      <c r="P2558" t="str" cm="1">
        <f t="array" ref="P2558">IFERROR(_xlfn.AGGREGATE(15,6,ROW(DB!A$2:A$2576)/((($D$3&lt;&gt;"YES")+($D$3="YES")*(DB!E$2:E$2576="YES"))*(($D$4="")+($D$4&lt;&gt;"")*( DB!B$2:B$2576=$D$4))*(($D$5="")+($D$5&lt;&gt;"")*( DB!C$2:C$2576=$D$5))*(($D$6="")+($D$6&lt;&gt;"")*( DB!D$2:D$2576=$D$6))*(($D$7="")+($D$7&lt;&gt;"")*(ISNUMBER(SEARCH($D$7,DB!G$2:G$2576))))*(($F$7="전체")+($F$7&lt;&gt;"전체")*(DB!H$2:H$2576=$F$7))),ROW()-13)-1,"")</f>
        <v/>
      </c>
      <c r="Q2558" t="str" cm="1">
        <f t="array" ref="Q2558">IFERROR(INDEX(DB!G$2:G$2576,P2558),"")</f>
        <v/>
      </c>
      <c r="R2558" t="str" cm="1">
        <f t="array" ref="R2558">IFERROR(INDEX(DB!O$2:O$2576,P2558),"")</f>
        <v/>
      </c>
      <c r="S2558" t="str">
        <f t="shared" si="120"/>
        <v/>
      </c>
      <c r="T2558" t="str">
        <f t="shared" si="121"/>
        <v/>
      </c>
    </row>
    <row r="2559" spans="1:20" ht="100" customHeight="1">
      <c r="A2559" s="26"/>
      <c r="B2559" s="42" t="str">
        <f t="shared" si="119"/>
        <v/>
      </c>
      <c r="C2559" s="43"/>
      <c r="D2559" s="51" t="str" cm="1">
        <f t="array" ref="D2559">IFERROR(INDEX(DB!G$2:G$2576,T2559),"")</f>
        <v/>
      </c>
      <c r="E2559" s="43"/>
      <c r="F2559" s="52" t="str" cm="1">
        <f t="array" ref="F2559">IFERROR(INDEX(DB!O$2:O$2576,T2559),"")</f>
        <v/>
      </c>
      <c r="G2559" s="43"/>
      <c r="H2559" s="40" t="str" cm="1">
        <f t="array" ref="H2559">IFERROR(INDEX(DB!P$2:P$2576,T2559),"")</f>
        <v/>
      </c>
      <c r="I2559" s="43"/>
      <c r="J2559" s="53" t="str" cm="1">
        <f t="array" ref="J2559">IFERROR(INDEX(DB!Q$2:Q$2576,T2559),"")</f>
        <v/>
      </c>
      <c r="K2559" s="43"/>
      <c r="L2559" s="41" t="str" cm="1">
        <f t="array" ref="L2559">IFERROR(INDEX(DB!R$2:R$2576,T2559),"")</f>
        <v/>
      </c>
      <c r="M2559" s="43"/>
      <c r="P2559" t="str" cm="1">
        <f t="array" ref="P2559">IFERROR(_xlfn.AGGREGATE(15,6,ROW(DB!A$2:A$2576)/((($D$3&lt;&gt;"YES")+($D$3="YES")*(DB!E$2:E$2576="YES"))*(($D$4="")+($D$4&lt;&gt;"")*( DB!B$2:B$2576=$D$4))*(($D$5="")+($D$5&lt;&gt;"")*( DB!C$2:C$2576=$D$5))*(($D$6="")+($D$6&lt;&gt;"")*( DB!D$2:D$2576=$D$6))*(($D$7="")+($D$7&lt;&gt;"")*(ISNUMBER(SEARCH($D$7,DB!G$2:G$2576))))*(($F$7="전체")+($F$7&lt;&gt;"전체")*(DB!H$2:H$2576=$F$7))),ROW()-13)-1,"")</f>
        <v/>
      </c>
      <c r="Q2559" t="str" cm="1">
        <f t="array" ref="Q2559">IFERROR(INDEX(DB!G$2:G$2576,P2559),"")</f>
        <v/>
      </c>
      <c r="R2559" t="str" cm="1">
        <f t="array" ref="R2559">IFERROR(INDEX(DB!O$2:O$2576,P2559),"")</f>
        <v/>
      </c>
      <c r="S2559" t="str">
        <f t="shared" si="120"/>
        <v/>
      </c>
      <c r="T2559" t="str">
        <f t="shared" si="121"/>
        <v/>
      </c>
    </row>
    <row r="2560" spans="1:20" ht="100" customHeight="1">
      <c r="A2560" s="26"/>
      <c r="B2560" s="39" t="str">
        <f t="shared" si="119"/>
        <v/>
      </c>
      <c r="C2560" s="43"/>
      <c r="D2560" s="51" t="str" cm="1">
        <f t="array" ref="D2560">IFERROR(INDEX(DB!G$2:G$2576,T2560),"")</f>
        <v/>
      </c>
      <c r="E2560" s="43"/>
      <c r="F2560" s="52" t="str" cm="1">
        <f t="array" ref="F2560">IFERROR(INDEX(DB!O$2:O$2576,T2560),"")</f>
        <v/>
      </c>
      <c r="G2560" s="43"/>
      <c r="H2560" s="40" t="str" cm="1">
        <f t="array" ref="H2560">IFERROR(INDEX(DB!P$2:P$2576,T2560),"")</f>
        <v/>
      </c>
      <c r="I2560" s="43"/>
      <c r="J2560" s="53" t="str" cm="1">
        <f t="array" ref="J2560">IFERROR(INDEX(DB!Q$2:Q$2576,T2560),"")</f>
        <v/>
      </c>
      <c r="K2560" s="43"/>
      <c r="L2560" s="41" t="str" cm="1">
        <f t="array" ref="L2560">IFERROR(INDEX(DB!R$2:R$2576,T2560),"")</f>
        <v/>
      </c>
      <c r="M2560" s="43"/>
      <c r="P2560" t="str" cm="1">
        <f t="array" ref="P2560">IFERROR(_xlfn.AGGREGATE(15,6,ROW(DB!A$2:A$2576)/((($D$3&lt;&gt;"YES")+($D$3="YES")*(DB!E$2:E$2576="YES"))*(($D$4="")+($D$4&lt;&gt;"")*( DB!B$2:B$2576=$D$4))*(($D$5="")+($D$5&lt;&gt;"")*( DB!C$2:C$2576=$D$5))*(($D$6="")+($D$6&lt;&gt;"")*( DB!D$2:D$2576=$D$6))*(($D$7="")+($D$7&lt;&gt;"")*(ISNUMBER(SEARCH($D$7,DB!G$2:G$2576))))*(($F$7="전체")+($F$7&lt;&gt;"전체")*(DB!H$2:H$2576=$F$7))),ROW()-13)-1,"")</f>
        <v/>
      </c>
      <c r="Q2560" t="str" cm="1">
        <f t="array" ref="Q2560">IFERROR(INDEX(DB!G$2:G$2576,P2560),"")</f>
        <v/>
      </c>
      <c r="R2560" t="str" cm="1">
        <f t="array" ref="R2560">IFERROR(INDEX(DB!O$2:O$2576,P2560),"")</f>
        <v/>
      </c>
      <c r="S2560" t="str">
        <f t="shared" si="120"/>
        <v/>
      </c>
      <c r="T2560" t="str">
        <f t="shared" si="121"/>
        <v/>
      </c>
    </row>
    <row r="2561" spans="1:20" ht="100" customHeight="1">
      <c r="A2561" s="26"/>
      <c r="B2561" s="42" t="str">
        <f t="shared" si="119"/>
        <v/>
      </c>
      <c r="C2561" s="43"/>
      <c r="D2561" s="51" t="str" cm="1">
        <f t="array" ref="D2561">IFERROR(INDEX(DB!G$2:G$2576,T2561),"")</f>
        <v/>
      </c>
      <c r="E2561" s="43"/>
      <c r="F2561" s="52" t="str" cm="1">
        <f t="array" ref="F2561">IFERROR(INDEX(DB!O$2:O$2576,T2561),"")</f>
        <v/>
      </c>
      <c r="G2561" s="43"/>
      <c r="H2561" s="40" t="str" cm="1">
        <f t="array" ref="H2561">IFERROR(INDEX(DB!P$2:P$2576,T2561),"")</f>
        <v/>
      </c>
      <c r="I2561" s="43"/>
      <c r="J2561" s="53" t="str" cm="1">
        <f t="array" ref="J2561">IFERROR(INDEX(DB!Q$2:Q$2576,T2561),"")</f>
        <v/>
      </c>
      <c r="K2561" s="43"/>
      <c r="L2561" s="41" t="str" cm="1">
        <f t="array" ref="L2561">IFERROR(INDEX(DB!R$2:R$2576,T2561),"")</f>
        <v/>
      </c>
      <c r="M2561" s="43"/>
      <c r="P2561" t="str" cm="1">
        <f t="array" ref="P2561">IFERROR(_xlfn.AGGREGATE(15,6,ROW(DB!A$2:A$2576)/((($D$3&lt;&gt;"YES")+($D$3="YES")*(DB!E$2:E$2576="YES"))*(($D$4="")+($D$4&lt;&gt;"")*( DB!B$2:B$2576=$D$4))*(($D$5="")+($D$5&lt;&gt;"")*( DB!C$2:C$2576=$D$5))*(($D$6="")+($D$6&lt;&gt;"")*( DB!D$2:D$2576=$D$6))*(($D$7="")+($D$7&lt;&gt;"")*(ISNUMBER(SEARCH($D$7,DB!G$2:G$2576))))*(($F$7="전체")+($F$7&lt;&gt;"전체")*(DB!H$2:H$2576=$F$7))),ROW()-13)-1,"")</f>
        <v/>
      </c>
      <c r="Q2561" t="str" cm="1">
        <f t="array" ref="Q2561">IFERROR(INDEX(DB!G$2:G$2576,P2561),"")</f>
        <v/>
      </c>
      <c r="R2561" t="str" cm="1">
        <f t="array" ref="R2561">IFERROR(INDEX(DB!O$2:O$2576,P2561),"")</f>
        <v/>
      </c>
      <c r="S2561" t="str">
        <f t="shared" si="120"/>
        <v/>
      </c>
      <c r="T2561" t="str">
        <f t="shared" si="121"/>
        <v/>
      </c>
    </row>
    <row r="2562" spans="1:20" ht="100" customHeight="1">
      <c r="A2562" s="26"/>
      <c r="B2562" s="39" t="str">
        <f t="shared" si="119"/>
        <v/>
      </c>
      <c r="C2562" s="43"/>
      <c r="D2562" s="51" t="str" cm="1">
        <f t="array" ref="D2562">IFERROR(INDEX(DB!G$2:G$2576,T2562),"")</f>
        <v/>
      </c>
      <c r="E2562" s="43"/>
      <c r="F2562" s="52" t="str" cm="1">
        <f t="array" ref="F2562">IFERROR(INDEX(DB!O$2:O$2576,T2562),"")</f>
        <v/>
      </c>
      <c r="G2562" s="43"/>
      <c r="H2562" s="40" t="str" cm="1">
        <f t="array" ref="H2562">IFERROR(INDEX(DB!P$2:P$2576,T2562),"")</f>
        <v/>
      </c>
      <c r="I2562" s="43"/>
      <c r="J2562" s="53" t="str" cm="1">
        <f t="array" ref="J2562">IFERROR(INDEX(DB!Q$2:Q$2576,T2562),"")</f>
        <v/>
      </c>
      <c r="K2562" s="43"/>
      <c r="L2562" s="41" t="str" cm="1">
        <f t="array" ref="L2562">IFERROR(INDEX(DB!R$2:R$2576,T2562),"")</f>
        <v/>
      </c>
      <c r="M2562" s="43"/>
      <c r="P2562" t="str" cm="1">
        <f t="array" ref="P2562">IFERROR(_xlfn.AGGREGATE(15,6,ROW(DB!A$2:A$2576)/((($D$3&lt;&gt;"YES")+($D$3="YES")*(DB!E$2:E$2576="YES"))*(($D$4="")+($D$4&lt;&gt;"")*( DB!B$2:B$2576=$D$4))*(($D$5="")+($D$5&lt;&gt;"")*( DB!C$2:C$2576=$D$5))*(($D$6="")+($D$6&lt;&gt;"")*( DB!D$2:D$2576=$D$6))*(($D$7="")+($D$7&lt;&gt;"")*(ISNUMBER(SEARCH($D$7,DB!G$2:G$2576))))*(($F$7="전체")+($F$7&lt;&gt;"전체")*(DB!H$2:H$2576=$F$7))),ROW()-13)-1,"")</f>
        <v/>
      </c>
      <c r="Q2562" t="str" cm="1">
        <f t="array" ref="Q2562">IFERROR(INDEX(DB!G$2:G$2576,P2562),"")</f>
        <v/>
      </c>
      <c r="R2562" t="str" cm="1">
        <f t="array" ref="R2562">IFERROR(INDEX(DB!O$2:O$2576,P2562),"")</f>
        <v/>
      </c>
      <c r="S2562" t="str">
        <f t="shared" si="120"/>
        <v/>
      </c>
      <c r="T2562" t="str">
        <f t="shared" si="121"/>
        <v/>
      </c>
    </row>
    <row r="2563" spans="1:20" ht="100" customHeight="1">
      <c r="A2563" s="26"/>
      <c r="B2563" s="42" t="str">
        <f t="shared" si="119"/>
        <v/>
      </c>
      <c r="C2563" s="43"/>
      <c r="D2563" s="51" t="str" cm="1">
        <f t="array" ref="D2563">IFERROR(INDEX(DB!G$2:G$2576,T2563),"")</f>
        <v/>
      </c>
      <c r="E2563" s="43"/>
      <c r="F2563" s="52" t="str" cm="1">
        <f t="array" ref="F2563">IFERROR(INDEX(DB!O$2:O$2576,T2563),"")</f>
        <v/>
      </c>
      <c r="G2563" s="43"/>
      <c r="H2563" s="40" t="str" cm="1">
        <f t="array" ref="H2563">IFERROR(INDEX(DB!P$2:P$2576,T2563),"")</f>
        <v/>
      </c>
      <c r="I2563" s="43"/>
      <c r="J2563" s="53" t="str" cm="1">
        <f t="array" ref="J2563">IFERROR(INDEX(DB!Q$2:Q$2576,T2563),"")</f>
        <v/>
      </c>
      <c r="K2563" s="43"/>
      <c r="L2563" s="41" t="str" cm="1">
        <f t="array" ref="L2563">IFERROR(INDEX(DB!R$2:R$2576,T2563),"")</f>
        <v/>
      </c>
      <c r="M2563" s="43"/>
      <c r="P2563" t="str" cm="1">
        <f t="array" ref="P2563">IFERROR(_xlfn.AGGREGATE(15,6,ROW(DB!A$2:A$2576)/((($D$3&lt;&gt;"YES")+($D$3="YES")*(DB!E$2:E$2576="YES"))*(($D$4="")+($D$4&lt;&gt;"")*( DB!B$2:B$2576=$D$4))*(($D$5="")+($D$5&lt;&gt;"")*( DB!C$2:C$2576=$D$5))*(($D$6="")+($D$6&lt;&gt;"")*( DB!D$2:D$2576=$D$6))*(($D$7="")+($D$7&lt;&gt;"")*(ISNUMBER(SEARCH($D$7,DB!G$2:G$2576))))*(($F$7="전체")+($F$7&lt;&gt;"전체")*(DB!H$2:H$2576=$F$7))),ROW()-13)-1,"")</f>
        <v/>
      </c>
      <c r="Q2563" t="str" cm="1">
        <f t="array" ref="Q2563">IFERROR(INDEX(DB!G$2:G$2576,P2563),"")</f>
        <v/>
      </c>
      <c r="R2563" t="str" cm="1">
        <f t="array" ref="R2563">IFERROR(INDEX(DB!O$2:O$2576,P2563),"")</f>
        <v/>
      </c>
      <c r="S2563" t="str">
        <f t="shared" si="120"/>
        <v/>
      </c>
      <c r="T2563" t="str">
        <f t="shared" si="121"/>
        <v/>
      </c>
    </row>
    <row r="2564" spans="1:20" ht="100" customHeight="1">
      <c r="A2564" s="26"/>
      <c r="B2564" s="39" t="str">
        <f t="shared" si="119"/>
        <v/>
      </c>
      <c r="C2564" s="43"/>
      <c r="D2564" s="51" t="str" cm="1">
        <f t="array" ref="D2564">IFERROR(INDEX(DB!G$2:G$2576,T2564),"")</f>
        <v/>
      </c>
      <c r="E2564" s="43"/>
      <c r="F2564" s="52" t="str" cm="1">
        <f t="array" ref="F2564">IFERROR(INDEX(DB!O$2:O$2576,T2564),"")</f>
        <v/>
      </c>
      <c r="G2564" s="43"/>
      <c r="H2564" s="40" t="str" cm="1">
        <f t="array" ref="H2564">IFERROR(INDEX(DB!P$2:P$2576,T2564),"")</f>
        <v/>
      </c>
      <c r="I2564" s="43"/>
      <c r="J2564" s="53" t="str" cm="1">
        <f t="array" ref="J2564">IFERROR(INDEX(DB!Q$2:Q$2576,T2564),"")</f>
        <v/>
      </c>
      <c r="K2564" s="43"/>
      <c r="L2564" s="41" t="str" cm="1">
        <f t="array" ref="L2564">IFERROR(INDEX(DB!R$2:R$2576,T2564),"")</f>
        <v/>
      </c>
      <c r="M2564" s="43"/>
      <c r="P2564" t="str" cm="1">
        <f t="array" ref="P2564">IFERROR(_xlfn.AGGREGATE(15,6,ROW(DB!A$2:A$2576)/((($D$3&lt;&gt;"YES")+($D$3="YES")*(DB!E$2:E$2576="YES"))*(($D$4="")+($D$4&lt;&gt;"")*( DB!B$2:B$2576=$D$4))*(($D$5="")+($D$5&lt;&gt;"")*( DB!C$2:C$2576=$D$5))*(($D$6="")+($D$6&lt;&gt;"")*( DB!D$2:D$2576=$D$6))*(($D$7="")+($D$7&lt;&gt;"")*(ISNUMBER(SEARCH($D$7,DB!G$2:G$2576))))*(($F$7="전체")+($F$7&lt;&gt;"전체")*(DB!H$2:H$2576=$F$7))),ROW()-13)-1,"")</f>
        <v/>
      </c>
      <c r="Q2564" t="str" cm="1">
        <f t="array" ref="Q2564">IFERROR(INDEX(DB!G$2:G$2576,P2564),"")</f>
        <v/>
      </c>
      <c r="R2564" t="str" cm="1">
        <f t="array" ref="R2564">IFERROR(INDEX(DB!O$2:O$2576,P2564),"")</f>
        <v/>
      </c>
      <c r="S2564" t="str">
        <f t="shared" si="120"/>
        <v/>
      </c>
      <c r="T2564" t="str">
        <f t="shared" si="121"/>
        <v/>
      </c>
    </row>
    <row r="2565" spans="1:20" ht="100" customHeight="1">
      <c r="A2565" s="26"/>
      <c r="B2565" s="42" t="str">
        <f t="shared" si="119"/>
        <v/>
      </c>
      <c r="C2565" s="43"/>
      <c r="D2565" s="51" t="str" cm="1">
        <f t="array" ref="D2565">IFERROR(INDEX(DB!G$2:G$2576,T2565),"")</f>
        <v/>
      </c>
      <c r="E2565" s="43"/>
      <c r="F2565" s="52" t="str" cm="1">
        <f t="array" ref="F2565">IFERROR(INDEX(DB!O$2:O$2576,T2565),"")</f>
        <v/>
      </c>
      <c r="G2565" s="43"/>
      <c r="H2565" s="40" t="str" cm="1">
        <f t="array" ref="H2565">IFERROR(INDEX(DB!P$2:P$2576,T2565),"")</f>
        <v/>
      </c>
      <c r="I2565" s="43"/>
      <c r="J2565" s="53" t="str" cm="1">
        <f t="array" ref="J2565">IFERROR(INDEX(DB!Q$2:Q$2576,T2565),"")</f>
        <v/>
      </c>
      <c r="K2565" s="43"/>
      <c r="L2565" s="41" t="str" cm="1">
        <f t="array" ref="L2565">IFERROR(INDEX(DB!R$2:R$2576,T2565),"")</f>
        <v/>
      </c>
      <c r="M2565" s="43"/>
      <c r="P2565" t="str" cm="1">
        <f t="array" ref="P2565">IFERROR(_xlfn.AGGREGATE(15,6,ROW(DB!A$2:A$2576)/((($D$3&lt;&gt;"YES")+($D$3="YES")*(DB!E$2:E$2576="YES"))*(($D$4="")+($D$4&lt;&gt;"")*( DB!B$2:B$2576=$D$4))*(($D$5="")+($D$5&lt;&gt;"")*( DB!C$2:C$2576=$D$5))*(($D$6="")+($D$6&lt;&gt;"")*( DB!D$2:D$2576=$D$6))*(($D$7="")+($D$7&lt;&gt;"")*(ISNUMBER(SEARCH($D$7,DB!G$2:G$2576))))*(($F$7="전체")+($F$7&lt;&gt;"전체")*(DB!H$2:H$2576=$F$7))),ROW()-13)-1,"")</f>
        <v/>
      </c>
      <c r="Q2565" t="str" cm="1">
        <f t="array" ref="Q2565">IFERROR(INDEX(DB!G$2:G$2576,P2565),"")</f>
        <v/>
      </c>
      <c r="R2565" t="str" cm="1">
        <f t="array" ref="R2565">IFERROR(INDEX(DB!O$2:O$2576,P2565),"")</f>
        <v/>
      </c>
      <c r="S2565" t="str">
        <f t="shared" si="120"/>
        <v/>
      </c>
      <c r="T2565" t="str">
        <f t="shared" si="121"/>
        <v/>
      </c>
    </row>
    <row r="2566" spans="1:20" ht="100" customHeight="1">
      <c r="A2566" s="26"/>
      <c r="B2566" s="39" t="str">
        <f t="shared" si="119"/>
        <v/>
      </c>
      <c r="C2566" s="43"/>
      <c r="D2566" s="51" t="str" cm="1">
        <f t="array" ref="D2566">IFERROR(INDEX(DB!G$2:G$2576,T2566),"")</f>
        <v/>
      </c>
      <c r="E2566" s="43"/>
      <c r="F2566" s="52" t="str" cm="1">
        <f t="array" ref="F2566">IFERROR(INDEX(DB!O$2:O$2576,T2566),"")</f>
        <v/>
      </c>
      <c r="G2566" s="43"/>
      <c r="H2566" s="40" t="str" cm="1">
        <f t="array" ref="H2566">IFERROR(INDEX(DB!P$2:P$2576,T2566),"")</f>
        <v/>
      </c>
      <c r="I2566" s="43"/>
      <c r="J2566" s="53" t="str" cm="1">
        <f t="array" ref="J2566">IFERROR(INDEX(DB!Q$2:Q$2576,T2566),"")</f>
        <v/>
      </c>
      <c r="K2566" s="43"/>
      <c r="L2566" s="41" t="str" cm="1">
        <f t="array" ref="L2566">IFERROR(INDEX(DB!R$2:R$2576,T2566),"")</f>
        <v/>
      </c>
      <c r="M2566" s="43"/>
      <c r="P2566" t="str" cm="1">
        <f t="array" ref="P2566">IFERROR(_xlfn.AGGREGATE(15,6,ROW(DB!A$2:A$2576)/((($D$3&lt;&gt;"YES")+($D$3="YES")*(DB!E$2:E$2576="YES"))*(($D$4="")+($D$4&lt;&gt;"")*( DB!B$2:B$2576=$D$4))*(($D$5="")+($D$5&lt;&gt;"")*( DB!C$2:C$2576=$D$5))*(($D$6="")+($D$6&lt;&gt;"")*( DB!D$2:D$2576=$D$6))*(($D$7="")+($D$7&lt;&gt;"")*(ISNUMBER(SEARCH($D$7,DB!G$2:G$2576))))*(($F$7="전체")+($F$7&lt;&gt;"전체")*(DB!H$2:H$2576=$F$7))),ROW()-13)-1,"")</f>
        <v/>
      </c>
      <c r="Q2566" t="str" cm="1">
        <f t="array" ref="Q2566">IFERROR(INDEX(DB!G$2:G$2576,P2566),"")</f>
        <v/>
      </c>
      <c r="R2566" t="str" cm="1">
        <f t="array" ref="R2566">IFERROR(INDEX(DB!O$2:O$2576,P2566),"")</f>
        <v/>
      </c>
      <c r="S2566" t="str">
        <f t="shared" si="120"/>
        <v/>
      </c>
      <c r="T2566" t="str">
        <f t="shared" si="121"/>
        <v/>
      </c>
    </row>
    <row r="2567" spans="1:20" ht="100" customHeight="1">
      <c r="A2567" s="26"/>
      <c r="B2567" s="42" t="str">
        <f t="shared" si="119"/>
        <v/>
      </c>
      <c r="C2567" s="43"/>
      <c r="D2567" s="51" t="str" cm="1">
        <f t="array" ref="D2567">IFERROR(INDEX(DB!G$2:G$2576,T2567),"")</f>
        <v/>
      </c>
      <c r="E2567" s="43"/>
      <c r="F2567" s="52" t="str" cm="1">
        <f t="array" ref="F2567">IFERROR(INDEX(DB!O$2:O$2576,T2567),"")</f>
        <v/>
      </c>
      <c r="G2567" s="43"/>
      <c r="H2567" s="40" t="str" cm="1">
        <f t="array" ref="H2567">IFERROR(INDEX(DB!P$2:P$2576,T2567),"")</f>
        <v/>
      </c>
      <c r="I2567" s="43"/>
      <c r="J2567" s="53" t="str" cm="1">
        <f t="array" ref="J2567">IFERROR(INDEX(DB!Q$2:Q$2576,T2567),"")</f>
        <v/>
      </c>
      <c r="K2567" s="43"/>
      <c r="L2567" s="41" t="str" cm="1">
        <f t="array" ref="L2567">IFERROR(INDEX(DB!R$2:R$2576,T2567),"")</f>
        <v/>
      </c>
      <c r="M2567" s="43"/>
      <c r="P2567" t="str" cm="1">
        <f t="array" ref="P2567">IFERROR(_xlfn.AGGREGATE(15,6,ROW(DB!A$2:A$2576)/((($D$3&lt;&gt;"YES")+($D$3="YES")*(DB!E$2:E$2576="YES"))*(($D$4="")+($D$4&lt;&gt;"")*( DB!B$2:B$2576=$D$4))*(($D$5="")+($D$5&lt;&gt;"")*( DB!C$2:C$2576=$D$5))*(($D$6="")+($D$6&lt;&gt;"")*( DB!D$2:D$2576=$D$6))*(($D$7="")+($D$7&lt;&gt;"")*(ISNUMBER(SEARCH($D$7,DB!G$2:G$2576))))*(($F$7="전체")+($F$7&lt;&gt;"전체")*(DB!H$2:H$2576=$F$7))),ROW()-13)-1,"")</f>
        <v/>
      </c>
      <c r="Q2567" t="str" cm="1">
        <f t="array" ref="Q2567">IFERROR(INDEX(DB!G$2:G$2576,P2567),"")</f>
        <v/>
      </c>
      <c r="R2567" t="str" cm="1">
        <f t="array" ref="R2567">IFERROR(INDEX(DB!O$2:O$2576,P2567),"")</f>
        <v/>
      </c>
      <c r="S2567" t="str">
        <f t="shared" si="120"/>
        <v/>
      </c>
      <c r="T2567" t="str">
        <f t="shared" si="121"/>
        <v/>
      </c>
    </row>
    <row r="2568" spans="1:20" ht="100" customHeight="1">
      <c r="A2568" s="26"/>
      <c r="B2568" s="39" t="str">
        <f t="shared" si="119"/>
        <v/>
      </c>
      <c r="C2568" s="43"/>
      <c r="D2568" s="51" t="str" cm="1">
        <f t="array" ref="D2568">IFERROR(INDEX(DB!G$2:G$2576,T2568),"")</f>
        <v/>
      </c>
      <c r="E2568" s="43"/>
      <c r="F2568" s="52" t="str" cm="1">
        <f t="array" ref="F2568">IFERROR(INDEX(DB!O$2:O$2576,T2568),"")</f>
        <v/>
      </c>
      <c r="G2568" s="43"/>
      <c r="H2568" s="40" t="str" cm="1">
        <f t="array" ref="H2568">IFERROR(INDEX(DB!P$2:P$2576,T2568),"")</f>
        <v/>
      </c>
      <c r="I2568" s="43"/>
      <c r="J2568" s="53" t="str" cm="1">
        <f t="array" ref="J2568">IFERROR(INDEX(DB!Q$2:Q$2576,T2568),"")</f>
        <v/>
      </c>
      <c r="K2568" s="43"/>
      <c r="L2568" s="41" t="str" cm="1">
        <f t="array" ref="L2568">IFERROR(INDEX(DB!R$2:R$2576,T2568),"")</f>
        <v/>
      </c>
      <c r="M2568" s="43"/>
      <c r="P2568" t="str" cm="1">
        <f t="array" ref="P2568">IFERROR(_xlfn.AGGREGATE(15,6,ROW(DB!A$2:A$2576)/((($D$3&lt;&gt;"YES")+($D$3="YES")*(DB!E$2:E$2576="YES"))*(($D$4="")+($D$4&lt;&gt;"")*( DB!B$2:B$2576=$D$4))*(($D$5="")+($D$5&lt;&gt;"")*( DB!C$2:C$2576=$D$5))*(($D$6="")+($D$6&lt;&gt;"")*( DB!D$2:D$2576=$D$6))*(($D$7="")+($D$7&lt;&gt;"")*(ISNUMBER(SEARCH($D$7,DB!G$2:G$2576))))*(($F$7="전체")+($F$7&lt;&gt;"전체")*(DB!H$2:H$2576=$F$7))),ROW()-13)-1,"")</f>
        <v/>
      </c>
      <c r="Q2568" t="str" cm="1">
        <f t="array" ref="Q2568">IFERROR(INDEX(DB!G$2:G$2576,P2568),"")</f>
        <v/>
      </c>
      <c r="R2568" t="str" cm="1">
        <f t="array" ref="R2568">IFERROR(INDEX(DB!O$2:O$2576,P2568),"")</f>
        <v/>
      </c>
      <c r="S2568" t="str">
        <f t="shared" si="120"/>
        <v/>
      </c>
      <c r="T2568" t="str">
        <f t="shared" si="121"/>
        <v/>
      </c>
    </row>
    <row r="2569" spans="1:20" ht="100" customHeight="1">
      <c r="A2569" s="26"/>
      <c r="B2569" s="42" t="str">
        <f t="shared" si="119"/>
        <v/>
      </c>
      <c r="C2569" s="43"/>
      <c r="D2569" s="51" t="str" cm="1">
        <f t="array" ref="D2569">IFERROR(INDEX(DB!G$2:G$2576,T2569),"")</f>
        <v/>
      </c>
      <c r="E2569" s="43"/>
      <c r="F2569" s="52" t="str" cm="1">
        <f t="array" ref="F2569">IFERROR(INDEX(DB!O$2:O$2576,T2569),"")</f>
        <v/>
      </c>
      <c r="G2569" s="43"/>
      <c r="H2569" s="40" t="str" cm="1">
        <f t="array" ref="H2569">IFERROR(INDEX(DB!P$2:P$2576,T2569),"")</f>
        <v/>
      </c>
      <c r="I2569" s="43"/>
      <c r="J2569" s="53" t="str" cm="1">
        <f t="array" ref="J2569">IFERROR(INDEX(DB!Q$2:Q$2576,T2569),"")</f>
        <v/>
      </c>
      <c r="K2569" s="43"/>
      <c r="L2569" s="41" t="str" cm="1">
        <f t="array" ref="L2569">IFERROR(INDEX(DB!R$2:R$2576,T2569),"")</f>
        <v/>
      </c>
      <c r="M2569" s="43"/>
      <c r="P2569" t="str" cm="1">
        <f t="array" ref="P2569">IFERROR(_xlfn.AGGREGATE(15,6,ROW(DB!A$2:A$2576)/((($D$3&lt;&gt;"YES")+($D$3="YES")*(DB!E$2:E$2576="YES"))*(($D$4="")+($D$4&lt;&gt;"")*( DB!B$2:B$2576=$D$4))*(($D$5="")+($D$5&lt;&gt;"")*( DB!C$2:C$2576=$D$5))*(($D$6="")+($D$6&lt;&gt;"")*( DB!D$2:D$2576=$D$6))*(($D$7="")+($D$7&lt;&gt;"")*(ISNUMBER(SEARCH($D$7,DB!G$2:G$2576))))*(($F$7="전체")+($F$7&lt;&gt;"전체")*(DB!H$2:H$2576=$F$7))),ROW()-13)-1,"")</f>
        <v/>
      </c>
      <c r="Q2569" t="str" cm="1">
        <f t="array" ref="Q2569">IFERROR(INDEX(DB!G$2:G$2576,P2569),"")</f>
        <v/>
      </c>
      <c r="R2569" t="str" cm="1">
        <f t="array" ref="R2569">IFERROR(INDEX(DB!O$2:O$2576,P2569),"")</f>
        <v/>
      </c>
      <c r="S2569" t="str">
        <f t="shared" si="120"/>
        <v/>
      </c>
      <c r="T2569" t="str">
        <f t="shared" si="121"/>
        <v/>
      </c>
    </row>
    <row r="2570" spans="1:20" ht="100" customHeight="1">
      <c r="A2570" s="26"/>
      <c r="B2570" s="39" t="str">
        <f t="shared" si="119"/>
        <v/>
      </c>
      <c r="C2570" s="43"/>
      <c r="D2570" s="51" t="str" cm="1">
        <f t="array" ref="D2570">IFERROR(INDEX(DB!G$2:G$2576,T2570),"")</f>
        <v/>
      </c>
      <c r="E2570" s="43"/>
      <c r="F2570" s="52" t="str" cm="1">
        <f t="array" ref="F2570">IFERROR(INDEX(DB!O$2:O$2576,T2570),"")</f>
        <v/>
      </c>
      <c r="G2570" s="43"/>
      <c r="H2570" s="40" t="str" cm="1">
        <f t="array" ref="H2570">IFERROR(INDEX(DB!P$2:P$2576,T2570),"")</f>
        <v/>
      </c>
      <c r="I2570" s="43"/>
      <c r="J2570" s="53" t="str" cm="1">
        <f t="array" ref="J2570">IFERROR(INDEX(DB!Q$2:Q$2576,T2570),"")</f>
        <v/>
      </c>
      <c r="K2570" s="43"/>
      <c r="L2570" s="41" t="str" cm="1">
        <f t="array" ref="L2570">IFERROR(INDEX(DB!R$2:R$2576,T2570),"")</f>
        <v/>
      </c>
      <c r="M2570" s="43"/>
      <c r="P2570" t="str" cm="1">
        <f t="array" ref="P2570">IFERROR(_xlfn.AGGREGATE(15,6,ROW(DB!A$2:A$2576)/((($D$3&lt;&gt;"YES")+($D$3="YES")*(DB!E$2:E$2576="YES"))*(($D$4="")+($D$4&lt;&gt;"")*( DB!B$2:B$2576=$D$4))*(($D$5="")+($D$5&lt;&gt;"")*( DB!C$2:C$2576=$D$5))*(($D$6="")+($D$6&lt;&gt;"")*( DB!D$2:D$2576=$D$6))*(($D$7="")+($D$7&lt;&gt;"")*(ISNUMBER(SEARCH($D$7,DB!G$2:G$2576))))*(($F$7="전체")+($F$7&lt;&gt;"전체")*(DB!H$2:H$2576=$F$7))),ROW()-13)-1,"")</f>
        <v/>
      </c>
      <c r="Q2570" t="str" cm="1">
        <f t="array" ref="Q2570">IFERROR(INDEX(DB!G$2:G$2576,P2570),"")</f>
        <v/>
      </c>
      <c r="R2570" t="str" cm="1">
        <f t="array" ref="R2570">IFERROR(INDEX(DB!O$2:O$2576,P2570),"")</f>
        <v/>
      </c>
      <c r="S2570" t="str">
        <f t="shared" si="120"/>
        <v/>
      </c>
      <c r="T2570" t="str">
        <f t="shared" si="121"/>
        <v/>
      </c>
    </row>
    <row r="2571" spans="1:20" ht="100" customHeight="1">
      <c r="A2571" s="26"/>
      <c r="B2571" s="42" t="str">
        <f t="shared" si="119"/>
        <v/>
      </c>
      <c r="C2571" s="43"/>
      <c r="D2571" s="51" t="str" cm="1">
        <f t="array" ref="D2571">IFERROR(INDEX(DB!G$2:G$2576,T2571),"")</f>
        <v/>
      </c>
      <c r="E2571" s="43"/>
      <c r="F2571" s="52" t="str" cm="1">
        <f t="array" ref="F2571">IFERROR(INDEX(DB!O$2:O$2576,T2571),"")</f>
        <v/>
      </c>
      <c r="G2571" s="43"/>
      <c r="H2571" s="40" t="str" cm="1">
        <f t="array" ref="H2571">IFERROR(INDEX(DB!P$2:P$2576,T2571),"")</f>
        <v/>
      </c>
      <c r="I2571" s="43"/>
      <c r="J2571" s="53" t="str" cm="1">
        <f t="array" ref="J2571">IFERROR(INDEX(DB!Q$2:Q$2576,T2571),"")</f>
        <v/>
      </c>
      <c r="K2571" s="43"/>
      <c r="L2571" s="41" t="str" cm="1">
        <f t="array" ref="L2571">IFERROR(INDEX(DB!R$2:R$2576,T2571),"")</f>
        <v/>
      </c>
      <c r="M2571" s="43"/>
      <c r="P2571" t="str" cm="1">
        <f t="array" ref="P2571">IFERROR(_xlfn.AGGREGATE(15,6,ROW(DB!A$2:A$2576)/((($D$3&lt;&gt;"YES")+($D$3="YES")*(DB!E$2:E$2576="YES"))*(($D$4="")+($D$4&lt;&gt;"")*( DB!B$2:B$2576=$D$4))*(($D$5="")+($D$5&lt;&gt;"")*( DB!C$2:C$2576=$D$5))*(($D$6="")+($D$6&lt;&gt;"")*( DB!D$2:D$2576=$D$6))*(($D$7="")+($D$7&lt;&gt;"")*(ISNUMBER(SEARCH($D$7,DB!G$2:G$2576))))*(($F$7="전체")+($F$7&lt;&gt;"전체")*(DB!H$2:H$2576=$F$7))),ROW()-13)-1,"")</f>
        <v/>
      </c>
      <c r="Q2571" t="str" cm="1">
        <f t="array" ref="Q2571">IFERROR(INDEX(DB!G$2:G$2576,P2571),"")</f>
        <v/>
      </c>
      <c r="R2571" t="str" cm="1">
        <f t="array" ref="R2571">IFERROR(INDEX(DB!O$2:O$2576,P2571),"")</f>
        <v/>
      </c>
      <c r="S2571" t="str">
        <f t="shared" si="120"/>
        <v/>
      </c>
      <c r="T2571" t="str">
        <f t="shared" si="121"/>
        <v/>
      </c>
    </row>
    <row r="2572" spans="1:20" ht="100" customHeight="1">
      <c r="A2572" s="26"/>
      <c r="B2572" s="39" t="str">
        <f t="shared" si="119"/>
        <v/>
      </c>
      <c r="C2572" s="43"/>
      <c r="D2572" s="51" t="str" cm="1">
        <f t="array" ref="D2572">IFERROR(INDEX(DB!G$2:G$2576,T2572),"")</f>
        <v/>
      </c>
      <c r="E2572" s="43"/>
      <c r="F2572" s="52" t="str" cm="1">
        <f t="array" ref="F2572">IFERROR(INDEX(DB!O$2:O$2576,T2572),"")</f>
        <v/>
      </c>
      <c r="G2572" s="43"/>
      <c r="H2572" s="40" t="str" cm="1">
        <f t="array" ref="H2572">IFERROR(INDEX(DB!P$2:P$2576,T2572),"")</f>
        <v/>
      </c>
      <c r="I2572" s="43"/>
      <c r="J2572" s="53" t="str" cm="1">
        <f t="array" ref="J2572">IFERROR(INDEX(DB!Q$2:Q$2576,T2572),"")</f>
        <v/>
      </c>
      <c r="K2572" s="43"/>
      <c r="L2572" s="41" t="str" cm="1">
        <f t="array" ref="L2572">IFERROR(INDEX(DB!R$2:R$2576,T2572),"")</f>
        <v/>
      </c>
      <c r="M2572" s="43"/>
      <c r="P2572" t="str" cm="1">
        <f t="array" ref="P2572">IFERROR(_xlfn.AGGREGATE(15,6,ROW(DB!A$2:A$2576)/((($D$3&lt;&gt;"YES")+($D$3="YES")*(DB!E$2:E$2576="YES"))*(($D$4="")+($D$4&lt;&gt;"")*( DB!B$2:B$2576=$D$4))*(($D$5="")+($D$5&lt;&gt;"")*( DB!C$2:C$2576=$D$5))*(($D$6="")+($D$6&lt;&gt;"")*( DB!D$2:D$2576=$D$6))*(($D$7="")+($D$7&lt;&gt;"")*(ISNUMBER(SEARCH($D$7,DB!G$2:G$2576))))*(($F$7="전체")+($F$7&lt;&gt;"전체")*(DB!H$2:H$2576=$F$7))),ROW()-13)-1,"")</f>
        <v/>
      </c>
      <c r="Q2572" t="str" cm="1">
        <f t="array" ref="Q2572">IFERROR(INDEX(DB!G$2:G$2576,P2572),"")</f>
        <v/>
      </c>
      <c r="R2572" t="str" cm="1">
        <f t="array" ref="R2572">IFERROR(INDEX(DB!O$2:O$2576,P2572),"")</f>
        <v/>
      </c>
      <c r="S2572" t="str">
        <f t="shared" si="120"/>
        <v/>
      </c>
      <c r="T2572" t="str">
        <f t="shared" si="121"/>
        <v/>
      </c>
    </row>
    <row r="2573" spans="1:20" ht="100" customHeight="1">
      <c r="A2573" s="26"/>
      <c r="B2573" s="42" t="str">
        <f t="shared" si="119"/>
        <v/>
      </c>
      <c r="C2573" s="43"/>
      <c r="D2573" s="51" t="str" cm="1">
        <f t="array" ref="D2573">IFERROR(INDEX(DB!G$2:G$2576,T2573),"")</f>
        <v/>
      </c>
      <c r="E2573" s="43"/>
      <c r="F2573" s="52" t="str" cm="1">
        <f t="array" ref="F2573">IFERROR(INDEX(DB!O$2:O$2576,T2573),"")</f>
        <v/>
      </c>
      <c r="G2573" s="43"/>
      <c r="H2573" s="40" t="str" cm="1">
        <f t="array" ref="H2573">IFERROR(INDEX(DB!P$2:P$2576,T2573),"")</f>
        <v/>
      </c>
      <c r="I2573" s="43"/>
      <c r="J2573" s="53" t="str" cm="1">
        <f t="array" ref="J2573">IFERROR(INDEX(DB!Q$2:Q$2576,T2573),"")</f>
        <v/>
      </c>
      <c r="K2573" s="43"/>
      <c r="L2573" s="41" t="str" cm="1">
        <f t="array" ref="L2573">IFERROR(INDEX(DB!R$2:R$2576,T2573),"")</f>
        <v/>
      </c>
      <c r="M2573" s="43"/>
      <c r="P2573" t="str" cm="1">
        <f t="array" ref="P2573">IFERROR(_xlfn.AGGREGATE(15,6,ROW(DB!A$2:A$2576)/((($D$3&lt;&gt;"YES")+($D$3="YES")*(DB!E$2:E$2576="YES"))*(($D$4="")+($D$4&lt;&gt;"")*( DB!B$2:B$2576=$D$4))*(($D$5="")+($D$5&lt;&gt;"")*( DB!C$2:C$2576=$D$5))*(($D$6="")+($D$6&lt;&gt;"")*( DB!D$2:D$2576=$D$6))*(($D$7="")+($D$7&lt;&gt;"")*(ISNUMBER(SEARCH($D$7,DB!G$2:G$2576))))*(($F$7="전체")+($F$7&lt;&gt;"전체")*(DB!H$2:H$2576=$F$7))),ROW()-13)-1,"")</f>
        <v/>
      </c>
      <c r="Q2573" t="str" cm="1">
        <f t="array" ref="Q2573">IFERROR(INDEX(DB!G$2:G$2576,P2573),"")</f>
        <v/>
      </c>
      <c r="R2573" t="str" cm="1">
        <f t="array" ref="R2573">IFERROR(INDEX(DB!O$2:O$2576,P2573),"")</f>
        <v/>
      </c>
      <c r="S2573" t="str">
        <f t="shared" si="120"/>
        <v/>
      </c>
      <c r="T2573" t="str">
        <f t="shared" si="121"/>
        <v/>
      </c>
    </row>
    <row r="2574" spans="1:20" ht="100" customHeight="1">
      <c r="A2574" s="26"/>
      <c r="B2574" s="39" t="str">
        <f t="shared" si="119"/>
        <v/>
      </c>
      <c r="C2574" s="43"/>
      <c r="D2574" s="51" t="str" cm="1">
        <f t="array" ref="D2574">IFERROR(INDEX(DB!G$2:G$2576,T2574),"")</f>
        <v/>
      </c>
      <c r="E2574" s="43"/>
      <c r="F2574" s="52" t="str" cm="1">
        <f t="array" ref="F2574">IFERROR(INDEX(DB!O$2:O$2576,T2574),"")</f>
        <v/>
      </c>
      <c r="G2574" s="43"/>
      <c r="H2574" s="40" t="str" cm="1">
        <f t="array" ref="H2574">IFERROR(INDEX(DB!P$2:P$2576,T2574),"")</f>
        <v/>
      </c>
      <c r="I2574" s="43"/>
      <c r="J2574" s="53" t="str" cm="1">
        <f t="array" ref="J2574">IFERROR(INDEX(DB!Q$2:Q$2576,T2574),"")</f>
        <v/>
      </c>
      <c r="K2574" s="43"/>
      <c r="L2574" s="41" t="str" cm="1">
        <f t="array" ref="L2574">IFERROR(INDEX(DB!R$2:R$2576,T2574),"")</f>
        <v/>
      </c>
      <c r="M2574" s="43"/>
      <c r="P2574" t="str" cm="1">
        <f t="array" ref="P2574">IFERROR(_xlfn.AGGREGATE(15,6,ROW(DB!A$2:A$2576)/((($D$3&lt;&gt;"YES")+($D$3="YES")*(DB!E$2:E$2576="YES"))*(($D$4="")+($D$4&lt;&gt;"")*( DB!B$2:B$2576=$D$4))*(($D$5="")+($D$5&lt;&gt;"")*( DB!C$2:C$2576=$D$5))*(($D$6="")+($D$6&lt;&gt;"")*( DB!D$2:D$2576=$D$6))*(($D$7="")+($D$7&lt;&gt;"")*(ISNUMBER(SEARCH($D$7,DB!G$2:G$2576))))*(($F$7="전체")+($F$7&lt;&gt;"전체")*(DB!H$2:H$2576=$F$7))),ROW()-13)-1,"")</f>
        <v/>
      </c>
      <c r="Q2574" t="str" cm="1">
        <f t="array" ref="Q2574">IFERROR(INDEX(DB!G$2:G$2576,P2574),"")</f>
        <v/>
      </c>
      <c r="R2574" t="str" cm="1">
        <f t="array" ref="R2574">IFERROR(INDEX(DB!O$2:O$2576,P2574),"")</f>
        <v/>
      </c>
      <c r="S2574" t="str">
        <f t="shared" si="120"/>
        <v/>
      </c>
      <c r="T2574" t="str">
        <f t="shared" si="121"/>
        <v/>
      </c>
    </row>
    <row r="2575" spans="1:20" ht="100" customHeight="1">
      <c r="A2575" s="26"/>
      <c r="B2575" s="42" t="str">
        <f t="shared" ref="B2575:B2587" si="122">IFERROR(IF(T2575="","",ROW()-13),"")</f>
        <v/>
      </c>
      <c r="C2575" s="43"/>
      <c r="D2575" s="51" t="str" cm="1">
        <f t="array" ref="D2575">IFERROR(INDEX(DB!G$2:G$2576,T2575),"")</f>
        <v/>
      </c>
      <c r="E2575" s="43"/>
      <c r="F2575" s="52" t="str" cm="1">
        <f t="array" ref="F2575">IFERROR(INDEX(DB!O$2:O$2576,T2575),"")</f>
        <v/>
      </c>
      <c r="G2575" s="43"/>
      <c r="H2575" s="40" t="str" cm="1">
        <f t="array" ref="H2575">IFERROR(INDEX(DB!P$2:P$2576,T2575),"")</f>
        <v/>
      </c>
      <c r="I2575" s="43"/>
      <c r="J2575" s="53" t="str" cm="1">
        <f t="array" ref="J2575">IFERROR(INDEX(DB!Q$2:Q$2576,T2575),"")</f>
        <v/>
      </c>
      <c r="K2575" s="43"/>
      <c r="L2575" s="41" t="str" cm="1">
        <f t="array" ref="L2575">IFERROR(INDEX(DB!R$2:R$2576,T2575),"")</f>
        <v/>
      </c>
      <c r="M2575" s="43"/>
      <c r="P2575" t="str" cm="1">
        <f t="array" ref="P2575">IFERROR(_xlfn.AGGREGATE(15,6,ROW(DB!A$2:A$2576)/((($D$3&lt;&gt;"YES")+($D$3="YES")*(DB!E$2:E$2576="YES"))*(($D$4="")+($D$4&lt;&gt;"")*( DB!B$2:B$2576=$D$4))*(($D$5="")+($D$5&lt;&gt;"")*( DB!C$2:C$2576=$D$5))*(($D$6="")+($D$6&lt;&gt;"")*( DB!D$2:D$2576=$D$6))*(($D$7="")+($D$7&lt;&gt;"")*(ISNUMBER(SEARCH($D$7,DB!G$2:G$2576))))*(($F$7="전체")+($F$7&lt;&gt;"전체")*(DB!H$2:H$2576=$F$7))),ROW()-13)-1,"")</f>
        <v/>
      </c>
      <c r="Q2575" t="str" cm="1">
        <f t="array" ref="Q2575">IFERROR(INDEX(DB!G$2:G$2576,P2575),"")</f>
        <v/>
      </c>
      <c r="R2575" t="str" cm="1">
        <f t="array" ref="R2575">IFERROR(INDEX(DB!O$2:O$2576,P2575),"")</f>
        <v/>
      </c>
      <c r="S2575" t="str">
        <f t="shared" ref="S2575:S2587" si="123">IF(P2575="","",COUNTIF($Q$14:$Q$2587,"&lt;"&amp;Q2575)*100+COUNTIF($R$14:$R$2587,"&lt;"&amp;R2575)+(ROW()-13)*0.001)</f>
        <v/>
      </c>
      <c r="T2575" t="str">
        <f t="shared" ref="T2575:T2587" si="124">IFERROR(INDEX($P$14:$P$2587,MATCH(SMALL($S$14:$S$2587,ROW()-13),$S$14:$S$2587,0)),"")</f>
        <v/>
      </c>
    </row>
    <row r="2576" spans="1:20" ht="100" customHeight="1">
      <c r="A2576" s="26"/>
      <c r="B2576" s="39" t="str">
        <f t="shared" si="122"/>
        <v/>
      </c>
      <c r="C2576" s="43"/>
      <c r="D2576" s="51" t="str" cm="1">
        <f t="array" ref="D2576">IFERROR(INDEX(DB!G$2:G$2576,T2576),"")</f>
        <v/>
      </c>
      <c r="E2576" s="43"/>
      <c r="F2576" s="52" t="str" cm="1">
        <f t="array" ref="F2576">IFERROR(INDEX(DB!O$2:O$2576,T2576),"")</f>
        <v/>
      </c>
      <c r="G2576" s="43"/>
      <c r="H2576" s="40" t="str" cm="1">
        <f t="array" ref="H2576">IFERROR(INDEX(DB!P$2:P$2576,T2576),"")</f>
        <v/>
      </c>
      <c r="I2576" s="43"/>
      <c r="J2576" s="53" t="str" cm="1">
        <f t="array" ref="J2576">IFERROR(INDEX(DB!Q$2:Q$2576,T2576),"")</f>
        <v/>
      </c>
      <c r="K2576" s="43"/>
      <c r="L2576" s="41" t="str" cm="1">
        <f t="array" ref="L2576">IFERROR(INDEX(DB!R$2:R$2576,T2576),"")</f>
        <v/>
      </c>
      <c r="M2576" s="43"/>
      <c r="P2576" t="str" cm="1">
        <f t="array" ref="P2576">IFERROR(_xlfn.AGGREGATE(15,6,ROW(DB!A$2:A$2576)/((($D$3&lt;&gt;"YES")+($D$3="YES")*(DB!E$2:E$2576="YES"))*(($D$4="")+($D$4&lt;&gt;"")*( DB!B$2:B$2576=$D$4))*(($D$5="")+($D$5&lt;&gt;"")*( DB!C$2:C$2576=$D$5))*(($D$6="")+($D$6&lt;&gt;"")*( DB!D$2:D$2576=$D$6))*(($D$7="")+($D$7&lt;&gt;"")*(ISNUMBER(SEARCH($D$7,DB!G$2:G$2576))))*(($F$7="전체")+($F$7&lt;&gt;"전체")*(DB!H$2:H$2576=$F$7))),ROW()-13)-1,"")</f>
        <v/>
      </c>
      <c r="Q2576" t="str" cm="1">
        <f t="array" ref="Q2576">IFERROR(INDEX(DB!G$2:G$2576,P2576),"")</f>
        <v/>
      </c>
      <c r="R2576" t="str" cm="1">
        <f t="array" ref="R2576">IFERROR(INDEX(DB!O$2:O$2576,P2576),"")</f>
        <v/>
      </c>
      <c r="S2576" t="str">
        <f t="shared" si="123"/>
        <v/>
      </c>
      <c r="T2576" t="str">
        <f t="shared" si="124"/>
        <v/>
      </c>
    </row>
    <row r="2577" spans="1:20" ht="100" customHeight="1">
      <c r="A2577" s="26"/>
      <c r="B2577" s="42" t="str">
        <f t="shared" si="122"/>
        <v/>
      </c>
      <c r="C2577" s="43"/>
      <c r="D2577" s="51" t="str" cm="1">
        <f t="array" ref="D2577">IFERROR(INDEX(DB!G$2:G$2576,T2577),"")</f>
        <v/>
      </c>
      <c r="E2577" s="43"/>
      <c r="F2577" s="52" t="str" cm="1">
        <f t="array" ref="F2577">IFERROR(INDEX(DB!O$2:O$2576,T2577),"")</f>
        <v/>
      </c>
      <c r="G2577" s="43"/>
      <c r="H2577" s="40" t="str" cm="1">
        <f t="array" ref="H2577">IFERROR(INDEX(DB!P$2:P$2576,T2577),"")</f>
        <v/>
      </c>
      <c r="I2577" s="43"/>
      <c r="J2577" s="53" t="str" cm="1">
        <f t="array" ref="J2577">IFERROR(INDEX(DB!Q$2:Q$2576,T2577),"")</f>
        <v/>
      </c>
      <c r="K2577" s="43"/>
      <c r="L2577" s="41" t="str" cm="1">
        <f t="array" ref="L2577">IFERROR(INDEX(DB!R$2:R$2576,T2577),"")</f>
        <v/>
      </c>
      <c r="M2577" s="43"/>
      <c r="P2577" t="str" cm="1">
        <f t="array" ref="P2577">IFERROR(_xlfn.AGGREGATE(15,6,ROW(DB!A$2:A$2576)/((($D$3&lt;&gt;"YES")+($D$3="YES")*(DB!E$2:E$2576="YES"))*(($D$4="")+($D$4&lt;&gt;"")*( DB!B$2:B$2576=$D$4))*(($D$5="")+($D$5&lt;&gt;"")*( DB!C$2:C$2576=$D$5))*(($D$6="")+($D$6&lt;&gt;"")*( DB!D$2:D$2576=$D$6))*(($D$7="")+($D$7&lt;&gt;"")*(ISNUMBER(SEARCH($D$7,DB!G$2:G$2576))))*(($F$7="전체")+($F$7&lt;&gt;"전체")*(DB!H$2:H$2576=$F$7))),ROW()-13)-1,"")</f>
        <v/>
      </c>
      <c r="Q2577" t="str" cm="1">
        <f t="array" ref="Q2577">IFERROR(INDEX(DB!G$2:G$2576,P2577),"")</f>
        <v/>
      </c>
      <c r="R2577" t="str" cm="1">
        <f t="array" ref="R2577">IFERROR(INDEX(DB!O$2:O$2576,P2577),"")</f>
        <v/>
      </c>
      <c r="S2577" t="str">
        <f t="shared" si="123"/>
        <v/>
      </c>
      <c r="T2577" t="str">
        <f t="shared" si="124"/>
        <v/>
      </c>
    </row>
    <row r="2578" spans="1:20" ht="100" customHeight="1">
      <c r="A2578" s="26"/>
      <c r="B2578" s="39" t="str">
        <f t="shared" si="122"/>
        <v/>
      </c>
      <c r="C2578" s="43"/>
      <c r="D2578" s="51" t="str" cm="1">
        <f t="array" ref="D2578">IFERROR(INDEX(DB!G$2:G$2576,T2578),"")</f>
        <v/>
      </c>
      <c r="E2578" s="43"/>
      <c r="F2578" s="52" t="str" cm="1">
        <f t="array" ref="F2578">IFERROR(INDEX(DB!O$2:O$2576,T2578),"")</f>
        <v/>
      </c>
      <c r="G2578" s="43"/>
      <c r="H2578" s="40" t="str" cm="1">
        <f t="array" ref="H2578">IFERROR(INDEX(DB!P$2:P$2576,T2578),"")</f>
        <v/>
      </c>
      <c r="I2578" s="43"/>
      <c r="J2578" s="53" t="str" cm="1">
        <f t="array" ref="J2578">IFERROR(INDEX(DB!Q$2:Q$2576,T2578),"")</f>
        <v/>
      </c>
      <c r="K2578" s="43"/>
      <c r="L2578" s="41" t="str" cm="1">
        <f t="array" ref="L2578">IFERROR(INDEX(DB!R$2:R$2576,T2578),"")</f>
        <v/>
      </c>
      <c r="M2578" s="43"/>
      <c r="P2578" t="str" cm="1">
        <f t="array" ref="P2578">IFERROR(_xlfn.AGGREGATE(15,6,ROW(DB!A$2:A$2576)/((($D$3&lt;&gt;"YES")+($D$3="YES")*(DB!E$2:E$2576="YES"))*(($D$4="")+($D$4&lt;&gt;"")*( DB!B$2:B$2576=$D$4))*(($D$5="")+($D$5&lt;&gt;"")*( DB!C$2:C$2576=$D$5))*(($D$6="")+($D$6&lt;&gt;"")*( DB!D$2:D$2576=$D$6))*(($D$7="")+($D$7&lt;&gt;"")*(ISNUMBER(SEARCH($D$7,DB!G$2:G$2576))))*(($F$7="전체")+($F$7&lt;&gt;"전체")*(DB!H$2:H$2576=$F$7))),ROW()-13)-1,"")</f>
        <v/>
      </c>
      <c r="Q2578" t="str" cm="1">
        <f t="array" ref="Q2578">IFERROR(INDEX(DB!G$2:G$2576,P2578),"")</f>
        <v/>
      </c>
      <c r="R2578" t="str" cm="1">
        <f t="array" ref="R2578">IFERROR(INDEX(DB!O$2:O$2576,P2578),"")</f>
        <v/>
      </c>
      <c r="S2578" t="str">
        <f t="shared" si="123"/>
        <v/>
      </c>
      <c r="T2578" t="str">
        <f t="shared" si="124"/>
        <v/>
      </c>
    </row>
    <row r="2579" spans="1:20" ht="100" customHeight="1">
      <c r="A2579" s="26"/>
      <c r="B2579" s="42" t="str">
        <f t="shared" si="122"/>
        <v/>
      </c>
      <c r="C2579" s="43"/>
      <c r="D2579" s="51" t="str" cm="1">
        <f t="array" ref="D2579">IFERROR(INDEX(DB!G$2:G$2576,T2579),"")</f>
        <v/>
      </c>
      <c r="E2579" s="43"/>
      <c r="F2579" s="52" t="str" cm="1">
        <f t="array" ref="F2579">IFERROR(INDEX(DB!O$2:O$2576,T2579),"")</f>
        <v/>
      </c>
      <c r="G2579" s="43"/>
      <c r="H2579" s="40" t="str" cm="1">
        <f t="array" ref="H2579">IFERROR(INDEX(DB!P$2:P$2576,T2579),"")</f>
        <v/>
      </c>
      <c r="I2579" s="43"/>
      <c r="J2579" s="53" t="str" cm="1">
        <f t="array" ref="J2579">IFERROR(INDEX(DB!Q$2:Q$2576,T2579),"")</f>
        <v/>
      </c>
      <c r="K2579" s="43"/>
      <c r="L2579" s="41" t="str" cm="1">
        <f t="array" ref="L2579">IFERROR(INDEX(DB!R$2:R$2576,T2579),"")</f>
        <v/>
      </c>
      <c r="M2579" s="43"/>
      <c r="P2579" t="str" cm="1">
        <f t="array" ref="P2579">IFERROR(_xlfn.AGGREGATE(15,6,ROW(DB!A$2:A$2576)/((($D$3&lt;&gt;"YES")+($D$3="YES")*(DB!E$2:E$2576="YES"))*(($D$4="")+($D$4&lt;&gt;"")*( DB!B$2:B$2576=$D$4))*(($D$5="")+($D$5&lt;&gt;"")*( DB!C$2:C$2576=$D$5))*(($D$6="")+($D$6&lt;&gt;"")*( DB!D$2:D$2576=$D$6))*(($D$7="")+($D$7&lt;&gt;"")*(ISNUMBER(SEARCH($D$7,DB!G$2:G$2576))))*(($F$7="전체")+($F$7&lt;&gt;"전체")*(DB!H$2:H$2576=$F$7))),ROW()-13)-1,"")</f>
        <v/>
      </c>
      <c r="Q2579" t="str" cm="1">
        <f t="array" ref="Q2579">IFERROR(INDEX(DB!G$2:G$2576,P2579),"")</f>
        <v/>
      </c>
      <c r="R2579" t="str" cm="1">
        <f t="array" ref="R2579">IFERROR(INDEX(DB!O$2:O$2576,P2579),"")</f>
        <v/>
      </c>
      <c r="S2579" t="str">
        <f t="shared" si="123"/>
        <v/>
      </c>
      <c r="T2579" t="str">
        <f t="shared" si="124"/>
        <v/>
      </c>
    </row>
    <row r="2580" spans="1:20" ht="100" customHeight="1">
      <c r="A2580" s="26"/>
      <c r="B2580" s="39" t="str">
        <f t="shared" si="122"/>
        <v/>
      </c>
      <c r="C2580" s="43"/>
      <c r="D2580" s="51" t="str" cm="1">
        <f t="array" ref="D2580">IFERROR(INDEX(DB!G$2:G$2576,T2580),"")</f>
        <v/>
      </c>
      <c r="E2580" s="43"/>
      <c r="F2580" s="52" t="str" cm="1">
        <f t="array" ref="F2580">IFERROR(INDEX(DB!O$2:O$2576,T2580),"")</f>
        <v/>
      </c>
      <c r="G2580" s="43"/>
      <c r="H2580" s="40" t="str" cm="1">
        <f t="array" ref="H2580">IFERROR(INDEX(DB!P$2:P$2576,T2580),"")</f>
        <v/>
      </c>
      <c r="I2580" s="43"/>
      <c r="J2580" s="53" t="str" cm="1">
        <f t="array" ref="J2580">IFERROR(INDEX(DB!Q$2:Q$2576,T2580),"")</f>
        <v/>
      </c>
      <c r="K2580" s="43"/>
      <c r="L2580" s="41" t="str" cm="1">
        <f t="array" ref="L2580">IFERROR(INDEX(DB!R$2:R$2576,T2580),"")</f>
        <v/>
      </c>
      <c r="M2580" s="43"/>
      <c r="P2580" t="str" cm="1">
        <f t="array" ref="P2580">IFERROR(_xlfn.AGGREGATE(15,6,ROW(DB!A$2:A$2576)/((($D$3&lt;&gt;"YES")+($D$3="YES")*(DB!E$2:E$2576="YES"))*(($D$4="")+($D$4&lt;&gt;"")*( DB!B$2:B$2576=$D$4))*(($D$5="")+($D$5&lt;&gt;"")*( DB!C$2:C$2576=$D$5))*(($D$6="")+($D$6&lt;&gt;"")*( DB!D$2:D$2576=$D$6))*(($D$7="")+($D$7&lt;&gt;"")*(ISNUMBER(SEARCH($D$7,DB!G$2:G$2576))))*(($F$7="전체")+($F$7&lt;&gt;"전체")*(DB!H$2:H$2576=$F$7))),ROW()-13)-1,"")</f>
        <v/>
      </c>
      <c r="Q2580" t="str" cm="1">
        <f t="array" ref="Q2580">IFERROR(INDEX(DB!G$2:G$2576,P2580),"")</f>
        <v/>
      </c>
      <c r="R2580" t="str" cm="1">
        <f t="array" ref="R2580">IFERROR(INDEX(DB!O$2:O$2576,P2580),"")</f>
        <v/>
      </c>
      <c r="S2580" t="str">
        <f t="shared" si="123"/>
        <v/>
      </c>
      <c r="T2580" t="str">
        <f t="shared" si="124"/>
        <v/>
      </c>
    </row>
    <row r="2581" spans="1:20" ht="100" customHeight="1">
      <c r="A2581" s="26"/>
      <c r="B2581" s="42" t="str">
        <f t="shared" si="122"/>
        <v/>
      </c>
      <c r="C2581" s="43"/>
      <c r="D2581" s="51" t="str" cm="1">
        <f t="array" ref="D2581">IFERROR(INDEX(DB!G$2:G$2576,T2581),"")</f>
        <v/>
      </c>
      <c r="E2581" s="43"/>
      <c r="F2581" s="52" t="str" cm="1">
        <f t="array" ref="F2581">IFERROR(INDEX(DB!O$2:O$2576,T2581),"")</f>
        <v/>
      </c>
      <c r="G2581" s="43"/>
      <c r="H2581" s="40" t="str" cm="1">
        <f t="array" ref="H2581">IFERROR(INDEX(DB!P$2:P$2576,T2581),"")</f>
        <v/>
      </c>
      <c r="I2581" s="43"/>
      <c r="J2581" s="53" t="str" cm="1">
        <f t="array" ref="J2581">IFERROR(INDEX(DB!Q$2:Q$2576,T2581),"")</f>
        <v/>
      </c>
      <c r="K2581" s="43"/>
      <c r="L2581" s="41" t="str" cm="1">
        <f t="array" ref="L2581">IFERROR(INDEX(DB!R$2:R$2576,T2581),"")</f>
        <v/>
      </c>
      <c r="M2581" s="43"/>
      <c r="P2581" t="str" cm="1">
        <f t="array" ref="P2581">IFERROR(_xlfn.AGGREGATE(15,6,ROW(DB!A$2:A$2576)/((($D$3&lt;&gt;"YES")+($D$3="YES")*(DB!E$2:E$2576="YES"))*(($D$4="")+($D$4&lt;&gt;"")*( DB!B$2:B$2576=$D$4))*(($D$5="")+($D$5&lt;&gt;"")*( DB!C$2:C$2576=$D$5))*(($D$6="")+($D$6&lt;&gt;"")*( DB!D$2:D$2576=$D$6))*(($D$7="")+($D$7&lt;&gt;"")*(ISNUMBER(SEARCH($D$7,DB!G$2:G$2576))))*(($F$7="전체")+($F$7&lt;&gt;"전체")*(DB!H$2:H$2576=$F$7))),ROW()-13)-1,"")</f>
        <v/>
      </c>
      <c r="Q2581" t="str" cm="1">
        <f t="array" ref="Q2581">IFERROR(INDEX(DB!G$2:G$2576,P2581),"")</f>
        <v/>
      </c>
      <c r="R2581" t="str" cm="1">
        <f t="array" ref="R2581">IFERROR(INDEX(DB!O$2:O$2576,P2581),"")</f>
        <v/>
      </c>
      <c r="S2581" t="str">
        <f t="shared" si="123"/>
        <v/>
      </c>
      <c r="T2581" t="str">
        <f t="shared" si="124"/>
        <v/>
      </c>
    </row>
    <row r="2582" spans="1:20" ht="100" customHeight="1">
      <c r="A2582" s="26"/>
      <c r="B2582" s="39" t="str">
        <f t="shared" si="122"/>
        <v/>
      </c>
      <c r="C2582" s="43"/>
      <c r="D2582" s="51" t="str" cm="1">
        <f t="array" ref="D2582">IFERROR(INDEX(DB!G$2:G$2576,T2582),"")</f>
        <v/>
      </c>
      <c r="E2582" s="43"/>
      <c r="F2582" s="52" t="str" cm="1">
        <f t="array" ref="F2582">IFERROR(INDEX(DB!O$2:O$2576,T2582),"")</f>
        <v/>
      </c>
      <c r="G2582" s="43"/>
      <c r="H2582" s="40" t="str" cm="1">
        <f t="array" ref="H2582">IFERROR(INDEX(DB!P$2:P$2576,T2582),"")</f>
        <v/>
      </c>
      <c r="I2582" s="43"/>
      <c r="J2582" s="53" t="str" cm="1">
        <f t="array" ref="J2582">IFERROR(INDEX(DB!Q$2:Q$2576,T2582),"")</f>
        <v/>
      </c>
      <c r="K2582" s="43"/>
      <c r="L2582" s="41" t="str" cm="1">
        <f t="array" ref="L2582">IFERROR(INDEX(DB!R$2:R$2576,T2582),"")</f>
        <v/>
      </c>
      <c r="M2582" s="43"/>
      <c r="P2582" t="str" cm="1">
        <f t="array" ref="P2582">IFERROR(_xlfn.AGGREGATE(15,6,ROW(DB!A$2:A$2576)/((($D$3&lt;&gt;"YES")+($D$3="YES")*(DB!E$2:E$2576="YES"))*(($D$4="")+($D$4&lt;&gt;"")*( DB!B$2:B$2576=$D$4))*(($D$5="")+($D$5&lt;&gt;"")*( DB!C$2:C$2576=$D$5))*(($D$6="")+($D$6&lt;&gt;"")*( DB!D$2:D$2576=$D$6))*(($D$7="")+($D$7&lt;&gt;"")*(ISNUMBER(SEARCH($D$7,DB!G$2:G$2576))))*(($F$7="전체")+($F$7&lt;&gt;"전체")*(DB!H$2:H$2576=$F$7))),ROW()-13)-1,"")</f>
        <v/>
      </c>
      <c r="Q2582" t="str" cm="1">
        <f t="array" ref="Q2582">IFERROR(INDEX(DB!G$2:G$2576,P2582),"")</f>
        <v/>
      </c>
      <c r="R2582" t="str" cm="1">
        <f t="array" ref="R2582">IFERROR(INDEX(DB!O$2:O$2576,P2582),"")</f>
        <v/>
      </c>
      <c r="S2582" t="str">
        <f t="shared" si="123"/>
        <v/>
      </c>
      <c r="T2582" t="str">
        <f t="shared" si="124"/>
        <v/>
      </c>
    </row>
    <row r="2583" spans="1:20" ht="100" customHeight="1">
      <c r="A2583" s="26"/>
      <c r="B2583" s="42" t="str">
        <f t="shared" si="122"/>
        <v/>
      </c>
      <c r="C2583" s="43"/>
      <c r="D2583" s="51" t="str" cm="1">
        <f t="array" ref="D2583">IFERROR(INDEX(DB!G$2:G$2576,T2583),"")</f>
        <v/>
      </c>
      <c r="E2583" s="43"/>
      <c r="F2583" s="52" t="str" cm="1">
        <f t="array" ref="F2583">IFERROR(INDEX(DB!O$2:O$2576,T2583),"")</f>
        <v/>
      </c>
      <c r="G2583" s="43"/>
      <c r="H2583" s="40" t="str" cm="1">
        <f t="array" ref="H2583">IFERROR(INDEX(DB!P$2:P$2576,T2583),"")</f>
        <v/>
      </c>
      <c r="I2583" s="43"/>
      <c r="J2583" s="53" t="str" cm="1">
        <f t="array" ref="J2583">IFERROR(INDEX(DB!Q$2:Q$2576,T2583),"")</f>
        <v/>
      </c>
      <c r="K2583" s="43"/>
      <c r="L2583" s="41" t="str" cm="1">
        <f t="array" ref="L2583">IFERROR(INDEX(DB!R$2:R$2576,T2583),"")</f>
        <v/>
      </c>
      <c r="M2583" s="43"/>
      <c r="P2583" t="str" cm="1">
        <f t="array" ref="P2583">IFERROR(_xlfn.AGGREGATE(15,6,ROW(DB!A$2:A$2576)/((($D$3&lt;&gt;"YES")+($D$3="YES")*(DB!E$2:E$2576="YES"))*(($D$4="")+($D$4&lt;&gt;"")*( DB!B$2:B$2576=$D$4))*(($D$5="")+($D$5&lt;&gt;"")*( DB!C$2:C$2576=$D$5))*(($D$6="")+($D$6&lt;&gt;"")*( DB!D$2:D$2576=$D$6))*(($D$7="")+($D$7&lt;&gt;"")*(ISNUMBER(SEARCH($D$7,DB!G$2:G$2576))))*(($F$7="전체")+($F$7&lt;&gt;"전체")*(DB!H$2:H$2576=$F$7))),ROW()-13)-1,"")</f>
        <v/>
      </c>
      <c r="Q2583" t="str" cm="1">
        <f t="array" ref="Q2583">IFERROR(INDEX(DB!G$2:G$2576,P2583),"")</f>
        <v/>
      </c>
      <c r="R2583" t="str" cm="1">
        <f t="array" ref="R2583">IFERROR(INDEX(DB!O$2:O$2576,P2583),"")</f>
        <v/>
      </c>
      <c r="S2583" t="str">
        <f t="shared" si="123"/>
        <v/>
      </c>
      <c r="T2583" t="str">
        <f t="shared" si="124"/>
        <v/>
      </c>
    </row>
    <row r="2584" spans="1:20" ht="100" customHeight="1">
      <c r="A2584" s="26"/>
      <c r="B2584" s="39" t="str">
        <f t="shared" si="122"/>
        <v/>
      </c>
      <c r="C2584" s="43"/>
      <c r="D2584" s="51" t="str" cm="1">
        <f t="array" ref="D2584">IFERROR(INDEX(DB!G$2:G$2576,T2584),"")</f>
        <v/>
      </c>
      <c r="E2584" s="43"/>
      <c r="F2584" s="52" t="str" cm="1">
        <f t="array" ref="F2584">IFERROR(INDEX(DB!O$2:O$2576,T2584),"")</f>
        <v/>
      </c>
      <c r="G2584" s="43"/>
      <c r="H2584" s="40" t="str" cm="1">
        <f t="array" ref="H2584">IFERROR(INDEX(DB!P$2:P$2576,T2584),"")</f>
        <v/>
      </c>
      <c r="I2584" s="43"/>
      <c r="J2584" s="53" t="str" cm="1">
        <f t="array" ref="J2584">IFERROR(INDEX(DB!Q$2:Q$2576,T2584),"")</f>
        <v/>
      </c>
      <c r="K2584" s="43"/>
      <c r="L2584" s="41" t="str" cm="1">
        <f t="array" ref="L2584">IFERROR(INDEX(DB!R$2:R$2576,T2584),"")</f>
        <v/>
      </c>
      <c r="M2584" s="43"/>
      <c r="P2584" t="str" cm="1">
        <f t="array" ref="P2584">IFERROR(_xlfn.AGGREGATE(15,6,ROW(DB!A$2:A$2576)/((($D$3&lt;&gt;"YES")+($D$3="YES")*(DB!E$2:E$2576="YES"))*(($D$4="")+($D$4&lt;&gt;"")*( DB!B$2:B$2576=$D$4))*(($D$5="")+($D$5&lt;&gt;"")*( DB!C$2:C$2576=$D$5))*(($D$6="")+($D$6&lt;&gt;"")*( DB!D$2:D$2576=$D$6))*(($D$7="")+($D$7&lt;&gt;"")*(ISNUMBER(SEARCH($D$7,DB!G$2:G$2576))))*(($F$7="전체")+($F$7&lt;&gt;"전체")*(DB!H$2:H$2576=$F$7))),ROW()-13)-1,"")</f>
        <v/>
      </c>
      <c r="Q2584" t="str" cm="1">
        <f t="array" ref="Q2584">IFERROR(INDEX(DB!G$2:G$2576,P2584),"")</f>
        <v/>
      </c>
      <c r="R2584" t="str" cm="1">
        <f t="array" ref="R2584">IFERROR(INDEX(DB!O$2:O$2576,P2584),"")</f>
        <v/>
      </c>
      <c r="S2584" t="str">
        <f t="shared" si="123"/>
        <v/>
      </c>
      <c r="T2584" t="str">
        <f t="shared" si="124"/>
        <v/>
      </c>
    </row>
    <row r="2585" spans="1:20" ht="100" customHeight="1">
      <c r="A2585" s="26"/>
      <c r="B2585" s="42" t="str">
        <f t="shared" si="122"/>
        <v/>
      </c>
      <c r="C2585" s="43"/>
      <c r="D2585" s="51" t="str" cm="1">
        <f t="array" ref="D2585">IFERROR(INDEX(DB!G$2:G$2576,T2585),"")</f>
        <v/>
      </c>
      <c r="E2585" s="43"/>
      <c r="F2585" s="52" t="str" cm="1">
        <f t="array" ref="F2585">IFERROR(INDEX(DB!O$2:O$2576,T2585),"")</f>
        <v/>
      </c>
      <c r="G2585" s="43"/>
      <c r="H2585" s="40" t="str" cm="1">
        <f t="array" ref="H2585">IFERROR(INDEX(DB!P$2:P$2576,T2585),"")</f>
        <v/>
      </c>
      <c r="I2585" s="43"/>
      <c r="J2585" s="53" t="str" cm="1">
        <f t="array" ref="J2585">IFERROR(INDEX(DB!Q$2:Q$2576,T2585),"")</f>
        <v/>
      </c>
      <c r="K2585" s="43"/>
      <c r="L2585" s="41" t="str" cm="1">
        <f t="array" ref="L2585">IFERROR(INDEX(DB!R$2:R$2576,T2585),"")</f>
        <v/>
      </c>
      <c r="M2585" s="43"/>
      <c r="P2585" t="str" cm="1">
        <f t="array" ref="P2585">IFERROR(_xlfn.AGGREGATE(15,6,ROW(DB!A$2:A$2576)/((($D$3&lt;&gt;"YES")+($D$3="YES")*(DB!E$2:E$2576="YES"))*(($D$4="")+($D$4&lt;&gt;"")*( DB!B$2:B$2576=$D$4))*(($D$5="")+($D$5&lt;&gt;"")*( DB!C$2:C$2576=$D$5))*(($D$6="")+($D$6&lt;&gt;"")*( DB!D$2:D$2576=$D$6))*(($D$7="")+($D$7&lt;&gt;"")*(ISNUMBER(SEARCH($D$7,DB!G$2:G$2576))))*(($F$7="전체")+($F$7&lt;&gt;"전체")*(DB!H$2:H$2576=$F$7))),ROW()-13)-1,"")</f>
        <v/>
      </c>
      <c r="Q2585" t="str" cm="1">
        <f t="array" ref="Q2585">IFERROR(INDEX(DB!G$2:G$2576,P2585),"")</f>
        <v/>
      </c>
      <c r="R2585" t="str" cm="1">
        <f t="array" ref="R2585">IFERROR(INDEX(DB!O$2:O$2576,P2585),"")</f>
        <v/>
      </c>
      <c r="S2585" t="str">
        <f t="shared" si="123"/>
        <v/>
      </c>
      <c r="T2585" t="str">
        <f t="shared" si="124"/>
        <v/>
      </c>
    </row>
    <row r="2586" spans="1:20" ht="100" customHeight="1">
      <c r="A2586" s="26"/>
      <c r="B2586" s="39" t="str">
        <f t="shared" si="122"/>
        <v/>
      </c>
      <c r="C2586" s="43"/>
      <c r="D2586" s="51" t="str" cm="1">
        <f t="array" ref="D2586">IFERROR(INDEX(DB!G$2:G$2576,T2586),"")</f>
        <v/>
      </c>
      <c r="E2586" s="43"/>
      <c r="F2586" s="52" t="str" cm="1">
        <f t="array" ref="F2586">IFERROR(INDEX(DB!O$2:O$2576,T2586),"")</f>
        <v/>
      </c>
      <c r="G2586" s="43"/>
      <c r="H2586" s="40" t="str" cm="1">
        <f t="array" ref="H2586">IFERROR(INDEX(DB!P$2:P$2576,T2586),"")</f>
        <v/>
      </c>
      <c r="I2586" s="43"/>
      <c r="J2586" s="53" t="str" cm="1">
        <f t="array" ref="J2586">IFERROR(INDEX(DB!Q$2:Q$2576,T2586),"")</f>
        <v/>
      </c>
      <c r="K2586" s="43"/>
      <c r="L2586" s="41" t="str" cm="1">
        <f t="array" ref="L2586">IFERROR(INDEX(DB!R$2:R$2576,T2586),"")</f>
        <v/>
      </c>
      <c r="M2586" s="43"/>
      <c r="P2586" t="str" cm="1">
        <f t="array" ref="P2586">IFERROR(_xlfn.AGGREGATE(15,6,ROW(DB!A$2:A$2576)/((($D$3&lt;&gt;"YES")+($D$3="YES")*(DB!E$2:E$2576="YES"))*(($D$4="")+($D$4&lt;&gt;"")*( DB!B$2:B$2576=$D$4))*(($D$5="")+($D$5&lt;&gt;"")*( DB!C$2:C$2576=$D$5))*(($D$6="")+($D$6&lt;&gt;"")*( DB!D$2:D$2576=$D$6))*(($D$7="")+($D$7&lt;&gt;"")*(ISNUMBER(SEARCH($D$7,DB!G$2:G$2576))))*(($F$7="전체")+($F$7&lt;&gt;"전체")*(DB!H$2:H$2576=$F$7))),ROW()-13)-1,"")</f>
        <v/>
      </c>
      <c r="Q2586" t="str" cm="1">
        <f t="array" ref="Q2586">IFERROR(INDEX(DB!G$2:G$2576,P2586),"")</f>
        <v/>
      </c>
      <c r="R2586" t="str" cm="1">
        <f t="array" ref="R2586">IFERROR(INDEX(DB!O$2:O$2576,P2586),"")</f>
        <v/>
      </c>
      <c r="S2586" t="str">
        <f t="shared" si="123"/>
        <v/>
      </c>
      <c r="T2586" t="str">
        <f t="shared" si="124"/>
        <v/>
      </c>
    </row>
    <row r="2587" spans="1:20" ht="100" customHeight="1">
      <c r="A2587" s="26"/>
      <c r="B2587" s="42" t="str">
        <f t="shared" si="122"/>
        <v/>
      </c>
      <c r="C2587" s="43"/>
      <c r="D2587" s="51" t="str" cm="1">
        <f t="array" ref="D2587">IFERROR(INDEX(DB!G$2:G$2576,T2587),"")</f>
        <v/>
      </c>
      <c r="E2587" s="43"/>
      <c r="F2587" s="52" t="str" cm="1">
        <f t="array" ref="F2587">IFERROR(INDEX(DB!O$2:O$2576,T2587),"")</f>
        <v/>
      </c>
      <c r="G2587" s="43"/>
      <c r="H2587" s="40" t="str" cm="1">
        <f t="array" ref="H2587">IFERROR(INDEX(DB!P$2:P$2576,T2587),"")</f>
        <v/>
      </c>
      <c r="I2587" s="43"/>
      <c r="J2587" s="53" t="str" cm="1">
        <f t="array" ref="J2587">IFERROR(INDEX(DB!Q$2:Q$2576,T2587),"")</f>
        <v/>
      </c>
      <c r="K2587" s="43"/>
      <c r="L2587" s="41" t="str" cm="1">
        <f t="array" ref="L2587">IFERROR(INDEX(DB!R$2:R$2576,T2587),"")</f>
        <v/>
      </c>
      <c r="M2587" s="43"/>
      <c r="P2587" t="str" cm="1">
        <f t="array" ref="P2587">IFERROR(_xlfn.AGGREGATE(15,6,ROW(DB!A$2:A$2576)/((($D$3&lt;&gt;"YES")+($D$3="YES")*(DB!E$2:E$2576="YES"))*(($D$4="")+($D$4&lt;&gt;"")*( DB!B$2:B$2576=$D$4))*(($D$5="")+($D$5&lt;&gt;"")*( DB!C$2:C$2576=$D$5))*(($D$6="")+($D$6&lt;&gt;"")*( DB!D$2:D$2576=$D$6))*(($D$7="")+($D$7&lt;&gt;"")*(ISNUMBER(SEARCH($D$7,DB!G$2:G$2576))))*(($F$7="전체")+($F$7&lt;&gt;"전체")*(DB!H$2:H$2576=$F$7))),ROW()-13)-1,"")</f>
        <v/>
      </c>
      <c r="Q2587" t="str" cm="1">
        <f t="array" ref="Q2587">IFERROR(INDEX(DB!G$2:G$2576,P2587),"")</f>
        <v/>
      </c>
      <c r="R2587" t="str" cm="1">
        <f t="array" ref="R2587">IFERROR(INDEX(DB!O$2:O$2576,P2587),"")</f>
        <v/>
      </c>
      <c r="S2587" t="str">
        <f t="shared" si="123"/>
        <v/>
      </c>
      <c r="T2587" t="str">
        <f t="shared" si="124"/>
        <v/>
      </c>
    </row>
    <row r="2588" spans="1:20" ht="100" customHeight="1">
      <c r="A2588" s="26"/>
      <c r="C2588" s="43"/>
      <c r="E2588" s="43"/>
      <c r="G2588" s="43"/>
      <c r="I2588" s="43"/>
      <c r="K2588" s="43"/>
      <c r="M2588" s="43"/>
    </row>
    <row r="2589" spans="1:20" ht="100" customHeight="1">
      <c r="A2589" s="26"/>
      <c r="C2589" s="43"/>
      <c r="E2589" s="43"/>
      <c r="G2589" s="43"/>
      <c r="I2589" s="43"/>
      <c r="K2589" s="43"/>
      <c r="M2589" s="43"/>
    </row>
    <row r="2590" spans="1:20" ht="100" customHeight="1">
      <c r="A2590" s="26"/>
      <c r="C2590" s="43"/>
      <c r="E2590" s="43"/>
      <c r="G2590" s="43"/>
      <c r="I2590" s="43"/>
      <c r="K2590" s="43"/>
      <c r="M2590" s="43"/>
    </row>
    <row r="2591" spans="1:20" ht="100" customHeight="1">
      <c r="A2591" s="26"/>
      <c r="C2591" s="43"/>
      <c r="E2591" s="43"/>
      <c r="G2591" s="43"/>
      <c r="I2591" s="43"/>
      <c r="K2591" s="43"/>
      <c r="M2591" s="43"/>
    </row>
    <row r="2592" spans="1:20" ht="100" customHeight="1">
      <c r="A2592" s="26"/>
      <c r="C2592" s="43"/>
      <c r="E2592" s="43"/>
      <c r="G2592" s="43"/>
      <c r="I2592" s="43"/>
      <c r="K2592" s="43"/>
      <c r="M2592" s="43"/>
    </row>
    <row r="2593" spans="1:13" ht="100" customHeight="1">
      <c r="A2593" s="26"/>
      <c r="C2593" s="43"/>
      <c r="E2593" s="43"/>
      <c r="G2593" s="43"/>
      <c r="I2593" s="43"/>
      <c r="K2593" s="43"/>
      <c r="M2593" s="43"/>
    </row>
    <row r="2594" spans="1:13" ht="100" customHeight="1">
      <c r="A2594" s="26"/>
      <c r="C2594" s="43"/>
      <c r="E2594" s="43"/>
      <c r="G2594" s="43"/>
      <c r="I2594" s="43"/>
      <c r="K2594" s="43"/>
      <c r="M2594" s="43"/>
    </row>
    <row r="2595" spans="1:13" ht="100" customHeight="1">
      <c r="A2595" s="26"/>
      <c r="C2595" s="43"/>
      <c r="E2595" s="43"/>
      <c r="G2595" s="43"/>
      <c r="I2595" s="43"/>
      <c r="K2595" s="43"/>
      <c r="M2595" s="43"/>
    </row>
    <row r="2596" spans="1:13" ht="100" customHeight="1">
      <c r="A2596" s="26"/>
      <c r="C2596" s="43"/>
      <c r="E2596" s="43"/>
      <c r="G2596" s="43"/>
      <c r="I2596" s="43"/>
      <c r="K2596" s="43"/>
      <c r="M2596" s="43"/>
    </row>
    <row r="2597" spans="1:13" ht="100" customHeight="1">
      <c r="A2597" s="26"/>
      <c r="C2597" s="43"/>
      <c r="E2597" s="43"/>
      <c r="G2597" s="43"/>
      <c r="I2597" s="43"/>
      <c r="K2597" s="43"/>
      <c r="M2597" s="43"/>
    </row>
    <row r="2598" spans="1:13" ht="100" customHeight="1">
      <c r="A2598" s="26"/>
      <c r="C2598" s="43"/>
      <c r="E2598" s="43"/>
      <c r="G2598" s="43"/>
      <c r="I2598" s="43"/>
      <c r="K2598" s="43"/>
      <c r="M2598" s="43"/>
    </row>
    <row r="2599" spans="1:13" ht="100" customHeight="1">
      <c r="A2599" s="26"/>
      <c r="C2599" s="43"/>
      <c r="E2599" s="43"/>
      <c r="G2599" s="43"/>
      <c r="I2599" s="43"/>
      <c r="K2599" s="43"/>
      <c r="M2599" s="43"/>
    </row>
    <row r="2600" spans="1:13" ht="100" customHeight="1">
      <c r="A2600" s="26"/>
      <c r="C2600" s="43"/>
      <c r="E2600" s="43"/>
      <c r="G2600" s="43"/>
      <c r="I2600" s="43"/>
      <c r="K2600" s="43"/>
      <c r="M2600" s="43"/>
    </row>
    <row r="2601" spans="1:13" ht="100" customHeight="1">
      <c r="A2601" s="26"/>
      <c r="C2601" s="43"/>
      <c r="E2601" s="43"/>
      <c r="G2601" s="43"/>
      <c r="I2601" s="43"/>
      <c r="K2601" s="43"/>
      <c r="M2601" s="43"/>
    </row>
    <row r="2602" spans="1:13" ht="100" customHeight="1">
      <c r="A2602" s="26"/>
      <c r="C2602" s="43"/>
      <c r="E2602" s="43"/>
      <c r="G2602" s="43"/>
      <c r="I2602" s="43"/>
      <c r="K2602" s="43"/>
      <c r="M2602" s="43"/>
    </row>
    <row r="2603" spans="1:13" ht="100" customHeight="1">
      <c r="A2603" s="26"/>
      <c r="C2603" s="43"/>
      <c r="E2603" s="43"/>
      <c r="G2603" s="43"/>
      <c r="I2603" s="43"/>
      <c r="K2603" s="43"/>
      <c r="M2603" s="43"/>
    </row>
    <row r="2604" spans="1:13" ht="100" customHeight="1">
      <c r="A2604" s="26"/>
      <c r="C2604" s="43"/>
      <c r="E2604" s="43"/>
      <c r="G2604" s="43"/>
      <c r="I2604" s="43"/>
      <c r="K2604" s="43"/>
      <c r="M2604" s="43"/>
    </row>
    <row r="2605" spans="1:13" ht="100" customHeight="1">
      <c r="A2605" s="26"/>
      <c r="C2605" s="43"/>
      <c r="E2605" s="43"/>
      <c r="G2605" s="43"/>
      <c r="I2605" s="43"/>
      <c r="K2605" s="43"/>
      <c r="M2605" s="43"/>
    </row>
    <row r="2606" spans="1:13" ht="100" customHeight="1">
      <c r="A2606" s="26"/>
      <c r="C2606" s="43"/>
      <c r="E2606" s="43"/>
      <c r="G2606" s="43"/>
      <c r="I2606" s="43"/>
      <c r="K2606" s="43"/>
      <c r="M2606" s="43"/>
    </row>
    <row r="2607" spans="1:13" ht="100" customHeight="1">
      <c r="A2607" s="26"/>
      <c r="C2607" s="43"/>
      <c r="E2607" s="43"/>
      <c r="G2607" s="43"/>
      <c r="I2607" s="43"/>
      <c r="K2607" s="43"/>
      <c r="M2607" s="43"/>
    </row>
    <row r="2608" spans="1:13" ht="100" customHeight="1">
      <c r="A2608" s="26"/>
      <c r="C2608" s="43"/>
      <c r="E2608" s="43"/>
      <c r="G2608" s="43"/>
      <c r="I2608" s="43"/>
      <c r="K2608" s="43"/>
      <c r="M2608" s="43"/>
    </row>
    <row r="2609" spans="1:13" ht="100" customHeight="1">
      <c r="A2609" s="26"/>
      <c r="C2609" s="43"/>
      <c r="E2609" s="43"/>
      <c r="G2609" s="43"/>
      <c r="I2609" s="43"/>
      <c r="K2609" s="43"/>
      <c r="M2609" s="43"/>
    </row>
    <row r="2610" spans="1:13" ht="100" customHeight="1">
      <c r="A2610" s="26"/>
      <c r="C2610" s="43"/>
      <c r="E2610" s="43"/>
      <c r="G2610" s="43"/>
      <c r="I2610" s="43"/>
      <c r="K2610" s="43"/>
      <c r="M2610" s="43"/>
    </row>
    <row r="2611" spans="1:13" ht="100" customHeight="1">
      <c r="A2611" s="26"/>
      <c r="C2611" s="43"/>
      <c r="E2611" s="43"/>
      <c r="G2611" s="43"/>
      <c r="I2611" s="43"/>
      <c r="K2611" s="43"/>
      <c r="M2611" s="43"/>
    </row>
    <row r="2612" spans="1:13" ht="100" customHeight="1">
      <c r="A2612" s="26"/>
      <c r="C2612" s="43"/>
      <c r="E2612" s="43"/>
      <c r="G2612" s="43"/>
      <c r="I2612" s="43"/>
      <c r="K2612" s="43"/>
      <c r="M2612" s="43"/>
    </row>
    <row r="2613" spans="1:13" ht="100" customHeight="1">
      <c r="A2613" s="26"/>
      <c r="C2613" s="43"/>
      <c r="E2613" s="43"/>
      <c r="G2613" s="43"/>
      <c r="I2613" s="43"/>
      <c r="K2613" s="43"/>
      <c r="M2613" s="43"/>
    </row>
    <row r="2614" spans="1:13" ht="100" customHeight="1">
      <c r="A2614" s="26"/>
      <c r="C2614" s="43"/>
      <c r="E2614" s="43"/>
      <c r="G2614" s="43"/>
      <c r="I2614" s="43"/>
      <c r="K2614" s="43"/>
      <c r="M2614" s="43"/>
    </row>
    <row r="2615" spans="1:13" ht="100" customHeight="1">
      <c r="A2615" s="26"/>
      <c r="C2615" s="43"/>
      <c r="E2615" s="43"/>
      <c r="G2615" s="43"/>
      <c r="I2615" s="43"/>
      <c r="K2615" s="43"/>
      <c r="M2615" s="43"/>
    </row>
    <row r="2616" spans="1:13" ht="100" customHeight="1">
      <c r="A2616" s="26"/>
      <c r="C2616" s="43"/>
      <c r="E2616" s="43"/>
      <c r="G2616" s="43"/>
      <c r="I2616" s="43"/>
      <c r="K2616" s="43"/>
      <c r="M2616" s="43"/>
    </row>
    <row r="2617" spans="1:13" ht="100" customHeight="1">
      <c r="A2617" s="26"/>
      <c r="C2617" s="43"/>
      <c r="E2617" s="43"/>
      <c r="G2617" s="43"/>
      <c r="I2617" s="43"/>
      <c r="K2617" s="43"/>
      <c r="M2617" s="43"/>
    </row>
    <row r="2618" spans="1:13" ht="100" customHeight="1">
      <c r="A2618" s="26"/>
      <c r="C2618" s="43"/>
      <c r="E2618" s="43"/>
      <c r="G2618" s="43"/>
      <c r="I2618" s="43"/>
      <c r="K2618" s="43"/>
      <c r="M2618" s="43"/>
    </row>
    <row r="2619" spans="1:13" ht="100" customHeight="1">
      <c r="A2619" s="26"/>
      <c r="C2619" s="43"/>
      <c r="E2619" s="43"/>
      <c r="G2619" s="43"/>
      <c r="I2619" s="43"/>
      <c r="K2619" s="43"/>
      <c r="M2619" s="43"/>
    </row>
    <row r="2620" spans="1:13" ht="100" customHeight="1">
      <c r="A2620" s="26"/>
      <c r="C2620" s="43"/>
      <c r="E2620" s="43"/>
      <c r="G2620" s="43"/>
      <c r="I2620" s="43"/>
      <c r="K2620" s="43"/>
      <c r="M2620" s="43"/>
    </row>
    <row r="2621" spans="1:13" ht="100" customHeight="1">
      <c r="A2621" s="26"/>
      <c r="C2621" s="43"/>
      <c r="E2621" s="43"/>
      <c r="G2621" s="43"/>
      <c r="I2621" s="43"/>
      <c r="K2621" s="43"/>
      <c r="M2621" s="43"/>
    </row>
    <row r="2622" spans="1:13" ht="100" customHeight="1">
      <c r="A2622" s="26"/>
      <c r="C2622" s="43"/>
      <c r="E2622" s="43"/>
      <c r="G2622" s="43"/>
      <c r="I2622" s="43"/>
      <c r="K2622" s="43"/>
      <c r="M2622" s="43"/>
    </row>
    <row r="2623" spans="1:13" ht="100" customHeight="1">
      <c r="A2623" s="26"/>
      <c r="C2623" s="43"/>
      <c r="E2623" s="43"/>
      <c r="G2623" s="43"/>
      <c r="I2623" s="43"/>
      <c r="K2623" s="43"/>
      <c r="M2623" s="43"/>
    </row>
    <row r="2624" spans="1:13" ht="100" customHeight="1">
      <c r="A2624" s="26"/>
      <c r="C2624" s="43"/>
      <c r="E2624" s="43"/>
      <c r="G2624" s="43"/>
      <c r="I2624" s="43"/>
      <c r="K2624" s="43"/>
      <c r="M2624" s="43"/>
    </row>
    <row r="2625" spans="1:13" ht="100" customHeight="1">
      <c r="A2625" s="26"/>
      <c r="C2625" s="43"/>
      <c r="E2625" s="43"/>
      <c r="G2625" s="43"/>
      <c r="I2625" s="43"/>
      <c r="K2625" s="43"/>
      <c r="M2625" s="43"/>
    </row>
    <row r="2626" spans="1:13" ht="100" customHeight="1">
      <c r="A2626" s="26"/>
      <c r="C2626" s="43"/>
      <c r="E2626" s="43"/>
      <c r="G2626" s="43"/>
      <c r="I2626" s="43"/>
      <c r="K2626" s="43"/>
      <c r="M2626" s="43"/>
    </row>
    <row r="2627" spans="1:13" ht="100" customHeight="1">
      <c r="A2627" s="26"/>
      <c r="C2627" s="43"/>
      <c r="E2627" s="43"/>
      <c r="G2627" s="43"/>
      <c r="I2627" s="43"/>
      <c r="K2627" s="43"/>
      <c r="M2627" s="43"/>
    </row>
    <row r="2628" spans="1:13" ht="100" customHeight="1">
      <c r="A2628" s="26"/>
      <c r="C2628" s="43"/>
      <c r="E2628" s="43"/>
      <c r="G2628" s="43"/>
      <c r="I2628" s="43"/>
      <c r="K2628" s="43"/>
      <c r="M2628" s="43"/>
    </row>
    <row r="2629" spans="1:13" ht="100" customHeight="1">
      <c r="A2629" s="26"/>
      <c r="C2629" s="43"/>
      <c r="E2629" s="43"/>
      <c r="G2629" s="43"/>
      <c r="I2629" s="43"/>
      <c r="K2629" s="43"/>
      <c r="M2629" s="43"/>
    </row>
    <row r="2630" spans="1:13" ht="100" customHeight="1">
      <c r="A2630" s="26"/>
      <c r="C2630" s="43"/>
      <c r="E2630" s="43"/>
      <c r="G2630" s="43"/>
      <c r="I2630" s="43"/>
      <c r="K2630" s="43"/>
      <c r="M2630" s="43"/>
    </row>
    <row r="2631" spans="1:13" ht="100" customHeight="1">
      <c r="A2631" s="26"/>
      <c r="C2631" s="43"/>
      <c r="E2631" s="43"/>
      <c r="G2631" s="43"/>
      <c r="I2631" s="43"/>
      <c r="K2631" s="43"/>
      <c r="M2631" s="43"/>
    </row>
    <row r="2632" spans="1:13" ht="100" customHeight="1">
      <c r="A2632" s="26"/>
      <c r="C2632" s="43"/>
      <c r="E2632" s="43"/>
      <c r="G2632" s="43"/>
      <c r="I2632" s="43"/>
      <c r="K2632" s="43"/>
      <c r="M2632" s="43"/>
    </row>
    <row r="2633" spans="1:13" ht="100" customHeight="1">
      <c r="A2633" s="26"/>
      <c r="C2633" s="43"/>
      <c r="E2633" s="43"/>
      <c r="G2633" s="43"/>
      <c r="I2633" s="43"/>
      <c r="K2633" s="43"/>
      <c r="M2633" s="43"/>
    </row>
    <row r="2634" spans="1:13" ht="100" customHeight="1">
      <c r="A2634" s="26"/>
      <c r="C2634" s="43"/>
      <c r="E2634" s="43"/>
      <c r="G2634" s="43"/>
      <c r="I2634" s="43"/>
      <c r="K2634" s="43"/>
      <c r="M2634" s="43"/>
    </row>
    <row r="2635" spans="1:13" ht="100" customHeight="1">
      <c r="A2635" s="26"/>
      <c r="C2635" s="43"/>
      <c r="E2635" s="43"/>
      <c r="G2635" s="43"/>
      <c r="I2635" s="43"/>
      <c r="K2635" s="43"/>
      <c r="M2635" s="43"/>
    </row>
    <row r="2636" spans="1:13" ht="100" customHeight="1">
      <c r="A2636" s="26"/>
      <c r="C2636" s="43"/>
      <c r="E2636" s="43"/>
      <c r="G2636" s="43"/>
      <c r="I2636" s="43"/>
      <c r="K2636" s="43"/>
      <c r="M2636" s="43"/>
    </row>
    <row r="2637" spans="1:13" ht="100" customHeight="1">
      <c r="A2637" s="26"/>
      <c r="C2637" s="43"/>
      <c r="E2637" s="43"/>
      <c r="G2637" s="43"/>
      <c r="I2637" s="43"/>
      <c r="K2637" s="43"/>
      <c r="M2637" s="43"/>
    </row>
    <row r="2638" spans="1:13" ht="100" customHeight="1">
      <c r="A2638" s="26"/>
      <c r="C2638" s="43"/>
      <c r="E2638" s="43"/>
      <c r="G2638" s="43"/>
      <c r="I2638" s="43"/>
      <c r="K2638" s="43"/>
      <c r="M2638" s="43"/>
    </row>
    <row r="2639" spans="1:13" ht="100" customHeight="1">
      <c r="A2639" s="26"/>
      <c r="C2639" s="43"/>
      <c r="E2639" s="43"/>
      <c r="G2639" s="43"/>
      <c r="I2639" s="43"/>
      <c r="K2639" s="43"/>
      <c r="M2639" s="43"/>
    </row>
    <row r="2640" spans="1:13" ht="100" customHeight="1">
      <c r="A2640" s="26"/>
      <c r="C2640" s="43"/>
      <c r="E2640" s="43"/>
      <c r="G2640" s="43"/>
      <c r="I2640" s="43"/>
      <c r="K2640" s="43"/>
      <c r="M2640" s="43"/>
    </row>
    <row r="2641" spans="1:13" ht="100" customHeight="1">
      <c r="A2641" s="26"/>
      <c r="C2641" s="43"/>
      <c r="E2641" s="43"/>
      <c r="G2641" s="43"/>
      <c r="I2641" s="43"/>
      <c r="K2641" s="43"/>
      <c r="M2641" s="43"/>
    </row>
    <row r="2642" spans="1:13" ht="100" customHeight="1">
      <c r="A2642" s="26"/>
      <c r="C2642" s="43"/>
      <c r="E2642" s="43"/>
      <c r="G2642" s="43"/>
      <c r="I2642" s="43"/>
      <c r="K2642" s="43"/>
      <c r="M2642" s="43"/>
    </row>
    <row r="2643" spans="1:13" ht="100" customHeight="1">
      <c r="A2643" s="26"/>
      <c r="C2643" s="43"/>
      <c r="E2643" s="43"/>
      <c r="G2643" s="43"/>
      <c r="I2643" s="43"/>
      <c r="K2643" s="43"/>
      <c r="M2643" s="43"/>
    </row>
    <row r="2644" spans="1:13" ht="100" customHeight="1">
      <c r="A2644" s="26"/>
      <c r="C2644" s="43"/>
      <c r="E2644" s="43"/>
      <c r="G2644" s="43"/>
      <c r="I2644" s="43"/>
      <c r="K2644" s="43"/>
      <c r="M2644" s="43"/>
    </row>
    <row r="2645" spans="1:13" ht="100" customHeight="1">
      <c r="A2645" s="26"/>
      <c r="C2645" s="43"/>
      <c r="E2645" s="43"/>
      <c r="G2645" s="43"/>
      <c r="I2645" s="43"/>
      <c r="K2645" s="43"/>
      <c r="M2645" s="43"/>
    </row>
    <row r="2646" spans="1:13" ht="100" customHeight="1">
      <c r="A2646" s="26"/>
      <c r="C2646" s="43"/>
      <c r="E2646" s="43"/>
      <c r="G2646" s="43"/>
      <c r="I2646" s="43"/>
      <c r="K2646" s="43"/>
      <c r="M2646" s="43"/>
    </row>
    <row r="2647" spans="1:13" ht="100" customHeight="1">
      <c r="A2647" s="26"/>
      <c r="C2647" s="43"/>
      <c r="E2647" s="43"/>
      <c r="G2647" s="43"/>
      <c r="I2647" s="43"/>
      <c r="K2647" s="43"/>
      <c r="M2647" s="43"/>
    </row>
    <row r="2648" spans="1:13" ht="100" customHeight="1">
      <c r="A2648" s="26"/>
      <c r="C2648" s="43"/>
      <c r="E2648" s="43"/>
      <c r="G2648" s="43"/>
      <c r="I2648" s="43"/>
      <c r="K2648" s="43"/>
      <c r="M2648" s="43"/>
    </row>
    <row r="2649" spans="1:13" ht="100" customHeight="1">
      <c r="A2649" s="26"/>
      <c r="C2649" s="43"/>
      <c r="E2649" s="43"/>
      <c r="G2649" s="43"/>
      <c r="I2649" s="43"/>
      <c r="K2649" s="43"/>
      <c r="M2649" s="43"/>
    </row>
    <row r="2650" spans="1:13" ht="100" customHeight="1">
      <c r="A2650" s="26"/>
      <c r="C2650" s="43"/>
      <c r="E2650" s="43"/>
      <c r="G2650" s="43"/>
      <c r="I2650" s="43"/>
      <c r="K2650" s="43"/>
      <c r="M2650" s="43"/>
    </row>
    <row r="2651" spans="1:13" ht="100" customHeight="1">
      <c r="A2651" s="26"/>
      <c r="C2651" s="43"/>
      <c r="E2651" s="43"/>
      <c r="G2651" s="43"/>
      <c r="I2651" s="43"/>
      <c r="K2651" s="43"/>
      <c r="M2651" s="43"/>
    </row>
    <row r="2652" spans="1:13" ht="100" customHeight="1">
      <c r="A2652" s="26"/>
      <c r="C2652" s="43"/>
      <c r="E2652" s="43"/>
      <c r="G2652" s="43"/>
      <c r="I2652" s="43"/>
      <c r="K2652" s="43"/>
      <c r="M2652" s="43"/>
    </row>
    <row r="2653" spans="1:13" ht="100" customHeight="1">
      <c r="A2653" s="26"/>
      <c r="C2653" s="43"/>
      <c r="E2653" s="43"/>
      <c r="G2653" s="43"/>
      <c r="I2653" s="43"/>
      <c r="K2653" s="43"/>
      <c r="M2653" s="43"/>
    </row>
    <row r="2654" spans="1:13" ht="100" customHeight="1">
      <c r="A2654" s="26"/>
      <c r="C2654" s="43"/>
      <c r="E2654" s="43"/>
      <c r="G2654" s="43"/>
      <c r="I2654" s="43"/>
      <c r="K2654" s="43"/>
      <c r="M2654" s="43"/>
    </row>
    <row r="2655" spans="1:13" ht="100" customHeight="1">
      <c r="A2655" s="26"/>
      <c r="C2655" s="43"/>
      <c r="E2655" s="43"/>
      <c r="G2655" s="43"/>
      <c r="I2655" s="43"/>
      <c r="K2655" s="43"/>
      <c r="M2655" s="43"/>
    </row>
    <row r="2656" spans="1:13" ht="100" customHeight="1">
      <c r="A2656" s="26"/>
      <c r="C2656" s="43"/>
      <c r="E2656" s="43"/>
      <c r="G2656" s="43"/>
      <c r="I2656" s="43"/>
      <c r="K2656" s="43"/>
      <c r="M2656" s="43"/>
    </row>
    <row r="2657" spans="1:13" ht="100" customHeight="1">
      <c r="A2657" s="26"/>
      <c r="C2657" s="43"/>
      <c r="E2657" s="43"/>
      <c r="G2657" s="43"/>
      <c r="I2657" s="43"/>
      <c r="K2657" s="43"/>
      <c r="M2657" s="43"/>
    </row>
    <row r="2658" spans="1:13" ht="100" customHeight="1">
      <c r="A2658" s="26"/>
      <c r="C2658" s="43"/>
      <c r="E2658" s="43"/>
      <c r="G2658" s="43"/>
      <c r="I2658" s="43"/>
      <c r="K2658" s="43"/>
      <c r="M2658" s="43"/>
    </row>
    <row r="2659" spans="1:13" ht="100" customHeight="1">
      <c r="A2659" s="26"/>
      <c r="C2659" s="43"/>
      <c r="E2659" s="43"/>
      <c r="G2659" s="43"/>
      <c r="I2659" s="43"/>
      <c r="K2659" s="43"/>
      <c r="M2659" s="43"/>
    </row>
    <row r="2660" spans="1:13" ht="100" customHeight="1">
      <c r="A2660" s="26"/>
      <c r="C2660" s="43"/>
      <c r="E2660" s="43"/>
      <c r="G2660" s="43"/>
      <c r="I2660" s="43"/>
      <c r="K2660" s="43"/>
      <c r="M2660" s="43"/>
    </row>
    <row r="2661" spans="1:13" ht="100" customHeight="1">
      <c r="A2661" s="26"/>
      <c r="C2661" s="43"/>
      <c r="E2661" s="43"/>
      <c r="G2661" s="43"/>
      <c r="I2661" s="43"/>
      <c r="K2661" s="43"/>
      <c r="M2661" s="43"/>
    </row>
    <row r="2662" spans="1:13" ht="100" customHeight="1">
      <c r="A2662" s="26"/>
      <c r="C2662" s="43"/>
      <c r="E2662" s="43"/>
      <c r="G2662" s="43"/>
      <c r="I2662" s="43"/>
      <c r="K2662" s="43"/>
      <c r="M2662" s="43"/>
    </row>
    <row r="2663" spans="1:13" ht="100" customHeight="1">
      <c r="A2663" s="26"/>
      <c r="C2663" s="43"/>
      <c r="E2663" s="43"/>
      <c r="G2663" s="43"/>
      <c r="I2663" s="43"/>
      <c r="K2663" s="43"/>
      <c r="M2663" s="43"/>
    </row>
    <row r="2664" spans="1:13" ht="100" customHeight="1">
      <c r="A2664" s="26"/>
      <c r="C2664" s="43"/>
      <c r="E2664" s="43"/>
      <c r="G2664" s="43"/>
      <c r="I2664" s="43"/>
      <c r="K2664" s="43"/>
      <c r="M2664" s="43"/>
    </row>
    <row r="2665" spans="1:13" ht="100" customHeight="1">
      <c r="A2665" s="26"/>
      <c r="C2665" s="43"/>
      <c r="E2665" s="43"/>
      <c r="G2665" s="43"/>
      <c r="I2665" s="43"/>
      <c r="K2665" s="43"/>
      <c r="M2665" s="43"/>
    </row>
    <row r="2666" spans="1:13" ht="100" customHeight="1">
      <c r="A2666" s="26"/>
      <c r="C2666" s="43"/>
      <c r="E2666" s="43"/>
      <c r="G2666" s="43"/>
      <c r="I2666" s="43"/>
      <c r="K2666" s="43"/>
      <c r="M2666" s="43"/>
    </row>
    <row r="2667" spans="1:13" ht="100" customHeight="1">
      <c r="A2667" s="26"/>
      <c r="C2667" s="43"/>
      <c r="E2667" s="43"/>
      <c r="G2667" s="43"/>
      <c r="I2667" s="43"/>
      <c r="K2667" s="43"/>
      <c r="M2667" s="43"/>
    </row>
    <row r="2668" spans="1:13" ht="100" customHeight="1">
      <c r="A2668" s="26"/>
      <c r="C2668" s="43"/>
      <c r="E2668" s="43"/>
      <c r="G2668" s="43"/>
      <c r="I2668" s="43"/>
      <c r="K2668" s="43"/>
      <c r="M2668" s="43"/>
    </row>
    <row r="2669" spans="1:13" ht="100" customHeight="1">
      <c r="A2669" s="26"/>
      <c r="C2669" s="43"/>
      <c r="E2669" s="43"/>
      <c r="G2669" s="43"/>
      <c r="I2669" s="43"/>
      <c r="K2669" s="43"/>
      <c r="M2669" s="43"/>
    </row>
    <row r="2670" spans="1:13" ht="100" customHeight="1">
      <c r="A2670" s="26"/>
      <c r="C2670" s="43"/>
      <c r="E2670" s="43"/>
      <c r="G2670" s="43"/>
      <c r="I2670" s="43"/>
      <c r="K2670" s="43"/>
      <c r="M2670" s="43"/>
    </row>
    <row r="2671" spans="1:13" ht="100" customHeight="1">
      <c r="A2671" s="26"/>
      <c r="C2671" s="43"/>
      <c r="E2671" s="43"/>
      <c r="G2671" s="43"/>
      <c r="I2671" s="43"/>
      <c r="K2671" s="43"/>
      <c r="M2671" s="43"/>
    </row>
    <row r="2672" spans="1:13" ht="100" customHeight="1">
      <c r="A2672" s="26"/>
      <c r="C2672" s="43"/>
      <c r="E2672" s="43"/>
      <c r="G2672" s="43"/>
      <c r="I2672" s="43"/>
      <c r="K2672" s="43"/>
      <c r="M2672" s="43"/>
    </row>
    <row r="2673" spans="1:13" ht="100" customHeight="1">
      <c r="A2673" s="26"/>
      <c r="C2673" s="43"/>
      <c r="E2673" s="43"/>
      <c r="G2673" s="43"/>
      <c r="I2673" s="43"/>
      <c r="K2673" s="43"/>
      <c r="M2673" s="43"/>
    </row>
    <row r="2674" spans="1:13" ht="100" customHeight="1">
      <c r="A2674" s="26"/>
      <c r="C2674" s="43"/>
      <c r="E2674" s="43"/>
      <c r="G2674" s="43"/>
      <c r="I2674" s="43"/>
      <c r="K2674" s="43"/>
      <c r="M2674" s="43"/>
    </row>
    <row r="2675" spans="1:13" ht="100" customHeight="1">
      <c r="A2675" s="26"/>
      <c r="C2675" s="43"/>
      <c r="E2675" s="43"/>
      <c r="G2675" s="43"/>
      <c r="I2675" s="43"/>
      <c r="K2675" s="43"/>
      <c r="M2675" s="43"/>
    </row>
    <row r="2676" spans="1:13" ht="100" customHeight="1">
      <c r="A2676" s="26"/>
      <c r="C2676" s="43"/>
      <c r="E2676" s="43"/>
      <c r="G2676" s="43"/>
      <c r="I2676" s="43"/>
      <c r="K2676" s="43"/>
      <c r="M2676" s="43"/>
    </row>
    <row r="2677" spans="1:13" ht="100" customHeight="1">
      <c r="A2677" s="26"/>
      <c r="C2677" s="43"/>
      <c r="E2677" s="43"/>
      <c r="G2677" s="43"/>
      <c r="I2677" s="43"/>
      <c r="K2677" s="43"/>
      <c r="M2677" s="43"/>
    </row>
    <row r="2678" spans="1:13" ht="100" customHeight="1">
      <c r="A2678" s="26"/>
      <c r="C2678" s="43"/>
      <c r="E2678" s="43"/>
      <c r="G2678" s="43"/>
      <c r="I2678" s="43"/>
      <c r="K2678" s="43"/>
      <c r="M2678" s="43"/>
    </row>
    <row r="2679" spans="1:13" ht="100" customHeight="1">
      <c r="A2679" s="26"/>
      <c r="C2679" s="43"/>
      <c r="E2679" s="43"/>
      <c r="G2679" s="43"/>
      <c r="I2679" s="43"/>
      <c r="K2679" s="43"/>
      <c r="M2679" s="43"/>
    </row>
    <row r="2680" spans="1:13" ht="100" customHeight="1">
      <c r="A2680" s="26"/>
      <c r="C2680" s="43"/>
      <c r="E2680" s="43"/>
      <c r="G2680" s="43"/>
      <c r="I2680" s="43"/>
      <c r="K2680" s="43"/>
      <c r="M2680" s="43"/>
    </row>
    <row r="2681" spans="1:13" ht="100" customHeight="1">
      <c r="A2681" s="26"/>
      <c r="C2681" s="43"/>
      <c r="E2681" s="43"/>
      <c r="G2681" s="43"/>
      <c r="I2681" s="43"/>
      <c r="K2681" s="43"/>
      <c r="M2681" s="43"/>
    </row>
    <row r="2682" spans="1:13" ht="100" customHeight="1">
      <c r="A2682" s="26"/>
      <c r="C2682" s="43"/>
      <c r="E2682" s="43"/>
      <c r="G2682" s="43"/>
      <c r="I2682" s="43"/>
      <c r="K2682" s="43"/>
      <c r="M2682" s="43"/>
    </row>
    <row r="2683" spans="1:13" ht="100" customHeight="1">
      <c r="A2683" s="26"/>
      <c r="C2683" s="43"/>
      <c r="E2683" s="43"/>
      <c r="G2683" s="43"/>
      <c r="I2683" s="43"/>
      <c r="K2683" s="43"/>
      <c r="M2683" s="43"/>
    </row>
    <row r="2684" spans="1:13" ht="100" customHeight="1">
      <c r="A2684" s="26"/>
      <c r="C2684" s="43"/>
      <c r="E2684" s="43"/>
      <c r="G2684" s="43"/>
      <c r="I2684" s="43"/>
      <c r="K2684" s="43"/>
      <c r="M2684" s="43"/>
    </row>
    <row r="2685" spans="1:13" ht="100" customHeight="1">
      <c r="A2685" s="26"/>
      <c r="C2685" s="43"/>
      <c r="E2685" s="43"/>
      <c r="G2685" s="43"/>
      <c r="I2685" s="43"/>
      <c r="K2685" s="43"/>
      <c r="M2685" s="43"/>
    </row>
    <row r="2686" spans="1:13" ht="100" customHeight="1">
      <c r="A2686" s="26"/>
      <c r="C2686" s="43"/>
      <c r="E2686" s="43"/>
      <c r="G2686" s="43"/>
      <c r="I2686" s="43"/>
      <c r="K2686" s="43"/>
      <c r="M2686" s="43"/>
    </row>
    <row r="2687" spans="1:13" ht="100" customHeight="1">
      <c r="A2687" s="26"/>
      <c r="C2687" s="43"/>
      <c r="E2687" s="43"/>
      <c r="G2687" s="43"/>
      <c r="I2687" s="43"/>
      <c r="K2687" s="43"/>
      <c r="M2687" s="43"/>
    </row>
    <row r="2688" spans="1:13" ht="100" customHeight="1">
      <c r="A2688" s="26"/>
      <c r="C2688" s="43"/>
      <c r="E2688" s="43"/>
      <c r="G2688" s="43"/>
      <c r="I2688" s="43"/>
      <c r="K2688" s="43"/>
      <c r="M2688" s="43"/>
    </row>
    <row r="2689" spans="1:13" ht="100" customHeight="1">
      <c r="A2689" s="26"/>
      <c r="C2689" s="43"/>
      <c r="E2689" s="43"/>
      <c r="G2689" s="43"/>
      <c r="I2689" s="43"/>
      <c r="K2689" s="43"/>
      <c r="M2689" s="43"/>
    </row>
    <row r="2690" spans="1:13" ht="100" customHeight="1">
      <c r="A2690" s="26"/>
      <c r="C2690" s="43"/>
      <c r="E2690" s="43"/>
      <c r="G2690" s="43"/>
      <c r="I2690" s="43"/>
      <c r="K2690" s="43"/>
      <c r="M2690" s="43"/>
    </row>
    <row r="2691" spans="1:13" ht="100" customHeight="1">
      <c r="A2691" s="26"/>
      <c r="C2691" s="43"/>
      <c r="E2691" s="43"/>
      <c r="G2691" s="43"/>
      <c r="I2691" s="43"/>
      <c r="K2691" s="43"/>
      <c r="M2691" s="43"/>
    </row>
    <row r="2692" spans="1:13" ht="100" customHeight="1">
      <c r="A2692" s="26"/>
      <c r="C2692" s="43"/>
      <c r="E2692" s="43"/>
      <c r="G2692" s="43"/>
      <c r="I2692" s="43"/>
      <c r="K2692" s="43"/>
      <c r="M2692" s="43"/>
    </row>
    <row r="2693" spans="1:13" ht="100" customHeight="1">
      <c r="A2693" s="26"/>
      <c r="C2693" s="43"/>
      <c r="E2693" s="43"/>
      <c r="G2693" s="43"/>
      <c r="I2693" s="43"/>
      <c r="K2693" s="43"/>
      <c r="M2693" s="43"/>
    </row>
    <row r="2694" spans="1:13" ht="100" customHeight="1">
      <c r="A2694" s="26"/>
      <c r="C2694" s="43"/>
      <c r="E2694" s="43"/>
      <c r="G2694" s="43"/>
      <c r="I2694" s="43"/>
      <c r="K2694" s="43"/>
      <c r="M2694" s="43"/>
    </row>
    <row r="2695" spans="1:13" ht="100" customHeight="1">
      <c r="A2695" s="26"/>
      <c r="C2695" s="43"/>
      <c r="E2695" s="43"/>
      <c r="G2695" s="43"/>
      <c r="I2695" s="43"/>
      <c r="K2695" s="43"/>
      <c r="M2695" s="43"/>
    </row>
    <row r="2696" spans="1:13" ht="100" customHeight="1">
      <c r="A2696" s="26"/>
      <c r="C2696" s="43"/>
      <c r="E2696" s="43"/>
      <c r="G2696" s="43"/>
      <c r="I2696" s="43"/>
      <c r="K2696" s="43"/>
      <c r="M2696" s="43"/>
    </row>
    <row r="2697" spans="1:13" ht="100" customHeight="1">
      <c r="A2697" s="26"/>
      <c r="C2697" s="43"/>
      <c r="E2697" s="43"/>
      <c r="G2697" s="43"/>
      <c r="I2697" s="43"/>
      <c r="K2697" s="43"/>
      <c r="M2697" s="43"/>
    </row>
    <row r="2698" spans="1:13" ht="100" customHeight="1">
      <c r="A2698" s="26"/>
      <c r="C2698" s="43"/>
      <c r="E2698" s="43"/>
      <c r="G2698" s="43"/>
      <c r="I2698" s="43"/>
      <c r="K2698" s="43"/>
      <c r="M2698" s="43"/>
    </row>
    <row r="2699" spans="1:13" ht="100" customHeight="1">
      <c r="A2699" s="26"/>
      <c r="C2699" s="43"/>
      <c r="E2699" s="43"/>
      <c r="G2699" s="43"/>
      <c r="I2699" s="43"/>
      <c r="K2699" s="43"/>
      <c r="M2699" s="43"/>
    </row>
    <row r="2700" spans="1:13" ht="100" customHeight="1">
      <c r="A2700" s="26"/>
      <c r="C2700" s="43"/>
      <c r="E2700" s="43"/>
      <c r="G2700" s="43"/>
      <c r="I2700" s="43"/>
      <c r="K2700" s="43"/>
      <c r="M2700" s="43"/>
    </row>
    <row r="2701" spans="1:13" ht="100" customHeight="1">
      <c r="A2701" s="26"/>
      <c r="C2701" s="43"/>
      <c r="E2701" s="43"/>
      <c r="G2701" s="43"/>
      <c r="I2701" s="43"/>
      <c r="K2701" s="43"/>
      <c r="M2701" s="43"/>
    </row>
    <row r="2702" spans="1:13" ht="100" customHeight="1">
      <c r="A2702" s="26"/>
      <c r="C2702" s="43"/>
      <c r="E2702" s="43"/>
      <c r="G2702" s="43"/>
      <c r="I2702" s="43"/>
      <c r="K2702" s="43"/>
      <c r="M2702" s="43"/>
    </row>
    <row r="2703" spans="1:13" ht="100" customHeight="1">
      <c r="A2703" s="26"/>
      <c r="C2703" s="43"/>
      <c r="E2703" s="43"/>
      <c r="G2703" s="43"/>
      <c r="I2703" s="43"/>
      <c r="K2703" s="43"/>
      <c r="M2703" s="43"/>
    </row>
    <row r="2704" spans="1:13" ht="100" customHeight="1">
      <c r="A2704" s="26"/>
      <c r="C2704" s="43"/>
      <c r="E2704" s="43"/>
      <c r="G2704" s="43"/>
      <c r="I2704" s="43"/>
      <c r="K2704" s="43"/>
      <c r="M2704" s="43"/>
    </row>
    <row r="2705" spans="1:13" ht="100" customHeight="1">
      <c r="A2705" s="26"/>
      <c r="C2705" s="43"/>
      <c r="E2705" s="43"/>
      <c r="G2705" s="43"/>
      <c r="I2705" s="43"/>
      <c r="K2705" s="43"/>
      <c r="M2705" s="43"/>
    </row>
    <row r="2706" spans="1:13" ht="100" customHeight="1">
      <c r="A2706" s="26"/>
      <c r="C2706" s="43"/>
      <c r="E2706" s="43"/>
      <c r="G2706" s="43"/>
      <c r="I2706" s="43"/>
      <c r="K2706" s="43"/>
      <c r="M2706" s="43"/>
    </row>
    <row r="2707" spans="1:13" ht="100" customHeight="1">
      <c r="A2707" s="26"/>
      <c r="C2707" s="43"/>
      <c r="E2707" s="43"/>
      <c r="G2707" s="43"/>
      <c r="I2707" s="43"/>
      <c r="K2707" s="43"/>
      <c r="M2707" s="43"/>
    </row>
    <row r="2708" spans="1:13" ht="100" customHeight="1">
      <c r="A2708" s="26"/>
      <c r="C2708" s="43"/>
      <c r="E2708" s="43"/>
      <c r="G2708" s="43"/>
      <c r="I2708" s="43"/>
      <c r="K2708" s="43"/>
      <c r="M2708" s="43"/>
    </row>
    <row r="2709" spans="1:13" ht="100" customHeight="1">
      <c r="A2709" s="26"/>
      <c r="C2709" s="43"/>
      <c r="E2709" s="43"/>
      <c r="G2709" s="43"/>
      <c r="I2709" s="43"/>
      <c r="K2709" s="43"/>
      <c r="M2709" s="43"/>
    </row>
    <row r="2710" spans="1:13" ht="100" customHeight="1">
      <c r="A2710" s="26"/>
      <c r="C2710" s="43"/>
      <c r="E2710" s="43"/>
      <c r="G2710" s="43"/>
      <c r="I2710" s="43"/>
      <c r="K2710" s="43"/>
      <c r="M2710" s="43"/>
    </row>
    <row r="2711" spans="1:13" ht="100" customHeight="1">
      <c r="A2711" s="26"/>
      <c r="C2711" s="43"/>
      <c r="E2711" s="43"/>
      <c r="G2711" s="43"/>
      <c r="I2711" s="43"/>
      <c r="K2711" s="43"/>
      <c r="M2711" s="43"/>
    </row>
    <row r="2712" spans="1:13" ht="100" customHeight="1">
      <c r="A2712" s="26"/>
      <c r="C2712" s="43"/>
      <c r="E2712" s="43"/>
      <c r="G2712" s="43"/>
      <c r="I2712" s="43"/>
      <c r="K2712" s="43"/>
      <c r="M2712" s="43"/>
    </row>
    <row r="2713" spans="1:13" ht="100" customHeight="1">
      <c r="A2713" s="26"/>
      <c r="C2713" s="43"/>
      <c r="E2713" s="43"/>
      <c r="G2713" s="43"/>
      <c r="I2713" s="43"/>
      <c r="K2713" s="43"/>
      <c r="M2713" s="43"/>
    </row>
    <row r="2714" spans="1:13" ht="100" customHeight="1">
      <c r="A2714" s="26"/>
      <c r="C2714" s="43"/>
      <c r="E2714" s="43"/>
      <c r="G2714" s="43"/>
      <c r="I2714" s="43"/>
      <c r="K2714" s="43"/>
      <c r="M2714" s="43"/>
    </row>
    <row r="2715" spans="1:13" ht="100" customHeight="1">
      <c r="A2715" s="26"/>
      <c r="C2715" s="43"/>
      <c r="E2715" s="43"/>
      <c r="G2715" s="43"/>
      <c r="I2715" s="43"/>
      <c r="K2715" s="43"/>
      <c r="M2715" s="43"/>
    </row>
    <row r="2716" spans="1:13" ht="100" customHeight="1">
      <c r="A2716" s="26"/>
      <c r="C2716" s="43"/>
      <c r="E2716" s="43"/>
      <c r="G2716" s="43"/>
      <c r="I2716" s="43"/>
      <c r="K2716" s="43"/>
      <c r="M2716" s="43"/>
    </row>
    <row r="2717" spans="1:13" ht="100" customHeight="1">
      <c r="A2717" s="26"/>
      <c r="C2717" s="43"/>
      <c r="E2717" s="43"/>
      <c r="G2717" s="43"/>
      <c r="I2717" s="43"/>
      <c r="K2717" s="43"/>
      <c r="M2717" s="43"/>
    </row>
    <row r="2718" spans="1:13" ht="100" customHeight="1">
      <c r="A2718" s="26"/>
      <c r="C2718" s="43"/>
      <c r="E2718" s="43"/>
      <c r="G2718" s="43"/>
      <c r="I2718" s="43"/>
      <c r="K2718" s="43"/>
      <c r="M2718" s="43"/>
    </row>
    <row r="2719" spans="1:13" ht="100" customHeight="1">
      <c r="A2719" s="26"/>
      <c r="C2719" s="43"/>
      <c r="E2719" s="43"/>
      <c r="G2719" s="43"/>
      <c r="I2719" s="43"/>
      <c r="K2719" s="43"/>
      <c r="M2719" s="43"/>
    </row>
    <row r="2720" spans="1:13" ht="100" customHeight="1">
      <c r="A2720" s="26"/>
      <c r="C2720" s="43"/>
      <c r="E2720" s="43"/>
      <c r="G2720" s="43"/>
      <c r="I2720" s="43"/>
      <c r="K2720" s="43"/>
      <c r="M2720" s="43"/>
    </row>
    <row r="2721" spans="1:13" ht="100" customHeight="1">
      <c r="A2721" s="26"/>
      <c r="C2721" s="43"/>
      <c r="E2721" s="43"/>
      <c r="G2721" s="43"/>
      <c r="I2721" s="43"/>
      <c r="K2721" s="43"/>
      <c r="M2721" s="43"/>
    </row>
    <row r="2722" spans="1:13" ht="100" customHeight="1">
      <c r="A2722" s="26"/>
      <c r="C2722" s="43"/>
      <c r="E2722" s="43"/>
      <c r="G2722" s="43"/>
      <c r="I2722" s="43"/>
      <c r="K2722" s="43"/>
      <c r="M2722" s="43"/>
    </row>
    <row r="2723" spans="1:13" ht="100" customHeight="1">
      <c r="A2723" s="26"/>
      <c r="C2723" s="43"/>
      <c r="E2723" s="43"/>
      <c r="G2723" s="43"/>
      <c r="I2723" s="43"/>
      <c r="K2723" s="43"/>
      <c r="M2723" s="43"/>
    </row>
    <row r="2724" spans="1:13" ht="100" customHeight="1">
      <c r="A2724" s="26"/>
      <c r="C2724" s="43"/>
      <c r="E2724" s="43"/>
      <c r="G2724" s="43"/>
      <c r="I2724" s="43"/>
      <c r="K2724" s="43"/>
      <c r="M2724" s="43"/>
    </row>
    <row r="2725" spans="1:13" ht="100" customHeight="1"/>
    <row r="2726" spans="1:13" ht="100" customHeight="1"/>
    <row r="2727" spans="1:13" ht="100" customHeight="1"/>
    <row r="2728" spans="1:13" ht="100" customHeight="1"/>
    <row r="2729" spans="1:13" ht="100" customHeight="1"/>
    <row r="2730" spans="1:13" ht="100" customHeight="1"/>
    <row r="2731" spans="1:13" ht="100" customHeight="1"/>
    <row r="2732" spans="1:13" ht="100" customHeight="1"/>
    <row r="2733" spans="1:13" ht="100" customHeight="1"/>
    <row r="2734" spans="1:13" ht="100" customHeight="1"/>
    <row r="2735" spans="1:13" ht="100" customHeight="1"/>
    <row r="2736" spans="1:13" ht="100" customHeight="1"/>
    <row r="2737" ht="100" customHeight="1"/>
    <row r="2738" ht="100" customHeight="1"/>
    <row r="2739" ht="100" customHeight="1"/>
    <row r="2740" ht="100" customHeight="1"/>
    <row r="2741" ht="100" customHeight="1"/>
    <row r="2742" ht="100" customHeight="1"/>
    <row r="2743" ht="100" customHeight="1"/>
    <row r="2744" ht="100" customHeight="1"/>
    <row r="2745" ht="100" customHeight="1"/>
    <row r="2746" ht="100" customHeight="1"/>
    <row r="2747" ht="100" customHeight="1"/>
    <row r="2748" ht="100" customHeight="1"/>
    <row r="2749" ht="100" customHeight="1"/>
    <row r="2750" ht="100" customHeight="1"/>
    <row r="2751" ht="100" customHeight="1"/>
    <row r="2752" ht="100" customHeight="1"/>
    <row r="2753" ht="100" customHeight="1"/>
    <row r="2754" ht="100" customHeight="1"/>
    <row r="2755" ht="100" customHeight="1"/>
    <row r="2756" ht="100" customHeight="1"/>
    <row r="2757" ht="100" customHeight="1"/>
    <row r="2758" ht="100" customHeight="1"/>
    <row r="2759" ht="100" customHeight="1"/>
    <row r="2760" ht="100" customHeight="1"/>
    <row r="2761" ht="100" customHeight="1"/>
    <row r="2762" ht="100" customHeight="1"/>
    <row r="2763" ht="100" customHeight="1"/>
    <row r="2764" ht="100" customHeight="1"/>
    <row r="2765" ht="100" customHeight="1"/>
    <row r="2766" ht="100" customHeight="1"/>
    <row r="2767" ht="100" customHeight="1"/>
    <row r="2768" ht="100" customHeight="1"/>
    <row r="2769" ht="100" customHeight="1"/>
    <row r="2770" ht="100" customHeight="1"/>
    <row r="2771" ht="100" customHeight="1"/>
    <row r="2772" ht="100" customHeight="1"/>
    <row r="2773" ht="100" customHeight="1"/>
    <row r="2774" ht="100" customHeight="1"/>
    <row r="2775" ht="100" customHeight="1"/>
    <row r="2776" ht="100" customHeight="1"/>
    <row r="2777" ht="100" customHeight="1"/>
    <row r="2778" ht="100" customHeight="1"/>
    <row r="2779" ht="100" customHeight="1"/>
    <row r="2780" ht="100" customHeight="1"/>
    <row r="2781" ht="100" customHeight="1"/>
    <row r="2782" ht="100" customHeight="1"/>
    <row r="2783" ht="100" customHeight="1"/>
    <row r="2784" ht="100" customHeight="1"/>
    <row r="2785" ht="100" customHeight="1"/>
    <row r="2786" ht="100" customHeight="1"/>
    <row r="2787" ht="100" customHeight="1"/>
    <row r="2788" ht="100" customHeight="1"/>
    <row r="2789" ht="100" customHeight="1"/>
    <row r="2790" ht="100" customHeight="1"/>
    <row r="2791" ht="100" customHeight="1"/>
    <row r="2792" ht="100" customHeight="1"/>
    <row r="2793" ht="100" customHeight="1"/>
    <row r="2794" ht="100" customHeight="1"/>
    <row r="2795" ht="100" customHeight="1"/>
    <row r="2796" ht="100" customHeight="1"/>
    <row r="2797" ht="100" customHeight="1"/>
    <row r="2798" ht="100" customHeight="1"/>
    <row r="2799" ht="100" customHeight="1"/>
    <row r="2800" ht="100" customHeight="1"/>
    <row r="2801" ht="100" customHeight="1"/>
    <row r="2802" ht="100" customHeight="1"/>
    <row r="2803" ht="100" customHeight="1"/>
    <row r="2804" ht="100" customHeight="1"/>
    <row r="2805" ht="100" customHeight="1"/>
    <row r="2806" ht="100" customHeight="1"/>
    <row r="2807" ht="100" customHeight="1"/>
    <row r="2808" ht="100" customHeight="1"/>
    <row r="2809" ht="100" customHeight="1"/>
    <row r="2810" ht="100" customHeight="1"/>
    <row r="2811" ht="100" customHeight="1"/>
    <row r="2812" ht="100" customHeight="1"/>
    <row r="2813" ht="100" customHeight="1"/>
    <row r="2814" ht="100" customHeight="1"/>
    <row r="2815" ht="100" customHeight="1"/>
    <row r="2816" ht="100" customHeight="1"/>
    <row r="2817" ht="100" customHeight="1"/>
    <row r="2818" ht="100" customHeight="1"/>
    <row r="2819" ht="100" customHeight="1"/>
    <row r="2820" ht="100" customHeight="1"/>
    <row r="2821" ht="100" customHeight="1"/>
    <row r="2822" ht="100" customHeight="1"/>
    <row r="2823" ht="100" customHeight="1"/>
    <row r="2824" ht="100" customHeight="1"/>
    <row r="2825" ht="100" customHeight="1"/>
    <row r="2826" ht="100" customHeight="1"/>
    <row r="2827" ht="100" customHeight="1"/>
    <row r="2828" ht="100" customHeight="1"/>
    <row r="2829" ht="100" customHeight="1"/>
    <row r="2830" ht="100" customHeight="1"/>
    <row r="2831" ht="100" customHeight="1"/>
    <row r="2832" ht="100" customHeight="1"/>
    <row r="2833" ht="100" customHeight="1"/>
    <row r="2834" ht="100" customHeight="1"/>
    <row r="2835" ht="100" customHeight="1"/>
    <row r="2836" ht="100" customHeight="1"/>
    <row r="2837" ht="100" customHeight="1"/>
    <row r="2838" ht="100" customHeight="1"/>
    <row r="2839" ht="100" customHeight="1"/>
    <row r="2840" ht="100" customHeight="1"/>
    <row r="2841" ht="100" customHeight="1"/>
    <row r="2842" ht="100" customHeight="1"/>
    <row r="2843" ht="100" customHeight="1"/>
    <row r="2844" ht="100" customHeight="1"/>
    <row r="2845" ht="100" customHeight="1"/>
    <row r="2846" ht="100" customHeight="1"/>
    <row r="2847" ht="100" customHeight="1"/>
    <row r="2848" ht="100" customHeight="1"/>
    <row r="2849" ht="100" customHeight="1"/>
    <row r="2850" ht="100" customHeight="1"/>
    <row r="2851" ht="100" customHeight="1"/>
    <row r="2852" ht="100" customHeight="1"/>
    <row r="2853" ht="100" customHeight="1"/>
    <row r="2854" ht="100" customHeight="1"/>
    <row r="2855" ht="100" customHeight="1"/>
    <row r="2856" ht="100" customHeight="1"/>
    <row r="2857" ht="100" customHeight="1"/>
    <row r="2858" ht="100" customHeight="1"/>
    <row r="2859" ht="100" customHeight="1"/>
    <row r="2860" ht="100" customHeight="1"/>
    <row r="2861" ht="100" customHeight="1"/>
    <row r="2862" ht="100" customHeight="1"/>
    <row r="2863" ht="100" customHeight="1"/>
    <row r="2864" ht="100" customHeight="1"/>
    <row r="2865" ht="100" customHeight="1"/>
    <row r="2866" ht="100" customHeight="1"/>
    <row r="2867" ht="100" customHeight="1"/>
    <row r="2868" ht="100" customHeight="1"/>
    <row r="2869" ht="100" customHeight="1"/>
    <row r="2870" ht="100" customHeight="1"/>
    <row r="2871" ht="100" customHeight="1"/>
    <row r="2872" ht="100" customHeight="1"/>
    <row r="2873" ht="100" customHeight="1"/>
    <row r="2874" ht="100" customHeight="1"/>
    <row r="2875" ht="100" customHeight="1"/>
    <row r="2876" ht="100" customHeight="1"/>
    <row r="2877" ht="100" customHeight="1"/>
    <row r="2878" ht="100" customHeight="1"/>
    <row r="2879" ht="100" customHeight="1"/>
    <row r="2880" ht="100" customHeight="1"/>
    <row r="2881" ht="100" customHeight="1"/>
    <row r="2882" ht="100" customHeight="1"/>
    <row r="2883" ht="100" customHeight="1"/>
    <row r="2884" ht="100" customHeight="1"/>
    <row r="2885" ht="100" customHeight="1"/>
    <row r="2886" ht="100" customHeight="1"/>
    <row r="2887" ht="100" customHeight="1"/>
    <row r="2888" ht="100" customHeight="1"/>
    <row r="2889" ht="100" customHeight="1"/>
    <row r="2890" ht="100" customHeight="1"/>
    <row r="2891" ht="100" customHeight="1"/>
    <row r="2892" ht="100" customHeight="1"/>
    <row r="2893" ht="100" customHeight="1"/>
    <row r="2894" ht="100" customHeight="1"/>
    <row r="2895" ht="100" customHeight="1"/>
    <row r="2896" ht="100" customHeight="1"/>
    <row r="2897" ht="100" customHeight="1"/>
    <row r="2898" ht="100" customHeight="1"/>
    <row r="2899" ht="100" customHeight="1"/>
    <row r="2900" ht="100" customHeight="1"/>
    <row r="2901" ht="100" customHeight="1"/>
    <row r="2902" ht="100" customHeight="1"/>
    <row r="2903" ht="100" customHeight="1"/>
    <row r="2904" ht="100" customHeight="1"/>
    <row r="2905" ht="100" customHeight="1"/>
    <row r="2906" ht="100" customHeight="1"/>
    <row r="2907" ht="100" customHeight="1"/>
    <row r="2908" ht="100" customHeight="1"/>
    <row r="2909" ht="100" customHeight="1"/>
    <row r="2910" ht="100" customHeight="1"/>
    <row r="2911" ht="100" customHeight="1"/>
    <row r="2912" ht="100" customHeight="1"/>
    <row r="2913" ht="100" customHeight="1"/>
    <row r="2914" ht="100" customHeight="1"/>
    <row r="2915" ht="100" customHeight="1"/>
    <row r="2916" ht="100" customHeight="1"/>
    <row r="2917" ht="100" customHeight="1"/>
    <row r="2918" ht="100" customHeight="1"/>
    <row r="2919" ht="100" customHeight="1"/>
    <row r="2920" ht="100" customHeight="1"/>
    <row r="2921" ht="100" customHeight="1"/>
    <row r="2922" ht="100" customHeight="1"/>
    <row r="2923" ht="100" customHeight="1"/>
    <row r="2924" ht="100" customHeight="1"/>
    <row r="2925" ht="100" customHeight="1"/>
    <row r="2926" ht="100" customHeight="1"/>
    <row r="2927" ht="100" customHeight="1"/>
    <row r="2928" ht="100" customHeight="1"/>
    <row r="2929" ht="100" customHeight="1"/>
    <row r="2930" ht="100" customHeight="1"/>
    <row r="2931" ht="100" customHeight="1"/>
    <row r="2932" ht="100" customHeight="1"/>
    <row r="2933" ht="100" customHeight="1"/>
    <row r="2934" ht="100" customHeight="1"/>
    <row r="2935" ht="100" customHeight="1"/>
    <row r="2936" ht="100" customHeight="1"/>
    <row r="2937" ht="100" customHeight="1"/>
    <row r="2938" ht="100" customHeight="1"/>
    <row r="2939" ht="100" customHeight="1"/>
    <row r="2940" ht="100" customHeight="1"/>
    <row r="2941" ht="100" customHeight="1"/>
    <row r="2942" ht="100" customHeight="1"/>
    <row r="2943" ht="100" customHeight="1"/>
    <row r="2944" ht="100" customHeight="1"/>
    <row r="2945" ht="100" customHeight="1"/>
    <row r="2946" ht="100" customHeight="1"/>
    <row r="2947" ht="100" customHeight="1"/>
    <row r="2948" ht="100" customHeight="1"/>
    <row r="2949" ht="100" customHeight="1"/>
    <row r="2950" ht="100" customHeight="1"/>
    <row r="2951" ht="100" customHeight="1"/>
    <row r="2952" ht="100" customHeight="1"/>
    <row r="2953" ht="100" customHeight="1"/>
    <row r="2954" ht="100" customHeight="1"/>
    <row r="2955" ht="100" customHeight="1"/>
    <row r="2956" ht="100" customHeight="1"/>
    <row r="2957" ht="100" customHeight="1"/>
    <row r="2958" ht="100" customHeight="1"/>
    <row r="2959" ht="100" customHeight="1"/>
    <row r="2960" ht="100" customHeight="1"/>
    <row r="2961" ht="100" customHeight="1"/>
    <row r="2962" ht="100" customHeight="1"/>
    <row r="2963" ht="100" customHeight="1"/>
    <row r="2964" ht="100" customHeight="1"/>
    <row r="2965" ht="100" customHeight="1"/>
    <row r="2966" ht="100" customHeight="1"/>
    <row r="2967" ht="100" customHeight="1"/>
    <row r="2968" ht="100" customHeight="1"/>
    <row r="2969" ht="100" customHeight="1"/>
    <row r="2970" ht="100" customHeight="1"/>
    <row r="2971" ht="100" customHeight="1"/>
    <row r="2972" ht="100" customHeight="1"/>
    <row r="2973" ht="100" customHeight="1"/>
    <row r="2974" ht="100" customHeight="1"/>
    <row r="2975" ht="100" customHeight="1"/>
    <row r="2976" ht="100" customHeight="1"/>
    <row r="2977" ht="100" customHeight="1"/>
    <row r="2978" ht="100" customHeight="1"/>
    <row r="2979" ht="100" customHeight="1"/>
    <row r="2980" ht="100" customHeight="1"/>
    <row r="2981" ht="100" customHeight="1"/>
    <row r="2982" ht="100" customHeight="1"/>
    <row r="2983" ht="100" customHeight="1"/>
    <row r="2984" ht="100" customHeight="1"/>
    <row r="2985" ht="100" customHeight="1"/>
    <row r="2986" ht="100" customHeight="1"/>
    <row r="2987" ht="100" customHeight="1"/>
    <row r="2988" ht="100" customHeight="1"/>
    <row r="2989" ht="100" customHeight="1"/>
    <row r="2990" ht="100" customHeight="1"/>
    <row r="2991" ht="100" customHeight="1"/>
    <row r="2992" ht="100" customHeight="1"/>
    <row r="2993" ht="100" customHeight="1"/>
    <row r="2994" ht="100" customHeight="1"/>
    <row r="2995" ht="100" customHeight="1"/>
    <row r="2996" ht="100" customHeight="1"/>
    <row r="2997" ht="100" customHeight="1"/>
    <row r="2998" ht="100" customHeight="1"/>
    <row r="2999" ht="100" customHeight="1"/>
    <row r="3000" ht="100" customHeight="1"/>
    <row r="3001" ht="100" customHeight="1"/>
    <row r="3002" ht="100" customHeight="1"/>
    <row r="3003" ht="100" customHeight="1"/>
    <row r="3004" ht="100" customHeight="1"/>
    <row r="3005" ht="100" customHeight="1"/>
    <row r="3006" ht="100" customHeight="1"/>
    <row r="3007" ht="100" customHeight="1"/>
    <row r="3008" ht="100" customHeight="1"/>
    <row r="3009" ht="100" customHeight="1"/>
    <row r="3010" ht="100" customHeight="1"/>
    <row r="3011" ht="100" customHeight="1"/>
    <row r="3012" ht="100" customHeight="1"/>
    <row r="3013" ht="100" customHeight="1"/>
    <row r="3014" ht="100" customHeight="1"/>
    <row r="3015" ht="100" customHeight="1"/>
    <row r="3016" ht="100" customHeight="1"/>
    <row r="3017" ht="100" customHeight="1"/>
    <row r="3018" ht="100" customHeight="1"/>
    <row r="3019" ht="100" customHeight="1"/>
    <row r="3020" ht="100" customHeight="1"/>
    <row r="3021" ht="100" customHeight="1"/>
    <row r="3022" ht="100" customHeight="1"/>
    <row r="3023" ht="100" customHeight="1"/>
    <row r="3024" ht="100" customHeight="1"/>
    <row r="3025" ht="100" customHeight="1"/>
    <row r="3026" ht="100" customHeight="1"/>
    <row r="3027" ht="100" customHeight="1"/>
    <row r="3028" ht="100" customHeight="1"/>
    <row r="3029" ht="100" customHeight="1"/>
    <row r="3030" ht="100" customHeight="1"/>
    <row r="3031" ht="100" customHeight="1"/>
    <row r="3032" ht="100" customHeight="1"/>
    <row r="3033" ht="100" customHeight="1"/>
    <row r="3034" ht="100" customHeight="1"/>
    <row r="3035" ht="100" customHeight="1"/>
    <row r="3036" ht="100" customHeight="1"/>
    <row r="3037" ht="100" customHeight="1"/>
    <row r="3038" ht="100" customHeight="1"/>
    <row r="3039" ht="100" customHeight="1"/>
    <row r="3040" ht="100" customHeight="1"/>
    <row r="3041" ht="100" customHeight="1"/>
    <row r="3042" ht="100" customHeight="1"/>
    <row r="3043" ht="100" customHeight="1"/>
    <row r="3044" ht="100" customHeight="1"/>
    <row r="3045" ht="100" customHeight="1"/>
    <row r="3046" ht="100" customHeight="1"/>
    <row r="3047" ht="100" customHeight="1"/>
    <row r="3048" ht="100" customHeight="1"/>
    <row r="3049" ht="100" customHeight="1"/>
    <row r="3050" ht="100" customHeight="1"/>
    <row r="3051" ht="100" customHeight="1"/>
    <row r="3052" ht="100" customHeight="1"/>
    <row r="3053" ht="100" customHeight="1"/>
    <row r="3054" ht="100" customHeight="1"/>
    <row r="3055" ht="100" customHeight="1"/>
    <row r="3056" ht="100" customHeight="1"/>
    <row r="3057" ht="100" customHeight="1"/>
    <row r="3058" ht="100" customHeight="1"/>
    <row r="3059" ht="100" customHeight="1"/>
    <row r="3060" ht="100" customHeight="1"/>
    <row r="3061" ht="100" customHeight="1"/>
    <row r="3062" ht="100" customHeight="1"/>
    <row r="3063" ht="100" customHeight="1"/>
    <row r="3064" ht="100" customHeight="1"/>
    <row r="3065" ht="100" customHeight="1"/>
    <row r="3066" ht="100" customHeight="1"/>
    <row r="3067" ht="100" customHeight="1"/>
    <row r="3068" ht="100" customHeight="1"/>
    <row r="3069" ht="100" customHeight="1"/>
    <row r="3070" ht="100" customHeight="1"/>
    <row r="3071" ht="100" customHeight="1"/>
    <row r="3072" ht="100" customHeight="1"/>
    <row r="3073" ht="100" customHeight="1"/>
    <row r="3074" ht="100" customHeight="1"/>
    <row r="3075" ht="100" customHeight="1"/>
    <row r="3076" ht="100" customHeight="1"/>
    <row r="3077" ht="100" customHeight="1"/>
    <row r="3078" ht="100" customHeight="1"/>
    <row r="3079" ht="100" customHeight="1"/>
    <row r="3080" ht="100" customHeight="1"/>
    <row r="3081" ht="100" customHeight="1"/>
    <row r="3082" ht="100" customHeight="1"/>
    <row r="3083" ht="100" customHeight="1"/>
    <row r="3084" ht="100" customHeight="1"/>
    <row r="3085" ht="100" customHeight="1"/>
    <row r="3086" ht="100" customHeight="1"/>
    <row r="3087" ht="100" customHeight="1"/>
    <row r="3088" ht="100" customHeight="1"/>
    <row r="3089" ht="100" customHeight="1"/>
    <row r="3090" ht="100" customHeight="1"/>
    <row r="3091" ht="100" customHeight="1"/>
    <row r="3092" ht="100" customHeight="1"/>
    <row r="3093" ht="100" customHeight="1"/>
    <row r="3094" ht="100" customHeight="1"/>
    <row r="3095" ht="100" customHeight="1"/>
    <row r="3096" ht="100" customHeight="1"/>
    <row r="3097" ht="100" customHeight="1"/>
    <row r="3098" ht="100" customHeight="1"/>
    <row r="3099" ht="100" customHeight="1"/>
    <row r="3100" ht="100" customHeight="1"/>
    <row r="3101" ht="100" customHeight="1"/>
    <row r="3102" ht="100" customHeight="1"/>
    <row r="3103" ht="100" customHeight="1"/>
    <row r="3104" ht="100" customHeight="1"/>
    <row r="3105" ht="100" customHeight="1"/>
    <row r="3106" ht="100" customHeight="1"/>
    <row r="3107" ht="100" customHeight="1"/>
    <row r="3108" ht="100" customHeight="1"/>
    <row r="3109" ht="100" customHeight="1"/>
    <row r="3110" ht="100" customHeight="1"/>
    <row r="3111" ht="100" customHeight="1"/>
    <row r="3112" ht="100" customHeight="1"/>
    <row r="3113" ht="100" customHeight="1"/>
    <row r="3114" ht="100" customHeight="1"/>
    <row r="3115" ht="100" customHeight="1"/>
    <row r="3116" ht="100" customHeight="1"/>
    <row r="3117" ht="100" customHeight="1"/>
    <row r="3118" ht="100" customHeight="1"/>
    <row r="3119" ht="100" customHeight="1"/>
    <row r="3120" ht="100" customHeight="1"/>
    <row r="3121" ht="100" customHeight="1"/>
    <row r="3122" ht="100" customHeight="1"/>
    <row r="3123" ht="100" customHeight="1"/>
    <row r="3124" ht="100" customHeight="1"/>
    <row r="3125" ht="100" customHeight="1"/>
    <row r="3126" ht="100" customHeight="1"/>
    <row r="3127" ht="100" customHeight="1"/>
    <row r="3128" ht="100" customHeight="1"/>
    <row r="3129" ht="100" customHeight="1"/>
    <row r="3130" ht="100" customHeight="1"/>
    <row r="3131" ht="100" customHeight="1"/>
    <row r="3132" ht="100" customHeight="1"/>
    <row r="3133" ht="100" customHeight="1"/>
    <row r="3134" ht="100" customHeight="1"/>
    <row r="3135" ht="100" customHeight="1"/>
    <row r="3136" ht="100" customHeight="1"/>
    <row r="3137" ht="100" customHeight="1"/>
    <row r="3138" ht="100" customHeight="1"/>
    <row r="3139" ht="100" customHeight="1"/>
    <row r="3140" ht="100" customHeight="1"/>
    <row r="3141" ht="100" customHeight="1"/>
    <row r="3142" ht="100" customHeight="1"/>
    <row r="3143" ht="100" customHeight="1"/>
    <row r="3144" ht="100" customHeight="1"/>
    <row r="3145" ht="100" customHeight="1"/>
    <row r="3146" ht="100" customHeight="1"/>
    <row r="3147" ht="100" customHeight="1"/>
    <row r="3148" ht="100" customHeight="1"/>
    <row r="3149" ht="100" customHeight="1"/>
    <row r="3150" ht="100" customHeight="1"/>
    <row r="3151" ht="100" customHeight="1"/>
    <row r="3152" ht="100" customHeight="1"/>
    <row r="3153" ht="100" customHeight="1"/>
    <row r="3154" ht="100" customHeight="1"/>
    <row r="3155" ht="100" customHeight="1"/>
    <row r="3156" ht="100" customHeight="1"/>
    <row r="3157" ht="100" customHeight="1"/>
    <row r="3158" ht="100" customHeight="1"/>
    <row r="3159" ht="100" customHeight="1"/>
    <row r="3160" ht="100" customHeight="1"/>
    <row r="3161" ht="100" customHeight="1"/>
    <row r="3162" ht="100" customHeight="1"/>
    <row r="3163" ht="100" customHeight="1"/>
    <row r="3164" ht="100" customHeight="1"/>
    <row r="3165" ht="100" customHeight="1"/>
    <row r="3166" ht="100" customHeight="1"/>
    <row r="3167" ht="100" customHeight="1"/>
    <row r="3168" ht="100" customHeight="1"/>
    <row r="3169" ht="100" customHeight="1"/>
    <row r="3170" ht="100" customHeight="1"/>
    <row r="3171" ht="100" customHeight="1"/>
    <row r="3172" ht="100" customHeight="1"/>
    <row r="3173" ht="100" customHeight="1"/>
    <row r="3174" ht="100" customHeight="1"/>
    <row r="3175" ht="100" customHeight="1"/>
    <row r="3176" ht="100" customHeight="1"/>
    <row r="3177" ht="100" customHeight="1"/>
    <row r="3178" ht="100" customHeight="1"/>
    <row r="3179" ht="100" customHeight="1"/>
    <row r="3180" ht="100" customHeight="1"/>
    <row r="3181" ht="100" customHeight="1"/>
    <row r="3182" ht="100" customHeight="1"/>
    <row r="3183" ht="100" customHeight="1"/>
    <row r="3184" ht="100" customHeight="1"/>
    <row r="3185" ht="100" customHeight="1"/>
    <row r="3186" ht="100" customHeight="1"/>
    <row r="3187" ht="100" customHeight="1"/>
    <row r="3188" ht="100" customHeight="1"/>
    <row r="3189" ht="100" customHeight="1"/>
    <row r="3190" ht="100" customHeight="1"/>
    <row r="3191" ht="100" customHeight="1"/>
    <row r="3192" ht="100" customHeight="1"/>
    <row r="3193" ht="100" customHeight="1"/>
    <row r="3194" ht="100" customHeight="1"/>
    <row r="3195" ht="100" customHeight="1"/>
    <row r="3196" ht="100" customHeight="1"/>
    <row r="3197" ht="100" customHeight="1"/>
    <row r="3198" ht="100" customHeight="1"/>
    <row r="3199" ht="100" customHeight="1"/>
    <row r="3200" ht="100" customHeight="1"/>
    <row r="3201" ht="100" customHeight="1"/>
    <row r="3202" ht="100" customHeight="1"/>
    <row r="3203" ht="100" customHeight="1"/>
    <row r="3204" ht="100" customHeight="1"/>
    <row r="3205" ht="100" customHeight="1"/>
    <row r="3206" ht="100" customHeight="1"/>
    <row r="3207" ht="100" customHeight="1"/>
    <row r="3208" ht="100" customHeight="1"/>
    <row r="3209" ht="100" customHeight="1"/>
    <row r="3210" ht="100" customHeight="1"/>
    <row r="3211" ht="100" customHeight="1"/>
    <row r="3212" ht="100" customHeight="1"/>
    <row r="3213" ht="100" customHeight="1"/>
    <row r="3214" ht="100" customHeight="1"/>
    <row r="3215" ht="100" customHeight="1"/>
    <row r="3216" ht="100" customHeight="1"/>
    <row r="3217" ht="100" customHeight="1"/>
    <row r="3218" ht="100" customHeight="1"/>
    <row r="3219" ht="100" customHeight="1"/>
    <row r="3220" ht="100" customHeight="1"/>
    <row r="3221" ht="100" customHeight="1"/>
    <row r="3222" ht="100" customHeight="1"/>
    <row r="3223" ht="100" customHeight="1"/>
    <row r="3224" ht="100" customHeight="1"/>
    <row r="3225" ht="100" customHeight="1"/>
    <row r="3226" ht="100" customHeight="1"/>
    <row r="3227" ht="100" customHeight="1"/>
    <row r="3228" ht="100" customHeight="1"/>
    <row r="3229" ht="100" customHeight="1"/>
    <row r="3230" ht="100" customHeight="1"/>
    <row r="3231" ht="100" customHeight="1"/>
    <row r="3232" ht="100" customHeight="1"/>
    <row r="3233" ht="100" customHeight="1"/>
    <row r="3234" ht="100" customHeight="1"/>
    <row r="3235" ht="100" customHeight="1"/>
    <row r="3236" ht="100" customHeight="1"/>
    <row r="3237" ht="100" customHeight="1"/>
    <row r="3238" ht="100" customHeight="1"/>
    <row r="3239" ht="100" customHeight="1"/>
    <row r="3240" ht="100" customHeight="1"/>
    <row r="3241" ht="100" customHeight="1"/>
    <row r="3242" ht="100" customHeight="1"/>
    <row r="3243" ht="100" customHeight="1"/>
    <row r="3244" ht="100" customHeight="1"/>
    <row r="3245" ht="100" customHeight="1"/>
    <row r="3246" ht="100" customHeight="1"/>
    <row r="3247" ht="100" customHeight="1"/>
    <row r="3248" ht="100" customHeight="1"/>
    <row r="3249" ht="100" customHeight="1"/>
    <row r="3250" ht="100" customHeight="1"/>
    <row r="3251" ht="100" customHeight="1"/>
    <row r="3252" ht="100" customHeight="1"/>
    <row r="3253" ht="100" customHeight="1"/>
    <row r="3254" ht="100" customHeight="1"/>
    <row r="3255" ht="100" customHeight="1"/>
    <row r="3256" ht="100" customHeight="1"/>
    <row r="3257" ht="100" customHeight="1"/>
    <row r="3258" ht="100" customHeight="1"/>
    <row r="3259" ht="100" customHeight="1"/>
    <row r="3260" ht="100" customHeight="1"/>
    <row r="3261" ht="100" customHeight="1"/>
    <row r="3262" ht="100" customHeight="1"/>
    <row r="3263" ht="100" customHeight="1"/>
    <row r="3264" ht="100" customHeight="1"/>
    <row r="3265" ht="100" customHeight="1"/>
    <row r="3266" ht="100" customHeight="1"/>
    <row r="3267" ht="100" customHeight="1"/>
    <row r="3268" ht="100" customHeight="1"/>
    <row r="3269" ht="100" customHeight="1"/>
    <row r="3270" ht="100" customHeight="1"/>
    <row r="3271" ht="100" customHeight="1"/>
    <row r="3272" ht="100" customHeight="1"/>
    <row r="3273" ht="100" customHeight="1"/>
    <row r="3274" ht="100" customHeight="1"/>
    <row r="3275" ht="100" customHeight="1"/>
    <row r="3276" ht="100" customHeight="1"/>
    <row r="3277" ht="100" customHeight="1"/>
    <row r="3278" ht="100" customHeight="1"/>
    <row r="3279" ht="100" customHeight="1"/>
    <row r="3280" ht="100" customHeight="1"/>
    <row r="3281" ht="100" customHeight="1"/>
    <row r="3282" ht="100" customHeight="1"/>
    <row r="3283" ht="100" customHeight="1"/>
    <row r="3284" ht="100" customHeight="1"/>
    <row r="3285" ht="100" customHeight="1"/>
    <row r="3286" ht="100" customHeight="1"/>
    <row r="3287" ht="100" customHeight="1"/>
    <row r="3288" ht="100" customHeight="1"/>
    <row r="3289" ht="100" customHeight="1"/>
    <row r="3290" ht="100" customHeight="1"/>
    <row r="3291" ht="100" customHeight="1"/>
    <row r="3292" ht="100" customHeight="1"/>
    <row r="3293" ht="100" customHeight="1"/>
    <row r="3294" ht="100" customHeight="1"/>
    <row r="3295" ht="100" customHeight="1"/>
    <row r="3296" ht="100" customHeight="1"/>
    <row r="3297" ht="100" customHeight="1"/>
    <row r="3298" ht="100" customHeight="1"/>
    <row r="3299" ht="100" customHeight="1"/>
    <row r="3300" ht="100" customHeight="1"/>
    <row r="3301" ht="100" customHeight="1"/>
    <row r="3302" ht="100" customHeight="1"/>
    <row r="3303" ht="100" customHeight="1"/>
    <row r="3304" ht="100" customHeight="1"/>
    <row r="3305" ht="100" customHeight="1"/>
    <row r="3306" ht="100" customHeight="1"/>
    <row r="3307" ht="100" customHeight="1"/>
    <row r="3308" ht="100" customHeight="1"/>
  </sheetData>
  <mergeCells count="3">
    <mergeCell ref="A1:N1"/>
    <mergeCell ref="H5:L5"/>
    <mergeCell ref="H6:L6"/>
  </mergeCells>
  <phoneticPr fontId="2" type="noConversion"/>
  <conditionalFormatting sqref="B14:M2587">
    <cfRule type="expression" dxfId="3" priority="1">
      <formula>$B14=""</formula>
    </cfRule>
  </conditionalFormatting>
  <conditionalFormatting sqref="D5:D6">
    <cfRule type="expression" dxfId="2" priority="2">
      <formula>G5&lt;&gt;""</formula>
    </cfRule>
  </conditionalFormatting>
  <conditionalFormatting sqref="D7">
    <cfRule type="expression" dxfId="1" priority="4">
      <formula>AND(D7&lt;&gt;"",D9=0)</formula>
    </cfRule>
  </conditionalFormatting>
  <dataValidations count="3">
    <dataValidation type="list" allowBlank="1" showInputMessage="1" showErrorMessage="1" promptTitle="공종 선택" prompt="D3 KOEN 선택에 따라 목록이 변경됩니다" sqref="D4" xr:uid="{DF7E8178-8F7E-D645-8AB4-DE33F9AD59E1}">
      <formula1>INDIRECT(IF($D$3="YES","_드롭다운참조!$AZ$2:$AZ$10","_드롭다운참조!$AY$2:$AY$13"))</formula1>
    </dataValidation>
    <dataValidation type="list" allowBlank="1" showInputMessage="1" showErrorMessage="1" sqref="D3" xr:uid="{F34B4B73-F347-1B4B-92BF-5EFD03DC54CE}">
      <formula1>"전체,YES"</formula1>
    </dataValidation>
    <dataValidation type="list" allowBlank="1" showInputMessage="1" showErrorMessage="1" sqref="F7" xr:uid="{3EF943B7-494D-024D-AED9-F13B508BAB5E}">
      <formula1>"전체,12대 기인물,해당없음"</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3">
        <x14:dataValidation type="list" allowBlank="1" showInputMessage="1" showErrorMessage="1" promptTitle="작업명 선택" prompt="공종을 먼저 선택하세요" xr:uid="{9FD35929-470C-FD43-B182-853EC9A0C0E1}">
          <x14:formula1>
            <xm:f>INDIRECT(IF($D$3="YES","_드롭다운참조!"&amp;ADDRESS(2,64+MATCH($D$4,_드롭다운참조!$BM$1:$BU$1,0))&amp;":"&amp;ADDRESS(11,64+MATCH($D$4,_드롭다운참조!$BM$1:$BU$1,0)),"_드롭다운참조!"&amp;ADDRESS(2,52+MATCH($D$4,_드롭다운참조!$BA$1:$BL$1,0))&amp;":"&amp;ADDRESS(16,52+MATCH($D$4,_드롭다운참조!$BA$1:$BL$1,0))))</xm:f>
          </x14:formula1>
          <xm:sqref>D5</xm:sqref>
        </x14:dataValidation>
        <x14:dataValidation type="list" allowBlank="1" showInputMessage="1" showErrorMessage="1" promptTitle="단위작업명 선택" prompt="작업명을 먼저 선택하세요" xr:uid="{8713A2C6-1C58-DB44-A913-AD53698CC8CF}">
          <x14:formula1>
            <xm:f>INDIRECT("_드롭다운참조!"&amp;ADDRESS(2,73+MATCH($D$5,_드롭다운참조!$BV$1:$DR$1,0))&amp;":"&amp;ADDRESS(13,73+MATCH($D$5,_드롭다운참조!$BV$1:$DR$1,0)))</xm:f>
          </x14:formula1>
          <xm:sqref>D6</xm:sqref>
        </x14:dataValidation>
        <x14:dataValidation type="list" allowBlank="1" showInputMessage="1" showErrorMessage="1" promptTitle="기인물 선택" prompt="단위/작업명 선택 시 관련 기인물 표시" xr:uid="{9295A6E0-64AD-D248-A898-12C14C0BFCB1}">
          <x14:formula1>
            <xm:f>IF($F$7="12대 기인물",_드롭다운참조!$AD$2:$AD$20,INDIRECT(IF($D$6&lt;&gt;"","_드롭다운참조!"&amp;ADDRESS(2,122+MATCH($D$6,_드롭다운참조!DS$1:IA$1,0))&amp;":"&amp;ADDRESS(41,122+MATCH($D$6,_드롭다운참조!DS$1:IA$1,0)),IF($D$5&lt;&gt;"","_드롭다운참조!"&amp;ADDRESS(2,235+MATCH($D$5,_드롭다운참조!IB$1:JX$1,0))&amp;":"&amp;ADDRESS(41,235+MATCH($D$5,_드롭다운참조!IB$1:JX$1,0)),"_드롭다운참조!$AJ$2:$AJ$58"))))</xm:f>
          </x14:formula1>
          <xm:sqref>D7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9CC9A-7D49-CB41-B16E-9F1F53E0D532}">
  <sheetPr>
    <tabColor rgb="FF2E75B6"/>
  </sheetPr>
  <dimension ref="A1:BB937"/>
  <sheetViews>
    <sheetView zoomScale="90" workbookViewId="0">
      <pane ySplit="16" topLeftCell="A17" activePane="bottomLeft" state="frozen"/>
      <selection pane="bottomLeft" activeCell="J14" sqref="J14"/>
    </sheetView>
  </sheetViews>
  <sheetFormatPr baseColWidth="10" defaultRowHeight="18" outlineLevelCol="1"/>
  <cols>
    <col min="1" max="1" width="3.140625" customWidth="1"/>
    <col min="2" max="2" width="13.85546875" customWidth="1"/>
    <col min="3" max="3" width="0.7109375" customWidth="1"/>
    <col min="4" max="4" width="17.140625" customWidth="1"/>
    <col min="5" max="5" width="0.7109375" customWidth="1"/>
    <col min="6" max="6" width="20" customWidth="1"/>
    <col min="7" max="7" width="0.7109375" customWidth="1"/>
    <col min="8" max="8" width="21.42578125" customWidth="1"/>
    <col min="9" max="9" width="0.7109375" customWidth="1"/>
    <col min="10" max="10" width="11.42578125" customWidth="1"/>
    <col min="11" max="11" width="0.7109375" customWidth="1"/>
    <col min="12" max="12" width="34.28515625" customWidth="1"/>
    <col min="13" max="13" width="24.28515625" customWidth="1"/>
    <col min="14" max="14" width="0.7109375" customWidth="1"/>
    <col min="15" max="15" width="30" customWidth="1"/>
    <col min="16" max="19" width="0.7109375" customWidth="1"/>
    <col min="20" max="24" width="0" hidden="1" customWidth="1" outlineLevel="1"/>
    <col min="25" max="25" width="0" hidden="1" customWidth="1" collapsed="1"/>
    <col min="26" max="26" width="0.85546875" customWidth="1"/>
    <col min="27" max="27" width="5.7109375" customWidth="1"/>
    <col min="28" max="28" width="18.5703125" customWidth="1"/>
    <col min="29" max="29" width="4.28515625" customWidth="1"/>
    <col min="30" max="30" width="1.140625" customWidth="1"/>
    <col min="31" max="31" width="13.5703125" customWidth="1"/>
    <col min="32" max="32" width="4.28515625" customWidth="1"/>
    <col min="33" max="33" width="1.140625" customWidth="1"/>
    <col min="34" max="40" width="0" hidden="1" customWidth="1"/>
    <col min="51" max="54" width="0" hidden="1" customWidth="1"/>
  </cols>
  <sheetData>
    <row r="1" spans="1:40" ht="34" customHeight="1">
      <c r="A1" s="162" t="s">
        <v>6178</v>
      </c>
      <c r="B1" s="162"/>
      <c r="C1" s="162"/>
      <c r="D1" s="162"/>
      <c r="E1" s="162"/>
      <c r="F1" s="162"/>
      <c r="G1" s="162"/>
      <c r="H1" s="162"/>
      <c r="I1" s="162"/>
      <c r="J1" s="162"/>
      <c r="K1" s="162"/>
      <c r="L1" s="162"/>
      <c r="M1" s="162"/>
      <c r="N1" s="162"/>
      <c r="O1" s="112"/>
      <c r="P1" s="64"/>
      <c r="Q1" s="64"/>
      <c r="R1" s="64"/>
      <c r="Y1" s="126"/>
    </row>
    <row r="2" spans="1:40" ht="8" customHeight="1" thickBot="1">
      <c r="A2" s="26"/>
      <c r="B2" s="25"/>
      <c r="C2" s="43"/>
      <c r="D2" s="25"/>
      <c r="E2" s="43"/>
      <c r="F2" s="25"/>
      <c r="G2" s="43"/>
      <c r="H2" s="25"/>
      <c r="I2" s="43"/>
      <c r="J2" s="25"/>
      <c r="K2" s="43"/>
      <c r="L2" s="25"/>
      <c r="M2" s="43"/>
      <c r="N2" s="25"/>
      <c r="O2" s="25"/>
      <c r="P2" s="25"/>
      <c r="Q2" s="25"/>
      <c r="R2" s="25"/>
      <c r="Y2" s="128"/>
    </row>
    <row r="3" spans="1:40" ht="24" customHeight="1" thickBot="1">
      <c r="A3" s="62"/>
      <c r="B3" s="63" t="s">
        <v>6097</v>
      </c>
      <c r="C3" s="43"/>
      <c r="D3" s="27" t="s">
        <v>5803</v>
      </c>
      <c r="E3" s="43"/>
      <c r="F3" s="46" t="s">
        <v>6179</v>
      </c>
      <c r="G3" s="43"/>
      <c r="I3" s="43"/>
      <c r="K3" s="43"/>
      <c r="M3" s="43"/>
      <c r="S3" s="119" t="str">
        <f>IF(F4="12대 기인물","_드롭다운참조!$AD$2:$AD$20","_드롭다운참조!$BM$17:$BM$74")</f>
        <v>_드롭다운참조!$BM$17:$BM$74</v>
      </c>
      <c r="Y3" s="129"/>
    </row>
    <row r="4" spans="1:40" ht="28" customHeight="1" thickBot="1">
      <c r="A4" s="121"/>
      <c r="B4" s="122" t="s">
        <v>6180</v>
      </c>
      <c r="C4" s="120"/>
      <c r="D4" s="123" t="s">
        <v>914</v>
      </c>
      <c r="E4" s="124" t="s">
        <v>6194</v>
      </c>
      <c r="F4" s="125" t="s">
        <v>6010</v>
      </c>
      <c r="M4" s="43"/>
    </row>
    <row r="5" spans="1:40" ht="2.5" customHeight="1">
      <c r="A5" s="43"/>
      <c r="B5" s="43"/>
      <c r="C5" s="43"/>
      <c r="D5" s="43"/>
      <c r="E5" s="43"/>
      <c r="F5" s="43"/>
      <c r="G5" s="43"/>
      <c r="H5" s="43"/>
      <c r="I5" s="43"/>
      <c r="J5" s="43"/>
      <c r="K5" s="43"/>
      <c r="L5" s="43"/>
      <c r="M5" s="43"/>
      <c r="N5" s="43"/>
      <c r="O5" s="43"/>
      <c r="P5" s="43"/>
      <c r="Q5" s="43"/>
      <c r="R5" s="43"/>
    </row>
    <row r="6" spans="1:40" ht="2.5" customHeight="1">
      <c r="A6" s="43"/>
      <c r="B6" s="43"/>
      <c r="C6" s="43"/>
      <c r="D6" s="43"/>
      <c r="E6" s="43"/>
      <c r="F6" s="43"/>
      <c r="G6" s="43"/>
      <c r="H6" s="43"/>
      <c r="I6" s="43"/>
      <c r="J6" s="43"/>
      <c r="K6" s="43"/>
      <c r="L6" s="43"/>
      <c r="M6" s="43"/>
      <c r="N6" s="43"/>
      <c r="O6" s="43"/>
      <c r="P6" s="43"/>
      <c r="Q6" s="43"/>
      <c r="R6" s="43"/>
    </row>
    <row r="7" spans="1:40" ht="2.5" customHeight="1">
      <c r="A7" s="43"/>
      <c r="B7" s="43"/>
      <c r="C7" s="43"/>
      <c r="D7" s="43"/>
      <c r="E7" s="43"/>
      <c r="F7" s="43"/>
      <c r="G7" s="43"/>
      <c r="H7" s="43"/>
      <c r="I7" s="43"/>
      <c r="J7" s="43"/>
      <c r="K7" s="43"/>
      <c r="L7" s="43"/>
      <c r="M7" s="43"/>
      <c r="N7" s="43"/>
      <c r="O7" s="43"/>
      <c r="P7" s="43"/>
      <c r="Q7" s="43"/>
      <c r="R7" s="43"/>
    </row>
    <row r="8" spans="1:40" ht="2.5" customHeight="1">
      <c r="A8" s="43"/>
      <c r="B8" s="43"/>
      <c r="C8" s="43"/>
      <c r="D8" s="43"/>
      <c r="E8" s="43"/>
      <c r="F8" s="43"/>
      <c r="G8" s="43"/>
      <c r="H8" s="43"/>
      <c r="I8" s="43"/>
      <c r="J8" s="43"/>
      <c r="K8" s="43"/>
      <c r="L8" s="43"/>
      <c r="M8" s="43"/>
      <c r="N8" s="43"/>
      <c r="O8" s="43"/>
      <c r="P8" s="43"/>
      <c r="Q8" s="43"/>
      <c r="R8" s="43"/>
    </row>
    <row r="9" spans="1:40" ht="28" customHeight="1">
      <c r="A9" s="36"/>
      <c r="B9" s="114" t="s">
        <v>6224</v>
      </c>
      <c r="C9" s="32"/>
      <c r="D9" s="113" t="str" cm="1">
        <f t="array" ref="D9">SUMPRODUCT(((($D$3&lt;&gt;"YES")+($D$3="YES")*(DB!E$2:E$2576="YES"))*1)*(($D$4="")+($D$4&lt;&gt;"")*(ISNUMBER(SEARCH($D$4,DB!G$2:G$2576))))*(($D$5="")+($D$5&lt;&gt;"")*(DB!B$2:B$2576=$D$5))*(($D$6="")+($D$6&lt;&gt;"")*(DB!C$2:C$2576=$D$6))*(($D$7="")+($D$7&lt;&gt;"")*(DB!D$2:D$2576=$D$7))*(($F$4="전체")+($F$4&lt;&gt;"전체")*(DB!H$2:H$2576=$F$4)))&amp;"건"</f>
        <v>118건</v>
      </c>
      <c r="E9" s="32"/>
      <c r="F9" s="146" t="str">
        <f>IF($D$4="","SIF 전체 기인물 59종","SIF 전체 기인물 59종 중")</f>
        <v>SIF 전체 기인물 59종 중</v>
      </c>
      <c r="G9" s="147"/>
      <c r="H9" s="148" t="str">
        <f>IF($D$4="","",IFERROR(VLOOKUP($D$4,AY$18:AZ$226,2,0),"-")&amp;"위 기인물")</f>
        <v>3위 기인물</v>
      </c>
      <c r="I9" s="32"/>
      <c r="J9" s="80"/>
      <c r="K9" s="32"/>
      <c r="L9" s="81" t="s">
        <v>6181</v>
      </c>
      <c r="M9" s="32"/>
      <c r="N9" s="44" t="str">
        <f>IF(D3="YES","🏭 발전소(KOEN=YES)","전체")&amp;IF(D4&lt;&gt;"","  ▶  🔧 기인물 : "&amp;D4,"")&amp;"  →  공종·재해형태 순 정렬"</f>
        <v>🏭 발전소(KOEN=YES)  ▶  🔧 기인물 : 철골(철골구조물)  →  공종·재해형태 순 정렬</v>
      </c>
      <c r="O9" s="44"/>
      <c r="P9" s="44"/>
      <c r="Q9" s="44"/>
      <c r="R9" s="44"/>
    </row>
    <row r="10" spans="1:40" ht="87" customHeight="1">
      <c r="A10" s="36"/>
      <c r="B10" s="139"/>
      <c r="D10" s="140"/>
      <c r="F10" s="141"/>
      <c r="H10" s="142"/>
      <c r="J10" s="143"/>
      <c r="L10" s="144"/>
      <c r="N10" s="145"/>
      <c r="O10" s="145"/>
      <c r="P10" s="44"/>
      <c r="Q10" s="44"/>
      <c r="R10" s="44"/>
    </row>
    <row r="11" spans="1:40" ht="87" customHeight="1">
      <c r="A11" s="36"/>
      <c r="B11" s="139"/>
      <c r="D11" s="140"/>
      <c r="F11" s="141"/>
      <c r="H11" s="142"/>
      <c r="J11" s="143"/>
      <c r="L11" s="144"/>
      <c r="N11" s="145"/>
      <c r="O11" s="145"/>
      <c r="P11" s="44"/>
      <c r="Q11" s="44"/>
      <c r="R11" s="44"/>
    </row>
    <row r="12" spans="1:40" ht="87" customHeight="1">
      <c r="A12" s="36"/>
      <c r="B12" s="139"/>
      <c r="D12" s="140"/>
      <c r="F12" s="141"/>
      <c r="H12" s="142"/>
      <c r="J12" s="143"/>
      <c r="L12" s="144"/>
      <c r="N12" s="145"/>
      <c r="O12" s="145"/>
      <c r="P12" s="44"/>
      <c r="Q12" s="44"/>
      <c r="R12" s="44"/>
    </row>
    <row r="13" spans="1:40" ht="87" customHeight="1">
      <c r="A13" s="36"/>
      <c r="B13" s="139"/>
      <c r="D13" s="140"/>
      <c r="F13" s="141"/>
      <c r="H13" s="142"/>
      <c r="J13" s="143"/>
      <c r="L13" s="144"/>
      <c r="N13" s="145"/>
      <c r="O13" s="145"/>
      <c r="P13" s="44"/>
      <c r="Q13" s="44"/>
      <c r="R13" s="44"/>
    </row>
    <row r="14" spans="1:40" ht="6" customHeight="1">
      <c r="A14" s="36"/>
      <c r="B14" s="37"/>
      <c r="C14" s="43"/>
      <c r="D14" s="37"/>
      <c r="E14" s="43"/>
      <c r="F14" s="37"/>
      <c r="G14" s="43"/>
      <c r="H14" s="37"/>
      <c r="I14" s="43"/>
      <c r="J14" s="37"/>
      <c r="K14" s="43"/>
      <c r="L14" s="37"/>
      <c r="M14" s="43"/>
      <c r="N14" s="37"/>
      <c r="O14" s="37"/>
      <c r="P14" s="37"/>
      <c r="Q14" s="37"/>
      <c r="R14" s="37"/>
    </row>
    <row r="15" spans="1:40" ht="6" customHeight="1" thickBot="1">
      <c r="A15" s="36"/>
      <c r="B15" s="37"/>
      <c r="C15" s="43"/>
      <c r="D15" s="37"/>
      <c r="E15" s="43"/>
      <c r="F15" s="37"/>
      <c r="G15" s="43"/>
      <c r="H15" s="37"/>
      <c r="I15" s="43"/>
      <c r="J15" s="37"/>
      <c r="K15" s="43"/>
      <c r="L15" s="37"/>
      <c r="M15" s="43"/>
      <c r="N15" s="37"/>
      <c r="O15" s="37"/>
      <c r="P15" s="37"/>
      <c r="Q15" s="37"/>
      <c r="R15" s="37"/>
    </row>
    <row r="16" spans="1:40" ht="30" customHeight="1" thickBot="1">
      <c r="A16" s="111"/>
      <c r="B16" s="82" t="s">
        <v>5834</v>
      </c>
      <c r="C16" s="83"/>
      <c r="D16" s="84" t="s">
        <v>6173</v>
      </c>
      <c r="E16" s="85"/>
      <c r="F16" s="86" t="s">
        <v>6174</v>
      </c>
      <c r="G16" s="87"/>
      <c r="H16" s="88" t="s">
        <v>6175</v>
      </c>
      <c r="I16" s="89"/>
      <c r="J16" s="90" t="s">
        <v>6101</v>
      </c>
      <c r="K16" s="91"/>
      <c r="L16" s="82" t="s">
        <v>6103</v>
      </c>
      <c r="M16" s="92" t="s">
        <v>6102</v>
      </c>
      <c r="N16" s="92"/>
      <c r="O16" s="94" t="s">
        <v>6104</v>
      </c>
      <c r="P16" s="93"/>
      <c r="Q16" s="95"/>
      <c r="R16" s="49"/>
      <c r="S16" s="67"/>
      <c r="T16" s="68" t="s">
        <v>6176</v>
      </c>
      <c r="U16" s="69" t="s">
        <v>6176</v>
      </c>
      <c r="V16" s="70" t="s">
        <v>6176</v>
      </c>
      <c r="W16" s="71" t="s">
        <v>6176</v>
      </c>
      <c r="X16" s="71" t="s">
        <v>6176</v>
      </c>
      <c r="AB16" s="137" t="s">
        <v>6221</v>
      </c>
      <c r="AC16" s="134" t="s">
        <v>6220</v>
      </c>
      <c r="AE16" s="127" t="s">
        <v>6222</v>
      </c>
      <c r="AF16" s="135" t="s">
        <v>6220</v>
      </c>
      <c r="AH16" s="65"/>
      <c r="AI16" s="65"/>
      <c r="AJ16" s="65"/>
      <c r="AK16" s="65"/>
      <c r="AL16" s="65"/>
      <c r="AM16" s="65"/>
      <c r="AN16" s="65"/>
    </row>
    <row r="17" spans="1:54" ht="90" customHeight="1">
      <c r="A17" s="79"/>
      <c r="B17" s="73">
        <f>IFERROR(IF(X17="","",ROW()-16),"")</f>
        <v>1</v>
      </c>
      <c r="C17" s="74"/>
      <c r="D17" s="96" t="str" cm="1">
        <f t="array" ref="D17">IFERROR(INDEX(DB!B$2:B$2576,X17),"")</f>
        <v>12. 공통공사</v>
      </c>
      <c r="E17" s="107"/>
      <c r="F17" s="97" t="str" cm="1">
        <f t="array" ref="F17">IFERROR(INDEX(DB!C$2:C$2576,X17),"")</f>
        <v>12.1 철거, 해체</v>
      </c>
      <c r="G17" s="108"/>
      <c r="H17" s="98" t="str" cm="1">
        <f t="array" ref="H17">IFERROR(INDEX(DB!D$2:D$2576,X17),"")</f>
        <v>12.1.1 철거 및 해체</v>
      </c>
      <c r="I17" s="109"/>
      <c r="J17" s="99" t="str" cm="1">
        <f t="array" ref="J17">IFERROR(INDEX(DB!O$2:O$2576,X17),"")</f>
        <v>깔림 뒤집힘</v>
      </c>
      <c r="K17" s="110"/>
      <c r="L17" s="75" t="str" cm="1">
        <f t="array" ref="L17">IFERROR(INDEX(DB!P$2:P$2576,X17),"")</f>
        <v>2018년 3월경 OO철거공사 현장의 건물 B동 내부에서 재해자가 산소-LPG로 철골기둥을 용단한 후 건물 외부로 이동 중 붕괴되는 철골 구조물에 깔려 사망</v>
      </c>
      <c r="M17" s="76" t="str" cm="1">
        <f t="array" ref="M17">IFERROR(INDEX(DB!Q$2:Q$2576,X17),"")</f>
        <v>철거공사 현장에서 산소-LPG로 철골기둥을 용단한 후 건물 외부로 이동 중 붕괴되는 철골 구조물에 깔림</v>
      </c>
      <c r="N17" s="77"/>
      <c r="O17" s="78" t="str" cm="1">
        <f t="array" ref="O17">IFERROR(INDEX(DB!R$2:R$2576,X17),"")</f>
        <v>▶ 구조물의 형상, 중량 등을 고려하여 해체의 방법 및 순서 등이 포함된 작업계획서 작성</v>
      </c>
      <c r="P17" s="101"/>
      <c r="Q17" s="102"/>
      <c r="R17" s="103"/>
      <c r="S17" s="43"/>
      <c r="T17" s="66" cm="1">
        <f t="array" ref="T17">IFERROR(_xlfn.AGGREGATE(15,6,ROW(DB!A$2:A$2576)/(((($D$3&lt;&gt;"YES")+($D$3="YES")*(DB!E$2:E$2576="YES"))*(($D$4="")+($D$4&lt;&gt;"")*ISNUMBER(SEARCH($D$4,DB!G$2:G$2576)))*(($D$5="")+($D$5&lt;&gt;"")*(DB!B$2:B$2576=$D$5))*(($D$6="")+($D$6&lt;&gt;"")*(DB!C$2:C$2576=$D$6))*(($D$7="")+($D$7&lt;&gt;"")*(DB!D$2:D$2576=$D$7))*(($F$4="전체")+($F$4&lt;&gt;"전체")*(DB!H$2:H$2576=$F$4)))),ROW()-16)-1,"")</f>
        <v>692</v>
      </c>
      <c r="U17" s="104" t="str" cm="1">
        <f t="array" ref="U17">IFERROR(INDEX(DB!B$2:B$2576,T17),"")</f>
        <v>12. 공통공사</v>
      </c>
      <c r="V17" s="105" t="str" cm="1">
        <f t="array" ref="V17">IFERROR(INDEX(DB!O$2:O$2576,T17),"")</f>
        <v>떨어짐</v>
      </c>
      <c r="W17" s="106">
        <f>IF(T17="","",COUNTIF($U$17:$U$216,"&lt;"&amp;U17)*100+COUNTIF($V$17:$V$216,"&lt;"&amp;V17)+(ROW()-16)*0.001)</f>
        <v>8287.0010000000002</v>
      </c>
      <c r="X17" s="149">
        <f>IFERROR(INDEX($T$17:$T$216,MATCH(SMALL($W$17:$W$216,ROW()-16),$W$17:$W$216,0)),"")</f>
        <v>698</v>
      </c>
      <c r="AB17" s="138" t="str" cm="1">
        <f t="array" ref="AB17">IFERROR(INDEX(AI$17:AI$66,_xlfn.AGGREGATE(15,6,ROW(AI$17:AI$66)-ROW(AI$17)+1/(AJ$17:AJ$66=LARGE(AJ$17:AJ$66,1)),1)),"")</f>
        <v>3.1 철골 작업</v>
      </c>
      <c r="AC17" s="131">
        <f>IFERROR(LARGE(AJ$17:AJ$66,1),"")</f>
        <v>78</v>
      </c>
      <c r="AE17" s="130" t="str" cm="1">
        <f t="array" ref="AE17">IFERROR(INDEX(AM$17:AM$66,_xlfn.AGGREGATE(15,6,ROW(AM$17:AM$66)-ROW(AM$17)+1/(AN$17:AN$66=LARGE(AN$17:AN$66,1)),1)),"")</f>
        <v>떨어짐</v>
      </c>
      <c r="AF17" s="136">
        <f>IFERROR(LARGE(AN$17:AN$66,1),"")</f>
        <v>103</v>
      </c>
      <c r="AH17" s="65" t="str" cm="1">
        <f t="array" ref="AH17">IF(AG17="","",SUMPRODUCT(((($D$4="")+($D$4&lt;&gt;"")*ISNUMBER(SEARCH($D$4,DB!$G$2:$G$2576)))*(($D$3&lt;&gt;"YES")+($D$3="YES")*(DB!$E$2:$E$2576="YES"))*(($F$4="전체")+($F$4&lt;&gt;"전체")*(DB!$H$2:$H$2576=$F$4)))*(DB!$B$2:$B$2576=AG17)*1))</f>
        <v/>
      </c>
      <c r="AI17" s="65" t="str" cm="1">
        <f t="array" ref="AI17">IFERROR(INDEX(DB!$C$2:$C$2576,_xlfn.AGGREGATE(15,6,ROW(DB!$C$2:$C$2576)-1/((($D$4="")+($D$4&lt;&gt;"")*ISNUMBER(SEARCH($D$4,DB!$G$2:$G$2576)))*(($D$3&lt;&gt;"YES")+($D$3="YES")*(DB!$E$2:$E$2576="YES"))*(($D$5="")+($D$5&lt;&gt;"")*(DB!$B$2:$B$2576=$D$5))*(($D$6="")+($D$6&lt;&gt;"")*(DB!$C$2:$C$2576=$D$6))*(($D$7="")+($D$7&lt;&gt;"")*(DB!$D$2:$D$2576=$D$7))*(($F$4="전체")+($F$4&lt;&gt;"전체")*(DB!$H$2:$H$2576=$F$4))*(COUNTIF(AI$1:AI$16,DB!$C$2:$C$2576)=0)),1)),"")</f>
        <v>12.1 철거, 해체</v>
      </c>
      <c r="AJ17" s="65" cm="1">
        <f t="array" ref="AJ17">IF(AI17="","",SUMPRODUCT(((($D$4="")+($D$4&lt;&gt;"")*ISNUMBER(SEARCH($D$4,DB!$G$2:$G$2576)))*(($D$3&lt;&gt;"YES")+($D$3="YES")*(DB!$E$2:$E$2576="YES"))*(($D$5="")+($D$5&lt;&gt;"")*(DB!$B$2:$B$2576=$D$5))*(($D$6="")+($D$6&lt;&gt;"")*(DB!$C$2:$C$2576=$D$6))*(($D$7="")+($D$7&lt;&gt;"")*(DB!$D$2:$D$2576=$D$7))*(($F$4="전체")+($F$4&lt;&gt;"전체")*(DB!$H$2:$H$2576=$F$4)))*(DB!$C$2:$C$2576=AI17)*1))</f>
        <v>8</v>
      </c>
      <c r="AK17" s="65" t="str" cm="1">
        <f t="array" ref="AK17">IFERROR(INDEX(DB!$D$2:$D$2576,_xlfn.AGGREGATE(15,6,ROW(DB!$D$2:$D$2576)-1/((($D$4="")+($D$4&lt;&gt;"")*ISNUMBER(SEARCH($D$4,DB!$G$2:$G$2576)))*(($D$3&lt;&gt;"YES")+($D$3="YES")*(DB!$E$2:$E$2576="YES"))*(($F$4="전체")+($F$4&lt;&gt;"전체")*(DB!$H$2:$H$2576=$F$4))*(COUNTIF(AK$16:AK16,DB!$D$2:$D$2576)=0)),1)),"")</f>
        <v>12.1.1 철거 및 해체</v>
      </c>
      <c r="AL17" s="65" cm="1">
        <f t="array" ref="AL17">IF(AK17="","",SUMPRODUCT(((($D$4="")+($D$4&lt;&gt;"")*ISNUMBER(SEARCH($D$4,DB!$G$2:$G$2576)))*(($D$3&lt;&gt;"YES")+($D$3="YES")*(DB!$E$2:$E$2576="YES"))*(($F$4="전체")+($F$4&lt;&gt;"전체")*(DB!$H$2:$H$2576=$F$4)))*(DB!$D$2:$D$2576=AK17)*1))</f>
        <v>8</v>
      </c>
      <c r="AM17" s="65" t="str" cm="1">
        <f t="array" ref="AM17">IFERROR(INDEX(DB!$O$2:$O$2576,_xlfn.AGGREGATE(15,6,ROW(DB!$O$2:$O$2576)-1/((($D$4="")+($D$4&lt;&gt;"")*ISNUMBER(SEARCH($D$4,DB!$G$2:$G$2576)))*(($D$3&lt;&gt;"YES")+($D$3="YES")*(DB!$E$2:$E$2576="YES"))*(($D$5="")+($D$5&lt;&gt;"")*(DB!$B$2:$B$2576=$D$5))*(($D$6="")+($D$6&lt;&gt;"")*(DB!$C$2:$C$2576=$D$6))*(($D$7="")+($D$7&lt;&gt;"")*(DB!$D$2:$D$2576=$D$7))*(($F$4="전체")+($F$4&lt;&gt;"전체")*(DB!$H$2:$H$2576=$F$4))*(COUNTIF(AM$1:AM$16,DB!$O$2:$O$2576)=0)),1)),"")</f>
        <v>떨어짐</v>
      </c>
      <c r="AN17" s="65" cm="1">
        <f t="array" ref="AN17">IF(AM17="","",SUMPRODUCT(((($D$4="")+($D$4&lt;&gt;"")*ISNUMBER(SEARCH($D$4,DB!$G$2:$G$2576)))*(($D$3&lt;&gt;"YES")+($D$3="YES")*(DB!$E$2:$E$2576="YES"))*(($D$5="")+($D$5&lt;&gt;"")*(DB!$B$2:$B$2576=$D$5))*(($D$6="")+($D$6&lt;&gt;"")*(DB!$C$2:$C$2576=$D$6))*(($D$7="")+($D$7&lt;&gt;"")*(DB!$D$2:$D$2576=$D$7))*(($F$4="전체")+($F$4&lt;&gt;"전체")*(DB!$H$2:$H$2576=$F$4)))*(DB!$O$2:$O$2576=AM17)*1))</f>
        <v>103</v>
      </c>
      <c r="AY17" s="72" t="s">
        <v>5</v>
      </c>
      <c r="AZ17" t="s">
        <v>6223</v>
      </c>
      <c r="BA17" s="72" t="s">
        <v>5788</v>
      </c>
      <c r="BB17" s="72" t="s">
        <v>5787</v>
      </c>
    </row>
    <row r="18" spans="1:54" ht="90" customHeight="1">
      <c r="A18" s="26"/>
      <c r="B18" s="73">
        <f t="shared" ref="B18:B81" si="0">IFERROR(IF(X18="","",ROW()-16),"")</f>
        <v>2</v>
      </c>
      <c r="C18" s="74"/>
      <c r="D18" s="96" t="str" cm="1">
        <f t="array" ref="D18">IFERROR(INDEX(DB!B$2:B$2576,X18),"")</f>
        <v>12. 공통공사</v>
      </c>
      <c r="E18" s="107"/>
      <c r="F18" s="97" t="str" cm="1">
        <f t="array" ref="F18">IFERROR(INDEX(DB!C$2:C$2576,X18),"")</f>
        <v>12.1 철거, 해체</v>
      </c>
      <c r="G18" s="108"/>
      <c r="H18" s="98" t="str" cm="1">
        <f t="array" ref="H18">IFERROR(INDEX(DB!D$2:D$2576,X18),"")</f>
        <v>12.1.1 철거 및 해체</v>
      </c>
      <c r="I18" s="109"/>
      <c r="J18" s="99" t="str" cm="1">
        <f t="array" ref="J18">IFERROR(INDEX(DB!O$2:O$2576,X18),"")</f>
        <v>떨어짐</v>
      </c>
      <c r="K18" s="110"/>
      <c r="L18" s="75" t="str" cm="1">
        <f t="array" ref="L18">IFERROR(INDEX(DB!P$2:P$2576,X18),"")</f>
        <v>2016년 1월경 OO기계설비 철거공사 현장에서 재해자가 천정크레인 주행빔(H-700×300×13×24)에 설치된 고정용 볼트를 해체하고, 승하강설비가 설치된 장소로 이동하던 중 몸의 중심을 잃고 지상 콘크리트바닥(H≒8.94m)으로 추락하여 사망</v>
      </c>
      <c r="M18" s="76" t="str" cm="1">
        <f t="array" ref="M18">IFERROR(INDEX(DB!Q$2:Q$2576,X18),"")</f>
        <v>철골빔 상부에서 안전대를 미착용하던 재해자가 이동하던 중 몸의 중심을 잃고 바닥으로 추락</v>
      </c>
      <c r="N18" s="77"/>
      <c r="O18" s="78" t="str" cm="1">
        <f t="array" ref="O18">IFERROR(INDEX(DB!R$2:R$2576,X18),"")</f>
        <v>▶ 안전대 부착설비,  추락방지망 등의 안전방호조치 실시
▶ 근로자 개인보호구, 안전대 체결여부 점검 및 관리감독</v>
      </c>
      <c r="P18" s="101"/>
      <c r="Q18" s="102"/>
      <c r="R18" s="103"/>
      <c r="S18" s="43"/>
      <c r="T18" s="66" cm="1">
        <f t="array" ref="T18">IFERROR(_xlfn.AGGREGATE(15,6,ROW(DB!A$2:A$2576)/(((($D$3&lt;&gt;"YES")+($D$3="YES")*(DB!E$2:E$2576="YES"))*(($D$4="")+($D$4&lt;&gt;"")*ISNUMBER(SEARCH($D$4,DB!G$2:G$2576)))*(($D$5="")+($D$5&lt;&gt;"")*(DB!B$2:B$2576=$D$5))*(($D$6="")+($D$6&lt;&gt;"")*(DB!C$2:C$2576=$D$6))*(($D$7="")+($D$7&lt;&gt;"")*(DB!D$2:D$2576=$D$7))*(($F$4="전체")+($F$4&lt;&gt;"전체")*(DB!H$2:H$2576=$F$4)))),ROW()-16)-1,"")</f>
        <v>693</v>
      </c>
      <c r="U18" s="104" t="str" cm="1">
        <f t="array" ref="U18">IFERROR(INDEX(DB!B$2:B$2576,T18),"")</f>
        <v>12. 공통공사</v>
      </c>
      <c r="V18" s="105" t="str" cm="1">
        <f t="array" ref="V18">IFERROR(INDEX(DB!O$2:O$2576,T18),"")</f>
        <v>떨어짐</v>
      </c>
      <c r="W18" s="106">
        <f t="shared" ref="W18:W81" si="1">IF(T18="","",COUNTIF($U$17:$U$216,"&lt;"&amp;U18)*100+COUNTIF($V$17:$V$216,"&lt;"&amp;V18)+(ROW()-16)*0.001)</f>
        <v>8287.0020000000004</v>
      </c>
      <c r="X18" s="149">
        <f t="shared" ref="X18:X81" si="2">IFERROR(INDEX($T$17:$T$216,MATCH(SMALL($W$17:$W$216,ROW()-16),$W$17:$W$216,0)),"")</f>
        <v>692</v>
      </c>
      <c r="AB18" s="138" t="str" cm="1">
        <f t="array" ref="AB18">IFERROR(INDEX(AI$17:AI$66,_xlfn.AGGREGATE(15,6,ROW(AI$17:AI$66)-ROW(AI$17)+1/(AJ$17:AJ$66=LARGE(AJ$17:AJ$66,2)),COUNTIF(AC$17:AC17,LARGE(AJ$17:AJ$66,2))+1)),"")</f>
        <v>4.8 판넬 등 외부마감 작업</v>
      </c>
      <c r="AC18" s="131">
        <f>IFERROR(LARGE(AJ$17:AJ$66,2),"")</f>
        <v>9</v>
      </c>
      <c r="AE18" s="130" t="str" cm="1">
        <f t="array" ref="AE18">IFERROR(INDEX(AM$17:AM$66,_xlfn.AGGREGATE(15,6,ROW(AM$17:AM$66)-ROW(AM$17)+1/(AN$17:AN$66=LARGE(AN$17:AN$66,2)),COUNTIF(AF$17:AF17,LARGE(AN$17:AN$66,2))+1)),"")</f>
        <v>무너짐</v>
      </c>
      <c r="AF18" s="136">
        <f>IFERROR(LARGE(AN$17:AN$66,2),"")</f>
        <v>7</v>
      </c>
      <c r="AH18" s="65" t="str" cm="1">
        <f t="array" ref="AH18">IF(AG18="","",SUMPRODUCT(((($D$4="")+($D$4&lt;&gt;"")*ISNUMBER(SEARCH($D$4,DB!$G$2:$G$2576)))*(($D$3&lt;&gt;"YES")+($D$3="YES")*(DB!$E$2:$E$2576="YES"))*(($F$4="전체")+($F$4&lt;&gt;"전체")*(DB!$H$2:$H$2576=$F$4)))*(DB!$B$2:$B$2576=AG18)*1))</f>
        <v/>
      </c>
      <c r="AI18" s="65" t="str" cm="1">
        <f t="array" ref="AI18">IFERROR(INDEX(DB!$C$2:$C$2576,_xlfn.AGGREGATE(15,6,ROW(DB!$C$2:$C$2576)-1/((($D$4="")+($D$4&lt;&gt;"")*ISNUMBER(SEARCH($D$4,DB!$G$2:$G$2576)))*(($D$3&lt;&gt;"YES")+($D$3="YES")*(DB!$E$2:$E$2576="YES"))*(($D$5="")+($D$5&lt;&gt;"")*(DB!$B$2:$B$2576=$D$5))*(($D$6="")+($D$6&lt;&gt;"")*(DB!$C$2:$C$2576=$D$6))*(($D$7="")+($D$7&lt;&gt;"")*(DB!$D$2:$D$2576=$D$7))*(($F$4="전체")+($F$4&lt;&gt;"전체")*(DB!$H$2:$H$2576=$F$4))*(COUNTIF(AI$17:AI17,DB!$C$2:$C$2576)=0)),1)),"")</f>
        <v>12.7 기타(작업환경, 청소 등)</v>
      </c>
      <c r="AJ18" s="65" cm="1">
        <f t="array" ref="AJ18">IF(AI18="","",SUMPRODUCT(((($D$4="")+($D$4&lt;&gt;"")*ISNUMBER(SEARCH($D$4,DB!$G$2:$G$2576)))*(($D$3&lt;&gt;"YES")+($D$3="YES")*(DB!$E$2:$E$2576="YES"))*(($D$5="")+($D$5&lt;&gt;"")*(DB!$B$2:$B$2576=$D$5))*(($D$6="")+($D$6&lt;&gt;"")*(DB!$C$2:$C$2576=$D$6))*(($D$7="")+($D$7&lt;&gt;"")*(DB!$D$2:$D$2576=$D$7))*(($F$4="전체")+($F$4&lt;&gt;"전체")*(DB!$H$2:$H$2576=$F$4)))*(DB!$C$2:$C$2576=AI18)*1))</f>
        <v>2</v>
      </c>
      <c r="AK18" s="65" t="str" cm="1">
        <f t="array" ref="AK18">IFERROR(INDEX(DB!$D$2:$D$2576,_xlfn.AGGREGATE(15,6,ROW(DB!$D$2:$D$2576)-1/((($D$4="")+($D$4&lt;&gt;"")*ISNUMBER(SEARCH($D$4,DB!$G$2:$G$2576)))*(($D$3&lt;&gt;"YES")+($D$3="YES")*(DB!$E$2:$E$2576="YES"))*(($F$4="전체")+($F$4&lt;&gt;"전체")*(DB!$H$2:$H$2576=$F$4))*(COUNTIF(AK$16:AK17,DB!$D$2:$D$2576)=0)),2)),"")</f>
        <v>12.7.1 기타(작업환경, 청소 등)</v>
      </c>
      <c r="AL18" s="65" cm="1">
        <f t="array" ref="AL18">IF(AK18="","",SUMPRODUCT(((($D$4="")+($D$4&lt;&gt;"")*ISNUMBER(SEARCH($D$4,DB!$G$2:$G$2576)))*(($D$3&lt;&gt;"YES")+($D$3="YES")*(DB!$E$2:$E$2576="YES"))*(($F$4="전체")+($F$4&lt;&gt;"전체")*(DB!$H$2:$H$2576=$F$4)))*(DB!$D$2:$D$2576=AK18)*1))</f>
        <v>2</v>
      </c>
      <c r="AM18" s="65" t="str" cm="1">
        <f t="array" ref="AM18">IFERROR(INDEX(DB!$O$2:$O$2576,_xlfn.AGGREGATE(15,6,ROW(DB!$O$2:$O$2576)-1/((($D$4="")+($D$4&lt;&gt;"")*ISNUMBER(SEARCH($D$4,DB!$G$2:$G$2576)))*(($D$3&lt;&gt;"YES")+($D$3="YES")*(DB!$E$2:$E$2576="YES"))*(($D$5="")+($D$5&lt;&gt;"")*(DB!$B$2:$B$2576=$D$5))*(($D$6="")+($D$6&lt;&gt;"")*(DB!$C$2:$C$2576=$D$6))*(($D$7="")+($D$7&lt;&gt;"")*(DB!$D$2:$D$2576=$D$7))*(($F$4="전체")+($F$4&lt;&gt;"전체")*(DB!$H$2:$H$2576=$F$4))*(COUNTIF(AM$17:AM17,DB!$O$2:$O$2576)=0)),1)),"")</f>
        <v>깔림 뒤집힘</v>
      </c>
      <c r="AN18" s="65" cm="1">
        <f t="array" ref="AN18">IF(AM18="","",SUMPRODUCT(((($D$4="")+($D$4&lt;&gt;"")*ISNUMBER(SEARCH($D$4,DB!$G$2:$G$2576)))*(($D$3&lt;&gt;"YES")+($D$3="YES")*(DB!$E$2:$E$2576="YES"))*(($D$5="")+($D$5&lt;&gt;"")*(DB!$B$2:$B$2576=$D$5))*(($D$6="")+($D$6&lt;&gt;"")*(DB!$C$2:$C$2576=$D$6))*(($D$7="")+($D$7&lt;&gt;"")*(DB!$D$2:$D$2576=$D$7))*(($F$4="전체")+($F$4&lt;&gt;"전체")*(DB!$H$2:$H$2576=$F$4)))*(DB!$O$2:$O$2576=AM18)*1))</f>
        <v>2</v>
      </c>
      <c r="AY18" t="s">
        <v>910</v>
      </c>
      <c r="AZ18">
        <v>1</v>
      </c>
      <c r="BA18">
        <v>129</v>
      </c>
      <c r="BB18" s="11">
        <v>5.011655011655012E-2</v>
      </c>
    </row>
    <row r="19" spans="1:54" ht="90" customHeight="1">
      <c r="A19" s="79"/>
      <c r="B19" s="73">
        <f t="shared" si="0"/>
        <v>3</v>
      </c>
      <c r="C19" s="74"/>
      <c r="D19" s="96" t="str" cm="1">
        <f t="array" ref="D19">IFERROR(INDEX(DB!B$2:B$2576,X19),"")</f>
        <v>12. 공통공사</v>
      </c>
      <c r="E19" s="107"/>
      <c r="F19" s="97" t="str" cm="1">
        <f t="array" ref="F19">IFERROR(INDEX(DB!C$2:C$2576,X19),"")</f>
        <v>12.1 철거, 해체</v>
      </c>
      <c r="G19" s="108"/>
      <c r="H19" s="98" t="str" cm="1">
        <f t="array" ref="H19">IFERROR(INDEX(DB!D$2:D$2576,X19),"")</f>
        <v>12.1.1 철거 및 해체</v>
      </c>
      <c r="I19" s="109"/>
      <c r="J19" s="99" t="str" cm="1">
        <f t="array" ref="J19">IFERROR(INDEX(DB!O$2:O$2576,X19),"")</f>
        <v>떨어짐</v>
      </c>
      <c r="K19" s="110"/>
      <c r="L19" s="75" t="str" cm="1">
        <f t="array" ref="L19">IFERROR(INDEX(DB!P$2:P$2576,X19),"")</f>
        <v>2016년 4월경 OO철거현장에서 재해자가 해체작업으로 지상3층 부분 철골빔(폭20cm)상부를 이동하던 중 몸의 중심을 잃고 약 8m아래 지상 바닥으로 추락하여 사망</v>
      </c>
      <c r="M19" s="76" t="str" cm="1">
        <f t="array" ref="M19">IFERROR(INDEX(DB!Q$2:Q$2576,X19),"")</f>
        <v>철골빔 상부에서 안전대를 미착용하던 재해자가 이동하던 중 몸의 중심을 잃고 바닥으로 추락</v>
      </c>
      <c r="N19" s="77"/>
      <c r="O19" s="78" t="str" cm="1">
        <f t="array" ref="O19">IFERROR(INDEX(DB!R$2:R$2576,X19),"")</f>
        <v>▶ 안전대 부착설비,  추락방지망 등의 안전방호조치 실시
▶ 근로자 개인보호구, 안전대 체결여부 점검 및 관리감독</v>
      </c>
      <c r="P19" s="101"/>
      <c r="Q19" s="102"/>
      <c r="R19" s="103"/>
      <c r="S19" s="43"/>
      <c r="T19" s="66" cm="1">
        <f t="array" ref="T19">IFERROR(_xlfn.AGGREGATE(15,6,ROW(DB!A$2:A$2576)/(((($D$3&lt;&gt;"YES")+($D$3="YES")*(DB!E$2:E$2576="YES"))*(($D$4="")+($D$4&lt;&gt;"")*ISNUMBER(SEARCH($D$4,DB!G$2:G$2576)))*(($D$5="")+($D$5&lt;&gt;"")*(DB!B$2:B$2576=$D$5))*(($D$6="")+($D$6&lt;&gt;"")*(DB!C$2:C$2576=$D$6))*(($D$7="")+($D$7&lt;&gt;"")*(DB!D$2:D$2576=$D$7))*(($F$4="전체")+($F$4&lt;&gt;"전체")*(DB!H$2:H$2576=$F$4)))),ROW()-16)-1,"")</f>
        <v>698</v>
      </c>
      <c r="U19" s="104" t="str" cm="1">
        <f t="array" ref="U19">IFERROR(INDEX(DB!B$2:B$2576,T19),"")</f>
        <v>12. 공통공사</v>
      </c>
      <c r="V19" s="105" t="str" cm="1">
        <f t="array" ref="V19">IFERROR(INDEX(DB!O$2:O$2576,T19),"")</f>
        <v>깔림 뒤집힘</v>
      </c>
      <c r="W19" s="106">
        <f t="shared" si="1"/>
        <v>8282.0030000000006</v>
      </c>
      <c r="X19" s="149">
        <f t="shared" si="2"/>
        <v>693</v>
      </c>
      <c r="AB19" s="138" t="str" cm="1">
        <f t="array" ref="AB19">IFERROR(INDEX(AI$17:AI$66,_xlfn.AGGREGATE(15,6,ROW(AI$17:AI$66)-ROW(AI$17)+1/(AJ$17:AJ$66=LARGE(AJ$17:AJ$66,3)),COUNTIF(AC$17:AC18,LARGE(AJ$17:AJ$66,3))+1)),"")</f>
        <v>12.1 철거, 해체</v>
      </c>
      <c r="AC19" s="131">
        <f>IFERROR(LARGE(AJ$17:AJ$66,3),"")</f>
        <v>8</v>
      </c>
      <c r="AE19" s="130" t="str" cm="1">
        <f t="array" ref="AE19">IFERROR(INDEX(AM$17:AM$66,_xlfn.AGGREGATE(15,6,ROW(AM$17:AM$66)-ROW(AM$17)+1/(AN$17:AN$66=LARGE(AN$17:AN$66,3)),COUNTIF(AF$17:AF18,LARGE(AN$17:AN$66,3))+1)),"")</f>
        <v>깔림 뒤집힘</v>
      </c>
      <c r="AF19" s="136">
        <f>IFERROR(LARGE(AN$17:AN$66,3),"")</f>
        <v>2</v>
      </c>
      <c r="AH19" s="65" t="str" cm="1">
        <f t="array" ref="AH19">IF(AG19="","",SUMPRODUCT(((($D$4="")+($D$4&lt;&gt;"")*ISNUMBER(SEARCH($D$4,DB!$G$2:$G$2576)))*(($D$3&lt;&gt;"YES")+($D$3="YES")*(DB!$E$2:$E$2576="YES"))*(($F$4="전체")+($F$4&lt;&gt;"전체")*(DB!$H$2:$H$2576=$F$4)))*(DB!$B$2:$B$2576=AG19)*1))</f>
        <v/>
      </c>
      <c r="AI19" s="65" t="str" cm="1">
        <f t="array" ref="AI19">IFERROR(INDEX(DB!$C$2:$C$2576,_xlfn.AGGREGATE(15,6,ROW(DB!$C$2:$C$2576)-1/((($D$4="")+($D$4&lt;&gt;"")*ISNUMBER(SEARCH($D$4,DB!$G$2:$G$2576)))*(($D$3&lt;&gt;"YES")+($D$3="YES")*(DB!$E$2:$E$2576="YES"))*(($D$5="")+($D$5&lt;&gt;"")*(DB!$B$2:$B$2576=$D$5))*(($D$6="")+($D$6&lt;&gt;"")*(DB!$C$2:$C$2576=$D$6))*(($D$7="")+($D$7&lt;&gt;"")*(DB!$D$2:$D$2576=$D$7))*(($F$4="전체")+($F$4&lt;&gt;"전체")*(DB!$H$2:$H$2576=$F$4))*(COUNTIF(AI$17:AI18,DB!$C$2:$C$2576)=0)),1)),"")</f>
        <v>2.1 거푸집 작업</v>
      </c>
      <c r="AJ19" s="65" cm="1">
        <f t="array" ref="AJ19">IF(AI19="","",SUMPRODUCT(((($D$4="")+($D$4&lt;&gt;"")*ISNUMBER(SEARCH($D$4,DB!$G$2:$G$2576)))*(($D$3&lt;&gt;"YES")+($D$3="YES")*(DB!$E$2:$E$2576="YES"))*(($D$5="")+($D$5&lt;&gt;"")*(DB!$B$2:$B$2576=$D$5))*(($D$6="")+($D$6&lt;&gt;"")*(DB!$C$2:$C$2576=$D$6))*(($D$7="")+($D$7&lt;&gt;"")*(DB!$D$2:$D$2576=$D$7))*(($F$4="전체")+($F$4&lt;&gt;"전체")*(DB!$H$2:$H$2576=$F$4)))*(DB!$C$2:$C$2576=AI19)*1))</f>
        <v>1</v>
      </c>
      <c r="AK19" s="65" t="str" cm="1">
        <f t="array" ref="AK19">IFERROR(INDEX(DB!$D$2:$D$2576,_xlfn.AGGREGATE(15,6,ROW(DB!$D$2:$D$2576)-1/((($D$4="")+($D$4&lt;&gt;"")*ISNUMBER(SEARCH($D$4,DB!$G$2:$G$2576)))*(($D$3&lt;&gt;"YES")+($D$3="YES")*(DB!$E$2:$E$2576="YES"))*(($F$4="전체")+($F$4&lt;&gt;"전체")*(DB!$H$2:$H$2576=$F$4))*(COUNTIF(AK$16:AK18,DB!$D$2:$D$2576)=0)),3)),"")</f>
        <v>2.4.2 콘크리트 타설 및 다짐</v>
      </c>
      <c r="AL19" s="65" cm="1">
        <f t="array" ref="AL19">IF(AK19="","",SUMPRODUCT(((($D$4="")+($D$4&lt;&gt;"")*ISNUMBER(SEARCH($D$4,DB!$G$2:$G$2576)))*(($D$3&lt;&gt;"YES")+($D$3="YES")*(DB!$E$2:$E$2576="YES"))*(($F$4="전체")+($F$4&lt;&gt;"전체")*(DB!$H$2:$H$2576=$F$4)))*(DB!$D$2:$D$2576=AK19)*1))</f>
        <v>7</v>
      </c>
      <c r="AM19" s="65" t="str" cm="1">
        <f t="array" ref="AM19">IFERROR(INDEX(DB!$O$2:$O$2576,_xlfn.AGGREGATE(15,6,ROW(DB!$O$2:$O$2576)-1/((($D$4="")+($D$4&lt;&gt;"")*ISNUMBER(SEARCH($D$4,DB!$G$2:$G$2576)))*(($D$3&lt;&gt;"YES")+($D$3="YES")*(DB!$E$2:$E$2576="YES"))*(($D$5="")+($D$5&lt;&gt;"")*(DB!$B$2:$B$2576=$D$5))*(($D$6="")+($D$6&lt;&gt;"")*(DB!$C$2:$C$2576=$D$6))*(($D$7="")+($D$7&lt;&gt;"")*(DB!$D$2:$D$2576=$D$7))*(($F$4="전체")+($F$4&lt;&gt;"전체")*(DB!$H$2:$H$2576=$F$4))*(COUNTIF(AM$17:AM18,DB!$O$2:$O$2576)=0)),1)),"")</f>
        <v>맞음</v>
      </c>
      <c r="AN19" s="65" cm="1">
        <f t="array" ref="AN19">IF(AM19="","",SUMPRODUCT(((($D$4="")+($D$4&lt;&gt;"")*ISNUMBER(SEARCH($D$4,DB!$G$2:$G$2576)))*(($D$3&lt;&gt;"YES")+($D$3="YES")*(DB!$E$2:$E$2576="YES"))*(($D$5="")+($D$5&lt;&gt;"")*(DB!$B$2:$B$2576=$D$5))*(($D$6="")+($D$6&lt;&gt;"")*(DB!$C$2:$C$2576=$D$6))*(($D$7="")+($D$7&lt;&gt;"")*(DB!$D$2:$D$2576=$D$7))*(($F$4="전체")+($F$4&lt;&gt;"전체")*(DB!$H$2:$H$2576=$F$4)))*(DB!$O$2:$O$2576=AM19)*1))</f>
        <v>1</v>
      </c>
      <c r="AY19" t="s">
        <v>571</v>
      </c>
      <c r="AZ19">
        <v>2</v>
      </c>
      <c r="BA19">
        <v>129</v>
      </c>
      <c r="BB19" s="11">
        <v>5.011655011655012E-2</v>
      </c>
    </row>
    <row r="20" spans="1:54" ht="90" customHeight="1">
      <c r="A20" s="26"/>
      <c r="B20" s="73">
        <f t="shared" si="0"/>
        <v>4</v>
      </c>
      <c r="C20" s="74"/>
      <c r="D20" s="96" t="str" cm="1">
        <f t="array" ref="D20">IFERROR(INDEX(DB!B$2:B$2576,X20),"")</f>
        <v>12. 공통공사</v>
      </c>
      <c r="E20" s="107"/>
      <c r="F20" s="97" t="str" cm="1">
        <f t="array" ref="F20">IFERROR(INDEX(DB!C$2:C$2576,X20),"")</f>
        <v>12.1 철거, 해체</v>
      </c>
      <c r="G20" s="108"/>
      <c r="H20" s="98" t="str" cm="1">
        <f t="array" ref="H20">IFERROR(INDEX(DB!D$2:D$2576,X20),"")</f>
        <v>12.1.1 철거 및 해체</v>
      </c>
      <c r="I20" s="109"/>
      <c r="J20" s="99" t="str" cm="1">
        <f t="array" ref="J20">IFERROR(INDEX(DB!O$2:O$2576,X20),"")</f>
        <v>떨어짐</v>
      </c>
      <c r="K20" s="110"/>
      <c r="L20" s="75" t="str" cm="1">
        <f t="array" ref="L20">IFERROR(INDEX(DB!P$2:P$2576,X20),"")</f>
        <v>2018년 8월경 OO철탑 철거현장에서 재해자가 철골 기둥 해체 작업 중 접합부의 마지막 볼트를 해체하는 순간 상·하부 주각이 순간 벌어졌고 그 사이로 U자걸이가 빠지면서 10m 아래 바닥으로 추락하여 사망</v>
      </c>
      <c r="M20" s="76" t="str" cm="1">
        <f t="array" ref="M20">IFERROR(INDEX(DB!Q$2:Q$2576,X20),"")</f>
        <v>통신철탑 철거현장에서 철탑 철거를 위한 접합부 볼트 해체작업에서 마지막 볼트 해체 순간 상·하부 주각이 벌어지면서 U자걸이 안전대가 벌어진 사이로 빠지면서 바닥으로 추락</v>
      </c>
      <c r="N20" s="77"/>
      <c r="O20" s="78" t="str" cm="1">
        <f t="array" ref="O20">IFERROR(INDEX(DB!R$2:R$2576,X20),"")</f>
        <v>▶ 추락방호망, 안전대 부착설비 설치
▶ 철골해체 작업계획서 작성</v>
      </c>
      <c r="P20" s="101"/>
      <c r="Q20" s="102"/>
      <c r="R20" s="103"/>
      <c r="S20" s="43"/>
      <c r="T20" s="66" cm="1">
        <f t="array" ref="T20">IFERROR(_xlfn.AGGREGATE(15,6,ROW(DB!A$2:A$2576)/(((($D$3&lt;&gt;"YES")+($D$3="YES")*(DB!E$2:E$2576="YES"))*(($D$4="")+($D$4&lt;&gt;"")*ISNUMBER(SEARCH($D$4,DB!G$2:G$2576)))*(($D$5="")+($D$5&lt;&gt;"")*(DB!B$2:B$2576=$D$5))*(($D$6="")+($D$6&lt;&gt;"")*(DB!C$2:C$2576=$D$6))*(($D$7="")+($D$7&lt;&gt;"")*(DB!D$2:D$2576=$D$7))*(($F$4="전체")+($F$4&lt;&gt;"전체")*(DB!H$2:H$2576=$F$4)))),ROW()-16)-1,"")</f>
        <v>702</v>
      </c>
      <c r="U20" s="104" t="str" cm="1">
        <f t="array" ref="U20">IFERROR(INDEX(DB!B$2:B$2576,T20),"")</f>
        <v>12. 공통공사</v>
      </c>
      <c r="V20" s="105" t="str" cm="1">
        <f t="array" ref="V20">IFERROR(INDEX(DB!O$2:O$2576,T20),"")</f>
        <v>떨어짐</v>
      </c>
      <c r="W20" s="106">
        <f t="shared" si="1"/>
        <v>8287.0040000000008</v>
      </c>
      <c r="X20" s="149">
        <f t="shared" si="2"/>
        <v>702</v>
      </c>
      <c r="AB20" s="138" t="str" cm="1">
        <f t="array" ref="AB20">IFERROR(INDEX(AI$17:AI$66,_xlfn.AGGREGATE(15,6,ROW(AI$17:AI$66)-ROW(AI$17)+1/(AJ$17:AJ$66=LARGE(AJ$17:AJ$66,4)),COUNTIF(AC$17:AC19,LARGE(AJ$17:AJ$66,4))+1)),"")</f>
        <v>2.4 콘크리트 작업</v>
      </c>
      <c r="AC20" s="131">
        <f>IFERROR(LARGE(AJ$17:AJ$66,4),"")</f>
        <v>7</v>
      </c>
      <c r="AE20" s="130" t="str" cm="1">
        <f t="array" ref="AE20">IFERROR(INDEX(AM$17:AM$66,_xlfn.AGGREGATE(15,6,ROW(AM$17:AM$66)-ROW(AM$17)+1/(AN$17:AN$66=LARGE(AN$17:AN$66,4)),COUNTIF(AF$17:AF19,LARGE(AN$17:AN$66,4))+1)),"")</f>
        <v>끼임</v>
      </c>
      <c r="AF20" s="136">
        <f>IFERROR(LARGE(AN$17:AN$66,4),"")</f>
        <v>2</v>
      </c>
      <c r="AH20" s="65" t="str" cm="1">
        <f t="array" ref="AH20">IF(AG20="","",SUMPRODUCT(((($D$4="")+($D$4&lt;&gt;"")*ISNUMBER(SEARCH($D$4,DB!$G$2:$G$2576)))*(($D$3&lt;&gt;"YES")+($D$3="YES")*(DB!$E$2:$E$2576="YES"))*(($F$4="전체")+($F$4&lt;&gt;"전체")*(DB!$H$2:$H$2576=$F$4)))*(DB!$B$2:$B$2576=AG20)*1))</f>
        <v/>
      </c>
      <c r="AI20" s="65" t="str" cm="1">
        <f t="array" ref="AI20">IFERROR(INDEX(DB!$C$2:$C$2576,_xlfn.AGGREGATE(15,6,ROW(DB!$C$2:$C$2576)-1/((($D$4="")+($D$4&lt;&gt;"")*ISNUMBER(SEARCH($D$4,DB!$G$2:$G$2576)))*(($D$3&lt;&gt;"YES")+($D$3="YES")*(DB!$E$2:$E$2576="YES"))*(($D$5="")+($D$5&lt;&gt;"")*(DB!$B$2:$B$2576=$D$5))*(($D$6="")+($D$6&lt;&gt;"")*(DB!$C$2:$C$2576=$D$6))*(($D$7="")+($D$7&lt;&gt;"")*(DB!$D$2:$D$2576=$D$7))*(($F$4="전체")+($F$4&lt;&gt;"전체")*(DB!$H$2:$H$2576=$F$4))*(COUNTIF(AI$17:AI19,DB!$C$2:$C$2576)=0)),1)),"")</f>
        <v>2.4 콘크리트 작업</v>
      </c>
      <c r="AJ20" s="65" cm="1">
        <f t="array" ref="AJ20">IF(AI20="","",SUMPRODUCT(((($D$4="")+($D$4&lt;&gt;"")*ISNUMBER(SEARCH($D$4,DB!$G$2:$G$2576)))*(($D$3&lt;&gt;"YES")+($D$3="YES")*(DB!$E$2:$E$2576="YES"))*(($D$5="")+($D$5&lt;&gt;"")*(DB!$B$2:$B$2576=$D$5))*(($D$6="")+($D$6&lt;&gt;"")*(DB!$C$2:$C$2576=$D$6))*(($D$7="")+($D$7&lt;&gt;"")*(DB!$D$2:$D$2576=$D$7))*(($F$4="전체")+($F$4&lt;&gt;"전체")*(DB!$H$2:$H$2576=$F$4)))*(DB!$C$2:$C$2576=AI20)*1))</f>
        <v>7</v>
      </c>
      <c r="AK20" s="65" t="str" cm="1">
        <f t="array" ref="AK20">IFERROR(INDEX(DB!$D$2:$D$2576,_xlfn.AGGREGATE(15,6,ROW(DB!$D$2:$D$2576)-1/((($D$4="")+($D$4&lt;&gt;"")*ISNUMBER(SEARCH($D$4,DB!$G$2:$G$2576)))*(($D$3&lt;&gt;"YES")+($D$3="YES")*(DB!$E$2:$E$2576="YES"))*(($F$4="전체")+($F$4&lt;&gt;"전체")*(DB!$H$2:$H$2576=$F$4))*(COUNTIF(AK$16:AK19,DB!$D$2:$D$2576)=0)),4)),"")</f>
        <v>3.1.1 철골 부재반입 및 운반</v>
      </c>
      <c r="AL20" s="65" cm="1">
        <f t="array" ref="AL20">IF(AK20="","",SUMPRODUCT(((($D$4="")+($D$4&lt;&gt;"")*ISNUMBER(SEARCH($D$4,DB!$G$2:$G$2576)))*(($D$3&lt;&gt;"YES")+($D$3="YES")*(DB!$E$2:$E$2576="YES"))*(($F$4="전체")+($F$4&lt;&gt;"전체")*(DB!$H$2:$H$2576=$F$4)))*(DB!$D$2:$D$2576=AK20)*1))</f>
        <v>5</v>
      </c>
      <c r="AM20" s="65" t="str" cm="1">
        <f t="array" ref="AM20">IFERROR(INDEX(DB!$O$2:$O$2576,_xlfn.AGGREGATE(15,6,ROW(DB!$O$2:$O$2576)-1/((($D$4="")+($D$4&lt;&gt;"")*ISNUMBER(SEARCH($D$4,DB!$G$2:$G$2576)))*(($D$3&lt;&gt;"YES")+($D$3="YES")*(DB!$E$2:$E$2576="YES"))*(($D$5="")+($D$5&lt;&gt;"")*(DB!$B$2:$B$2576=$D$5))*(($D$6="")+($D$6&lt;&gt;"")*(DB!$C$2:$C$2576=$D$6))*(($D$7="")+($D$7&lt;&gt;"")*(DB!$D$2:$D$2576=$D$7))*(($F$4="전체")+($F$4&lt;&gt;"전체")*(DB!$H$2:$H$2576=$F$4))*(COUNTIF(AM$17:AM19,DB!$O$2:$O$2576)=0)),1)),"")</f>
        <v>무너짐</v>
      </c>
      <c r="AN20" s="65" cm="1">
        <f t="array" ref="AN20">IF(AM20="","",SUMPRODUCT(((($D$4="")+($D$4&lt;&gt;"")*ISNUMBER(SEARCH($D$4,DB!$G$2:$G$2576)))*(($D$3&lt;&gt;"YES")+($D$3="YES")*(DB!$E$2:$E$2576="YES"))*(($D$5="")+($D$5&lt;&gt;"")*(DB!$B$2:$B$2576=$D$5))*(($D$6="")+($D$6&lt;&gt;"")*(DB!$C$2:$C$2576=$D$6))*(($D$7="")+($D$7&lt;&gt;"")*(DB!$D$2:$D$2576=$D$7))*(($F$4="전체")+($F$4&lt;&gt;"전체")*(DB!$H$2:$H$2576=$F$4)))*(DB!$O$2:$O$2576=AM20)*1))</f>
        <v>7</v>
      </c>
      <c r="AY20" t="s">
        <v>914</v>
      </c>
      <c r="AZ20">
        <v>3</v>
      </c>
      <c r="BA20">
        <v>118</v>
      </c>
      <c r="BB20" s="11">
        <v>4.584304584304584E-2</v>
      </c>
    </row>
    <row r="21" spans="1:54" ht="90" customHeight="1">
      <c r="A21" s="79"/>
      <c r="B21" s="73">
        <f t="shared" si="0"/>
        <v>5</v>
      </c>
      <c r="C21" s="74"/>
      <c r="D21" s="96" t="str" cm="1">
        <f t="array" ref="D21">IFERROR(INDEX(DB!B$2:B$2576,X21),"")</f>
        <v>12. 공통공사</v>
      </c>
      <c r="E21" s="107"/>
      <c r="F21" s="97" t="str" cm="1">
        <f t="array" ref="F21">IFERROR(INDEX(DB!C$2:C$2576,X21),"")</f>
        <v>12.1 철거, 해체</v>
      </c>
      <c r="G21" s="108"/>
      <c r="H21" s="98" t="str" cm="1">
        <f t="array" ref="H21">IFERROR(INDEX(DB!D$2:D$2576,X21),"")</f>
        <v>12.1.1 철거 및 해체</v>
      </c>
      <c r="I21" s="109"/>
      <c r="J21" s="99" t="str" cm="1">
        <f t="array" ref="J21">IFERROR(INDEX(DB!O$2:O$2576,X21),"")</f>
        <v>떨어짐</v>
      </c>
      <c r="K21" s="110"/>
      <c r="L21" s="75" t="str" cm="1">
        <f t="array" ref="L21">IFERROR(INDEX(DB!P$2:P$2576,X21),"")</f>
        <v>2019년 11월경 OO공장 철거공사 현장에서 재해자가 바닥에 놓여진 겐트리크레인의 해체 및 반출을 위해 거더 상부의 핸드레일 절단작업을 하던 중 3m 아래로 추락하여 사망</v>
      </c>
      <c r="M21" s="76" t="str" cm="1">
        <f t="array" ref="M21">IFERROR(INDEX(DB!Q$2:Q$2576,X21),"")</f>
        <v>크레인으로 인양한 작업대에서 외장패널을 설치하던 중 작업대가 흔들려 몸의 균형을 잃고 바닥으로 추락</v>
      </c>
      <c r="N21" s="77"/>
      <c r="O21" s="78" t="str" cm="1">
        <f t="array" ref="O21">IFERROR(INDEX(DB!R$2:R$2576,X21),"")</f>
        <v>▶ 고소작업 시 양중기를 이용한 불안정한 작업방법을 대체하여 고소작업대 등을  배치 후 작업 진행
▶ 고소작업 시 근로자에게 안전대를 지급하고 착용 관리감독</v>
      </c>
      <c r="P21" s="101"/>
      <c r="Q21" s="102"/>
      <c r="R21" s="103"/>
      <c r="S21" s="43"/>
      <c r="T21" s="66" cm="1">
        <f t="array" ref="T21">IFERROR(_xlfn.AGGREGATE(15,6,ROW(DB!A$2:A$2576)/(((($D$3&lt;&gt;"YES")+($D$3="YES")*(DB!E$2:E$2576="YES"))*(($D$4="")+($D$4&lt;&gt;"")*ISNUMBER(SEARCH($D$4,DB!G$2:G$2576)))*(($D$5="")+($D$5&lt;&gt;"")*(DB!B$2:B$2576=$D$5))*(($D$6="")+($D$6&lt;&gt;"")*(DB!C$2:C$2576=$D$6))*(($D$7="")+($D$7&lt;&gt;"")*(DB!D$2:D$2576=$D$7))*(($F$4="전체")+($F$4&lt;&gt;"전체")*(DB!H$2:H$2576=$F$4)))),ROW()-16)-1,"")</f>
        <v>703</v>
      </c>
      <c r="U21" s="104" t="str" cm="1">
        <f t="array" ref="U21">IFERROR(INDEX(DB!B$2:B$2576,T21),"")</f>
        <v>12. 공통공사</v>
      </c>
      <c r="V21" s="105" t="str" cm="1">
        <f t="array" ref="V21">IFERROR(INDEX(DB!O$2:O$2576,T21),"")</f>
        <v>떨어짐</v>
      </c>
      <c r="W21" s="106">
        <f t="shared" si="1"/>
        <v>8287.0049999999992</v>
      </c>
      <c r="X21" s="149">
        <f t="shared" si="2"/>
        <v>703</v>
      </c>
      <c r="AB21" s="138" t="str" cm="1">
        <f t="array" ref="AB21">IFERROR(INDEX(AI$17:AI$66,_xlfn.AGGREGATE(15,6,ROW(AI$17:AI$66)-ROW(AI$17)+1/(AJ$17:AJ$66=LARGE(AJ$17:AJ$66,5)),COUNTIF(AC$17:AC20,LARGE(AJ$17:AJ$66,5))+1)),"")</f>
        <v>4.5 금속 및 잡철물 작업</v>
      </c>
      <c r="AC21" s="131">
        <f>IFERROR(LARGE(AJ$17:AJ$66,5),"")</f>
        <v>6</v>
      </c>
      <c r="AE21" s="130" t="str" cm="1">
        <f t="array" ref="AE21">IFERROR(INDEX(AM$17:AM$66,_xlfn.AGGREGATE(15,6,ROW(AM$17:AM$66)-ROW(AM$17)+1/(AN$17:AN$66=LARGE(AN$17:AN$66,5)),COUNTIF(AF$17:AF20,LARGE(AN$17:AN$66,5))+1)),"")</f>
        <v>맞음</v>
      </c>
      <c r="AF21" s="136">
        <f>IFERROR(LARGE(AN$17:AN$66,5),"")</f>
        <v>1</v>
      </c>
      <c r="AH21" s="65" t="str" cm="1">
        <f t="array" ref="AH21">IF(AG21="","",SUMPRODUCT(((($D$4="")+($D$4&lt;&gt;"")*ISNUMBER(SEARCH($D$4,DB!$G$2:$G$2576)))*(($D$3&lt;&gt;"YES")+($D$3="YES")*(DB!$E$2:$E$2576="YES"))*(($F$4="전체")+($F$4&lt;&gt;"전체")*(DB!$H$2:$H$2576=$F$4)))*(DB!$B$2:$B$2576=AG21)*1))</f>
        <v/>
      </c>
      <c r="AI21" s="65" t="str" cm="1">
        <f t="array" ref="AI21">IFERROR(INDEX(DB!$C$2:$C$2576,_xlfn.AGGREGATE(15,6,ROW(DB!$C$2:$C$2576)-1/((($D$4="")+($D$4&lt;&gt;"")*ISNUMBER(SEARCH($D$4,DB!$G$2:$G$2576)))*(($D$3&lt;&gt;"YES")+($D$3="YES")*(DB!$E$2:$E$2576="YES"))*(($D$5="")+($D$5&lt;&gt;"")*(DB!$B$2:$B$2576=$D$5))*(($D$6="")+($D$6&lt;&gt;"")*(DB!$C$2:$C$2576=$D$6))*(($D$7="")+($D$7&lt;&gt;"")*(DB!$D$2:$D$2576=$D$7))*(($F$4="전체")+($F$4&lt;&gt;"전체")*(DB!$H$2:$H$2576=$F$4))*(COUNTIF(AI$17:AI20,DB!$C$2:$C$2576)=0)),1)),"")</f>
        <v>3.1 철골 작업</v>
      </c>
      <c r="AJ21" s="65" cm="1">
        <f t="array" ref="AJ21">IF(AI21="","",SUMPRODUCT(((($D$4="")+($D$4&lt;&gt;"")*ISNUMBER(SEARCH($D$4,DB!$G$2:$G$2576)))*(($D$3&lt;&gt;"YES")+($D$3="YES")*(DB!$E$2:$E$2576="YES"))*(($D$5="")+($D$5&lt;&gt;"")*(DB!$B$2:$B$2576=$D$5))*(($D$6="")+($D$6&lt;&gt;"")*(DB!$C$2:$C$2576=$D$6))*(($D$7="")+($D$7&lt;&gt;"")*(DB!$D$2:$D$2576=$D$7))*(($F$4="전체")+($F$4&lt;&gt;"전체")*(DB!$H$2:$H$2576=$F$4)))*(DB!$C$2:$C$2576=AI21)*1))</f>
        <v>78</v>
      </c>
      <c r="AK21" s="65" t="str" cm="1">
        <f t="array" ref="AK21">IFERROR(INDEX(DB!$D$2:$D$2576,_xlfn.AGGREGATE(15,6,ROW(DB!$D$2:$D$2576)-1/((($D$4="")+($D$4&lt;&gt;"")*ISNUMBER(SEARCH($D$4,DB!$G$2:$G$2576)))*(($D$3&lt;&gt;"YES")+($D$3="YES")*(DB!$E$2:$E$2576="YES"))*(($F$4="전체")+($F$4&lt;&gt;"전체")*(DB!$H$2:$H$2576=$F$4))*(COUNTIF(AK$16:AK20,DB!$D$2:$D$2576)=0)),5)),"")</f>
        <v>3.1.2 철골 부재 인양, 조립</v>
      </c>
      <c r="AL21" s="65" cm="1">
        <f t="array" ref="AL21">IF(AK21="","",SUMPRODUCT(((($D$4="")+($D$4&lt;&gt;"")*ISNUMBER(SEARCH($D$4,DB!$G$2:$G$2576)))*(($D$3&lt;&gt;"YES")+($D$3="YES")*(DB!$E$2:$E$2576="YES"))*(($F$4="전체")+($F$4&lt;&gt;"전체")*(DB!$H$2:$H$2576=$F$4)))*(DB!$D$2:$D$2576=AK21)*1))</f>
        <v>62</v>
      </c>
      <c r="AM21" s="65" t="str" cm="1">
        <f t="array" ref="AM21">IFERROR(INDEX(DB!$O$2:$O$2576,_xlfn.AGGREGATE(15,6,ROW(DB!$O$2:$O$2576)-1/((($D$4="")+($D$4&lt;&gt;"")*ISNUMBER(SEARCH($D$4,DB!$G$2:$G$2576)))*(($D$3&lt;&gt;"YES")+($D$3="YES")*(DB!$E$2:$E$2576="YES"))*(($D$5="")+($D$5&lt;&gt;"")*(DB!$B$2:$B$2576=$D$5))*(($D$6="")+($D$6&lt;&gt;"")*(DB!$C$2:$C$2576=$D$6))*(($D$7="")+($D$7&lt;&gt;"")*(DB!$D$2:$D$2576=$D$7))*(($F$4="전체")+($F$4&lt;&gt;"전체")*(DB!$H$2:$H$2576=$F$4))*(COUNTIF(AM$17:AM20,DB!$O$2:$O$2576)=0)),1)),"")</f>
        <v>끼임</v>
      </c>
      <c r="AN21" s="65" cm="1">
        <f t="array" ref="AN21">IF(AM21="","",SUMPRODUCT(((($D$4="")+($D$4&lt;&gt;"")*ISNUMBER(SEARCH($D$4,DB!$G$2:$G$2576)))*(($D$3&lt;&gt;"YES")+($D$3="YES")*(DB!$E$2:$E$2576="YES"))*(($D$5="")+($D$5&lt;&gt;"")*(DB!$B$2:$B$2576=$D$5))*(($D$6="")+($D$6&lt;&gt;"")*(DB!$C$2:$C$2576=$D$6))*(($D$7="")+($D$7&lt;&gt;"")*(DB!$D$2:$D$2576=$D$7))*(($F$4="전체")+($F$4&lt;&gt;"전체")*(DB!$H$2:$H$2576=$F$4)))*(DB!$O$2:$O$2576=AM21)*1))</f>
        <v>2</v>
      </c>
      <c r="AY21" t="s">
        <v>1017</v>
      </c>
      <c r="AZ21">
        <v>4</v>
      </c>
      <c r="BA21">
        <v>116</v>
      </c>
      <c r="BB21" s="11">
        <v>4.5066045066045064E-2</v>
      </c>
    </row>
    <row r="22" spans="1:54" ht="90" customHeight="1">
      <c r="A22" s="26"/>
      <c r="B22" s="73">
        <f t="shared" si="0"/>
        <v>6</v>
      </c>
      <c r="C22" s="74"/>
      <c r="D22" s="96" t="str" cm="1">
        <f t="array" ref="D22">IFERROR(INDEX(DB!B$2:B$2576,X22),"")</f>
        <v>12. 공통공사</v>
      </c>
      <c r="E22" s="107"/>
      <c r="F22" s="97" t="str" cm="1">
        <f t="array" ref="F22">IFERROR(INDEX(DB!C$2:C$2576,X22),"")</f>
        <v>12.1 철거, 해체</v>
      </c>
      <c r="G22" s="108"/>
      <c r="H22" s="98" t="str" cm="1">
        <f t="array" ref="H22">IFERROR(INDEX(DB!D$2:D$2576,X22),"")</f>
        <v>12.1.1 철거 및 해체</v>
      </c>
      <c r="I22" s="109"/>
      <c r="J22" s="99" t="str" cm="1">
        <f t="array" ref="J22">IFERROR(INDEX(DB!O$2:O$2576,X22),"")</f>
        <v>떨어짐</v>
      </c>
      <c r="K22" s="110"/>
      <c r="L22" s="75" t="str" cm="1">
        <f t="array" ref="L22">IFERROR(INDEX(DB!P$2:P$2576,X22),"")</f>
        <v>2020년 8월경 OO대수선공사 현장에서 재해자가 이동식비계 상부 작업발판에서 중도리 중도리(퍼린, Purlin) : 지붕 트러스와 트러스를 연결하는 부재로 지붕재의 지지대 역할을 함. (C형강) 용단작업을 하던 중 절단된 중도리가 휘어져 이동식비계에 부딪히는 순간 충격으로 몸의 균형을 잃고 바닥(콘크리트)으로 추락(H≒6.0m)하여 사망</v>
      </c>
      <c r="M22" s="76" t="str" cm="1">
        <f t="array" ref="M22">IFERROR(INDEX(DB!Q$2:Q$2576,X22),"")</f>
        <v>이동식비계 상부에서 퍼린용 C형강 용단작업을 하던 중 절단된 철골부재가 휘어져 이동식 비계에 부딪히는 순간 충격으로 몸의 균형을 잃고 바닥으로 추락</v>
      </c>
      <c r="N22" s="77"/>
      <c r="O22" s="78" t="str" cm="1">
        <f t="array" ref="O22">IFERROR(INDEX(DB!R$2:R$2576,X22),"")</f>
        <v>▶ 이동식비계 아웃트리거 설치, 안전난간 설치 등의 전도방지조치 실시
▶ 근로자 개인보호구, 안전대 체결여부 점검 및 관리감독</v>
      </c>
      <c r="P22" s="101"/>
      <c r="Q22" s="102"/>
      <c r="R22" s="103"/>
      <c r="S22" s="43"/>
      <c r="T22" s="66" cm="1">
        <f t="array" ref="T22">IFERROR(_xlfn.AGGREGATE(15,6,ROW(DB!A$2:A$2576)/(((($D$3&lt;&gt;"YES")+($D$3="YES")*(DB!E$2:E$2576="YES"))*(($D$4="")+($D$4&lt;&gt;"")*ISNUMBER(SEARCH($D$4,DB!G$2:G$2576)))*(($D$5="")+($D$5&lt;&gt;"")*(DB!B$2:B$2576=$D$5))*(($D$6="")+($D$6&lt;&gt;"")*(DB!C$2:C$2576=$D$6))*(($D$7="")+($D$7&lt;&gt;"")*(DB!D$2:D$2576=$D$7))*(($F$4="전체")+($F$4&lt;&gt;"전체")*(DB!H$2:H$2576=$F$4)))),ROW()-16)-1,"")</f>
        <v>706</v>
      </c>
      <c r="U22" s="104" t="str" cm="1">
        <f t="array" ref="U22">IFERROR(INDEX(DB!B$2:B$2576,T22),"")</f>
        <v>12. 공통공사</v>
      </c>
      <c r="V22" s="105" t="str" cm="1">
        <f t="array" ref="V22">IFERROR(INDEX(DB!O$2:O$2576,T22),"")</f>
        <v>떨어짐</v>
      </c>
      <c r="W22" s="106">
        <f t="shared" si="1"/>
        <v>8287.0059999999994</v>
      </c>
      <c r="X22" s="149">
        <f t="shared" si="2"/>
        <v>706</v>
      </c>
      <c r="AB22" s="138" t="str" cm="1">
        <f t="array" ref="AB22">IFERROR(INDEX(AI$17:AI$66,_xlfn.AGGREGATE(15,6,ROW(AI$17:AI$66)-ROW(AI$17)+1/(AJ$17:AJ$66=LARGE(AJ$17:AJ$66,6)),COUNTIF(AC$17:AC21,LARGE(AJ$17:AJ$66,6))+1)),"")</f>
        <v>12.7 기타(작업환경, 청소 등)</v>
      </c>
      <c r="AC22" s="131">
        <f>IFERROR(LARGE(AJ$17:AJ$66,6),"")</f>
        <v>2</v>
      </c>
      <c r="AE22" s="130" t="str" cm="1">
        <f t="array" ref="AE22">IFERROR(INDEX(AM$17:AM$66,_xlfn.AGGREGATE(15,6,ROW(AM$17:AM$66)-ROW(AM$17)+1/(AN$17:AN$66=LARGE(AN$17:AN$66,6)),COUNTIF(AF$17:AF21,LARGE(AN$17:AN$66,6))+1)),"")</f>
        <v>넘어짐</v>
      </c>
      <c r="AF22" s="136">
        <f>IFERROR(LARGE(AN$17:AN$66,6),"")</f>
        <v>1</v>
      </c>
      <c r="AH22" s="65" t="str" cm="1">
        <f t="array" ref="AH22">IF(AG22="","",SUMPRODUCT(((($D$4="")+($D$4&lt;&gt;"")*ISNUMBER(SEARCH($D$4,DB!$G$2:$G$2576)))*(($D$3&lt;&gt;"YES")+($D$3="YES")*(DB!$E$2:$E$2576="YES"))*(($F$4="전체")+($F$4&lt;&gt;"전체")*(DB!$H$2:$H$2576=$F$4)))*(DB!$B$2:$B$2576=AG22)*1))</f>
        <v/>
      </c>
      <c r="AI22" s="65" t="str" cm="1">
        <f t="array" ref="AI22">IFERROR(INDEX(DB!$C$2:$C$2576,_xlfn.AGGREGATE(15,6,ROW(DB!$C$2:$C$2576)-1/((($D$4="")+($D$4&lt;&gt;"")*ISNUMBER(SEARCH($D$4,DB!$G$2:$G$2576)))*(($D$3&lt;&gt;"YES")+($D$3="YES")*(DB!$E$2:$E$2576="YES"))*(($D$5="")+($D$5&lt;&gt;"")*(DB!$B$2:$B$2576=$D$5))*(($D$6="")+($D$6&lt;&gt;"")*(DB!$C$2:$C$2576=$D$6))*(($D$7="")+($D$7&lt;&gt;"")*(DB!$D$2:$D$2576=$D$7))*(($F$4="전체")+($F$4&lt;&gt;"전체")*(DB!$H$2:$H$2576=$F$4))*(COUNTIF(AI$17:AI21,DB!$C$2:$C$2576)=0)),1)),"")</f>
        <v>4.4 도장작업</v>
      </c>
      <c r="AJ22" s="65" cm="1">
        <f t="array" ref="AJ22">IF(AI22="","",SUMPRODUCT(((($D$4="")+($D$4&lt;&gt;"")*ISNUMBER(SEARCH($D$4,DB!$G$2:$G$2576)))*(($D$3&lt;&gt;"YES")+($D$3="YES")*(DB!$E$2:$E$2576="YES"))*(($D$5="")+($D$5&lt;&gt;"")*(DB!$B$2:$B$2576=$D$5))*(($D$6="")+($D$6&lt;&gt;"")*(DB!$C$2:$C$2576=$D$6))*(($D$7="")+($D$7&lt;&gt;"")*(DB!$D$2:$D$2576=$D$7))*(($F$4="전체")+($F$4&lt;&gt;"전체")*(DB!$H$2:$H$2576=$F$4)))*(DB!$C$2:$C$2576=AI22)*1))</f>
        <v>2</v>
      </c>
      <c r="AK22" s="65" t="str" cm="1">
        <f t="array" ref="AK22">IFERROR(INDEX(DB!$D$2:$D$2576,_xlfn.AGGREGATE(15,6,ROW(DB!$D$2:$D$2576)-1/((($D$4="")+($D$4&lt;&gt;"")*ISNUMBER(SEARCH($D$4,DB!$G$2:$G$2576)))*(($D$3&lt;&gt;"YES")+($D$3="YES")*(DB!$E$2:$E$2576="YES"))*(($F$4="전체")+($F$4&lt;&gt;"전체")*(DB!$H$2:$H$2576=$F$4))*(COUNTIF(AK$16:AK21,DB!$D$2:$D$2576)=0)),6)),"")</f>
        <v>3.1.3 철골 데크 플레이트 설치</v>
      </c>
      <c r="AL22" s="65" cm="1">
        <f t="array" ref="AL22">IF(AK22="","",SUMPRODUCT(((($D$4="")+($D$4&lt;&gt;"")*ISNUMBER(SEARCH($D$4,DB!$G$2:$G$2576)))*(($D$3&lt;&gt;"YES")+($D$3="YES")*(DB!$E$2:$E$2576="YES"))*(($F$4="전체")+($F$4&lt;&gt;"전체")*(DB!$H$2:$H$2576=$F$4)))*(DB!$D$2:$D$2576=AK22)*1))</f>
        <v>11</v>
      </c>
      <c r="AM22" s="65" t="str" cm="1">
        <f t="array" ref="AM22">IFERROR(INDEX(DB!$O$2:$O$2576,_xlfn.AGGREGATE(15,6,ROW(DB!$O$2:$O$2576)-1/((($D$4="")+($D$4&lt;&gt;"")*ISNUMBER(SEARCH($D$4,DB!$G$2:$G$2576)))*(($D$3&lt;&gt;"YES")+($D$3="YES")*(DB!$E$2:$E$2576="YES"))*(($D$5="")+($D$5&lt;&gt;"")*(DB!$B$2:$B$2576=$D$5))*(($D$6="")+($D$6&lt;&gt;"")*(DB!$C$2:$C$2576=$D$6))*(($D$7="")+($D$7&lt;&gt;"")*(DB!$D$2:$D$2576=$D$7))*(($F$4="전체")+($F$4&lt;&gt;"전체")*(DB!$H$2:$H$2576=$F$4))*(COUNTIF(AM$17:AM21,DB!$O$2:$O$2576)=0)),1)),"")</f>
        <v>넘어짐</v>
      </c>
      <c r="AN22" s="65" cm="1">
        <f t="array" ref="AN22">IF(AM22="","",SUMPRODUCT(((($D$4="")+($D$4&lt;&gt;"")*ISNUMBER(SEARCH($D$4,DB!$G$2:$G$2576)))*(($D$3&lt;&gt;"YES")+($D$3="YES")*(DB!$E$2:$E$2576="YES"))*(($D$5="")+($D$5&lt;&gt;"")*(DB!$B$2:$B$2576=$D$5))*(($D$6="")+($D$6&lt;&gt;"")*(DB!$C$2:$C$2576=$D$6))*(($D$7="")+($D$7&lt;&gt;"")*(DB!$D$2:$D$2576=$D$7))*(($F$4="전체")+($F$4&lt;&gt;"전체")*(DB!$H$2:$H$2576=$F$4)))*(DB!$O$2:$O$2576=AM22)*1))</f>
        <v>1</v>
      </c>
      <c r="AY22" t="s">
        <v>266</v>
      </c>
      <c r="AZ22">
        <v>5</v>
      </c>
      <c r="BA22">
        <v>114</v>
      </c>
      <c r="BB22" s="11">
        <v>4.4289044289044288E-2</v>
      </c>
    </row>
    <row r="23" spans="1:54" ht="90" customHeight="1">
      <c r="A23" s="79"/>
      <c r="B23" s="73">
        <f t="shared" si="0"/>
        <v>7</v>
      </c>
      <c r="C23" s="74"/>
      <c r="D23" s="96" t="str" cm="1">
        <f t="array" ref="D23">IFERROR(INDEX(DB!B$2:B$2576,X23),"")</f>
        <v>12. 공통공사</v>
      </c>
      <c r="E23" s="107"/>
      <c r="F23" s="97" t="str" cm="1">
        <f t="array" ref="F23">IFERROR(INDEX(DB!C$2:C$2576,X23),"")</f>
        <v>12.1 철거, 해체</v>
      </c>
      <c r="G23" s="108"/>
      <c r="H23" s="98" t="str" cm="1">
        <f t="array" ref="H23">IFERROR(INDEX(DB!D$2:D$2576,X23),"")</f>
        <v>12.1.1 철거 및 해체</v>
      </c>
      <c r="I23" s="109"/>
      <c r="J23" s="99" t="str" cm="1">
        <f t="array" ref="J23">IFERROR(INDEX(DB!O$2:O$2576,X23),"")</f>
        <v>떨어짐</v>
      </c>
      <c r="K23" s="110"/>
      <c r="L23" s="75" t="str" cm="1">
        <f t="array" ref="L23">IFERROR(INDEX(DB!P$2:P$2576,X23),"")</f>
        <v>2020년 8월경 OO철거공사 현장에서 재해자가 공장 지붕 철골 위에 올라가 외부 벽체 샌드위치 패널 철거 작업을 하던 중 몸의 중심을 잃고 지상 콘크리트 바닥(h≒7.0m)으로 추락하여 사망</v>
      </c>
      <c r="M23" s="76" t="str" cm="1">
        <f t="array" ref="M23">IFERROR(INDEX(DB!Q$2:Q$2576,X23),"")</f>
        <v>철골빔 상부에서 안전대를 미착용하던 재해자가 이동하던 중 몸의 중심을 잃고 바닥으로 추락</v>
      </c>
      <c r="N23" s="77"/>
      <c r="O23" s="78" t="str" cm="1">
        <f t="array" ref="O23">IFERROR(INDEX(DB!R$2:R$2576,X23),"")</f>
        <v>▶ 안전대 부착설비,  추락방지망 등의 안전방호조치 실시
▶ 근로자 개인보호구, 안전대 체결여부 점검 및 관리감독</v>
      </c>
      <c r="P23" s="101"/>
      <c r="Q23" s="102"/>
      <c r="R23" s="103"/>
      <c r="S23" s="43"/>
      <c r="T23" s="66" cm="1">
        <f t="array" ref="T23">IFERROR(_xlfn.AGGREGATE(15,6,ROW(DB!A$2:A$2576)/(((($D$3&lt;&gt;"YES")+($D$3="YES")*(DB!E$2:E$2576="YES"))*(($D$4="")+($D$4&lt;&gt;"")*ISNUMBER(SEARCH($D$4,DB!G$2:G$2576)))*(($D$5="")+($D$5&lt;&gt;"")*(DB!B$2:B$2576=$D$5))*(($D$6="")+($D$6&lt;&gt;"")*(DB!C$2:C$2576=$D$6))*(($D$7="")+($D$7&lt;&gt;"")*(DB!D$2:D$2576=$D$7))*(($F$4="전체")+($F$4&lt;&gt;"전체")*(DB!H$2:H$2576=$F$4)))),ROW()-16)-1,"")</f>
        <v>707</v>
      </c>
      <c r="U23" s="104" t="str" cm="1">
        <f t="array" ref="U23">IFERROR(INDEX(DB!B$2:B$2576,T23),"")</f>
        <v>12. 공통공사</v>
      </c>
      <c r="V23" s="105" t="str" cm="1">
        <f t="array" ref="V23">IFERROR(INDEX(DB!O$2:O$2576,T23),"")</f>
        <v>떨어짐</v>
      </c>
      <c r="W23" s="106">
        <f t="shared" si="1"/>
        <v>8287.0069999999996</v>
      </c>
      <c r="X23" s="149">
        <f t="shared" si="2"/>
        <v>707</v>
      </c>
      <c r="AB23" s="138" t="str" cm="1">
        <f t="array" ref="AB23">IFERROR(INDEX(AI$17:AI$66,_xlfn.AGGREGATE(15,6,ROW(AI$17:AI$66)-ROW(AI$17)+1/(AJ$17:AJ$66=LARGE(AJ$17:AJ$66,7)),COUNTIF(AC$17:AC22,LARGE(AJ$17:AJ$66,7))+1)),"")</f>
        <v>4.4 도장작업</v>
      </c>
      <c r="AC23" s="131">
        <f>IFERROR(LARGE(AJ$17:AJ$66,7),"")</f>
        <v>2</v>
      </c>
      <c r="AE23" s="130" t="str" cm="1">
        <f t="array" ref="AE23">IFERROR(INDEX(AM$17:AM$66,_xlfn.AGGREGATE(15,6,ROW(AM$17:AM$66)-ROW(AM$17)+1/(AN$17:AN$66=LARGE(AN$17:AN$66,7)),COUNTIF(AF$17:AF22,LARGE(AN$17:AN$66,7))+1)),"")</f>
        <v>맞음(낙하물체)</v>
      </c>
      <c r="AF23" s="136">
        <f>IFERROR(LARGE(AN$17:AN$66,7),"")</f>
        <v>1</v>
      </c>
      <c r="AH23" s="65" t="str" cm="1">
        <f t="array" ref="AH23">IF(AG23="","",SUMPRODUCT(((($D$4="")+($D$4&lt;&gt;"")*ISNUMBER(SEARCH($D$4,DB!$G$2:$G$2576)))*(($D$3&lt;&gt;"YES")+($D$3="YES")*(DB!$E$2:$E$2576="YES"))*(($F$4="전체")+($F$4&lt;&gt;"전체")*(DB!$H$2:$H$2576=$F$4)))*(DB!$B$2:$B$2576=AG23)*1))</f>
        <v/>
      </c>
      <c r="AI23" s="65" t="str" cm="1">
        <f t="array" ref="AI23">IFERROR(INDEX(DB!$C$2:$C$2576,_xlfn.AGGREGATE(15,6,ROW(DB!$C$2:$C$2576)-1/((($D$4="")+($D$4&lt;&gt;"")*ISNUMBER(SEARCH($D$4,DB!$G$2:$G$2576)))*(($D$3&lt;&gt;"YES")+($D$3="YES")*(DB!$E$2:$E$2576="YES"))*(($D$5="")+($D$5&lt;&gt;"")*(DB!$B$2:$B$2576=$D$5))*(($D$6="")+($D$6&lt;&gt;"")*(DB!$C$2:$C$2576=$D$6))*(($D$7="")+($D$7&lt;&gt;"")*(DB!$D$2:$D$2576=$D$7))*(($F$4="전체")+($F$4&lt;&gt;"전체")*(DB!$H$2:$H$2576=$F$4))*(COUNTIF(AI$17:AI22,DB!$C$2:$C$2576)=0)),1)),"")</f>
        <v>4.5 금속 및 잡철물 작업</v>
      </c>
      <c r="AJ23" s="65" cm="1">
        <f t="array" ref="AJ23">IF(AI23="","",SUMPRODUCT(((($D$4="")+($D$4&lt;&gt;"")*ISNUMBER(SEARCH($D$4,DB!$G$2:$G$2576)))*(($D$3&lt;&gt;"YES")+($D$3="YES")*(DB!$E$2:$E$2576="YES"))*(($D$5="")+($D$5&lt;&gt;"")*(DB!$B$2:$B$2576=$D$5))*(($D$6="")+($D$6&lt;&gt;"")*(DB!$C$2:$C$2576=$D$6))*(($D$7="")+($D$7&lt;&gt;"")*(DB!$D$2:$D$2576=$D$7))*(($F$4="전체")+($F$4&lt;&gt;"전체")*(DB!$H$2:$H$2576=$F$4)))*(DB!$C$2:$C$2576=AI23)*1))</f>
        <v>6</v>
      </c>
      <c r="AK23" s="65" t="str" cm="1">
        <f t="array" ref="AK23">IFERROR(INDEX(DB!$D$2:$D$2576,_xlfn.AGGREGATE(15,6,ROW(DB!$D$2:$D$2576)-1/((($D$4="")+($D$4&lt;&gt;"")*ISNUMBER(SEARCH($D$4,DB!$G$2:$G$2576)))*(($D$3&lt;&gt;"YES")+($D$3="YES")*(DB!$E$2:$E$2576="YES"))*(($F$4="전체")+($F$4&lt;&gt;"전체")*(DB!$H$2:$H$2576=$F$4))*(COUNTIF(AK$16:AK22,DB!$D$2:$D$2576)=0)),7)),"")</f>
        <v>4.5.2 금속 및 잡철물 시공</v>
      </c>
      <c r="AL23" s="65" cm="1">
        <f t="array" ref="AL23">IF(AK23="","",SUMPRODUCT(((($D$4="")+($D$4&lt;&gt;"")*ISNUMBER(SEARCH($D$4,DB!$G$2:$G$2576)))*(($D$3&lt;&gt;"YES")+($D$3="YES")*(DB!$E$2:$E$2576="YES"))*(($F$4="전체")+($F$4&lt;&gt;"전체")*(DB!$H$2:$H$2576=$F$4)))*(DB!$D$2:$D$2576=AK23)*1))</f>
        <v>6</v>
      </c>
      <c r="AM23" s="65" t="str" cm="1">
        <f t="array" ref="AM23">IFERROR(INDEX(DB!$O$2:$O$2576,_xlfn.AGGREGATE(15,6,ROW(DB!$O$2:$O$2576)-1/((($D$4="")+($D$4&lt;&gt;"")*ISNUMBER(SEARCH($D$4,DB!$G$2:$G$2576)))*(($D$3&lt;&gt;"YES")+($D$3="YES")*(DB!$E$2:$E$2576="YES"))*(($D$5="")+($D$5&lt;&gt;"")*(DB!$B$2:$B$2576=$D$5))*(($D$6="")+($D$6&lt;&gt;"")*(DB!$C$2:$C$2576=$D$6))*(($D$7="")+($D$7&lt;&gt;"")*(DB!$D$2:$D$2576=$D$7))*(($F$4="전체")+($F$4&lt;&gt;"전체")*(DB!$H$2:$H$2576=$F$4))*(COUNTIF(AM$17:AM22,DB!$O$2:$O$2576)=0)),1)),"")</f>
        <v>맞음(낙하물체)</v>
      </c>
      <c r="AN23" s="65" cm="1">
        <f t="array" ref="AN23">IF(AM23="","",SUMPRODUCT(((($D$4="")+($D$4&lt;&gt;"")*ISNUMBER(SEARCH($D$4,DB!$G$2:$G$2576)))*(($D$3&lt;&gt;"YES")+($D$3="YES")*(DB!$E$2:$E$2576="YES"))*(($D$5="")+($D$5&lt;&gt;"")*(DB!$B$2:$B$2576=$D$5))*(($D$6="")+($D$6&lt;&gt;"")*(DB!$C$2:$C$2576=$D$6))*(($D$7="")+($D$7&lt;&gt;"")*(DB!$D$2:$D$2576=$D$7))*(($F$4="전체")+($F$4&lt;&gt;"전체")*(DB!$H$2:$H$2576=$F$4)))*(DB!$O$2:$O$2576=AM23)*1))</f>
        <v>1</v>
      </c>
      <c r="AY23" t="s">
        <v>20</v>
      </c>
      <c r="AZ23">
        <v>6</v>
      </c>
      <c r="BA23">
        <v>104</v>
      </c>
      <c r="BB23" s="11">
        <v>4.0404040404040407E-2</v>
      </c>
    </row>
    <row r="24" spans="1:54" ht="90" customHeight="1">
      <c r="A24" s="26"/>
      <c r="B24" s="73">
        <f t="shared" si="0"/>
        <v>8</v>
      </c>
      <c r="C24" s="74"/>
      <c r="D24" s="96" t="str" cm="1">
        <f t="array" ref="D24">IFERROR(INDEX(DB!B$2:B$2576,X24),"")</f>
        <v>12. 공통공사</v>
      </c>
      <c r="E24" s="107"/>
      <c r="F24" s="97" t="str" cm="1">
        <f t="array" ref="F24">IFERROR(INDEX(DB!C$2:C$2576,X24),"")</f>
        <v>12.1 철거, 해체</v>
      </c>
      <c r="G24" s="108"/>
      <c r="H24" s="98" t="str" cm="1">
        <f t="array" ref="H24">IFERROR(INDEX(DB!D$2:D$2576,X24),"")</f>
        <v>12.1.1 철거 및 해체</v>
      </c>
      <c r="I24" s="109"/>
      <c r="J24" s="99" t="str" cm="1">
        <f t="array" ref="J24">IFERROR(INDEX(DB!O$2:O$2576,X24),"")</f>
        <v>떨어짐</v>
      </c>
      <c r="K24" s="110"/>
      <c r="L24" s="75" t="str" cm="1">
        <f t="array" ref="L24">IFERROR(INDEX(DB!P$2:P$2576,X24),"")</f>
        <v>2020년 11월경 OO공장 신축공사 현장에서 재해자가 잘못 설치된 외부 계단실의 철골 기둥(길이:13m, 중량:800kg)을 해체하기 위해 기둥 상부 브라켓(높이:12m, 폭:150㎜)에 올라가서 이동식크레인(25톤, 유압식) 줄걸이 작업(벨트슬링의 샤클을 체결)을 진행하던 중 철골 기둥이 넘어지면서 몸의 균형을 잃고 약 12m아래 바닥으로 추락하여 사망</v>
      </c>
      <c r="M24" s="76" t="str" cm="1">
        <f t="array" ref="M24">IFERROR(INDEX(DB!Q$2:Q$2576,X24),"")</f>
        <v>철골 기둥을 해체하기 위해 기둥 상부 브라켓에 올라가 이동식 크레인 줄걸이 작업을 진행하던 중 전도방지조치가 되어 있지 않던 철골 기둥이 넘어지면서 몸의 균형을 잃고 바닥으로 추락</v>
      </c>
      <c r="N24" s="77"/>
      <c r="O24" s="78" t="str" cm="1">
        <f t="array" ref="O24">IFERROR(INDEX(DB!R$2:R$2576,X24),"")</f>
        <v>▶ 철골 기둥 구조물의 전도 위험 예방조치 실시
▶ 비계를 조립하거나 고소작업대를 이용하는 등의 방법</v>
      </c>
      <c r="P24" s="101"/>
      <c r="Q24" s="102"/>
      <c r="R24" s="103"/>
      <c r="S24" s="43"/>
      <c r="T24" s="66" cm="1">
        <f t="array" ref="T24">IFERROR(_xlfn.AGGREGATE(15,6,ROW(DB!A$2:A$2576)/(((($D$3&lt;&gt;"YES")+($D$3="YES")*(DB!E$2:E$2576="YES"))*(($D$4="")+($D$4&lt;&gt;"")*ISNUMBER(SEARCH($D$4,DB!G$2:G$2576)))*(($D$5="")+($D$5&lt;&gt;"")*(DB!B$2:B$2576=$D$5))*(($D$6="")+($D$6&lt;&gt;"")*(DB!C$2:C$2576=$D$6))*(($D$7="")+($D$7&lt;&gt;"")*(DB!D$2:D$2576=$D$7))*(($F$4="전체")+($F$4&lt;&gt;"전체")*(DB!H$2:H$2576=$F$4)))),ROW()-16)-1,"")</f>
        <v>708</v>
      </c>
      <c r="U24" s="104" t="str" cm="1">
        <f t="array" ref="U24">IFERROR(INDEX(DB!B$2:B$2576,T24),"")</f>
        <v>12. 공통공사</v>
      </c>
      <c r="V24" s="105" t="str" cm="1">
        <f t="array" ref="V24">IFERROR(INDEX(DB!O$2:O$2576,T24),"")</f>
        <v>떨어짐</v>
      </c>
      <c r="W24" s="106">
        <f t="shared" si="1"/>
        <v>8287.0079999999998</v>
      </c>
      <c r="X24" s="149">
        <f t="shared" si="2"/>
        <v>708</v>
      </c>
      <c r="AB24" s="138" t="str" cm="1">
        <f t="array" ref="AB24">IFERROR(INDEX(AI$17:AI$66,_xlfn.AGGREGATE(15,6,ROW(AI$17:AI$66)-ROW(AI$17)+1/(AJ$17:AJ$66=LARGE(AJ$17:AJ$66,8)),COUNTIF(AC$17:AC23,LARGE(AJ$17:AJ$66,8))+1)),"")</f>
        <v>5.2 기계설비 작업</v>
      </c>
      <c r="AC24" s="131">
        <f>IFERROR(LARGE(AJ$17:AJ$66,8),"")</f>
        <v>2</v>
      </c>
      <c r="AE24" s="130" t="str" cm="1">
        <f t="array" ref="AE24">IFERROR(INDEX(AM$17:AM$66,_xlfn.AGGREGATE(15,6,ROW(AM$17:AM$66)-ROW(AM$17)+1/(AN$17:AN$66=LARGE(AN$17:AN$66,8)),COUNTIF(AF$17:AF23,LARGE(AN$17:AN$66,8))+1)),"")</f>
        <v>부딪힘 접촉</v>
      </c>
      <c r="AF24" s="136">
        <f>IFERROR(LARGE(AN$17:AN$66,8),"")</f>
        <v>1</v>
      </c>
      <c r="AH24" s="65" t="str" cm="1">
        <f t="array" ref="AH24">IF(AG24="","",SUMPRODUCT(((($D$4="")+($D$4&lt;&gt;"")*ISNUMBER(SEARCH($D$4,DB!$G$2:$G$2576)))*(($D$3&lt;&gt;"YES")+($D$3="YES")*(DB!$E$2:$E$2576="YES"))*(($F$4="전체")+($F$4&lt;&gt;"전체")*(DB!$H$2:$H$2576=$F$4)))*(DB!$B$2:$B$2576=AG24)*1))</f>
        <v/>
      </c>
      <c r="AI24" s="65" t="str" cm="1">
        <f t="array" ref="AI24">IFERROR(INDEX(DB!$C$2:$C$2576,_xlfn.AGGREGATE(15,6,ROW(DB!$C$2:$C$2576)-1/((($D$4="")+($D$4&lt;&gt;"")*ISNUMBER(SEARCH($D$4,DB!$G$2:$G$2576)))*(($D$3&lt;&gt;"YES")+($D$3="YES")*(DB!$E$2:$E$2576="YES"))*(($D$5="")+($D$5&lt;&gt;"")*(DB!$B$2:$B$2576=$D$5))*(($D$6="")+($D$6&lt;&gt;"")*(DB!$C$2:$C$2576=$D$6))*(($D$7="")+($D$7&lt;&gt;"")*(DB!$D$2:$D$2576=$D$7))*(($F$4="전체")+($F$4&lt;&gt;"전체")*(DB!$H$2:$H$2576=$F$4))*(COUNTIF(AI$17:AI23,DB!$C$2:$C$2576)=0)),1)),"")</f>
        <v>4.6 창호 및 유리 작업</v>
      </c>
      <c r="AJ24" s="65" cm="1">
        <f t="array" ref="AJ24">IF(AI24="","",SUMPRODUCT(((($D$4="")+($D$4&lt;&gt;"")*ISNUMBER(SEARCH($D$4,DB!$G$2:$G$2576)))*(($D$3&lt;&gt;"YES")+($D$3="YES")*(DB!$E$2:$E$2576="YES"))*(($D$5="")+($D$5&lt;&gt;"")*(DB!$B$2:$B$2576=$D$5))*(($D$6="")+($D$6&lt;&gt;"")*(DB!$C$2:$C$2576=$D$6))*(($D$7="")+($D$7&lt;&gt;"")*(DB!$D$2:$D$2576=$D$7))*(($F$4="전체")+($F$4&lt;&gt;"전체")*(DB!$H$2:$H$2576=$F$4)))*(DB!$C$2:$C$2576=AI24)*1))</f>
        <v>1</v>
      </c>
      <c r="AK24" s="65" t="str" cm="1">
        <f t="array" ref="AK24">IFERROR(INDEX(DB!$D$2:$D$2576,_xlfn.AGGREGATE(15,6,ROW(DB!$D$2:$D$2576)-1/((($D$4="")+($D$4&lt;&gt;"")*ISNUMBER(SEARCH($D$4,DB!$G$2:$G$2576)))*(($D$3&lt;&gt;"YES")+($D$3="YES")*(DB!$E$2:$E$2576="YES"))*(($F$4="전체")+($F$4&lt;&gt;"전체")*(DB!$H$2:$H$2576=$F$4))*(COUNTIF(AK$16:AK23,DB!$D$2:$D$2576)=0)),8)),"")</f>
        <v>4.8.2 판넬 등 외부마감 시공</v>
      </c>
      <c r="AL24" s="65" cm="1">
        <f t="array" ref="AL24">IF(AK24="","",SUMPRODUCT(((($D$4="")+($D$4&lt;&gt;"")*ISNUMBER(SEARCH($D$4,DB!$G$2:$G$2576)))*(($D$3&lt;&gt;"YES")+($D$3="YES")*(DB!$E$2:$E$2576="YES"))*(($F$4="전체")+($F$4&lt;&gt;"전체")*(DB!$H$2:$H$2576=$F$4)))*(DB!$D$2:$D$2576=AK24)*1))</f>
        <v>8</v>
      </c>
      <c r="AM24" s="65" t="str" cm="1">
        <f t="array" ref="AM24">IFERROR(INDEX(DB!$O$2:$O$2576,_xlfn.AGGREGATE(15,6,ROW(DB!$O$2:$O$2576)-1/((($D$4="")+($D$4&lt;&gt;"")*ISNUMBER(SEARCH($D$4,DB!$G$2:$G$2576)))*(($D$3&lt;&gt;"YES")+($D$3="YES")*(DB!$E$2:$E$2576="YES"))*(($D$5="")+($D$5&lt;&gt;"")*(DB!$B$2:$B$2576=$D$5))*(($D$6="")+($D$6&lt;&gt;"")*(DB!$C$2:$C$2576=$D$6))*(($D$7="")+($D$7&lt;&gt;"")*(DB!$D$2:$D$2576=$D$7))*(($F$4="전체")+($F$4&lt;&gt;"전체")*(DB!$H$2:$H$2576=$F$4))*(COUNTIF(AM$17:AM23,DB!$O$2:$O$2576)=0)),1)),"")</f>
        <v>부딪힘 접촉</v>
      </c>
      <c r="AN24" s="65" cm="1">
        <f t="array" ref="AN24">IF(AM24="","",SUMPRODUCT(((($D$4="")+($D$4&lt;&gt;"")*ISNUMBER(SEARCH($D$4,DB!$G$2:$G$2576)))*(($D$3&lt;&gt;"YES")+($D$3="YES")*(DB!$E$2:$E$2576="YES"))*(($D$5="")+($D$5&lt;&gt;"")*(DB!$B$2:$B$2576=$D$5))*(($D$6="")+($D$6&lt;&gt;"")*(DB!$C$2:$C$2576=$D$6))*(($D$7="")+($D$7&lt;&gt;"")*(DB!$D$2:$D$2576=$D$7))*(($F$4="전체")+($F$4&lt;&gt;"전체")*(DB!$H$2:$H$2576=$F$4)))*(DB!$O$2:$O$2576=AM24)*1))</f>
        <v>1</v>
      </c>
      <c r="AY24" t="s">
        <v>519</v>
      </c>
      <c r="AZ24">
        <v>7</v>
      </c>
      <c r="BA24">
        <v>92</v>
      </c>
      <c r="BB24" s="11">
        <v>3.5742035742035744E-2</v>
      </c>
    </row>
    <row r="25" spans="1:54" ht="90" customHeight="1">
      <c r="A25" s="79"/>
      <c r="B25" s="73">
        <f t="shared" si="0"/>
        <v>9</v>
      </c>
      <c r="C25" s="74"/>
      <c r="D25" s="96" t="str" cm="1">
        <f t="array" ref="D25">IFERROR(INDEX(DB!B$2:B$2576,X25),"")</f>
        <v>12. 공통공사</v>
      </c>
      <c r="E25" s="107"/>
      <c r="F25" s="97" t="str" cm="1">
        <f t="array" ref="F25">IFERROR(INDEX(DB!C$2:C$2576,X25),"")</f>
        <v>12.7 기타(작업환경, 청소 등)</v>
      </c>
      <c r="G25" s="108"/>
      <c r="H25" s="98" t="str" cm="1">
        <f t="array" ref="H25">IFERROR(INDEX(DB!D$2:D$2576,X25),"")</f>
        <v>12.7.1 기타(작업환경, 청소 등)</v>
      </c>
      <c r="I25" s="109"/>
      <c r="J25" s="99" t="str" cm="1">
        <f t="array" ref="J25">IFERROR(INDEX(DB!O$2:O$2576,X25),"")</f>
        <v>떨어짐</v>
      </c>
      <c r="K25" s="110"/>
      <c r="L25" s="75" t="str" cm="1">
        <f t="array" ref="L25">IFERROR(INDEX(DB!P$2:P$2576,X25),"")</f>
        <v>2016년 8월경 ㈜OO 철탑 점검 및 보수공사 현장에서 재해자가 철탑 암 끝부분에 있는 애자를 청소하기 위해 철탑을 오르던 중, 몸의 중심을 잃고 지면으로 떨어져(H=10m) 사망</v>
      </c>
      <c r="M25" s="76" t="str" cm="1">
        <f t="array" ref="M25">IFERROR(INDEX(DB!Q$2:Q$2576,X25),"")</f>
        <v>철탑 암 끝부분에 있는 애자를 청소하기 위해 수직로프가 미설치된 철탑을 오르던 중 몸의 중심을 잃고 바닥으로 추락</v>
      </c>
      <c r="N25" s="77"/>
      <c r="O25" s="78" t="str" cm="1">
        <f t="array" ref="O25">IFERROR(INDEX(DB!R$2:R$2576,X25),"")</f>
        <v>▶ 안전대 부착설비(수직로프, 추락방지대, Key Lock) 설치
▶ 철탑 하부에 추락방지망 설치</v>
      </c>
      <c r="P25" s="101"/>
      <c r="Q25" s="102"/>
      <c r="R25" s="103"/>
      <c r="S25" s="43"/>
      <c r="T25" s="66" cm="1">
        <f t="array" ref="T25">IFERROR(_xlfn.AGGREGATE(15,6,ROW(DB!A$2:A$2576)/(((($D$3&lt;&gt;"YES")+($D$3="YES")*(DB!E$2:E$2576="YES"))*(($D$4="")+($D$4&lt;&gt;"")*ISNUMBER(SEARCH($D$4,DB!G$2:G$2576)))*(($D$5="")+($D$5&lt;&gt;"")*(DB!B$2:B$2576=$D$5))*(($D$6="")+($D$6&lt;&gt;"")*(DB!C$2:C$2576=$D$6))*(($D$7="")+($D$7&lt;&gt;"")*(DB!D$2:D$2576=$D$7))*(($F$4="전체")+($F$4&lt;&gt;"전체")*(DB!H$2:H$2576=$F$4)))),ROW()-16)-1,"")</f>
        <v>717</v>
      </c>
      <c r="U25" s="104" t="str" cm="1">
        <f t="array" ref="U25">IFERROR(INDEX(DB!B$2:B$2576,T25),"")</f>
        <v>12. 공통공사</v>
      </c>
      <c r="V25" s="105" t="str" cm="1">
        <f t="array" ref="V25">IFERROR(INDEX(DB!O$2:O$2576,T25),"")</f>
        <v>맞음</v>
      </c>
      <c r="W25" s="106">
        <f t="shared" si="1"/>
        <v>8390.009</v>
      </c>
      <c r="X25" s="149">
        <f t="shared" si="2"/>
        <v>718</v>
      </c>
      <c r="AB25" s="138" t="str" cm="1">
        <f t="array" ref="AB25">IFERROR(INDEX(AI$17:AI$66,_xlfn.AGGREGATE(15,6,ROW(AI$17:AI$66)-ROW(AI$17)+1/(AJ$17:AJ$66=LARGE(AJ$17:AJ$66,9)),COUNTIF(AC$17:AC24,LARGE(AJ$17:AJ$66,9))+1)),"")</f>
        <v>2.1 거푸집 작업</v>
      </c>
      <c r="AC25" s="131">
        <f>IFERROR(LARGE(AJ$17:AJ$66,9),"")</f>
        <v>1</v>
      </c>
      <c r="AE25" s="130" t="str" cm="1">
        <f t="array" ref="AE25">IFERROR(INDEX(AM$17:AM$66,_xlfn.AGGREGATE(15,6,ROW(AM$17:AM$66)-ROW(AM$17)+1/(AN$17:AN$66=LARGE(AN$17:AN$66,9)),COUNTIF(AF$17:AF24,LARGE(AN$17:AN$66,9))+1)),"")</f>
        <v/>
      </c>
      <c r="AF25" s="136" t="str">
        <f>IFERROR(LARGE(AN$17:AN$66,9),"")</f>
        <v/>
      </c>
      <c r="AH25" s="65" t="str" cm="1">
        <f t="array" ref="AH25">IF(AG25="","",SUMPRODUCT(((($D$4="")+($D$4&lt;&gt;"")*ISNUMBER(SEARCH($D$4,DB!$G$2:$G$2576)))*(($D$3&lt;&gt;"YES")+($D$3="YES")*(DB!$E$2:$E$2576="YES"))*(($F$4="전체")+($F$4&lt;&gt;"전체")*(DB!$H$2:$H$2576=$F$4)))*(DB!$B$2:$B$2576=AG25)*1))</f>
        <v/>
      </c>
      <c r="AI25" s="65" t="str" cm="1">
        <f t="array" ref="AI25">IFERROR(INDEX(DB!$C$2:$C$2576,_xlfn.AGGREGATE(15,6,ROW(DB!$C$2:$C$2576)-1/((($D$4="")+($D$4&lt;&gt;"")*ISNUMBER(SEARCH($D$4,DB!$G$2:$G$2576)))*(($D$3&lt;&gt;"YES")+($D$3="YES")*(DB!$E$2:$E$2576="YES"))*(($D$5="")+($D$5&lt;&gt;"")*(DB!$B$2:$B$2576=$D$5))*(($D$6="")+($D$6&lt;&gt;"")*(DB!$C$2:$C$2576=$D$6))*(($D$7="")+($D$7&lt;&gt;"")*(DB!$D$2:$D$2576=$D$7))*(($F$4="전체")+($F$4&lt;&gt;"전체")*(DB!$H$2:$H$2576=$F$4))*(COUNTIF(AI$17:AI24,DB!$C$2:$C$2576)=0)),1)),"")</f>
        <v>4.7 수장 작업</v>
      </c>
      <c r="AJ25" s="65" cm="1">
        <f t="array" ref="AJ25">IF(AI25="","",SUMPRODUCT(((($D$4="")+($D$4&lt;&gt;"")*ISNUMBER(SEARCH($D$4,DB!$G$2:$G$2576)))*(($D$3&lt;&gt;"YES")+($D$3="YES")*(DB!$E$2:$E$2576="YES"))*(($D$5="")+($D$5&lt;&gt;"")*(DB!$B$2:$B$2576=$D$5))*(($D$6="")+($D$6&lt;&gt;"")*(DB!$C$2:$C$2576=$D$6))*(($D$7="")+($D$7&lt;&gt;"")*(DB!$D$2:$D$2576=$D$7))*(($F$4="전체")+($F$4&lt;&gt;"전체")*(DB!$H$2:$H$2576=$F$4)))*(DB!$C$2:$C$2576=AI25)*1))</f>
        <v>1</v>
      </c>
      <c r="AK25" s="65" t="str" cm="1">
        <f t="array" ref="AK25">IFERROR(INDEX(DB!$D$2:$D$2576,_xlfn.AGGREGATE(15,6,ROW(DB!$D$2:$D$2576)-1/((($D$4="")+($D$4&lt;&gt;"")*ISNUMBER(SEARCH($D$4,DB!$G$2:$G$2576)))*(($D$3&lt;&gt;"YES")+($D$3="YES")*(DB!$E$2:$E$2576="YES"))*(($F$4="전체")+($F$4&lt;&gt;"전체")*(DB!$H$2:$H$2576=$F$4))*(COUNTIF(AK$16:AK24,DB!$D$2:$D$2576)=0)),9)),"")</f>
        <v>5.2.2 기계설비 설치</v>
      </c>
      <c r="AL25" s="65" cm="1">
        <f t="array" ref="AL25">IF(AK25="","",SUMPRODUCT(((($D$4="")+($D$4&lt;&gt;"")*ISNUMBER(SEARCH($D$4,DB!$G$2:$G$2576)))*(($D$3&lt;&gt;"YES")+($D$3="YES")*(DB!$E$2:$E$2576="YES"))*(($F$4="전체")+($F$4&lt;&gt;"전체")*(DB!$H$2:$H$2576=$F$4)))*(DB!$D$2:$D$2576=AK25)*1))</f>
        <v>2</v>
      </c>
      <c r="AM25" s="65" t="str" cm="1">
        <f t="array" ref="AM25">IFERROR(INDEX(DB!$O$2:$O$2576,_xlfn.AGGREGATE(15,6,ROW(DB!$O$2:$O$2576)-1/((($D$4="")+($D$4&lt;&gt;"")*ISNUMBER(SEARCH($D$4,DB!$G$2:$G$2576)))*(($D$3&lt;&gt;"YES")+($D$3="YES")*(DB!$E$2:$E$2576="YES"))*(($D$5="")+($D$5&lt;&gt;"")*(DB!$B$2:$B$2576=$D$5))*(($D$6="")+($D$6&lt;&gt;"")*(DB!$C$2:$C$2576=$D$6))*(($D$7="")+($D$7&lt;&gt;"")*(DB!$D$2:$D$2576=$D$7))*(($F$4="전체")+($F$4&lt;&gt;"전체")*(DB!$H$2:$H$2576=$F$4))*(COUNTIF(AM$17:AM24,DB!$O$2:$O$2576)=0)),1)),"")</f>
        <v/>
      </c>
      <c r="AN25" s="65" t="str" cm="1">
        <f t="array" ref="AN25">IF(AM25="","",SUMPRODUCT(((($D$4="")+($D$4&lt;&gt;"")*ISNUMBER(SEARCH($D$4,DB!$G$2:$G$2576)))*(($D$3&lt;&gt;"YES")+($D$3="YES")*(DB!$E$2:$E$2576="YES"))*(($D$5="")+($D$5&lt;&gt;"")*(DB!$B$2:$B$2576=$D$5))*(($D$6="")+($D$6&lt;&gt;"")*(DB!$C$2:$C$2576=$D$6))*(($D$7="")+($D$7&lt;&gt;"")*(DB!$D$2:$D$2576=$D$7))*(($F$4="전체")+($F$4&lt;&gt;"전체")*(DB!$H$2:$H$2576=$F$4)))*(DB!$O$2:$O$2576=AM25)*1))</f>
        <v/>
      </c>
      <c r="AY25" t="s">
        <v>936</v>
      </c>
      <c r="AZ25">
        <v>8</v>
      </c>
      <c r="BA25">
        <v>90</v>
      </c>
      <c r="BB25" s="11">
        <v>3.4965034965034968E-2</v>
      </c>
    </row>
    <row r="26" spans="1:54" ht="90" customHeight="1">
      <c r="A26" s="26"/>
      <c r="B26" s="73">
        <f t="shared" si="0"/>
        <v>10</v>
      </c>
      <c r="C26" s="74"/>
      <c r="D26" s="96" t="str" cm="1">
        <f t="array" ref="D26">IFERROR(INDEX(DB!B$2:B$2576,X26),"")</f>
        <v>12. 공통공사</v>
      </c>
      <c r="E26" s="107"/>
      <c r="F26" s="97" t="str" cm="1">
        <f t="array" ref="F26">IFERROR(INDEX(DB!C$2:C$2576,X26),"")</f>
        <v>12.7 기타(작업환경, 청소 등)</v>
      </c>
      <c r="G26" s="108"/>
      <c r="H26" s="98" t="str" cm="1">
        <f t="array" ref="H26">IFERROR(INDEX(DB!D$2:D$2576,X26),"")</f>
        <v>12.7.1 기타(작업환경, 청소 등)</v>
      </c>
      <c r="I26" s="109"/>
      <c r="J26" s="99" t="str" cm="1">
        <f t="array" ref="J26">IFERROR(INDEX(DB!O$2:O$2576,X26),"")</f>
        <v>맞음</v>
      </c>
      <c r="K26" s="110"/>
      <c r="L26" s="75" t="str" cm="1">
        <f t="array" ref="L26">IFERROR(INDEX(DB!P$2:P$2576,X26),"")</f>
        <v>2016년 8월경 교량 하부보강 작업장에서 OO건설(주) 소속 재해자(용접공)가 굴삭기로 운반하여 기초구조물 위에 올려놓은 지보재의 가장자리에서 노룻발못뽑이로 지렛대 원리를 이용하여 지보재 하단부 수평재를 이동 시키는 작업 중 지보재가 넘어지면서 회전, 재해자를 강타하여 사망</v>
      </c>
      <c r="M26" s="76" t="str" cm="1">
        <f t="array" ref="M26">IFERROR(INDEX(DB!Q$2:Q$2576,X26),"")</f>
        <v>교량 하부 보강을 위해 지보재 하단부 수평재를 이동시키는 작업 중 지보재가 넘어지면서 회전하여 재해자 강타</v>
      </c>
      <c r="N26" s="77"/>
      <c r="O26" s="78" t="str" cm="1">
        <f t="array" ref="O26">IFERROR(INDEX(DB!R$2:R$2576,X26),"")</f>
        <v>▶ 중량물 취급작업계획서 작성 및 작업지휘자 지정
▶ 자재 전도방지를 위해 슬링벨트 연결 부위 및 이동방법 검토</v>
      </c>
      <c r="P26" s="101"/>
      <c r="Q26" s="102"/>
      <c r="R26" s="103"/>
      <c r="S26" s="43"/>
      <c r="T26" s="66" cm="1">
        <f t="array" ref="T26">IFERROR(_xlfn.AGGREGATE(15,6,ROW(DB!A$2:A$2576)/(((($D$3&lt;&gt;"YES")+($D$3="YES")*(DB!E$2:E$2576="YES"))*(($D$4="")+($D$4&lt;&gt;"")*ISNUMBER(SEARCH($D$4,DB!G$2:G$2576)))*(($D$5="")+($D$5&lt;&gt;"")*(DB!B$2:B$2576=$D$5))*(($D$6="")+($D$6&lt;&gt;"")*(DB!C$2:C$2576=$D$6))*(($D$7="")+($D$7&lt;&gt;"")*(DB!D$2:D$2576=$D$7))*(($F$4="전체")+($F$4&lt;&gt;"전체")*(DB!H$2:H$2576=$F$4)))),ROW()-16)-1,"")</f>
        <v>718</v>
      </c>
      <c r="U26" s="104" t="str" cm="1">
        <f t="array" ref="U26">IFERROR(INDEX(DB!B$2:B$2576,T26),"")</f>
        <v>12. 공통공사</v>
      </c>
      <c r="V26" s="105" t="str" cm="1">
        <f t="array" ref="V26">IFERROR(INDEX(DB!O$2:O$2576,T26),"")</f>
        <v>떨어짐</v>
      </c>
      <c r="W26" s="106">
        <f t="shared" si="1"/>
        <v>8287.01</v>
      </c>
      <c r="X26" s="149">
        <f t="shared" si="2"/>
        <v>717</v>
      </c>
      <c r="AB26" s="138" t="str" cm="1">
        <f t="array" ref="AB26">IFERROR(INDEX(AI$17:AI$66,_xlfn.AGGREGATE(15,6,ROW(AI$17:AI$66)-ROW(AI$17)+1/(AJ$17:AJ$66=LARGE(AJ$17:AJ$66,10)),COUNTIF(AC$17:AC25,LARGE(AJ$17:AJ$66,10))+1)),"")</f>
        <v>4.6 창호 및 유리 작업</v>
      </c>
      <c r="AC26" s="131">
        <f>IFERROR(LARGE(AJ$17:AJ$66,10),"")</f>
        <v>1</v>
      </c>
      <c r="AE26" s="130" t="str" cm="1">
        <f t="array" ref="AE26">IFERROR(INDEX(AM$17:AM$66,_xlfn.AGGREGATE(15,6,ROW(AM$17:AM$66)-ROW(AM$17)+1/(AN$17:AN$66=LARGE(AN$17:AN$66,10)),COUNTIF(AF$17:AF25,LARGE(AN$17:AN$66,10))+1)),"")</f>
        <v/>
      </c>
      <c r="AF26" s="136" t="str">
        <f>IFERROR(LARGE(AN$17:AN$66,10),"")</f>
        <v/>
      </c>
      <c r="AH26" s="65" t="str" cm="1">
        <f t="array" ref="AH26">IF(AG26="","",SUMPRODUCT(((($D$4="")+($D$4&lt;&gt;"")*ISNUMBER(SEARCH($D$4,DB!$G$2:$G$2576)))*(($D$3&lt;&gt;"YES")+($D$3="YES")*(DB!$E$2:$E$2576="YES"))*(($F$4="전체")+($F$4&lt;&gt;"전체")*(DB!$H$2:$H$2576=$F$4)))*(DB!$B$2:$B$2576=AG26)*1))</f>
        <v/>
      </c>
      <c r="AI26" s="65" t="str" cm="1">
        <f t="array" ref="AI26">IFERROR(INDEX(DB!$C$2:$C$2576,_xlfn.AGGREGATE(15,6,ROW(DB!$C$2:$C$2576)-1/((($D$4="")+($D$4&lt;&gt;"")*ISNUMBER(SEARCH($D$4,DB!$G$2:$G$2576)))*(($D$3&lt;&gt;"YES")+($D$3="YES")*(DB!$E$2:$E$2576="YES"))*(($D$5="")+($D$5&lt;&gt;"")*(DB!$B$2:$B$2576=$D$5))*(($D$6="")+($D$6&lt;&gt;"")*(DB!$C$2:$C$2576=$D$6))*(($D$7="")+($D$7&lt;&gt;"")*(DB!$D$2:$D$2576=$D$7))*(($F$4="전체")+($F$4&lt;&gt;"전체")*(DB!$H$2:$H$2576=$F$4))*(COUNTIF(AI$17:AI25,DB!$C$2:$C$2576)=0)),1)),"")</f>
        <v>4.8 판넬 등 외부마감 작업</v>
      </c>
      <c r="AJ26" s="65" cm="1">
        <f t="array" ref="AJ26">IF(AI26="","",SUMPRODUCT(((($D$4="")+($D$4&lt;&gt;"")*ISNUMBER(SEARCH($D$4,DB!$G$2:$G$2576)))*(($D$3&lt;&gt;"YES")+($D$3="YES")*(DB!$E$2:$E$2576="YES"))*(($D$5="")+($D$5&lt;&gt;"")*(DB!$B$2:$B$2576=$D$5))*(($D$6="")+($D$6&lt;&gt;"")*(DB!$C$2:$C$2576=$D$6))*(($D$7="")+($D$7&lt;&gt;"")*(DB!$D$2:$D$2576=$D$7))*(($F$4="전체")+($F$4&lt;&gt;"전체")*(DB!$H$2:$H$2576=$F$4)))*(DB!$C$2:$C$2576=AI26)*1))</f>
        <v>9</v>
      </c>
      <c r="AK26" s="65" t="str" cm="1">
        <f t="array" ref="AK26">IFERROR(INDEX(DB!$D$2:$D$2576,_xlfn.AGGREGATE(15,6,ROW(DB!$D$2:$D$2576)-1/((($D$4="")+($D$4&lt;&gt;"")*ISNUMBER(SEARCH($D$4,DB!$G$2:$G$2576)))*(($D$3&lt;&gt;"YES")+($D$3="YES")*(DB!$E$2:$E$2576="YES"))*(($F$4="전체")+($F$4&lt;&gt;"전체")*(DB!$H$2:$H$2576=$F$4))*(COUNTIF(AK$16:AK25,DB!$D$2:$D$2576)=0)),10)),"")</f>
        <v/>
      </c>
      <c r="AL26" s="65" t="str" cm="1">
        <f t="array" ref="AL26">IF(AK26="","",SUMPRODUCT(((($D$4="")+($D$4&lt;&gt;"")*ISNUMBER(SEARCH($D$4,DB!$G$2:$G$2576)))*(($D$3&lt;&gt;"YES")+($D$3="YES")*(DB!$E$2:$E$2576="YES"))*(($F$4="전체")+($F$4&lt;&gt;"전체")*(DB!$H$2:$H$2576=$F$4)))*(DB!$D$2:$D$2576=AK26)*1))</f>
        <v/>
      </c>
      <c r="AM26" s="65" t="str" cm="1">
        <f t="array" ref="AM26">IFERROR(INDEX(DB!$O$2:$O$2576,_xlfn.AGGREGATE(15,6,ROW(DB!$O$2:$O$2576)-1/((($D$4="")+($D$4&lt;&gt;"")*ISNUMBER(SEARCH($D$4,DB!$G$2:$G$2576)))*(($D$3&lt;&gt;"YES")+($D$3="YES")*(DB!$E$2:$E$2576="YES"))*(($D$5="")+($D$5&lt;&gt;"")*(DB!$B$2:$B$2576=$D$5))*(($D$6="")+($D$6&lt;&gt;"")*(DB!$C$2:$C$2576=$D$6))*(($D$7="")+($D$7&lt;&gt;"")*(DB!$D$2:$D$2576=$D$7))*(($F$4="전체")+($F$4&lt;&gt;"전체")*(DB!$H$2:$H$2576=$F$4))*(COUNTIF(AM$17:AM25,DB!$O$2:$O$2576)=0)),1)),"")</f>
        <v/>
      </c>
      <c r="AN26" s="65" t="str" cm="1">
        <f t="array" ref="AN26">IF(AM26="","",SUMPRODUCT(((($D$4="")+($D$4&lt;&gt;"")*ISNUMBER(SEARCH($D$4,DB!$G$2:$G$2576)))*(($D$3&lt;&gt;"YES")+($D$3="YES")*(DB!$E$2:$E$2576="YES"))*(($D$5="")+($D$5&lt;&gt;"")*(DB!$B$2:$B$2576=$D$5))*(($D$6="")+($D$6&lt;&gt;"")*(DB!$C$2:$C$2576=$D$6))*(($D$7="")+($D$7&lt;&gt;"")*(DB!$D$2:$D$2576=$D$7))*(($F$4="전체")+($F$4&lt;&gt;"전체")*(DB!$H$2:$H$2576=$F$4)))*(DB!$O$2:$O$2576=AM26)*1))</f>
        <v/>
      </c>
      <c r="AY26" t="s">
        <v>233</v>
      </c>
      <c r="AZ26">
        <v>9</v>
      </c>
      <c r="BA26">
        <v>85</v>
      </c>
      <c r="BB26" s="11">
        <v>3.3022533022533024E-2</v>
      </c>
    </row>
    <row r="27" spans="1:54" ht="90" customHeight="1">
      <c r="A27" s="79"/>
      <c r="B27" s="73">
        <f t="shared" si="0"/>
        <v>11</v>
      </c>
      <c r="C27" s="74"/>
      <c r="D27" s="96" t="str" cm="1">
        <f t="array" ref="D27">IFERROR(INDEX(DB!B$2:B$2576,X27),"")</f>
        <v>2. 철근콘크리트공사</v>
      </c>
      <c r="E27" s="107"/>
      <c r="F27" s="97" t="str" cm="1">
        <f t="array" ref="F27">IFERROR(INDEX(DB!C$2:C$2576,X27),"")</f>
        <v>2.1 거푸집 작업</v>
      </c>
      <c r="G27" s="108"/>
      <c r="H27" s="98" t="str" cm="1">
        <f t="array" ref="H27">IFERROR(INDEX(DB!D$2:D$2576,X27),"")</f>
        <v>2.1.2 거푸집 동바리 조립</v>
      </c>
      <c r="I27" s="109"/>
      <c r="J27" s="99" t="str" cm="1">
        <f t="array" ref="J27">IFERROR(INDEX(DB!O$2:O$2576,X27),"")</f>
        <v>떨어짐</v>
      </c>
      <c r="K27" s="110"/>
      <c r="L27" s="75" t="str" cm="1">
        <f t="array" ref="L27">IFERROR(INDEX(DB!P$2:P$2576,X27),"")</f>
        <v>2018년 2월경 개인이 시공하는 (주)OO공사 현장에서 재해자가 데크플레이트 판개 및 용접 작업을 위해 철골 상부 이동 중 몸의 중심을 잃고 약 5.8m 아래 바닥으로 떨어지며 사망</v>
      </c>
      <c r="M27" s="76" t="str" cm="1">
        <f t="array" ref="M27">IFERROR(INDEX(DB!Q$2:Q$2576,X27),"")</f>
        <v>추락 방지조치 미실시한 상태에서 데크플레이트 판개 및 용접 작업을 위해 철골 상부 이동 중 몸의 중심을 잃고 바닥으로 추락</v>
      </c>
      <c r="N27" s="77"/>
      <c r="O27" s="78" t="str" cm="1">
        <f t="array" ref="O27">IFERROR(INDEX(DB!R$2:R$2576,X27),"")</f>
        <v xml:space="preserve">▶ 추락위험이 있는 구간에는 추락방호망, 안전난간 설치 또는 및 안전대 착용후 작업
▶ 안전난간 설치 기준 준수하여 살치 및 관리감독자 확인 </v>
      </c>
      <c r="P27" s="101"/>
      <c r="Q27" s="102"/>
      <c r="R27" s="103"/>
      <c r="S27" s="43"/>
      <c r="T27" s="66" cm="1">
        <f t="array" ref="T27">IFERROR(_xlfn.AGGREGATE(15,6,ROW(DB!A$2:A$2576)/(((($D$3&lt;&gt;"YES")+($D$3="YES")*(DB!E$2:E$2576="YES"))*(($D$4="")+($D$4&lt;&gt;"")*ISNUMBER(SEARCH($D$4,DB!G$2:G$2576)))*(($D$5="")+($D$5&lt;&gt;"")*(DB!B$2:B$2576=$D$5))*(($D$6="")+($D$6&lt;&gt;"")*(DB!C$2:C$2576=$D$6))*(($D$7="")+($D$7&lt;&gt;"")*(DB!D$2:D$2576=$D$7))*(($F$4="전체")+($F$4&lt;&gt;"전체")*(DB!H$2:H$2576=$F$4)))),ROW()-16)-1,"")</f>
        <v>728</v>
      </c>
      <c r="U27" s="104" t="str" cm="1">
        <f t="array" ref="U27">IFERROR(INDEX(DB!B$2:B$2576,T27),"")</f>
        <v>2. 철근콘크리트공사</v>
      </c>
      <c r="V27" s="105" t="str" cm="1">
        <f t="array" ref="V27">IFERROR(INDEX(DB!O$2:O$2576,T27),"")</f>
        <v>떨어짐</v>
      </c>
      <c r="W27" s="106">
        <f t="shared" si="1"/>
        <v>9287.0110000000004</v>
      </c>
      <c r="X27" s="149">
        <f t="shared" si="2"/>
        <v>728</v>
      </c>
      <c r="AB27" s="138" t="str" cm="1">
        <f t="array" ref="AB27">IFERROR(INDEX(AI$17:AI$66,_xlfn.AGGREGATE(15,6,ROW(AI$17:AI$66)-ROW(AI$17)+1/(AJ$17:AJ$66=LARGE(AJ$17:AJ$66,11)),COUNTIF(AC$17:AC26,LARGE(AJ$17:AJ$66,11))+1)),"")</f>
        <v>4.7 수장 작업</v>
      </c>
      <c r="AC27" s="131">
        <f>IFERROR(LARGE(AJ$17:AJ$66,11),"")</f>
        <v>1</v>
      </c>
      <c r="AE27" s="130" t="str" cm="1">
        <f t="array" ref="AE27">IFERROR(INDEX(AM$17:AM$66,_xlfn.AGGREGATE(15,6,ROW(AM$17:AM$66)-ROW(AM$17)+1/(AN$17:AN$66=LARGE(AN$17:AN$66,11)),COUNTIF(AF$17:AF26,LARGE(AN$17:AN$66,11))+1)),"")</f>
        <v/>
      </c>
      <c r="AF27" s="136" t="str">
        <f>IFERROR(LARGE(AN$17:AN$66,11),"")</f>
        <v/>
      </c>
      <c r="AH27" s="65" t="str" cm="1">
        <f t="array" ref="AH27">IF(AG27="","",SUMPRODUCT(((($D$4="")+($D$4&lt;&gt;"")*ISNUMBER(SEARCH($D$4,DB!$G$2:$G$2576)))*(($D$3&lt;&gt;"YES")+($D$3="YES")*(DB!$E$2:$E$2576="YES"))*(($F$4="전체")+($F$4&lt;&gt;"전체")*(DB!$H$2:$H$2576=$F$4)))*(DB!$B$2:$B$2576=AG27)*1))</f>
        <v/>
      </c>
      <c r="AI27" s="65" t="str" cm="1">
        <f t="array" ref="AI27">IFERROR(INDEX(DB!$C$2:$C$2576,_xlfn.AGGREGATE(15,6,ROW(DB!$C$2:$C$2576)-1/((($D$4="")+($D$4&lt;&gt;"")*ISNUMBER(SEARCH($D$4,DB!$G$2:$G$2576)))*(($D$3&lt;&gt;"YES")+($D$3="YES")*(DB!$E$2:$E$2576="YES"))*(($D$5="")+($D$5&lt;&gt;"")*(DB!$B$2:$B$2576=$D$5))*(($D$6="")+($D$6&lt;&gt;"")*(DB!$C$2:$C$2576=$D$6))*(($D$7="")+($D$7&lt;&gt;"")*(DB!$D$2:$D$2576=$D$7))*(($F$4="전체")+($F$4&lt;&gt;"전체")*(DB!$H$2:$H$2576=$F$4))*(COUNTIF(AI$17:AI26,DB!$C$2:$C$2576)=0)),1)),"")</f>
        <v>5.1 전기 설비 작업</v>
      </c>
      <c r="AJ27" s="65" cm="1">
        <f t="array" ref="AJ27">IF(AI27="","",SUMPRODUCT(((($D$4="")+($D$4&lt;&gt;"")*ISNUMBER(SEARCH($D$4,DB!$G$2:$G$2576)))*(($D$3&lt;&gt;"YES")+($D$3="YES")*(DB!$E$2:$E$2576="YES"))*(($D$5="")+($D$5&lt;&gt;"")*(DB!$B$2:$B$2576=$D$5))*(($D$6="")+($D$6&lt;&gt;"")*(DB!$C$2:$C$2576=$D$6))*(($D$7="")+($D$7&lt;&gt;"")*(DB!$D$2:$D$2576=$D$7))*(($F$4="전체")+($F$4&lt;&gt;"전체")*(DB!$H$2:$H$2576=$F$4)))*(DB!$C$2:$C$2576=AI27)*1))</f>
        <v>1</v>
      </c>
      <c r="AK27" s="65" t="str" cm="1">
        <f t="array" ref="AK27">IFERROR(INDEX(DB!$D$2:$D$2576,_xlfn.AGGREGATE(15,6,ROW(DB!$D$2:$D$2576)-1/((($D$4="")+($D$4&lt;&gt;"")*ISNUMBER(SEARCH($D$4,DB!$G$2:$G$2576)))*(($D$3&lt;&gt;"YES")+($D$3="YES")*(DB!$E$2:$E$2576="YES"))*(($F$4="전체")+($F$4&lt;&gt;"전체")*(DB!$H$2:$H$2576=$F$4))*(COUNTIF(AK$16:AK26,DB!$D$2:$D$2576)=0)),11)),"")</f>
        <v/>
      </c>
      <c r="AL27" s="65" t="str" cm="1">
        <f t="array" ref="AL27">IF(AK27="","",SUMPRODUCT(((($D$4="")+($D$4&lt;&gt;"")*ISNUMBER(SEARCH($D$4,DB!$G$2:$G$2576)))*(($D$3&lt;&gt;"YES")+($D$3="YES")*(DB!$E$2:$E$2576="YES"))*(($F$4="전체")+($F$4&lt;&gt;"전체")*(DB!$H$2:$H$2576=$F$4)))*(DB!$D$2:$D$2576=AK27)*1))</f>
        <v/>
      </c>
      <c r="AM27" s="65" t="str" cm="1">
        <f t="array" ref="AM27">IFERROR(INDEX(DB!$O$2:$O$2576,_xlfn.AGGREGATE(15,6,ROW(DB!$O$2:$O$2576)-1/((($D$4="")+($D$4&lt;&gt;"")*ISNUMBER(SEARCH($D$4,DB!$G$2:$G$2576)))*(($D$3&lt;&gt;"YES")+($D$3="YES")*(DB!$E$2:$E$2576="YES"))*(($D$5="")+($D$5&lt;&gt;"")*(DB!$B$2:$B$2576=$D$5))*(($D$6="")+($D$6&lt;&gt;"")*(DB!$C$2:$C$2576=$D$6))*(($D$7="")+($D$7&lt;&gt;"")*(DB!$D$2:$D$2576=$D$7))*(($F$4="전체")+($F$4&lt;&gt;"전체")*(DB!$H$2:$H$2576=$F$4))*(COUNTIF(AM$17:AM26,DB!$O$2:$O$2576)=0)),1)),"")</f>
        <v/>
      </c>
      <c r="AN27" s="65" t="str" cm="1">
        <f t="array" ref="AN27">IF(AM27="","",SUMPRODUCT(((($D$4="")+($D$4&lt;&gt;"")*ISNUMBER(SEARCH($D$4,DB!$G$2:$G$2576)))*(($D$3&lt;&gt;"YES")+($D$3="YES")*(DB!$E$2:$E$2576="YES"))*(($D$5="")+($D$5&lt;&gt;"")*(DB!$B$2:$B$2576=$D$5))*(($D$6="")+($D$6&lt;&gt;"")*(DB!$C$2:$C$2576=$D$6))*(($D$7="")+($D$7&lt;&gt;"")*(DB!$D$2:$D$2576=$D$7))*(($F$4="전체")+($F$4&lt;&gt;"전체")*(DB!$H$2:$H$2576=$F$4)))*(DB!$O$2:$O$2576=AM27)*1))</f>
        <v/>
      </c>
      <c r="AY27" t="s">
        <v>59</v>
      </c>
      <c r="AZ27">
        <v>10</v>
      </c>
      <c r="BA27">
        <v>80</v>
      </c>
      <c r="BB27" s="11">
        <v>3.108003108003108E-2</v>
      </c>
    </row>
    <row r="28" spans="1:54" ht="90" customHeight="1">
      <c r="A28" s="26"/>
      <c r="B28" s="73">
        <f t="shared" si="0"/>
        <v>12</v>
      </c>
      <c r="C28" s="74"/>
      <c r="D28" s="96" t="str" cm="1">
        <f t="array" ref="D28">IFERROR(INDEX(DB!B$2:B$2576,X28),"")</f>
        <v>2. 철근콘크리트공사</v>
      </c>
      <c r="E28" s="107"/>
      <c r="F28" s="97" t="str" cm="1">
        <f t="array" ref="F28">IFERROR(INDEX(DB!C$2:C$2576,X28),"")</f>
        <v>2.4 콘크리트 작업</v>
      </c>
      <c r="G28" s="108"/>
      <c r="H28" s="98" t="str" cm="1">
        <f t="array" ref="H28">IFERROR(INDEX(DB!D$2:D$2576,X28),"")</f>
        <v>2.4.2 콘크리트 타설 및 다짐</v>
      </c>
      <c r="I28" s="109"/>
      <c r="J28" s="99" t="str" cm="1">
        <f t="array" ref="J28">IFERROR(INDEX(DB!O$2:O$2576,X28),"")</f>
        <v>떨어짐</v>
      </c>
      <c r="K28" s="110"/>
      <c r="L28" s="75" t="str" cm="1">
        <f t="array" ref="L28">IFERROR(INDEX(DB!P$2:P$2576,X28),"")</f>
        <v>2019년 4월경 ㈜OO 공장 신축공사현장에서 재해자(미장공) 등 10명이 지상1층 바닥 콘크리트 타설을 하던 중 슬래브를 지지하는 작은보(철골) 2개소에서 보와 옹벽 사이의 임베드 플레이트 볼트 용접 부위가 파단 되면서 보와 슬래브가 한쪽으로 기울며 붕괴되어 6명의 근로자가 6.5m 높이에서 미끄러지듯 떨어지면서 부상(4명이 3개월 이상의 요양 필요)</v>
      </c>
      <c r="M28" s="76" t="str" cm="1">
        <f t="array" ref="M28">IFERROR(INDEX(DB!Q$2:Q$2576,X28),"")</f>
        <v>바닥 콘크리트 타설을 하던 중 슬래브를 지지하는 작은보 2개소에서 임베드 플레이트 볼트 용접 부위가 파단나면서 슬래브가 한쪽으로 기울어 근로자 추락</v>
      </c>
      <c r="N28" s="77"/>
      <c r="O28" s="78" t="str" cm="1">
        <f t="array" ref="O28">IFERROR(INDEX(DB!R$2:R$2576,X28),"")</f>
        <v>▶ 철골부재 용접 시 용접관련 자격증 보유 확인 및 용접 후 원청, 하청, 감리의 입회하에 검측 실시
▶ 데크플레이트를 설치하는 철골구조물을 시공하는 경우 철골구조물 자중, 상부 적재하중 및 콘크리트 타설에 따른 진동 및 충격 등을 고려하여 전도방지조치 실시</v>
      </c>
      <c r="P28" s="101"/>
      <c r="Q28" s="102"/>
      <c r="R28" s="103"/>
      <c r="S28" s="43"/>
      <c r="T28" s="66" cm="1">
        <f t="array" ref="T28">IFERROR(_xlfn.AGGREGATE(15,6,ROW(DB!A$2:A$2576)/(((($D$3&lt;&gt;"YES")+($D$3="YES")*(DB!E$2:E$2576="YES"))*(($D$4="")+($D$4&lt;&gt;"")*ISNUMBER(SEARCH($D$4,DB!G$2:G$2576)))*(($D$5="")+($D$5&lt;&gt;"")*(DB!B$2:B$2576=$D$5))*(($D$6="")+($D$6&lt;&gt;"")*(DB!C$2:C$2576=$D$6))*(($D$7="")+($D$7&lt;&gt;"")*(DB!D$2:D$2576=$D$7))*(($F$4="전체")+($F$4&lt;&gt;"전체")*(DB!H$2:H$2576=$F$4)))),ROW()-16)-1,"")</f>
        <v>748</v>
      </c>
      <c r="U28" s="104" t="str" cm="1">
        <f t="array" ref="U28">IFERROR(INDEX(DB!B$2:B$2576,T28),"")</f>
        <v>2. 철근콘크리트공사</v>
      </c>
      <c r="V28" s="105" t="str" cm="1">
        <f t="array" ref="V28">IFERROR(INDEX(DB!O$2:O$2576,T28),"")</f>
        <v>무너짐</v>
      </c>
      <c r="W28" s="106">
        <f t="shared" si="1"/>
        <v>9392.0120000000006</v>
      </c>
      <c r="X28" s="149">
        <f t="shared" si="2"/>
        <v>751</v>
      </c>
      <c r="AB28" s="138" t="str" cm="1">
        <f t="array" ref="AB28">IFERROR(INDEX(AI$17:AI$66,_xlfn.AGGREGATE(15,6,ROW(AI$17:AI$66)-ROW(AI$17)+1/(AJ$17:AJ$66=LARGE(AJ$17:AJ$66,12)),COUNTIF(AC$17:AC27,LARGE(AJ$17:AJ$66,12))+1)),"")</f>
        <v>5.1 전기 설비 작업</v>
      </c>
      <c r="AC28" s="131">
        <f>IFERROR(LARGE(AJ$17:AJ$66,12),"")</f>
        <v>1</v>
      </c>
      <c r="AE28" s="130" t="str" cm="1">
        <f t="array" ref="AE28">IFERROR(INDEX(AM$17:AM$66,_xlfn.AGGREGATE(15,6,ROW(AM$17:AM$66)-ROW(AM$17)+1/(AN$17:AN$66=LARGE(AN$17:AN$66,12)),COUNTIF(AF$17:AF27,LARGE(AN$17:AN$66,12))+1)),"")</f>
        <v/>
      </c>
      <c r="AF28" s="136" t="str">
        <f>IFERROR(LARGE(AN$17:AN$66,12),"")</f>
        <v/>
      </c>
      <c r="AH28" s="65" t="str" cm="1">
        <f t="array" ref="AH28">IF(AG28="","",SUMPRODUCT(((($D$4="")+($D$4&lt;&gt;"")*ISNUMBER(SEARCH($D$4,DB!$G$2:$G$2576)))*(($D$3&lt;&gt;"YES")+($D$3="YES")*(DB!$E$2:$E$2576="YES"))*(($F$4="전체")+($F$4&lt;&gt;"전체")*(DB!$H$2:$H$2576=$F$4)))*(DB!$B$2:$B$2576=AG28)*1))</f>
        <v/>
      </c>
      <c r="AI28" s="65" t="str" cm="1">
        <f t="array" ref="AI28">IFERROR(INDEX(DB!$C$2:$C$2576,_xlfn.AGGREGATE(15,6,ROW(DB!$C$2:$C$2576)-1/((($D$4="")+($D$4&lt;&gt;"")*ISNUMBER(SEARCH($D$4,DB!$G$2:$G$2576)))*(($D$3&lt;&gt;"YES")+($D$3="YES")*(DB!$E$2:$E$2576="YES"))*(($D$5="")+($D$5&lt;&gt;"")*(DB!$B$2:$B$2576=$D$5))*(($D$6="")+($D$6&lt;&gt;"")*(DB!$C$2:$C$2576=$D$6))*(($D$7="")+($D$7&lt;&gt;"")*(DB!$D$2:$D$2576=$D$7))*(($F$4="전체")+($F$4&lt;&gt;"전체")*(DB!$H$2:$H$2576=$F$4))*(COUNTIF(AI$17:AI27,DB!$C$2:$C$2576)=0)),1)),"")</f>
        <v>5.2 기계설비 작업</v>
      </c>
      <c r="AJ28" s="65" cm="1">
        <f t="array" ref="AJ28">IF(AI28="","",SUMPRODUCT(((($D$4="")+($D$4&lt;&gt;"")*ISNUMBER(SEARCH($D$4,DB!$G$2:$G$2576)))*(($D$3&lt;&gt;"YES")+($D$3="YES")*(DB!$E$2:$E$2576="YES"))*(($D$5="")+($D$5&lt;&gt;"")*(DB!$B$2:$B$2576=$D$5))*(($D$6="")+($D$6&lt;&gt;"")*(DB!$C$2:$C$2576=$D$6))*(($D$7="")+($D$7&lt;&gt;"")*(DB!$D$2:$D$2576=$D$7))*(($F$4="전체")+($F$4&lt;&gt;"전체")*(DB!$H$2:$H$2576=$F$4)))*(DB!$C$2:$C$2576=AI28)*1))</f>
        <v>2</v>
      </c>
      <c r="AK28" s="65" t="str" cm="1">
        <f t="array" ref="AK28">IFERROR(INDEX(DB!$D$2:$D$2576,_xlfn.AGGREGATE(15,6,ROW(DB!$D$2:$D$2576)-1/((($D$4="")+($D$4&lt;&gt;"")*ISNUMBER(SEARCH($D$4,DB!$G$2:$G$2576)))*(($D$3&lt;&gt;"YES")+($D$3="YES")*(DB!$E$2:$E$2576="YES"))*(($F$4="전체")+($F$4&lt;&gt;"전체")*(DB!$H$2:$H$2576=$F$4))*(COUNTIF(AK$16:AK27,DB!$D$2:$D$2576)=0)),12)),"")</f>
        <v/>
      </c>
      <c r="AL28" s="65" t="str" cm="1">
        <f t="array" ref="AL28">IF(AK28="","",SUMPRODUCT(((($D$4="")+($D$4&lt;&gt;"")*ISNUMBER(SEARCH($D$4,DB!$G$2:$G$2576)))*(($D$3&lt;&gt;"YES")+($D$3="YES")*(DB!$E$2:$E$2576="YES"))*(($F$4="전체")+($F$4&lt;&gt;"전체")*(DB!$H$2:$H$2576=$F$4)))*(DB!$D$2:$D$2576=AK28)*1))</f>
        <v/>
      </c>
      <c r="AM28" s="65" t="str" cm="1">
        <f t="array" ref="AM28">IFERROR(INDEX(DB!$O$2:$O$2576,_xlfn.AGGREGATE(15,6,ROW(DB!$O$2:$O$2576)-1/((($D$4="")+($D$4&lt;&gt;"")*ISNUMBER(SEARCH($D$4,DB!$G$2:$G$2576)))*(($D$3&lt;&gt;"YES")+($D$3="YES")*(DB!$E$2:$E$2576="YES"))*(($D$5="")+($D$5&lt;&gt;"")*(DB!$B$2:$B$2576=$D$5))*(($D$6="")+($D$6&lt;&gt;"")*(DB!$C$2:$C$2576=$D$6))*(($D$7="")+($D$7&lt;&gt;"")*(DB!$D$2:$D$2576=$D$7))*(($F$4="전체")+($F$4&lt;&gt;"전체")*(DB!$H$2:$H$2576=$F$4))*(COUNTIF(AM$17:AM27,DB!$O$2:$O$2576)=0)),1)),"")</f>
        <v/>
      </c>
      <c r="AN28" s="65" t="str" cm="1">
        <f t="array" ref="AN28">IF(AM28="","",SUMPRODUCT(((($D$4="")+($D$4&lt;&gt;"")*ISNUMBER(SEARCH($D$4,DB!$G$2:$G$2576)))*(($D$3&lt;&gt;"YES")+($D$3="YES")*(DB!$E$2:$E$2576="YES"))*(($D$5="")+($D$5&lt;&gt;"")*(DB!$B$2:$B$2576=$D$5))*(($D$6="")+($D$6&lt;&gt;"")*(DB!$C$2:$C$2576=$D$6))*(($D$7="")+($D$7&lt;&gt;"")*(DB!$D$2:$D$2576=$D$7))*(($F$4="전체")+($F$4&lt;&gt;"전체")*(DB!$H$2:$H$2576=$F$4)))*(DB!$O$2:$O$2576=AM28)*1))</f>
        <v/>
      </c>
      <c r="AY28" t="s">
        <v>1312</v>
      </c>
      <c r="AZ28">
        <v>11</v>
      </c>
      <c r="BA28">
        <v>80</v>
      </c>
      <c r="BB28" s="11">
        <v>3.108003108003108E-2</v>
      </c>
    </row>
    <row r="29" spans="1:54" ht="90" customHeight="1">
      <c r="A29" s="79"/>
      <c r="B29" s="73">
        <f t="shared" si="0"/>
        <v>13</v>
      </c>
      <c r="C29" s="74"/>
      <c r="D29" s="96" t="str" cm="1">
        <f t="array" ref="D29">IFERROR(INDEX(DB!B$2:B$2576,X29),"")</f>
        <v>2. 철근콘크리트공사</v>
      </c>
      <c r="E29" s="107"/>
      <c r="F29" s="97" t="str" cm="1">
        <f t="array" ref="F29">IFERROR(INDEX(DB!C$2:C$2576,X29),"")</f>
        <v>2.4 콘크리트 작업</v>
      </c>
      <c r="G29" s="108"/>
      <c r="H29" s="98" t="str" cm="1">
        <f t="array" ref="H29">IFERROR(INDEX(DB!D$2:D$2576,X29),"")</f>
        <v>2.4.2 콘크리트 타설 및 다짐</v>
      </c>
      <c r="I29" s="109"/>
      <c r="J29" s="99" t="str" cm="1">
        <f t="array" ref="J29">IFERROR(INDEX(DB!O$2:O$2576,X29),"")</f>
        <v>무너짐</v>
      </c>
      <c r="K29" s="110"/>
      <c r="L29" s="75" t="str" cm="1">
        <f t="array" ref="L29">IFERROR(INDEX(DB!P$2:P$2576,X29),"")</f>
        <v>2016년 2월경 OO(주) 석탄취급설비 설치공사 현장에서 화력 8∼9호기 사이 석탄 이송설비인 벨트 컨베이어 갤러리구간에서 협력업체 근로자 9명이 바닥 콘크리트 타설 작업 중 데크플레이트가 상부하중을 지지하지 못하고 아래로 무너지며 그 자리에서 콘크리트 타설작업을 하던 2명이 60m아래 지면 바닥으로 떨어져 사망</v>
      </c>
      <c r="M29" s="76" t="str" cm="1">
        <f t="array" ref="M29">IFERROR(INDEX(DB!Q$2:Q$2576,X29),"")</f>
        <v>데크플레이트 콘크리트 타설 작업 중 데크플레이트(구조적 불안정, 작업방법 불량 등)가 붕괴</v>
      </c>
      <c r="N29" s="77"/>
      <c r="O29" s="78" t="str" cm="1">
        <f t="array" ref="O29">IFERROR(INDEX(DB!R$2:R$2576,X29),"")</f>
        <v>▶ 데크플레이트를 지지하는 철골빔과 같은 주요 부재 설치시, 용도, 품질, 이음부 발생 시 접합방법 등 사전 확인
▶ 콘크리트 타설 시 편심발생을 막기위해 집중타설 금지
▶ 콘크리트 타설 작업 시 데크플레이트의 변형 및 변위 감시를 위한 감시자 배치</v>
      </c>
      <c r="P29" s="101"/>
      <c r="Q29" s="102"/>
      <c r="R29" s="103"/>
      <c r="S29" s="43"/>
      <c r="T29" s="66" cm="1">
        <f t="array" ref="T29">IFERROR(_xlfn.AGGREGATE(15,6,ROW(DB!A$2:A$2576)/(((($D$3&lt;&gt;"YES")+($D$3="YES")*(DB!E$2:E$2576="YES"))*(($D$4="")+($D$4&lt;&gt;"")*ISNUMBER(SEARCH($D$4,DB!G$2:G$2576)))*(($D$5="")+($D$5&lt;&gt;"")*(DB!B$2:B$2576=$D$5))*(($D$6="")+($D$6&lt;&gt;"")*(DB!C$2:C$2576=$D$6))*(($D$7="")+($D$7&lt;&gt;"")*(DB!D$2:D$2576=$D$7))*(($F$4="전체")+($F$4&lt;&gt;"전체")*(DB!H$2:H$2576=$F$4)))),ROW()-16)-1,"")</f>
        <v>751</v>
      </c>
      <c r="U29" s="104" t="str" cm="1">
        <f t="array" ref="U29">IFERROR(INDEX(DB!B$2:B$2576,T29),"")</f>
        <v>2. 철근콘크리트공사</v>
      </c>
      <c r="V29" s="105" t="str" cm="1">
        <f t="array" ref="V29">IFERROR(INDEX(DB!O$2:O$2576,T29),"")</f>
        <v>떨어짐</v>
      </c>
      <c r="W29" s="106">
        <f t="shared" si="1"/>
        <v>9287.0130000000008</v>
      </c>
      <c r="X29" s="149">
        <f t="shared" si="2"/>
        <v>748</v>
      </c>
      <c r="AB29" s="138" t="str" cm="1">
        <f t="array" ref="AB29">IFERROR(INDEX(AI$17:AI$66,_xlfn.AGGREGATE(15,6,ROW(AI$17:AI$66)-ROW(AI$17)+1/(AJ$17:AJ$66=LARGE(AJ$17:AJ$66,13)),COUNTIF(AC$17:AC28,LARGE(AJ$17:AJ$66,13))+1)),"")</f>
        <v/>
      </c>
      <c r="AC29" s="131" t="str">
        <f>IFERROR(LARGE(AJ$17:AJ$66,13),"")</f>
        <v/>
      </c>
      <c r="AE29" s="130" t="str" cm="1">
        <f t="array" ref="AE29">IFERROR(INDEX(AM$17:AM$66,_xlfn.AGGREGATE(15,6,ROW(AM$17:AM$66)-ROW(AM$17)+1/(AN$17:AN$66=LARGE(AN$17:AN$66,13)),COUNTIF(AF$17:AF28,LARGE(AN$17:AN$66,13))+1)),"")</f>
        <v/>
      </c>
      <c r="AF29" s="136" t="str">
        <f>IFERROR(LARGE(AN$17:AN$66,13),"")</f>
        <v/>
      </c>
      <c r="AH29" s="65" t="str" cm="1">
        <f t="array" ref="AH29">IF(AG29="","",SUMPRODUCT(((($D$4="")+($D$4&lt;&gt;"")*ISNUMBER(SEARCH($D$4,DB!$G$2:$G$2576)))*(($D$3&lt;&gt;"YES")+($D$3="YES")*(DB!$E$2:$E$2576="YES"))*(($F$4="전체")+($F$4&lt;&gt;"전체")*(DB!$H$2:$H$2576=$F$4)))*(DB!$B$2:$B$2576=AG29)*1))</f>
        <v/>
      </c>
      <c r="AI29" s="65" t="str" cm="1">
        <f t="array" ref="AI29">IFERROR(INDEX(DB!$C$2:$C$2576,_xlfn.AGGREGATE(15,6,ROW(DB!$C$2:$C$2576)-1/((($D$4="")+($D$4&lt;&gt;"")*ISNUMBER(SEARCH($D$4,DB!$G$2:$G$2576)))*(($D$3&lt;&gt;"YES")+($D$3="YES")*(DB!$E$2:$E$2576="YES"))*(($D$5="")+($D$5&lt;&gt;"")*(DB!$B$2:$B$2576=$D$5))*(($D$6="")+($D$6&lt;&gt;"")*(DB!$C$2:$C$2576=$D$6))*(($D$7="")+($D$7&lt;&gt;"")*(DB!$D$2:$D$2576=$D$7))*(($F$4="전체")+($F$4&lt;&gt;"전체")*(DB!$H$2:$H$2576=$F$4))*(COUNTIF(AI$17:AI28,DB!$C$2:$C$2576)=0)),1)),"")</f>
        <v/>
      </c>
      <c r="AJ29" s="65" t="str" cm="1">
        <f t="array" ref="AJ29">IF(AI29="","",SUMPRODUCT(((($D$4="")+($D$4&lt;&gt;"")*ISNUMBER(SEARCH($D$4,DB!$G$2:$G$2576)))*(($D$3&lt;&gt;"YES")+($D$3="YES")*(DB!$E$2:$E$2576="YES"))*(($D$5="")+($D$5&lt;&gt;"")*(DB!$B$2:$B$2576=$D$5))*(($D$6="")+($D$6&lt;&gt;"")*(DB!$C$2:$C$2576=$D$6))*(($D$7="")+($D$7&lt;&gt;"")*(DB!$D$2:$D$2576=$D$7))*(($F$4="전체")+($F$4&lt;&gt;"전체")*(DB!$H$2:$H$2576=$F$4)))*(DB!$C$2:$C$2576=AI29)*1))</f>
        <v/>
      </c>
      <c r="AK29" s="65" t="str" cm="1">
        <f t="array" ref="AK29">IFERROR(INDEX(DB!$D$2:$D$2576,_xlfn.AGGREGATE(15,6,ROW(DB!$D$2:$D$2576)-1/((($D$4="")+($D$4&lt;&gt;"")*ISNUMBER(SEARCH($D$4,DB!$G$2:$G$2576)))*(($D$3&lt;&gt;"YES")+($D$3="YES")*(DB!$E$2:$E$2576="YES"))*(($F$4="전체")+($F$4&lt;&gt;"전체")*(DB!$H$2:$H$2576=$F$4))*(COUNTIF(AK$16:AK28,DB!$D$2:$D$2576)=0)),13)),"")</f>
        <v/>
      </c>
      <c r="AL29" s="65" t="str" cm="1">
        <f t="array" ref="AL29">IF(AK29="","",SUMPRODUCT(((($D$4="")+($D$4&lt;&gt;"")*ISNUMBER(SEARCH($D$4,DB!$G$2:$G$2576)))*(($D$3&lt;&gt;"YES")+($D$3="YES")*(DB!$E$2:$E$2576="YES"))*(($F$4="전체")+($F$4&lt;&gt;"전체")*(DB!$H$2:$H$2576=$F$4)))*(DB!$D$2:$D$2576=AK29)*1))</f>
        <v/>
      </c>
      <c r="AM29" s="65" t="str" cm="1">
        <f t="array" ref="AM29">IFERROR(INDEX(DB!$O$2:$O$2576,_xlfn.AGGREGATE(15,6,ROW(DB!$O$2:$O$2576)-1/((($D$4="")+($D$4&lt;&gt;"")*ISNUMBER(SEARCH($D$4,DB!$G$2:$G$2576)))*(($D$3&lt;&gt;"YES")+($D$3="YES")*(DB!$E$2:$E$2576="YES"))*(($D$5="")+($D$5&lt;&gt;"")*(DB!$B$2:$B$2576=$D$5))*(($D$6="")+($D$6&lt;&gt;"")*(DB!$C$2:$C$2576=$D$6))*(($D$7="")+($D$7&lt;&gt;"")*(DB!$D$2:$D$2576=$D$7))*(($F$4="전체")+($F$4&lt;&gt;"전체")*(DB!$H$2:$H$2576=$F$4))*(COUNTIF(AM$17:AM28,DB!$O$2:$O$2576)=0)),1)),"")</f>
        <v/>
      </c>
      <c r="AN29" s="65" t="str" cm="1">
        <f t="array" ref="AN29">IF(AM29="","",SUMPRODUCT(((($D$4="")+($D$4&lt;&gt;"")*ISNUMBER(SEARCH($D$4,DB!$G$2:$G$2576)))*(($D$3&lt;&gt;"YES")+($D$3="YES")*(DB!$E$2:$E$2576="YES"))*(($D$5="")+($D$5&lt;&gt;"")*(DB!$B$2:$B$2576=$D$5))*(($D$6="")+($D$6&lt;&gt;"")*(DB!$C$2:$C$2576=$D$6))*(($D$7="")+($D$7&lt;&gt;"")*(DB!$D$2:$D$2576=$D$7))*(($F$4="전체")+($F$4&lt;&gt;"전체")*(DB!$H$2:$H$2576=$F$4)))*(DB!$O$2:$O$2576=AM29)*1))</f>
        <v/>
      </c>
      <c r="AY29" t="s">
        <v>956</v>
      </c>
      <c r="AZ29">
        <v>12</v>
      </c>
      <c r="BA29">
        <v>80</v>
      </c>
      <c r="BB29" s="11">
        <v>3.108003108003108E-2</v>
      </c>
    </row>
    <row r="30" spans="1:54" ht="90" customHeight="1">
      <c r="A30" s="26"/>
      <c r="B30" s="73">
        <f t="shared" si="0"/>
        <v>14</v>
      </c>
      <c r="C30" s="74"/>
      <c r="D30" s="96" t="str" cm="1">
        <f t="array" ref="D30">IFERROR(INDEX(DB!B$2:B$2576,X30),"")</f>
        <v>2. 철근콘크리트공사</v>
      </c>
      <c r="E30" s="107"/>
      <c r="F30" s="97" t="str" cm="1">
        <f t="array" ref="F30">IFERROR(INDEX(DB!C$2:C$2576,X30),"")</f>
        <v>2.4 콘크리트 작업</v>
      </c>
      <c r="G30" s="108"/>
      <c r="H30" s="98" t="str" cm="1">
        <f t="array" ref="H30">IFERROR(INDEX(DB!D$2:D$2576,X30),"")</f>
        <v>2.4.2 콘크리트 타설 및 다짐</v>
      </c>
      <c r="I30" s="109"/>
      <c r="J30" s="99" t="str" cm="1">
        <f t="array" ref="J30">IFERROR(INDEX(DB!O$2:O$2576,X30),"")</f>
        <v>무너짐</v>
      </c>
      <c r="K30" s="110"/>
      <c r="L30" s="75" t="str" cm="1">
        <f t="array" ref="L30">IFERROR(INDEX(DB!P$2:P$2576,X30),"")</f>
        <v>2019년 11월경 OO(주)가 시공하는 창고시설 신축 현장에서 협력업체 ㈜OO 소속 근로자 재해자(철근공, 형틀공) 2명이 창고동 옥상 슬래브(Slab)에서 콘크리트타설 작업 중 데크플레이트가 철골에서 탈락하며 2층 바닥으로 떨어져(H≒7m) 부상</v>
      </c>
      <c r="M30" s="76" t="str" cm="1">
        <f t="array" ref="M30">IFERROR(INDEX(DB!Q$2:Q$2576,X30),"")</f>
        <v>데크플레이트 콘크리트 타설 작업 중 데크플레이트(구조적 불안정, 작업방법 불량 등)가 붕괴</v>
      </c>
      <c r="N30" s="77"/>
      <c r="O30" s="78" t="str" cm="1">
        <f t="array" ref="O30">IFERROR(INDEX(DB!R$2:R$2576,X30),"")</f>
        <v xml:space="preserve">▶ 콘크리트 타설작업 시 사전에 거푸집의 변형 및 변위 등을 점검 및 보수
▶ 데크플레이트의 양단 걸침길이는 50mm 이상으로 하며 용접 방법과 간격 준수 </v>
      </c>
      <c r="P30" s="101"/>
      <c r="Q30" s="102"/>
      <c r="R30" s="103"/>
      <c r="S30" s="43"/>
      <c r="T30" s="66" cm="1">
        <f t="array" ref="T30">IFERROR(_xlfn.AGGREGATE(15,6,ROW(DB!A$2:A$2576)/(((($D$3&lt;&gt;"YES")+($D$3="YES")*(DB!E$2:E$2576="YES"))*(($D$4="")+($D$4&lt;&gt;"")*ISNUMBER(SEARCH($D$4,DB!G$2:G$2576)))*(($D$5="")+($D$5&lt;&gt;"")*(DB!B$2:B$2576=$D$5))*(($D$6="")+($D$6&lt;&gt;"")*(DB!C$2:C$2576=$D$6))*(($D$7="")+($D$7&lt;&gt;"")*(DB!D$2:D$2576=$D$7))*(($F$4="전체")+($F$4&lt;&gt;"전체")*(DB!H$2:H$2576=$F$4)))),ROW()-16)-1,"")</f>
        <v>752</v>
      </c>
      <c r="U30" s="104" t="str" cm="1">
        <f t="array" ref="U30">IFERROR(INDEX(DB!B$2:B$2576,T30),"")</f>
        <v>2. 철근콘크리트공사</v>
      </c>
      <c r="V30" s="105" t="str" cm="1">
        <f t="array" ref="V30">IFERROR(INDEX(DB!O$2:O$2576,T30),"")</f>
        <v>무너짐</v>
      </c>
      <c r="W30" s="106">
        <f t="shared" si="1"/>
        <v>9392.0139999999992</v>
      </c>
      <c r="X30" s="149">
        <f t="shared" si="2"/>
        <v>752</v>
      </c>
      <c r="AB30" s="138" t="str" cm="1">
        <f t="array" ref="AB30">IFERROR(INDEX(AI$17:AI$66,_xlfn.AGGREGATE(15,6,ROW(AI$17:AI$66)-ROW(AI$17)+1/(AJ$17:AJ$66=LARGE(AJ$17:AJ$66,14)),COUNTIF(AC$17:AC29,LARGE(AJ$17:AJ$66,14))+1)),"")</f>
        <v/>
      </c>
      <c r="AC30" s="131" t="str">
        <f>IFERROR(LARGE(AJ$17:AJ$66,14),"")</f>
        <v/>
      </c>
      <c r="AE30" s="130" t="str" cm="1">
        <f t="array" ref="AE30">IFERROR(INDEX(AM$17:AM$66,_xlfn.AGGREGATE(15,6,ROW(AM$17:AM$66)-ROW(AM$17)+1/(AN$17:AN$66=LARGE(AN$17:AN$66,14)),COUNTIF(AF$17:AF29,LARGE(AN$17:AN$66,14))+1)),"")</f>
        <v/>
      </c>
      <c r="AF30" s="136" t="str">
        <f>IFERROR(LARGE(AN$17:AN$66,14),"")</f>
        <v/>
      </c>
      <c r="AH30" s="65" t="str" cm="1">
        <f t="array" ref="AH30">IF(AG30="","",SUMPRODUCT(((($D$4="")+($D$4&lt;&gt;"")*ISNUMBER(SEARCH($D$4,DB!$G$2:$G$2576)))*(($D$3&lt;&gt;"YES")+($D$3="YES")*(DB!$E$2:$E$2576="YES"))*(($F$4="전체")+($F$4&lt;&gt;"전체")*(DB!$H$2:$H$2576=$F$4)))*(DB!$B$2:$B$2576=AG30)*1))</f>
        <v/>
      </c>
      <c r="AI30" s="65" t="str" cm="1">
        <f t="array" ref="AI30">IFERROR(INDEX(DB!$C$2:$C$2576,_xlfn.AGGREGATE(15,6,ROW(DB!$C$2:$C$2576)-1/((($D$4="")+($D$4&lt;&gt;"")*ISNUMBER(SEARCH($D$4,DB!$G$2:$G$2576)))*(($D$3&lt;&gt;"YES")+($D$3="YES")*(DB!$E$2:$E$2576="YES"))*(($D$5="")+($D$5&lt;&gt;"")*(DB!$B$2:$B$2576=$D$5))*(($D$6="")+($D$6&lt;&gt;"")*(DB!$C$2:$C$2576=$D$6))*(($D$7="")+($D$7&lt;&gt;"")*(DB!$D$2:$D$2576=$D$7))*(($F$4="전체")+($F$4&lt;&gt;"전체")*(DB!$H$2:$H$2576=$F$4))*(COUNTIF(AI$17:AI29,DB!$C$2:$C$2576)=0)),1)),"")</f>
        <v/>
      </c>
      <c r="AJ30" s="65" t="str" cm="1">
        <f t="array" ref="AJ30">IF(AI30="","",SUMPRODUCT(((($D$4="")+($D$4&lt;&gt;"")*ISNUMBER(SEARCH($D$4,DB!$G$2:$G$2576)))*(($D$3&lt;&gt;"YES")+($D$3="YES")*(DB!$E$2:$E$2576="YES"))*(($D$5="")+($D$5&lt;&gt;"")*(DB!$B$2:$B$2576=$D$5))*(($D$6="")+($D$6&lt;&gt;"")*(DB!$C$2:$C$2576=$D$6))*(($D$7="")+($D$7&lt;&gt;"")*(DB!$D$2:$D$2576=$D$7))*(($F$4="전체")+($F$4&lt;&gt;"전체")*(DB!$H$2:$H$2576=$F$4)))*(DB!$C$2:$C$2576=AI30)*1))</f>
        <v/>
      </c>
      <c r="AK30" s="65" t="str" cm="1">
        <f t="array" ref="AK30">IFERROR(INDEX(DB!$D$2:$D$2576,_xlfn.AGGREGATE(15,6,ROW(DB!$D$2:$D$2576)-1/((($D$4="")+($D$4&lt;&gt;"")*ISNUMBER(SEARCH($D$4,DB!$G$2:$G$2576)))*(($D$3&lt;&gt;"YES")+($D$3="YES")*(DB!$E$2:$E$2576="YES"))*(($F$4="전체")+($F$4&lt;&gt;"전체")*(DB!$H$2:$H$2576=$F$4))*(COUNTIF(AK$16:AK29,DB!$D$2:$D$2576)=0)),14)),"")</f>
        <v/>
      </c>
      <c r="AL30" s="65" t="str" cm="1">
        <f t="array" ref="AL30">IF(AK30="","",SUMPRODUCT(((($D$4="")+($D$4&lt;&gt;"")*ISNUMBER(SEARCH($D$4,DB!$G$2:$G$2576)))*(($D$3&lt;&gt;"YES")+($D$3="YES")*(DB!$E$2:$E$2576="YES"))*(($F$4="전체")+($F$4&lt;&gt;"전체")*(DB!$H$2:$H$2576=$F$4)))*(DB!$D$2:$D$2576=AK30)*1))</f>
        <v/>
      </c>
      <c r="AM30" s="65" t="str" cm="1">
        <f t="array" ref="AM30">IFERROR(INDEX(DB!$O$2:$O$2576,_xlfn.AGGREGATE(15,6,ROW(DB!$O$2:$O$2576)-1/((($D$4="")+($D$4&lt;&gt;"")*ISNUMBER(SEARCH($D$4,DB!$G$2:$G$2576)))*(($D$3&lt;&gt;"YES")+($D$3="YES")*(DB!$E$2:$E$2576="YES"))*(($D$5="")+($D$5&lt;&gt;"")*(DB!$B$2:$B$2576=$D$5))*(($D$6="")+($D$6&lt;&gt;"")*(DB!$C$2:$C$2576=$D$6))*(($D$7="")+($D$7&lt;&gt;"")*(DB!$D$2:$D$2576=$D$7))*(($F$4="전체")+($F$4&lt;&gt;"전체")*(DB!$H$2:$H$2576=$F$4))*(COUNTIF(AM$17:AM29,DB!$O$2:$O$2576)=0)),1)),"")</f>
        <v/>
      </c>
      <c r="AN30" s="65" t="str" cm="1">
        <f t="array" ref="AN30">IF(AM30="","",SUMPRODUCT(((($D$4="")+($D$4&lt;&gt;"")*ISNUMBER(SEARCH($D$4,DB!$G$2:$G$2576)))*(($D$3&lt;&gt;"YES")+($D$3="YES")*(DB!$E$2:$E$2576="YES"))*(($D$5="")+($D$5&lt;&gt;"")*(DB!$B$2:$B$2576=$D$5))*(($D$6="")+($D$6&lt;&gt;"")*(DB!$C$2:$C$2576=$D$6))*(($D$7="")+($D$7&lt;&gt;"")*(DB!$D$2:$D$2576=$D$7))*(($F$4="전체")+($F$4&lt;&gt;"전체")*(DB!$H$2:$H$2576=$F$4)))*(DB!$O$2:$O$2576=AM30)*1))</f>
        <v/>
      </c>
      <c r="AY30" t="s">
        <v>114</v>
      </c>
      <c r="AZ30">
        <v>13</v>
      </c>
      <c r="BA30">
        <v>76</v>
      </c>
      <c r="BB30" s="11">
        <v>2.9526029526029528E-2</v>
      </c>
    </row>
    <row r="31" spans="1:54" ht="90" customHeight="1">
      <c r="A31" s="79"/>
      <c r="B31" s="73">
        <f t="shared" si="0"/>
        <v>15</v>
      </c>
      <c r="C31" s="74"/>
      <c r="D31" s="96" t="str" cm="1">
        <f t="array" ref="D31">IFERROR(INDEX(DB!B$2:B$2576,X31),"")</f>
        <v>2. 철근콘크리트공사</v>
      </c>
      <c r="E31" s="107"/>
      <c r="F31" s="97" t="str" cm="1">
        <f t="array" ref="F31">IFERROR(INDEX(DB!C$2:C$2576,X31),"")</f>
        <v>2.4 콘크리트 작업</v>
      </c>
      <c r="G31" s="108"/>
      <c r="H31" s="98" t="str" cm="1">
        <f t="array" ref="H31">IFERROR(INDEX(DB!D$2:D$2576,X31),"")</f>
        <v>2.4.2 콘크리트 타설 및 다짐</v>
      </c>
      <c r="I31" s="109"/>
      <c r="J31" s="99" t="str" cm="1">
        <f t="array" ref="J31">IFERROR(INDEX(DB!O$2:O$2576,X31),"")</f>
        <v>무너짐</v>
      </c>
      <c r="K31" s="110"/>
      <c r="L31" s="75" t="str" cm="1">
        <f t="array" ref="L31">IFERROR(INDEX(DB!P$2:P$2576,X31),"")</f>
        <v>2020년 9월경 ㈜OO 주거 및 업무시설 신축공사 현장의 기계식주차장 중층 슬래브 위에서 재해자 2명이 콘크리트를 타설하던 중, 데크플레이트가 붕괴되어 약 46.5미터 아래 주차 Pit내 지하2층 바닥으로 추락하여 사망</v>
      </c>
      <c r="M31" s="76" t="str" cm="1">
        <f t="array" ref="M31">IFERROR(INDEX(DB!Q$2:Q$2576,X31),"")</f>
        <v>데크플레이트 콘크리트 타설 작업 중 데크플레이트(구조적 불안정, 작업방법 불량 등)가 붕괴</v>
      </c>
      <c r="N31" s="77"/>
      <c r="O31" s="78" t="str" cm="1">
        <f t="array" ref="O31">IFERROR(INDEX(DB!R$2:R$2576,X31),"")</f>
        <v>▶ 데크플레이트를 지지하는 철골빔과 같은 주요 부재 설치시, 용도, 품질, 이음부 발생 시 접합방법 등 사전 확인
▶ 콘크리트 타설 시 편심발생을 막기위해 집중타설 금지
▶ 콘크리트 타설 작업 시 데크플레이트의 변형 및 변위 감시를 위한 감시자 배치</v>
      </c>
      <c r="P31" s="101"/>
      <c r="Q31" s="102"/>
      <c r="R31" s="103"/>
      <c r="S31" s="43"/>
      <c r="T31" s="66" cm="1">
        <f t="array" ref="T31">IFERROR(_xlfn.AGGREGATE(15,6,ROW(DB!A$2:A$2576)/(((($D$3&lt;&gt;"YES")+($D$3="YES")*(DB!E$2:E$2576="YES"))*(($D$4="")+($D$4&lt;&gt;"")*ISNUMBER(SEARCH($D$4,DB!G$2:G$2576)))*(($D$5="")+($D$5&lt;&gt;"")*(DB!B$2:B$2576=$D$5))*(($D$6="")+($D$6&lt;&gt;"")*(DB!C$2:C$2576=$D$6))*(($D$7="")+($D$7&lt;&gt;"")*(DB!D$2:D$2576=$D$7))*(($F$4="전체")+($F$4&lt;&gt;"전체")*(DB!H$2:H$2576=$F$4)))),ROW()-16)-1,"")</f>
        <v>754</v>
      </c>
      <c r="U31" s="104" t="str" cm="1">
        <f t="array" ref="U31">IFERROR(INDEX(DB!B$2:B$2576,T31),"")</f>
        <v>2. 철근콘크리트공사</v>
      </c>
      <c r="V31" s="105" t="str" cm="1">
        <f t="array" ref="V31">IFERROR(INDEX(DB!O$2:O$2576,T31),"")</f>
        <v>무너짐</v>
      </c>
      <c r="W31" s="106">
        <f t="shared" si="1"/>
        <v>9392.0149999999994</v>
      </c>
      <c r="X31" s="149">
        <f t="shared" si="2"/>
        <v>754</v>
      </c>
      <c r="AB31" s="138" t="str" cm="1">
        <f t="array" ref="AB31">IFERROR(INDEX(AI$17:AI$66,_xlfn.AGGREGATE(15,6,ROW(AI$17:AI$66)-ROW(AI$17)+1/(AJ$17:AJ$66=LARGE(AJ$17:AJ$66,15)),COUNTIF(AC$17:AC30,LARGE(AJ$17:AJ$66,15))+1)),"")</f>
        <v/>
      </c>
      <c r="AC31" s="131" t="str">
        <f>IFERROR(LARGE(AJ$17:AJ$66,15),"")</f>
        <v/>
      </c>
      <c r="AE31" s="130" t="str" cm="1">
        <f t="array" ref="AE31">IFERROR(INDEX(AM$17:AM$66,_xlfn.AGGREGATE(15,6,ROW(AM$17:AM$66)-ROW(AM$17)+1/(AN$17:AN$66=LARGE(AN$17:AN$66,15)),COUNTIF(AF$17:AF30,LARGE(AN$17:AN$66,15))+1)),"")</f>
        <v/>
      </c>
      <c r="AF31" s="136" t="str">
        <f>IFERROR(LARGE(AN$17:AN$66,15),"")</f>
        <v/>
      </c>
      <c r="AH31" s="65" t="str" cm="1">
        <f t="array" ref="AH31">IF(AG31="","",SUMPRODUCT(((($D$4="")+($D$4&lt;&gt;"")*ISNUMBER(SEARCH($D$4,DB!$G$2:$G$2576)))*(($D$3&lt;&gt;"YES")+($D$3="YES")*(DB!$E$2:$E$2576="YES"))*(($F$4="전체")+($F$4&lt;&gt;"전체")*(DB!$H$2:$H$2576=$F$4)))*(DB!$B$2:$B$2576=AG31)*1))</f>
        <v/>
      </c>
      <c r="AI31" s="65" t="str" cm="1">
        <f t="array" ref="AI31">IFERROR(INDEX(DB!$C$2:$C$2576,_xlfn.AGGREGATE(15,6,ROW(DB!$C$2:$C$2576)-1/((($D$4="")+($D$4&lt;&gt;"")*ISNUMBER(SEARCH($D$4,DB!$G$2:$G$2576)))*(($D$3&lt;&gt;"YES")+($D$3="YES")*(DB!$E$2:$E$2576="YES"))*(($D$5="")+($D$5&lt;&gt;"")*(DB!$B$2:$B$2576=$D$5))*(($D$6="")+($D$6&lt;&gt;"")*(DB!$C$2:$C$2576=$D$6))*(($D$7="")+($D$7&lt;&gt;"")*(DB!$D$2:$D$2576=$D$7))*(($F$4="전체")+($F$4&lt;&gt;"전체")*(DB!$H$2:$H$2576=$F$4))*(COUNTIF(AI$17:AI30,DB!$C$2:$C$2576)=0)),1)),"")</f>
        <v/>
      </c>
      <c r="AJ31" s="65" t="str" cm="1">
        <f t="array" ref="AJ31">IF(AI31="","",SUMPRODUCT(((($D$4="")+($D$4&lt;&gt;"")*ISNUMBER(SEARCH($D$4,DB!$G$2:$G$2576)))*(($D$3&lt;&gt;"YES")+($D$3="YES")*(DB!$E$2:$E$2576="YES"))*(($D$5="")+($D$5&lt;&gt;"")*(DB!$B$2:$B$2576=$D$5))*(($D$6="")+($D$6&lt;&gt;"")*(DB!$C$2:$C$2576=$D$6))*(($D$7="")+($D$7&lt;&gt;"")*(DB!$D$2:$D$2576=$D$7))*(($F$4="전체")+($F$4&lt;&gt;"전체")*(DB!$H$2:$H$2576=$F$4)))*(DB!$C$2:$C$2576=AI31)*1))</f>
        <v/>
      </c>
      <c r="AK31" s="65" t="str" cm="1">
        <f t="array" ref="AK31">IFERROR(INDEX(DB!$D$2:$D$2576,_xlfn.AGGREGATE(15,6,ROW(DB!$D$2:$D$2576)-1/((($D$4="")+($D$4&lt;&gt;"")*ISNUMBER(SEARCH($D$4,DB!$G$2:$G$2576)))*(($D$3&lt;&gt;"YES")+($D$3="YES")*(DB!$E$2:$E$2576="YES"))*(($F$4="전체")+($F$4&lt;&gt;"전체")*(DB!$H$2:$H$2576=$F$4))*(COUNTIF(AK$16:AK30,DB!$D$2:$D$2576)=0)),15)),"")</f>
        <v/>
      </c>
      <c r="AL31" s="65" t="str" cm="1">
        <f t="array" ref="AL31">IF(AK31="","",SUMPRODUCT(((($D$4="")+($D$4&lt;&gt;"")*ISNUMBER(SEARCH($D$4,DB!$G$2:$G$2576)))*(($D$3&lt;&gt;"YES")+($D$3="YES")*(DB!$E$2:$E$2576="YES"))*(($F$4="전체")+($F$4&lt;&gt;"전체")*(DB!$H$2:$H$2576=$F$4)))*(DB!$D$2:$D$2576=AK31)*1))</f>
        <v/>
      </c>
      <c r="AM31" s="65" t="str" cm="1">
        <f t="array" ref="AM31">IFERROR(INDEX(DB!$O$2:$O$2576,_xlfn.AGGREGATE(15,6,ROW(DB!$O$2:$O$2576)-1/((($D$4="")+($D$4&lt;&gt;"")*ISNUMBER(SEARCH($D$4,DB!$G$2:$G$2576)))*(($D$3&lt;&gt;"YES")+($D$3="YES")*(DB!$E$2:$E$2576="YES"))*(($D$5="")+($D$5&lt;&gt;"")*(DB!$B$2:$B$2576=$D$5))*(($D$6="")+($D$6&lt;&gt;"")*(DB!$C$2:$C$2576=$D$6))*(($D$7="")+($D$7&lt;&gt;"")*(DB!$D$2:$D$2576=$D$7))*(($F$4="전체")+($F$4&lt;&gt;"전체")*(DB!$H$2:$H$2576=$F$4))*(COUNTIF(AM$17:AM30,DB!$O$2:$O$2576)=0)),1)),"")</f>
        <v/>
      </c>
      <c r="AN31" s="65" t="str" cm="1">
        <f t="array" ref="AN31">IF(AM31="","",SUMPRODUCT(((($D$4="")+($D$4&lt;&gt;"")*ISNUMBER(SEARCH($D$4,DB!$G$2:$G$2576)))*(($D$3&lt;&gt;"YES")+($D$3="YES")*(DB!$E$2:$E$2576="YES"))*(($D$5="")+($D$5&lt;&gt;"")*(DB!$B$2:$B$2576=$D$5))*(($D$6="")+($D$6&lt;&gt;"")*(DB!$C$2:$C$2576=$D$6))*(($D$7="")+($D$7&lt;&gt;"")*(DB!$D$2:$D$2576=$D$7))*(($F$4="전체")+($F$4&lt;&gt;"전체")*(DB!$H$2:$H$2576=$F$4)))*(DB!$O$2:$O$2576=AM31)*1))</f>
        <v/>
      </c>
      <c r="AY31" t="s">
        <v>1344</v>
      </c>
      <c r="AZ31">
        <v>14</v>
      </c>
      <c r="BA31">
        <v>70</v>
      </c>
      <c r="BB31" s="11">
        <v>2.7195027195027196E-2</v>
      </c>
    </row>
    <row r="32" spans="1:54" ht="90" customHeight="1">
      <c r="A32" s="26"/>
      <c r="B32" s="73">
        <f t="shared" si="0"/>
        <v>16</v>
      </c>
      <c r="C32" s="74"/>
      <c r="D32" s="96" t="str" cm="1">
        <f t="array" ref="D32">IFERROR(INDEX(DB!B$2:B$2576,X32),"")</f>
        <v>2. 철근콘크리트공사</v>
      </c>
      <c r="E32" s="107"/>
      <c r="F32" s="97" t="str" cm="1">
        <f t="array" ref="F32">IFERROR(INDEX(DB!C$2:C$2576,X32),"")</f>
        <v>2.4 콘크리트 작업</v>
      </c>
      <c r="G32" s="108"/>
      <c r="H32" s="98" t="str" cm="1">
        <f t="array" ref="H32">IFERROR(INDEX(DB!D$2:D$2576,X32),"")</f>
        <v>2.4.2 콘크리트 타설 및 다짐</v>
      </c>
      <c r="I32" s="109"/>
      <c r="J32" s="99" t="str" cm="1">
        <f t="array" ref="J32">IFERROR(INDEX(DB!O$2:O$2576,X32),"")</f>
        <v>무너짐</v>
      </c>
      <c r="K32" s="110"/>
      <c r="L32" s="75" t="str" cm="1">
        <f t="array" ref="L32">IFERROR(INDEX(DB!P$2:P$2576,X32),"")</f>
        <v>2021년 2월경 OO(주) OO신축공사 현장에서 지상1층 콘크리트 타설 중 상부슬래브가(데크플레이트 : 8.1m x 10.3m, 3 Span) 붕괴되면서, 지상1층 바닥에서 콘크리트 양생용 열풍기에 연료주입을 하던 재해자 2명을 덮쳐 부상</v>
      </c>
      <c r="M32" s="76" t="str" cm="1">
        <f t="array" ref="M32">IFERROR(INDEX(DB!Q$2:Q$2576,X32),"")</f>
        <v>데크플레이트 콘크리트 타설 작업 중 데크플레이트(구조적 불안정, 작업방법 불량 등)가 붕괴</v>
      </c>
      <c r="N32" s="77"/>
      <c r="O32" s="78" t="str" cm="1">
        <f t="array" ref="O32">IFERROR(INDEX(DB!R$2:R$2576,X32),"")</f>
        <v>▶ 데크플레이트를 지지하는 철골빔과 같은 주요 부재 설치시, 용도, 품질, 이음부 발생 시 접합방법 등 사전 확인
▶ 콘크리트 타설 시 편심발생을 막기위해 집중타설 금지
▶ 콘크리트 타설 작업 시 데크플레이트의 변형 및 변위 감시를 위한 감시자 배치</v>
      </c>
      <c r="P32" s="101"/>
      <c r="Q32" s="102"/>
      <c r="R32" s="103"/>
      <c r="S32" s="43"/>
      <c r="T32" s="66" cm="1">
        <f t="array" ref="T32">IFERROR(_xlfn.AGGREGATE(15,6,ROW(DB!A$2:A$2576)/(((($D$3&lt;&gt;"YES")+($D$3="YES")*(DB!E$2:E$2576="YES"))*(($D$4="")+($D$4&lt;&gt;"")*ISNUMBER(SEARCH($D$4,DB!G$2:G$2576)))*(($D$5="")+($D$5&lt;&gt;"")*(DB!B$2:B$2576=$D$5))*(($D$6="")+($D$6&lt;&gt;"")*(DB!C$2:C$2576=$D$6))*(($D$7="")+($D$7&lt;&gt;"")*(DB!D$2:D$2576=$D$7))*(($F$4="전체")+($F$4&lt;&gt;"전체")*(DB!H$2:H$2576=$F$4)))),ROW()-16)-1,"")</f>
        <v>755</v>
      </c>
      <c r="U32" s="104" t="str" cm="1">
        <f t="array" ref="U32">IFERROR(INDEX(DB!B$2:B$2576,T32),"")</f>
        <v>2. 철근콘크리트공사</v>
      </c>
      <c r="V32" s="105" t="str" cm="1">
        <f t="array" ref="V32">IFERROR(INDEX(DB!O$2:O$2576,T32),"")</f>
        <v>무너짐</v>
      </c>
      <c r="W32" s="106">
        <f t="shared" si="1"/>
        <v>9392.0159999999996</v>
      </c>
      <c r="X32" s="149">
        <f t="shared" si="2"/>
        <v>755</v>
      </c>
      <c r="AB32" s="138" t="str" cm="1">
        <f t="array" ref="AB32">IFERROR(INDEX(AI$17:AI$66,_xlfn.AGGREGATE(15,6,ROW(AI$17:AI$66)-ROW(AI$17)+1/(AJ$17:AJ$66=LARGE(AJ$17:AJ$66,16)),COUNTIF(AC$17:AC31,LARGE(AJ$17:AJ$66,16))+1)),"")</f>
        <v/>
      </c>
      <c r="AC32" s="131" t="str">
        <f>IFERROR(LARGE(AJ$17:AJ$66,16),"")</f>
        <v/>
      </c>
      <c r="AE32" s="130" t="str" cm="1">
        <f t="array" ref="AE32">IFERROR(INDEX(AM$17:AM$66,_xlfn.AGGREGATE(15,6,ROW(AM$17:AM$66)-ROW(AM$17)+1/(AN$17:AN$66=LARGE(AN$17:AN$66,16)),COUNTIF(AF$17:AF31,LARGE(AN$17:AN$66,16))+1)),"")</f>
        <v/>
      </c>
      <c r="AF32" s="136" t="str">
        <f>IFERROR(LARGE(AN$17:AN$66,16),"")</f>
        <v/>
      </c>
      <c r="AH32" s="65" t="str" cm="1">
        <f t="array" ref="AH32">IF(AG32="","",SUMPRODUCT(((($D$4="")+($D$4&lt;&gt;"")*ISNUMBER(SEARCH($D$4,DB!$G$2:$G$2576)))*(($D$3&lt;&gt;"YES")+($D$3="YES")*(DB!$E$2:$E$2576="YES"))*(($F$4="전체")+($F$4&lt;&gt;"전체")*(DB!$H$2:$H$2576=$F$4)))*(DB!$B$2:$B$2576=AG32)*1))</f>
        <v/>
      </c>
      <c r="AI32" s="65" t="str" cm="1">
        <f t="array" ref="AI32">IFERROR(INDEX(DB!$C$2:$C$2576,_xlfn.AGGREGATE(15,6,ROW(DB!$C$2:$C$2576)-1/((($D$4="")+($D$4&lt;&gt;"")*ISNUMBER(SEARCH($D$4,DB!$G$2:$G$2576)))*(($D$3&lt;&gt;"YES")+($D$3="YES")*(DB!$E$2:$E$2576="YES"))*(($D$5="")+($D$5&lt;&gt;"")*(DB!$B$2:$B$2576=$D$5))*(($D$6="")+($D$6&lt;&gt;"")*(DB!$C$2:$C$2576=$D$6))*(($D$7="")+($D$7&lt;&gt;"")*(DB!$D$2:$D$2576=$D$7))*(($F$4="전체")+($F$4&lt;&gt;"전체")*(DB!$H$2:$H$2576=$F$4))*(COUNTIF(AI$17:AI31,DB!$C$2:$C$2576)=0)),1)),"")</f>
        <v/>
      </c>
      <c r="AJ32" s="65" t="str" cm="1">
        <f t="array" ref="AJ32">IF(AI32="","",SUMPRODUCT(((($D$4="")+($D$4&lt;&gt;"")*ISNUMBER(SEARCH($D$4,DB!$G$2:$G$2576)))*(($D$3&lt;&gt;"YES")+($D$3="YES")*(DB!$E$2:$E$2576="YES"))*(($D$5="")+($D$5&lt;&gt;"")*(DB!$B$2:$B$2576=$D$5))*(($D$6="")+($D$6&lt;&gt;"")*(DB!$C$2:$C$2576=$D$6))*(($D$7="")+($D$7&lt;&gt;"")*(DB!$D$2:$D$2576=$D$7))*(($F$4="전체")+($F$4&lt;&gt;"전체")*(DB!$H$2:$H$2576=$F$4)))*(DB!$C$2:$C$2576=AI32)*1))</f>
        <v/>
      </c>
      <c r="AK32" s="65" t="str" cm="1">
        <f t="array" ref="AK32">IFERROR(INDEX(DB!$D$2:$D$2576,_xlfn.AGGREGATE(15,6,ROW(DB!$D$2:$D$2576)-1/((($D$4="")+($D$4&lt;&gt;"")*ISNUMBER(SEARCH($D$4,DB!$G$2:$G$2576)))*(($D$3&lt;&gt;"YES")+($D$3="YES")*(DB!$E$2:$E$2576="YES"))*(($F$4="전체")+($F$4&lt;&gt;"전체")*(DB!$H$2:$H$2576=$F$4))*(COUNTIF(AK$16:AK31,DB!$D$2:$D$2576)=0)),16)),"")</f>
        <v/>
      </c>
      <c r="AL32" s="65" t="str" cm="1">
        <f t="array" ref="AL32">IF(AK32="","",SUMPRODUCT(((($D$4="")+($D$4&lt;&gt;"")*ISNUMBER(SEARCH($D$4,DB!$G$2:$G$2576)))*(($D$3&lt;&gt;"YES")+($D$3="YES")*(DB!$E$2:$E$2576="YES"))*(($F$4="전체")+($F$4&lt;&gt;"전체")*(DB!$H$2:$H$2576=$F$4)))*(DB!$D$2:$D$2576=AK32)*1))</f>
        <v/>
      </c>
      <c r="AM32" s="65" t="str" cm="1">
        <f t="array" ref="AM32">IFERROR(INDEX(DB!$O$2:$O$2576,_xlfn.AGGREGATE(15,6,ROW(DB!$O$2:$O$2576)-1/((($D$4="")+($D$4&lt;&gt;"")*ISNUMBER(SEARCH($D$4,DB!$G$2:$G$2576)))*(($D$3&lt;&gt;"YES")+($D$3="YES")*(DB!$E$2:$E$2576="YES"))*(($D$5="")+($D$5&lt;&gt;"")*(DB!$B$2:$B$2576=$D$5))*(($D$6="")+($D$6&lt;&gt;"")*(DB!$C$2:$C$2576=$D$6))*(($D$7="")+($D$7&lt;&gt;"")*(DB!$D$2:$D$2576=$D$7))*(($F$4="전체")+($F$4&lt;&gt;"전체")*(DB!$H$2:$H$2576=$F$4))*(COUNTIF(AM$17:AM31,DB!$O$2:$O$2576)=0)),1)),"")</f>
        <v/>
      </c>
      <c r="AN32" s="65" t="str" cm="1">
        <f t="array" ref="AN32">IF(AM32="","",SUMPRODUCT(((($D$4="")+($D$4&lt;&gt;"")*ISNUMBER(SEARCH($D$4,DB!$G$2:$G$2576)))*(($D$3&lt;&gt;"YES")+($D$3="YES")*(DB!$E$2:$E$2576="YES"))*(($D$5="")+($D$5&lt;&gt;"")*(DB!$B$2:$B$2576=$D$5))*(($D$6="")+($D$6&lt;&gt;"")*(DB!$C$2:$C$2576=$D$6))*(($D$7="")+($D$7&lt;&gt;"")*(DB!$D$2:$D$2576=$D$7))*(($F$4="전체")+($F$4&lt;&gt;"전체")*(DB!$H$2:$H$2576=$F$4)))*(DB!$O$2:$O$2576=AM32)*1))</f>
        <v/>
      </c>
      <c r="AY32" t="s">
        <v>1093</v>
      </c>
      <c r="AZ32">
        <v>15</v>
      </c>
      <c r="BA32">
        <v>70</v>
      </c>
      <c r="BB32" s="11">
        <v>2.7195027195027196E-2</v>
      </c>
    </row>
    <row r="33" spans="1:54" ht="90" customHeight="1">
      <c r="A33" s="79"/>
      <c r="B33" s="73">
        <f t="shared" si="0"/>
        <v>17</v>
      </c>
      <c r="C33" s="74"/>
      <c r="D33" s="96" t="str" cm="1">
        <f t="array" ref="D33">IFERROR(INDEX(DB!B$2:B$2576,X33),"")</f>
        <v>2. 철근콘크리트공사</v>
      </c>
      <c r="E33" s="107"/>
      <c r="F33" s="97" t="str" cm="1">
        <f t="array" ref="F33">IFERROR(INDEX(DB!C$2:C$2576,X33),"")</f>
        <v>2.4 콘크리트 작업</v>
      </c>
      <c r="G33" s="108"/>
      <c r="H33" s="98" t="str" cm="1">
        <f t="array" ref="H33">IFERROR(INDEX(DB!D$2:D$2576,X33),"")</f>
        <v>2.4.2 콘크리트 타설 및 다짐</v>
      </c>
      <c r="I33" s="109"/>
      <c r="J33" s="99" t="str" cm="1">
        <f t="array" ref="J33">IFERROR(INDEX(DB!O$2:O$2576,X33),"")</f>
        <v>무너짐</v>
      </c>
      <c r="K33" s="110"/>
      <c r="L33" s="75" t="str" cm="1">
        <f t="array" ref="L33">IFERROR(INDEX(DB!P$2:P$2576,X33),"")</f>
        <v>2021년 2월경 OO(주)에서 시공 중인 OO신축공사 현장에서 지하 1층 주차장 바닥 슬라브 타설 작업 중 데크플레이트가 붕괴하여 타설작업자 5명이 떨어져(H≒3.5m) 전원 부상</v>
      </c>
      <c r="M33" s="76" t="str" cm="1">
        <f t="array" ref="M33">IFERROR(INDEX(DB!Q$2:Q$2576,X33),"")</f>
        <v>데크플레이트 콘크리트 타설 작업 중 데크플레이트(구조적 불안정, 작업방법 불량 등)가 붕괴</v>
      </c>
      <c r="N33" s="77"/>
      <c r="O33" s="78" t="str" cm="1">
        <f t="array" ref="O33">IFERROR(INDEX(DB!R$2:R$2576,X33),"")</f>
        <v>▶ 데크플레이트를 지지하는 철골빔과 같은 주요 부재 설치시, 용도, 품질, 이음부 발생 시 접합방법 등 사전 확인
▶ 콘크리트 타설 시 편심발생을 막기위해 집중타설 금지
▶ 콘크리트 타설 작업 시 데크플레이트의 변형 및 변위 감시를 위한 감시자 배치</v>
      </c>
      <c r="P33" s="101"/>
      <c r="Q33" s="102"/>
      <c r="R33" s="103"/>
      <c r="S33" s="43"/>
      <c r="T33" s="66" cm="1">
        <f t="array" ref="T33">IFERROR(_xlfn.AGGREGATE(15,6,ROW(DB!A$2:A$2576)/(((($D$3&lt;&gt;"YES")+($D$3="YES")*(DB!E$2:E$2576="YES"))*(($D$4="")+($D$4&lt;&gt;"")*ISNUMBER(SEARCH($D$4,DB!G$2:G$2576)))*(($D$5="")+($D$5&lt;&gt;"")*(DB!B$2:B$2576=$D$5))*(($D$6="")+($D$6&lt;&gt;"")*(DB!C$2:C$2576=$D$6))*(($D$7="")+($D$7&lt;&gt;"")*(DB!D$2:D$2576=$D$7))*(($F$4="전체")+($F$4&lt;&gt;"전체")*(DB!H$2:H$2576=$F$4)))),ROW()-16)-1,"")</f>
        <v>756</v>
      </c>
      <c r="U33" s="104" t="str" cm="1">
        <f t="array" ref="U33">IFERROR(INDEX(DB!B$2:B$2576,T33),"")</f>
        <v>2. 철근콘크리트공사</v>
      </c>
      <c r="V33" s="105" t="str" cm="1">
        <f t="array" ref="V33">IFERROR(INDEX(DB!O$2:O$2576,T33),"")</f>
        <v>무너짐</v>
      </c>
      <c r="W33" s="106">
        <f t="shared" si="1"/>
        <v>9392.0169999999998</v>
      </c>
      <c r="X33" s="149">
        <f t="shared" si="2"/>
        <v>756</v>
      </c>
      <c r="AB33" s="138" t="str" cm="1">
        <f t="array" ref="AB33">IFERROR(INDEX(AI$17:AI$66,_xlfn.AGGREGATE(15,6,ROW(AI$17:AI$66)-ROW(AI$17)+1/(AJ$17:AJ$66=LARGE(AJ$17:AJ$66,17)),COUNTIF(AC$17:AC32,LARGE(AJ$17:AJ$66,17))+1)),"")</f>
        <v/>
      </c>
      <c r="AC33" s="131" t="str">
        <f>IFERROR(LARGE(AJ$17:AJ$66,17),"")</f>
        <v/>
      </c>
      <c r="AE33" s="130" t="str" cm="1">
        <f t="array" ref="AE33">IFERROR(INDEX(AM$17:AM$66,_xlfn.AGGREGATE(15,6,ROW(AM$17:AM$66)-ROW(AM$17)+1/(AN$17:AN$66=LARGE(AN$17:AN$66,17)),COUNTIF(AF$17:AF32,LARGE(AN$17:AN$66,17))+1)),"")</f>
        <v/>
      </c>
      <c r="AF33" s="136" t="str">
        <f>IFERROR(LARGE(AN$17:AN$66,17),"")</f>
        <v/>
      </c>
      <c r="AH33" s="65" t="str" cm="1">
        <f t="array" ref="AH33">IF(AG33="","",SUMPRODUCT(((($D$4="")+($D$4&lt;&gt;"")*ISNUMBER(SEARCH($D$4,DB!$G$2:$G$2576)))*(($D$3&lt;&gt;"YES")+($D$3="YES")*(DB!$E$2:$E$2576="YES"))*(($F$4="전체")+($F$4&lt;&gt;"전체")*(DB!$H$2:$H$2576=$F$4)))*(DB!$B$2:$B$2576=AG33)*1))</f>
        <v/>
      </c>
      <c r="AI33" s="65" t="str" cm="1">
        <f t="array" ref="AI33">IFERROR(INDEX(DB!$C$2:$C$2576,_xlfn.AGGREGATE(15,6,ROW(DB!$C$2:$C$2576)-1/((($D$4="")+($D$4&lt;&gt;"")*ISNUMBER(SEARCH($D$4,DB!$G$2:$G$2576)))*(($D$3&lt;&gt;"YES")+($D$3="YES")*(DB!$E$2:$E$2576="YES"))*(($D$5="")+($D$5&lt;&gt;"")*(DB!$B$2:$B$2576=$D$5))*(($D$6="")+($D$6&lt;&gt;"")*(DB!$C$2:$C$2576=$D$6))*(($D$7="")+($D$7&lt;&gt;"")*(DB!$D$2:$D$2576=$D$7))*(($F$4="전체")+($F$4&lt;&gt;"전체")*(DB!$H$2:$H$2576=$F$4))*(COUNTIF(AI$17:AI32,DB!$C$2:$C$2576)=0)),1)),"")</f>
        <v/>
      </c>
      <c r="AJ33" s="65" t="str" cm="1">
        <f t="array" ref="AJ33">IF(AI33="","",SUMPRODUCT(((($D$4="")+($D$4&lt;&gt;"")*ISNUMBER(SEARCH($D$4,DB!$G$2:$G$2576)))*(($D$3&lt;&gt;"YES")+($D$3="YES")*(DB!$E$2:$E$2576="YES"))*(($D$5="")+($D$5&lt;&gt;"")*(DB!$B$2:$B$2576=$D$5))*(($D$6="")+($D$6&lt;&gt;"")*(DB!$C$2:$C$2576=$D$6))*(($D$7="")+($D$7&lt;&gt;"")*(DB!$D$2:$D$2576=$D$7))*(($F$4="전체")+($F$4&lt;&gt;"전체")*(DB!$H$2:$H$2576=$F$4)))*(DB!$C$2:$C$2576=AI33)*1))</f>
        <v/>
      </c>
      <c r="AK33" s="65" t="str" cm="1">
        <f t="array" ref="AK33">IFERROR(INDEX(DB!$D$2:$D$2576,_xlfn.AGGREGATE(15,6,ROW(DB!$D$2:$D$2576)-1/((($D$4="")+($D$4&lt;&gt;"")*ISNUMBER(SEARCH($D$4,DB!$G$2:$G$2576)))*(($D$3&lt;&gt;"YES")+($D$3="YES")*(DB!$E$2:$E$2576="YES"))*(($F$4="전체")+($F$4&lt;&gt;"전체")*(DB!$H$2:$H$2576=$F$4))*(COUNTIF(AK$16:AK32,DB!$D$2:$D$2576)=0)),17)),"")</f>
        <v/>
      </c>
      <c r="AL33" s="65" t="str" cm="1">
        <f t="array" ref="AL33">IF(AK33="","",SUMPRODUCT(((($D$4="")+($D$4&lt;&gt;"")*ISNUMBER(SEARCH($D$4,DB!$G$2:$G$2576)))*(($D$3&lt;&gt;"YES")+($D$3="YES")*(DB!$E$2:$E$2576="YES"))*(($F$4="전체")+($F$4&lt;&gt;"전체")*(DB!$H$2:$H$2576=$F$4)))*(DB!$D$2:$D$2576=AK33)*1))</f>
        <v/>
      </c>
      <c r="AM33" s="65" t="str" cm="1">
        <f t="array" ref="AM33">IFERROR(INDEX(DB!$O$2:$O$2576,_xlfn.AGGREGATE(15,6,ROW(DB!$O$2:$O$2576)-1/((($D$4="")+($D$4&lt;&gt;"")*ISNUMBER(SEARCH($D$4,DB!$G$2:$G$2576)))*(($D$3&lt;&gt;"YES")+($D$3="YES")*(DB!$E$2:$E$2576="YES"))*(($D$5="")+($D$5&lt;&gt;"")*(DB!$B$2:$B$2576=$D$5))*(($D$6="")+($D$6&lt;&gt;"")*(DB!$C$2:$C$2576=$D$6))*(($D$7="")+($D$7&lt;&gt;"")*(DB!$D$2:$D$2576=$D$7))*(($F$4="전체")+($F$4&lt;&gt;"전체")*(DB!$H$2:$H$2576=$F$4))*(COUNTIF(AM$17:AM32,DB!$O$2:$O$2576)=0)),1)),"")</f>
        <v/>
      </c>
      <c r="AN33" s="65" t="str" cm="1">
        <f t="array" ref="AN33">IF(AM33="","",SUMPRODUCT(((($D$4="")+($D$4&lt;&gt;"")*ISNUMBER(SEARCH($D$4,DB!$G$2:$G$2576)))*(($D$3&lt;&gt;"YES")+($D$3="YES")*(DB!$E$2:$E$2576="YES"))*(($D$5="")+($D$5&lt;&gt;"")*(DB!$B$2:$B$2576=$D$5))*(($D$6="")+($D$6&lt;&gt;"")*(DB!$C$2:$C$2576=$D$6))*(($D$7="")+($D$7&lt;&gt;"")*(DB!$D$2:$D$2576=$D$7))*(($F$4="전체")+($F$4&lt;&gt;"전체")*(DB!$H$2:$H$2576=$F$4)))*(DB!$O$2:$O$2576=AM33)*1))</f>
        <v/>
      </c>
      <c r="AY33" t="s">
        <v>244</v>
      </c>
      <c r="AZ33">
        <v>16</v>
      </c>
      <c r="BA33">
        <v>69</v>
      </c>
      <c r="BB33" s="11">
        <v>2.6806526806526808E-2</v>
      </c>
    </row>
    <row r="34" spans="1:54" ht="90" customHeight="1">
      <c r="A34" s="26"/>
      <c r="B34" s="73">
        <f t="shared" si="0"/>
        <v>18</v>
      </c>
      <c r="C34" s="74"/>
      <c r="D34" s="96" t="str" cm="1">
        <f t="array" ref="D34">IFERROR(INDEX(DB!B$2:B$2576,X34),"")</f>
        <v>2. 철근콘크리트공사</v>
      </c>
      <c r="E34" s="107"/>
      <c r="F34" s="97" t="str" cm="1">
        <f t="array" ref="F34">IFERROR(INDEX(DB!C$2:C$2576,X34),"")</f>
        <v>2.4 콘크리트 작업</v>
      </c>
      <c r="G34" s="108"/>
      <c r="H34" s="98" t="str" cm="1">
        <f t="array" ref="H34">IFERROR(INDEX(DB!D$2:D$2576,X34),"")</f>
        <v>2.4.2 콘크리트 타설 및 다짐</v>
      </c>
      <c r="I34" s="109"/>
      <c r="J34" s="99" t="str" cm="1">
        <f t="array" ref="J34">IFERROR(INDEX(DB!O$2:O$2576,X34),"")</f>
        <v>무너짐</v>
      </c>
      <c r="K34" s="110"/>
      <c r="L34" s="75" t="str" cm="1">
        <f t="array" ref="L34">IFERROR(INDEX(DB!P$2:P$2576,X34),"")</f>
        <v>2021년 9월경 OO(주)에서 OO신축공사 현장에서 철근콘크리트 공사 협력업체 ㈜OO건업 소속 재해자 3명이 지상 1층 바닥 슬라브 콘크리트를 타설하는 중 슬라브가 붕괴되며 데크플레이트 및 보와 함께 약 8.5m 아래 지하 1층 바닥으로 추락하여 2명 사망, 1명 부상</v>
      </c>
      <c r="M34" s="76" t="str" cm="1">
        <f t="array" ref="M34">IFERROR(INDEX(DB!Q$2:Q$2576,X34),"")</f>
        <v>데크플레이트 콘크리트 타설 작업 중 데크플레이트(구조적 불안정, 작업방법 불량 등)가 붕괴</v>
      </c>
      <c r="N34" s="77"/>
      <c r="O34" s="78" t="str" cm="1">
        <f t="array" ref="O34">IFERROR(INDEX(DB!R$2:R$2576,X34),"")</f>
        <v>▶ 데크플레이트를 지지하는 철골빔과 같은 주요 부재 설치시, 용도, 품질, 이음부 발생 시 접합방법 등 사전 확인
▶ 콘크리트 타설 시 편심발생을 막기위해 집중타설 금지
▶ 콘크리트 타설 작업 시 데크플레이트의 변형 및 변위 감시를 위한 감시자 배치</v>
      </c>
      <c r="P34" s="101"/>
      <c r="Q34" s="102"/>
      <c r="R34" s="103"/>
      <c r="S34" s="43"/>
      <c r="T34" s="66" cm="1">
        <f t="array" ref="T34">IFERROR(_xlfn.AGGREGATE(15,6,ROW(DB!A$2:A$2576)/(((($D$3&lt;&gt;"YES")+($D$3="YES")*(DB!E$2:E$2576="YES"))*(($D$4="")+($D$4&lt;&gt;"")*ISNUMBER(SEARCH($D$4,DB!G$2:G$2576)))*(($D$5="")+($D$5&lt;&gt;"")*(DB!B$2:B$2576=$D$5))*(($D$6="")+($D$6&lt;&gt;"")*(DB!C$2:C$2576=$D$6))*(($D$7="")+($D$7&lt;&gt;"")*(DB!D$2:D$2576=$D$7))*(($F$4="전체")+($F$4&lt;&gt;"전체")*(DB!H$2:H$2576=$F$4)))),ROW()-16)-1,"")</f>
        <v>757</v>
      </c>
      <c r="U34" s="104" t="str" cm="1">
        <f t="array" ref="U34">IFERROR(INDEX(DB!B$2:B$2576,T34),"")</f>
        <v>2. 철근콘크리트공사</v>
      </c>
      <c r="V34" s="105" t="str" cm="1">
        <f t="array" ref="V34">IFERROR(INDEX(DB!O$2:O$2576,T34),"")</f>
        <v>무너짐</v>
      </c>
      <c r="W34" s="106">
        <f t="shared" si="1"/>
        <v>9392.018</v>
      </c>
      <c r="X34" s="149">
        <f t="shared" si="2"/>
        <v>757</v>
      </c>
      <c r="AB34" s="138" t="str" cm="1">
        <f t="array" ref="AB34">IFERROR(INDEX(AI$17:AI$66,_xlfn.AGGREGATE(15,6,ROW(AI$17:AI$66)-ROW(AI$17)+1/(AJ$17:AJ$66=LARGE(AJ$17:AJ$66,18)),COUNTIF(AC$17:AC33,LARGE(AJ$17:AJ$66,18))+1)),"")</f>
        <v/>
      </c>
      <c r="AC34" s="131" t="str">
        <f>IFERROR(LARGE(AJ$17:AJ$66,18),"")</f>
        <v/>
      </c>
      <c r="AE34" s="130" t="str" cm="1">
        <f t="array" ref="AE34">IFERROR(INDEX(AM$17:AM$66,_xlfn.AGGREGATE(15,6,ROW(AM$17:AM$66)-ROW(AM$17)+1/(AN$17:AN$66=LARGE(AN$17:AN$66,18)),COUNTIF(AF$17:AF33,LARGE(AN$17:AN$66,18))+1)),"")</f>
        <v/>
      </c>
      <c r="AF34" s="136" t="str">
        <f>IFERROR(LARGE(AN$17:AN$66,18),"")</f>
        <v/>
      </c>
      <c r="AH34" s="65" t="str" cm="1">
        <f t="array" ref="AH34">IF(AG34="","",SUMPRODUCT(((($D$4="")+($D$4&lt;&gt;"")*ISNUMBER(SEARCH($D$4,DB!$G$2:$G$2576)))*(($D$3&lt;&gt;"YES")+($D$3="YES")*(DB!$E$2:$E$2576="YES"))*(($F$4="전체")+($F$4&lt;&gt;"전체")*(DB!$H$2:$H$2576=$F$4)))*(DB!$B$2:$B$2576=AG34)*1))</f>
        <v/>
      </c>
      <c r="AI34" s="65" t="str" cm="1">
        <f t="array" ref="AI34">IFERROR(INDEX(DB!$C$2:$C$2576,_xlfn.AGGREGATE(15,6,ROW(DB!$C$2:$C$2576)-1/((($D$4="")+($D$4&lt;&gt;"")*ISNUMBER(SEARCH($D$4,DB!$G$2:$G$2576)))*(($D$3&lt;&gt;"YES")+($D$3="YES")*(DB!$E$2:$E$2576="YES"))*(($D$5="")+($D$5&lt;&gt;"")*(DB!$B$2:$B$2576=$D$5))*(($D$6="")+($D$6&lt;&gt;"")*(DB!$C$2:$C$2576=$D$6))*(($D$7="")+($D$7&lt;&gt;"")*(DB!$D$2:$D$2576=$D$7))*(($F$4="전체")+($F$4&lt;&gt;"전체")*(DB!$H$2:$H$2576=$F$4))*(COUNTIF(AI$17:AI33,DB!$C$2:$C$2576)=0)),1)),"")</f>
        <v/>
      </c>
      <c r="AJ34" s="65" t="str" cm="1">
        <f t="array" ref="AJ34">IF(AI34="","",SUMPRODUCT(((($D$4="")+($D$4&lt;&gt;"")*ISNUMBER(SEARCH($D$4,DB!$G$2:$G$2576)))*(($D$3&lt;&gt;"YES")+($D$3="YES")*(DB!$E$2:$E$2576="YES"))*(($D$5="")+($D$5&lt;&gt;"")*(DB!$B$2:$B$2576=$D$5))*(($D$6="")+($D$6&lt;&gt;"")*(DB!$C$2:$C$2576=$D$6))*(($D$7="")+($D$7&lt;&gt;"")*(DB!$D$2:$D$2576=$D$7))*(($F$4="전체")+($F$4&lt;&gt;"전체")*(DB!$H$2:$H$2576=$F$4)))*(DB!$C$2:$C$2576=AI34)*1))</f>
        <v/>
      </c>
      <c r="AK34" s="65" t="str" cm="1">
        <f t="array" ref="AK34">IFERROR(INDEX(DB!$D$2:$D$2576,_xlfn.AGGREGATE(15,6,ROW(DB!$D$2:$D$2576)-1/((($D$4="")+($D$4&lt;&gt;"")*ISNUMBER(SEARCH($D$4,DB!$G$2:$G$2576)))*(($D$3&lt;&gt;"YES")+($D$3="YES")*(DB!$E$2:$E$2576="YES"))*(($F$4="전체")+($F$4&lt;&gt;"전체")*(DB!$H$2:$H$2576=$F$4))*(COUNTIF(AK$16:AK33,DB!$D$2:$D$2576)=0)),18)),"")</f>
        <v/>
      </c>
      <c r="AL34" s="65" t="str" cm="1">
        <f t="array" ref="AL34">IF(AK34="","",SUMPRODUCT(((($D$4="")+($D$4&lt;&gt;"")*ISNUMBER(SEARCH($D$4,DB!$G$2:$G$2576)))*(($D$3&lt;&gt;"YES")+($D$3="YES")*(DB!$E$2:$E$2576="YES"))*(($F$4="전체")+($F$4&lt;&gt;"전체")*(DB!$H$2:$H$2576=$F$4)))*(DB!$D$2:$D$2576=AK34)*1))</f>
        <v/>
      </c>
      <c r="AM34" s="65" t="str" cm="1">
        <f t="array" ref="AM34">IFERROR(INDEX(DB!$O$2:$O$2576,_xlfn.AGGREGATE(15,6,ROW(DB!$O$2:$O$2576)-1/((($D$4="")+($D$4&lt;&gt;"")*ISNUMBER(SEARCH($D$4,DB!$G$2:$G$2576)))*(($D$3&lt;&gt;"YES")+($D$3="YES")*(DB!$E$2:$E$2576="YES"))*(($D$5="")+($D$5&lt;&gt;"")*(DB!$B$2:$B$2576=$D$5))*(($D$6="")+($D$6&lt;&gt;"")*(DB!$C$2:$C$2576=$D$6))*(($D$7="")+($D$7&lt;&gt;"")*(DB!$D$2:$D$2576=$D$7))*(($F$4="전체")+($F$4&lt;&gt;"전체")*(DB!$H$2:$H$2576=$F$4))*(COUNTIF(AM$17:AM33,DB!$O$2:$O$2576)=0)),1)),"")</f>
        <v/>
      </c>
      <c r="AN34" s="65" t="str" cm="1">
        <f t="array" ref="AN34">IF(AM34="","",SUMPRODUCT(((($D$4="")+($D$4&lt;&gt;"")*ISNUMBER(SEARCH($D$4,DB!$G$2:$G$2576)))*(($D$3&lt;&gt;"YES")+($D$3="YES")*(DB!$E$2:$E$2576="YES"))*(($D$5="")+($D$5&lt;&gt;"")*(DB!$B$2:$B$2576=$D$5))*(($D$6="")+($D$6&lt;&gt;"")*(DB!$C$2:$C$2576=$D$6))*(($D$7="")+($D$7&lt;&gt;"")*(DB!$D$2:$D$2576=$D$7))*(($F$4="전체")+($F$4&lt;&gt;"전체")*(DB!$H$2:$H$2576=$F$4)))*(DB!$O$2:$O$2576=AM34)*1))</f>
        <v/>
      </c>
      <c r="AY34" t="s">
        <v>42</v>
      </c>
      <c r="AZ34">
        <v>17</v>
      </c>
      <c r="BA34">
        <v>67</v>
      </c>
      <c r="BB34" s="11">
        <v>2.6029526029526028E-2</v>
      </c>
    </row>
    <row r="35" spans="1:54" ht="90" customHeight="1">
      <c r="A35" s="79"/>
      <c r="B35" s="73">
        <f t="shared" si="0"/>
        <v>19</v>
      </c>
      <c r="C35" s="74"/>
      <c r="D35" s="96" t="str" cm="1">
        <f t="array" ref="D35">IFERROR(INDEX(DB!B$2:B$2576,X35),"")</f>
        <v>3. 철골공사</v>
      </c>
      <c r="E35" s="107"/>
      <c r="F35" s="97" t="str" cm="1">
        <f t="array" ref="F35">IFERROR(INDEX(DB!C$2:C$2576,X35),"")</f>
        <v>3.1 철골 작업</v>
      </c>
      <c r="G35" s="108"/>
      <c r="H35" s="98" t="str" cm="1">
        <f t="array" ref="H35">IFERROR(INDEX(DB!D$2:D$2576,X35),"")</f>
        <v>3.1.1 철골 부재반입 및 운반</v>
      </c>
      <c r="I35" s="109"/>
      <c r="J35" s="99" t="str" cm="1">
        <f t="array" ref="J35">IFERROR(INDEX(DB!O$2:O$2576,X35),"")</f>
        <v>깔림 뒤집힘</v>
      </c>
      <c r="K35" s="110"/>
      <c r="L35" s="75" t="str" cm="1">
        <f t="array" ref="L35">IFERROR(INDEX(DB!P$2:P$2576,X35),"")</f>
        <v>2016년 9월경 ㈜OO이 시공하는 아파트 신축공사 현장에서 골조공사를 수급받은 ㈜OO건설 소속 형틀공인 재해자가 데크플레이트(Deck Plate, 600×2,400×2.1) 상단에서 지게차 포크(Fork)위에 적재된 자재를 데크플래이트 위로 내리는 작업을 보조하던 중 지게차가 지하1층 콘크리트 바닥을 지나 데크플레이트로 넘어오면서 데크플레이트가 무너지자 재해자가 지게차와 함께 지하2층 바닥으로 떨어져 지게차에 깔려 사망</v>
      </c>
      <c r="M35" s="76" t="str" cm="1">
        <f t="array" ref="M35">IFERROR(INDEX(DB!Q$2:Q$2576,X35),"")</f>
        <v>지게차가 콘크리트 바닥을 지나 데크플래이트만 설치된 구간으로 넘어오면서 데크플래이트가 무너져 근로자와 같이 추락하여 지게차에 깔림</v>
      </c>
      <c r="N35" s="77"/>
      <c r="O35" s="78" t="str" cm="1">
        <f t="array" ref="O35">IFERROR(INDEX(DB!R$2:R$2576,X35),"")</f>
        <v>▶ 지게차를 이용하여 운반작업 시 운행경로 및 작업방법 계획 수립
▶ 차량계 하역운반기계 사용 시 추락위험이 있는 단부까지 운행하는 등 불안전한 작업 금지
▶ 차량계 하역운반기계를 사용하여 자재 운반 작업 시 위험 장소에서 유도자 배치</v>
      </c>
      <c r="P35" s="101"/>
      <c r="Q35" s="102"/>
      <c r="R35" s="103"/>
      <c r="S35" s="43"/>
      <c r="T35" s="66" cm="1">
        <f t="array" ref="T35">IFERROR(_xlfn.AGGREGATE(15,6,ROW(DB!A$2:A$2576)/(((($D$3&lt;&gt;"YES")+($D$3="YES")*(DB!E$2:E$2576="YES"))*(($D$4="")+($D$4&lt;&gt;"")*ISNUMBER(SEARCH($D$4,DB!G$2:G$2576)))*(($D$5="")+($D$5&lt;&gt;"")*(DB!B$2:B$2576=$D$5))*(($D$6="")+($D$6&lt;&gt;"")*(DB!C$2:C$2576=$D$6))*(($D$7="")+($D$7&lt;&gt;"")*(DB!D$2:D$2576=$D$7))*(($F$4="전체")+($F$4&lt;&gt;"전체")*(DB!H$2:H$2576=$F$4)))),ROW()-16)-1,"")</f>
        <v>760</v>
      </c>
      <c r="U35" s="104" t="str" cm="1">
        <f t="array" ref="U35">IFERROR(INDEX(DB!B$2:B$2576,T35),"")</f>
        <v>3. 철골공사</v>
      </c>
      <c r="V35" s="105" t="str" cm="1">
        <f t="array" ref="V35">IFERROR(INDEX(DB!O$2:O$2576,T35),"")</f>
        <v>떨어짐</v>
      </c>
      <c r="W35" s="106">
        <f t="shared" si="1"/>
        <v>10087.019</v>
      </c>
      <c r="X35" s="149">
        <f t="shared" si="2"/>
        <v>761</v>
      </c>
      <c r="AB35" s="138" t="str" cm="1">
        <f t="array" ref="AB35">IFERROR(INDEX(AI$17:AI$66,_xlfn.AGGREGATE(15,6,ROW(AI$17:AI$66)-ROW(AI$17)+1/(AJ$17:AJ$66=LARGE(AJ$17:AJ$66,19)),COUNTIF(AC$17:AC34,LARGE(AJ$17:AJ$66,19))+1)),"")</f>
        <v/>
      </c>
      <c r="AC35" s="131" t="str">
        <f>IFERROR(LARGE(AJ$17:AJ$66,19),"")</f>
        <v/>
      </c>
      <c r="AE35" s="130" t="str" cm="1">
        <f t="array" ref="AE35">IFERROR(INDEX(AM$17:AM$66,_xlfn.AGGREGATE(15,6,ROW(AM$17:AM$66)-ROW(AM$17)+1/(AN$17:AN$66=LARGE(AN$17:AN$66,19)),COUNTIF(AF$17:AF34,LARGE(AN$17:AN$66,19))+1)),"")</f>
        <v/>
      </c>
      <c r="AF35" s="136" t="str">
        <f>IFERROR(LARGE(AN$17:AN$66,19),"")</f>
        <v/>
      </c>
      <c r="AH35" s="65" t="str" cm="1">
        <f t="array" ref="AH35">IF(AG35="","",SUMPRODUCT(((($D$4="")+($D$4&lt;&gt;"")*ISNUMBER(SEARCH($D$4,DB!$G$2:$G$2576)))*(($D$3&lt;&gt;"YES")+($D$3="YES")*(DB!$E$2:$E$2576="YES"))*(($F$4="전체")+($F$4&lt;&gt;"전체")*(DB!$H$2:$H$2576=$F$4)))*(DB!$B$2:$B$2576=AG35)*1))</f>
        <v/>
      </c>
      <c r="AI35" s="65" t="str" cm="1">
        <f t="array" ref="AI35">IFERROR(INDEX(DB!$C$2:$C$2576,_xlfn.AGGREGATE(15,6,ROW(DB!$C$2:$C$2576)-1/((($D$4="")+($D$4&lt;&gt;"")*ISNUMBER(SEARCH($D$4,DB!$G$2:$G$2576)))*(($D$3&lt;&gt;"YES")+($D$3="YES")*(DB!$E$2:$E$2576="YES"))*(($D$5="")+($D$5&lt;&gt;"")*(DB!$B$2:$B$2576=$D$5))*(($D$6="")+($D$6&lt;&gt;"")*(DB!$C$2:$C$2576=$D$6))*(($D$7="")+($D$7&lt;&gt;"")*(DB!$D$2:$D$2576=$D$7))*(($F$4="전체")+($F$4&lt;&gt;"전체")*(DB!$H$2:$H$2576=$F$4))*(COUNTIF(AI$17:AI34,DB!$C$2:$C$2576)=0)),1)),"")</f>
        <v/>
      </c>
      <c r="AJ35" s="65" t="str" cm="1">
        <f t="array" ref="AJ35">IF(AI35="","",SUMPRODUCT(((($D$4="")+($D$4&lt;&gt;"")*ISNUMBER(SEARCH($D$4,DB!$G$2:$G$2576)))*(($D$3&lt;&gt;"YES")+($D$3="YES")*(DB!$E$2:$E$2576="YES"))*(($D$5="")+($D$5&lt;&gt;"")*(DB!$B$2:$B$2576=$D$5))*(($D$6="")+($D$6&lt;&gt;"")*(DB!$C$2:$C$2576=$D$6))*(($D$7="")+($D$7&lt;&gt;"")*(DB!$D$2:$D$2576=$D$7))*(($F$4="전체")+($F$4&lt;&gt;"전체")*(DB!$H$2:$H$2576=$F$4)))*(DB!$C$2:$C$2576=AI35)*1))</f>
        <v/>
      </c>
      <c r="AK35" s="65" t="str" cm="1">
        <f t="array" ref="AK35">IFERROR(INDEX(DB!$D$2:$D$2576,_xlfn.AGGREGATE(15,6,ROW(DB!$D$2:$D$2576)-1/((($D$4="")+($D$4&lt;&gt;"")*ISNUMBER(SEARCH($D$4,DB!$G$2:$G$2576)))*(($D$3&lt;&gt;"YES")+($D$3="YES")*(DB!$E$2:$E$2576="YES"))*(($F$4="전체")+($F$4&lt;&gt;"전체")*(DB!$H$2:$H$2576=$F$4))*(COUNTIF(AK$16:AK34,DB!$D$2:$D$2576)=0)),19)),"")</f>
        <v/>
      </c>
      <c r="AL35" s="65" t="str" cm="1">
        <f t="array" ref="AL35">IF(AK35="","",SUMPRODUCT(((($D$4="")+($D$4&lt;&gt;"")*ISNUMBER(SEARCH($D$4,DB!$G$2:$G$2576)))*(($D$3&lt;&gt;"YES")+($D$3="YES")*(DB!$E$2:$E$2576="YES"))*(($F$4="전체")+($F$4&lt;&gt;"전체")*(DB!$H$2:$H$2576=$F$4)))*(DB!$D$2:$D$2576=AK35)*1))</f>
        <v/>
      </c>
      <c r="AM35" s="65" t="str" cm="1">
        <f t="array" ref="AM35">IFERROR(INDEX(DB!$O$2:$O$2576,_xlfn.AGGREGATE(15,6,ROW(DB!$O$2:$O$2576)-1/((($D$4="")+($D$4&lt;&gt;"")*ISNUMBER(SEARCH($D$4,DB!$G$2:$G$2576)))*(($D$3&lt;&gt;"YES")+($D$3="YES")*(DB!$E$2:$E$2576="YES"))*(($D$5="")+($D$5&lt;&gt;"")*(DB!$B$2:$B$2576=$D$5))*(($D$6="")+($D$6&lt;&gt;"")*(DB!$C$2:$C$2576=$D$6))*(($D$7="")+($D$7&lt;&gt;"")*(DB!$D$2:$D$2576=$D$7))*(($F$4="전체")+($F$4&lt;&gt;"전체")*(DB!$H$2:$H$2576=$F$4))*(COUNTIF(AM$17:AM34,DB!$O$2:$O$2576)=0)),1)),"")</f>
        <v/>
      </c>
      <c r="AN35" s="65" t="str" cm="1">
        <f t="array" ref="AN35">IF(AM35="","",SUMPRODUCT(((($D$4="")+($D$4&lt;&gt;"")*ISNUMBER(SEARCH($D$4,DB!$G$2:$G$2576)))*(($D$3&lt;&gt;"YES")+($D$3="YES")*(DB!$E$2:$E$2576="YES"))*(($D$5="")+($D$5&lt;&gt;"")*(DB!$B$2:$B$2576=$D$5))*(($D$6="")+($D$6&lt;&gt;"")*(DB!$C$2:$C$2576=$D$6))*(($D$7="")+($D$7&lt;&gt;"")*(DB!$D$2:$D$2576=$D$7))*(($F$4="전체")+($F$4&lt;&gt;"전체")*(DB!$H$2:$H$2576=$F$4)))*(DB!$O$2:$O$2576=AM35)*1))</f>
        <v/>
      </c>
      <c r="AY35" t="s">
        <v>64</v>
      </c>
      <c r="AZ35">
        <v>18</v>
      </c>
      <c r="BA35">
        <v>65</v>
      </c>
      <c r="BB35" s="11">
        <v>2.5252525252525252E-2</v>
      </c>
    </row>
    <row r="36" spans="1:54" ht="90" customHeight="1">
      <c r="A36" s="26"/>
      <c r="B36" s="73">
        <f t="shared" si="0"/>
        <v>20</v>
      </c>
      <c r="C36" s="74"/>
      <c r="D36" s="96" t="str" cm="1">
        <f t="array" ref="D36">IFERROR(INDEX(DB!B$2:B$2576,X36),"")</f>
        <v>3. 철골공사</v>
      </c>
      <c r="E36" s="107"/>
      <c r="F36" s="97" t="str" cm="1">
        <f t="array" ref="F36">IFERROR(INDEX(DB!C$2:C$2576,X36),"")</f>
        <v>3.1 철골 작업</v>
      </c>
      <c r="G36" s="108"/>
      <c r="H36" s="98" t="str" cm="1">
        <f t="array" ref="H36">IFERROR(INDEX(DB!D$2:D$2576,X36),"")</f>
        <v>3.1.2 철골 부재 인양, 조립</v>
      </c>
      <c r="I36" s="109"/>
      <c r="J36" s="99" t="str" cm="1">
        <f t="array" ref="J36">IFERROR(INDEX(DB!O$2:O$2576,X36),"")</f>
        <v>끼임</v>
      </c>
      <c r="K36" s="110"/>
      <c r="L36" s="75" t="str" cm="1">
        <f t="array" ref="L36">IFERROR(INDEX(DB!P$2:P$2576,X36),"")</f>
        <v>2016년 7월경 ㈜OO건설이 시공하는 OO 증축공사 현장에서 재해자(철골공)이 현장내에 하역된 철골기둥의 보 연결 브라켓 설치부위의 보양 테이프를 제거하던 중 10m 길이의 철골기둥(중량 약 4.5ton)이 기울어지면서 지면과 철골기둥 사이에 협착되어 사망</v>
      </c>
      <c r="M36" s="76" t="str" cm="1">
        <f t="array" ref="M36">IFERROR(INDEX(DB!Q$2:Q$2576,X36),"")</f>
        <v>철골기둥의 보 연결 브라켓 설치부위의 보양 테이프를 제거하던 중 발생된 편심이 전도모멘트로 작용하며 철골기둥이 기울어지면서 지면과 철골기둥 사이에 근로자 협착</v>
      </c>
      <c r="N36" s="77"/>
      <c r="O36" s="78" t="str" cm="1">
        <f t="array" ref="O36">IFERROR(INDEX(DB!R$2:R$2576,X36),"")</f>
        <v>▶ 반입된 철골기둥의 전도방지를 위해 철골기둥 부재 양끝단에 안전블록 등 지지받침대 설치
▶ 철골기둥을 비스듬히 눕혀놓을 경우 2개의 브라켓을 이용하여 3점 지지하여 작업 실시
▶ 철골기둥을 바닥으로 인양 시 지면바닥의 평탄화로 지내력 확보</v>
      </c>
      <c r="P36" s="101"/>
      <c r="Q36" s="102"/>
      <c r="R36" s="103"/>
      <c r="S36" s="43"/>
      <c r="T36" s="66" cm="1">
        <f t="array" ref="T36">IFERROR(_xlfn.AGGREGATE(15,6,ROW(DB!A$2:A$2576)/(((($D$3&lt;&gt;"YES")+($D$3="YES")*(DB!E$2:E$2576="YES"))*(($D$4="")+($D$4&lt;&gt;"")*ISNUMBER(SEARCH($D$4,DB!G$2:G$2576)))*(($D$5="")+($D$5&lt;&gt;"")*(DB!B$2:B$2576=$D$5))*(($D$6="")+($D$6&lt;&gt;"")*(DB!C$2:C$2576=$D$6))*(($D$7="")+($D$7&lt;&gt;"")*(DB!D$2:D$2576=$D$7))*(($F$4="전체")+($F$4&lt;&gt;"전체")*(DB!H$2:H$2576=$F$4)))),ROW()-16)-1,"")</f>
        <v>761</v>
      </c>
      <c r="U36" s="104" t="str" cm="1">
        <f t="array" ref="U36">IFERROR(INDEX(DB!B$2:B$2576,T36),"")</f>
        <v>3. 철골공사</v>
      </c>
      <c r="V36" s="105" t="str" cm="1">
        <f t="array" ref="V36">IFERROR(INDEX(DB!O$2:O$2576,T36),"")</f>
        <v>깔림 뒤집힘</v>
      </c>
      <c r="W36" s="106">
        <f t="shared" si="1"/>
        <v>10082.02</v>
      </c>
      <c r="X36" s="149">
        <f t="shared" si="2"/>
        <v>778</v>
      </c>
      <c r="AB36" s="138" t="str" cm="1">
        <f t="array" ref="AB36">IFERROR(INDEX(AI$17:AI$66,_xlfn.AGGREGATE(15,6,ROW(AI$17:AI$66)-ROW(AI$17)+1/(AJ$17:AJ$66=LARGE(AJ$17:AJ$66,20)),COUNTIF(AC$17:AC35,LARGE(AJ$17:AJ$66,20))+1)),"")</f>
        <v/>
      </c>
      <c r="AC36" s="131" t="str">
        <f>IFERROR(LARGE(AJ$17:AJ$66,20),"")</f>
        <v/>
      </c>
      <c r="AE36" s="130" t="str" cm="1">
        <f t="array" ref="AE36">IFERROR(INDEX(AM$17:AM$66,_xlfn.AGGREGATE(15,6,ROW(AM$17:AM$66)-ROW(AM$17)+1/(AN$17:AN$66=LARGE(AN$17:AN$66,20)),COUNTIF(AF$17:AF35,LARGE(AN$17:AN$66,20))+1)),"")</f>
        <v/>
      </c>
      <c r="AF36" s="136" t="str">
        <f>IFERROR(LARGE(AN$17:AN$66,20),"")</f>
        <v/>
      </c>
      <c r="AH36" s="65" t="str" cm="1">
        <f t="array" ref="AH36">IF(AG36="","",SUMPRODUCT(((($D$4="")+($D$4&lt;&gt;"")*ISNUMBER(SEARCH($D$4,DB!$G$2:$G$2576)))*(($D$3&lt;&gt;"YES")+($D$3="YES")*(DB!$E$2:$E$2576="YES"))*(($F$4="전체")+($F$4&lt;&gt;"전체")*(DB!$H$2:$H$2576=$F$4)))*(DB!$B$2:$B$2576=AG36)*1))</f>
        <v/>
      </c>
      <c r="AI36" s="65" t="str" cm="1">
        <f t="array" ref="AI36">IFERROR(INDEX(DB!$C$2:$C$2576,_xlfn.AGGREGATE(15,6,ROW(DB!$C$2:$C$2576)-1/((($D$4="")+($D$4&lt;&gt;"")*ISNUMBER(SEARCH($D$4,DB!$G$2:$G$2576)))*(($D$3&lt;&gt;"YES")+($D$3="YES")*(DB!$E$2:$E$2576="YES"))*(($D$5="")+($D$5&lt;&gt;"")*(DB!$B$2:$B$2576=$D$5))*(($D$6="")+($D$6&lt;&gt;"")*(DB!$C$2:$C$2576=$D$6))*(($D$7="")+($D$7&lt;&gt;"")*(DB!$D$2:$D$2576=$D$7))*(($F$4="전체")+($F$4&lt;&gt;"전체")*(DB!$H$2:$H$2576=$F$4))*(COUNTIF(AI$17:AI35,DB!$C$2:$C$2576)=0)),1)),"")</f>
        <v/>
      </c>
      <c r="AJ36" s="65" t="str" cm="1">
        <f t="array" ref="AJ36">IF(AI36="","",SUMPRODUCT(((($D$4="")+($D$4&lt;&gt;"")*ISNUMBER(SEARCH($D$4,DB!$G$2:$G$2576)))*(($D$3&lt;&gt;"YES")+($D$3="YES")*(DB!$E$2:$E$2576="YES"))*(($D$5="")+($D$5&lt;&gt;"")*(DB!$B$2:$B$2576=$D$5))*(($D$6="")+($D$6&lt;&gt;"")*(DB!$C$2:$C$2576=$D$6))*(($D$7="")+($D$7&lt;&gt;"")*(DB!$D$2:$D$2576=$D$7))*(($F$4="전체")+($F$4&lt;&gt;"전체")*(DB!$H$2:$H$2576=$F$4)))*(DB!$C$2:$C$2576=AI36)*1))</f>
        <v/>
      </c>
      <c r="AK36" s="65" t="str" cm="1">
        <f t="array" ref="AK36">IFERROR(INDEX(DB!$D$2:$D$2576,_xlfn.AGGREGATE(15,6,ROW(DB!$D$2:$D$2576)-1/((($D$4="")+($D$4&lt;&gt;"")*ISNUMBER(SEARCH($D$4,DB!$G$2:$G$2576)))*(($D$3&lt;&gt;"YES")+($D$3="YES")*(DB!$E$2:$E$2576="YES"))*(($F$4="전체")+($F$4&lt;&gt;"전체")*(DB!$H$2:$H$2576=$F$4))*(COUNTIF(AK$16:AK35,DB!$D$2:$D$2576)=0)),20)),"")</f>
        <v/>
      </c>
      <c r="AL36" s="65" t="str" cm="1">
        <f t="array" ref="AL36">IF(AK36="","",SUMPRODUCT(((($D$4="")+($D$4&lt;&gt;"")*ISNUMBER(SEARCH($D$4,DB!$G$2:$G$2576)))*(($D$3&lt;&gt;"YES")+($D$3="YES")*(DB!$E$2:$E$2576="YES"))*(($F$4="전체")+($F$4&lt;&gt;"전체")*(DB!$H$2:$H$2576=$F$4)))*(DB!$D$2:$D$2576=AK36)*1))</f>
        <v/>
      </c>
      <c r="AM36" s="65" t="str" cm="1">
        <f t="array" ref="AM36">IFERROR(INDEX(DB!$O$2:$O$2576,_xlfn.AGGREGATE(15,6,ROW(DB!$O$2:$O$2576)-1/((($D$4="")+($D$4&lt;&gt;"")*ISNUMBER(SEARCH($D$4,DB!$G$2:$G$2576)))*(($D$3&lt;&gt;"YES")+($D$3="YES")*(DB!$E$2:$E$2576="YES"))*(($D$5="")+($D$5&lt;&gt;"")*(DB!$B$2:$B$2576=$D$5))*(($D$6="")+($D$6&lt;&gt;"")*(DB!$C$2:$C$2576=$D$6))*(($D$7="")+($D$7&lt;&gt;"")*(DB!$D$2:$D$2576=$D$7))*(($F$4="전체")+($F$4&lt;&gt;"전체")*(DB!$H$2:$H$2576=$F$4))*(COUNTIF(AM$17:AM35,DB!$O$2:$O$2576)=0)),1)),"")</f>
        <v/>
      </c>
      <c r="AN36" s="65" t="str" cm="1">
        <f t="array" ref="AN36">IF(AM36="","",SUMPRODUCT(((($D$4="")+($D$4&lt;&gt;"")*ISNUMBER(SEARCH($D$4,DB!$G$2:$G$2576)))*(($D$3&lt;&gt;"YES")+($D$3="YES")*(DB!$E$2:$E$2576="YES"))*(($D$5="")+($D$5&lt;&gt;"")*(DB!$B$2:$B$2576=$D$5))*(($D$6="")+($D$6&lt;&gt;"")*(DB!$C$2:$C$2576=$D$6))*(($D$7="")+($D$7&lt;&gt;"")*(DB!$D$2:$D$2576=$D$7))*(($F$4="전체")+($F$4&lt;&gt;"전체")*(DB!$H$2:$H$2576=$F$4)))*(DB!$O$2:$O$2576=AM36)*1))</f>
        <v/>
      </c>
      <c r="AY36" t="s">
        <v>620</v>
      </c>
      <c r="AZ36">
        <v>19</v>
      </c>
      <c r="BA36">
        <v>63</v>
      </c>
      <c r="BB36" s="11">
        <v>2.4475524475524476E-2</v>
      </c>
    </row>
    <row r="37" spans="1:54" ht="90" customHeight="1">
      <c r="A37" s="79"/>
      <c r="B37" s="73">
        <f t="shared" si="0"/>
        <v>21</v>
      </c>
      <c r="C37" s="74"/>
      <c r="D37" s="96" t="str" cm="1">
        <f t="array" ref="D37">IFERROR(INDEX(DB!B$2:B$2576,X37),"")</f>
        <v>3. 철골공사</v>
      </c>
      <c r="E37" s="107"/>
      <c r="F37" s="97" t="str" cm="1">
        <f t="array" ref="F37">IFERROR(INDEX(DB!C$2:C$2576,X37),"")</f>
        <v>3.1 철골 작업</v>
      </c>
      <c r="G37" s="108"/>
      <c r="H37" s="98" t="str" cm="1">
        <f t="array" ref="H37">IFERROR(INDEX(DB!D$2:D$2576,X37),"")</f>
        <v>3.1.2 철골 부재 인양, 조립</v>
      </c>
      <c r="I37" s="109"/>
      <c r="J37" s="99" t="str" cm="1">
        <f t="array" ref="J37">IFERROR(INDEX(DB!O$2:O$2576,X37),"")</f>
        <v>넘어짐</v>
      </c>
      <c r="K37" s="110"/>
      <c r="L37" s="75" t="str" cm="1">
        <f t="array" ref="L37">IFERROR(INDEX(DB!P$2:P$2576,X37),"")</f>
        <v>2016년 12월경 OO 주차장에서 ㈜OO 소속 재해자들이 동료들과 함께 OO눈썰매 축제 운영 준비를 위해 옥외 행사용 철구조물 설치작업 중 철구조물이 넘어져 사망 1명, 부상 1명</v>
      </c>
      <c r="M37" s="76" t="str" cm="1">
        <f t="array" ref="M37">IFERROR(INDEX(DB!Q$2:Q$2576,X37),"")</f>
        <v>벽체 브레이싱 설치 누락 및 미고정, 지붕 브레이싱 지연 시공 등 불량한 방법으로 철구조물 설치작업 중 철구조물이 넘어짐</v>
      </c>
      <c r="N37" s="77"/>
      <c r="O37" s="78" t="str" cm="1">
        <f t="array" ref="O37">IFERROR(INDEX(DB!R$2:R$2576,X37),"")</f>
        <v>▶ 구조물 설치시 설계도서 및 건설공사 시방서 준수</v>
      </c>
      <c r="P37" s="101"/>
      <c r="Q37" s="102"/>
      <c r="R37" s="103"/>
      <c r="S37" s="43"/>
      <c r="T37" s="66" cm="1">
        <f t="array" ref="T37">IFERROR(_xlfn.AGGREGATE(15,6,ROW(DB!A$2:A$2576)/(((($D$3&lt;&gt;"YES")+($D$3="YES")*(DB!E$2:E$2576="YES"))*(($D$4="")+($D$4&lt;&gt;"")*ISNUMBER(SEARCH($D$4,DB!G$2:G$2576)))*(($D$5="")+($D$5&lt;&gt;"")*(DB!B$2:B$2576=$D$5))*(($D$6="")+($D$6&lt;&gt;"")*(DB!C$2:C$2576=$D$6))*(($D$7="")+($D$7&lt;&gt;"")*(DB!D$2:D$2576=$D$7))*(($F$4="전체")+($F$4&lt;&gt;"전체")*(DB!H$2:H$2576=$F$4)))),ROW()-16)-1,"")</f>
        <v>763</v>
      </c>
      <c r="U37" s="104" t="str" cm="1">
        <f t="array" ref="U37">IFERROR(INDEX(DB!B$2:B$2576,T37),"")</f>
        <v>3. 철골공사</v>
      </c>
      <c r="V37" s="105" t="str" cm="1">
        <f t="array" ref="V37">IFERROR(INDEX(DB!O$2:O$2576,T37),"")</f>
        <v>떨어짐</v>
      </c>
      <c r="W37" s="106">
        <f t="shared" si="1"/>
        <v>10087.021000000001</v>
      </c>
      <c r="X37" s="149">
        <f t="shared" si="2"/>
        <v>785</v>
      </c>
      <c r="AB37" s="138" t="str" cm="1">
        <f t="array" ref="AB37">IFERROR(INDEX(AI$17:AI$66,_xlfn.AGGREGATE(15,6,ROW(AI$17:AI$66)-ROW(AI$17)+1/(AJ$17:AJ$66=LARGE(AJ$17:AJ$66,21)),COUNTIF(AC$17:AC36,LARGE(AJ$17:AJ$66,21))+1)),"")</f>
        <v/>
      </c>
      <c r="AC37" s="131" t="str">
        <f>IFERROR(LARGE(AJ$17:AJ$66,21),"")</f>
        <v/>
      </c>
      <c r="AE37" s="130" t="str" cm="1">
        <f t="array" ref="AE37">IFERROR(INDEX(AM$17:AM$66,_xlfn.AGGREGATE(15,6,ROW(AM$17:AM$66)-ROW(AM$17)+1/(AN$17:AN$66=LARGE(AN$17:AN$66,21)),COUNTIF(AF$17:AF36,LARGE(AN$17:AN$66,21))+1)),"")</f>
        <v/>
      </c>
      <c r="AF37" s="136" t="str">
        <f>IFERROR(LARGE(AN$17:AN$66,21),"")</f>
        <v/>
      </c>
      <c r="AH37" s="65" t="str" cm="1">
        <f t="array" ref="AH37">IF(AG37="","",SUMPRODUCT(((($D$4="")+($D$4&lt;&gt;"")*ISNUMBER(SEARCH($D$4,DB!$G$2:$G$2576)))*(($D$3&lt;&gt;"YES")+($D$3="YES")*(DB!$E$2:$E$2576="YES"))*(($F$4="전체")+($F$4&lt;&gt;"전체")*(DB!$H$2:$H$2576=$F$4)))*(DB!$B$2:$B$2576=AG37)*1))</f>
        <v/>
      </c>
      <c r="AI37" s="65" t="str" cm="1">
        <f t="array" ref="AI37">IFERROR(INDEX(DB!$C$2:$C$2576,_xlfn.AGGREGATE(15,6,ROW(DB!$C$2:$C$2576)-1/((($D$4="")+($D$4&lt;&gt;"")*ISNUMBER(SEARCH($D$4,DB!$G$2:$G$2576)))*(($D$3&lt;&gt;"YES")+($D$3="YES")*(DB!$E$2:$E$2576="YES"))*(($D$5="")+($D$5&lt;&gt;"")*(DB!$B$2:$B$2576=$D$5))*(($D$6="")+($D$6&lt;&gt;"")*(DB!$C$2:$C$2576=$D$6))*(($D$7="")+($D$7&lt;&gt;"")*(DB!$D$2:$D$2576=$D$7))*(($F$4="전체")+($F$4&lt;&gt;"전체")*(DB!$H$2:$H$2576=$F$4))*(COUNTIF(AI$17:AI36,DB!$C$2:$C$2576)=0)),1)),"")</f>
        <v/>
      </c>
      <c r="AJ37" s="65" t="str" cm="1">
        <f t="array" ref="AJ37">IF(AI37="","",SUMPRODUCT(((($D$4="")+($D$4&lt;&gt;"")*ISNUMBER(SEARCH($D$4,DB!$G$2:$G$2576)))*(($D$3&lt;&gt;"YES")+($D$3="YES")*(DB!$E$2:$E$2576="YES"))*(($D$5="")+($D$5&lt;&gt;"")*(DB!$B$2:$B$2576=$D$5))*(($D$6="")+($D$6&lt;&gt;"")*(DB!$C$2:$C$2576=$D$6))*(($D$7="")+($D$7&lt;&gt;"")*(DB!$D$2:$D$2576=$D$7))*(($F$4="전체")+($F$4&lt;&gt;"전체")*(DB!$H$2:$H$2576=$F$4)))*(DB!$C$2:$C$2576=AI37)*1))</f>
        <v/>
      </c>
      <c r="AK37" s="65" t="str" cm="1">
        <f t="array" ref="AK37">IFERROR(INDEX(DB!$D$2:$D$2576,_xlfn.AGGREGATE(15,6,ROW(DB!$D$2:$D$2576)-1/((($D$4="")+($D$4&lt;&gt;"")*ISNUMBER(SEARCH($D$4,DB!$G$2:$G$2576)))*(($D$3&lt;&gt;"YES")+($D$3="YES")*(DB!$E$2:$E$2576="YES"))*(($F$4="전체")+($F$4&lt;&gt;"전체")*(DB!$H$2:$H$2576=$F$4))*(COUNTIF(AK$16:AK36,DB!$D$2:$D$2576)=0)),21)),"")</f>
        <v/>
      </c>
      <c r="AL37" s="65" t="str" cm="1">
        <f t="array" ref="AL37">IF(AK37="","",SUMPRODUCT(((($D$4="")+($D$4&lt;&gt;"")*ISNUMBER(SEARCH($D$4,DB!$G$2:$G$2576)))*(($D$3&lt;&gt;"YES")+($D$3="YES")*(DB!$E$2:$E$2576="YES"))*(($F$4="전체")+($F$4&lt;&gt;"전체")*(DB!$H$2:$H$2576=$F$4)))*(DB!$D$2:$D$2576=AK37)*1))</f>
        <v/>
      </c>
      <c r="AM37" s="65" t="str" cm="1">
        <f t="array" ref="AM37">IFERROR(INDEX(DB!$O$2:$O$2576,_xlfn.AGGREGATE(15,6,ROW(DB!$O$2:$O$2576)-1/((($D$4="")+($D$4&lt;&gt;"")*ISNUMBER(SEARCH($D$4,DB!$G$2:$G$2576)))*(($D$3&lt;&gt;"YES")+($D$3="YES")*(DB!$E$2:$E$2576="YES"))*(($D$5="")+($D$5&lt;&gt;"")*(DB!$B$2:$B$2576=$D$5))*(($D$6="")+($D$6&lt;&gt;"")*(DB!$C$2:$C$2576=$D$6))*(($D$7="")+($D$7&lt;&gt;"")*(DB!$D$2:$D$2576=$D$7))*(($F$4="전체")+($F$4&lt;&gt;"전체")*(DB!$H$2:$H$2576=$F$4))*(COUNTIF(AM$17:AM36,DB!$O$2:$O$2576)=0)),1)),"")</f>
        <v/>
      </c>
      <c r="AN37" s="65" t="str" cm="1">
        <f t="array" ref="AN37">IF(AM37="","",SUMPRODUCT(((($D$4="")+($D$4&lt;&gt;"")*ISNUMBER(SEARCH($D$4,DB!$G$2:$G$2576)))*(($D$3&lt;&gt;"YES")+($D$3="YES")*(DB!$E$2:$E$2576="YES"))*(($D$5="")+($D$5&lt;&gt;"")*(DB!$B$2:$B$2576=$D$5))*(($D$6="")+($D$6&lt;&gt;"")*(DB!$C$2:$C$2576=$D$6))*(($D$7="")+($D$7&lt;&gt;"")*(DB!$D$2:$D$2576=$D$7))*(($F$4="전체")+($F$4&lt;&gt;"전체")*(DB!$H$2:$H$2576=$F$4)))*(DB!$O$2:$O$2576=AM37)*1))</f>
        <v/>
      </c>
      <c r="AY37" t="s">
        <v>28</v>
      </c>
      <c r="AZ37">
        <v>20</v>
      </c>
      <c r="BA37">
        <v>61</v>
      </c>
      <c r="BB37" s="11">
        <v>2.36985236985237E-2</v>
      </c>
    </row>
    <row r="38" spans="1:54" ht="90" customHeight="1">
      <c r="A38" s="26"/>
      <c r="B38" s="73">
        <f t="shared" si="0"/>
        <v>22</v>
      </c>
      <c r="C38" s="74"/>
      <c r="D38" s="96" t="str" cm="1">
        <f t="array" ref="D38">IFERROR(INDEX(DB!B$2:B$2576,X38),"")</f>
        <v>3. 철골공사</v>
      </c>
      <c r="E38" s="107"/>
      <c r="F38" s="97" t="str" cm="1">
        <f t="array" ref="F38">IFERROR(INDEX(DB!C$2:C$2576,X38),"")</f>
        <v>3.1 철골 작업</v>
      </c>
      <c r="G38" s="108"/>
      <c r="H38" s="98" t="str" cm="1">
        <f t="array" ref="H38">IFERROR(INDEX(DB!D$2:D$2576,X38),"")</f>
        <v>3.1.1 철골 부재반입 및 운반</v>
      </c>
      <c r="I38" s="109"/>
      <c r="J38" s="99" t="str" cm="1">
        <f t="array" ref="J38">IFERROR(INDEX(DB!O$2:O$2576,X38),"")</f>
        <v>떨어짐</v>
      </c>
      <c r="K38" s="110"/>
      <c r="L38" s="75" t="str" cm="1">
        <f t="array" ref="L38">IFERROR(INDEX(DB!P$2:P$2576,X38),"")</f>
        <v>2015년 12월경 OO골프장 천정 그물망 보수공사 현장에서 재해자(도비공)가 동료 근로자와 함께 철구조물 기둥 상부에서 수직 그물망 설치 작업 중  실족하여 약 35m 아래 지상바닥으로 떨어져 사망(추정)</v>
      </c>
      <c r="M38" s="76" t="str" cm="1">
        <f t="array" ref="M38">IFERROR(INDEX(DB!Q$2:Q$2576,X38),"")</f>
        <v>동료 근로자와 함께 철구조물 기둥 상부에서 수직 그물망 설치 작업 중  실족하여 약 35m 아래 지상바닥으로 떨어짐</v>
      </c>
      <c r="N38" s="77"/>
      <c r="O38" s="78" t="str" cm="1">
        <f t="array" ref="O38">IFERROR(INDEX(DB!R$2:R$2576,X38),"")</f>
        <v>▶ 추락위험장소에서 작업 시 안전대 부착설비 설치 및 안전대 착용
▶ 철골작업장에서 볼트 조입 작업 시 달대비계 등 안전한 작업 발판 설치 후 작업</v>
      </c>
      <c r="P38" s="101"/>
      <c r="Q38" s="102"/>
      <c r="R38" s="103"/>
      <c r="S38" s="43"/>
      <c r="T38" s="66" cm="1">
        <f t="array" ref="T38">IFERROR(_xlfn.AGGREGATE(15,6,ROW(DB!A$2:A$2576)/(((($D$3&lt;&gt;"YES")+($D$3="YES")*(DB!E$2:E$2576="YES"))*(($D$4="")+($D$4&lt;&gt;"")*ISNUMBER(SEARCH($D$4,DB!G$2:G$2576)))*(($D$5="")+($D$5&lt;&gt;"")*(DB!B$2:B$2576=$D$5))*(($D$6="")+($D$6&lt;&gt;"")*(DB!C$2:C$2576=$D$6))*(($D$7="")+($D$7&lt;&gt;"")*(DB!D$2:D$2576=$D$7))*(($F$4="전체")+($F$4&lt;&gt;"전체")*(DB!H$2:H$2576=$F$4)))),ROW()-16)-1,"")</f>
        <v>766</v>
      </c>
      <c r="U38" s="104" t="str" cm="1">
        <f t="array" ref="U38">IFERROR(INDEX(DB!B$2:B$2576,T38),"")</f>
        <v>3. 철골공사</v>
      </c>
      <c r="V38" s="105" t="str" cm="1">
        <f t="array" ref="V38">IFERROR(INDEX(DB!O$2:O$2576,T38),"")</f>
        <v>떨어짐</v>
      </c>
      <c r="W38" s="106">
        <f t="shared" si="1"/>
        <v>10087.022000000001</v>
      </c>
      <c r="X38" s="149">
        <f t="shared" si="2"/>
        <v>760</v>
      </c>
      <c r="AB38" s="138" t="str" cm="1">
        <f t="array" ref="AB38">IFERROR(INDEX(AI$17:AI$66,_xlfn.AGGREGATE(15,6,ROW(AI$17:AI$66)-ROW(AI$17)+1/(AJ$17:AJ$66=LARGE(AJ$17:AJ$66,22)),COUNTIF(AC$17:AC37,LARGE(AJ$17:AJ$66,22))+1)),"")</f>
        <v/>
      </c>
      <c r="AC38" s="131" t="str">
        <f>IFERROR(LARGE(AJ$17:AJ$66,22),"")</f>
        <v/>
      </c>
      <c r="AE38" s="130" t="str" cm="1">
        <f t="array" ref="AE38">IFERROR(INDEX(AM$17:AM$66,_xlfn.AGGREGATE(15,6,ROW(AM$17:AM$66)-ROW(AM$17)+1/(AN$17:AN$66=LARGE(AN$17:AN$66,22)),COUNTIF(AF$17:AF37,LARGE(AN$17:AN$66,22))+1)),"")</f>
        <v/>
      </c>
      <c r="AF38" s="136" t="str">
        <f>IFERROR(LARGE(AN$17:AN$66,22),"")</f>
        <v/>
      </c>
      <c r="AH38" s="65" t="str" cm="1">
        <f t="array" ref="AH38">IF(AG38="","",SUMPRODUCT(((($D$4="")+($D$4&lt;&gt;"")*ISNUMBER(SEARCH($D$4,DB!$G$2:$G$2576)))*(($D$3&lt;&gt;"YES")+($D$3="YES")*(DB!$E$2:$E$2576="YES"))*(($F$4="전체")+($F$4&lt;&gt;"전체")*(DB!$H$2:$H$2576=$F$4)))*(DB!$B$2:$B$2576=AG38)*1))</f>
        <v/>
      </c>
      <c r="AI38" s="65" t="str" cm="1">
        <f t="array" ref="AI38">IFERROR(INDEX(DB!$C$2:$C$2576,_xlfn.AGGREGATE(15,6,ROW(DB!$C$2:$C$2576)-1/((($D$4="")+($D$4&lt;&gt;"")*ISNUMBER(SEARCH($D$4,DB!$G$2:$G$2576)))*(($D$3&lt;&gt;"YES")+($D$3="YES")*(DB!$E$2:$E$2576="YES"))*(($D$5="")+($D$5&lt;&gt;"")*(DB!$B$2:$B$2576=$D$5))*(($D$6="")+($D$6&lt;&gt;"")*(DB!$C$2:$C$2576=$D$6))*(($D$7="")+($D$7&lt;&gt;"")*(DB!$D$2:$D$2576=$D$7))*(($F$4="전체")+($F$4&lt;&gt;"전체")*(DB!$H$2:$H$2576=$F$4))*(COUNTIF(AI$17:AI37,DB!$C$2:$C$2576)=0)),1)),"")</f>
        <v/>
      </c>
      <c r="AJ38" s="65" t="str" cm="1">
        <f t="array" ref="AJ38">IF(AI38="","",SUMPRODUCT(((($D$4="")+($D$4&lt;&gt;"")*ISNUMBER(SEARCH($D$4,DB!$G$2:$G$2576)))*(($D$3&lt;&gt;"YES")+($D$3="YES")*(DB!$E$2:$E$2576="YES"))*(($D$5="")+($D$5&lt;&gt;"")*(DB!$B$2:$B$2576=$D$5))*(($D$6="")+($D$6&lt;&gt;"")*(DB!$C$2:$C$2576=$D$6))*(($D$7="")+($D$7&lt;&gt;"")*(DB!$D$2:$D$2576=$D$7))*(($F$4="전체")+($F$4&lt;&gt;"전체")*(DB!$H$2:$H$2576=$F$4)))*(DB!$C$2:$C$2576=AI38)*1))</f>
        <v/>
      </c>
      <c r="AK38" s="65" t="str" cm="1">
        <f t="array" ref="AK38">IFERROR(INDEX(DB!$D$2:$D$2576,_xlfn.AGGREGATE(15,6,ROW(DB!$D$2:$D$2576)-1/((($D$4="")+($D$4&lt;&gt;"")*ISNUMBER(SEARCH($D$4,DB!$G$2:$G$2576)))*(($D$3&lt;&gt;"YES")+($D$3="YES")*(DB!$E$2:$E$2576="YES"))*(($F$4="전체")+($F$4&lt;&gt;"전체")*(DB!$H$2:$H$2576=$F$4))*(COUNTIF(AK$16:AK37,DB!$D$2:$D$2576)=0)),22)),"")</f>
        <v/>
      </c>
      <c r="AL38" s="65" t="str" cm="1">
        <f t="array" ref="AL38">IF(AK38="","",SUMPRODUCT(((($D$4="")+($D$4&lt;&gt;"")*ISNUMBER(SEARCH($D$4,DB!$G$2:$G$2576)))*(($D$3&lt;&gt;"YES")+($D$3="YES")*(DB!$E$2:$E$2576="YES"))*(($F$4="전체")+($F$4&lt;&gt;"전체")*(DB!$H$2:$H$2576=$F$4)))*(DB!$D$2:$D$2576=AK38)*1))</f>
        <v/>
      </c>
      <c r="AM38" s="65" t="str" cm="1">
        <f t="array" ref="AM38">IFERROR(INDEX(DB!$O$2:$O$2576,_xlfn.AGGREGATE(15,6,ROW(DB!$O$2:$O$2576)-1/((($D$4="")+($D$4&lt;&gt;"")*ISNUMBER(SEARCH($D$4,DB!$G$2:$G$2576)))*(($D$3&lt;&gt;"YES")+($D$3="YES")*(DB!$E$2:$E$2576="YES"))*(($D$5="")+($D$5&lt;&gt;"")*(DB!$B$2:$B$2576=$D$5))*(($D$6="")+($D$6&lt;&gt;"")*(DB!$C$2:$C$2576=$D$6))*(($D$7="")+($D$7&lt;&gt;"")*(DB!$D$2:$D$2576=$D$7))*(($F$4="전체")+($F$4&lt;&gt;"전체")*(DB!$H$2:$H$2576=$F$4))*(COUNTIF(AM$17:AM37,DB!$O$2:$O$2576)=0)),1)),"")</f>
        <v/>
      </c>
      <c r="AN38" s="65" t="str" cm="1">
        <f t="array" ref="AN38">IF(AM38="","",SUMPRODUCT(((($D$4="")+($D$4&lt;&gt;"")*ISNUMBER(SEARCH($D$4,DB!$G$2:$G$2576)))*(($D$3&lt;&gt;"YES")+($D$3="YES")*(DB!$E$2:$E$2576="YES"))*(($D$5="")+($D$5&lt;&gt;"")*(DB!$B$2:$B$2576=$D$5))*(($D$6="")+($D$6&lt;&gt;"")*(DB!$C$2:$C$2576=$D$6))*(($D$7="")+($D$7&lt;&gt;"")*(DB!$D$2:$D$2576=$D$7))*(($F$4="전체")+($F$4&lt;&gt;"전체")*(DB!$H$2:$H$2576=$F$4)))*(DB!$O$2:$O$2576=AM38)*1))</f>
        <v/>
      </c>
      <c r="AY38" t="s">
        <v>70</v>
      </c>
      <c r="AZ38">
        <v>21</v>
      </c>
      <c r="BA38">
        <v>50</v>
      </c>
      <c r="BB38" s="11">
        <v>1.9425019425019424E-2</v>
      </c>
    </row>
    <row r="39" spans="1:54" ht="90" customHeight="1">
      <c r="A39" s="79"/>
      <c r="B39" s="73">
        <f t="shared" si="0"/>
        <v>23</v>
      </c>
      <c r="C39" s="74"/>
      <c r="D39" s="96" t="str" cm="1">
        <f t="array" ref="D39">IFERROR(INDEX(DB!B$2:B$2576,X39),"")</f>
        <v>3. 철골공사</v>
      </c>
      <c r="E39" s="107"/>
      <c r="F39" s="97" t="str" cm="1">
        <f t="array" ref="F39">IFERROR(INDEX(DB!C$2:C$2576,X39),"")</f>
        <v>3.1 철골 작업</v>
      </c>
      <c r="G39" s="108"/>
      <c r="H39" s="98" t="str" cm="1">
        <f t="array" ref="H39">IFERROR(INDEX(DB!D$2:D$2576,X39),"")</f>
        <v>3.1.1 철골 부재반입 및 운반</v>
      </c>
      <c r="I39" s="109"/>
      <c r="J39" s="99" t="str" cm="1">
        <f t="array" ref="J39">IFERROR(INDEX(DB!O$2:O$2576,X39),"")</f>
        <v>떨어짐</v>
      </c>
      <c r="K39" s="110"/>
      <c r="L39" s="75" t="str" cm="1">
        <f t="array" ref="L39">IFERROR(INDEX(DB!P$2:P$2576,X39),"")</f>
        <v>2017년 5월경 OO(주) OO 증축공사 현장에서 재해자가 지상 1층에 설치된 안전난간을 넘어 철골빔으로 이동하던 중 지하 1층 바닥으로 떨어져(약6.7m) 사망</v>
      </c>
      <c r="M39" s="76" t="str" cm="1">
        <f t="array" ref="M39">IFERROR(INDEX(DB!Q$2:Q$2576,X39),"")</f>
        <v>설치된 안전난간을 넘어 철골빔으로 이동하던 중 바닥으로 근로자 추락</v>
      </c>
      <c r="N39" s="77"/>
      <c r="O39" s="78" t="str" cm="1">
        <f t="array" ref="O39">IFERROR(INDEX(DB!R$2:R$2576,X39),"")</f>
        <v>▶ 철골 설치 작업장으로 이동가능한 통행로 설치 시 통행로 구간에 개폐식 구조의 안전난간을 설치하여 안전난간을 열고 안전대를 체결한 상태에서 철골빔으로 이동할 수 있도록 조치
▶ 작업발판 단부에 추락방망 등 설치를 통한 추락방지조치 실시</v>
      </c>
      <c r="P39" s="101"/>
      <c r="Q39" s="102"/>
      <c r="R39" s="103"/>
      <c r="S39" s="43"/>
      <c r="T39" s="66" cm="1">
        <f t="array" ref="T39">IFERROR(_xlfn.AGGREGATE(15,6,ROW(DB!A$2:A$2576)/(((($D$3&lt;&gt;"YES")+($D$3="YES")*(DB!E$2:E$2576="YES"))*(($D$4="")+($D$4&lt;&gt;"")*ISNUMBER(SEARCH($D$4,DB!G$2:G$2576)))*(($D$5="")+($D$5&lt;&gt;"")*(DB!B$2:B$2576=$D$5))*(($D$6="")+($D$6&lt;&gt;"")*(DB!C$2:C$2576=$D$6))*(($D$7="")+($D$7&lt;&gt;"")*(DB!D$2:D$2576=$D$7))*(($F$4="전체")+($F$4&lt;&gt;"전체")*(DB!H$2:H$2576=$F$4)))),ROW()-16)-1,"")</f>
        <v>768</v>
      </c>
      <c r="U39" s="104" t="str" cm="1">
        <f t="array" ref="U39">IFERROR(INDEX(DB!B$2:B$2576,T39),"")</f>
        <v>3. 철골공사</v>
      </c>
      <c r="V39" s="105" t="str" cm="1">
        <f t="array" ref="V39">IFERROR(INDEX(DB!O$2:O$2576,T39),"")</f>
        <v>떨어짐</v>
      </c>
      <c r="W39" s="106">
        <f t="shared" si="1"/>
        <v>10087.022999999999</v>
      </c>
      <c r="X39" s="149">
        <f t="shared" si="2"/>
        <v>763</v>
      </c>
      <c r="AB39" s="138" t="str" cm="1">
        <f t="array" ref="AB39">IFERROR(INDEX(AI$17:AI$66,_xlfn.AGGREGATE(15,6,ROW(AI$17:AI$66)-ROW(AI$17)+1/(AJ$17:AJ$66=LARGE(AJ$17:AJ$66,23)),COUNTIF(AC$17:AC38,LARGE(AJ$17:AJ$66,23))+1)),"")</f>
        <v/>
      </c>
      <c r="AC39" s="131" t="str">
        <f>IFERROR(LARGE(AJ$17:AJ$66,23),"")</f>
        <v/>
      </c>
      <c r="AE39" s="130" t="str" cm="1">
        <f t="array" ref="AE39">IFERROR(INDEX(AM$17:AM$66,_xlfn.AGGREGATE(15,6,ROW(AM$17:AM$66)-ROW(AM$17)+1/(AN$17:AN$66=LARGE(AN$17:AN$66,23)),COUNTIF(AF$17:AF38,LARGE(AN$17:AN$66,23))+1)),"")</f>
        <v/>
      </c>
      <c r="AF39" s="136" t="str">
        <f>IFERROR(LARGE(AN$17:AN$66,23),"")</f>
        <v/>
      </c>
      <c r="AH39" s="65" t="str" cm="1">
        <f t="array" ref="AH39">IF(AG39="","",SUMPRODUCT(((($D$4="")+($D$4&lt;&gt;"")*ISNUMBER(SEARCH($D$4,DB!$G$2:$G$2576)))*(($D$3&lt;&gt;"YES")+($D$3="YES")*(DB!$E$2:$E$2576="YES"))*(($F$4="전체")+($F$4&lt;&gt;"전체")*(DB!$H$2:$H$2576=$F$4)))*(DB!$B$2:$B$2576=AG39)*1))</f>
        <v/>
      </c>
      <c r="AI39" s="65" t="str" cm="1">
        <f t="array" ref="AI39">IFERROR(INDEX(DB!$C$2:$C$2576,_xlfn.AGGREGATE(15,6,ROW(DB!$C$2:$C$2576)-1/((($D$4="")+($D$4&lt;&gt;"")*ISNUMBER(SEARCH($D$4,DB!$G$2:$G$2576)))*(($D$3&lt;&gt;"YES")+($D$3="YES")*(DB!$E$2:$E$2576="YES"))*(($D$5="")+($D$5&lt;&gt;"")*(DB!$B$2:$B$2576=$D$5))*(($D$6="")+($D$6&lt;&gt;"")*(DB!$C$2:$C$2576=$D$6))*(($D$7="")+($D$7&lt;&gt;"")*(DB!$D$2:$D$2576=$D$7))*(($F$4="전체")+($F$4&lt;&gt;"전체")*(DB!$H$2:$H$2576=$F$4))*(COUNTIF(AI$17:AI38,DB!$C$2:$C$2576)=0)),1)),"")</f>
        <v/>
      </c>
      <c r="AJ39" s="65" t="str" cm="1">
        <f t="array" ref="AJ39">IF(AI39="","",SUMPRODUCT(((($D$4="")+($D$4&lt;&gt;"")*ISNUMBER(SEARCH($D$4,DB!$G$2:$G$2576)))*(($D$3&lt;&gt;"YES")+($D$3="YES")*(DB!$E$2:$E$2576="YES"))*(($D$5="")+($D$5&lt;&gt;"")*(DB!$B$2:$B$2576=$D$5))*(($D$6="")+($D$6&lt;&gt;"")*(DB!$C$2:$C$2576=$D$6))*(($D$7="")+($D$7&lt;&gt;"")*(DB!$D$2:$D$2576=$D$7))*(($F$4="전체")+($F$4&lt;&gt;"전체")*(DB!$H$2:$H$2576=$F$4)))*(DB!$C$2:$C$2576=AI39)*1))</f>
        <v/>
      </c>
      <c r="AK39" s="65" t="str" cm="1">
        <f t="array" ref="AK39">IFERROR(INDEX(DB!$D$2:$D$2576,_xlfn.AGGREGATE(15,6,ROW(DB!$D$2:$D$2576)-1/((($D$4="")+($D$4&lt;&gt;"")*ISNUMBER(SEARCH($D$4,DB!$G$2:$G$2576)))*(($D$3&lt;&gt;"YES")+($D$3="YES")*(DB!$E$2:$E$2576="YES"))*(($F$4="전체")+($F$4&lt;&gt;"전체")*(DB!$H$2:$H$2576=$F$4))*(COUNTIF(AK$16:AK38,DB!$D$2:$D$2576)=0)),23)),"")</f>
        <v/>
      </c>
      <c r="AL39" s="65" t="str" cm="1">
        <f t="array" ref="AL39">IF(AK39="","",SUMPRODUCT(((($D$4="")+($D$4&lt;&gt;"")*ISNUMBER(SEARCH($D$4,DB!$G$2:$G$2576)))*(($D$3&lt;&gt;"YES")+($D$3="YES")*(DB!$E$2:$E$2576="YES"))*(($F$4="전체")+($F$4&lt;&gt;"전체")*(DB!$H$2:$H$2576=$F$4)))*(DB!$D$2:$D$2576=AK39)*1))</f>
        <v/>
      </c>
      <c r="AM39" s="65" t="str" cm="1">
        <f t="array" ref="AM39">IFERROR(INDEX(DB!$O$2:$O$2576,_xlfn.AGGREGATE(15,6,ROW(DB!$O$2:$O$2576)-1/((($D$4="")+($D$4&lt;&gt;"")*ISNUMBER(SEARCH($D$4,DB!$G$2:$G$2576)))*(($D$3&lt;&gt;"YES")+($D$3="YES")*(DB!$E$2:$E$2576="YES"))*(($D$5="")+($D$5&lt;&gt;"")*(DB!$B$2:$B$2576=$D$5))*(($D$6="")+($D$6&lt;&gt;"")*(DB!$C$2:$C$2576=$D$6))*(($D$7="")+($D$7&lt;&gt;"")*(DB!$D$2:$D$2576=$D$7))*(($F$4="전체")+($F$4&lt;&gt;"전체")*(DB!$H$2:$H$2576=$F$4))*(COUNTIF(AM$17:AM38,DB!$O$2:$O$2576)=0)),1)),"")</f>
        <v/>
      </c>
      <c r="AN39" s="65" t="str" cm="1">
        <f t="array" ref="AN39">IF(AM39="","",SUMPRODUCT(((($D$4="")+($D$4&lt;&gt;"")*ISNUMBER(SEARCH($D$4,DB!$G$2:$G$2576)))*(($D$3&lt;&gt;"YES")+($D$3="YES")*(DB!$E$2:$E$2576="YES"))*(($D$5="")+($D$5&lt;&gt;"")*(DB!$B$2:$B$2576=$D$5))*(($D$6="")+($D$6&lt;&gt;"")*(DB!$C$2:$C$2576=$D$6))*(($D$7="")+($D$7&lt;&gt;"")*(DB!$D$2:$D$2576=$D$7))*(($F$4="전체")+($F$4&lt;&gt;"전체")*(DB!$H$2:$H$2576=$F$4)))*(DB!$O$2:$O$2576=AM39)*1))</f>
        <v/>
      </c>
      <c r="AY39" t="s">
        <v>588</v>
      </c>
      <c r="AZ39">
        <v>22</v>
      </c>
      <c r="BA39">
        <v>47</v>
      </c>
      <c r="BB39" s="11">
        <v>1.825951825951826E-2</v>
      </c>
    </row>
    <row r="40" spans="1:54" ht="90" customHeight="1">
      <c r="A40" s="26"/>
      <c r="B40" s="73">
        <f t="shared" si="0"/>
        <v>24</v>
      </c>
      <c r="C40" s="74"/>
      <c r="D40" s="96" t="str" cm="1">
        <f t="array" ref="D40">IFERROR(INDEX(DB!B$2:B$2576,X40),"")</f>
        <v>3. 철골공사</v>
      </c>
      <c r="E40" s="107"/>
      <c r="F40" s="97" t="str" cm="1">
        <f t="array" ref="F40">IFERROR(INDEX(DB!C$2:C$2576,X40),"")</f>
        <v>3.1 철골 작업</v>
      </c>
      <c r="G40" s="108"/>
      <c r="H40" s="98" t="str" cm="1">
        <f t="array" ref="H40">IFERROR(INDEX(DB!D$2:D$2576,X40),"")</f>
        <v>3.1.1 철골 부재반입 및 운반</v>
      </c>
      <c r="I40" s="109"/>
      <c r="J40" s="99" t="str" cm="1">
        <f t="array" ref="J40">IFERROR(INDEX(DB!O$2:O$2576,X40),"")</f>
        <v>떨어짐</v>
      </c>
      <c r="K40" s="110"/>
      <c r="L40" s="75" t="str" cm="1">
        <f t="array" ref="L40">IFERROR(INDEX(DB!P$2:P$2576,X40),"")</f>
        <v>2018년 4월경 OO공장 천막공사 현장에서 천막 설치를 위한 파이프구조물을 카고크레인으로 양중작업 중 재해자가 양중물인 파이프구조물의 흔들림이 발생하면서 충돌하여 약 4.6m 옹벽 바닥 경사면으로 추락하여 사망</v>
      </c>
      <c r="M40" s="76" t="str" cm="1">
        <f t="array" ref="M40">IFERROR(INDEX(DB!Q$2:Q$2576,X40),"")</f>
        <v>카고 크레인으로 철골구조물을 양중하던 중 철골구조물의 흔들림으로 인해 작업자와 충돌 후 추락</v>
      </c>
      <c r="N40" s="77"/>
      <c r="O40" s="78" t="str" cm="1">
        <f t="array" ref="O40">IFERROR(INDEX(DB!R$2:R$2576,X40),"")</f>
        <v xml:space="preserve">▶ 양중작업 시 유도로프를 설치하여 양중물의 선회 또는 흔들림을 사전에 예방
▶ 양중작업 시, 양중물의 형상과 그에 따른 줄걸이의 적정성 검토
▶ 양중작업 시, 지상에서 양중물을 일정 높이 상승케 한 후 줄걸이 상태 재확인 </v>
      </c>
      <c r="P40" s="101"/>
      <c r="Q40" s="102"/>
      <c r="R40" s="103"/>
      <c r="S40" s="43"/>
      <c r="T40" s="66" cm="1">
        <f t="array" ref="T40">IFERROR(_xlfn.AGGREGATE(15,6,ROW(DB!A$2:A$2576)/(((($D$3&lt;&gt;"YES")+($D$3="YES")*(DB!E$2:E$2576="YES"))*(($D$4="")+($D$4&lt;&gt;"")*ISNUMBER(SEARCH($D$4,DB!G$2:G$2576)))*(($D$5="")+($D$5&lt;&gt;"")*(DB!B$2:B$2576=$D$5))*(($D$6="")+($D$6&lt;&gt;"")*(DB!C$2:C$2576=$D$6))*(($D$7="")+($D$7&lt;&gt;"")*(DB!D$2:D$2576=$D$7))*(($F$4="전체")+($F$4&lt;&gt;"전체")*(DB!H$2:H$2576=$F$4)))),ROW()-16)-1,"")</f>
        <v>771</v>
      </c>
      <c r="U40" s="104" t="str" cm="1">
        <f t="array" ref="U40">IFERROR(INDEX(DB!B$2:B$2576,T40),"")</f>
        <v>3. 철골공사</v>
      </c>
      <c r="V40" s="105" t="str" cm="1">
        <f t="array" ref="V40">IFERROR(INDEX(DB!O$2:O$2576,T40),"")</f>
        <v>떨어짐</v>
      </c>
      <c r="W40" s="106">
        <f t="shared" si="1"/>
        <v>10087.023999999999</v>
      </c>
      <c r="X40" s="149">
        <f t="shared" si="2"/>
        <v>766</v>
      </c>
      <c r="AB40" s="138" t="str" cm="1">
        <f t="array" ref="AB40">IFERROR(INDEX(AI$17:AI$66,_xlfn.AGGREGATE(15,6,ROW(AI$17:AI$66)-ROW(AI$17)+1/(AJ$17:AJ$66=LARGE(AJ$17:AJ$66,24)),COUNTIF(AC$17:AC39,LARGE(AJ$17:AJ$66,24))+1)),"")</f>
        <v/>
      </c>
      <c r="AC40" s="131" t="str">
        <f>IFERROR(LARGE(AJ$17:AJ$66,24),"")</f>
        <v/>
      </c>
      <c r="AE40" s="130" t="str" cm="1">
        <f t="array" ref="AE40">IFERROR(INDEX(AM$17:AM$66,_xlfn.AGGREGATE(15,6,ROW(AM$17:AM$66)-ROW(AM$17)+1/(AN$17:AN$66=LARGE(AN$17:AN$66,24)),COUNTIF(AF$17:AF39,LARGE(AN$17:AN$66,24))+1)),"")</f>
        <v/>
      </c>
      <c r="AF40" s="136" t="str">
        <f>IFERROR(LARGE(AN$17:AN$66,24),"")</f>
        <v/>
      </c>
      <c r="AH40" s="65" t="str" cm="1">
        <f t="array" ref="AH40">IF(AG40="","",SUMPRODUCT(((($D$4="")+($D$4&lt;&gt;"")*ISNUMBER(SEARCH($D$4,DB!$G$2:$G$2576)))*(($D$3&lt;&gt;"YES")+($D$3="YES")*(DB!$E$2:$E$2576="YES"))*(($F$4="전체")+($F$4&lt;&gt;"전체")*(DB!$H$2:$H$2576=$F$4)))*(DB!$B$2:$B$2576=AG40)*1))</f>
        <v/>
      </c>
      <c r="AI40" s="65" t="str" cm="1">
        <f t="array" ref="AI40">IFERROR(INDEX(DB!$C$2:$C$2576,_xlfn.AGGREGATE(15,6,ROW(DB!$C$2:$C$2576)-1/((($D$4="")+($D$4&lt;&gt;"")*ISNUMBER(SEARCH($D$4,DB!$G$2:$G$2576)))*(($D$3&lt;&gt;"YES")+($D$3="YES")*(DB!$E$2:$E$2576="YES"))*(($D$5="")+($D$5&lt;&gt;"")*(DB!$B$2:$B$2576=$D$5))*(($D$6="")+($D$6&lt;&gt;"")*(DB!$C$2:$C$2576=$D$6))*(($D$7="")+($D$7&lt;&gt;"")*(DB!$D$2:$D$2576=$D$7))*(($F$4="전체")+($F$4&lt;&gt;"전체")*(DB!$H$2:$H$2576=$F$4))*(COUNTIF(AI$17:AI39,DB!$C$2:$C$2576)=0)),1)),"")</f>
        <v/>
      </c>
      <c r="AJ40" s="65" t="str" cm="1">
        <f t="array" ref="AJ40">IF(AI40="","",SUMPRODUCT(((($D$4="")+($D$4&lt;&gt;"")*ISNUMBER(SEARCH($D$4,DB!$G$2:$G$2576)))*(($D$3&lt;&gt;"YES")+($D$3="YES")*(DB!$E$2:$E$2576="YES"))*(($D$5="")+($D$5&lt;&gt;"")*(DB!$B$2:$B$2576=$D$5))*(($D$6="")+($D$6&lt;&gt;"")*(DB!$C$2:$C$2576=$D$6))*(($D$7="")+($D$7&lt;&gt;"")*(DB!$D$2:$D$2576=$D$7))*(($F$4="전체")+($F$4&lt;&gt;"전체")*(DB!$H$2:$H$2576=$F$4)))*(DB!$C$2:$C$2576=AI40)*1))</f>
        <v/>
      </c>
      <c r="AK40" s="65" t="str" cm="1">
        <f t="array" ref="AK40">IFERROR(INDEX(DB!$D$2:$D$2576,_xlfn.AGGREGATE(15,6,ROW(DB!$D$2:$D$2576)-1/((($D$4="")+($D$4&lt;&gt;"")*ISNUMBER(SEARCH($D$4,DB!$G$2:$G$2576)))*(($D$3&lt;&gt;"YES")+($D$3="YES")*(DB!$E$2:$E$2576="YES"))*(($F$4="전체")+($F$4&lt;&gt;"전체")*(DB!$H$2:$H$2576=$F$4))*(COUNTIF(AK$16:AK39,DB!$D$2:$D$2576)=0)),24)),"")</f>
        <v/>
      </c>
      <c r="AL40" s="65" t="str" cm="1">
        <f t="array" ref="AL40">IF(AK40="","",SUMPRODUCT(((($D$4="")+($D$4&lt;&gt;"")*ISNUMBER(SEARCH($D$4,DB!$G$2:$G$2576)))*(($D$3&lt;&gt;"YES")+($D$3="YES")*(DB!$E$2:$E$2576="YES"))*(($F$4="전체")+($F$4&lt;&gt;"전체")*(DB!$H$2:$H$2576=$F$4)))*(DB!$D$2:$D$2576=AK40)*1))</f>
        <v/>
      </c>
      <c r="AM40" s="65" t="str" cm="1">
        <f t="array" ref="AM40">IFERROR(INDEX(DB!$O$2:$O$2576,_xlfn.AGGREGATE(15,6,ROW(DB!$O$2:$O$2576)-1/((($D$4="")+($D$4&lt;&gt;"")*ISNUMBER(SEARCH($D$4,DB!$G$2:$G$2576)))*(($D$3&lt;&gt;"YES")+($D$3="YES")*(DB!$E$2:$E$2576="YES"))*(($D$5="")+($D$5&lt;&gt;"")*(DB!$B$2:$B$2576=$D$5))*(($D$6="")+($D$6&lt;&gt;"")*(DB!$C$2:$C$2576=$D$6))*(($D$7="")+($D$7&lt;&gt;"")*(DB!$D$2:$D$2576=$D$7))*(($F$4="전체")+($F$4&lt;&gt;"전체")*(DB!$H$2:$H$2576=$F$4))*(COUNTIF(AM$17:AM39,DB!$O$2:$O$2576)=0)),1)),"")</f>
        <v/>
      </c>
      <c r="AN40" s="65" t="str" cm="1">
        <f t="array" ref="AN40">IF(AM40="","",SUMPRODUCT(((($D$4="")+($D$4&lt;&gt;"")*ISNUMBER(SEARCH($D$4,DB!$G$2:$G$2576)))*(($D$3&lt;&gt;"YES")+($D$3="YES")*(DB!$E$2:$E$2576="YES"))*(($D$5="")+($D$5&lt;&gt;"")*(DB!$B$2:$B$2576=$D$5))*(($D$6="")+($D$6&lt;&gt;"")*(DB!$C$2:$C$2576=$D$6))*(($D$7="")+($D$7&lt;&gt;"")*(DB!$D$2:$D$2576=$D$7))*(($F$4="전체")+($F$4&lt;&gt;"전체")*(DB!$H$2:$H$2576=$F$4)))*(DB!$O$2:$O$2576=AM40)*1))</f>
        <v/>
      </c>
      <c r="AY40" t="s">
        <v>557</v>
      </c>
      <c r="AZ40">
        <v>23</v>
      </c>
      <c r="BA40">
        <v>39</v>
      </c>
      <c r="BB40" s="11">
        <v>1.5151515151515152E-2</v>
      </c>
    </row>
    <row r="41" spans="1:54" ht="90" customHeight="1">
      <c r="A41" s="79"/>
      <c r="B41" s="73">
        <f t="shared" si="0"/>
        <v>25</v>
      </c>
      <c r="C41" s="74"/>
      <c r="D41" s="96" t="str" cm="1">
        <f t="array" ref="D41">IFERROR(INDEX(DB!B$2:B$2576,X41),"")</f>
        <v>3. 철골공사</v>
      </c>
      <c r="E41" s="107"/>
      <c r="F41" s="97" t="str" cm="1">
        <f t="array" ref="F41">IFERROR(INDEX(DB!C$2:C$2576,X41),"")</f>
        <v>3.1 철골 작업</v>
      </c>
      <c r="G41" s="108"/>
      <c r="H41" s="98" t="str" cm="1">
        <f t="array" ref="H41">IFERROR(INDEX(DB!D$2:D$2576,X41),"")</f>
        <v>3.1.1 철골 부재반입 및 운반</v>
      </c>
      <c r="I41" s="109"/>
      <c r="J41" s="99" t="str" cm="1">
        <f t="array" ref="J41">IFERROR(INDEX(DB!O$2:O$2576,X41),"")</f>
        <v>떨어짐</v>
      </c>
      <c r="K41" s="110"/>
      <c r="L41" s="75" t="str" cm="1">
        <f t="array" ref="L41">IFERROR(INDEX(DB!P$2:P$2576,X41),"")</f>
        <v>2019년 8월경 아파트 견본주택 설치 현장에서 OO(주) 소속 재해자(판넬조립공)가 견본주택 철골지붕 위에서 이동식크레인으로 인양된 지붕용 샌드위치판넬 묶음을 철골지붕 위에 야적하는 작업 중 우천으로 작업이 중지되어 철골지붕 거더(폭 350mm, H형강=350*175*7*11)에서 지상으로 내려오기 위해 이동하다 중심을 잃고 미끄러지며 철골지붕 거더에서 2층 바닥슬라브(H≒7m)으로 떨어져 사망</v>
      </c>
      <c r="M41" s="76" t="str" cm="1">
        <f t="array" ref="M41">IFERROR(INDEX(DB!Q$2:Q$2576,X41),"")</f>
        <v>철골 구조물 하부에 안전방망을 설치하지 않은 현장에서 안전대를 체결하지 않고 철골 상부에서 이동하다 근로자가 몸의 중심을 잃고 추락</v>
      </c>
      <c r="N41" s="77"/>
      <c r="O41" s="78" t="str" cm="1">
        <f t="array" ref="O41">IFERROR(INDEX(DB!R$2:R$2576,X41),"")</f>
        <v>▶ 철골 보 상부에서 이동시 추락방지를 위해 안전대 부착설비 설치 및 안전대 착용
▶ 승강용 사다리를 이용하여 이동할 경우 추락방지를 위해 안전대 체결
▶ 이동식크레인의 붐대 간섭 등 추락방망 설치가 곤란할 경우 철골 조립작업 전 지상애서 안전대 부착설비 설치 후 인양하여 조립 후 상부에서 안전대 체결하여 작업</v>
      </c>
      <c r="P41" s="101"/>
      <c r="Q41" s="102"/>
      <c r="R41" s="103"/>
      <c r="S41" s="43"/>
      <c r="T41" s="66" cm="1">
        <f t="array" ref="T41">IFERROR(_xlfn.AGGREGATE(15,6,ROW(DB!A$2:A$2576)/(((($D$3&lt;&gt;"YES")+($D$3="YES")*(DB!E$2:E$2576="YES"))*(($D$4="")+($D$4&lt;&gt;"")*ISNUMBER(SEARCH($D$4,DB!G$2:G$2576)))*(($D$5="")+($D$5&lt;&gt;"")*(DB!B$2:B$2576=$D$5))*(($D$6="")+($D$6&lt;&gt;"")*(DB!C$2:C$2576=$D$6))*(($D$7="")+($D$7&lt;&gt;"")*(DB!D$2:D$2576=$D$7))*(($F$4="전체")+($F$4&lt;&gt;"전체")*(DB!H$2:H$2576=$F$4)))),ROW()-16)-1,"")</f>
        <v>773</v>
      </c>
      <c r="U41" s="104" t="str" cm="1">
        <f t="array" ref="U41">IFERROR(INDEX(DB!B$2:B$2576,T41),"")</f>
        <v>3. 철골공사</v>
      </c>
      <c r="V41" s="105" t="str" cm="1">
        <f t="array" ref="V41">IFERROR(INDEX(DB!O$2:O$2576,T41),"")</f>
        <v>떨어짐</v>
      </c>
      <c r="W41" s="106">
        <f t="shared" si="1"/>
        <v>10087.025</v>
      </c>
      <c r="X41" s="149">
        <f t="shared" si="2"/>
        <v>768</v>
      </c>
      <c r="AB41" s="138" t="str" cm="1">
        <f t="array" ref="AB41">IFERROR(INDEX(AI$17:AI$66,_xlfn.AGGREGATE(15,6,ROW(AI$17:AI$66)-ROW(AI$17)+1/(AJ$17:AJ$66=LARGE(AJ$17:AJ$66,25)),COUNTIF(AC$17:AC40,LARGE(AJ$17:AJ$66,25))+1)),"")</f>
        <v/>
      </c>
      <c r="AC41" s="131" t="str">
        <f>IFERROR(LARGE(AJ$17:AJ$66,25),"")</f>
        <v/>
      </c>
      <c r="AE41" s="130" t="str" cm="1">
        <f t="array" ref="AE41">IFERROR(INDEX(AM$17:AM$66,_xlfn.AGGREGATE(15,6,ROW(AM$17:AM$66)-ROW(AM$17)+1/(AN$17:AN$66=LARGE(AN$17:AN$66,25)),COUNTIF(AF$17:AF40,LARGE(AN$17:AN$66,25))+1)),"")</f>
        <v/>
      </c>
      <c r="AF41" s="136" t="str">
        <f>IFERROR(LARGE(AN$17:AN$66,25),"")</f>
        <v/>
      </c>
      <c r="AH41" s="65" t="str" cm="1">
        <f t="array" ref="AH41">IF(AG41="","",SUMPRODUCT(((($D$4="")+($D$4&lt;&gt;"")*ISNUMBER(SEARCH($D$4,DB!$G$2:$G$2576)))*(($D$3&lt;&gt;"YES")+($D$3="YES")*(DB!$E$2:$E$2576="YES"))*(($F$4="전체")+($F$4&lt;&gt;"전체")*(DB!$H$2:$H$2576=$F$4)))*(DB!$B$2:$B$2576=AG41)*1))</f>
        <v/>
      </c>
      <c r="AI41" s="65" t="str" cm="1">
        <f t="array" ref="AI41">IFERROR(INDEX(DB!$C$2:$C$2576,_xlfn.AGGREGATE(15,6,ROW(DB!$C$2:$C$2576)-1/((($D$4="")+($D$4&lt;&gt;"")*ISNUMBER(SEARCH($D$4,DB!$G$2:$G$2576)))*(($D$3&lt;&gt;"YES")+($D$3="YES")*(DB!$E$2:$E$2576="YES"))*(($D$5="")+($D$5&lt;&gt;"")*(DB!$B$2:$B$2576=$D$5))*(($D$6="")+($D$6&lt;&gt;"")*(DB!$C$2:$C$2576=$D$6))*(($D$7="")+($D$7&lt;&gt;"")*(DB!$D$2:$D$2576=$D$7))*(($F$4="전체")+($F$4&lt;&gt;"전체")*(DB!$H$2:$H$2576=$F$4))*(COUNTIF(AI$17:AI40,DB!$C$2:$C$2576)=0)),1)),"")</f>
        <v/>
      </c>
      <c r="AJ41" s="65" t="str" cm="1">
        <f t="array" ref="AJ41">IF(AI41="","",SUMPRODUCT(((($D$4="")+($D$4&lt;&gt;"")*ISNUMBER(SEARCH($D$4,DB!$G$2:$G$2576)))*(($D$3&lt;&gt;"YES")+($D$3="YES")*(DB!$E$2:$E$2576="YES"))*(($D$5="")+($D$5&lt;&gt;"")*(DB!$B$2:$B$2576=$D$5))*(($D$6="")+($D$6&lt;&gt;"")*(DB!$C$2:$C$2576=$D$6))*(($D$7="")+($D$7&lt;&gt;"")*(DB!$D$2:$D$2576=$D$7))*(($F$4="전체")+($F$4&lt;&gt;"전체")*(DB!$H$2:$H$2576=$F$4)))*(DB!$C$2:$C$2576=AI41)*1))</f>
        <v/>
      </c>
      <c r="AK41" s="65" t="str" cm="1">
        <f t="array" ref="AK41">IFERROR(INDEX(DB!$D$2:$D$2576,_xlfn.AGGREGATE(15,6,ROW(DB!$D$2:$D$2576)-1/((($D$4="")+($D$4&lt;&gt;"")*ISNUMBER(SEARCH($D$4,DB!$G$2:$G$2576)))*(($D$3&lt;&gt;"YES")+($D$3="YES")*(DB!$E$2:$E$2576="YES"))*(($F$4="전체")+($F$4&lt;&gt;"전체")*(DB!$H$2:$H$2576=$F$4))*(COUNTIF(AK$16:AK40,DB!$D$2:$D$2576)=0)),25)),"")</f>
        <v/>
      </c>
      <c r="AL41" s="65" t="str" cm="1">
        <f t="array" ref="AL41">IF(AK41="","",SUMPRODUCT(((($D$4="")+($D$4&lt;&gt;"")*ISNUMBER(SEARCH($D$4,DB!$G$2:$G$2576)))*(($D$3&lt;&gt;"YES")+($D$3="YES")*(DB!$E$2:$E$2576="YES"))*(($F$4="전체")+($F$4&lt;&gt;"전체")*(DB!$H$2:$H$2576=$F$4)))*(DB!$D$2:$D$2576=AK41)*1))</f>
        <v/>
      </c>
      <c r="AM41" s="65" t="str" cm="1">
        <f t="array" ref="AM41">IFERROR(INDEX(DB!$O$2:$O$2576,_xlfn.AGGREGATE(15,6,ROW(DB!$O$2:$O$2576)-1/((($D$4="")+($D$4&lt;&gt;"")*ISNUMBER(SEARCH($D$4,DB!$G$2:$G$2576)))*(($D$3&lt;&gt;"YES")+($D$3="YES")*(DB!$E$2:$E$2576="YES"))*(($D$5="")+($D$5&lt;&gt;"")*(DB!$B$2:$B$2576=$D$5))*(($D$6="")+($D$6&lt;&gt;"")*(DB!$C$2:$C$2576=$D$6))*(($D$7="")+($D$7&lt;&gt;"")*(DB!$D$2:$D$2576=$D$7))*(($F$4="전체")+($F$4&lt;&gt;"전체")*(DB!$H$2:$H$2576=$F$4))*(COUNTIF(AM$17:AM40,DB!$O$2:$O$2576)=0)),1)),"")</f>
        <v/>
      </c>
      <c r="AN41" s="65" t="str" cm="1">
        <f t="array" ref="AN41">IF(AM41="","",SUMPRODUCT(((($D$4="")+($D$4&lt;&gt;"")*ISNUMBER(SEARCH($D$4,DB!$G$2:$G$2576)))*(($D$3&lt;&gt;"YES")+($D$3="YES")*(DB!$E$2:$E$2576="YES"))*(($D$5="")+($D$5&lt;&gt;"")*(DB!$B$2:$B$2576=$D$5))*(($D$6="")+($D$6&lt;&gt;"")*(DB!$C$2:$C$2576=$D$6))*(($D$7="")+($D$7&lt;&gt;"")*(DB!$D$2:$D$2576=$D$7))*(($F$4="전체")+($F$4&lt;&gt;"전체")*(DB!$H$2:$H$2576=$F$4)))*(DB!$O$2:$O$2576=AM41)*1))</f>
        <v/>
      </c>
      <c r="AY41" t="s">
        <v>288</v>
      </c>
      <c r="AZ41">
        <v>24</v>
      </c>
      <c r="BA41">
        <v>38</v>
      </c>
      <c r="BB41" s="11">
        <v>1.4763014763014764E-2</v>
      </c>
    </row>
    <row r="42" spans="1:54" ht="90" customHeight="1">
      <c r="A42" s="26"/>
      <c r="B42" s="73">
        <f t="shared" si="0"/>
        <v>26</v>
      </c>
      <c r="C42" s="74"/>
      <c r="D42" s="96" t="str" cm="1">
        <f t="array" ref="D42">IFERROR(INDEX(DB!B$2:B$2576,X42),"")</f>
        <v>3. 철골공사</v>
      </c>
      <c r="E42" s="107"/>
      <c r="F42" s="97" t="str" cm="1">
        <f t="array" ref="F42">IFERROR(INDEX(DB!C$2:C$2576,X42),"")</f>
        <v>3.1 철골 작업</v>
      </c>
      <c r="G42" s="108"/>
      <c r="H42" s="98" t="str" cm="1">
        <f t="array" ref="H42">IFERROR(INDEX(DB!D$2:D$2576,X42),"")</f>
        <v>3.1.2 철골 부재 인양, 조립</v>
      </c>
      <c r="I42" s="109"/>
      <c r="J42" s="99" t="str" cm="1">
        <f t="array" ref="J42">IFERROR(INDEX(DB!O$2:O$2576,X42),"")</f>
        <v>떨어짐</v>
      </c>
      <c r="K42" s="110"/>
      <c r="L42" s="75" t="str" cm="1">
        <f t="array" ref="L42">IFERROR(INDEX(DB!P$2:P$2576,X42),"")</f>
        <v>2016년 1월경 OO건설(주)에서 시공하는 OO 신축공사 현장에서 건물내 주차타워 철골조립 작업 중이던 재해자(철골공)가 철골 보 상부로 이동하던 중 중심을 잃고 약 35m 아래 지상 1층에 적재된 철골자재위로 떨어져 사망</v>
      </c>
      <c r="M42" s="76" t="str" cm="1">
        <f t="array" ref="M42">IFERROR(INDEX(DB!Q$2:Q$2576,X42),"")</f>
        <v>철골 구조물 하부에 안전방망을 설치하지 않은 현장에서 안전대를 체결하지 않고 철골 상부에서 이동하다 근로자가 몸의 중심을 잃고 추락</v>
      </c>
      <c r="N42" s="77"/>
      <c r="O42" s="78" t="str" cm="1">
        <f t="array" ref="O42">IFERROR(INDEX(DB!R$2:R$2576,X42),"")</f>
        <v>▶ 철골 보 상부에서 이동시 추락방지를 위해 안전대 부착설비 설치 및 안전대 착용
▶ 승강용 사다리를 이용하여 이동할 경우 추락방지를 위해 안전대 체결
▶ 이동식크레인의 붐대 간섭 등 추락방망 설치가 곤란할 경우 철골 조립작업 전 지상애서 안전대 부착설비 설치 후 인양하여 조립 후 상부에서 안전대 체결하여 작업</v>
      </c>
      <c r="P42" s="101"/>
      <c r="Q42" s="102"/>
      <c r="R42" s="103"/>
      <c r="S42" s="43"/>
      <c r="T42" s="66" cm="1">
        <f t="array" ref="T42">IFERROR(_xlfn.AGGREGATE(15,6,ROW(DB!A$2:A$2576)/(((($D$3&lt;&gt;"YES")+($D$3="YES")*(DB!E$2:E$2576="YES"))*(($D$4="")+($D$4&lt;&gt;"")*ISNUMBER(SEARCH($D$4,DB!G$2:G$2576)))*(($D$5="")+($D$5&lt;&gt;"")*(DB!B$2:B$2576=$D$5))*(($D$6="")+($D$6&lt;&gt;"")*(DB!C$2:C$2576=$D$6))*(($D$7="")+($D$7&lt;&gt;"")*(DB!D$2:D$2576=$D$7))*(($F$4="전체")+($F$4&lt;&gt;"전체")*(DB!H$2:H$2576=$F$4)))),ROW()-16)-1,"")</f>
        <v>774</v>
      </c>
      <c r="U42" s="104" t="str" cm="1">
        <f t="array" ref="U42">IFERROR(INDEX(DB!B$2:B$2576,T42),"")</f>
        <v>3. 철골공사</v>
      </c>
      <c r="V42" s="105" t="str" cm="1">
        <f t="array" ref="V42">IFERROR(INDEX(DB!O$2:O$2576,T42),"")</f>
        <v>떨어짐</v>
      </c>
      <c r="W42" s="106">
        <f t="shared" si="1"/>
        <v>10087.026</v>
      </c>
      <c r="X42" s="149">
        <f t="shared" si="2"/>
        <v>771</v>
      </c>
      <c r="AB42" s="138" t="str" cm="1">
        <f t="array" ref="AB42">IFERROR(INDEX(AI$17:AI$66,_xlfn.AGGREGATE(15,6,ROW(AI$17:AI$66)-ROW(AI$17)+1/(AJ$17:AJ$66=LARGE(AJ$17:AJ$66,26)),COUNTIF(AC$17:AC41,LARGE(AJ$17:AJ$66,26))+1)),"")</f>
        <v/>
      </c>
      <c r="AC42" s="131" t="str">
        <f>IFERROR(LARGE(AJ$17:AJ$66,26),"")</f>
        <v/>
      </c>
      <c r="AE42" s="130" t="str" cm="1">
        <f t="array" ref="AE42">IFERROR(INDEX(AM$17:AM$66,_xlfn.AGGREGATE(15,6,ROW(AM$17:AM$66)-ROW(AM$17)+1/(AN$17:AN$66=LARGE(AN$17:AN$66,26)),COUNTIF(AF$17:AF41,LARGE(AN$17:AN$66,26))+1)),"")</f>
        <v/>
      </c>
      <c r="AF42" s="136" t="str">
        <f>IFERROR(LARGE(AN$17:AN$66,26),"")</f>
        <v/>
      </c>
      <c r="AH42" s="65" t="str" cm="1">
        <f t="array" ref="AH42">IF(AG42="","",SUMPRODUCT(((($D$4="")+($D$4&lt;&gt;"")*ISNUMBER(SEARCH($D$4,DB!$G$2:$G$2576)))*(($D$3&lt;&gt;"YES")+($D$3="YES")*(DB!$E$2:$E$2576="YES"))*(($F$4="전체")+($F$4&lt;&gt;"전체")*(DB!$H$2:$H$2576=$F$4)))*(DB!$B$2:$B$2576=AG42)*1))</f>
        <v/>
      </c>
      <c r="AI42" s="65" t="str" cm="1">
        <f t="array" ref="AI42">IFERROR(INDEX(DB!$C$2:$C$2576,_xlfn.AGGREGATE(15,6,ROW(DB!$C$2:$C$2576)-1/((($D$4="")+($D$4&lt;&gt;"")*ISNUMBER(SEARCH($D$4,DB!$G$2:$G$2576)))*(($D$3&lt;&gt;"YES")+($D$3="YES")*(DB!$E$2:$E$2576="YES"))*(($D$5="")+($D$5&lt;&gt;"")*(DB!$B$2:$B$2576=$D$5))*(($D$6="")+($D$6&lt;&gt;"")*(DB!$C$2:$C$2576=$D$6))*(($D$7="")+($D$7&lt;&gt;"")*(DB!$D$2:$D$2576=$D$7))*(($F$4="전체")+($F$4&lt;&gt;"전체")*(DB!$H$2:$H$2576=$F$4))*(COUNTIF(AI$17:AI41,DB!$C$2:$C$2576)=0)),1)),"")</f>
        <v/>
      </c>
      <c r="AJ42" s="65" t="str" cm="1">
        <f t="array" ref="AJ42">IF(AI42="","",SUMPRODUCT(((($D$4="")+($D$4&lt;&gt;"")*ISNUMBER(SEARCH($D$4,DB!$G$2:$G$2576)))*(($D$3&lt;&gt;"YES")+($D$3="YES")*(DB!$E$2:$E$2576="YES"))*(($D$5="")+($D$5&lt;&gt;"")*(DB!$B$2:$B$2576=$D$5))*(($D$6="")+($D$6&lt;&gt;"")*(DB!$C$2:$C$2576=$D$6))*(($D$7="")+($D$7&lt;&gt;"")*(DB!$D$2:$D$2576=$D$7))*(($F$4="전체")+($F$4&lt;&gt;"전체")*(DB!$H$2:$H$2576=$F$4)))*(DB!$C$2:$C$2576=AI42)*1))</f>
        <v/>
      </c>
      <c r="AK42" s="65" t="str" cm="1">
        <f t="array" ref="AK42">IFERROR(INDEX(DB!$D$2:$D$2576,_xlfn.AGGREGATE(15,6,ROW(DB!$D$2:$D$2576)-1/((($D$4="")+($D$4&lt;&gt;"")*ISNUMBER(SEARCH($D$4,DB!$G$2:$G$2576)))*(($D$3&lt;&gt;"YES")+($D$3="YES")*(DB!$E$2:$E$2576="YES"))*(($F$4="전체")+($F$4&lt;&gt;"전체")*(DB!$H$2:$H$2576=$F$4))*(COUNTIF(AK$16:AK41,DB!$D$2:$D$2576)=0)),26)),"")</f>
        <v/>
      </c>
      <c r="AL42" s="65" t="str" cm="1">
        <f t="array" ref="AL42">IF(AK42="","",SUMPRODUCT(((($D$4="")+($D$4&lt;&gt;"")*ISNUMBER(SEARCH($D$4,DB!$G$2:$G$2576)))*(($D$3&lt;&gt;"YES")+($D$3="YES")*(DB!$E$2:$E$2576="YES"))*(($F$4="전체")+($F$4&lt;&gt;"전체")*(DB!$H$2:$H$2576=$F$4)))*(DB!$D$2:$D$2576=AK42)*1))</f>
        <v/>
      </c>
      <c r="AM42" s="65" t="str" cm="1">
        <f t="array" ref="AM42">IFERROR(INDEX(DB!$O$2:$O$2576,_xlfn.AGGREGATE(15,6,ROW(DB!$O$2:$O$2576)-1/((($D$4="")+($D$4&lt;&gt;"")*ISNUMBER(SEARCH($D$4,DB!$G$2:$G$2576)))*(($D$3&lt;&gt;"YES")+($D$3="YES")*(DB!$E$2:$E$2576="YES"))*(($D$5="")+($D$5&lt;&gt;"")*(DB!$B$2:$B$2576=$D$5))*(($D$6="")+($D$6&lt;&gt;"")*(DB!$C$2:$C$2576=$D$6))*(($D$7="")+($D$7&lt;&gt;"")*(DB!$D$2:$D$2576=$D$7))*(($F$4="전체")+($F$4&lt;&gt;"전체")*(DB!$H$2:$H$2576=$F$4))*(COUNTIF(AM$17:AM41,DB!$O$2:$O$2576)=0)),1)),"")</f>
        <v/>
      </c>
      <c r="AN42" s="65" t="str" cm="1">
        <f t="array" ref="AN42">IF(AM42="","",SUMPRODUCT(((($D$4="")+($D$4&lt;&gt;"")*ISNUMBER(SEARCH($D$4,DB!$G$2:$G$2576)))*(($D$3&lt;&gt;"YES")+($D$3="YES")*(DB!$E$2:$E$2576="YES"))*(($D$5="")+($D$5&lt;&gt;"")*(DB!$B$2:$B$2576=$D$5))*(($D$6="")+($D$6&lt;&gt;"")*(DB!$C$2:$C$2576=$D$6))*(($D$7="")+($D$7&lt;&gt;"")*(DB!$D$2:$D$2576=$D$7))*(($F$4="전체")+($F$4&lt;&gt;"전체")*(DB!$H$2:$H$2576=$F$4)))*(DB!$O$2:$O$2576=AM42)*1))</f>
        <v/>
      </c>
      <c r="AY42" t="s">
        <v>52</v>
      </c>
      <c r="AZ42">
        <v>25</v>
      </c>
      <c r="BA42">
        <v>38</v>
      </c>
      <c r="BB42" s="11">
        <v>1.4763014763014764E-2</v>
      </c>
    </row>
    <row r="43" spans="1:54" ht="90" customHeight="1">
      <c r="A43" s="79"/>
      <c r="B43" s="73">
        <f t="shared" si="0"/>
        <v>27</v>
      </c>
      <c r="C43" s="74"/>
      <c r="D43" s="96" t="str" cm="1">
        <f t="array" ref="D43">IFERROR(INDEX(DB!B$2:B$2576,X43),"")</f>
        <v>3. 철골공사</v>
      </c>
      <c r="E43" s="107"/>
      <c r="F43" s="97" t="str" cm="1">
        <f t="array" ref="F43">IFERROR(INDEX(DB!C$2:C$2576,X43),"")</f>
        <v>3.1 철골 작업</v>
      </c>
      <c r="G43" s="108"/>
      <c r="H43" s="98" t="str" cm="1">
        <f t="array" ref="H43">IFERROR(INDEX(DB!D$2:D$2576,X43),"")</f>
        <v>3.1.2 철골 부재 인양, 조립</v>
      </c>
      <c r="I43" s="109"/>
      <c r="J43" s="99" t="str" cm="1">
        <f t="array" ref="J43">IFERROR(INDEX(DB!O$2:O$2576,X43),"")</f>
        <v>떨어짐</v>
      </c>
      <c r="K43" s="110"/>
      <c r="L43" s="75" t="str" cm="1">
        <f t="array" ref="L43">IFERROR(INDEX(DB!P$2:P$2576,X43),"")</f>
        <v>2016년 4월경 OO공사현장에서 재해자가 지붕 철골부재 조립중 지상바닥으로 떨어져 사망</v>
      </c>
      <c r="M43" s="76" t="str" cm="1">
        <f t="array" ref="M43">IFERROR(INDEX(DB!Q$2:Q$2576,X43),"")</f>
        <v>추락방호조치가 되어 있지 않은 철골 구조물 상부에서 작업 중 근로자 추락</v>
      </c>
      <c r="N43" s="77"/>
      <c r="O43" s="78" t="str" cm="1">
        <f t="array" ref="O43">IFERROR(INDEX(DB!R$2:R$2576,X43),"")</f>
        <v>▶ 추락방지망 설치 등의 안전방호조치 실시
▶ 안전방호조치가 현장 여건 상 어려울 경우, 별도의 안전대 부착설비를 설치
▶ 작업자의 개인보호구 착용여부 관리감독</v>
      </c>
      <c r="P43" s="101"/>
      <c r="Q43" s="102"/>
      <c r="R43" s="103"/>
      <c r="S43" s="43"/>
      <c r="T43" s="66" cm="1">
        <f t="array" ref="T43">IFERROR(_xlfn.AGGREGATE(15,6,ROW(DB!A$2:A$2576)/(((($D$3&lt;&gt;"YES")+($D$3="YES")*(DB!E$2:E$2576="YES"))*(($D$4="")+($D$4&lt;&gt;"")*ISNUMBER(SEARCH($D$4,DB!G$2:G$2576)))*(($D$5="")+($D$5&lt;&gt;"")*(DB!B$2:B$2576=$D$5))*(($D$6="")+($D$6&lt;&gt;"")*(DB!C$2:C$2576=$D$6))*(($D$7="")+($D$7&lt;&gt;"")*(DB!D$2:D$2576=$D$7))*(($F$4="전체")+($F$4&lt;&gt;"전체")*(DB!H$2:H$2576=$F$4)))),ROW()-16)-1,"")</f>
        <v>775</v>
      </c>
      <c r="U43" s="104" t="str" cm="1">
        <f t="array" ref="U43">IFERROR(INDEX(DB!B$2:B$2576,T43),"")</f>
        <v>3. 철골공사</v>
      </c>
      <c r="V43" s="105" t="str" cm="1">
        <f t="array" ref="V43">IFERROR(INDEX(DB!O$2:O$2576,T43),"")</f>
        <v>떨어짐</v>
      </c>
      <c r="W43" s="106">
        <f t="shared" si="1"/>
        <v>10087.027</v>
      </c>
      <c r="X43" s="149">
        <f t="shared" si="2"/>
        <v>773</v>
      </c>
      <c r="AB43" s="138" t="str" cm="1">
        <f t="array" ref="AB43">IFERROR(INDEX(AI$17:AI$66,_xlfn.AGGREGATE(15,6,ROW(AI$17:AI$66)-ROW(AI$17)+1/(AJ$17:AJ$66=LARGE(AJ$17:AJ$66,27)),COUNTIF(AC$17:AC42,LARGE(AJ$17:AJ$66,27))+1)),"")</f>
        <v/>
      </c>
      <c r="AC43" s="131" t="str">
        <f>IFERROR(LARGE(AJ$17:AJ$66,27),"")</f>
        <v/>
      </c>
      <c r="AE43" s="130" t="str" cm="1">
        <f t="array" ref="AE43">IFERROR(INDEX(AM$17:AM$66,_xlfn.AGGREGATE(15,6,ROW(AM$17:AM$66)-ROW(AM$17)+1/(AN$17:AN$66=LARGE(AN$17:AN$66,27)),COUNTIF(AF$17:AF42,LARGE(AN$17:AN$66,27))+1)),"")</f>
        <v/>
      </c>
      <c r="AF43" s="136" t="str">
        <f>IFERROR(LARGE(AN$17:AN$66,27),"")</f>
        <v/>
      </c>
      <c r="AH43" s="65" t="str" cm="1">
        <f t="array" ref="AH43">IF(AG43="","",SUMPRODUCT(((($D$4="")+($D$4&lt;&gt;"")*ISNUMBER(SEARCH($D$4,DB!$G$2:$G$2576)))*(($D$3&lt;&gt;"YES")+($D$3="YES")*(DB!$E$2:$E$2576="YES"))*(($F$4="전체")+($F$4&lt;&gt;"전체")*(DB!$H$2:$H$2576=$F$4)))*(DB!$B$2:$B$2576=AG43)*1))</f>
        <v/>
      </c>
      <c r="AI43" s="65" t="str" cm="1">
        <f t="array" ref="AI43">IFERROR(INDEX(DB!$C$2:$C$2576,_xlfn.AGGREGATE(15,6,ROW(DB!$C$2:$C$2576)-1/((($D$4="")+($D$4&lt;&gt;"")*ISNUMBER(SEARCH($D$4,DB!$G$2:$G$2576)))*(($D$3&lt;&gt;"YES")+($D$3="YES")*(DB!$E$2:$E$2576="YES"))*(($D$5="")+($D$5&lt;&gt;"")*(DB!$B$2:$B$2576=$D$5))*(($D$6="")+($D$6&lt;&gt;"")*(DB!$C$2:$C$2576=$D$6))*(($D$7="")+($D$7&lt;&gt;"")*(DB!$D$2:$D$2576=$D$7))*(($F$4="전체")+($F$4&lt;&gt;"전체")*(DB!$H$2:$H$2576=$F$4))*(COUNTIF(AI$17:AI42,DB!$C$2:$C$2576)=0)),1)),"")</f>
        <v/>
      </c>
      <c r="AJ43" s="65" t="str" cm="1">
        <f t="array" ref="AJ43">IF(AI43="","",SUMPRODUCT(((($D$4="")+($D$4&lt;&gt;"")*ISNUMBER(SEARCH($D$4,DB!$G$2:$G$2576)))*(($D$3&lt;&gt;"YES")+($D$3="YES")*(DB!$E$2:$E$2576="YES"))*(($D$5="")+($D$5&lt;&gt;"")*(DB!$B$2:$B$2576=$D$5))*(($D$6="")+($D$6&lt;&gt;"")*(DB!$C$2:$C$2576=$D$6))*(($D$7="")+($D$7&lt;&gt;"")*(DB!$D$2:$D$2576=$D$7))*(($F$4="전체")+($F$4&lt;&gt;"전체")*(DB!$H$2:$H$2576=$F$4)))*(DB!$C$2:$C$2576=AI43)*1))</f>
        <v/>
      </c>
      <c r="AK43" s="65" t="str" cm="1">
        <f t="array" ref="AK43">IFERROR(INDEX(DB!$D$2:$D$2576,_xlfn.AGGREGATE(15,6,ROW(DB!$D$2:$D$2576)-1/((($D$4="")+($D$4&lt;&gt;"")*ISNUMBER(SEARCH($D$4,DB!$G$2:$G$2576)))*(($D$3&lt;&gt;"YES")+($D$3="YES")*(DB!$E$2:$E$2576="YES"))*(($F$4="전체")+($F$4&lt;&gt;"전체")*(DB!$H$2:$H$2576=$F$4))*(COUNTIF(AK$16:AK42,DB!$D$2:$D$2576)=0)),27)),"")</f>
        <v/>
      </c>
      <c r="AL43" s="65" t="str" cm="1">
        <f t="array" ref="AL43">IF(AK43="","",SUMPRODUCT(((($D$4="")+($D$4&lt;&gt;"")*ISNUMBER(SEARCH($D$4,DB!$G$2:$G$2576)))*(($D$3&lt;&gt;"YES")+($D$3="YES")*(DB!$E$2:$E$2576="YES"))*(($F$4="전체")+($F$4&lt;&gt;"전체")*(DB!$H$2:$H$2576=$F$4)))*(DB!$D$2:$D$2576=AK43)*1))</f>
        <v/>
      </c>
      <c r="AM43" s="65" t="str" cm="1">
        <f t="array" ref="AM43">IFERROR(INDEX(DB!$O$2:$O$2576,_xlfn.AGGREGATE(15,6,ROW(DB!$O$2:$O$2576)-1/((($D$4="")+($D$4&lt;&gt;"")*ISNUMBER(SEARCH($D$4,DB!$G$2:$G$2576)))*(($D$3&lt;&gt;"YES")+($D$3="YES")*(DB!$E$2:$E$2576="YES"))*(($D$5="")+($D$5&lt;&gt;"")*(DB!$B$2:$B$2576=$D$5))*(($D$6="")+($D$6&lt;&gt;"")*(DB!$C$2:$C$2576=$D$6))*(($D$7="")+($D$7&lt;&gt;"")*(DB!$D$2:$D$2576=$D$7))*(($F$4="전체")+($F$4&lt;&gt;"전체")*(DB!$H$2:$H$2576=$F$4))*(COUNTIF(AM$17:AM42,DB!$O$2:$O$2576)=0)),1)),"")</f>
        <v/>
      </c>
      <c r="AN43" s="65" t="str" cm="1">
        <f t="array" ref="AN43">IF(AM43="","",SUMPRODUCT(((($D$4="")+($D$4&lt;&gt;"")*ISNUMBER(SEARCH($D$4,DB!$G$2:$G$2576)))*(($D$3&lt;&gt;"YES")+($D$3="YES")*(DB!$E$2:$E$2576="YES"))*(($D$5="")+($D$5&lt;&gt;"")*(DB!$B$2:$B$2576=$D$5))*(($D$6="")+($D$6&lt;&gt;"")*(DB!$C$2:$C$2576=$D$6))*(($D$7="")+($D$7&lt;&gt;"")*(DB!$D$2:$D$2576=$D$7))*(($F$4="전체")+($F$4&lt;&gt;"전체")*(DB!$H$2:$H$2576=$F$4)))*(DB!$O$2:$O$2576=AM43)*1))</f>
        <v/>
      </c>
      <c r="AY43" t="s">
        <v>123</v>
      </c>
      <c r="AZ43">
        <v>26</v>
      </c>
      <c r="BA43">
        <v>32</v>
      </c>
      <c r="BB43" s="11">
        <v>1.2432012432012432E-2</v>
      </c>
    </row>
    <row r="44" spans="1:54" ht="90" customHeight="1">
      <c r="A44" s="26"/>
      <c r="B44" s="73">
        <f t="shared" si="0"/>
        <v>28</v>
      </c>
      <c r="C44" s="74"/>
      <c r="D44" s="96" t="str" cm="1">
        <f t="array" ref="D44">IFERROR(INDEX(DB!B$2:B$2576,X44),"")</f>
        <v>3. 철골공사</v>
      </c>
      <c r="E44" s="107"/>
      <c r="F44" s="97" t="str" cm="1">
        <f t="array" ref="F44">IFERROR(INDEX(DB!C$2:C$2576,X44),"")</f>
        <v>3.1 철골 작업</v>
      </c>
      <c r="G44" s="108"/>
      <c r="H44" s="98" t="str" cm="1">
        <f t="array" ref="H44">IFERROR(INDEX(DB!D$2:D$2576,X44),"")</f>
        <v>3.1.2 철골 부재 인양, 조립</v>
      </c>
      <c r="I44" s="109"/>
      <c r="J44" s="99" t="str" cm="1">
        <f t="array" ref="J44">IFERROR(INDEX(DB!O$2:O$2576,X44),"")</f>
        <v>떨어짐</v>
      </c>
      <c r="K44" s="110"/>
      <c r="L44" s="75" t="str" cm="1">
        <f t="array" ref="L44">IFERROR(INDEX(DB!P$2:P$2576,X44),"")</f>
        <v>2016년 4월경 OO공장 전면 철골 트러스보 위에서 재해자(철골공)가 철골 부재(Prapet Girth) 조립을 위해 철골 지붕 트러스 보 위에서 철골부재를 슬링으로 묶던중 트러스 보 위에서 떨어져 사망</v>
      </c>
      <c r="M44" s="76" t="str" cm="1">
        <f t="array" ref="M44">IFERROR(INDEX(DB!Q$2:Q$2576,X44),"")</f>
        <v>추락방호조치가 되어 있지 않은 철골 구조물 상부에서 작업 중 근로자 추락</v>
      </c>
      <c r="N44" s="77"/>
      <c r="O44" s="78" t="str" cm="1">
        <f t="array" ref="O44">IFERROR(INDEX(DB!R$2:R$2576,X44),"")</f>
        <v>▶ 추락방지망 설치 등의 안전방호조치 실시
▶ 안전방호조치가 현장 여건 상 어려울 경우, 별도의 안전대 부착설비를 설치
▶ 작업자의 개인보호구 착용여부 관리감독</v>
      </c>
      <c r="P44" s="101"/>
      <c r="Q44" s="102"/>
      <c r="R44" s="103"/>
      <c r="S44" s="43"/>
      <c r="T44" s="66" cm="1">
        <f t="array" ref="T44">IFERROR(_xlfn.AGGREGATE(15,6,ROW(DB!A$2:A$2576)/(((($D$3&lt;&gt;"YES")+($D$3="YES")*(DB!E$2:E$2576="YES"))*(($D$4="")+($D$4&lt;&gt;"")*ISNUMBER(SEARCH($D$4,DB!G$2:G$2576)))*(($D$5="")+($D$5&lt;&gt;"")*(DB!B$2:B$2576=$D$5))*(($D$6="")+($D$6&lt;&gt;"")*(DB!C$2:C$2576=$D$6))*(($D$7="")+($D$7&lt;&gt;"")*(DB!D$2:D$2576=$D$7))*(($F$4="전체")+($F$4&lt;&gt;"전체")*(DB!H$2:H$2576=$F$4)))),ROW()-16)-1,"")</f>
        <v>776</v>
      </c>
      <c r="U44" s="104" t="str" cm="1">
        <f t="array" ref="U44">IFERROR(INDEX(DB!B$2:B$2576,T44),"")</f>
        <v>3. 철골공사</v>
      </c>
      <c r="V44" s="105" t="str" cm="1">
        <f t="array" ref="V44">IFERROR(INDEX(DB!O$2:O$2576,T44),"")</f>
        <v>떨어짐</v>
      </c>
      <c r="W44" s="106">
        <f t="shared" si="1"/>
        <v>10087.028</v>
      </c>
      <c r="X44" s="149">
        <f t="shared" si="2"/>
        <v>774</v>
      </c>
      <c r="AB44" s="138" t="str" cm="1">
        <f t="array" ref="AB44">IFERROR(INDEX(AI$17:AI$66,_xlfn.AGGREGATE(15,6,ROW(AI$17:AI$66)-ROW(AI$17)+1/(AJ$17:AJ$66=LARGE(AJ$17:AJ$66,28)),COUNTIF(AC$17:AC43,LARGE(AJ$17:AJ$66,28))+1)),"")</f>
        <v/>
      </c>
      <c r="AC44" s="131" t="str">
        <f>IFERROR(LARGE(AJ$17:AJ$66,28),"")</f>
        <v/>
      </c>
      <c r="AE44" s="130" t="str" cm="1">
        <f t="array" ref="AE44">IFERROR(INDEX(AM$17:AM$66,_xlfn.AGGREGATE(15,6,ROW(AM$17:AM$66)-ROW(AM$17)+1/(AN$17:AN$66=LARGE(AN$17:AN$66,28)),COUNTIF(AF$17:AF43,LARGE(AN$17:AN$66,28))+1)),"")</f>
        <v/>
      </c>
      <c r="AF44" s="136" t="str">
        <f>IFERROR(LARGE(AN$17:AN$66,28),"")</f>
        <v/>
      </c>
      <c r="AH44" s="65" t="str" cm="1">
        <f t="array" ref="AH44">IF(AG44="","",SUMPRODUCT(((($D$4="")+($D$4&lt;&gt;"")*ISNUMBER(SEARCH($D$4,DB!$G$2:$G$2576)))*(($D$3&lt;&gt;"YES")+($D$3="YES")*(DB!$E$2:$E$2576="YES"))*(($F$4="전체")+($F$4&lt;&gt;"전체")*(DB!$H$2:$H$2576=$F$4)))*(DB!$B$2:$B$2576=AG44)*1))</f>
        <v/>
      </c>
      <c r="AI44" s="65" t="str" cm="1">
        <f t="array" ref="AI44">IFERROR(INDEX(DB!$C$2:$C$2576,_xlfn.AGGREGATE(15,6,ROW(DB!$C$2:$C$2576)-1/((($D$4="")+($D$4&lt;&gt;"")*ISNUMBER(SEARCH($D$4,DB!$G$2:$G$2576)))*(($D$3&lt;&gt;"YES")+($D$3="YES")*(DB!$E$2:$E$2576="YES"))*(($D$5="")+($D$5&lt;&gt;"")*(DB!$B$2:$B$2576=$D$5))*(($D$6="")+($D$6&lt;&gt;"")*(DB!$C$2:$C$2576=$D$6))*(($D$7="")+($D$7&lt;&gt;"")*(DB!$D$2:$D$2576=$D$7))*(($F$4="전체")+($F$4&lt;&gt;"전체")*(DB!$H$2:$H$2576=$F$4))*(COUNTIF(AI$17:AI43,DB!$C$2:$C$2576)=0)),1)),"")</f>
        <v/>
      </c>
      <c r="AJ44" s="65" t="str" cm="1">
        <f t="array" ref="AJ44">IF(AI44="","",SUMPRODUCT(((($D$4="")+($D$4&lt;&gt;"")*ISNUMBER(SEARCH($D$4,DB!$G$2:$G$2576)))*(($D$3&lt;&gt;"YES")+($D$3="YES")*(DB!$E$2:$E$2576="YES"))*(($D$5="")+($D$5&lt;&gt;"")*(DB!$B$2:$B$2576=$D$5))*(($D$6="")+($D$6&lt;&gt;"")*(DB!$C$2:$C$2576=$D$6))*(($D$7="")+($D$7&lt;&gt;"")*(DB!$D$2:$D$2576=$D$7))*(($F$4="전체")+($F$4&lt;&gt;"전체")*(DB!$H$2:$H$2576=$F$4)))*(DB!$C$2:$C$2576=AI44)*1))</f>
        <v/>
      </c>
      <c r="AK44" s="65" t="str" cm="1">
        <f t="array" ref="AK44">IFERROR(INDEX(DB!$D$2:$D$2576,_xlfn.AGGREGATE(15,6,ROW(DB!$D$2:$D$2576)-1/((($D$4="")+($D$4&lt;&gt;"")*ISNUMBER(SEARCH($D$4,DB!$G$2:$G$2576)))*(($D$3&lt;&gt;"YES")+($D$3="YES")*(DB!$E$2:$E$2576="YES"))*(($F$4="전체")+($F$4&lt;&gt;"전체")*(DB!$H$2:$H$2576=$F$4))*(COUNTIF(AK$16:AK43,DB!$D$2:$D$2576)=0)),28)),"")</f>
        <v/>
      </c>
      <c r="AL44" s="65" t="str" cm="1">
        <f t="array" ref="AL44">IF(AK44="","",SUMPRODUCT(((($D$4="")+($D$4&lt;&gt;"")*ISNUMBER(SEARCH($D$4,DB!$G$2:$G$2576)))*(($D$3&lt;&gt;"YES")+($D$3="YES")*(DB!$E$2:$E$2576="YES"))*(($F$4="전체")+($F$4&lt;&gt;"전체")*(DB!$H$2:$H$2576=$F$4)))*(DB!$D$2:$D$2576=AK44)*1))</f>
        <v/>
      </c>
      <c r="AM44" s="65" t="str" cm="1">
        <f t="array" ref="AM44">IFERROR(INDEX(DB!$O$2:$O$2576,_xlfn.AGGREGATE(15,6,ROW(DB!$O$2:$O$2576)-1/((($D$4="")+($D$4&lt;&gt;"")*ISNUMBER(SEARCH($D$4,DB!$G$2:$G$2576)))*(($D$3&lt;&gt;"YES")+($D$3="YES")*(DB!$E$2:$E$2576="YES"))*(($D$5="")+($D$5&lt;&gt;"")*(DB!$B$2:$B$2576=$D$5))*(($D$6="")+($D$6&lt;&gt;"")*(DB!$C$2:$C$2576=$D$6))*(($D$7="")+($D$7&lt;&gt;"")*(DB!$D$2:$D$2576=$D$7))*(($F$4="전체")+($F$4&lt;&gt;"전체")*(DB!$H$2:$H$2576=$F$4))*(COUNTIF(AM$17:AM43,DB!$O$2:$O$2576)=0)),1)),"")</f>
        <v/>
      </c>
      <c r="AN44" s="65" t="str" cm="1">
        <f t="array" ref="AN44">IF(AM44="","",SUMPRODUCT(((($D$4="")+($D$4&lt;&gt;"")*ISNUMBER(SEARCH($D$4,DB!$G$2:$G$2576)))*(($D$3&lt;&gt;"YES")+($D$3="YES")*(DB!$E$2:$E$2576="YES"))*(($D$5="")+($D$5&lt;&gt;"")*(DB!$B$2:$B$2576=$D$5))*(($D$6="")+($D$6&lt;&gt;"")*(DB!$C$2:$C$2576=$D$6))*(($D$7="")+($D$7&lt;&gt;"")*(DB!$D$2:$D$2576=$D$7))*(($F$4="전체")+($F$4&lt;&gt;"전체")*(DB!$H$2:$H$2576=$F$4)))*(DB!$O$2:$O$2576=AM44)*1))</f>
        <v/>
      </c>
      <c r="AY44" t="s">
        <v>163</v>
      </c>
      <c r="AZ44">
        <v>27</v>
      </c>
      <c r="BA44">
        <v>32</v>
      </c>
      <c r="BB44" s="11">
        <v>1.2432012432012432E-2</v>
      </c>
    </row>
    <row r="45" spans="1:54" ht="90" customHeight="1">
      <c r="A45" s="79"/>
      <c r="B45" s="73">
        <f t="shared" si="0"/>
        <v>29</v>
      </c>
      <c r="C45" s="74"/>
      <c r="D45" s="96" t="str" cm="1">
        <f t="array" ref="D45">IFERROR(INDEX(DB!B$2:B$2576,X45),"")</f>
        <v>3. 철골공사</v>
      </c>
      <c r="E45" s="107"/>
      <c r="F45" s="97" t="str" cm="1">
        <f t="array" ref="F45">IFERROR(INDEX(DB!C$2:C$2576,X45),"")</f>
        <v>3.1 철골 작업</v>
      </c>
      <c r="G45" s="108"/>
      <c r="H45" s="98" t="str" cm="1">
        <f t="array" ref="H45">IFERROR(INDEX(DB!D$2:D$2576,X45),"")</f>
        <v>3.1.2 철골 부재 인양, 조립</v>
      </c>
      <c r="I45" s="109"/>
      <c r="J45" s="99" t="str" cm="1">
        <f t="array" ref="J45">IFERROR(INDEX(DB!O$2:O$2576,X45),"")</f>
        <v>떨어짐</v>
      </c>
      <c r="K45" s="110"/>
      <c r="L45" s="75" t="str" cm="1">
        <f t="array" ref="L45">IFERROR(INDEX(DB!P$2:P$2576,X45),"")</f>
        <v>2016년 4월경 ㈜OO건설에서 시공하는 OO(주) OO공장 신축공사 현장에서 재해자(철골공)가 철골2단 Girder(H-588×300×12×17mm) 위에 앉아 이동식크레인(50ton)으로 인양한 Beam(H-200×100×5.5×8mm)을 볼트 체결 후 Beam 인양용 줄걸이(섬유로프)를 풀기 위하여 일어서던 중 몸의 중심을 잃고 약 11m 하부 콘크리트 바닥으로 떨어져 사망</v>
      </c>
      <c r="M45" s="76" t="str" cm="1">
        <f t="array" ref="M45">IFERROR(INDEX(DB!Q$2:Q$2576,X45),"")</f>
        <v>추락방호조치가 되어 있지 않은 철골 구조물 상부에서 작업 중 근로자 추락</v>
      </c>
      <c r="N45" s="77"/>
      <c r="O45" s="78" t="str" cm="1">
        <f t="array" ref="O45">IFERROR(INDEX(DB!R$2:R$2576,X45),"")</f>
        <v>▶ 추락방지망 설치 등의 안전방호조치 실시
▶ 안전방호조치가 현장 여건 상 어려울 경우, 별도의 안전대 부착설비를 설치
▶ 작업자의 개인보호구 착용여부 관리감독</v>
      </c>
      <c r="P45" s="101"/>
      <c r="Q45" s="102"/>
      <c r="R45" s="103"/>
      <c r="S45" s="43"/>
      <c r="T45" s="66" cm="1">
        <f t="array" ref="T45">IFERROR(_xlfn.AGGREGATE(15,6,ROW(DB!A$2:A$2576)/(((($D$3&lt;&gt;"YES")+($D$3="YES")*(DB!E$2:E$2576="YES"))*(($D$4="")+($D$4&lt;&gt;"")*ISNUMBER(SEARCH($D$4,DB!G$2:G$2576)))*(($D$5="")+($D$5&lt;&gt;"")*(DB!B$2:B$2576=$D$5))*(($D$6="")+($D$6&lt;&gt;"")*(DB!C$2:C$2576=$D$6))*(($D$7="")+($D$7&lt;&gt;"")*(DB!D$2:D$2576=$D$7))*(($F$4="전체")+($F$4&lt;&gt;"전체")*(DB!H$2:H$2576=$F$4)))),ROW()-16)-1,"")</f>
        <v>777</v>
      </c>
      <c r="U45" s="104" t="str" cm="1">
        <f t="array" ref="U45">IFERROR(INDEX(DB!B$2:B$2576,T45),"")</f>
        <v>3. 철골공사</v>
      </c>
      <c r="V45" s="105" t="str" cm="1">
        <f t="array" ref="V45">IFERROR(INDEX(DB!O$2:O$2576,T45),"")</f>
        <v>떨어짐</v>
      </c>
      <c r="W45" s="106">
        <f t="shared" si="1"/>
        <v>10087.029</v>
      </c>
      <c r="X45" s="149">
        <f t="shared" si="2"/>
        <v>775</v>
      </c>
      <c r="AB45" s="138" t="str" cm="1">
        <f t="array" ref="AB45">IFERROR(INDEX(AI$17:AI$66,_xlfn.AGGREGATE(15,6,ROW(AI$17:AI$66)-ROW(AI$17)+1/(AJ$17:AJ$66=LARGE(AJ$17:AJ$66,29)),COUNTIF(AC$17:AC44,LARGE(AJ$17:AJ$66,29))+1)),"")</f>
        <v/>
      </c>
      <c r="AC45" s="131" t="str">
        <f>IFERROR(LARGE(AJ$17:AJ$66,29),"")</f>
        <v/>
      </c>
      <c r="AE45" s="130" t="str" cm="1">
        <f t="array" ref="AE45">IFERROR(INDEX(AM$17:AM$66,_xlfn.AGGREGATE(15,6,ROW(AM$17:AM$66)-ROW(AM$17)+1/(AN$17:AN$66=LARGE(AN$17:AN$66,29)),COUNTIF(AF$17:AF44,LARGE(AN$17:AN$66,29))+1)),"")</f>
        <v/>
      </c>
      <c r="AF45" s="136" t="str">
        <f>IFERROR(LARGE(AN$17:AN$66,29),"")</f>
        <v/>
      </c>
      <c r="AH45" s="65" t="str" cm="1">
        <f t="array" ref="AH45">IF(AG45="","",SUMPRODUCT(((($D$4="")+($D$4&lt;&gt;"")*ISNUMBER(SEARCH($D$4,DB!$G$2:$G$2576)))*(($D$3&lt;&gt;"YES")+($D$3="YES")*(DB!$E$2:$E$2576="YES"))*(($F$4="전체")+($F$4&lt;&gt;"전체")*(DB!$H$2:$H$2576=$F$4)))*(DB!$B$2:$B$2576=AG45)*1))</f>
        <v/>
      </c>
      <c r="AI45" s="65" t="str" cm="1">
        <f t="array" ref="AI45">IFERROR(INDEX(DB!$C$2:$C$2576,_xlfn.AGGREGATE(15,6,ROW(DB!$C$2:$C$2576)-1/((($D$4="")+($D$4&lt;&gt;"")*ISNUMBER(SEARCH($D$4,DB!$G$2:$G$2576)))*(($D$3&lt;&gt;"YES")+($D$3="YES")*(DB!$E$2:$E$2576="YES"))*(($D$5="")+($D$5&lt;&gt;"")*(DB!$B$2:$B$2576=$D$5))*(($D$6="")+($D$6&lt;&gt;"")*(DB!$C$2:$C$2576=$D$6))*(($D$7="")+($D$7&lt;&gt;"")*(DB!$D$2:$D$2576=$D$7))*(($F$4="전체")+($F$4&lt;&gt;"전체")*(DB!$H$2:$H$2576=$F$4))*(COUNTIF(AI$17:AI44,DB!$C$2:$C$2576)=0)),1)),"")</f>
        <v/>
      </c>
      <c r="AJ45" s="65" t="str" cm="1">
        <f t="array" ref="AJ45">IF(AI45="","",SUMPRODUCT(((($D$4="")+($D$4&lt;&gt;"")*ISNUMBER(SEARCH($D$4,DB!$G$2:$G$2576)))*(($D$3&lt;&gt;"YES")+($D$3="YES")*(DB!$E$2:$E$2576="YES"))*(($D$5="")+($D$5&lt;&gt;"")*(DB!$B$2:$B$2576=$D$5))*(($D$6="")+($D$6&lt;&gt;"")*(DB!$C$2:$C$2576=$D$6))*(($D$7="")+($D$7&lt;&gt;"")*(DB!$D$2:$D$2576=$D$7))*(($F$4="전체")+($F$4&lt;&gt;"전체")*(DB!$H$2:$H$2576=$F$4)))*(DB!$C$2:$C$2576=AI45)*1))</f>
        <v/>
      </c>
      <c r="AK45" s="65" t="str" cm="1">
        <f t="array" ref="AK45">IFERROR(INDEX(DB!$D$2:$D$2576,_xlfn.AGGREGATE(15,6,ROW(DB!$D$2:$D$2576)-1/((($D$4="")+($D$4&lt;&gt;"")*ISNUMBER(SEARCH($D$4,DB!$G$2:$G$2576)))*(($D$3&lt;&gt;"YES")+($D$3="YES")*(DB!$E$2:$E$2576="YES"))*(($F$4="전체")+($F$4&lt;&gt;"전체")*(DB!$H$2:$H$2576=$F$4))*(COUNTIF(AK$16:AK44,DB!$D$2:$D$2576)=0)),29)),"")</f>
        <v/>
      </c>
      <c r="AL45" s="65" t="str" cm="1">
        <f t="array" ref="AL45">IF(AK45="","",SUMPRODUCT(((($D$4="")+($D$4&lt;&gt;"")*ISNUMBER(SEARCH($D$4,DB!$G$2:$G$2576)))*(($D$3&lt;&gt;"YES")+($D$3="YES")*(DB!$E$2:$E$2576="YES"))*(($F$4="전체")+($F$4&lt;&gt;"전체")*(DB!$H$2:$H$2576=$F$4)))*(DB!$D$2:$D$2576=AK45)*1))</f>
        <v/>
      </c>
      <c r="AM45" s="65" t="str" cm="1">
        <f t="array" ref="AM45">IFERROR(INDEX(DB!$O$2:$O$2576,_xlfn.AGGREGATE(15,6,ROW(DB!$O$2:$O$2576)-1/((($D$4="")+($D$4&lt;&gt;"")*ISNUMBER(SEARCH($D$4,DB!$G$2:$G$2576)))*(($D$3&lt;&gt;"YES")+($D$3="YES")*(DB!$E$2:$E$2576="YES"))*(($D$5="")+($D$5&lt;&gt;"")*(DB!$B$2:$B$2576=$D$5))*(($D$6="")+($D$6&lt;&gt;"")*(DB!$C$2:$C$2576=$D$6))*(($D$7="")+($D$7&lt;&gt;"")*(DB!$D$2:$D$2576=$D$7))*(($F$4="전체")+($F$4&lt;&gt;"전체")*(DB!$H$2:$H$2576=$F$4))*(COUNTIF(AM$17:AM44,DB!$O$2:$O$2576)=0)),1)),"")</f>
        <v/>
      </c>
      <c r="AN45" s="65" t="str" cm="1">
        <f t="array" ref="AN45">IF(AM45="","",SUMPRODUCT(((($D$4="")+($D$4&lt;&gt;"")*ISNUMBER(SEARCH($D$4,DB!$G$2:$G$2576)))*(($D$3&lt;&gt;"YES")+($D$3="YES")*(DB!$E$2:$E$2576="YES"))*(($D$5="")+($D$5&lt;&gt;"")*(DB!$B$2:$B$2576=$D$5))*(($D$6="")+($D$6&lt;&gt;"")*(DB!$C$2:$C$2576=$D$6))*(($D$7="")+($D$7&lt;&gt;"")*(DB!$D$2:$D$2576=$D$7))*(($F$4="전체")+($F$4&lt;&gt;"전체")*(DB!$H$2:$H$2576=$F$4)))*(DB!$O$2:$O$2576=AM45)*1))</f>
        <v/>
      </c>
      <c r="AY45" t="s">
        <v>1730</v>
      </c>
      <c r="AZ45">
        <v>28</v>
      </c>
      <c r="BA45">
        <v>32</v>
      </c>
      <c r="BB45" s="11">
        <v>1.2432012432012432E-2</v>
      </c>
    </row>
    <row r="46" spans="1:54" ht="90" customHeight="1">
      <c r="A46" s="26"/>
      <c r="B46" s="73">
        <f t="shared" si="0"/>
        <v>30</v>
      </c>
      <c r="C46" s="74"/>
      <c r="D46" s="96" t="str" cm="1">
        <f t="array" ref="D46">IFERROR(INDEX(DB!B$2:B$2576,X46),"")</f>
        <v>3. 철골공사</v>
      </c>
      <c r="E46" s="107"/>
      <c r="F46" s="97" t="str" cm="1">
        <f t="array" ref="F46">IFERROR(INDEX(DB!C$2:C$2576,X46),"")</f>
        <v>3.1 철골 작업</v>
      </c>
      <c r="G46" s="108"/>
      <c r="H46" s="98" t="str" cm="1">
        <f t="array" ref="H46">IFERROR(INDEX(DB!D$2:D$2576,X46),"")</f>
        <v>3.1.2 철골 부재 인양, 조립</v>
      </c>
      <c r="I46" s="109"/>
      <c r="J46" s="99" t="str" cm="1">
        <f t="array" ref="J46">IFERROR(INDEX(DB!O$2:O$2576,X46),"")</f>
        <v>떨어짐</v>
      </c>
      <c r="K46" s="110"/>
      <c r="L46" s="75" t="str" cm="1">
        <f t="array" ref="L46">IFERROR(INDEX(DB!P$2:P$2576,X46),"")</f>
        <v>2016년 5월경 OO건설(주) 근생(사무동) 신축공사 현장에서 재해자(철골공)가 지상 2층 바닥의 철골 보 상부에서 이동 중 몸의 중심을 잃고 약 4.5m 아래 지상 1층 바닥으로 떨어져 사망</v>
      </c>
      <c r="M46" s="76" t="str" cm="1">
        <f t="array" ref="M46">IFERROR(INDEX(DB!Q$2:Q$2576,X46),"")</f>
        <v>철골 구조물 하부에 안전방망을 설치하지 않은 현장에서 안전대를 체결하지 않고 철골 상부에서 이동하다 근로자가 몸의 중심을 잃고 추락</v>
      </c>
      <c r="N46" s="77"/>
      <c r="O46" s="78" t="str" cm="1">
        <f t="array" ref="O46">IFERROR(INDEX(DB!R$2:R$2576,X46),"")</f>
        <v>▶ 철골 보 상부에서 이동시 추락방지를 위해 안전대 부착설비 설치 및 안전대 착용
▶ 승강용 사다리를 이용하여 이동할 경우 추락방지를 위해 안전대 체결
▶ 이동식크레인의 붐대 간섭 등 추락방망 설치가 곤란할 경우 철골 조립작업 전 지상애서 안전대 부착설비 설치 후 인양하여 조립 후 상부에서 안전대 체결하여 작업</v>
      </c>
      <c r="P46" s="101"/>
      <c r="Q46" s="102"/>
      <c r="R46" s="103"/>
      <c r="S46" s="43"/>
      <c r="T46" s="66" cm="1">
        <f t="array" ref="T46">IFERROR(_xlfn.AGGREGATE(15,6,ROW(DB!A$2:A$2576)/(((($D$3&lt;&gt;"YES")+($D$3="YES")*(DB!E$2:E$2576="YES"))*(($D$4="")+($D$4&lt;&gt;"")*ISNUMBER(SEARCH($D$4,DB!G$2:G$2576)))*(($D$5="")+($D$5&lt;&gt;"")*(DB!B$2:B$2576=$D$5))*(($D$6="")+($D$6&lt;&gt;"")*(DB!C$2:C$2576=$D$6))*(($D$7="")+($D$7&lt;&gt;"")*(DB!D$2:D$2576=$D$7))*(($F$4="전체")+($F$4&lt;&gt;"전체")*(DB!H$2:H$2576=$F$4)))),ROW()-16)-1,"")</f>
        <v>778</v>
      </c>
      <c r="U46" s="104" t="str" cm="1">
        <f t="array" ref="U46">IFERROR(INDEX(DB!B$2:B$2576,T46),"")</f>
        <v>3. 철골공사</v>
      </c>
      <c r="V46" s="105" t="str" cm="1">
        <f t="array" ref="V46">IFERROR(INDEX(DB!O$2:O$2576,T46),"")</f>
        <v>끼임</v>
      </c>
      <c r="W46" s="106">
        <f t="shared" si="1"/>
        <v>10084.030000000001</v>
      </c>
      <c r="X46" s="149">
        <f t="shared" si="2"/>
        <v>776</v>
      </c>
      <c r="AB46" s="138" t="str" cm="1">
        <f t="array" ref="AB46">IFERROR(INDEX(AI$17:AI$66,_xlfn.AGGREGATE(15,6,ROW(AI$17:AI$66)-ROW(AI$17)+1/(AJ$17:AJ$66=LARGE(AJ$17:AJ$66,30)),COUNTIF(AC$17:AC45,LARGE(AJ$17:AJ$66,30))+1)),"")</f>
        <v/>
      </c>
      <c r="AC46" s="131" t="str">
        <f>IFERROR(LARGE(AJ$17:AJ$66,30),"")</f>
        <v/>
      </c>
      <c r="AE46" s="130" t="str" cm="1">
        <f t="array" ref="AE46">IFERROR(INDEX(AM$17:AM$66,_xlfn.AGGREGATE(15,6,ROW(AM$17:AM$66)-ROW(AM$17)+1/(AN$17:AN$66=LARGE(AN$17:AN$66,30)),COUNTIF(AF$17:AF45,LARGE(AN$17:AN$66,30))+1)),"")</f>
        <v/>
      </c>
      <c r="AF46" s="136" t="str">
        <f>IFERROR(LARGE(AN$17:AN$66,30),"")</f>
        <v/>
      </c>
      <c r="AH46" s="65" t="str" cm="1">
        <f t="array" ref="AH46">IF(AG46="","",SUMPRODUCT(((($D$4="")+($D$4&lt;&gt;"")*ISNUMBER(SEARCH($D$4,DB!$G$2:$G$2576)))*(($D$3&lt;&gt;"YES")+($D$3="YES")*(DB!$E$2:$E$2576="YES"))*(($F$4="전체")+($F$4&lt;&gt;"전체")*(DB!$H$2:$H$2576=$F$4)))*(DB!$B$2:$B$2576=AG46)*1))</f>
        <v/>
      </c>
      <c r="AI46" s="65" t="str" cm="1">
        <f t="array" ref="AI46">IFERROR(INDEX(DB!$C$2:$C$2576,_xlfn.AGGREGATE(15,6,ROW(DB!$C$2:$C$2576)-1/((($D$4="")+($D$4&lt;&gt;"")*ISNUMBER(SEARCH($D$4,DB!$G$2:$G$2576)))*(($D$3&lt;&gt;"YES")+($D$3="YES")*(DB!$E$2:$E$2576="YES"))*(($D$5="")+($D$5&lt;&gt;"")*(DB!$B$2:$B$2576=$D$5))*(($D$6="")+($D$6&lt;&gt;"")*(DB!$C$2:$C$2576=$D$6))*(($D$7="")+($D$7&lt;&gt;"")*(DB!$D$2:$D$2576=$D$7))*(($F$4="전체")+($F$4&lt;&gt;"전체")*(DB!$H$2:$H$2576=$F$4))*(COUNTIF(AI$17:AI45,DB!$C$2:$C$2576)=0)),1)),"")</f>
        <v/>
      </c>
      <c r="AJ46" s="65" t="str" cm="1">
        <f t="array" ref="AJ46">IF(AI46="","",SUMPRODUCT(((($D$4="")+($D$4&lt;&gt;"")*ISNUMBER(SEARCH($D$4,DB!$G$2:$G$2576)))*(($D$3&lt;&gt;"YES")+($D$3="YES")*(DB!$E$2:$E$2576="YES"))*(($D$5="")+($D$5&lt;&gt;"")*(DB!$B$2:$B$2576=$D$5))*(($D$6="")+($D$6&lt;&gt;"")*(DB!$C$2:$C$2576=$D$6))*(($D$7="")+($D$7&lt;&gt;"")*(DB!$D$2:$D$2576=$D$7))*(($F$4="전체")+($F$4&lt;&gt;"전체")*(DB!$H$2:$H$2576=$F$4)))*(DB!$C$2:$C$2576=AI46)*1))</f>
        <v/>
      </c>
      <c r="AK46" s="65" t="str" cm="1">
        <f t="array" ref="AK46">IFERROR(INDEX(DB!$D$2:$D$2576,_xlfn.AGGREGATE(15,6,ROW(DB!$D$2:$D$2576)-1/((($D$4="")+($D$4&lt;&gt;"")*ISNUMBER(SEARCH($D$4,DB!$G$2:$G$2576)))*(($D$3&lt;&gt;"YES")+($D$3="YES")*(DB!$E$2:$E$2576="YES"))*(($F$4="전체")+($F$4&lt;&gt;"전체")*(DB!$H$2:$H$2576=$F$4))*(COUNTIF(AK$16:AK45,DB!$D$2:$D$2576)=0)),30)),"")</f>
        <v/>
      </c>
      <c r="AL46" s="65" t="str" cm="1">
        <f t="array" ref="AL46">IF(AK46="","",SUMPRODUCT(((($D$4="")+($D$4&lt;&gt;"")*ISNUMBER(SEARCH($D$4,DB!$G$2:$G$2576)))*(($D$3&lt;&gt;"YES")+($D$3="YES")*(DB!$E$2:$E$2576="YES"))*(($F$4="전체")+($F$4&lt;&gt;"전체")*(DB!$H$2:$H$2576=$F$4)))*(DB!$D$2:$D$2576=AK46)*1))</f>
        <v/>
      </c>
      <c r="AM46" s="65" t="str" cm="1">
        <f t="array" ref="AM46">IFERROR(INDEX(DB!$O$2:$O$2576,_xlfn.AGGREGATE(15,6,ROW(DB!$O$2:$O$2576)-1/((($D$4="")+($D$4&lt;&gt;"")*ISNUMBER(SEARCH($D$4,DB!$G$2:$G$2576)))*(($D$3&lt;&gt;"YES")+($D$3="YES")*(DB!$E$2:$E$2576="YES"))*(($D$5="")+($D$5&lt;&gt;"")*(DB!$B$2:$B$2576=$D$5))*(($D$6="")+($D$6&lt;&gt;"")*(DB!$C$2:$C$2576=$D$6))*(($D$7="")+($D$7&lt;&gt;"")*(DB!$D$2:$D$2576=$D$7))*(($F$4="전체")+($F$4&lt;&gt;"전체")*(DB!$H$2:$H$2576=$F$4))*(COUNTIF(AM$17:AM45,DB!$O$2:$O$2576)=0)),1)),"")</f>
        <v/>
      </c>
      <c r="AN46" s="65" t="str" cm="1">
        <f t="array" ref="AN46">IF(AM46="","",SUMPRODUCT(((($D$4="")+($D$4&lt;&gt;"")*ISNUMBER(SEARCH($D$4,DB!$G$2:$G$2576)))*(($D$3&lt;&gt;"YES")+($D$3="YES")*(DB!$E$2:$E$2576="YES"))*(($D$5="")+($D$5&lt;&gt;"")*(DB!$B$2:$B$2576=$D$5))*(($D$6="")+($D$6&lt;&gt;"")*(DB!$C$2:$C$2576=$D$6))*(($D$7="")+($D$7&lt;&gt;"")*(DB!$D$2:$D$2576=$D$7))*(($F$4="전체")+($F$4&lt;&gt;"전체")*(DB!$H$2:$H$2576=$F$4)))*(DB!$O$2:$O$2576=AM46)*1))</f>
        <v/>
      </c>
      <c r="AY46" t="s">
        <v>810</v>
      </c>
      <c r="AZ46">
        <v>29</v>
      </c>
      <c r="BA46">
        <v>31</v>
      </c>
      <c r="BB46" s="11">
        <v>1.2043512043512044E-2</v>
      </c>
    </row>
    <row r="47" spans="1:54" ht="90" customHeight="1">
      <c r="A47" s="79"/>
      <c r="B47" s="73">
        <f t="shared" si="0"/>
        <v>31</v>
      </c>
      <c r="C47" s="74"/>
      <c r="D47" s="96" t="str" cm="1">
        <f t="array" ref="D47">IFERROR(INDEX(DB!B$2:B$2576,X47),"")</f>
        <v>3. 철골공사</v>
      </c>
      <c r="E47" s="107"/>
      <c r="F47" s="97" t="str" cm="1">
        <f t="array" ref="F47">IFERROR(INDEX(DB!C$2:C$2576,X47),"")</f>
        <v>3.1 철골 작업</v>
      </c>
      <c r="G47" s="108"/>
      <c r="H47" s="98" t="str" cm="1">
        <f t="array" ref="H47">IFERROR(INDEX(DB!D$2:D$2576,X47),"")</f>
        <v>3.1.2 철골 부재 인양, 조립</v>
      </c>
      <c r="I47" s="109"/>
      <c r="J47" s="99" t="str" cm="1">
        <f t="array" ref="J47">IFERROR(INDEX(DB!O$2:O$2576,X47),"")</f>
        <v>떨어짐</v>
      </c>
      <c r="K47" s="110"/>
      <c r="L47" s="75" t="str" cm="1">
        <f t="array" ref="L47">IFERROR(INDEX(DB!P$2:P$2576,X47),"")</f>
        <v>2016년 6월경 ㈜OO건설에서 시공하는 OO공장 신축공사 현장에서 재해자가 퍼린 설치 작업을 위해 기 조립된 철골 보 위에 서서 퍼린 부재를 잡으려는 도중 중심을 잃고 약 9m아래 지면으로 추락하여 사망</v>
      </c>
      <c r="M47" s="76" t="str" cm="1">
        <f t="array" ref="M47">IFERROR(INDEX(DB!Q$2:Q$2576,X47),"")</f>
        <v>추락방호조치가 되어 있지 않은 철골 구조물 상부에서 작업 중 근로자 추락</v>
      </c>
      <c r="N47" s="77"/>
      <c r="O47" s="78" t="str" cm="1">
        <f t="array" ref="O47">IFERROR(INDEX(DB!R$2:R$2576,X47),"")</f>
        <v>▶ 추락방지망 설치 등의 안전방호조치 실시
▶ 안전방호조치가 현장 여건 상 어려울 경우, 별도의 안전대 부착설비를 설치
▶ 작업자의 개인보호구 착용여부 관리감독</v>
      </c>
      <c r="P47" s="101"/>
      <c r="Q47" s="102"/>
      <c r="R47" s="103"/>
      <c r="S47" s="43"/>
      <c r="T47" s="66" cm="1">
        <f t="array" ref="T47">IFERROR(_xlfn.AGGREGATE(15,6,ROW(DB!A$2:A$2576)/(((($D$3&lt;&gt;"YES")+($D$3="YES")*(DB!E$2:E$2576="YES"))*(($D$4="")+($D$4&lt;&gt;"")*ISNUMBER(SEARCH($D$4,DB!G$2:G$2576)))*(($D$5="")+($D$5&lt;&gt;"")*(DB!B$2:B$2576=$D$5))*(($D$6="")+($D$6&lt;&gt;"")*(DB!C$2:C$2576=$D$6))*(($D$7="")+($D$7&lt;&gt;"")*(DB!D$2:D$2576=$D$7))*(($F$4="전체")+($F$4&lt;&gt;"전체")*(DB!H$2:H$2576=$F$4)))),ROW()-16)-1,"")</f>
        <v>779</v>
      </c>
      <c r="U47" s="104" t="str" cm="1">
        <f t="array" ref="U47">IFERROR(INDEX(DB!B$2:B$2576,T47),"")</f>
        <v>3. 철골공사</v>
      </c>
      <c r="V47" s="105" t="str" cm="1">
        <f t="array" ref="V47">IFERROR(INDEX(DB!O$2:O$2576,T47),"")</f>
        <v>떨어짐</v>
      </c>
      <c r="W47" s="106">
        <f t="shared" si="1"/>
        <v>10087.031000000001</v>
      </c>
      <c r="X47" s="149">
        <f t="shared" si="2"/>
        <v>777</v>
      </c>
      <c r="AB47" s="138" t="str" cm="1">
        <f t="array" ref="AB47">IFERROR(INDEX(AI$17:AI$66,_xlfn.AGGREGATE(15,6,ROW(AI$17:AI$66)-ROW(AI$17)+1/(AJ$17:AJ$66=LARGE(AJ$17:AJ$66,31)),COUNTIF(AC$17:AC46,LARGE(AJ$17:AJ$66,31))+1)),"")</f>
        <v/>
      </c>
      <c r="AC47" s="131" t="str">
        <f>IFERROR(LARGE(AJ$17:AJ$66,31),"")</f>
        <v/>
      </c>
      <c r="AE47" s="130" t="str" cm="1">
        <f t="array" ref="AE47">IFERROR(INDEX(AM$17:AM$66,_xlfn.AGGREGATE(15,6,ROW(AM$17:AM$66)-ROW(AM$17)+1/(AN$17:AN$66=LARGE(AN$17:AN$66,31)),COUNTIF(AF$17:AF46,LARGE(AN$17:AN$66,31))+1)),"")</f>
        <v/>
      </c>
      <c r="AF47" s="136" t="str">
        <f>IFERROR(LARGE(AN$17:AN$66,31),"")</f>
        <v/>
      </c>
      <c r="AH47" s="65" t="str" cm="1">
        <f t="array" ref="AH47">IF(AG47="","",SUMPRODUCT(((($D$4="")+($D$4&lt;&gt;"")*ISNUMBER(SEARCH($D$4,DB!$G$2:$G$2576)))*(($D$3&lt;&gt;"YES")+($D$3="YES")*(DB!$E$2:$E$2576="YES"))*(($F$4="전체")+($F$4&lt;&gt;"전체")*(DB!$H$2:$H$2576=$F$4)))*(DB!$B$2:$B$2576=AG47)*1))</f>
        <v/>
      </c>
      <c r="AI47" s="65" t="str" cm="1">
        <f t="array" ref="AI47">IFERROR(INDEX(DB!$C$2:$C$2576,_xlfn.AGGREGATE(15,6,ROW(DB!$C$2:$C$2576)-1/((($D$4="")+($D$4&lt;&gt;"")*ISNUMBER(SEARCH($D$4,DB!$G$2:$G$2576)))*(($D$3&lt;&gt;"YES")+($D$3="YES")*(DB!$E$2:$E$2576="YES"))*(($D$5="")+($D$5&lt;&gt;"")*(DB!$B$2:$B$2576=$D$5))*(($D$6="")+($D$6&lt;&gt;"")*(DB!$C$2:$C$2576=$D$6))*(($D$7="")+($D$7&lt;&gt;"")*(DB!$D$2:$D$2576=$D$7))*(($F$4="전체")+($F$4&lt;&gt;"전체")*(DB!$H$2:$H$2576=$F$4))*(COUNTIF(AI$17:AI46,DB!$C$2:$C$2576)=0)),1)),"")</f>
        <v/>
      </c>
      <c r="AJ47" s="65" t="str" cm="1">
        <f t="array" ref="AJ47">IF(AI47="","",SUMPRODUCT(((($D$4="")+($D$4&lt;&gt;"")*ISNUMBER(SEARCH($D$4,DB!$G$2:$G$2576)))*(($D$3&lt;&gt;"YES")+($D$3="YES")*(DB!$E$2:$E$2576="YES"))*(($D$5="")+($D$5&lt;&gt;"")*(DB!$B$2:$B$2576=$D$5))*(($D$6="")+($D$6&lt;&gt;"")*(DB!$C$2:$C$2576=$D$6))*(($D$7="")+($D$7&lt;&gt;"")*(DB!$D$2:$D$2576=$D$7))*(($F$4="전체")+($F$4&lt;&gt;"전체")*(DB!$H$2:$H$2576=$F$4)))*(DB!$C$2:$C$2576=AI47)*1))</f>
        <v/>
      </c>
      <c r="AK47" s="65" t="str" cm="1">
        <f t="array" ref="AK47">IFERROR(INDEX(DB!$D$2:$D$2576,_xlfn.AGGREGATE(15,6,ROW(DB!$D$2:$D$2576)-1/((($D$4="")+($D$4&lt;&gt;"")*ISNUMBER(SEARCH($D$4,DB!$G$2:$G$2576)))*(($D$3&lt;&gt;"YES")+($D$3="YES")*(DB!$E$2:$E$2576="YES"))*(($F$4="전체")+($F$4&lt;&gt;"전체")*(DB!$H$2:$H$2576=$F$4))*(COUNTIF(AK$16:AK46,DB!$D$2:$D$2576)=0)),31)),"")</f>
        <v/>
      </c>
      <c r="AL47" s="65" t="str" cm="1">
        <f t="array" ref="AL47">IF(AK47="","",SUMPRODUCT(((($D$4="")+($D$4&lt;&gt;"")*ISNUMBER(SEARCH($D$4,DB!$G$2:$G$2576)))*(($D$3&lt;&gt;"YES")+($D$3="YES")*(DB!$E$2:$E$2576="YES"))*(($F$4="전체")+($F$4&lt;&gt;"전체")*(DB!$H$2:$H$2576=$F$4)))*(DB!$D$2:$D$2576=AK47)*1))</f>
        <v/>
      </c>
      <c r="AM47" s="65" t="str" cm="1">
        <f t="array" ref="AM47">IFERROR(INDEX(DB!$O$2:$O$2576,_xlfn.AGGREGATE(15,6,ROW(DB!$O$2:$O$2576)-1/((($D$4="")+($D$4&lt;&gt;"")*ISNUMBER(SEARCH($D$4,DB!$G$2:$G$2576)))*(($D$3&lt;&gt;"YES")+($D$3="YES")*(DB!$E$2:$E$2576="YES"))*(($D$5="")+($D$5&lt;&gt;"")*(DB!$B$2:$B$2576=$D$5))*(($D$6="")+($D$6&lt;&gt;"")*(DB!$C$2:$C$2576=$D$6))*(($D$7="")+($D$7&lt;&gt;"")*(DB!$D$2:$D$2576=$D$7))*(($F$4="전체")+($F$4&lt;&gt;"전체")*(DB!$H$2:$H$2576=$F$4))*(COUNTIF(AM$17:AM46,DB!$O$2:$O$2576)=0)),1)),"")</f>
        <v/>
      </c>
      <c r="AN47" s="65" t="str" cm="1">
        <f t="array" ref="AN47">IF(AM47="","",SUMPRODUCT(((($D$4="")+($D$4&lt;&gt;"")*ISNUMBER(SEARCH($D$4,DB!$G$2:$G$2576)))*(($D$3&lt;&gt;"YES")+($D$3="YES")*(DB!$E$2:$E$2576="YES"))*(($D$5="")+($D$5&lt;&gt;"")*(DB!$B$2:$B$2576=$D$5))*(($D$6="")+($D$6&lt;&gt;"")*(DB!$C$2:$C$2576=$D$6))*(($D$7="")+($D$7&lt;&gt;"")*(DB!$D$2:$D$2576=$D$7))*(($F$4="전체")+($F$4&lt;&gt;"전체")*(DB!$H$2:$H$2576=$F$4)))*(DB!$O$2:$O$2576=AM47)*1))</f>
        <v/>
      </c>
      <c r="AY47" t="s">
        <v>1056</v>
      </c>
      <c r="AZ47">
        <v>30</v>
      </c>
      <c r="BA47">
        <v>31</v>
      </c>
      <c r="BB47" s="11">
        <v>1.2043512043512044E-2</v>
      </c>
    </row>
    <row r="48" spans="1:54" ht="90" customHeight="1">
      <c r="A48" s="26"/>
      <c r="B48" s="73">
        <f t="shared" si="0"/>
        <v>32</v>
      </c>
      <c r="C48" s="74"/>
      <c r="D48" s="96" t="str" cm="1">
        <f t="array" ref="D48">IFERROR(INDEX(DB!B$2:B$2576,X48),"")</f>
        <v>3. 철골공사</v>
      </c>
      <c r="E48" s="107"/>
      <c r="F48" s="97" t="str" cm="1">
        <f t="array" ref="F48">IFERROR(INDEX(DB!C$2:C$2576,X48),"")</f>
        <v>3.1 철골 작업</v>
      </c>
      <c r="G48" s="108"/>
      <c r="H48" s="98" t="str" cm="1">
        <f t="array" ref="H48">IFERROR(INDEX(DB!D$2:D$2576,X48),"")</f>
        <v>3.1.2 철골 부재 인양, 조립</v>
      </c>
      <c r="I48" s="109"/>
      <c r="J48" s="99" t="str" cm="1">
        <f t="array" ref="J48">IFERROR(INDEX(DB!O$2:O$2576,X48),"")</f>
        <v>떨어짐</v>
      </c>
      <c r="K48" s="110"/>
      <c r="L48" s="75" t="str" cm="1">
        <f t="array" ref="L48">IFERROR(INDEX(DB!P$2:P$2576,X48),"")</f>
        <v>2016년 7월경 창고 증설공사 현장에서 협력업체 소속 재해자(랙설치공)이 지붕층 트러스를 랙(Rack) 최상부와 연결하기 위하여 랙 최상부에서 볼트 조립작업을 하던 중, 몸의 중심을 잃고 지면으로 추락(H≒30m)하여 사망</v>
      </c>
      <c r="M48" s="76" t="str" cm="1">
        <f t="array" ref="M48">IFERROR(INDEX(DB!Q$2:Q$2576,X48),"")</f>
        <v>추락방호조치가 되어 있지 않은 철골 구조물 상부에서 작업 중 근로자 추락</v>
      </c>
      <c r="N48" s="77"/>
      <c r="O48" s="78" t="str" cm="1">
        <f t="array" ref="O48">IFERROR(INDEX(DB!R$2:R$2576,X48),"")</f>
        <v>▶ 추락방지망 설치 등의 안전방호조치 실시
▶ 안전방호조치가 현장 여건 상 어려울 경우, 별도의 안전대 부착설비를 설치
▶ 작업자의 개인보호구 착용여부 관리감독</v>
      </c>
      <c r="P48" s="101"/>
      <c r="Q48" s="102"/>
      <c r="R48" s="103"/>
      <c r="S48" s="43"/>
      <c r="T48" s="66" cm="1">
        <f t="array" ref="T48">IFERROR(_xlfn.AGGREGATE(15,6,ROW(DB!A$2:A$2576)/(((($D$3&lt;&gt;"YES")+($D$3="YES")*(DB!E$2:E$2576="YES"))*(($D$4="")+($D$4&lt;&gt;"")*ISNUMBER(SEARCH($D$4,DB!G$2:G$2576)))*(($D$5="")+($D$5&lt;&gt;"")*(DB!B$2:B$2576=$D$5))*(($D$6="")+($D$6&lt;&gt;"")*(DB!C$2:C$2576=$D$6))*(($D$7="")+($D$7&lt;&gt;"")*(DB!D$2:D$2576=$D$7))*(($F$4="전체")+($F$4&lt;&gt;"전체")*(DB!H$2:H$2576=$F$4)))),ROW()-16)-1,"")</f>
        <v>780</v>
      </c>
      <c r="U48" s="104" t="str" cm="1">
        <f t="array" ref="U48">IFERROR(INDEX(DB!B$2:B$2576,T48),"")</f>
        <v>3. 철골공사</v>
      </c>
      <c r="V48" s="105" t="str" cm="1">
        <f t="array" ref="V48">IFERROR(INDEX(DB!O$2:O$2576,T48),"")</f>
        <v>떨어짐</v>
      </c>
      <c r="W48" s="106">
        <f t="shared" si="1"/>
        <v>10087.031999999999</v>
      </c>
      <c r="X48" s="149">
        <f t="shared" si="2"/>
        <v>779</v>
      </c>
      <c r="AB48" s="138" t="str" cm="1">
        <f t="array" ref="AB48">IFERROR(INDEX(AI$17:AI$66,_xlfn.AGGREGATE(15,6,ROW(AI$17:AI$66)-ROW(AI$17)+1/(AJ$17:AJ$66=LARGE(AJ$17:AJ$66,32)),COUNTIF(AC$17:AC47,LARGE(AJ$17:AJ$66,32))+1)),"")</f>
        <v/>
      </c>
      <c r="AC48" s="131" t="str">
        <f>IFERROR(LARGE(AJ$17:AJ$66,32),"")</f>
        <v/>
      </c>
      <c r="AE48" s="130" t="str" cm="1">
        <f t="array" ref="AE48">IFERROR(INDEX(AM$17:AM$66,_xlfn.AGGREGATE(15,6,ROW(AM$17:AM$66)-ROW(AM$17)+1/(AN$17:AN$66=LARGE(AN$17:AN$66,32)),COUNTIF(AF$17:AF47,LARGE(AN$17:AN$66,32))+1)),"")</f>
        <v/>
      </c>
      <c r="AF48" s="136" t="str">
        <f>IFERROR(LARGE(AN$17:AN$66,32),"")</f>
        <v/>
      </c>
      <c r="AH48" s="65" t="str" cm="1">
        <f t="array" ref="AH48">IF(AG48="","",SUMPRODUCT(((($D$4="")+($D$4&lt;&gt;"")*ISNUMBER(SEARCH($D$4,DB!$G$2:$G$2576)))*(($D$3&lt;&gt;"YES")+($D$3="YES")*(DB!$E$2:$E$2576="YES"))*(($F$4="전체")+($F$4&lt;&gt;"전체")*(DB!$H$2:$H$2576=$F$4)))*(DB!$B$2:$B$2576=AG48)*1))</f>
        <v/>
      </c>
      <c r="AI48" s="65" t="str" cm="1">
        <f t="array" ref="AI48">IFERROR(INDEX(DB!$C$2:$C$2576,_xlfn.AGGREGATE(15,6,ROW(DB!$C$2:$C$2576)-1/((($D$4="")+($D$4&lt;&gt;"")*ISNUMBER(SEARCH($D$4,DB!$G$2:$G$2576)))*(($D$3&lt;&gt;"YES")+($D$3="YES")*(DB!$E$2:$E$2576="YES"))*(($D$5="")+($D$5&lt;&gt;"")*(DB!$B$2:$B$2576=$D$5))*(($D$6="")+($D$6&lt;&gt;"")*(DB!$C$2:$C$2576=$D$6))*(($D$7="")+($D$7&lt;&gt;"")*(DB!$D$2:$D$2576=$D$7))*(($F$4="전체")+($F$4&lt;&gt;"전체")*(DB!$H$2:$H$2576=$F$4))*(COUNTIF(AI$17:AI47,DB!$C$2:$C$2576)=0)),1)),"")</f>
        <v/>
      </c>
      <c r="AJ48" s="65" t="str" cm="1">
        <f t="array" ref="AJ48">IF(AI48="","",SUMPRODUCT(((($D$4="")+($D$4&lt;&gt;"")*ISNUMBER(SEARCH($D$4,DB!$G$2:$G$2576)))*(($D$3&lt;&gt;"YES")+($D$3="YES")*(DB!$E$2:$E$2576="YES"))*(($D$5="")+($D$5&lt;&gt;"")*(DB!$B$2:$B$2576=$D$5))*(($D$6="")+($D$6&lt;&gt;"")*(DB!$C$2:$C$2576=$D$6))*(($D$7="")+($D$7&lt;&gt;"")*(DB!$D$2:$D$2576=$D$7))*(($F$4="전체")+($F$4&lt;&gt;"전체")*(DB!$H$2:$H$2576=$F$4)))*(DB!$C$2:$C$2576=AI48)*1))</f>
        <v/>
      </c>
      <c r="AK48" s="65" t="str" cm="1">
        <f t="array" ref="AK48">IFERROR(INDEX(DB!$D$2:$D$2576,_xlfn.AGGREGATE(15,6,ROW(DB!$D$2:$D$2576)-1/((($D$4="")+($D$4&lt;&gt;"")*ISNUMBER(SEARCH($D$4,DB!$G$2:$G$2576)))*(($D$3&lt;&gt;"YES")+($D$3="YES")*(DB!$E$2:$E$2576="YES"))*(($F$4="전체")+($F$4&lt;&gt;"전체")*(DB!$H$2:$H$2576=$F$4))*(COUNTIF(AK$16:AK47,DB!$D$2:$D$2576)=0)),32)),"")</f>
        <v/>
      </c>
      <c r="AL48" s="65" t="str" cm="1">
        <f t="array" ref="AL48">IF(AK48="","",SUMPRODUCT(((($D$4="")+($D$4&lt;&gt;"")*ISNUMBER(SEARCH($D$4,DB!$G$2:$G$2576)))*(($D$3&lt;&gt;"YES")+($D$3="YES")*(DB!$E$2:$E$2576="YES"))*(($F$4="전체")+($F$4&lt;&gt;"전체")*(DB!$H$2:$H$2576=$F$4)))*(DB!$D$2:$D$2576=AK48)*1))</f>
        <v/>
      </c>
      <c r="AM48" s="65" t="str" cm="1">
        <f t="array" ref="AM48">IFERROR(INDEX(DB!$O$2:$O$2576,_xlfn.AGGREGATE(15,6,ROW(DB!$O$2:$O$2576)-1/((($D$4="")+($D$4&lt;&gt;"")*ISNUMBER(SEARCH($D$4,DB!$G$2:$G$2576)))*(($D$3&lt;&gt;"YES")+($D$3="YES")*(DB!$E$2:$E$2576="YES"))*(($D$5="")+($D$5&lt;&gt;"")*(DB!$B$2:$B$2576=$D$5))*(($D$6="")+($D$6&lt;&gt;"")*(DB!$C$2:$C$2576=$D$6))*(($D$7="")+($D$7&lt;&gt;"")*(DB!$D$2:$D$2576=$D$7))*(($F$4="전체")+($F$4&lt;&gt;"전체")*(DB!$H$2:$H$2576=$F$4))*(COUNTIF(AM$17:AM47,DB!$O$2:$O$2576)=0)),1)),"")</f>
        <v/>
      </c>
      <c r="AN48" s="65" t="str" cm="1">
        <f t="array" ref="AN48">IF(AM48="","",SUMPRODUCT(((($D$4="")+($D$4&lt;&gt;"")*ISNUMBER(SEARCH($D$4,DB!$G$2:$G$2576)))*(($D$3&lt;&gt;"YES")+($D$3="YES")*(DB!$E$2:$E$2576="YES"))*(($D$5="")+($D$5&lt;&gt;"")*(DB!$B$2:$B$2576=$D$5))*(($D$6="")+($D$6&lt;&gt;"")*(DB!$C$2:$C$2576=$D$6))*(($D$7="")+($D$7&lt;&gt;"")*(DB!$D$2:$D$2576=$D$7))*(($F$4="전체")+($F$4&lt;&gt;"전체")*(DB!$H$2:$H$2576=$F$4)))*(DB!$O$2:$O$2576=AM48)*1))</f>
        <v/>
      </c>
      <c r="AY48" t="s">
        <v>227</v>
      </c>
      <c r="AZ48">
        <v>31</v>
      </c>
      <c r="BA48">
        <v>30</v>
      </c>
      <c r="BB48" s="11">
        <v>1.1655011655011656E-2</v>
      </c>
    </row>
    <row r="49" spans="1:54" ht="90" customHeight="1">
      <c r="A49" s="79"/>
      <c r="B49" s="73">
        <f t="shared" si="0"/>
        <v>33</v>
      </c>
      <c r="C49" s="74"/>
      <c r="D49" s="96" t="str" cm="1">
        <f t="array" ref="D49">IFERROR(INDEX(DB!B$2:B$2576,X49),"")</f>
        <v>3. 철골공사</v>
      </c>
      <c r="E49" s="107"/>
      <c r="F49" s="97" t="str" cm="1">
        <f t="array" ref="F49">IFERROR(INDEX(DB!C$2:C$2576,X49),"")</f>
        <v>3.1 철골 작업</v>
      </c>
      <c r="G49" s="108"/>
      <c r="H49" s="98" t="str" cm="1">
        <f t="array" ref="H49">IFERROR(INDEX(DB!D$2:D$2576,X49),"")</f>
        <v>3.1.2 철골 부재 인양, 조립</v>
      </c>
      <c r="I49" s="109"/>
      <c r="J49" s="99" t="str" cm="1">
        <f t="array" ref="J49">IFERROR(INDEX(DB!O$2:O$2576,X49),"")</f>
        <v>떨어짐</v>
      </c>
      <c r="K49" s="110"/>
      <c r="L49" s="75" t="str" cm="1">
        <f t="array" ref="L49">IFERROR(INDEX(DB!P$2:P$2576,X49),"")</f>
        <v>2016년 8월경 OO㈜에서 시공하는 OO공장 신축공사 현장에서 재해자(철골공)가 이동식크레인(50ton)으로 인양한 큰 보 (Girder, H400×200×8×13mm)와 기둥(Column, X4열)을 볼트를 이용하여 가체결 후 큰 보 중간에 설치된 인양용 빔클램프를 풀기 위하여 이동하던 중 몸의 중심을 잃고 약 11m 하부 건물 외부 바닥으로 떨어져 사망</v>
      </c>
      <c r="M49" s="76" t="str" cm="1">
        <f t="array" ref="M49">IFERROR(INDEX(DB!Q$2:Q$2576,X49),"")</f>
        <v>철골 구조물 하부에 안전방망을 설치하지 않은 현장에서 안전대를 체결하지 않고 철골 상부에서 이동하다 근로자가 몸의 중심을 잃고 추락</v>
      </c>
      <c r="N49" s="77"/>
      <c r="O49" s="78" t="str" cm="1">
        <f t="array" ref="O49">IFERROR(INDEX(DB!R$2:R$2576,X49),"")</f>
        <v>▶ 철골 보 상부에서 이동시 추락방지를 위해 안전대 부착설비 설치 및 안전대 착용
▶ 승강용 사다리를 이용하여 이동할 경우 추락방지를 위해 안전대 체결
▶ 이동식크레인의 붐대 간섭 등 추락방망 설치가 곤란할 경우 철골 조립작업 전 지상애서 안전대 부착설비 설치 후 인양하여 조립 후 상부에서 안전대 체결하여 작업</v>
      </c>
      <c r="P49" s="101"/>
      <c r="Q49" s="102"/>
      <c r="R49" s="103"/>
      <c r="S49" s="43"/>
      <c r="T49" s="66" cm="1">
        <f t="array" ref="T49">IFERROR(_xlfn.AGGREGATE(15,6,ROW(DB!A$2:A$2576)/(((($D$3&lt;&gt;"YES")+($D$3="YES")*(DB!E$2:E$2576="YES"))*(($D$4="")+($D$4&lt;&gt;"")*ISNUMBER(SEARCH($D$4,DB!G$2:G$2576)))*(($D$5="")+($D$5&lt;&gt;"")*(DB!B$2:B$2576=$D$5))*(($D$6="")+($D$6&lt;&gt;"")*(DB!C$2:C$2576=$D$6))*(($D$7="")+($D$7&lt;&gt;"")*(DB!D$2:D$2576=$D$7))*(($F$4="전체")+($F$4&lt;&gt;"전체")*(DB!H$2:H$2576=$F$4)))),ROW()-16)-1,"")</f>
        <v>781</v>
      </c>
      <c r="U49" s="104" t="str" cm="1">
        <f t="array" ref="U49">IFERROR(INDEX(DB!B$2:B$2576,T49),"")</f>
        <v>3. 철골공사</v>
      </c>
      <c r="V49" s="105" t="str" cm="1">
        <f t="array" ref="V49">IFERROR(INDEX(DB!O$2:O$2576,T49),"")</f>
        <v>떨어짐</v>
      </c>
      <c r="W49" s="106">
        <f t="shared" si="1"/>
        <v>10087.032999999999</v>
      </c>
      <c r="X49" s="149">
        <f t="shared" si="2"/>
        <v>780</v>
      </c>
      <c r="AB49" s="138" t="str" cm="1">
        <f t="array" ref="AB49">IFERROR(INDEX(AI$17:AI$66,_xlfn.AGGREGATE(15,6,ROW(AI$17:AI$66)-ROW(AI$17)+1/(AJ$17:AJ$66=LARGE(AJ$17:AJ$66,33)),COUNTIF(AC$17:AC48,LARGE(AJ$17:AJ$66,33))+1)),"")</f>
        <v/>
      </c>
      <c r="AC49" s="131" t="str">
        <f>IFERROR(LARGE(AJ$17:AJ$66,33),"")</f>
        <v/>
      </c>
      <c r="AE49" s="130" t="str" cm="1">
        <f t="array" ref="AE49">IFERROR(INDEX(AM$17:AM$66,_xlfn.AGGREGATE(15,6,ROW(AM$17:AM$66)-ROW(AM$17)+1/(AN$17:AN$66=LARGE(AN$17:AN$66,33)),COUNTIF(AF$17:AF48,LARGE(AN$17:AN$66,33))+1)),"")</f>
        <v/>
      </c>
      <c r="AF49" s="136" t="str">
        <f>IFERROR(LARGE(AN$17:AN$66,33),"")</f>
        <v/>
      </c>
      <c r="AH49" s="65" t="str" cm="1">
        <f t="array" ref="AH49">IF(AG49="","",SUMPRODUCT(((($D$4="")+($D$4&lt;&gt;"")*ISNUMBER(SEARCH($D$4,DB!$G$2:$G$2576)))*(($D$3&lt;&gt;"YES")+($D$3="YES")*(DB!$E$2:$E$2576="YES"))*(($F$4="전체")+($F$4&lt;&gt;"전체")*(DB!$H$2:$H$2576=$F$4)))*(DB!$B$2:$B$2576=AG49)*1))</f>
        <v/>
      </c>
      <c r="AI49" s="65" t="str" cm="1">
        <f t="array" ref="AI49">IFERROR(INDEX(DB!$C$2:$C$2576,_xlfn.AGGREGATE(15,6,ROW(DB!$C$2:$C$2576)-1/((($D$4="")+($D$4&lt;&gt;"")*ISNUMBER(SEARCH($D$4,DB!$G$2:$G$2576)))*(($D$3&lt;&gt;"YES")+($D$3="YES")*(DB!$E$2:$E$2576="YES"))*(($D$5="")+($D$5&lt;&gt;"")*(DB!$B$2:$B$2576=$D$5))*(($D$6="")+($D$6&lt;&gt;"")*(DB!$C$2:$C$2576=$D$6))*(($D$7="")+($D$7&lt;&gt;"")*(DB!$D$2:$D$2576=$D$7))*(($F$4="전체")+($F$4&lt;&gt;"전체")*(DB!$H$2:$H$2576=$F$4))*(COUNTIF(AI$17:AI48,DB!$C$2:$C$2576)=0)),1)),"")</f>
        <v/>
      </c>
      <c r="AJ49" s="65" t="str" cm="1">
        <f t="array" ref="AJ49">IF(AI49="","",SUMPRODUCT(((($D$4="")+($D$4&lt;&gt;"")*ISNUMBER(SEARCH($D$4,DB!$G$2:$G$2576)))*(($D$3&lt;&gt;"YES")+($D$3="YES")*(DB!$E$2:$E$2576="YES"))*(($D$5="")+($D$5&lt;&gt;"")*(DB!$B$2:$B$2576=$D$5))*(($D$6="")+($D$6&lt;&gt;"")*(DB!$C$2:$C$2576=$D$6))*(($D$7="")+($D$7&lt;&gt;"")*(DB!$D$2:$D$2576=$D$7))*(($F$4="전체")+($F$4&lt;&gt;"전체")*(DB!$H$2:$H$2576=$F$4)))*(DB!$C$2:$C$2576=AI49)*1))</f>
        <v/>
      </c>
      <c r="AK49" s="65" t="str" cm="1">
        <f t="array" ref="AK49">IFERROR(INDEX(DB!$D$2:$D$2576,_xlfn.AGGREGATE(15,6,ROW(DB!$D$2:$D$2576)-1/((($D$4="")+($D$4&lt;&gt;"")*ISNUMBER(SEARCH($D$4,DB!$G$2:$G$2576)))*(($D$3&lt;&gt;"YES")+($D$3="YES")*(DB!$E$2:$E$2576="YES"))*(($F$4="전체")+($F$4&lt;&gt;"전체")*(DB!$H$2:$H$2576=$F$4))*(COUNTIF(AK$16:AK48,DB!$D$2:$D$2576)=0)),33)),"")</f>
        <v/>
      </c>
      <c r="AL49" s="65" t="str" cm="1">
        <f t="array" ref="AL49">IF(AK49="","",SUMPRODUCT(((($D$4="")+($D$4&lt;&gt;"")*ISNUMBER(SEARCH($D$4,DB!$G$2:$G$2576)))*(($D$3&lt;&gt;"YES")+($D$3="YES")*(DB!$E$2:$E$2576="YES"))*(($F$4="전체")+($F$4&lt;&gt;"전체")*(DB!$H$2:$H$2576=$F$4)))*(DB!$D$2:$D$2576=AK49)*1))</f>
        <v/>
      </c>
      <c r="AM49" s="65" t="str" cm="1">
        <f t="array" ref="AM49">IFERROR(INDEX(DB!$O$2:$O$2576,_xlfn.AGGREGATE(15,6,ROW(DB!$O$2:$O$2576)-1/((($D$4="")+($D$4&lt;&gt;"")*ISNUMBER(SEARCH($D$4,DB!$G$2:$G$2576)))*(($D$3&lt;&gt;"YES")+($D$3="YES")*(DB!$E$2:$E$2576="YES"))*(($D$5="")+($D$5&lt;&gt;"")*(DB!$B$2:$B$2576=$D$5))*(($D$6="")+($D$6&lt;&gt;"")*(DB!$C$2:$C$2576=$D$6))*(($D$7="")+($D$7&lt;&gt;"")*(DB!$D$2:$D$2576=$D$7))*(($F$4="전체")+($F$4&lt;&gt;"전체")*(DB!$H$2:$H$2576=$F$4))*(COUNTIF(AM$17:AM48,DB!$O$2:$O$2576)=0)),1)),"")</f>
        <v/>
      </c>
      <c r="AN49" s="65" t="str" cm="1">
        <f t="array" ref="AN49">IF(AM49="","",SUMPRODUCT(((($D$4="")+($D$4&lt;&gt;"")*ISNUMBER(SEARCH($D$4,DB!$G$2:$G$2576)))*(($D$3&lt;&gt;"YES")+($D$3="YES")*(DB!$E$2:$E$2576="YES"))*(($D$5="")+($D$5&lt;&gt;"")*(DB!$B$2:$B$2576=$D$5))*(($D$6="")+($D$6&lt;&gt;"")*(DB!$C$2:$C$2576=$D$6))*(($D$7="")+($D$7&lt;&gt;"")*(DB!$D$2:$D$2576=$D$7))*(($F$4="전체")+($F$4&lt;&gt;"전체")*(DB!$H$2:$H$2576=$F$4)))*(DB!$O$2:$O$2576=AM49)*1))</f>
        <v/>
      </c>
      <c r="AY49" t="s">
        <v>196</v>
      </c>
      <c r="AZ49">
        <v>32</v>
      </c>
      <c r="BA49">
        <v>30</v>
      </c>
      <c r="BB49" s="11">
        <v>1.1655011655011656E-2</v>
      </c>
    </row>
    <row r="50" spans="1:54" ht="90" customHeight="1">
      <c r="A50" s="26"/>
      <c r="B50" s="73">
        <f t="shared" si="0"/>
        <v>34</v>
      </c>
      <c r="C50" s="74"/>
      <c r="D50" s="96" t="str" cm="1">
        <f t="array" ref="D50">IFERROR(INDEX(DB!B$2:B$2576,X50),"")</f>
        <v>3. 철골공사</v>
      </c>
      <c r="E50" s="107"/>
      <c r="F50" s="97" t="str" cm="1">
        <f t="array" ref="F50">IFERROR(INDEX(DB!C$2:C$2576,X50),"")</f>
        <v>3.1 철골 작업</v>
      </c>
      <c r="G50" s="108"/>
      <c r="H50" s="98" t="str" cm="1">
        <f t="array" ref="H50">IFERROR(INDEX(DB!D$2:D$2576,X50),"")</f>
        <v>3.1.2 철골 부재 인양, 조립</v>
      </c>
      <c r="I50" s="109"/>
      <c r="J50" s="99" t="str" cm="1">
        <f t="array" ref="J50">IFERROR(INDEX(DB!O$2:O$2576,X50),"")</f>
        <v>떨어짐</v>
      </c>
      <c r="K50" s="110"/>
      <c r="L50" s="75" t="str" cm="1">
        <f t="array" ref="L50">IFERROR(INDEX(DB!P$2:P$2576,X50),"")</f>
        <v>2016년 9월경 ㈜OO에서 시공하는 물류자동창고 설치공사 현장에서 재해자(철골공)가 자동화창고 연결작업을 실시하던 중, 중심을 잃고 약 23m 아래 창고바닥으로 추락하여 사망</v>
      </c>
      <c r="M50" s="76" t="str" cm="1">
        <f t="array" ref="M50">IFERROR(INDEX(DB!Q$2:Q$2576,X50),"")</f>
        <v>추락방호조치가 되어 있지 않은 철골 구조물 상부에서 작업 중 근로자 추락</v>
      </c>
      <c r="N50" s="77"/>
      <c r="O50" s="78" t="str" cm="1">
        <f t="array" ref="O50">IFERROR(INDEX(DB!R$2:R$2576,X50),"")</f>
        <v>▶ 추락방지망 설치 등의 안전방호조치 실시
▶ 안전방호조치가 현장 여건 상 어려울 경우, 별도의 안전대 부착설비를 설치
▶ 작업자의 개인보호구 착용여부 관리감독</v>
      </c>
      <c r="P50" s="101"/>
      <c r="Q50" s="102"/>
      <c r="R50" s="103"/>
      <c r="S50" s="43"/>
      <c r="T50" s="66" cm="1">
        <f t="array" ref="T50">IFERROR(_xlfn.AGGREGATE(15,6,ROW(DB!A$2:A$2576)/(((($D$3&lt;&gt;"YES")+($D$3="YES")*(DB!E$2:E$2576="YES"))*(($D$4="")+($D$4&lt;&gt;"")*ISNUMBER(SEARCH($D$4,DB!G$2:G$2576)))*(($D$5="")+($D$5&lt;&gt;"")*(DB!B$2:B$2576=$D$5))*(($D$6="")+($D$6&lt;&gt;"")*(DB!C$2:C$2576=$D$6))*(($D$7="")+($D$7&lt;&gt;"")*(DB!D$2:D$2576=$D$7))*(($F$4="전체")+($F$4&lt;&gt;"전체")*(DB!H$2:H$2576=$F$4)))),ROW()-16)-1,"")</f>
        <v>782</v>
      </c>
      <c r="U50" s="104" t="str" cm="1">
        <f t="array" ref="U50">IFERROR(INDEX(DB!B$2:B$2576,T50),"")</f>
        <v>3. 철골공사</v>
      </c>
      <c r="V50" s="105" t="str" cm="1">
        <f t="array" ref="V50">IFERROR(INDEX(DB!O$2:O$2576,T50),"")</f>
        <v>떨어짐</v>
      </c>
      <c r="W50" s="106">
        <f t="shared" si="1"/>
        <v>10087.034</v>
      </c>
      <c r="X50" s="149">
        <f t="shared" si="2"/>
        <v>781</v>
      </c>
      <c r="AB50" s="138" t="str" cm="1">
        <f t="array" ref="AB50">IFERROR(INDEX(AI$17:AI$66,_xlfn.AGGREGATE(15,6,ROW(AI$17:AI$66)-ROW(AI$17)+1/(AJ$17:AJ$66=LARGE(AJ$17:AJ$66,34)),COUNTIF(AC$17:AC49,LARGE(AJ$17:AJ$66,34))+1)),"")</f>
        <v/>
      </c>
      <c r="AC50" s="131" t="str">
        <f>IFERROR(LARGE(AJ$17:AJ$66,34),"")</f>
        <v/>
      </c>
      <c r="AE50" s="130" t="str" cm="1">
        <f t="array" ref="AE50">IFERROR(INDEX(AM$17:AM$66,_xlfn.AGGREGATE(15,6,ROW(AM$17:AM$66)-ROW(AM$17)+1/(AN$17:AN$66=LARGE(AN$17:AN$66,34)),COUNTIF(AF$17:AF49,LARGE(AN$17:AN$66,34))+1)),"")</f>
        <v/>
      </c>
      <c r="AF50" s="136" t="str">
        <f>IFERROR(LARGE(AN$17:AN$66,34),"")</f>
        <v/>
      </c>
      <c r="AH50" s="65" t="str" cm="1">
        <f t="array" ref="AH50">IF(AG50="","",SUMPRODUCT(((($D$4="")+($D$4&lt;&gt;"")*ISNUMBER(SEARCH($D$4,DB!$G$2:$G$2576)))*(($D$3&lt;&gt;"YES")+($D$3="YES")*(DB!$E$2:$E$2576="YES"))*(($F$4="전체")+($F$4&lt;&gt;"전체")*(DB!$H$2:$H$2576=$F$4)))*(DB!$B$2:$B$2576=AG50)*1))</f>
        <v/>
      </c>
      <c r="AI50" s="65" t="str" cm="1">
        <f t="array" ref="AI50">IFERROR(INDEX(DB!$C$2:$C$2576,_xlfn.AGGREGATE(15,6,ROW(DB!$C$2:$C$2576)-1/((($D$4="")+($D$4&lt;&gt;"")*ISNUMBER(SEARCH($D$4,DB!$G$2:$G$2576)))*(($D$3&lt;&gt;"YES")+($D$3="YES")*(DB!$E$2:$E$2576="YES"))*(($D$5="")+($D$5&lt;&gt;"")*(DB!$B$2:$B$2576=$D$5))*(($D$6="")+($D$6&lt;&gt;"")*(DB!$C$2:$C$2576=$D$6))*(($D$7="")+($D$7&lt;&gt;"")*(DB!$D$2:$D$2576=$D$7))*(($F$4="전체")+($F$4&lt;&gt;"전체")*(DB!$H$2:$H$2576=$F$4))*(COUNTIF(AI$17:AI49,DB!$C$2:$C$2576)=0)),1)),"")</f>
        <v/>
      </c>
      <c r="AJ50" s="65" t="str" cm="1">
        <f t="array" ref="AJ50">IF(AI50="","",SUMPRODUCT(((($D$4="")+($D$4&lt;&gt;"")*ISNUMBER(SEARCH($D$4,DB!$G$2:$G$2576)))*(($D$3&lt;&gt;"YES")+($D$3="YES")*(DB!$E$2:$E$2576="YES"))*(($D$5="")+($D$5&lt;&gt;"")*(DB!$B$2:$B$2576=$D$5))*(($D$6="")+($D$6&lt;&gt;"")*(DB!$C$2:$C$2576=$D$6))*(($D$7="")+($D$7&lt;&gt;"")*(DB!$D$2:$D$2576=$D$7))*(($F$4="전체")+($F$4&lt;&gt;"전체")*(DB!$H$2:$H$2576=$F$4)))*(DB!$C$2:$C$2576=AI50)*1))</f>
        <v/>
      </c>
      <c r="AK50" s="65" t="str" cm="1">
        <f t="array" ref="AK50">IFERROR(INDEX(DB!$D$2:$D$2576,_xlfn.AGGREGATE(15,6,ROW(DB!$D$2:$D$2576)-1/((($D$4="")+($D$4&lt;&gt;"")*ISNUMBER(SEARCH($D$4,DB!$G$2:$G$2576)))*(($D$3&lt;&gt;"YES")+($D$3="YES")*(DB!$E$2:$E$2576="YES"))*(($F$4="전체")+($F$4&lt;&gt;"전체")*(DB!$H$2:$H$2576=$F$4))*(COUNTIF(AK$16:AK49,DB!$D$2:$D$2576)=0)),34)),"")</f>
        <v/>
      </c>
      <c r="AL50" s="65" t="str" cm="1">
        <f t="array" ref="AL50">IF(AK50="","",SUMPRODUCT(((($D$4="")+($D$4&lt;&gt;"")*ISNUMBER(SEARCH($D$4,DB!$G$2:$G$2576)))*(($D$3&lt;&gt;"YES")+($D$3="YES")*(DB!$E$2:$E$2576="YES"))*(($F$4="전체")+($F$4&lt;&gt;"전체")*(DB!$H$2:$H$2576=$F$4)))*(DB!$D$2:$D$2576=AK50)*1))</f>
        <v/>
      </c>
      <c r="AM50" s="65" t="str" cm="1">
        <f t="array" ref="AM50">IFERROR(INDEX(DB!$O$2:$O$2576,_xlfn.AGGREGATE(15,6,ROW(DB!$O$2:$O$2576)-1/((($D$4="")+($D$4&lt;&gt;"")*ISNUMBER(SEARCH($D$4,DB!$G$2:$G$2576)))*(($D$3&lt;&gt;"YES")+($D$3="YES")*(DB!$E$2:$E$2576="YES"))*(($D$5="")+($D$5&lt;&gt;"")*(DB!$B$2:$B$2576=$D$5))*(($D$6="")+($D$6&lt;&gt;"")*(DB!$C$2:$C$2576=$D$6))*(($D$7="")+($D$7&lt;&gt;"")*(DB!$D$2:$D$2576=$D$7))*(($F$4="전체")+($F$4&lt;&gt;"전체")*(DB!$H$2:$H$2576=$F$4))*(COUNTIF(AM$17:AM49,DB!$O$2:$O$2576)=0)),1)),"")</f>
        <v/>
      </c>
      <c r="AN50" s="65" t="str" cm="1">
        <f t="array" ref="AN50">IF(AM50="","",SUMPRODUCT(((($D$4="")+($D$4&lt;&gt;"")*ISNUMBER(SEARCH($D$4,DB!$G$2:$G$2576)))*(($D$3&lt;&gt;"YES")+($D$3="YES")*(DB!$E$2:$E$2576="YES"))*(($D$5="")+($D$5&lt;&gt;"")*(DB!$B$2:$B$2576=$D$5))*(($D$6="")+($D$6&lt;&gt;"")*(DB!$C$2:$C$2576=$D$6))*(($D$7="")+($D$7&lt;&gt;"")*(DB!$D$2:$D$2576=$D$7))*(($F$4="전체")+($F$4&lt;&gt;"전체")*(DB!$H$2:$H$2576=$F$4)))*(DB!$O$2:$O$2576=AM50)*1))</f>
        <v/>
      </c>
      <c r="AY50" t="s">
        <v>650</v>
      </c>
      <c r="AZ50">
        <v>33</v>
      </c>
      <c r="BA50">
        <v>25</v>
      </c>
      <c r="BB50" s="11">
        <v>9.7125097125097121E-3</v>
      </c>
    </row>
    <row r="51" spans="1:54" ht="90" customHeight="1">
      <c r="A51" s="79"/>
      <c r="B51" s="73">
        <f t="shared" si="0"/>
        <v>35</v>
      </c>
      <c r="C51" s="74"/>
      <c r="D51" s="96" t="str" cm="1">
        <f t="array" ref="D51">IFERROR(INDEX(DB!B$2:B$2576,X51),"")</f>
        <v>3. 철골공사</v>
      </c>
      <c r="E51" s="107"/>
      <c r="F51" s="97" t="str" cm="1">
        <f t="array" ref="F51">IFERROR(INDEX(DB!C$2:C$2576,X51),"")</f>
        <v>3.1 철골 작업</v>
      </c>
      <c r="G51" s="108"/>
      <c r="H51" s="98" t="str" cm="1">
        <f t="array" ref="H51">IFERROR(INDEX(DB!D$2:D$2576,X51),"")</f>
        <v>3.1.2 철골 부재 인양, 조립</v>
      </c>
      <c r="I51" s="109"/>
      <c r="J51" s="99" t="str" cm="1">
        <f t="array" ref="J51">IFERROR(INDEX(DB!O$2:O$2576,X51),"")</f>
        <v>떨어짐</v>
      </c>
      <c r="K51" s="110"/>
      <c r="L51" s="75" t="str" cm="1">
        <f t="array" ref="L51">IFERROR(INDEX(DB!P$2:P$2576,X51),"")</f>
        <v>2016년 11월경 OO 공장 신축공사 현장에서 재해자가 철골세우기 및 수직보기 작업 후 고장력볼트 임팩트작업을 위해 폭15cm인 철골빔 상을 이동 중 9.1m 아래로 떨어져 사망</v>
      </c>
      <c r="M51" s="76" t="str" cm="1">
        <f t="array" ref="M51">IFERROR(INDEX(DB!Q$2:Q$2576,X51),"")</f>
        <v>안전대 부착설비 또는 안전망 미설치 상태에서 철골보 이동 중  실족하여 추락</v>
      </c>
      <c r="N51" s="77"/>
      <c r="O51" s="78" t="str" cm="1">
        <f t="array" ref="O51">IFERROR(INDEX(DB!R$2:R$2576,X51),"")</f>
        <v>▶ 추락위험장소에서 작업 시 안전대 부착설비 설치 및 안전대 착용
▶ 철골 위 작업 시 추락방지망을 설치</v>
      </c>
      <c r="P51" s="101"/>
      <c r="Q51" s="102"/>
      <c r="R51" s="103"/>
      <c r="S51" s="43"/>
      <c r="T51" s="66" cm="1">
        <f t="array" ref="T51">IFERROR(_xlfn.AGGREGATE(15,6,ROW(DB!A$2:A$2576)/(((($D$3&lt;&gt;"YES")+($D$3="YES")*(DB!E$2:E$2576="YES"))*(($D$4="")+($D$4&lt;&gt;"")*ISNUMBER(SEARCH($D$4,DB!G$2:G$2576)))*(($D$5="")+($D$5&lt;&gt;"")*(DB!B$2:B$2576=$D$5))*(($D$6="")+($D$6&lt;&gt;"")*(DB!C$2:C$2576=$D$6))*(($D$7="")+($D$7&lt;&gt;"")*(DB!D$2:D$2576=$D$7))*(($F$4="전체")+($F$4&lt;&gt;"전체")*(DB!H$2:H$2576=$F$4)))),ROW()-16)-1,"")</f>
        <v>783</v>
      </c>
      <c r="U51" s="104" t="str" cm="1">
        <f t="array" ref="U51">IFERROR(INDEX(DB!B$2:B$2576,T51),"")</f>
        <v>3. 철골공사</v>
      </c>
      <c r="V51" s="105" t="str" cm="1">
        <f t="array" ref="V51">IFERROR(INDEX(DB!O$2:O$2576,T51),"")</f>
        <v>떨어짐</v>
      </c>
      <c r="W51" s="106">
        <f t="shared" si="1"/>
        <v>10087.035</v>
      </c>
      <c r="X51" s="149">
        <f t="shared" si="2"/>
        <v>782</v>
      </c>
      <c r="AB51" s="138" t="str" cm="1">
        <f t="array" ref="AB51">IFERROR(INDEX(AI$17:AI$66,_xlfn.AGGREGATE(15,6,ROW(AI$17:AI$66)-ROW(AI$17)+1/(AJ$17:AJ$66=LARGE(AJ$17:AJ$66,35)),COUNTIF(AC$17:AC50,LARGE(AJ$17:AJ$66,35))+1)),"")</f>
        <v/>
      </c>
      <c r="AC51" s="131" t="str">
        <f>IFERROR(LARGE(AJ$17:AJ$66,35),"")</f>
        <v/>
      </c>
      <c r="AE51" s="130" t="str" cm="1">
        <f t="array" ref="AE51">IFERROR(INDEX(AM$17:AM$66,_xlfn.AGGREGATE(15,6,ROW(AM$17:AM$66)-ROW(AM$17)+1/(AN$17:AN$66=LARGE(AN$17:AN$66,35)),COUNTIF(AF$17:AF50,LARGE(AN$17:AN$66,35))+1)),"")</f>
        <v/>
      </c>
      <c r="AF51" s="136" t="str">
        <f>IFERROR(LARGE(AN$17:AN$66,35),"")</f>
        <v/>
      </c>
      <c r="AH51" s="65" t="str" cm="1">
        <f t="array" ref="AH51">IF(AG51="","",SUMPRODUCT(((($D$4="")+($D$4&lt;&gt;"")*ISNUMBER(SEARCH($D$4,DB!$G$2:$G$2576)))*(($D$3&lt;&gt;"YES")+($D$3="YES")*(DB!$E$2:$E$2576="YES"))*(($F$4="전체")+($F$4&lt;&gt;"전체")*(DB!$H$2:$H$2576=$F$4)))*(DB!$B$2:$B$2576=AG51)*1))</f>
        <v/>
      </c>
      <c r="AI51" s="65" t="str" cm="1">
        <f t="array" ref="AI51">IFERROR(INDEX(DB!$C$2:$C$2576,_xlfn.AGGREGATE(15,6,ROW(DB!$C$2:$C$2576)-1/((($D$4="")+($D$4&lt;&gt;"")*ISNUMBER(SEARCH($D$4,DB!$G$2:$G$2576)))*(($D$3&lt;&gt;"YES")+($D$3="YES")*(DB!$E$2:$E$2576="YES"))*(($D$5="")+($D$5&lt;&gt;"")*(DB!$B$2:$B$2576=$D$5))*(($D$6="")+($D$6&lt;&gt;"")*(DB!$C$2:$C$2576=$D$6))*(($D$7="")+($D$7&lt;&gt;"")*(DB!$D$2:$D$2576=$D$7))*(($F$4="전체")+($F$4&lt;&gt;"전체")*(DB!$H$2:$H$2576=$F$4))*(COUNTIF(AI$17:AI50,DB!$C$2:$C$2576)=0)),1)),"")</f>
        <v/>
      </c>
      <c r="AJ51" s="65" t="str" cm="1">
        <f t="array" ref="AJ51">IF(AI51="","",SUMPRODUCT(((($D$4="")+($D$4&lt;&gt;"")*ISNUMBER(SEARCH($D$4,DB!$G$2:$G$2576)))*(($D$3&lt;&gt;"YES")+($D$3="YES")*(DB!$E$2:$E$2576="YES"))*(($D$5="")+($D$5&lt;&gt;"")*(DB!$B$2:$B$2576=$D$5))*(($D$6="")+($D$6&lt;&gt;"")*(DB!$C$2:$C$2576=$D$6))*(($D$7="")+($D$7&lt;&gt;"")*(DB!$D$2:$D$2576=$D$7))*(($F$4="전체")+($F$4&lt;&gt;"전체")*(DB!$H$2:$H$2576=$F$4)))*(DB!$C$2:$C$2576=AI51)*1))</f>
        <v/>
      </c>
      <c r="AK51" s="65" t="str" cm="1">
        <f t="array" ref="AK51">IFERROR(INDEX(DB!$D$2:$D$2576,_xlfn.AGGREGATE(15,6,ROW(DB!$D$2:$D$2576)-1/((($D$4="")+($D$4&lt;&gt;"")*ISNUMBER(SEARCH($D$4,DB!$G$2:$G$2576)))*(($D$3&lt;&gt;"YES")+($D$3="YES")*(DB!$E$2:$E$2576="YES"))*(($F$4="전체")+($F$4&lt;&gt;"전체")*(DB!$H$2:$H$2576=$F$4))*(COUNTIF(AK$16:AK50,DB!$D$2:$D$2576)=0)),35)),"")</f>
        <v/>
      </c>
      <c r="AL51" s="65" t="str" cm="1">
        <f t="array" ref="AL51">IF(AK51="","",SUMPRODUCT(((($D$4="")+($D$4&lt;&gt;"")*ISNUMBER(SEARCH($D$4,DB!$G$2:$G$2576)))*(($D$3&lt;&gt;"YES")+($D$3="YES")*(DB!$E$2:$E$2576="YES"))*(($F$4="전체")+($F$4&lt;&gt;"전체")*(DB!$H$2:$H$2576=$F$4)))*(DB!$D$2:$D$2576=AK51)*1))</f>
        <v/>
      </c>
      <c r="AM51" s="65" t="str" cm="1">
        <f t="array" ref="AM51">IFERROR(INDEX(DB!$O$2:$O$2576,_xlfn.AGGREGATE(15,6,ROW(DB!$O$2:$O$2576)-1/((($D$4="")+($D$4&lt;&gt;"")*ISNUMBER(SEARCH($D$4,DB!$G$2:$G$2576)))*(($D$3&lt;&gt;"YES")+($D$3="YES")*(DB!$E$2:$E$2576="YES"))*(($D$5="")+($D$5&lt;&gt;"")*(DB!$B$2:$B$2576=$D$5))*(($D$6="")+($D$6&lt;&gt;"")*(DB!$C$2:$C$2576=$D$6))*(($D$7="")+($D$7&lt;&gt;"")*(DB!$D$2:$D$2576=$D$7))*(($F$4="전체")+($F$4&lt;&gt;"전체")*(DB!$H$2:$H$2576=$F$4))*(COUNTIF(AM$17:AM50,DB!$O$2:$O$2576)=0)),1)),"")</f>
        <v/>
      </c>
      <c r="AN51" s="65" t="str" cm="1">
        <f t="array" ref="AN51">IF(AM51="","",SUMPRODUCT(((($D$4="")+($D$4&lt;&gt;"")*ISNUMBER(SEARCH($D$4,DB!$G$2:$G$2576)))*(($D$3&lt;&gt;"YES")+($D$3="YES")*(DB!$E$2:$E$2576="YES"))*(($D$5="")+($D$5&lt;&gt;"")*(DB!$B$2:$B$2576=$D$5))*(($D$6="")+($D$6&lt;&gt;"")*(DB!$C$2:$C$2576=$D$6))*(($D$7="")+($D$7&lt;&gt;"")*(DB!$D$2:$D$2576=$D$7))*(($F$4="전체")+($F$4&lt;&gt;"전체")*(DB!$H$2:$H$2576=$F$4)))*(DB!$O$2:$O$2576=AM51)*1))</f>
        <v/>
      </c>
      <c r="AY51" t="s">
        <v>1533</v>
      </c>
      <c r="AZ51">
        <v>34</v>
      </c>
      <c r="BA51">
        <v>24</v>
      </c>
      <c r="BB51" s="11">
        <v>9.324009324009324E-3</v>
      </c>
    </row>
    <row r="52" spans="1:54" ht="90" customHeight="1">
      <c r="A52" s="26"/>
      <c r="B52" s="73">
        <f t="shared" si="0"/>
        <v>36</v>
      </c>
      <c r="C52" s="74"/>
      <c r="D52" s="96" t="str" cm="1">
        <f t="array" ref="D52">IFERROR(INDEX(DB!B$2:B$2576,X52),"")</f>
        <v>3. 철골공사</v>
      </c>
      <c r="E52" s="107"/>
      <c r="F52" s="97" t="str" cm="1">
        <f t="array" ref="F52">IFERROR(INDEX(DB!C$2:C$2576,X52),"")</f>
        <v>3.1 철골 작업</v>
      </c>
      <c r="G52" s="108"/>
      <c r="H52" s="98" t="str" cm="1">
        <f t="array" ref="H52">IFERROR(INDEX(DB!D$2:D$2576,X52),"")</f>
        <v>3.1.2 철골 부재 인양, 조립</v>
      </c>
      <c r="I52" s="109"/>
      <c r="J52" s="99" t="str" cm="1">
        <f t="array" ref="J52">IFERROR(INDEX(DB!O$2:O$2576,X52),"")</f>
        <v>떨어짐</v>
      </c>
      <c r="K52" s="110"/>
      <c r="L52" s="75" t="str" cm="1">
        <f t="array" ref="L52">IFERROR(INDEX(DB!P$2:P$2576,X52),"")</f>
        <v>2016년 11월경 OO에서 시공하는 OO고등학교 신축공사 현장에서 협력업체인 ㈜OO 소속 재해자(철골공)가 다목적강당 무대준비실 콘크리트 벽체에 임시로 올려놓은 철골빔 플랜지 위에서 인양용 샤클을 해체하던 중 몸의 중심을 잃고 실족하여 다목적강당 바닥으로 떨어져(높이 약 10.9m) 사망</v>
      </c>
      <c r="M52" s="76" t="str" cm="1">
        <f t="array" ref="M52">IFERROR(INDEX(DB!Q$2:Q$2576,X52),"")</f>
        <v>추락방호조치가 되어 있지 않은 철골 구조물 상부에서 작업 중 근로자 추락</v>
      </c>
      <c r="N52" s="77"/>
      <c r="O52" s="78" t="str" cm="1">
        <f t="array" ref="O52">IFERROR(INDEX(DB!R$2:R$2576,X52),"")</f>
        <v>▶ 추락방지망 설치 등의 안전방호조치 실시
▶ 안전방호조치가 현장 여건 상 어려울 경우, 별도의 안전대 부착설비를 설치
▶ 작업자의 개인보호구 착용여부 관리감독</v>
      </c>
      <c r="P52" s="101"/>
      <c r="Q52" s="102"/>
      <c r="R52" s="103"/>
      <c r="S52" s="43"/>
      <c r="T52" s="66" cm="1">
        <f t="array" ref="T52">IFERROR(_xlfn.AGGREGATE(15,6,ROW(DB!A$2:A$2576)/(((($D$3&lt;&gt;"YES")+($D$3="YES")*(DB!E$2:E$2576="YES"))*(($D$4="")+($D$4&lt;&gt;"")*ISNUMBER(SEARCH($D$4,DB!G$2:G$2576)))*(($D$5="")+($D$5&lt;&gt;"")*(DB!B$2:B$2576=$D$5))*(($D$6="")+($D$6&lt;&gt;"")*(DB!C$2:C$2576=$D$6))*(($D$7="")+($D$7&lt;&gt;"")*(DB!D$2:D$2576=$D$7))*(($F$4="전체")+($F$4&lt;&gt;"전체")*(DB!H$2:H$2576=$F$4)))),ROW()-16)-1,"")</f>
        <v>784</v>
      </c>
      <c r="U52" s="104" t="str" cm="1">
        <f t="array" ref="U52">IFERROR(INDEX(DB!B$2:B$2576,T52),"")</f>
        <v>3. 철골공사</v>
      </c>
      <c r="V52" s="105" t="str" cm="1">
        <f t="array" ref="V52">IFERROR(INDEX(DB!O$2:O$2576,T52),"")</f>
        <v>떨어짐</v>
      </c>
      <c r="W52" s="106">
        <f t="shared" si="1"/>
        <v>10087.036</v>
      </c>
      <c r="X52" s="149">
        <f t="shared" si="2"/>
        <v>783</v>
      </c>
      <c r="AB52" s="138" t="str" cm="1">
        <f t="array" ref="AB52">IFERROR(INDEX(AI$17:AI$66,_xlfn.AGGREGATE(15,6,ROW(AI$17:AI$66)-ROW(AI$17)+1/(AJ$17:AJ$66=LARGE(AJ$17:AJ$66,36)),COUNTIF(AC$17:AC51,LARGE(AJ$17:AJ$66,36))+1)),"")</f>
        <v/>
      </c>
      <c r="AC52" s="131" t="str">
        <f>IFERROR(LARGE(AJ$17:AJ$66,36),"")</f>
        <v/>
      </c>
      <c r="AE52" s="130" t="str" cm="1">
        <f t="array" ref="AE52">IFERROR(INDEX(AM$17:AM$66,_xlfn.AGGREGATE(15,6,ROW(AM$17:AM$66)-ROW(AM$17)+1/(AN$17:AN$66=LARGE(AN$17:AN$66,36)),COUNTIF(AF$17:AF51,LARGE(AN$17:AN$66,36))+1)),"")</f>
        <v/>
      </c>
      <c r="AF52" s="136" t="str">
        <f>IFERROR(LARGE(AN$17:AN$66,36),"")</f>
        <v/>
      </c>
      <c r="AH52" s="65" t="str" cm="1">
        <f t="array" ref="AH52">IF(AG52="","",SUMPRODUCT(((($D$4="")+($D$4&lt;&gt;"")*ISNUMBER(SEARCH($D$4,DB!$G$2:$G$2576)))*(($D$3&lt;&gt;"YES")+($D$3="YES")*(DB!$E$2:$E$2576="YES"))*(($F$4="전체")+($F$4&lt;&gt;"전체")*(DB!$H$2:$H$2576=$F$4)))*(DB!$B$2:$B$2576=AG52)*1))</f>
        <v/>
      </c>
      <c r="AI52" s="65" t="str" cm="1">
        <f t="array" ref="AI52">IFERROR(INDEX(DB!$C$2:$C$2576,_xlfn.AGGREGATE(15,6,ROW(DB!$C$2:$C$2576)-1/((($D$4="")+($D$4&lt;&gt;"")*ISNUMBER(SEARCH($D$4,DB!$G$2:$G$2576)))*(($D$3&lt;&gt;"YES")+($D$3="YES")*(DB!$E$2:$E$2576="YES"))*(($D$5="")+($D$5&lt;&gt;"")*(DB!$B$2:$B$2576=$D$5))*(($D$6="")+($D$6&lt;&gt;"")*(DB!$C$2:$C$2576=$D$6))*(($D$7="")+($D$7&lt;&gt;"")*(DB!$D$2:$D$2576=$D$7))*(($F$4="전체")+($F$4&lt;&gt;"전체")*(DB!$H$2:$H$2576=$F$4))*(COUNTIF(AI$17:AI51,DB!$C$2:$C$2576)=0)),1)),"")</f>
        <v/>
      </c>
      <c r="AJ52" s="65" t="str" cm="1">
        <f t="array" ref="AJ52">IF(AI52="","",SUMPRODUCT(((($D$4="")+($D$4&lt;&gt;"")*ISNUMBER(SEARCH($D$4,DB!$G$2:$G$2576)))*(($D$3&lt;&gt;"YES")+($D$3="YES")*(DB!$E$2:$E$2576="YES"))*(($D$5="")+($D$5&lt;&gt;"")*(DB!$B$2:$B$2576=$D$5))*(($D$6="")+($D$6&lt;&gt;"")*(DB!$C$2:$C$2576=$D$6))*(($D$7="")+($D$7&lt;&gt;"")*(DB!$D$2:$D$2576=$D$7))*(($F$4="전체")+($F$4&lt;&gt;"전체")*(DB!$H$2:$H$2576=$F$4)))*(DB!$C$2:$C$2576=AI52)*1))</f>
        <v/>
      </c>
      <c r="AK52" s="65" t="str" cm="1">
        <f t="array" ref="AK52">IFERROR(INDEX(DB!$D$2:$D$2576,_xlfn.AGGREGATE(15,6,ROW(DB!$D$2:$D$2576)-1/((($D$4="")+($D$4&lt;&gt;"")*ISNUMBER(SEARCH($D$4,DB!$G$2:$G$2576)))*(($D$3&lt;&gt;"YES")+($D$3="YES")*(DB!$E$2:$E$2576="YES"))*(($F$4="전체")+($F$4&lt;&gt;"전체")*(DB!$H$2:$H$2576=$F$4))*(COUNTIF(AK$16:AK51,DB!$D$2:$D$2576)=0)),36)),"")</f>
        <v/>
      </c>
      <c r="AL52" s="65" t="str" cm="1">
        <f t="array" ref="AL52">IF(AK52="","",SUMPRODUCT(((($D$4="")+($D$4&lt;&gt;"")*ISNUMBER(SEARCH($D$4,DB!$G$2:$G$2576)))*(($D$3&lt;&gt;"YES")+($D$3="YES")*(DB!$E$2:$E$2576="YES"))*(($F$4="전체")+($F$4&lt;&gt;"전체")*(DB!$H$2:$H$2576=$F$4)))*(DB!$D$2:$D$2576=AK52)*1))</f>
        <v/>
      </c>
      <c r="AM52" s="65" t="str" cm="1">
        <f t="array" ref="AM52">IFERROR(INDEX(DB!$O$2:$O$2576,_xlfn.AGGREGATE(15,6,ROW(DB!$O$2:$O$2576)-1/((($D$4="")+($D$4&lt;&gt;"")*ISNUMBER(SEARCH($D$4,DB!$G$2:$G$2576)))*(($D$3&lt;&gt;"YES")+($D$3="YES")*(DB!$E$2:$E$2576="YES"))*(($D$5="")+($D$5&lt;&gt;"")*(DB!$B$2:$B$2576=$D$5))*(($D$6="")+($D$6&lt;&gt;"")*(DB!$C$2:$C$2576=$D$6))*(($D$7="")+($D$7&lt;&gt;"")*(DB!$D$2:$D$2576=$D$7))*(($F$4="전체")+($F$4&lt;&gt;"전체")*(DB!$H$2:$H$2576=$F$4))*(COUNTIF(AM$17:AM51,DB!$O$2:$O$2576)=0)),1)),"")</f>
        <v/>
      </c>
      <c r="AN52" s="65" t="str" cm="1">
        <f t="array" ref="AN52">IF(AM52="","",SUMPRODUCT(((($D$4="")+($D$4&lt;&gt;"")*ISNUMBER(SEARCH($D$4,DB!$G$2:$G$2576)))*(($D$3&lt;&gt;"YES")+($D$3="YES")*(DB!$E$2:$E$2576="YES"))*(($D$5="")+($D$5&lt;&gt;"")*(DB!$B$2:$B$2576=$D$5))*(($D$6="")+($D$6&lt;&gt;"")*(DB!$C$2:$C$2576=$D$6))*(($D$7="")+($D$7&lt;&gt;"")*(DB!$D$2:$D$2576=$D$7))*(($F$4="전체")+($F$4&lt;&gt;"전체")*(DB!$H$2:$H$2576=$F$4)))*(DB!$O$2:$O$2576=AM52)*1))</f>
        <v/>
      </c>
      <c r="AY52" t="s">
        <v>905</v>
      </c>
      <c r="AZ52">
        <v>35</v>
      </c>
      <c r="BA52">
        <v>23</v>
      </c>
      <c r="BB52" s="11">
        <v>8.9355089355089359E-3</v>
      </c>
    </row>
    <row r="53" spans="1:54" ht="90" customHeight="1">
      <c r="A53" s="79"/>
      <c r="B53" s="73">
        <f t="shared" si="0"/>
        <v>37</v>
      </c>
      <c r="C53" s="74"/>
      <c r="D53" s="96" t="str" cm="1">
        <f t="array" ref="D53">IFERROR(INDEX(DB!B$2:B$2576,X53),"")</f>
        <v>3. 철골공사</v>
      </c>
      <c r="E53" s="107"/>
      <c r="F53" s="97" t="str" cm="1">
        <f t="array" ref="F53">IFERROR(INDEX(DB!C$2:C$2576,X53),"")</f>
        <v>3.1 철골 작업</v>
      </c>
      <c r="G53" s="108"/>
      <c r="H53" s="98" t="str" cm="1">
        <f t="array" ref="H53">IFERROR(INDEX(DB!D$2:D$2576,X53),"")</f>
        <v>3.1.2 철골 부재 인양, 조립</v>
      </c>
      <c r="I53" s="109"/>
      <c r="J53" s="99" t="str" cm="1">
        <f t="array" ref="J53">IFERROR(INDEX(DB!O$2:O$2576,X53),"")</f>
        <v>떨어짐</v>
      </c>
      <c r="K53" s="110"/>
      <c r="L53" s="75" t="str" cm="1">
        <f t="array" ref="L53">IFERROR(INDEX(DB!P$2:P$2576,X53),"")</f>
        <v>2016년 11월경 154kv OO변전소 토건공사 현장에서 재해자(철골공)가 지상3층 풍도실 철골 브레이싱 조립 작업 중 실족하여 약 12m 아래 지상1층 바닥으로 추락하여 사망</v>
      </c>
      <c r="M53" s="76" t="str" cm="1">
        <f t="array" ref="M53">IFERROR(INDEX(DB!Q$2:Q$2576,X53),"")</f>
        <v>풍도실 철골 브레이싱 조립 작업 중 안전대 미착용한 근로자가 실족하여 추락</v>
      </c>
      <c r="N53" s="77"/>
      <c r="O53" s="78" t="str" cm="1">
        <f t="array" ref="O53">IFERROR(INDEX(DB!R$2:R$2576,X53),"")</f>
        <v xml:space="preserve">▶ 철골 구조물 위에서 작업 할 경우 안전대를 걸어 사용할 수 있는 안전대 부착설비 설치
▶ 관리 감독자 업무 수행 철저 </v>
      </c>
      <c r="P53" s="101"/>
      <c r="Q53" s="102"/>
      <c r="R53" s="103"/>
      <c r="S53" s="43"/>
      <c r="T53" s="66" cm="1">
        <f t="array" ref="T53">IFERROR(_xlfn.AGGREGATE(15,6,ROW(DB!A$2:A$2576)/(((($D$3&lt;&gt;"YES")+($D$3="YES")*(DB!E$2:E$2576="YES"))*(($D$4="")+($D$4&lt;&gt;"")*ISNUMBER(SEARCH($D$4,DB!G$2:G$2576)))*(($D$5="")+($D$5&lt;&gt;"")*(DB!B$2:B$2576=$D$5))*(($D$6="")+($D$6&lt;&gt;"")*(DB!C$2:C$2576=$D$6))*(($D$7="")+($D$7&lt;&gt;"")*(DB!D$2:D$2576=$D$7))*(($F$4="전체")+($F$4&lt;&gt;"전체")*(DB!H$2:H$2576=$F$4)))),ROW()-16)-1,"")</f>
        <v>785</v>
      </c>
      <c r="U53" s="104" t="str" cm="1">
        <f t="array" ref="U53">IFERROR(INDEX(DB!B$2:B$2576,T53),"")</f>
        <v>3. 철골공사</v>
      </c>
      <c r="V53" s="105" t="str" cm="1">
        <f t="array" ref="V53">IFERROR(INDEX(DB!O$2:O$2576,T53),"")</f>
        <v>넘어짐</v>
      </c>
      <c r="W53" s="106">
        <f t="shared" si="1"/>
        <v>10086.037</v>
      </c>
      <c r="X53" s="149">
        <f t="shared" si="2"/>
        <v>784</v>
      </c>
      <c r="AB53" s="138" t="str" cm="1">
        <f t="array" ref="AB53">IFERROR(INDEX(AI$17:AI$66,_xlfn.AGGREGATE(15,6,ROW(AI$17:AI$66)-ROW(AI$17)+1/(AJ$17:AJ$66=LARGE(AJ$17:AJ$66,37)),COUNTIF(AC$17:AC52,LARGE(AJ$17:AJ$66,37))+1)),"")</f>
        <v/>
      </c>
      <c r="AC53" s="131" t="str">
        <f>IFERROR(LARGE(AJ$17:AJ$66,37),"")</f>
        <v/>
      </c>
      <c r="AE53" s="130" t="str" cm="1">
        <f t="array" ref="AE53">IFERROR(INDEX(AM$17:AM$66,_xlfn.AGGREGATE(15,6,ROW(AM$17:AM$66)-ROW(AM$17)+1/(AN$17:AN$66=LARGE(AN$17:AN$66,37)),COUNTIF(AF$17:AF52,LARGE(AN$17:AN$66,37))+1)),"")</f>
        <v/>
      </c>
      <c r="AF53" s="136" t="str">
        <f>IFERROR(LARGE(AN$17:AN$66,37),"")</f>
        <v/>
      </c>
      <c r="AH53" s="65" t="str" cm="1">
        <f t="array" ref="AH53">IF(AG53="","",SUMPRODUCT(((($D$4="")+($D$4&lt;&gt;"")*ISNUMBER(SEARCH($D$4,DB!$G$2:$G$2576)))*(($D$3&lt;&gt;"YES")+($D$3="YES")*(DB!$E$2:$E$2576="YES"))*(($F$4="전체")+($F$4&lt;&gt;"전체")*(DB!$H$2:$H$2576=$F$4)))*(DB!$B$2:$B$2576=AG53)*1))</f>
        <v/>
      </c>
      <c r="AI53" s="65" t="str" cm="1">
        <f t="array" ref="AI53">IFERROR(INDEX(DB!$C$2:$C$2576,_xlfn.AGGREGATE(15,6,ROW(DB!$C$2:$C$2576)-1/((($D$4="")+($D$4&lt;&gt;"")*ISNUMBER(SEARCH($D$4,DB!$G$2:$G$2576)))*(($D$3&lt;&gt;"YES")+($D$3="YES")*(DB!$E$2:$E$2576="YES"))*(($D$5="")+($D$5&lt;&gt;"")*(DB!$B$2:$B$2576=$D$5))*(($D$6="")+($D$6&lt;&gt;"")*(DB!$C$2:$C$2576=$D$6))*(($D$7="")+($D$7&lt;&gt;"")*(DB!$D$2:$D$2576=$D$7))*(($F$4="전체")+($F$4&lt;&gt;"전체")*(DB!$H$2:$H$2576=$F$4))*(COUNTIF(AI$17:AI52,DB!$C$2:$C$2576)=0)),1)),"")</f>
        <v/>
      </c>
      <c r="AJ53" s="65" t="str" cm="1">
        <f t="array" ref="AJ53">IF(AI53="","",SUMPRODUCT(((($D$4="")+($D$4&lt;&gt;"")*ISNUMBER(SEARCH($D$4,DB!$G$2:$G$2576)))*(($D$3&lt;&gt;"YES")+($D$3="YES")*(DB!$E$2:$E$2576="YES"))*(($D$5="")+($D$5&lt;&gt;"")*(DB!$B$2:$B$2576=$D$5))*(($D$6="")+($D$6&lt;&gt;"")*(DB!$C$2:$C$2576=$D$6))*(($D$7="")+($D$7&lt;&gt;"")*(DB!$D$2:$D$2576=$D$7))*(($F$4="전체")+($F$4&lt;&gt;"전체")*(DB!$H$2:$H$2576=$F$4)))*(DB!$C$2:$C$2576=AI53)*1))</f>
        <v/>
      </c>
      <c r="AK53" s="65" t="str" cm="1">
        <f t="array" ref="AK53">IFERROR(INDEX(DB!$D$2:$D$2576,_xlfn.AGGREGATE(15,6,ROW(DB!$D$2:$D$2576)-1/((($D$4="")+($D$4&lt;&gt;"")*ISNUMBER(SEARCH($D$4,DB!$G$2:$G$2576)))*(($D$3&lt;&gt;"YES")+($D$3="YES")*(DB!$E$2:$E$2576="YES"))*(($F$4="전체")+($F$4&lt;&gt;"전체")*(DB!$H$2:$H$2576=$F$4))*(COUNTIF(AK$16:AK52,DB!$D$2:$D$2576)=0)),37)),"")</f>
        <v/>
      </c>
      <c r="AL53" s="65" t="str" cm="1">
        <f t="array" ref="AL53">IF(AK53="","",SUMPRODUCT(((($D$4="")+($D$4&lt;&gt;"")*ISNUMBER(SEARCH($D$4,DB!$G$2:$G$2576)))*(($D$3&lt;&gt;"YES")+($D$3="YES")*(DB!$E$2:$E$2576="YES"))*(($F$4="전체")+($F$4&lt;&gt;"전체")*(DB!$H$2:$H$2576=$F$4)))*(DB!$D$2:$D$2576=AK53)*1))</f>
        <v/>
      </c>
      <c r="AM53" s="65" t="str" cm="1">
        <f t="array" ref="AM53">IFERROR(INDEX(DB!$O$2:$O$2576,_xlfn.AGGREGATE(15,6,ROW(DB!$O$2:$O$2576)-1/((($D$4="")+($D$4&lt;&gt;"")*ISNUMBER(SEARCH($D$4,DB!$G$2:$G$2576)))*(($D$3&lt;&gt;"YES")+($D$3="YES")*(DB!$E$2:$E$2576="YES"))*(($D$5="")+($D$5&lt;&gt;"")*(DB!$B$2:$B$2576=$D$5))*(($D$6="")+($D$6&lt;&gt;"")*(DB!$C$2:$C$2576=$D$6))*(($D$7="")+($D$7&lt;&gt;"")*(DB!$D$2:$D$2576=$D$7))*(($F$4="전체")+($F$4&lt;&gt;"전체")*(DB!$H$2:$H$2576=$F$4))*(COUNTIF(AM$17:AM52,DB!$O$2:$O$2576)=0)),1)),"")</f>
        <v/>
      </c>
      <c r="AN53" s="65" t="str" cm="1">
        <f t="array" ref="AN53">IF(AM53="","",SUMPRODUCT(((($D$4="")+($D$4&lt;&gt;"")*ISNUMBER(SEARCH($D$4,DB!$G$2:$G$2576)))*(($D$3&lt;&gt;"YES")+($D$3="YES")*(DB!$E$2:$E$2576="YES"))*(($D$5="")+($D$5&lt;&gt;"")*(DB!$B$2:$B$2576=$D$5))*(($D$6="")+($D$6&lt;&gt;"")*(DB!$C$2:$C$2576=$D$6))*(($D$7="")+($D$7&lt;&gt;"")*(DB!$D$2:$D$2576=$D$7))*(($F$4="전체")+($F$4&lt;&gt;"전체")*(DB!$H$2:$H$2576=$F$4)))*(DB!$O$2:$O$2576=AM53)*1))</f>
        <v/>
      </c>
      <c r="AY53" t="s">
        <v>580</v>
      </c>
      <c r="AZ53">
        <v>36</v>
      </c>
      <c r="BA53">
        <v>22</v>
      </c>
      <c r="BB53" s="11">
        <v>8.5470085470085479E-3</v>
      </c>
    </row>
    <row r="54" spans="1:54" ht="90" customHeight="1">
      <c r="A54" s="26"/>
      <c r="B54" s="73">
        <f t="shared" si="0"/>
        <v>38</v>
      </c>
      <c r="C54" s="74"/>
      <c r="D54" s="96" t="str" cm="1">
        <f t="array" ref="D54">IFERROR(INDEX(DB!B$2:B$2576,X54),"")</f>
        <v>3. 철골공사</v>
      </c>
      <c r="E54" s="107"/>
      <c r="F54" s="97" t="str" cm="1">
        <f t="array" ref="F54">IFERROR(INDEX(DB!C$2:C$2576,X54),"")</f>
        <v>3.1 철골 작업</v>
      </c>
      <c r="G54" s="108"/>
      <c r="H54" s="98" t="str" cm="1">
        <f t="array" ref="H54">IFERROR(INDEX(DB!D$2:D$2576,X54),"")</f>
        <v>3.1.2 철골 부재 인양, 조립</v>
      </c>
      <c r="I54" s="109"/>
      <c r="J54" s="99" t="str" cm="1">
        <f t="array" ref="J54">IFERROR(INDEX(DB!O$2:O$2576,X54),"")</f>
        <v>떨어짐</v>
      </c>
      <c r="K54" s="110"/>
      <c r="L54" s="75" t="str" cm="1">
        <f t="array" ref="L54">IFERROR(INDEX(DB!P$2:P$2576,X54),"")</f>
        <v>2016년 12월경 OO건설(주)에서 시공하는 OO공장 신축공사 현장에서 재해자(철골공)가 공장 지붕철골 위로 올라가서 지붕 철골위에 적재되어있는 지붕자재(C형강 묶음)를 이동식 크레인(25톤)에 줄걸이 해준 후 다음 작업장소로 이동 중, 철골하부 콘크리트 바닥으로 떨어져(H≒9.0m) 사망</v>
      </c>
      <c r="M54" s="76" t="str" cm="1">
        <f t="array" ref="M54">IFERROR(INDEX(DB!Q$2:Q$2576,X54),"")</f>
        <v>철골 구조물 하부에 안전방망을 설치하지 않은 현장에서 안전대를 체결하지 않고 철골 상부에서 이동하다 근로자가 몸의 중심을 잃고 추락</v>
      </c>
      <c r="N54" s="77"/>
      <c r="O54" s="78" t="str" cm="1">
        <f t="array" ref="O54">IFERROR(INDEX(DB!R$2:R$2576,X54),"")</f>
        <v>▶ 철골 보 상부에서 이동시 추락방지를 위해 안전대 부착설비 설치 및 안전대 착용
▶ 승강용 사다리를 이용하여 이동할 경우 추락방지를 위해 안전대 체결
▶ 이동식크레인의 붐대 간섭 등 추락방망 설치가 곤란할 경우 철골 조립작업 전 지상애서 안전대 부착설비 설치 후 인양하여 조립 후 상부에서 안전대 체결하여 작업</v>
      </c>
      <c r="P54" s="101"/>
      <c r="Q54" s="102"/>
      <c r="R54" s="103"/>
      <c r="S54" s="43"/>
      <c r="T54" s="66" cm="1">
        <f t="array" ref="T54">IFERROR(_xlfn.AGGREGATE(15,6,ROW(DB!A$2:A$2576)/(((($D$3&lt;&gt;"YES")+($D$3="YES")*(DB!E$2:E$2576="YES"))*(($D$4="")+($D$4&lt;&gt;"")*ISNUMBER(SEARCH($D$4,DB!G$2:G$2576)))*(($D$5="")+($D$5&lt;&gt;"")*(DB!B$2:B$2576=$D$5))*(($D$6="")+($D$6&lt;&gt;"")*(DB!C$2:C$2576=$D$6))*(($D$7="")+($D$7&lt;&gt;"")*(DB!D$2:D$2576=$D$7))*(($F$4="전체")+($F$4&lt;&gt;"전체")*(DB!H$2:H$2576=$F$4)))),ROW()-16)-1,"")</f>
        <v>786</v>
      </c>
      <c r="U54" s="104" t="str" cm="1">
        <f t="array" ref="U54">IFERROR(INDEX(DB!B$2:B$2576,T54),"")</f>
        <v>3. 철골공사</v>
      </c>
      <c r="V54" s="105" t="str" cm="1">
        <f t="array" ref="V54">IFERROR(INDEX(DB!O$2:O$2576,T54),"")</f>
        <v>떨어짐</v>
      </c>
      <c r="W54" s="106">
        <f t="shared" si="1"/>
        <v>10087.038</v>
      </c>
      <c r="X54" s="149">
        <f t="shared" si="2"/>
        <v>786</v>
      </c>
      <c r="AB54" s="138" t="str" cm="1">
        <f t="array" ref="AB54">IFERROR(INDEX(AI$17:AI$66,_xlfn.AGGREGATE(15,6,ROW(AI$17:AI$66)-ROW(AI$17)+1/(AJ$17:AJ$66=LARGE(AJ$17:AJ$66,38)),COUNTIF(AC$17:AC53,LARGE(AJ$17:AJ$66,38))+1)),"")</f>
        <v/>
      </c>
      <c r="AC54" s="131" t="str">
        <f>IFERROR(LARGE(AJ$17:AJ$66,38),"")</f>
        <v/>
      </c>
      <c r="AE54" s="130" t="str" cm="1">
        <f t="array" ref="AE54">IFERROR(INDEX(AM$17:AM$66,_xlfn.AGGREGATE(15,6,ROW(AM$17:AM$66)-ROW(AM$17)+1/(AN$17:AN$66=LARGE(AN$17:AN$66,38)),COUNTIF(AF$17:AF53,LARGE(AN$17:AN$66,38))+1)),"")</f>
        <v/>
      </c>
      <c r="AF54" s="136" t="str">
        <f>IFERROR(LARGE(AN$17:AN$66,38),"")</f>
        <v/>
      </c>
      <c r="AH54" s="65" t="str" cm="1">
        <f t="array" ref="AH54">IF(AG54="","",SUMPRODUCT(((($D$4="")+($D$4&lt;&gt;"")*ISNUMBER(SEARCH($D$4,DB!$G$2:$G$2576)))*(($D$3&lt;&gt;"YES")+($D$3="YES")*(DB!$E$2:$E$2576="YES"))*(($F$4="전체")+($F$4&lt;&gt;"전체")*(DB!$H$2:$H$2576=$F$4)))*(DB!$B$2:$B$2576=AG54)*1))</f>
        <v/>
      </c>
      <c r="AI54" s="65" t="str" cm="1">
        <f t="array" ref="AI54">IFERROR(INDEX(DB!$C$2:$C$2576,_xlfn.AGGREGATE(15,6,ROW(DB!$C$2:$C$2576)-1/((($D$4="")+($D$4&lt;&gt;"")*ISNUMBER(SEARCH($D$4,DB!$G$2:$G$2576)))*(($D$3&lt;&gt;"YES")+($D$3="YES")*(DB!$E$2:$E$2576="YES"))*(($D$5="")+($D$5&lt;&gt;"")*(DB!$B$2:$B$2576=$D$5))*(($D$6="")+($D$6&lt;&gt;"")*(DB!$C$2:$C$2576=$D$6))*(($D$7="")+($D$7&lt;&gt;"")*(DB!$D$2:$D$2576=$D$7))*(($F$4="전체")+($F$4&lt;&gt;"전체")*(DB!$H$2:$H$2576=$F$4))*(COUNTIF(AI$17:AI53,DB!$C$2:$C$2576)=0)),1)),"")</f>
        <v/>
      </c>
      <c r="AJ54" s="65" t="str" cm="1">
        <f t="array" ref="AJ54">IF(AI54="","",SUMPRODUCT(((($D$4="")+($D$4&lt;&gt;"")*ISNUMBER(SEARCH($D$4,DB!$G$2:$G$2576)))*(($D$3&lt;&gt;"YES")+($D$3="YES")*(DB!$E$2:$E$2576="YES"))*(($D$5="")+($D$5&lt;&gt;"")*(DB!$B$2:$B$2576=$D$5))*(($D$6="")+($D$6&lt;&gt;"")*(DB!$C$2:$C$2576=$D$6))*(($D$7="")+($D$7&lt;&gt;"")*(DB!$D$2:$D$2576=$D$7))*(($F$4="전체")+($F$4&lt;&gt;"전체")*(DB!$H$2:$H$2576=$F$4)))*(DB!$C$2:$C$2576=AI54)*1))</f>
        <v/>
      </c>
      <c r="AK54" s="65" t="str" cm="1">
        <f t="array" ref="AK54">IFERROR(INDEX(DB!$D$2:$D$2576,_xlfn.AGGREGATE(15,6,ROW(DB!$D$2:$D$2576)-1/((($D$4="")+($D$4&lt;&gt;"")*ISNUMBER(SEARCH($D$4,DB!$G$2:$G$2576)))*(($D$3&lt;&gt;"YES")+($D$3="YES")*(DB!$E$2:$E$2576="YES"))*(($F$4="전체")+($F$4&lt;&gt;"전체")*(DB!$H$2:$H$2576=$F$4))*(COUNTIF(AK$16:AK53,DB!$D$2:$D$2576)=0)),38)),"")</f>
        <v/>
      </c>
      <c r="AL54" s="65" t="str" cm="1">
        <f t="array" ref="AL54">IF(AK54="","",SUMPRODUCT(((($D$4="")+($D$4&lt;&gt;"")*ISNUMBER(SEARCH($D$4,DB!$G$2:$G$2576)))*(($D$3&lt;&gt;"YES")+($D$3="YES")*(DB!$E$2:$E$2576="YES"))*(($F$4="전체")+($F$4&lt;&gt;"전체")*(DB!$H$2:$H$2576=$F$4)))*(DB!$D$2:$D$2576=AK54)*1))</f>
        <v/>
      </c>
      <c r="AM54" s="65" t="str" cm="1">
        <f t="array" ref="AM54">IFERROR(INDEX(DB!$O$2:$O$2576,_xlfn.AGGREGATE(15,6,ROW(DB!$O$2:$O$2576)-1/((($D$4="")+($D$4&lt;&gt;"")*ISNUMBER(SEARCH($D$4,DB!$G$2:$G$2576)))*(($D$3&lt;&gt;"YES")+($D$3="YES")*(DB!$E$2:$E$2576="YES"))*(($D$5="")+($D$5&lt;&gt;"")*(DB!$B$2:$B$2576=$D$5))*(($D$6="")+($D$6&lt;&gt;"")*(DB!$C$2:$C$2576=$D$6))*(($D$7="")+($D$7&lt;&gt;"")*(DB!$D$2:$D$2576=$D$7))*(($F$4="전체")+($F$4&lt;&gt;"전체")*(DB!$H$2:$H$2576=$F$4))*(COUNTIF(AM$17:AM53,DB!$O$2:$O$2576)=0)),1)),"")</f>
        <v/>
      </c>
      <c r="AN54" s="65" t="str" cm="1">
        <f t="array" ref="AN54">IF(AM54="","",SUMPRODUCT(((($D$4="")+($D$4&lt;&gt;"")*ISNUMBER(SEARCH($D$4,DB!$G$2:$G$2576)))*(($D$3&lt;&gt;"YES")+($D$3="YES")*(DB!$E$2:$E$2576="YES"))*(($D$5="")+($D$5&lt;&gt;"")*(DB!$B$2:$B$2576=$D$5))*(($D$6="")+($D$6&lt;&gt;"")*(DB!$C$2:$C$2576=$D$6))*(($D$7="")+($D$7&lt;&gt;"")*(DB!$D$2:$D$2576=$D$7))*(($F$4="전체")+($F$4&lt;&gt;"전체")*(DB!$H$2:$H$2576=$F$4)))*(DB!$O$2:$O$2576=AM54)*1))</f>
        <v/>
      </c>
      <c r="AY54" t="s">
        <v>1163</v>
      </c>
      <c r="AZ54">
        <v>37</v>
      </c>
      <c r="BA54">
        <v>21</v>
      </c>
      <c r="BB54" s="11">
        <v>8.1585081585081581E-3</v>
      </c>
    </row>
    <row r="55" spans="1:54" ht="90" customHeight="1">
      <c r="A55" s="79"/>
      <c r="B55" s="73">
        <f t="shared" si="0"/>
        <v>39</v>
      </c>
      <c r="C55" s="74"/>
      <c r="D55" s="96" t="str" cm="1">
        <f t="array" ref="D55">IFERROR(INDEX(DB!B$2:B$2576,X55),"")</f>
        <v>3. 철골공사</v>
      </c>
      <c r="E55" s="107"/>
      <c r="F55" s="97" t="str" cm="1">
        <f t="array" ref="F55">IFERROR(INDEX(DB!C$2:C$2576,X55),"")</f>
        <v>3.1 철골 작업</v>
      </c>
      <c r="G55" s="108"/>
      <c r="H55" s="98" t="str" cm="1">
        <f t="array" ref="H55">IFERROR(INDEX(DB!D$2:D$2576,X55),"")</f>
        <v>3.1.2 철골 부재 인양, 조립</v>
      </c>
      <c r="I55" s="109"/>
      <c r="J55" s="99" t="str" cm="1">
        <f t="array" ref="J55">IFERROR(INDEX(DB!O$2:O$2576,X55),"")</f>
        <v>떨어짐</v>
      </c>
      <c r="K55" s="110"/>
      <c r="L55" s="75" t="str" cm="1">
        <f t="array" ref="L55">IFERROR(INDEX(DB!P$2:P$2576,X55),"")</f>
        <v>2016년 12월경 ㈜OO 본사 신축공사 현장에서 ㈜OO산업 소속 재해자가 옥탑층(2층 천장) 계단실 철골보(Beam) 위에서, 이동식크레인으로 인양된 철골계단을 계단실 내부로 반입시키기 위해 이동 중 몸의 중심을 잃고 1층 바닥(추락거리 15m)으로 떨어져 사망</v>
      </c>
      <c r="M55" s="76" t="str" cm="1">
        <f t="array" ref="M55">IFERROR(INDEX(DB!Q$2:Q$2576,X55),"")</f>
        <v>추락방호조치가 되어 있지 않은 철골 구조물 상부에서 작업 중 근로자 추락</v>
      </c>
      <c r="N55" s="77"/>
      <c r="O55" s="78" t="str" cm="1">
        <f t="array" ref="O55">IFERROR(INDEX(DB!R$2:R$2576,X55),"")</f>
        <v>▶ 추락방지망 설치 등의 안전방호조치 실시
▶ 안전방호조치가 현장 여건 상 어려울 경우, 별도의 안전대 부착설비를 설치
▶ 작업자의 개인보호구 착용여부 관리감독</v>
      </c>
      <c r="P55" s="101"/>
      <c r="Q55" s="102"/>
      <c r="R55" s="103"/>
      <c r="S55" s="43"/>
      <c r="T55" s="66" cm="1">
        <f t="array" ref="T55">IFERROR(_xlfn.AGGREGATE(15,6,ROW(DB!A$2:A$2576)/(((($D$3&lt;&gt;"YES")+($D$3="YES")*(DB!E$2:E$2576="YES"))*(($D$4="")+($D$4&lt;&gt;"")*ISNUMBER(SEARCH($D$4,DB!G$2:G$2576)))*(($D$5="")+($D$5&lt;&gt;"")*(DB!B$2:B$2576=$D$5))*(($D$6="")+($D$6&lt;&gt;"")*(DB!C$2:C$2576=$D$6))*(($D$7="")+($D$7&lt;&gt;"")*(DB!D$2:D$2576=$D$7))*(($F$4="전체")+($F$4&lt;&gt;"전체")*(DB!H$2:H$2576=$F$4)))),ROW()-16)-1,"")</f>
        <v>787</v>
      </c>
      <c r="U55" s="104" t="str" cm="1">
        <f t="array" ref="U55">IFERROR(INDEX(DB!B$2:B$2576,T55),"")</f>
        <v>3. 철골공사</v>
      </c>
      <c r="V55" s="105" t="str" cm="1">
        <f t="array" ref="V55">IFERROR(INDEX(DB!O$2:O$2576,T55),"")</f>
        <v>떨어짐</v>
      </c>
      <c r="W55" s="106">
        <f t="shared" si="1"/>
        <v>10087.039000000001</v>
      </c>
      <c r="X55" s="149">
        <f t="shared" si="2"/>
        <v>787</v>
      </c>
      <c r="AB55" s="138" t="str" cm="1">
        <f t="array" ref="AB55">IFERROR(INDEX(AI$17:AI$66,_xlfn.AGGREGATE(15,6,ROW(AI$17:AI$66)-ROW(AI$17)+1/(AJ$17:AJ$66=LARGE(AJ$17:AJ$66,39)),COUNTIF(AC$17:AC54,LARGE(AJ$17:AJ$66,39))+1)),"")</f>
        <v/>
      </c>
      <c r="AC55" s="131" t="str">
        <f>IFERROR(LARGE(AJ$17:AJ$66,39),"")</f>
        <v/>
      </c>
      <c r="AE55" s="130" t="str" cm="1">
        <f t="array" ref="AE55">IFERROR(INDEX(AM$17:AM$66,_xlfn.AGGREGATE(15,6,ROW(AM$17:AM$66)-ROW(AM$17)+1/(AN$17:AN$66=LARGE(AN$17:AN$66,39)),COUNTIF(AF$17:AF54,LARGE(AN$17:AN$66,39))+1)),"")</f>
        <v/>
      </c>
      <c r="AF55" s="136" t="str">
        <f>IFERROR(LARGE(AN$17:AN$66,39),"")</f>
        <v/>
      </c>
      <c r="AH55" s="65" t="str" cm="1">
        <f t="array" ref="AH55">IF(AG55="","",SUMPRODUCT(((($D$4="")+($D$4&lt;&gt;"")*ISNUMBER(SEARCH($D$4,DB!$G$2:$G$2576)))*(($D$3&lt;&gt;"YES")+($D$3="YES")*(DB!$E$2:$E$2576="YES"))*(($F$4="전체")+($F$4&lt;&gt;"전체")*(DB!$H$2:$H$2576=$F$4)))*(DB!$B$2:$B$2576=AG55)*1))</f>
        <v/>
      </c>
      <c r="AI55" s="65" t="str" cm="1">
        <f t="array" ref="AI55">IFERROR(INDEX(DB!$C$2:$C$2576,_xlfn.AGGREGATE(15,6,ROW(DB!$C$2:$C$2576)-1/((($D$4="")+($D$4&lt;&gt;"")*ISNUMBER(SEARCH($D$4,DB!$G$2:$G$2576)))*(($D$3&lt;&gt;"YES")+($D$3="YES")*(DB!$E$2:$E$2576="YES"))*(($D$5="")+($D$5&lt;&gt;"")*(DB!$B$2:$B$2576=$D$5))*(($D$6="")+($D$6&lt;&gt;"")*(DB!$C$2:$C$2576=$D$6))*(($D$7="")+($D$7&lt;&gt;"")*(DB!$D$2:$D$2576=$D$7))*(($F$4="전체")+($F$4&lt;&gt;"전체")*(DB!$H$2:$H$2576=$F$4))*(COUNTIF(AI$17:AI54,DB!$C$2:$C$2576)=0)),1)),"")</f>
        <v/>
      </c>
      <c r="AJ55" s="65" t="str" cm="1">
        <f t="array" ref="AJ55">IF(AI55="","",SUMPRODUCT(((($D$4="")+($D$4&lt;&gt;"")*ISNUMBER(SEARCH($D$4,DB!$G$2:$G$2576)))*(($D$3&lt;&gt;"YES")+($D$3="YES")*(DB!$E$2:$E$2576="YES"))*(($D$5="")+($D$5&lt;&gt;"")*(DB!$B$2:$B$2576=$D$5))*(($D$6="")+($D$6&lt;&gt;"")*(DB!$C$2:$C$2576=$D$6))*(($D$7="")+($D$7&lt;&gt;"")*(DB!$D$2:$D$2576=$D$7))*(($F$4="전체")+($F$4&lt;&gt;"전체")*(DB!$H$2:$H$2576=$F$4)))*(DB!$C$2:$C$2576=AI55)*1))</f>
        <v/>
      </c>
      <c r="AK55" s="65" t="str" cm="1">
        <f t="array" ref="AK55">IFERROR(INDEX(DB!$D$2:$D$2576,_xlfn.AGGREGATE(15,6,ROW(DB!$D$2:$D$2576)-1/((($D$4="")+($D$4&lt;&gt;"")*ISNUMBER(SEARCH($D$4,DB!$G$2:$G$2576)))*(($D$3&lt;&gt;"YES")+($D$3="YES")*(DB!$E$2:$E$2576="YES"))*(($F$4="전체")+($F$4&lt;&gt;"전체")*(DB!$H$2:$H$2576=$F$4))*(COUNTIF(AK$16:AK54,DB!$D$2:$D$2576)=0)),39)),"")</f>
        <v/>
      </c>
      <c r="AL55" s="65" t="str" cm="1">
        <f t="array" ref="AL55">IF(AK55="","",SUMPRODUCT(((($D$4="")+($D$4&lt;&gt;"")*ISNUMBER(SEARCH($D$4,DB!$G$2:$G$2576)))*(($D$3&lt;&gt;"YES")+($D$3="YES")*(DB!$E$2:$E$2576="YES"))*(($F$4="전체")+($F$4&lt;&gt;"전체")*(DB!$H$2:$H$2576=$F$4)))*(DB!$D$2:$D$2576=AK55)*1))</f>
        <v/>
      </c>
      <c r="AM55" s="65" t="str" cm="1">
        <f t="array" ref="AM55">IFERROR(INDEX(DB!$O$2:$O$2576,_xlfn.AGGREGATE(15,6,ROW(DB!$O$2:$O$2576)-1/((($D$4="")+($D$4&lt;&gt;"")*ISNUMBER(SEARCH($D$4,DB!$G$2:$G$2576)))*(($D$3&lt;&gt;"YES")+($D$3="YES")*(DB!$E$2:$E$2576="YES"))*(($D$5="")+($D$5&lt;&gt;"")*(DB!$B$2:$B$2576=$D$5))*(($D$6="")+($D$6&lt;&gt;"")*(DB!$C$2:$C$2576=$D$6))*(($D$7="")+($D$7&lt;&gt;"")*(DB!$D$2:$D$2576=$D$7))*(($F$4="전체")+($F$4&lt;&gt;"전체")*(DB!$H$2:$H$2576=$F$4))*(COUNTIF(AM$17:AM54,DB!$O$2:$O$2576)=0)),1)),"")</f>
        <v/>
      </c>
      <c r="AN55" s="65" t="str" cm="1">
        <f t="array" ref="AN55">IF(AM55="","",SUMPRODUCT(((($D$4="")+($D$4&lt;&gt;"")*ISNUMBER(SEARCH($D$4,DB!$G$2:$G$2576)))*(($D$3&lt;&gt;"YES")+($D$3="YES")*(DB!$E$2:$E$2576="YES"))*(($D$5="")+($D$5&lt;&gt;"")*(DB!$B$2:$B$2576=$D$5))*(($D$6="")+($D$6&lt;&gt;"")*(DB!$C$2:$C$2576=$D$6))*(($D$7="")+($D$7&lt;&gt;"")*(DB!$D$2:$D$2576=$D$7))*(($F$4="전체")+($F$4&lt;&gt;"전체")*(DB!$H$2:$H$2576=$F$4)))*(DB!$O$2:$O$2576=AM55)*1))</f>
        <v/>
      </c>
      <c r="AY55" t="s">
        <v>987</v>
      </c>
      <c r="AZ55">
        <v>38</v>
      </c>
      <c r="BA55">
        <v>21</v>
      </c>
      <c r="BB55" s="11">
        <v>8.1585081585081581E-3</v>
      </c>
    </row>
    <row r="56" spans="1:54" ht="90" customHeight="1">
      <c r="A56" s="26"/>
      <c r="B56" s="73">
        <f t="shared" si="0"/>
        <v>40</v>
      </c>
      <c r="C56" s="74"/>
      <c r="D56" s="96" t="str" cm="1">
        <f t="array" ref="D56">IFERROR(INDEX(DB!B$2:B$2576,X56),"")</f>
        <v>3. 철골공사</v>
      </c>
      <c r="E56" s="107"/>
      <c r="F56" s="97" t="str" cm="1">
        <f t="array" ref="F56">IFERROR(INDEX(DB!C$2:C$2576,X56),"")</f>
        <v>3.1 철골 작업</v>
      </c>
      <c r="G56" s="108"/>
      <c r="H56" s="98" t="str" cm="1">
        <f t="array" ref="H56">IFERROR(INDEX(DB!D$2:D$2576,X56),"")</f>
        <v>3.1.2 철골 부재 인양, 조립</v>
      </c>
      <c r="I56" s="109"/>
      <c r="J56" s="99" t="str" cm="1">
        <f t="array" ref="J56">IFERROR(INDEX(DB!O$2:O$2576,X56),"")</f>
        <v>떨어짐</v>
      </c>
      <c r="K56" s="110"/>
      <c r="L56" s="75" t="str" cm="1">
        <f t="array" ref="L56">IFERROR(INDEX(DB!P$2:P$2576,X56),"")</f>
        <v>2016년 12월경 ㈜OO에서 시공중인 OOO 공장신축 현장에서 재해자(용접공)가 철골지붕에 올라서 철골지붕부재(퍼린)를 용접작업 하던 중, 몸의 중심을 잃고 철골지붕에서 지상1층 바닥(H=7.8m)으로 추락하여 사망</v>
      </c>
      <c r="M56" s="76" t="str" cm="1">
        <f t="array" ref="M56">IFERROR(INDEX(DB!Q$2:Q$2576,X56),"")</f>
        <v>추락방호조치가 되어 있지 않은 철골 구조물 상부에서 작업 중 근로자 추락</v>
      </c>
      <c r="N56" s="77"/>
      <c r="O56" s="78" t="str" cm="1">
        <f t="array" ref="O56">IFERROR(INDEX(DB!R$2:R$2576,X56),"")</f>
        <v>▶ 추락방지망 설치 등의 안전방호조치 실시
▶ 안전방호조치가 현장 여건 상 어려울 경우, 별도의 안전대 부착설비를 설치
▶ 작업자의 개인보호구 착용여부 관리감독</v>
      </c>
      <c r="P56" s="101"/>
      <c r="Q56" s="102"/>
      <c r="R56" s="103"/>
      <c r="S56" s="43"/>
      <c r="T56" s="66" cm="1">
        <f t="array" ref="T56">IFERROR(_xlfn.AGGREGATE(15,6,ROW(DB!A$2:A$2576)/(((($D$3&lt;&gt;"YES")+($D$3="YES")*(DB!E$2:E$2576="YES"))*(($D$4="")+($D$4&lt;&gt;"")*ISNUMBER(SEARCH($D$4,DB!G$2:G$2576)))*(($D$5="")+($D$5&lt;&gt;"")*(DB!B$2:B$2576=$D$5))*(($D$6="")+($D$6&lt;&gt;"")*(DB!C$2:C$2576=$D$6))*(($D$7="")+($D$7&lt;&gt;"")*(DB!D$2:D$2576=$D$7))*(($F$4="전체")+($F$4&lt;&gt;"전체")*(DB!H$2:H$2576=$F$4)))),ROW()-16)-1,"")</f>
        <v>788</v>
      </c>
      <c r="U56" s="104" t="str" cm="1">
        <f t="array" ref="U56">IFERROR(INDEX(DB!B$2:B$2576,T56),"")</f>
        <v>3. 철골공사</v>
      </c>
      <c r="V56" s="105" t="str" cm="1">
        <f t="array" ref="V56">IFERROR(INDEX(DB!O$2:O$2576,T56),"")</f>
        <v>떨어짐</v>
      </c>
      <c r="W56" s="106">
        <f t="shared" si="1"/>
        <v>10087.040000000001</v>
      </c>
      <c r="X56" s="149">
        <f t="shared" si="2"/>
        <v>788</v>
      </c>
      <c r="AB56" s="138" t="str" cm="1">
        <f t="array" ref="AB56">IFERROR(INDEX(AI$17:AI$66,_xlfn.AGGREGATE(15,6,ROW(AI$17:AI$66)-ROW(AI$17)+1/(AJ$17:AJ$66=LARGE(AJ$17:AJ$66,40)),COUNTIF(AC$17:AC55,LARGE(AJ$17:AJ$66,40))+1)),"")</f>
        <v/>
      </c>
      <c r="AC56" s="131" t="str">
        <f>IFERROR(LARGE(AJ$17:AJ$66,40),"")</f>
        <v/>
      </c>
      <c r="AE56" s="130" t="str" cm="1">
        <f t="array" ref="AE56">IFERROR(INDEX(AM$17:AM$66,_xlfn.AGGREGATE(15,6,ROW(AM$17:AM$66)-ROW(AM$17)+1/(AN$17:AN$66=LARGE(AN$17:AN$66,40)),COUNTIF(AF$17:AF55,LARGE(AN$17:AN$66,40))+1)),"")</f>
        <v/>
      </c>
      <c r="AF56" s="136" t="str">
        <f>IFERROR(LARGE(AN$17:AN$66,40),"")</f>
        <v/>
      </c>
      <c r="AH56" s="65" t="str" cm="1">
        <f t="array" ref="AH56">IF(AG56="","",SUMPRODUCT(((($D$4="")+($D$4&lt;&gt;"")*ISNUMBER(SEARCH($D$4,DB!$G$2:$G$2576)))*(($D$3&lt;&gt;"YES")+($D$3="YES")*(DB!$E$2:$E$2576="YES"))*(($F$4="전체")+($F$4&lt;&gt;"전체")*(DB!$H$2:$H$2576=$F$4)))*(DB!$B$2:$B$2576=AG56)*1))</f>
        <v/>
      </c>
      <c r="AI56" s="65" t="str" cm="1">
        <f t="array" ref="AI56">IFERROR(INDEX(DB!$C$2:$C$2576,_xlfn.AGGREGATE(15,6,ROW(DB!$C$2:$C$2576)-1/((($D$4="")+($D$4&lt;&gt;"")*ISNUMBER(SEARCH($D$4,DB!$G$2:$G$2576)))*(($D$3&lt;&gt;"YES")+($D$3="YES")*(DB!$E$2:$E$2576="YES"))*(($D$5="")+($D$5&lt;&gt;"")*(DB!$B$2:$B$2576=$D$5))*(($D$6="")+($D$6&lt;&gt;"")*(DB!$C$2:$C$2576=$D$6))*(($D$7="")+($D$7&lt;&gt;"")*(DB!$D$2:$D$2576=$D$7))*(($F$4="전체")+($F$4&lt;&gt;"전체")*(DB!$H$2:$H$2576=$F$4))*(COUNTIF(AI$17:AI55,DB!$C$2:$C$2576)=0)),1)),"")</f>
        <v/>
      </c>
      <c r="AJ56" s="65" t="str" cm="1">
        <f t="array" ref="AJ56">IF(AI56="","",SUMPRODUCT(((($D$4="")+($D$4&lt;&gt;"")*ISNUMBER(SEARCH($D$4,DB!$G$2:$G$2576)))*(($D$3&lt;&gt;"YES")+($D$3="YES")*(DB!$E$2:$E$2576="YES"))*(($D$5="")+($D$5&lt;&gt;"")*(DB!$B$2:$B$2576=$D$5))*(($D$6="")+($D$6&lt;&gt;"")*(DB!$C$2:$C$2576=$D$6))*(($D$7="")+($D$7&lt;&gt;"")*(DB!$D$2:$D$2576=$D$7))*(($F$4="전체")+($F$4&lt;&gt;"전체")*(DB!$H$2:$H$2576=$F$4)))*(DB!$C$2:$C$2576=AI56)*1))</f>
        <v/>
      </c>
      <c r="AK56" s="65" t="str" cm="1">
        <f t="array" ref="AK56">IFERROR(INDEX(DB!$D$2:$D$2576,_xlfn.AGGREGATE(15,6,ROW(DB!$D$2:$D$2576)-1/((($D$4="")+($D$4&lt;&gt;"")*ISNUMBER(SEARCH($D$4,DB!$G$2:$G$2576)))*(($D$3&lt;&gt;"YES")+($D$3="YES")*(DB!$E$2:$E$2576="YES"))*(($F$4="전체")+($F$4&lt;&gt;"전체")*(DB!$H$2:$H$2576=$F$4))*(COUNTIF(AK$16:AK55,DB!$D$2:$D$2576)=0)),40)),"")</f>
        <v/>
      </c>
      <c r="AL56" s="65" t="str" cm="1">
        <f t="array" ref="AL56">IF(AK56="","",SUMPRODUCT(((($D$4="")+($D$4&lt;&gt;"")*ISNUMBER(SEARCH($D$4,DB!$G$2:$G$2576)))*(($D$3&lt;&gt;"YES")+($D$3="YES")*(DB!$E$2:$E$2576="YES"))*(($F$4="전체")+($F$4&lt;&gt;"전체")*(DB!$H$2:$H$2576=$F$4)))*(DB!$D$2:$D$2576=AK56)*1))</f>
        <v/>
      </c>
      <c r="AM56" s="65" t="str" cm="1">
        <f t="array" ref="AM56">IFERROR(INDEX(DB!$O$2:$O$2576,_xlfn.AGGREGATE(15,6,ROW(DB!$O$2:$O$2576)-1/((($D$4="")+($D$4&lt;&gt;"")*ISNUMBER(SEARCH($D$4,DB!$G$2:$G$2576)))*(($D$3&lt;&gt;"YES")+($D$3="YES")*(DB!$E$2:$E$2576="YES"))*(($D$5="")+($D$5&lt;&gt;"")*(DB!$B$2:$B$2576=$D$5))*(($D$6="")+($D$6&lt;&gt;"")*(DB!$C$2:$C$2576=$D$6))*(($D$7="")+($D$7&lt;&gt;"")*(DB!$D$2:$D$2576=$D$7))*(($F$4="전체")+($F$4&lt;&gt;"전체")*(DB!$H$2:$H$2576=$F$4))*(COUNTIF(AM$17:AM55,DB!$O$2:$O$2576)=0)),1)),"")</f>
        <v/>
      </c>
      <c r="AN56" s="65" t="str" cm="1">
        <f t="array" ref="AN56">IF(AM56="","",SUMPRODUCT(((($D$4="")+($D$4&lt;&gt;"")*ISNUMBER(SEARCH($D$4,DB!$G$2:$G$2576)))*(($D$3&lt;&gt;"YES")+($D$3="YES")*(DB!$E$2:$E$2576="YES"))*(($D$5="")+($D$5&lt;&gt;"")*(DB!$B$2:$B$2576=$D$5))*(($D$6="")+($D$6&lt;&gt;"")*(DB!$C$2:$C$2576=$D$6))*(($D$7="")+($D$7&lt;&gt;"")*(DB!$D$2:$D$2576=$D$7))*(($F$4="전체")+($F$4&lt;&gt;"전체")*(DB!$H$2:$H$2576=$F$4)))*(DB!$O$2:$O$2576=AM56)*1))</f>
        <v/>
      </c>
      <c r="AY56" t="s">
        <v>1232</v>
      </c>
      <c r="AZ56">
        <v>39</v>
      </c>
      <c r="BA56">
        <v>21</v>
      </c>
      <c r="BB56" s="11">
        <v>8.1585081585081581E-3</v>
      </c>
    </row>
    <row r="57" spans="1:54" ht="90" customHeight="1">
      <c r="A57" s="79"/>
      <c r="B57" s="73">
        <f t="shared" si="0"/>
        <v>41</v>
      </c>
      <c r="C57" s="74"/>
      <c r="D57" s="96" t="str" cm="1">
        <f t="array" ref="D57">IFERROR(INDEX(DB!B$2:B$2576,X57),"")</f>
        <v>3. 철골공사</v>
      </c>
      <c r="E57" s="107"/>
      <c r="F57" s="97" t="str" cm="1">
        <f t="array" ref="F57">IFERROR(INDEX(DB!C$2:C$2576,X57),"")</f>
        <v>3.1 철골 작업</v>
      </c>
      <c r="G57" s="108"/>
      <c r="H57" s="98" t="str" cm="1">
        <f t="array" ref="H57">IFERROR(INDEX(DB!D$2:D$2576,X57),"")</f>
        <v>3.1.2 철골 부재 인양, 조립</v>
      </c>
      <c r="I57" s="109"/>
      <c r="J57" s="99" t="str" cm="1">
        <f t="array" ref="J57">IFERROR(INDEX(DB!O$2:O$2576,X57),"")</f>
        <v>떨어짐</v>
      </c>
      <c r="K57" s="110"/>
      <c r="L57" s="75" t="str" cm="1">
        <f t="array" ref="L57">IFERROR(INDEX(DB!P$2:P$2576,X57),"")</f>
        <v>2016년 12월경 공장 신축 현장에서 재해자(철골공)가 철골 지붕 위에서 퍼린 설치 작업 중 실족하여 높이 11.5m 아래 콘크리트 바닥으로 떨어져 사망</v>
      </c>
      <c r="M57" s="76" t="str" cm="1">
        <f t="array" ref="M57">IFERROR(INDEX(DB!Q$2:Q$2576,X57),"")</f>
        <v>추락방호조치가 되어 있지 않은 철골 구조물 상부에서 작업 중 근로자 추락</v>
      </c>
      <c r="N57" s="77"/>
      <c r="O57" s="78" t="str" cm="1">
        <f t="array" ref="O57">IFERROR(INDEX(DB!R$2:R$2576,X57),"")</f>
        <v>▶ 추락방지망 설치 등의 안전방호조치 실시
▶ 안전방호조치가 현장 여건 상 어려울 경우, 별도의 안전대 부착설비를 설치
▶ 작업자의 개인보호구 착용여부 관리감독</v>
      </c>
      <c r="P57" s="101"/>
      <c r="Q57" s="102"/>
      <c r="R57" s="103"/>
      <c r="S57" s="43"/>
      <c r="T57" s="66" cm="1">
        <f t="array" ref="T57">IFERROR(_xlfn.AGGREGATE(15,6,ROW(DB!A$2:A$2576)/(((($D$3&lt;&gt;"YES")+($D$3="YES")*(DB!E$2:E$2576="YES"))*(($D$4="")+($D$4&lt;&gt;"")*ISNUMBER(SEARCH($D$4,DB!G$2:G$2576)))*(($D$5="")+($D$5&lt;&gt;"")*(DB!B$2:B$2576=$D$5))*(($D$6="")+($D$6&lt;&gt;"")*(DB!C$2:C$2576=$D$6))*(($D$7="")+($D$7&lt;&gt;"")*(DB!D$2:D$2576=$D$7))*(($F$4="전체")+($F$4&lt;&gt;"전체")*(DB!H$2:H$2576=$F$4)))),ROW()-16)-1,"")</f>
        <v>789</v>
      </c>
      <c r="U57" s="104" t="str" cm="1">
        <f t="array" ref="U57">IFERROR(INDEX(DB!B$2:B$2576,T57),"")</f>
        <v>3. 철골공사</v>
      </c>
      <c r="V57" s="105" t="str" cm="1">
        <f t="array" ref="V57">IFERROR(INDEX(DB!O$2:O$2576,T57),"")</f>
        <v>떨어짐</v>
      </c>
      <c r="W57" s="106">
        <f t="shared" si="1"/>
        <v>10087.040999999999</v>
      </c>
      <c r="X57" s="149">
        <f t="shared" si="2"/>
        <v>789</v>
      </c>
      <c r="AB57" s="138" t="str" cm="1">
        <f t="array" ref="AB57">IFERROR(INDEX(AI$17:AI$66,_xlfn.AGGREGATE(15,6,ROW(AI$17:AI$66)-ROW(AI$17)+1/(AJ$17:AJ$66=LARGE(AJ$17:AJ$66,41)),COUNTIF(AC$17:AC56,LARGE(AJ$17:AJ$66,41))+1)),"")</f>
        <v/>
      </c>
      <c r="AC57" s="131" t="str">
        <f>IFERROR(LARGE(AJ$17:AJ$66,41),"")</f>
        <v/>
      </c>
      <c r="AE57" s="130" t="str" cm="1">
        <f t="array" ref="AE57">IFERROR(INDEX(AM$17:AM$66,_xlfn.AGGREGATE(15,6,ROW(AM$17:AM$66)-ROW(AM$17)+1/(AN$17:AN$66=LARGE(AN$17:AN$66,41)),COUNTIF(AF$17:AF56,LARGE(AN$17:AN$66,41))+1)),"")</f>
        <v/>
      </c>
      <c r="AF57" s="136" t="str">
        <f>IFERROR(LARGE(AN$17:AN$66,41),"")</f>
        <v/>
      </c>
      <c r="AH57" s="65" t="str" cm="1">
        <f t="array" ref="AH57">IF(AG57="","",SUMPRODUCT(((($D$4="")+($D$4&lt;&gt;"")*ISNUMBER(SEARCH($D$4,DB!$G$2:$G$2576)))*(($D$3&lt;&gt;"YES")+($D$3="YES")*(DB!$E$2:$E$2576="YES"))*(($F$4="전체")+($F$4&lt;&gt;"전체")*(DB!$H$2:$H$2576=$F$4)))*(DB!$B$2:$B$2576=AG57)*1))</f>
        <v/>
      </c>
      <c r="AI57" s="65" t="str" cm="1">
        <f t="array" ref="AI57">IFERROR(INDEX(DB!$C$2:$C$2576,_xlfn.AGGREGATE(15,6,ROW(DB!$C$2:$C$2576)-1/((($D$4="")+($D$4&lt;&gt;"")*ISNUMBER(SEARCH($D$4,DB!$G$2:$G$2576)))*(($D$3&lt;&gt;"YES")+($D$3="YES")*(DB!$E$2:$E$2576="YES"))*(($D$5="")+($D$5&lt;&gt;"")*(DB!$B$2:$B$2576=$D$5))*(($D$6="")+($D$6&lt;&gt;"")*(DB!$C$2:$C$2576=$D$6))*(($D$7="")+($D$7&lt;&gt;"")*(DB!$D$2:$D$2576=$D$7))*(($F$4="전체")+($F$4&lt;&gt;"전체")*(DB!$H$2:$H$2576=$F$4))*(COUNTIF(AI$17:AI56,DB!$C$2:$C$2576)=0)),1)),"")</f>
        <v/>
      </c>
      <c r="AJ57" s="65" t="str" cm="1">
        <f t="array" ref="AJ57">IF(AI57="","",SUMPRODUCT(((($D$4="")+($D$4&lt;&gt;"")*ISNUMBER(SEARCH($D$4,DB!$G$2:$G$2576)))*(($D$3&lt;&gt;"YES")+($D$3="YES")*(DB!$E$2:$E$2576="YES"))*(($D$5="")+($D$5&lt;&gt;"")*(DB!$B$2:$B$2576=$D$5))*(($D$6="")+($D$6&lt;&gt;"")*(DB!$C$2:$C$2576=$D$6))*(($D$7="")+($D$7&lt;&gt;"")*(DB!$D$2:$D$2576=$D$7))*(($F$4="전체")+($F$4&lt;&gt;"전체")*(DB!$H$2:$H$2576=$F$4)))*(DB!$C$2:$C$2576=AI57)*1))</f>
        <v/>
      </c>
      <c r="AK57" s="65" t="str" cm="1">
        <f t="array" ref="AK57">IFERROR(INDEX(DB!$D$2:$D$2576,_xlfn.AGGREGATE(15,6,ROW(DB!$D$2:$D$2576)-1/((($D$4="")+($D$4&lt;&gt;"")*ISNUMBER(SEARCH($D$4,DB!$G$2:$G$2576)))*(($D$3&lt;&gt;"YES")+($D$3="YES")*(DB!$E$2:$E$2576="YES"))*(($F$4="전체")+($F$4&lt;&gt;"전체")*(DB!$H$2:$H$2576=$F$4))*(COUNTIF(AK$16:AK56,DB!$D$2:$D$2576)=0)),41)),"")</f>
        <v/>
      </c>
      <c r="AL57" s="65" t="str" cm="1">
        <f t="array" ref="AL57">IF(AK57="","",SUMPRODUCT(((($D$4="")+($D$4&lt;&gt;"")*ISNUMBER(SEARCH($D$4,DB!$G$2:$G$2576)))*(($D$3&lt;&gt;"YES")+($D$3="YES")*(DB!$E$2:$E$2576="YES"))*(($F$4="전체")+($F$4&lt;&gt;"전체")*(DB!$H$2:$H$2576=$F$4)))*(DB!$D$2:$D$2576=AK57)*1))</f>
        <v/>
      </c>
      <c r="AM57" s="65" t="str" cm="1">
        <f t="array" ref="AM57">IFERROR(INDEX(DB!$O$2:$O$2576,_xlfn.AGGREGATE(15,6,ROW(DB!$O$2:$O$2576)-1/((($D$4="")+($D$4&lt;&gt;"")*ISNUMBER(SEARCH($D$4,DB!$G$2:$G$2576)))*(($D$3&lt;&gt;"YES")+($D$3="YES")*(DB!$E$2:$E$2576="YES"))*(($D$5="")+($D$5&lt;&gt;"")*(DB!$B$2:$B$2576=$D$5))*(($D$6="")+($D$6&lt;&gt;"")*(DB!$C$2:$C$2576=$D$6))*(($D$7="")+($D$7&lt;&gt;"")*(DB!$D$2:$D$2576=$D$7))*(($F$4="전체")+($F$4&lt;&gt;"전체")*(DB!$H$2:$H$2576=$F$4))*(COUNTIF(AM$17:AM56,DB!$O$2:$O$2576)=0)),1)),"")</f>
        <v/>
      </c>
      <c r="AN57" s="65" t="str" cm="1">
        <f t="array" ref="AN57">IF(AM57="","",SUMPRODUCT(((($D$4="")+($D$4&lt;&gt;"")*ISNUMBER(SEARCH($D$4,DB!$G$2:$G$2576)))*(($D$3&lt;&gt;"YES")+($D$3="YES")*(DB!$E$2:$E$2576="YES"))*(($D$5="")+($D$5&lt;&gt;"")*(DB!$B$2:$B$2576=$D$5))*(($D$6="")+($D$6&lt;&gt;"")*(DB!$C$2:$C$2576=$D$6))*(($D$7="")+($D$7&lt;&gt;"")*(DB!$D$2:$D$2576=$D$7))*(($F$4="전체")+($F$4&lt;&gt;"전체")*(DB!$H$2:$H$2576=$F$4)))*(DB!$O$2:$O$2576=AM57)*1))</f>
        <v/>
      </c>
      <c r="AY57" t="s">
        <v>108</v>
      </c>
      <c r="AZ57">
        <v>40</v>
      </c>
      <c r="BA57">
        <v>20</v>
      </c>
      <c r="BB57" s="11">
        <v>7.77000777000777E-3</v>
      </c>
    </row>
    <row r="58" spans="1:54" ht="90" customHeight="1">
      <c r="A58" s="26"/>
      <c r="B58" s="73">
        <f t="shared" si="0"/>
        <v>42</v>
      </c>
      <c r="C58" s="74"/>
      <c r="D58" s="96" t="str" cm="1">
        <f t="array" ref="D58">IFERROR(INDEX(DB!B$2:B$2576,X58),"")</f>
        <v>3. 철골공사</v>
      </c>
      <c r="E58" s="107"/>
      <c r="F58" s="97" t="str" cm="1">
        <f t="array" ref="F58">IFERROR(INDEX(DB!C$2:C$2576,X58),"")</f>
        <v>3.1 철골 작업</v>
      </c>
      <c r="G58" s="108"/>
      <c r="H58" s="98" t="str" cm="1">
        <f t="array" ref="H58">IFERROR(INDEX(DB!D$2:D$2576,X58),"")</f>
        <v>3.1.2 철골 부재 인양, 조립</v>
      </c>
      <c r="I58" s="109"/>
      <c r="J58" s="99" t="str" cm="1">
        <f t="array" ref="J58">IFERROR(INDEX(DB!O$2:O$2576,X58),"")</f>
        <v>떨어짐</v>
      </c>
      <c r="K58" s="110"/>
      <c r="L58" s="75" t="str" cm="1">
        <f t="array" ref="L58">IFERROR(INDEX(DB!P$2:P$2576,X58),"")</f>
        <v>2017년 1월경 OO(주) 공장동 및 사무동 신축공사 현장에서 재해자(철골공)가 공장동 철골공사 중에 보조빔 설치를 하고 이동하던 중 몸의 중심을 잃고 5m아래 지상바닥으로 떨어져 사망</v>
      </c>
      <c r="M58" s="76" t="str" cm="1">
        <f t="array" ref="M58">IFERROR(INDEX(DB!Q$2:Q$2576,X58),"")</f>
        <v>철골 구조물 하부에 안전방망을 설치하지 않은 현장에서 안전대를 체결하지 않고 철골 상부에서 이동하다 근로자가 몸의 중심을 잃고 추락</v>
      </c>
      <c r="N58" s="77"/>
      <c r="O58" s="78" t="str" cm="1">
        <f t="array" ref="O58">IFERROR(INDEX(DB!R$2:R$2576,X58),"")</f>
        <v>▶ 철골 보 상부에서 이동시 추락방지를 위해 안전대 부착설비 설치 및 안전대 착용
▶ 승강용 사다리를 이용하여 이동할 경우 추락방지를 위해 안전대 체결
▶ 이동식크레인의 붐대 간섭 등 추락방망 설치가 곤란할 경우 철골 조립작업 전 지상애서 안전대 부착설비 설치 후 인양하여 조립 후 상부에서 안전대 체결하여 작업</v>
      </c>
      <c r="P58" s="101"/>
      <c r="Q58" s="102"/>
      <c r="R58" s="103"/>
      <c r="S58" s="43"/>
      <c r="T58" s="66" cm="1">
        <f t="array" ref="T58">IFERROR(_xlfn.AGGREGATE(15,6,ROW(DB!A$2:A$2576)/(((($D$3&lt;&gt;"YES")+($D$3="YES")*(DB!E$2:E$2576="YES"))*(($D$4="")+($D$4&lt;&gt;"")*ISNUMBER(SEARCH($D$4,DB!G$2:G$2576)))*(($D$5="")+($D$5&lt;&gt;"")*(DB!B$2:B$2576=$D$5))*(($D$6="")+($D$6&lt;&gt;"")*(DB!C$2:C$2576=$D$6))*(($D$7="")+($D$7&lt;&gt;"")*(DB!D$2:D$2576=$D$7))*(($F$4="전체")+($F$4&lt;&gt;"전체")*(DB!H$2:H$2576=$F$4)))),ROW()-16)-1,"")</f>
        <v>790</v>
      </c>
      <c r="U58" s="104" t="str" cm="1">
        <f t="array" ref="U58">IFERROR(INDEX(DB!B$2:B$2576,T58),"")</f>
        <v>3. 철골공사</v>
      </c>
      <c r="V58" s="105" t="str" cm="1">
        <f t="array" ref="V58">IFERROR(INDEX(DB!O$2:O$2576,T58),"")</f>
        <v>떨어짐</v>
      </c>
      <c r="W58" s="106">
        <f t="shared" si="1"/>
        <v>10087.041999999999</v>
      </c>
      <c r="X58" s="149">
        <f t="shared" si="2"/>
        <v>790</v>
      </c>
      <c r="AB58" s="138" t="str" cm="1">
        <f t="array" ref="AB58">IFERROR(INDEX(AI$17:AI$66,_xlfn.AGGREGATE(15,6,ROW(AI$17:AI$66)-ROW(AI$17)+1/(AJ$17:AJ$66=LARGE(AJ$17:AJ$66,42)),COUNTIF(AC$17:AC57,LARGE(AJ$17:AJ$66,42))+1)),"")</f>
        <v/>
      </c>
      <c r="AC58" s="131" t="str">
        <f>IFERROR(LARGE(AJ$17:AJ$66,42),"")</f>
        <v/>
      </c>
      <c r="AE58" s="130" t="str" cm="1">
        <f t="array" ref="AE58">IFERROR(INDEX(AM$17:AM$66,_xlfn.AGGREGATE(15,6,ROW(AM$17:AM$66)-ROW(AM$17)+1/(AN$17:AN$66=LARGE(AN$17:AN$66,42)),COUNTIF(AF$17:AF57,LARGE(AN$17:AN$66,42))+1)),"")</f>
        <v/>
      </c>
      <c r="AF58" s="136" t="str">
        <f>IFERROR(LARGE(AN$17:AN$66,42),"")</f>
        <v/>
      </c>
      <c r="AH58" s="65" t="str" cm="1">
        <f t="array" ref="AH58">IF(AG58="","",SUMPRODUCT(((($D$4="")+($D$4&lt;&gt;"")*ISNUMBER(SEARCH($D$4,DB!$G$2:$G$2576)))*(($D$3&lt;&gt;"YES")+($D$3="YES")*(DB!$E$2:$E$2576="YES"))*(($F$4="전체")+($F$4&lt;&gt;"전체")*(DB!$H$2:$H$2576=$F$4)))*(DB!$B$2:$B$2576=AG58)*1))</f>
        <v/>
      </c>
      <c r="AI58" s="65" t="str" cm="1">
        <f t="array" ref="AI58">IFERROR(INDEX(DB!$C$2:$C$2576,_xlfn.AGGREGATE(15,6,ROW(DB!$C$2:$C$2576)-1/((($D$4="")+($D$4&lt;&gt;"")*ISNUMBER(SEARCH($D$4,DB!$G$2:$G$2576)))*(($D$3&lt;&gt;"YES")+($D$3="YES")*(DB!$E$2:$E$2576="YES"))*(($D$5="")+($D$5&lt;&gt;"")*(DB!$B$2:$B$2576=$D$5))*(($D$6="")+($D$6&lt;&gt;"")*(DB!$C$2:$C$2576=$D$6))*(($D$7="")+($D$7&lt;&gt;"")*(DB!$D$2:$D$2576=$D$7))*(($F$4="전체")+($F$4&lt;&gt;"전체")*(DB!$H$2:$H$2576=$F$4))*(COUNTIF(AI$17:AI57,DB!$C$2:$C$2576)=0)),1)),"")</f>
        <v/>
      </c>
      <c r="AJ58" s="65" t="str" cm="1">
        <f t="array" ref="AJ58">IF(AI58="","",SUMPRODUCT(((($D$4="")+($D$4&lt;&gt;"")*ISNUMBER(SEARCH($D$4,DB!$G$2:$G$2576)))*(($D$3&lt;&gt;"YES")+($D$3="YES")*(DB!$E$2:$E$2576="YES"))*(($D$5="")+($D$5&lt;&gt;"")*(DB!$B$2:$B$2576=$D$5))*(($D$6="")+($D$6&lt;&gt;"")*(DB!$C$2:$C$2576=$D$6))*(($D$7="")+($D$7&lt;&gt;"")*(DB!$D$2:$D$2576=$D$7))*(($F$4="전체")+($F$4&lt;&gt;"전체")*(DB!$H$2:$H$2576=$F$4)))*(DB!$C$2:$C$2576=AI58)*1))</f>
        <v/>
      </c>
      <c r="AK58" s="65" t="str" cm="1">
        <f t="array" ref="AK58">IFERROR(INDEX(DB!$D$2:$D$2576,_xlfn.AGGREGATE(15,6,ROW(DB!$D$2:$D$2576)-1/((($D$4="")+($D$4&lt;&gt;"")*ISNUMBER(SEARCH($D$4,DB!$G$2:$G$2576)))*(($D$3&lt;&gt;"YES")+($D$3="YES")*(DB!$E$2:$E$2576="YES"))*(($F$4="전체")+($F$4&lt;&gt;"전체")*(DB!$H$2:$H$2576=$F$4))*(COUNTIF(AK$16:AK57,DB!$D$2:$D$2576)=0)),42)),"")</f>
        <v/>
      </c>
      <c r="AL58" s="65" t="str" cm="1">
        <f t="array" ref="AL58">IF(AK58="","",SUMPRODUCT(((($D$4="")+($D$4&lt;&gt;"")*ISNUMBER(SEARCH($D$4,DB!$G$2:$G$2576)))*(($D$3&lt;&gt;"YES")+($D$3="YES")*(DB!$E$2:$E$2576="YES"))*(($F$4="전체")+($F$4&lt;&gt;"전체")*(DB!$H$2:$H$2576=$F$4)))*(DB!$D$2:$D$2576=AK58)*1))</f>
        <v/>
      </c>
      <c r="AM58" s="65" t="str" cm="1">
        <f t="array" ref="AM58">IFERROR(INDEX(DB!$O$2:$O$2576,_xlfn.AGGREGATE(15,6,ROW(DB!$O$2:$O$2576)-1/((($D$4="")+($D$4&lt;&gt;"")*ISNUMBER(SEARCH($D$4,DB!$G$2:$G$2576)))*(($D$3&lt;&gt;"YES")+($D$3="YES")*(DB!$E$2:$E$2576="YES"))*(($D$5="")+($D$5&lt;&gt;"")*(DB!$B$2:$B$2576=$D$5))*(($D$6="")+($D$6&lt;&gt;"")*(DB!$C$2:$C$2576=$D$6))*(($D$7="")+($D$7&lt;&gt;"")*(DB!$D$2:$D$2576=$D$7))*(($F$4="전체")+($F$4&lt;&gt;"전체")*(DB!$H$2:$H$2576=$F$4))*(COUNTIF(AM$17:AM57,DB!$O$2:$O$2576)=0)),1)),"")</f>
        <v/>
      </c>
      <c r="AN58" s="65" t="str" cm="1">
        <f t="array" ref="AN58">IF(AM58="","",SUMPRODUCT(((($D$4="")+($D$4&lt;&gt;"")*ISNUMBER(SEARCH($D$4,DB!$G$2:$G$2576)))*(($D$3&lt;&gt;"YES")+($D$3="YES")*(DB!$E$2:$E$2576="YES"))*(($D$5="")+($D$5&lt;&gt;"")*(DB!$B$2:$B$2576=$D$5))*(($D$6="")+($D$6&lt;&gt;"")*(DB!$C$2:$C$2576=$D$6))*(($D$7="")+($D$7&lt;&gt;"")*(DB!$D$2:$D$2576=$D$7))*(($F$4="전체")+($F$4&lt;&gt;"전체")*(DB!$H$2:$H$2576=$F$4)))*(DB!$O$2:$O$2576=AM58)*1))</f>
        <v/>
      </c>
      <c r="AY58" t="s">
        <v>132</v>
      </c>
      <c r="AZ58">
        <v>41</v>
      </c>
      <c r="BA58">
        <v>19</v>
      </c>
      <c r="BB58" s="11">
        <v>7.3815073815073819E-3</v>
      </c>
    </row>
    <row r="59" spans="1:54" ht="90" customHeight="1">
      <c r="A59" s="79"/>
      <c r="B59" s="73">
        <f t="shared" si="0"/>
        <v>43</v>
      </c>
      <c r="C59" s="74"/>
      <c r="D59" s="96" t="str" cm="1">
        <f t="array" ref="D59">IFERROR(INDEX(DB!B$2:B$2576,X59),"")</f>
        <v>3. 철골공사</v>
      </c>
      <c r="E59" s="107"/>
      <c r="F59" s="97" t="str" cm="1">
        <f t="array" ref="F59">IFERROR(INDEX(DB!C$2:C$2576,X59),"")</f>
        <v>3.1 철골 작업</v>
      </c>
      <c r="G59" s="108"/>
      <c r="H59" s="98" t="str" cm="1">
        <f t="array" ref="H59">IFERROR(INDEX(DB!D$2:D$2576,X59),"")</f>
        <v>3.1.2 철골 부재 인양, 조립</v>
      </c>
      <c r="I59" s="109"/>
      <c r="J59" s="99" t="str" cm="1">
        <f t="array" ref="J59">IFERROR(INDEX(DB!O$2:O$2576,X59),"")</f>
        <v>떨어짐</v>
      </c>
      <c r="K59" s="110"/>
      <c r="L59" s="75" t="str" cm="1">
        <f t="array" ref="L59">IFERROR(INDEX(DB!P$2:P$2576,X59),"")</f>
        <v>2017년 3월경 OOO 조립식 주택 신축공사 현장에서 재해자(철골공)가 지붕 트러스 철골(C형강) 상단에서 외부판넬 설치 실측 후 내려가는 도중 미끄러져 약 4m 아래 콘크리트 바닥에 떨어져 사망</v>
      </c>
      <c r="M59" s="76" t="str" cm="1">
        <f t="array" ref="M59">IFERROR(INDEX(DB!Q$2:Q$2576,X59),"")</f>
        <v>지붕 트러스 철골(C형강) 상단에서 외부판넬 설치 실측 후 내려가는 도중 미끄러져 바닥에 추락</v>
      </c>
      <c r="N59" s="77"/>
      <c r="O59" s="78" t="str" cm="1">
        <f t="array" ref="O59">IFERROR(INDEX(DB!R$2:R$2576,X59),"")</f>
        <v>▶ 추락위험이 있는 철골 보에서 안전대를 안전대 부착설비 또는 철골 홀 등에 체결한 상태에서 이동
▶ 철골구조물 승하강시에는 안전대 부착설비나 안전블럭을 활용하여 승하강 실시</v>
      </c>
      <c r="P59" s="101"/>
      <c r="Q59" s="102"/>
      <c r="R59" s="103"/>
      <c r="S59" s="43"/>
      <c r="T59" s="66" cm="1">
        <f t="array" ref="T59">IFERROR(_xlfn.AGGREGATE(15,6,ROW(DB!A$2:A$2576)/(((($D$3&lt;&gt;"YES")+($D$3="YES")*(DB!E$2:E$2576="YES"))*(($D$4="")+($D$4&lt;&gt;"")*ISNUMBER(SEARCH($D$4,DB!G$2:G$2576)))*(($D$5="")+($D$5&lt;&gt;"")*(DB!B$2:B$2576=$D$5))*(($D$6="")+($D$6&lt;&gt;"")*(DB!C$2:C$2576=$D$6))*(($D$7="")+($D$7&lt;&gt;"")*(DB!D$2:D$2576=$D$7))*(($F$4="전체")+($F$4&lt;&gt;"전체")*(DB!H$2:H$2576=$F$4)))),ROW()-16)-1,"")</f>
        <v>791</v>
      </c>
      <c r="U59" s="104" t="str" cm="1">
        <f t="array" ref="U59">IFERROR(INDEX(DB!B$2:B$2576,T59),"")</f>
        <v>3. 철골공사</v>
      </c>
      <c r="V59" s="105" t="str" cm="1">
        <f t="array" ref="V59">IFERROR(INDEX(DB!O$2:O$2576,T59),"")</f>
        <v>떨어짐</v>
      </c>
      <c r="W59" s="106">
        <f t="shared" si="1"/>
        <v>10087.043</v>
      </c>
      <c r="X59" s="149">
        <f t="shared" si="2"/>
        <v>791</v>
      </c>
      <c r="AB59" s="138" t="str" cm="1">
        <f t="array" ref="AB59">IFERROR(INDEX(AI$17:AI$66,_xlfn.AGGREGATE(15,6,ROW(AI$17:AI$66)-ROW(AI$17)+1/(AJ$17:AJ$66=LARGE(AJ$17:AJ$66,43)),COUNTIF(AC$17:AC58,LARGE(AJ$17:AJ$66,43))+1)),"")</f>
        <v/>
      </c>
      <c r="AC59" s="131" t="str">
        <f>IFERROR(LARGE(AJ$17:AJ$66,43),"")</f>
        <v/>
      </c>
      <c r="AE59" s="130" t="str" cm="1">
        <f t="array" ref="AE59">IFERROR(INDEX(AM$17:AM$66,_xlfn.AGGREGATE(15,6,ROW(AM$17:AM$66)-ROW(AM$17)+1/(AN$17:AN$66=LARGE(AN$17:AN$66,43)),COUNTIF(AF$17:AF58,LARGE(AN$17:AN$66,43))+1)),"")</f>
        <v/>
      </c>
      <c r="AF59" s="136" t="str">
        <f>IFERROR(LARGE(AN$17:AN$66,43),"")</f>
        <v/>
      </c>
      <c r="AH59" s="65" t="str" cm="1">
        <f t="array" ref="AH59">IF(AG59="","",SUMPRODUCT(((($D$4="")+($D$4&lt;&gt;"")*ISNUMBER(SEARCH($D$4,DB!$G$2:$G$2576)))*(($D$3&lt;&gt;"YES")+($D$3="YES")*(DB!$E$2:$E$2576="YES"))*(($F$4="전체")+($F$4&lt;&gt;"전체")*(DB!$H$2:$H$2576=$F$4)))*(DB!$B$2:$B$2576=AG59)*1))</f>
        <v/>
      </c>
      <c r="AI59" s="65" t="str" cm="1">
        <f t="array" ref="AI59">IFERROR(INDEX(DB!$C$2:$C$2576,_xlfn.AGGREGATE(15,6,ROW(DB!$C$2:$C$2576)-1/((($D$4="")+($D$4&lt;&gt;"")*ISNUMBER(SEARCH($D$4,DB!$G$2:$G$2576)))*(($D$3&lt;&gt;"YES")+($D$3="YES")*(DB!$E$2:$E$2576="YES"))*(($D$5="")+($D$5&lt;&gt;"")*(DB!$B$2:$B$2576=$D$5))*(($D$6="")+($D$6&lt;&gt;"")*(DB!$C$2:$C$2576=$D$6))*(($D$7="")+($D$7&lt;&gt;"")*(DB!$D$2:$D$2576=$D$7))*(($F$4="전체")+($F$4&lt;&gt;"전체")*(DB!$H$2:$H$2576=$F$4))*(COUNTIF(AI$17:AI58,DB!$C$2:$C$2576)=0)),1)),"")</f>
        <v/>
      </c>
      <c r="AJ59" s="65" t="str" cm="1">
        <f t="array" ref="AJ59">IF(AI59="","",SUMPRODUCT(((($D$4="")+($D$4&lt;&gt;"")*ISNUMBER(SEARCH($D$4,DB!$G$2:$G$2576)))*(($D$3&lt;&gt;"YES")+($D$3="YES")*(DB!$E$2:$E$2576="YES"))*(($D$5="")+($D$5&lt;&gt;"")*(DB!$B$2:$B$2576=$D$5))*(($D$6="")+($D$6&lt;&gt;"")*(DB!$C$2:$C$2576=$D$6))*(($D$7="")+($D$7&lt;&gt;"")*(DB!$D$2:$D$2576=$D$7))*(($F$4="전체")+($F$4&lt;&gt;"전체")*(DB!$H$2:$H$2576=$F$4)))*(DB!$C$2:$C$2576=AI59)*1))</f>
        <v/>
      </c>
      <c r="AK59" s="65" t="str" cm="1">
        <f t="array" ref="AK59">IFERROR(INDEX(DB!$D$2:$D$2576,_xlfn.AGGREGATE(15,6,ROW(DB!$D$2:$D$2576)-1/((($D$4="")+($D$4&lt;&gt;"")*ISNUMBER(SEARCH($D$4,DB!$G$2:$G$2576)))*(($D$3&lt;&gt;"YES")+($D$3="YES")*(DB!$E$2:$E$2576="YES"))*(($F$4="전체")+($F$4&lt;&gt;"전체")*(DB!$H$2:$H$2576=$F$4))*(COUNTIF(AK$16:AK58,DB!$D$2:$D$2576)=0)),43)),"")</f>
        <v/>
      </c>
      <c r="AL59" s="65" t="str" cm="1">
        <f t="array" ref="AL59">IF(AK59="","",SUMPRODUCT(((($D$4="")+($D$4&lt;&gt;"")*ISNUMBER(SEARCH($D$4,DB!$G$2:$G$2576)))*(($D$3&lt;&gt;"YES")+($D$3="YES")*(DB!$E$2:$E$2576="YES"))*(($F$4="전체")+($F$4&lt;&gt;"전체")*(DB!$H$2:$H$2576=$F$4)))*(DB!$D$2:$D$2576=AK59)*1))</f>
        <v/>
      </c>
      <c r="AM59" s="65" t="str" cm="1">
        <f t="array" ref="AM59">IFERROR(INDEX(DB!$O$2:$O$2576,_xlfn.AGGREGATE(15,6,ROW(DB!$O$2:$O$2576)-1/((($D$4="")+($D$4&lt;&gt;"")*ISNUMBER(SEARCH($D$4,DB!$G$2:$G$2576)))*(($D$3&lt;&gt;"YES")+($D$3="YES")*(DB!$E$2:$E$2576="YES"))*(($D$5="")+($D$5&lt;&gt;"")*(DB!$B$2:$B$2576=$D$5))*(($D$6="")+($D$6&lt;&gt;"")*(DB!$C$2:$C$2576=$D$6))*(($D$7="")+($D$7&lt;&gt;"")*(DB!$D$2:$D$2576=$D$7))*(($F$4="전체")+($F$4&lt;&gt;"전체")*(DB!$H$2:$H$2576=$F$4))*(COUNTIF(AM$17:AM58,DB!$O$2:$O$2576)=0)),1)),"")</f>
        <v/>
      </c>
      <c r="AN59" s="65" t="str" cm="1">
        <f t="array" ref="AN59">IF(AM59="","",SUMPRODUCT(((($D$4="")+($D$4&lt;&gt;"")*ISNUMBER(SEARCH($D$4,DB!$G$2:$G$2576)))*(($D$3&lt;&gt;"YES")+($D$3="YES")*(DB!$E$2:$E$2576="YES"))*(($D$5="")+($D$5&lt;&gt;"")*(DB!$B$2:$B$2576=$D$5))*(($D$6="")+($D$6&lt;&gt;"")*(DB!$C$2:$C$2576=$D$6))*(($D$7="")+($D$7&lt;&gt;"")*(DB!$D$2:$D$2576=$D$7))*(($F$4="전체")+($F$4&lt;&gt;"전체")*(DB!$H$2:$H$2576=$F$4)))*(DB!$O$2:$O$2576=AM59)*1))</f>
        <v/>
      </c>
      <c r="AY59" t="s">
        <v>716</v>
      </c>
      <c r="AZ59">
        <v>42</v>
      </c>
      <c r="BA59">
        <v>18</v>
      </c>
      <c r="BB59" s="11">
        <v>6.993006993006993E-3</v>
      </c>
    </row>
    <row r="60" spans="1:54" ht="90" customHeight="1">
      <c r="A60" s="26"/>
      <c r="B60" s="73">
        <f t="shared" si="0"/>
        <v>44</v>
      </c>
      <c r="C60" s="74"/>
      <c r="D60" s="96" t="str" cm="1">
        <f t="array" ref="D60">IFERROR(INDEX(DB!B$2:B$2576,X60),"")</f>
        <v>3. 철골공사</v>
      </c>
      <c r="E60" s="107"/>
      <c r="F60" s="97" t="str" cm="1">
        <f t="array" ref="F60">IFERROR(INDEX(DB!C$2:C$2576,X60),"")</f>
        <v>3.1 철골 작업</v>
      </c>
      <c r="G60" s="108"/>
      <c r="H60" s="98" t="str" cm="1">
        <f t="array" ref="H60">IFERROR(INDEX(DB!D$2:D$2576,X60),"")</f>
        <v>3.1.2 철골 부재 인양, 조립</v>
      </c>
      <c r="I60" s="109"/>
      <c r="J60" s="99" t="str" cm="1">
        <f t="array" ref="J60">IFERROR(INDEX(DB!O$2:O$2576,X60),"")</f>
        <v>떨어짐</v>
      </c>
      <c r="K60" s="110"/>
      <c r="L60" s="75" t="str" cm="1">
        <f t="array" ref="L60">IFERROR(INDEX(DB!P$2:P$2576,X60),"")</f>
        <v>2017년 3월경 OO건설(주)가 시공 중인 OO신축공사 현장에서 재해자(철골공)가  지상1층 철골 수직기둥 브라킷 상부에서 보설치 작업 중 지상1층 바닥(H≒5m)으로 떨어져 사망</v>
      </c>
      <c r="M60" s="76" t="str" cm="1">
        <f t="array" ref="M60">IFERROR(INDEX(DB!Q$2:Q$2576,X60),"")</f>
        <v>추락방호조치가 되어 있지 않은 철골 구조물 상부에서 작업 중 근로자 추락</v>
      </c>
      <c r="N60" s="77"/>
      <c r="O60" s="78" t="str" cm="1">
        <f t="array" ref="O60">IFERROR(INDEX(DB!R$2:R$2576,X60),"")</f>
        <v>▶ 추락방지망 설치 등의 안전방호조치 실시
▶ 안전방호조치가 현장 여건 상 어려울 경우, 별도의 안전대 부착설비를 설치
▶ 작업자의 개인보호구 착용여부 관리감독</v>
      </c>
      <c r="P60" s="101"/>
      <c r="Q60" s="102"/>
      <c r="R60" s="103"/>
      <c r="S60" s="43"/>
      <c r="T60" s="66" cm="1">
        <f t="array" ref="T60">IFERROR(_xlfn.AGGREGATE(15,6,ROW(DB!A$2:A$2576)/(((($D$3&lt;&gt;"YES")+($D$3="YES")*(DB!E$2:E$2576="YES"))*(($D$4="")+($D$4&lt;&gt;"")*ISNUMBER(SEARCH($D$4,DB!G$2:G$2576)))*(($D$5="")+($D$5&lt;&gt;"")*(DB!B$2:B$2576=$D$5))*(($D$6="")+($D$6&lt;&gt;"")*(DB!C$2:C$2576=$D$6))*(($D$7="")+($D$7&lt;&gt;"")*(DB!D$2:D$2576=$D$7))*(($F$4="전체")+($F$4&lt;&gt;"전체")*(DB!H$2:H$2576=$F$4)))),ROW()-16)-1,"")</f>
        <v>792</v>
      </c>
      <c r="U60" s="104" t="str" cm="1">
        <f t="array" ref="U60">IFERROR(INDEX(DB!B$2:B$2576,T60),"")</f>
        <v>3. 철골공사</v>
      </c>
      <c r="V60" s="105" t="str" cm="1">
        <f t="array" ref="V60">IFERROR(INDEX(DB!O$2:O$2576,T60),"")</f>
        <v>떨어짐</v>
      </c>
      <c r="W60" s="106">
        <f t="shared" si="1"/>
        <v>10087.044</v>
      </c>
      <c r="X60" s="149">
        <f t="shared" si="2"/>
        <v>792</v>
      </c>
      <c r="AB60" s="138" t="str" cm="1">
        <f t="array" ref="AB60">IFERROR(INDEX(AI$17:AI$66,_xlfn.AGGREGATE(15,6,ROW(AI$17:AI$66)-ROW(AI$17)+1/(AJ$17:AJ$66=LARGE(AJ$17:AJ$66,44)),COUNTIF(AC$17:AC59,LARGE(AJ$17:AJ$66,44))+1)),"")</f>
        <v/>
      </c>
      <c r="AC60" s="131" t="str">
        <f>IFERROR(LARGE(AJ$17:AJ$66,44),"")</f>
        <v/>
      </c>
      <c r="AE60" s="130" t="str" cm="1">
        <f t="array" ref="AE60">IFERROR(INDEX(AM$17:AM$66,_xlfn.AGGREGATE(15,6,ROW(AM$17:AM$66)-ROW(AM$17)+1/(AN$17:AN$66=LARGE(AN$17:AN$66,44)),COUNTIF(AF$17:AF59,LARGE(AN$17:AN$66,44))+1)),"")</f>
        <v/>
      </c>
      <c r="AF60" s="136" t="str">
        <f>IFERROR(LARGE(AN$17:AN$66,44),"")</f>
        <v/>
      </c>
      <c r="AH60" s="65" t="str" cm="1">
        <f t="array" ref="AH60">IF(AG60="","",SUMPRODUCT(((($D$4="")+($D$4&lt;&gt;"")*ISNUMBER(SEARCH($D$4,DB!$G$2:$G$2576)))*(($D$3&lt;&gt;"YES")+($D$3="YES")*(DB!$E$2:$E$2576="YES"))*(($F$4="전체")+($F$4&lt;&gt;"전체")*(DB!$H$2:$H$2576=$F$4)))*(DB!$B$2:$B$2576=AG60)*1))</f>
        <v/>
      </c>
      <c r="AI60" s="65" t="str" cm="1">
        <f t="array" ref="AI60">IFERROR(INDEX(DB!$C$2:$C$2576,_xlfn.AGGREGATE(15,6,ROW(DB!$C$2:$C$2576)-1/((($D$4="")+($D$4&lt;&gt;"")*ISNUMBER(SEARCH($D$4,DB!$G$2:$G$2576)))*(($D$3&lt;&gt;"YES")+($D$3="YES")*(DB!$E$2:$E$2576="YES"))*(($D$5="")+($D$5&lt;&gt;"")*(DB!$B$2:$B$2576=$D$5))*(($D$6="")+($D$6&lt;&gt;"")*(DB!$C$2:$C$2576=$D$6))*(($D$7="")+($D$7&lt;&gt;"")*(DB!$D$2:$D$2576=$D$7))*(($F$4="전체")+($F$4&lt;&gt;"전체")*(DB!$H$2:$H$2576=$F$4))*(COUNTIF(AI$17:AI59,DB!$C$2:$C$2576)=0)),1)),"")</f>
        <v/>
      </c>
      <c r="AJ60" s="65" t="str" cm="1">
        <f t="array" ref="AJ60">IF(AI60="","",SUMPRODUCT(((($D$4="")+($D$4&lt;&gt;"")*ISNUMBER(SEARCH($D$4,DB!$G$2:$G$2576)))*(($D$3&lt;&gt;"YES")+($D$3="YES")*(DB!$E$2:$E$2576="YES"))*(($D$5="")+($D$5&lt;&gt;"")*(DB!$B$2:$B$2576=$D$5))*(($D$6="")+($D$6&lt;&gt;"")*(DB!$C$2:$C$2576=$D$6))*(($D$7="")+($D$7&lt;&gt;"")*(DB!$D$2:$D$2576=$D$7))*(($F$4="전체")+($F$4&lt;&gt;"전체")*(DB!$H$2:$H$2576=$F$4)))*(DB!$C$2:$C$2576=AI60)*1))</f>
        <v/>
      </c>
      <c r="AK60" s="65" t="str" cm="1">
        <f t="array" ref="AK60">IFERROR(INDEX(DB!$D$2:$D$2576,_xlfn.AGGREGATE(15,6,ROW(DB!$D$2:$D$2576)-1/((($D$4="")+($D$4&lt;&gt;"")*ISNUMBER(SEARCH($D$4,DB!$G$2:$G$2576)))*(($D$3&lt;&gt;"YES")+($D$3="YES")*(DB!$E$2:$E$2576="YES"))*(($F$4="전체")+($F$4&lt;&gt;"전체")*(DB!$H$2:$H$2576=$F$4))*(COUNTIF(AK$16:AK59,DB!$D$2:$D$2576)=0)),44)),"")</f>
        <v/>
      </c>
      <c r="AL60" s="65" t="str" cm="1">
        <f t="array" ref="AL60">IF(AK60="","",SUMPRODUCT(((($D$4="")+($D$4&lt;&gt;"")*ISNUMBER(SEARCH($D$4,DB!$G$2:$G$2576)))*(($D$3&lt;&gt;"YES")+($D$3="YES")*(DB!$E$2:$E$2576="YES"))*(($F$4="전체")+($F$4&lt;&gt;"전체")*(DB!$H$2:$H$2576=$F$4)))*(DB!$D$2:$D$2576=AK60)*1))</f>
        <v/>
      </c>
      <c r="AM60" s="65" t="str" cm="1">
        <f t="array" ref="AM60">IFERROR(INDEX(DB!$O$2:$O$2576,_xlfn.AGGREGATE(15,6,ROW(DB!$O$2:$O$2576)-1/((($D$4="")+($D$4&lt;&gt;"")*ISNUMBER(SEARCH($D$4,DB!$G$2:$G$2576)))*(($D$3&lt;&gt;"YES")+($D$3="YES")*(DB!$E$2:$E$2576="YES"))*(($D$5="")+($D$5&lt;&gt;"")*(DB!$B$2:$B$2576=$D$5))*(($D$6="")+($D$6&lt;&gt;"")*(DB!$C$2:$C$2576=$D$6))*(($D$7="")+($D$7&lt;&gt;"")*(DB!$D$2:$D$2576=$D$7))*(($F$4="전체")+($F$4&lt;&gt;"전체")*(DB!$H$2:$H$2576=$F$4))*(COUNTIF(AM$17:AM59,DB!$O$2:$O$2576)=0)),1)),"")</f>
        <v/>
      </c>
      <c r="AN60" s="65" t="str" cm="1">
        <f t="array" ref="AN60">IF(AM60="","",SUMPRODUCT(((($D$4="")+($D$4&lt;&gt;"")*ISNUMBER(SEARCH($D$4,DB!$G$2:$G$2576)))*(($D$3&lt;&gt;"YES")+($D$3="YES")*(DB!$E$2:$E$2576="YES"))*(($D$5="")+($D$5&lt;&gt;"")*(DB!$B$2:$B$2576=$D$5))*(($D$6="")+($D$6&lt;&gt;"")*(DB!$C$2:$C$2576=$D$6))*(($D$7="")+($D$7&lt;&gt;"")*(DB!$D$2:$D$2576=$D$7))*(($F$4="전체")+($F$4&lt;&gt;"전체")*(DB!$H$2:$H$2576=$F$4)))*(DB!$O$2:$O$2576=AM60)*1))</f>
        <v/>
      </c>
      <c r="AY60" t="s">
        <v>443</v>
      </c>
      <c r="AZ60">
        <v>43</v>
      </c>
      <c r="BA60">
        <v>18</v>
      </c>
      <c r="BB60" s="11">
        <v>6.993006993006993E-3</v>
      </c>
    </row>
    <row r="61" spans="1:54" ht="90" customHeight="1">
      <c r="A61" s="79"/>
      <c r="B61" s="73">
        <f t="shared" si="0"/>
        <v>45</v>
      </c>
      <c r="C61" s="74"/>
      <c r="D61" s="96" t="str" cm="1">
        <f t="array" ref="D61">IFERROR(INDEX(DB!B$2:B$2576,X61),"")</f>
        <v>3. 철골공사</v>
      </c>
      <c r="E61" s="107"/>
      <c r="F61" s="97" t="str" cm="1">
        <f t="array" ref="F61">IFERROR(INDEX(DB!C$2:C$2576,X61),"")</f>
        <v>3.1 철골 작업</v>
      </c>
      <c r="G61" s="108"/>
      <c r="H61" s="98" t="str" cm="1">
        <f t="array" ref="H61">IFERROR(INDEX(DB!D$2:D$2576,X61),"")</f>
        <v>3.1.2 철골 부재 인양, 조립</v>
      </c>
      <c r="I61" s="109"/>
      <c r="J61" s="99" t="str" cm="1">
        <f t="array" ref="J61">IFERROR(INDEX(DB!O$2:O$2576,X61),"")</f>
        <v>떨어짐</v>
      </c>
      <c r="K61" s="110"/>
      <c r="L61" s="75" t="str" cm="1">
        <f t="array" ref="L61">IFERROR(INDEX(DB!P$2:P$2576,X61),"")</f>
        <v>2017 6월경 OO가 시공하는 OO 옥상 지붕공사 현장에서 협력업체인 소속 재해자(용접공)가 철구조물 상부에서 용접 작업 중 몸의 중심을 잃고 약 5m 아래 옥상 바닥으로 떨어져 사망</v>
      </c>
      <c r="M61" s="76" t="str" cm="1">
        <f t="array" ref="M61">IFERROR(INDEX(DB!Q$2:Q$2576,X61),"")</f>
        <v>추락방호조치가 되어 있지 않은 철골 구조물 상부에서 작업 중 근로자 추락</v>
      </c>
      <c r="N61" s="77"/>
      <c r="O61" s="78" t="str" cm="1">
        <f t="array" ref="O61">IFERROR(INDEX(DB!R$2:R$2576,X61),"")</f>
        <v>▶ 추락방지망 설치 등의 안전방호조치 실시
▶ 안전방호조치가 현장 여건 상 어려울 경우, 별도의 안전대 부착설비를 설치
▶ 작업자의 개인보호구 착용여부 관리감독</v>
      </c>
      <c r="P61" s="101"/>
      <c r="Q61" s="102"/>
      <c r="R61" s="103"/>
      <c r="S61" s="43"/>
      <c r="T61" s="66" cm="1">
        <f t="array" ref="T61">IFERROR(_xlfn.AGGREGATE(15,6,ROW(DB!A$2:A$2576)/(((($D$3&lt;&gt;"YES")+($D$3="YES")*(DB!E$2:E$2576="YES"))*(($D$4="")+($D$4&lt;&gt;"")*ISNUMBER(SEARCH($D$4,DB!G$2:G$2576)))*(($D$5="")+($D$5&lt;&gt;"")*(DB!B$2:B$2576=$D$5))*(($D$6="")+($D$6&lt;&gt;"")*(DB!C$2:C$2576=$D$6))*(($D$7="")+($D$7&lt;&gt;"")*(DB!D$2:D$2576=$D$7))*(($F$4="전체")+($F$4&lt;&gt;"전체")*(DB!H$2:H$2576=$F$4)))),ROW()-16)-1,"")</f>
        <v>794</v>
      </c>
      <c r="U61" s="104" t="str" cm="1">
        <f t="array" ref="U61">IFERROR(INDEX(DB!B$2:B$2576,T61),"")</f>
        <v>3. 철골공사</v>
      </c>
      <c r="V61" s="105" t="str" cm="1">
        <f t="array" ref="V61">IFERROR(INDEX(DB!O$2:O$2576,T61),"")</f>
        <v>떨어짐</v>
      </c>
      <c r="W61" s="106">
        <f t="shared" si="1"/>
        <v>10087.045</v>
      </c>
      <c r="X61" s="149">
        <f t="shared" si="2"/>
        <v>794</v>
      </c>
      <c r="AB61" s="138" t="str" cm="1">
        <f t="array" ref="AB61">IFERROR(INDEX(AI$17:AI$66,_xlfn.AGGREGATE(15,6,ROW(AI$17:AI$66)-ROW(AI$17)+1/(AJ$17:AJ$66=LARGE(AJ$17:AJ$66,45)),COUNTIF(AC$17:AC60,LARGE(AJ$17:AJ$66,45))+1)),"")</f>
        <v/>
      </c>
      <c r="AC61" s="131" t="str">
        <f>IFERROR(LARGE(AJ$17:AJ$66,45),"")</f>
        <v/>
      </c>
      <c r="AE61" s="130" t="str" cm="1">
        <f t="array" ref="AE61">IFERROR(INDEX(AM$17:AM$66,_xlfn.AGGREGATE(15,6,ROW(AM$17:AM$66)-ROW(AM$17)+1/(AN$17:AN$66=LARGE(AN$17:AN$66,45)),COUNTIF(AF$17:AF60,LARGE(AN$17:AN$66,45))+1)),"")</f>
        <v/>
      </c>
      <c r="AF61" s="136" t="str">
        <f>IFERROR(LARGE(AN$17:AN$66,45),"")</f>
        <v/>
      </c>
      <c r="AH61" s="65" t="str" cm="1">
        <f t="array" ref="AH61">IF(AG61="","",SUMPRODUCT(((($D$4="")+($D$4&lt;&gt;"")*ISNUMBER(SEARCH($D$4,DB!$G$2:$G$2576)))*(($D$3&lt;&gt;"YES")+($D$3="YES")*(DB!$E$2:$E$2576="YES"))*(($F$4="전체")+($F$4&lt;&gt;"전체")*(DB!$H$2:$H$2576=$F$4)))*(DB!$B$2:$B$2576=AG61)*1))</f>
        <v/>
      </c>
      <c r="AI61" s="65" t="str" cm="1">
        <f t="array" ref="AI61">IFERROR(INDEX(DB!$C$2:$C$2576,_xlfn.AGGREGATE(15,6,ROW(DB!$C$2:$C$2576)-1/((($D$4="")+($D$4&lt;&gt;"")*ISNUMBER(SEARCH($D$4,DB!$G$2:$G$2576)))*(($D$3&lt;&gt;"YES")+($D$3="YES")*(DB!$E$2:$E$2576="YES"))*(($D$5="")+($D$5&lt;&gt;"")*(DB!$B$2:$B$2576=$D$5))*(($D$6="")+($D$6&lt;&gt;"")*(DB!$C$2:$C$2576=$D$6))*(($D$7="")+($D$7&lt;&gt;"")*(DB!$D$2:$D$2576=$D$7))*(($F$4="전체")+($F$4&lt;&gt;"전체")*(DB!$H$2:$H$2576=$F$4))*(COUNTIF(AI$17:AI60,DB!$C$2:$C$2576)=0)),1)),"")</f>
        <v/>
      </c>
      <c r="AJ61" s="65" t="str" cm="1">
        <f t="array" ref="AJ61">IF(AI61="","",SUMPRODUCT(((($D$4="")+($D$4&lt;&gt;"")*ISNUMBER(SEARCH($D$4,DB!$G$2:$G$2576)))*(($D$3&lt;&gt;"YES")+($D$3="YES")*(DB!$E$2:$E$2576="YES"))*(($D$5="")+($D$5&lt;&gt;"")*(DB!$B$2:$B$2576=$D$5))*(($D$6="")+($D$6&lt;&gt;"")*(DB!$C$2:$C$2576=$D$6))*(($D$7="")+($D$7&lt;&gt;"")*(DB!$D$2:$D$2576=$D$7))*(($F$4="전체")+($F$4&lt;&gt;"전체")*(DB!$H$2:$H$2576=$F$4)))*(DB!$C$2:$C$2576=AI61)*1))</f>
        <v/>
      </c>
      <c r="AK61" s="65" t="str" cm="1">
        <f t="array" ref="AK61">IFERROR(INDEX(DB!$D$2:$D$2576,_xlfn.AGGREGATE(15,6,ROW(DB!$D$2:$D$2576)-1/((($D$4="")+($D$4&lt;&gt;"")*ISNUMBER(SEARCH($D$4,DB!$G$2:$G$2576)))*(($D$3&lt;&gt;"YES")+($D$3="YES")*(DB!$E$2:$E$2576="YES"))*(($F$4="전체")+($F$4&lt;&gt;"전체")*(DB!$H$2:$H$2576=$F$4))*(COUNTIF(AK$16:AK60,DB!$D$2:$D$2576)=0)),45)),"")</f>
        <v/>
      </c>
      <c r="AL61" s="65" t="str" cm="1">
        <f t="array" ref="AL61">IF(AK61="","",SUMPRODUCT(((($D$4="")+($D$4&lt;&gt;"")*ISNUMBER(SEARCH($D$4,DB!$G$2:$G$2576)))*(($D$3&lt;&gt;"YES")+($D$3="YES")*(DB!$E$2:$E$2576="YES"))*(($F$4="전체")+($F$4&lt;&gt;"전체")*(DB!$H$2:$H$2576=$F$4)))*(DB!$D$2:$D$2576=AK61)*1))</f>
        <v/>
      </c>
      <c r="AM61" s="65" t="str" cm="1">
        <f t="array" ref="AM61">IFERROR(INDEX(DB!$O$2:$O$2576,_xlfn.AGGREGATE(15,6,ROW(DB!$O$2:$O$2576)-1/((($D$4="")+($D$4&lt;&gt;"")*ISNUMBER(SEARCH($D$4,DB!$G$2:$G$2576)))*(($D$3&lt;&gt;"YES")+($D$3="YES")*(DB!$E$2:$E$2576="YES"))*(($D$5="")+($D$5&lt;&gt;"")*(DB!$B$2:$B$2576=$D$5))*(($D$6="")+($D$6&lt;&gt;"")*(DB!$C$2:$C$2576=$D$6))*(($D$7="")+($D$7&lt;&gt;"")*(DB!$D$2:$D$2576=$D$7))*(($F$4="전체")+($F$4&lt;&gt;"전체")*(DB!$H$2:$H$2576=$F$4))*(COUNTIF(AM$17:AM60,DB!$O$2:$O$2576)=0)),1)),"")</f>
        <v/>
      </c>
      <c r="AN61" s="65" t="str" cm="1">
        <f t="array" ref="AN61">IF(AM61="","",SUMPRODUCT(((($D$4="")+($D$4&lt;&gt;"")*ISNUMBER(SEARCH($D$4,DB!$G$2:$G$2576)))*(($D$3&lt;&gt;"YES")+($D$3="YES")*(DB!$E$2:$E$2576="YES"))*(($D$5="")+($D$5&lt;&gt;"")*(DB!$B$2:$B$2576=$D$5))*(($D$6="")+($D$6&lt;&gt;"")*(DB!$C$2:$C$2576=$D$6))*(($D$7="")+($D$7&lt;&gt;"")*(DB!$D$2:$D$2576=$D$7))*(($F$4="전체")+($F$4&lt;&gt;"전체")*(DB!$H$2:$H$2576=$F$4)))*(DB!$O$2:$O$2576=AM61)*1))</f>
        <v/>
      </c>
      <c r="AY61" t="s">
        <v>1358</v>
      </c>
      <c r="AZ61">
        <v>44</v>
      </c>
      <c r="BA61">
        <v>17</v>
      </c>
      <c r="BB61" s="11">
        <v>6.6045066045066049E-3</v>
      </c>
    </row>
    <row r="62" spans="1:54" ht="90" customHeight="1">
      <c r="A62" s="26"/>
      <c r="B62" s="73">
        <f t="shared" si="0"/>
        <v>46</v>
      </c>
      <c r="C62" s="74"/>
      <c r="D62" s="96" t="str" cm="1">
        <f t="array" ref="D62">IFERROR(INDEX(DB!B$2:B$2576,X62),"")</f>
        <v>3. 철골공사</v>
      </c>
      <c r="E62" s="107"/>
      <c r="F62" s="97" t="str" cm="1">
        <f t="array" ref="F62">IFERROR(INDEX(DB!C$2:C$2576,X62),"")</f>
        <v>3.1 철골 작업</v>
      </c>
      <c r="G62" s="108"/>
      <c r="H62" s="98" t="str" cm="1">
        <f t="array" ref="H62">IFERROR(INDEX(DB!D$2:D$2576,X62),"")</f>
        <v>3.1.2 철골 부재 인양, 조립</v>
      </c>
      <c r="I62" s="109"/>
      <c r="J62" s="99" t="str" cm="1">
        <f t="array" ref="J62">IFERROR(INDEX(DB!O$2:O$2576,X62),"")</f>
        <v>떨어짐</v>
      </c>
      <c r="K62" s="110"/>
      <c r="L62" s="75" t="str" cm="1">
        <f t="array" ref="L62">IFERROR(INDEX(DB!P$2:P$2576,X62),"")</f>
        <v>2017년 8월경 ㈜OO에서 시공하는 ㈜OO 공장 신축공사 현장에서 재해자(철골공)가 공장동 2층 철골보 위에서 볼트체결 작업 중 갑작스럽게 비가 와서 작업을 중지하고, 지상으로 내려오기 위해 철골보 수평 이동 중 중심을 잃고 지상 1층 콘크리트 바닥으로 떨어져(H≒5m) 사망</v>
      </c>
      <c r="M62" s="76" t="str" cm="1">
        <f t="array" ref="M62">IFERROR(INDEX(DB!Q$2:Q$2576,X62),"")</f>
        <v>철골 구조물 하부에 안전방망을 설치하지 않은 현장에서 안전대를 체결하지 않고 철골 상부에서 이동하다 근로자가 몸의 중심을 잃고 추락</v>
      </c>
      <c r="N62" s="77"/>
      <c r="O62" s="78" t="str" cm="1">
        <f t="array" ref="O62">IFERROR(INDEX(DB!R$2:R$2576,X62),"")</f>
        <v>▶ 철골 보 상부에서 이동시 추락방지를 위해 안전대 부착설비 설치 및 안전대 착용
▶ 승강용 사다리를 이용하여 이동할 경우 추락방지를 위해 안전대 체결
▶ 이동식크레인의 붐대 간섭 등 추락방망 설치가 곤란할 경우 철골 조립작업 전 지상애서 안전대 부착설비 설치 후 인양하여 조립 후 상부에서 안전대 체결하여 작업</v>
      </c>
      <c r="P62" s="101"/>
      <c r="Q62" s="102"/>
      <c r="R62" s="103"/>
      <c r="S62" s="43"/>
      <c r="T62" s="66" cm="1">
        <f t="array" ref="T62">IFERROR(_xlfn.AGGREGATE(15,6,ROW(DB!A$2:A$2576)/(((($D$3&lt;&gt;"YES")+($D$3="YES")*(DB!E$2:E$2576="YES"))*(($D$4="")+($D$4&lt;&gt;"")*ISNUMBER(SEARCH($D$4,DB!G$2:G$2576)))*(($D$5="")+($D$5&lt;&gt;"")*(DB!B$2:B$2576=$D$5))*(($D$6="")+($D$6&lt;&gt;"")*(DB!C$2:C$2576=$D$6))*(($D$7="")+($D$7&lt;&gt;"")*(DB!D$2:D$2576=$D$7))*(($F$4="전체")+($F$4&lt;&gt;"전체")*(DB!H$2:H$2576=$F$4)))),ROW()-16)-1,"")</f>
        <v>795</v>
      </c>
      <c r="U62" s="104" t="str" cm="1">
        <f t="array" ref="U62">IFERROR(INDEX(DB!B$2:B$2576,T62),"")</f>
        <v>3. 철골공사</v>
      </c>
      <c r="V62" s="105" t="str" cm="1">
        <f t="array" ref="V62">IFERROR(INDEX(DB!O$2:O$2576,T62),"")</f>
        <v>떨어짐</v>
      </c>
      <c r="W62" s="106">
        <f t="shared" si="1"/>
        <v>10087.046</v>
      </c>
      <c r="X62" s="149">
        <f t="shared" si="2"/>
        <v>795</v>
      </c>
      <c r="AB62" s="138" t="str" cm="1">
        <f t="array" ref="AB62">IFERROR(INDEX(AI$17:AI$66,_xlfn.AGGREGATE(15,6,ROW(AI$17:AI$66)-ROW(AI$17)+1/(AJ$17:AJ$66=LARGE(AJ$17:AJ$66,46)),COUNTIF(AC$17:AC61,LARGE(AJ$17:AJ$66,46))+1)),"")</f>
        <v/>
      </c>
      <c r="AC62" s="131" t="str">
        <f>IFERROR(LARGE(AJ$17:AJ$66,46),"")</f>
        <v/>
      </c>
      <c r="AE62" s="130" t="str" cm="1">
        <f t="array" ref="AE62">IFERROR(INDEX(AM$17:AM$66,_xlfn.AGGREGATE(15,6,ROW(AM$17:AM$66)-ROW(AM$17)+1/(AN$17:AN$66=LARGE(AN$17:AN$66,46)),COUNTIF(AF$17:AF61,LARGE(AN$17:AN$66,46))+1)),"")</f>
        <v/>
      </c>
      <c r="AF62" s="136" t="str">
        <f>IFERROR(LARGE(AN$17:AN$66,46),"")</f>
        <v/>
      </c>
      <c r="AH62" s="65" t="str" cm="1">
        <f t="array" ref="AH62">IF(AG62="","",SUMPRODUCT(((($D$4="")+($D$4&lt;&gt;"")*ISNUMBER(SEARCH($D$4,DB!$G$2:$G$2576)))*(($D$3&lt;&gt;"YES")+($D$3="YES")*(DB!$E$2:$E$2576="YES"))*(($F$4="전체")+($F$4&lt;&gt;"전체")*(DB!$H$2:$H$2576=$F$4)))*(DB!$B$2:$B$2576=AG62)*1))</f>
        <v/>
      </c>
      <c r="AI62" s="65" t="str" cm="1">
        <f t="array" ref="AI62">IFERROR(INDEX(DB!$C$2:$C$2576,_xlfn.AGGREGATE(15,6,ROW(DB!$C$2:$C$2576)-1/((($D$4="")+($D$4&lt;&gt;"")*ISNUMBER(SEARCH($D$4,DB!$G$2:$G$2576)))*(($D$3&lt;&gt;"YES")+($D$3="YES")*(DB!$E$2:$E$2576="YES"))*(($D$5="")+($D$5&lt;&gt;"")*(DB!$B$2:$B$2576=$D$5))*(($D$6="")+($D$6&lt;&gt;"")*(DB!$C$2:$C$2576=$D$6))*(($D$7="")+($D$7&lt;&gt;"")*(DB!$D$2:$D$2576=$D$7))*(($F$4="전체")+($F$4&lt;&gt;"전체")*(DB!$H$2:$H$2576=$F$4))*(COUNTIF(AI$17:AI61,DB!$C$2:$C$2576)=0)),1)),"")</f>
        <v/>
      </c>
      <c r="AJ62" s="65" t="str" cm="1">
        <f t="array" ref="AJ62">IF(AI62="","",SUMPRODUCT(((($D$4="")+($D$4&lt;&gt;"")*ISNUMBER(SEARCH($D$4,DB!$G$2:$G$2576)))*(($D$3&lt;&gt;"YES")+($D$3="YES")*(DB!$E$2:$E$2576="YES"))*(($D$5="")+($D$5&lt;&gt;"")*(DB!$B$2:$B$2576=$D$5))*(($D$6="")+($D$6&lt;&gt;"")*(DB!$C$2:$C$2576=$D$6))*(($D$7="")+($D$7&lt;&gt;"")*(DB!$D$2:$D$2576=$D$7))*(($F$4="전체")+($F$4&lt;&gt;"전체")*(DB!$H$2:$H$2576=$F$4)))*(DB!$C$2:$C$2576=AI62)*1))</f>
        <v/>
      </c>
      <c r="AK62" s="65" t="str" cm="1">
        <f t="array" ref="AK62">IFERROR(INDEX(DB!$D$2:$D$2576,_xlfn.AGGREGATE(15,6,ROW(DB!$D$2:$D$2576)-1/((($D$4="")+($D$4&lt;&gt;"")*ISNUMBER(SEARCH($D$4,DB!$G$2:$G$2576)))*(($D$3&lt;&gt;"YES")+($D$3="YES")*(DB!$E$2:$E$2576="YES"))*(($F$4="전체")+($F$4&lt;&gt;"전체")*(DB!$H$2:$H$2576=$F$4))*(COUNTIF(AK$16:AK61,DB!$D$2:$D$2576)=0)),46)),"")</f>
        <v/>
      </c>
      <c r="AL62" s="65" t="str" cm="1">
        <f t="array" ref="AL62">IF(AK62="","",SUMPRODUCT(((($D$4="")+($D$4&lt;&gt;"")*ISNUMBER(SEARCH($D$4,DB!$G$2:$G$2576)))*(($D$3&lt;&gt;"YES")+($D$3="YES")*(DB!$E$2:$E$2576="YES"))*(($F$4="전체")+($F$4&lt;&gt;"전체")*(DB!$H$2:$H$2576=$F$4)))*(DB!$D$2:$D$2576=AK62)*1))</f>
        <v/>
      </c>
      <c r="AM62" s="65" t="str" cm="1">
        <f t="array" ref="AM62">IFERROR(INDEX(DB!$O$2:$O$2576,_xlfn.AGGREGATE(15,6,ROW(DB!$O$2:$O$2576)-1/((($D$4="")+($D$4&lt;&gt;"")*ISNUMBER(SEARCH($D$4,DB!$G$2:$G$2576)))*(($D$3&lt;&gt;"YES")+($D$3="YES")*(DB!$E$2:$E$2576="YES"))*(($D$5="")+($D$5&lt;&gt;"")*(DB!$B$2:$B$2576=$D$5))*(($D$6="")+($D$6&lt;&gt;"")*(DB!$C$2:$C$2576=$D$6))*(($D$7="")+($D$7&lt;&gt;"")*(DB!$D$2:$D$2576=$D$7))*(($F$4="전체")+($F$4&lt;&gt;"전체")*(DB!$H$2:$H$2576=$F$4))*(COUNTIF(AM$17:AM61,DB!$O$2:$O$2576)=0)),1)),"")</f>
        <v/>
      </c>
      <c r="AN62" s="65" t="str" cm="1">
        <f t="array" ref="AN62">IF(AM62="","",SUMPRODUCT(((($D$4="")+($D$4&lt;&gt;"")*ISNUMBER(SEARCH($D$4,DB!$G$2:$G$2576)))*(($D$3&lt;&gt;"YES")+($D$3="YES")*(DB!$E$2:$E$2576="YES"))*(($D$5="")+($D$5&lt;&gt;"")*(DB!$B$2:$B$2576=$D$5))*(($D$6="")+($D$6&lt;&gt;"")*(DB!$C$2:$C$2576=$D$6))*(($D$7="")+($D$7&lt;&gt;"")*(DB!$D$2:$D$2576=$D$7))*(($F$4="전체")+($F$4&lt;&gt;"전체")*(DB!$H$2:$H$2576=$F$4)))*(DB!$O$2:$O$2576=AM62)*1))</f>
        <v/>
      </c>
      <c r="AY62" t="s">
        <v>3142</v>
      </c>
      <c r="AZ62">
        <v>45</v>
      </c>
      <c r="BA62">
        <v>17</v>
      </c>
      <c r="BB62" s="11">
        <v>6.6045066045066049E-3</v>
      </c>
    </row>
    <row r="63" spans="1:54" ht="90" customHeight="1">
      <c r="A63" s="79"/>
      <c r="B63" s="73">
        <f t="shared" si="0"/>
        <v>47</v>
      </c>
      <c r="C63" s="74"/>
      <c r="D63" s="96" t="str" cm="1">
        <f t="array" ref="D63">IFERROR(INDEX(DB!B$2:B$2576,X63),"")</f>
        <v>3. 철골공사</v>
      </c>
      <c r="E63" s="107"/>
      <c r="F63" s="97" t="str" cm="1">
        <f t="array" ref="F63">IFERROR(INDEX(DB!C$2:C$2576,X63),"")</f>
        <v>3.1 철골 작업</v>
      </c>
      <c r="G63" s="108"/>
      <c r="H63" s="98" t="str" cm="1">
        <f t="array" ref="H63">IFERROR(INDEX(DB!D$2:D$2576,X63),"")</f>
        <v>3.1.2 철골 부재 인양, 조립</v>
      </c>
      <c r="I63" s="109"/>
      <c r="J63" s="99" t="str" cm="1">
        <f t="array" ref="J63">IFERROR(INDEX(DB!O$2:O$2576,X63),"")</f>
        <v>떨어짐</v>
      </c>
      <c r="K63" s="110"/>
      <c r="L63" s="75" t="str" cm="1">
        <f t="array" ref="L63">IFERROR(INDEX(DB!P$2:P$2576,X63),"")</f>
        <v>2017년 9월경 OO건설㈜에서 시공하는 OO공장 신축공사 현장에서 재해자가 철골 상부에서 퍼린(Purlin) 설치작업 중 퍼린(Purlin)부재와 함께 약 9m 아래 지상 콘크리트 바닥으로 떨어져 사망</v>
      </c>
      <c r="M63" s="76" t="str" cm="1">
        <f t="array" ref="M63">IFERROR(INDEX(DB!Q$2:Q$2576,X63),"")</f>
        <v>추락방호조치가 되어 있지 않은 철골 구조물 상부에서 작업 중 근로자 추락</v>
      </c>
      <c r="N63" s="77"/>
      <c r="O63" s="78" t="str" cm="1">
        <f t="array" ref="O63">IFERROR(INDEX(DB!R$2:R$2576,X63),"")</f>
        <v>▶ 추락방지망 설치 등의 안전방호조치 실시
▶ 안전방호조치가 현장 여건 상 어려울 경우, 별도의 안전대 부착설비를 설치
▶ 작업자의 개인보호구 착용여부 관리감독</v>
      </c>
      <c r="P63" s="101"/>
      <c r="Q63" s="102"/>
      <c r="R63" s="103"/>
      <c r="S63" s="43"/>
      <c r="T63" s="66" cm="1">
        <f t="array" ref="T63">IFERROR(_xlfn.AGGREGATE(15,6,ROW(DB!A$2:A$2576)/(((($D$3&lt;&gt;"YES")+($D$3="YES")*(DB!E$2:E$2576="YES"))*(($D$4="")+($D$4&lt;&gt;"")*ISNUMBER(SEARCH($D$4,DB!G$2:G$2576)))*(($D$5="")+($D$5&lt;&gt;"")*(DB!B$2:B$2576=$D$5))*(($D$6="")+($D$6&lt;&gt;"")*(DB!C$2:C$2576=$D$6))*(($D$7="")+($D$7&lt;&gt;"")*(DB!D$2:D$2576=$D$7))*(($F$4="전체")+($F$4&lt;&gt;"전체")*(DB!H$2:H$2576=$F$4)))),ROW()-16)-1,"")</f>
        <v>798</v>
      </c>
      <c r="U63" s="104" t="str" cm="1">
        <f t="array" ref="U63">IFERROR(INDEX(DB!B$2:B$2576,T63),"")</f>
        <v>3. 철골공사</v>
      </c>
      <c r="V63" s="105" t="str" cm="1">
        <f t="array" ref="V63">IFERROR(INDEX(DB!O$2:O$2576,T63),"")</f>
        <v>떨어짐</v>
      </c>
      <c r="W63" s="106">
        <f t="shared" si="1"/>
        <v>10087.047</v>
      </c>
      <c r="X63" s="149">
        <f t="shared" si="2"/>
        <v>798</v>
      </c>
      <c r="AB63" s="138" t="str" cm="1">
        <f t="array" ref="AB63">IFERROR(INDEX(AI$17:AI$66,_xlfn.AGGREGATE(15,6,ROW(AI$17:AI$66)-ROW(AI$17)+1/(AJ$17:AJ$66=LARGE(AJ$17:AJ$66,47)),COUNTIF(AC$17:AC62,LARGE(AJ$17:AJ$66,47))+1)),"")</f>
        <v/>
      </c>
      <c r="AC63" s="131" t="str">
        <f>IFERROR(LARGE(AJ$17:AJ$66,47),"")</f>
        <v/>
      </c>
      <c r="AE63" s="130" t="str" cm="1">
        <f t="array" ref="AE63">IFERROR(INDEX(AM$17:AM$66,_xlfn.AGGREGATE(15,6,ROW(AM$17:AM$66)-ROW(AM$17)+1/(AN$17:AN$66=LARGE(AN$17:AN$66,47)),COUNTIF(AF$17:AF62,LARGE(AN$17:AN$66,47))+1)),"")</f>
        <v/>
      </c>
      <c r="AF63" s="136" t="str">
        <f>IFERROR(LARGE(AN$17:AN$66,47),"")</f>
        <v/>
      </c>
      <c r="AH63" s="65" t="str" cm="1">
        <f t="array" ref="AH63">IF(AG63="","",SUMPRODUCT(((($D$4="")+($D$4&lt;&gt;"")*ISNUMBER(SEARCH($D$4,DB!$G$2:$G$2576)))*(($D$3&lt;&gt;"YES")+($D$3="YES")*(DB!$E$2:$E$2576="YES"))*(($F$4="전체")+($F$4&lt;&gt;"전체")*(DB!$H$2:$H$2576=$F$4)))*(DB!$B$2:$B$2576=AG63)*1))</f>
        <v/>
      </c>
      <c r="AI63" s="65" t="str" cm="1">
        <f t="array" ref="AI63">IFERROR(INDEX(DB!$C$2:$C$2576,_xlfn.AGGREGATE(15,6,ROW(DB!$C$2:$C$2576)-1/((($D$4="")+($D$4&lt;&gt;"")*ISNUMBER(SEARCH($D$4,DB!$G$2:$G$2576)))*(($D$3&lt;&gt;"YES")+($D$3="YES")*(DB!$E$2:$E$2576="YES"))*(($D$5="")+($D$5&lt;&gt;"")*(DB!$B$2:$B$2576=$D$5))*(($D$6="")+($D$6&lt;&gt;"")*(DB!$C$2:$C$2576=$D$6))*(($D$7="")+($D$7&lt;&gt;"")*(DB!$D$2:$D$2576=$D$7))*(($F$4="전체")+($F$4&lt;&gt;"전체")*(DB!$H$2:$H$2576=$F$4))*(COUNTIF(AI$17:AI62,DB!$C$2:$C$2576)=0)),1)),"")</f>
        <v/>
      </c>
      <c r="AJ63" s="65" t="str" cm="1">
        <f t="array" ref="AJ63">IF(AI63="","",SUMPRODUCT(((($D$4="")+($D$4&lt;&gt;"")*ISNUMBER(SEARCH($D$4,DB!$G$2:$G$2576)))*(($D$3&lt;&gt;"YES")+($D$3="YES")*(DB!$E$2:$E$2576="YES"))*(($D$5="")+($D$5&lt;&gt;"")*(DB!$B$2:$B$2576=$D$5))*(($D$6="")+($D$6&lt;&gt;"")*(DB!$C$2:$C$2576=$D$6))*(($D$7="")+($D$7&lt;&gt;"")*(DB!$D$2:$D$2576=$D$7))*(($F$4="전체")+($F$4&lt;&gt;"전체")*(DB!$H$2:$H$2576=$F$4)))*(DB!$C$2:$C$2576=AI63)*1))</f>
        <v/>
      </c>
      <c r="AK63" s="65" t="str" cm="1">
        <f t="array" ref="AK63">IFERROR(INDEX(DB!$D$2:$D$2576,_xlfn.AGGREGATE(15,6,ROW(DB!$D$2:$D$2576)-1/((($D$4="")+($D$4&lt;&gt;"")*ISNUMBER(SEARCH($D$4,DB!$G$2:$G$2576)))*(($D$3&lt;&gt;"YES")+($D$3="YES")*(DB!$E$2:$E$2576="YES"))*(($F$4="전체")+($F$4&lt;&gt;"전체")*(DB!$H$2:$H$2576=$F$4))*(COUNTIF(AK$16:AK62,DB!$D$2:$D$2576)=0)),47)),"")</f>
        <v/>
      </c>
      <c r="AL63" s="65" t="str" cm="1">
        <f t="array" ref="AL63">IF(AK63="","",SUMPRODUCT(((($D$4="")+($D$4&lt;&gt;"")*ISNUMBER(SEARCH($D$4,DB!$G$2:$G$2576)))*(($D$3&lt;&gt;"YES")+($D$3="YES")*(DB!$E$2:$E$2576="YES"))*(($F$4="전체")+($F$4&lt;&gt;"전체")*(DB!$H$2:$H$2576=$F$4)))*(DB!$D$2:$D$2576=AK63)*1))</f>
        <v/>
      </c>
      <c r="AM63" s="65" t="str" cm="1">
        <f t="array" ref="AM63">IFERROR(INDEX(DB!$O$2:$O$2576,_xlfn.AGGREGATE(15,6,ROW(DB!$O$2:$O$2576)-1/((($D$4="")+($D$4&lt;&gt;"")*ISNUMBER(SEARCH($D$4,DB!$G$2:$G$2576)))*(($D$3&lt;&gt;"YES")+($D$3="YES")*(DB!$E$2:$E$2576="YES"))*(($D$5="")+($D$5&lt;&gt;"")*(DB!$B$2:$B$2576=$D$5))*(($D$6="")+($D$6&lt;&gt;"")*(DB!$C$2:$C$2576=$D$6))*(($D$7="")+($D$7&lt;&gt;"")*(DB!$D$2:$D$2576=$D$7))*(($F$4="전체")+($F$4&lt;&gt;"전체")*(DB!$H$2:$H$2576=$F$4))*(COUNTIF(AM$17:AM62,DB!$O$2:$O$2576)=0)),1)),"")</f>
        <v/>
      </c>
      <c r="AN63" s="65" t="str" cm="1">
        <f t="array" ref="AN63">IF(AM63="","",SUMPRODUCT(((($D$4="")+($D$4&lt;&gt;"")*ISNUMBER(SEARCH($D$4,DB!$G$2:$G$2576)))*(($D$3&lt;&gt;"YES")+($D$3="YES")*(DB!$E$2:$E$2576="YES"))*(($D$5="")+($D$5&lt;&gt;"")*(DB!$B$2:$B$2576=$D$5))*(($D$6="")+($D$6&lt;&gt;"")*(DB!$C$2:$C$2576=$D$6))*(($D$7="")+($D$7&lt;&gt;"")*(DB!$D$2:$D$2576=$D$7))*(($F$4="전체")+($F$4&lt;&gt;"전체")*(DB!$H$2:$H$2576=$F$4)))*(DB!$O$2:$O$2576=AM63)*1))</f>
        <v/>
      </c>
      <c r="AY63" t="s">
        <v>612</v>
      </c>
      <c r="AZ63">
        <v>46</v>
      </c>
      <c r="BA63">
        <v>15</v>
      </c>
      <c r="BB63" s="11">
        <v>5.8275058275058279E-3</v>
      </c>
    </row>
    <row r="64" spans="1:54" ht="90" customHeight="1">
      <c r="A64" s="26"/>
      <c r="B64" s="73">
        <f t="shared" si="0"/>
        <v>48</v>
      </c>
      <c r="C64" s="74"/>
      <c r="D64" s="96" t="str" cm="1">
        <f t="array" ref="D64">IFERROR(INDEX(DB!B$2:B$2576,X64),"")</f>
        <v>3. 철골공사</v>
      </c>
      <c r="E64" s="107"/>
      <c r="F64" s="97" t="str" cm="1">
        <f t="array" ref="F64">IFERROR(INDEX(DB!C$2:C$2576,X64),"")</f>
        <v>3.1 철골 작업</v>
      </c>
      <c r="G64" s="108"/>
      <c r="H64" s="98" t="str" cm="1">
        <f t="array" ref="H64">IFERROR(INDEX(DB!D$2:D$2576,X64),"")</f>
        <v>3.1.2 철골 부재 인양, 조립</v>
      </c>
      <c r="I64" s="109"/>
      <c r="J64" s="99" t="str" cm="1">
        <f t="array" ref="J64">IFERROR(INDEX(DB!O$2:O$2576,X64),"")</f>
        <v>떨어짐</v>
      </c>
      <c r="K64" s="110"/>
      <c r="L64" s="75" t="str" cm="1">
        <f t="array" ref="L64">IFERROR(INDEX(DB!P$2:P$2576,X64),"")</f>
        <v>2017년 12월경 OO 창고시설 신축공사 현장에서 재해자(철골공)가 철골보 위에서 지붕 마감재 고정철물(purlin)을 설치하던 중 몸의 중심을 잃고 약 11.0m 아래 지상 콘크리트 바닥으로 떨어져 사망</v>
      </c>
      <c r="M64" s="76" t="str" cm="1">
        <f t="array" ref="M64">IFERROR(INDEX(DB!Q$2:Q$2576,X64),"")</f>
        <v>추락방호조치가 되어 있지 않은 철골 구조물 상부에서 작업 중 근로자 추락</v>
      </c>
      <c r="N64" s="77"/>
      <c r="O64" s="78" t="str" cm="1">
        <f t="array" ref="O64">IFERROR(INDEX(DB!R$2:R$2576,X64),"")</f>
        <v>▶ 추락방지망 설치 등의 안전방호조치 실시
▶ 안전방호조치가 현장 여건 상 어려울 경우, 별도의 안전대 부착설비를 설치
▶ 작업자의 개인보호구 착용여부 관리감독</v>
      </c>
      <c r="P64" s="101"/>
      <c r="Q64" s="102"/>
      <c r="R64" s="103"/>
      <c r="S64" s="43"/>
      <c r="T64" s="66" cm="1">
        <f t="array" ref="T64">IFERROR(_xlfn.AGGREGATE(15,6,ROW(DB!A$2:A$2576)/(((($D$3&lt;&gt;"YES")+($D$3="YES")*(DB!E$2:E$2576="YES"))*(($D$4="")+($D$4&lt;&gt;"")*ISNUMBER(SEARCH($D$4,DB!G$2:G$2576)))*(($D$5="")+($D$5&lt;&gt;"")*(DB!B$2:B$2576=$D$5))*(($D$6="")+($D$6&lt;&gt;"")*(DB!C$2:C$2576=$D$6))*(($D$7="")+($D$7&lt;&gt;"")*(DB!D$2:D$2576=$D$7))*(($F$4="전체")+($F$4&lt;&gt;"전체")*(DB!H$2:H$2576=$F$4)))),ROW()-16)-1,"")</f>
        <v>801</v>
      </c>
      <c r="U64" s="104" t="str" cm="1">
        <f t="array" ref="U64">IFERROR(INDEX(DB!B$2:B$2576,T64),"")</f>
        <v>3. 철골공사</v>
      </c>
      <c r="V64" s="105" t="str" cm="1">
        <f t="array" ref="V64">IFERROR(INDEX(DB!O$2:O$2576,T64),"")</f>
        <v>떨어짐</v>
      </c>
      <c r="W64" s="106">
        <f t="shared" si="1"/>
        <v>10087.048000000001</v>
      </c>
      <c r="X64" s="149">
        <f t="shared" si="2"/>
        <v>801</v>
      </c>
      <c r="AB64" s="138" t="str" cm="1">
        <f t="array" ref="AB64">IFERROR(INDEX(AI$17:AI$66,_xlfn.AGGREGATE(15,6,ROW(AI$17:AI$66)-ROW(AI$17)+1/(AJ$17:AJ$66=LARGE(AJ$17:AJ$66,48)),COUNTIF(AC$17:AC63,LARGE(AJ$17:AJ$66,48))+1)),"")</f>
        <v/>
      </c>
      <c r="AC64" s="131" t="str">
        <f>IFERROR(LARGE(AJ$17:AJ$66,48),"")</f>
        <v/>
      </c>
      <c r="AE64" s="130" t="str" cm="1">
        <f t="array" ref="AE64">IFERROR(INDEX(AM$17:AM$66,_xlfn.AGGREGATE(15,6,ROW(AM$17:AM$66)-ROW(AM$17)+1/(AN$17:AN$66=LARGE(AN$17:AN$66,48)),COUNTIF(AF$17:AF63,LARGE(AN$17:AN$66,48))+1)),"")</f>
        <v/>
      </c>
      <c r="AF64" s="136" t="str">
        <f>IFERROR(LARGE(AN$17:AN$66,48),"")</f>
        <v/>
      </c>
      <c r="AH64" s="65" t="str" cm="1">
        <f t="array" ref="AH64">IF(AG64="","",SUMPRODUCT(((($D$4="")+($D$4&lt;&gt;"")*ISNUMBER(SEARCH($D$4,DB!$G$2:$G$2576)))*(($D$3&lt;&gt;"YES")+($D$3="YES")*(DB!$E$2:$E$2576="YES"))*(($F$4="전체")+($F$4&lt;&gt;"전체")*(DB!$H$2:$H$2576=$F$4)))*(DB!$B$2:$B$2576=AG64)*1))</f>
        <v/>
      </c>
      <c r="AI64" s="65" t="str" cm="1">
        <f t="array" ref="AI64">IFERROR(INDEX(DB!$C$2:$C$2576,_xlfn.AGGREGATE(15,6,ROW(DB!$C$2:$C$2576)-1/((($D$4="")+($D$4&lt;&gt;"")*ISNUMBER(SEARCH($D$4,DB!$G$2:$G$2576)))*(($D$3&lt;&gt;"YES")+($D$3="YES")*(DB!$E$2:$E$2576="YES"))*(($D$5="")+($D$5&lt;&gt;"")*(DB!$B$2:$B$2576=$D$5))*(($D$6="")+($D$6&lt;&gt;"")*(DB!$C$2:$C$2576=$D$6))*(($D$7="")+($D$7&lt;&gt;"")*(DB!$D$2:$D$2576=$D$7))*(($F$4="전체")+($F$4&lt;&gt;"전체")*(DB!$H$2:$H$2576=$F$4))*(COUNTIF(AI$17:AI63,DB!$C$2:$C$2576)=0)),1)),"")</f>
        <v/>
      </c>
      <c r="AJ64" s="65" t="str" cm="1">
        <f t="array" ref="AJ64">IF(AI64="","",SUMPRODUCT(((($D$4="")+($D$4&lt;&gt;"")*ISNUMBER(SEARCH($D$4,DB!$G$2:$G$2576)))*(($D$3&lt;&gt;"YES")+($D$3="YES")*(DB!$E$2:$E$2576="YES"))*(($D$5="")+($D$5&lt;&gt;"")*(DB!$B$2:$B$2576=$D$5))*(($D$6="")+($D$6&lt;&gt;"")*(DB!$C$2:$C$2576=$D$6))*(($D$7="")+($D$7&lt;&gt;"")*(DB!$D$2:$D$2576=$D$7))*(($F$4="전체")+($F$4&lt;&gt;"전체")*(DB!$H$2:$H$2576=$F$4)))*(DB!$C$2:$C$2576=AI64)*1))</f>
        <v/>
      </c>
      <c r="AK64" s="65" t="str" cm="1">
        <f t="array" ref="AK64">IFERROR(INDEX(DB!$D$2:$D$2576,_xlfn.AGGREGATE(15,6,ROW(DB!$D$2:$D$2576)-1/((($D$4="")+($D$4&lt;&gt;"")*ISNUMBER(SEARCH($D$4,DB!$G$2:$G$2576)))*(($D$3&lt;&gt;"YES")+($D$3="YES")*(DB!$E$2:$E$2576="YES"))*(($F$4="전체")+($F$4&lt;&gt;"전체")*(DB!$H$2:$H$2576=$F$4))*(COUNTIF(AK$16:AK63,DB!$D$2:$D$2576)=0)),48)),"")</f>
        <v/>
      </c>
      <c r="AL64" s="65" t="str" cm="1">
        <f t="array" ref="AL64">IF(AK64="","",SUMPRODUCT(((($D$4="")+($D$4&lt;&gt;"")*ISNUMBER(SEARCH($D$4,DB!$G$2:$G$2576)))*(($D$3&lt;&gt;"YES")+($D$3="YES")*(DB!$E$2:$E$2576="YES"))*(($F$4="전체")+($F$4&lt;&gt;"전체")*(DB!$H$2:$H$2576=$F$4)))*(DB!$D$2:$D$2576=AK64)*1))</f>
        <v/>
      </c>
      <c r="AM64" s="65" t="str" cm="1">
        <f t="array" ref="AM64">IFERROR(INDEX(DB!$O$2:$O$2576,_xlfn.AGGREGATE(15,6,ROW(DB!$O$2:$O$2576)-1/((($D$4="")+($D$4&lt;&gt;"")*ISNUMBER(SEARCH($D$4,DB!$G$2:$G$2576)))*(($D$3&lt;&gt;"YES")+($D$3="YES")*(DB!$E$2:$E$2576="YES"))*(($D$5="")+($D$5&lt;&gt;"")*(DB!$B$2:$B$2576=$D$5))*(($D$6="")+($D$6&lt;&gt;"")*(DB!$C$2:$C$2576=$D$6))*(($D$7="")+($D$7&lt;&gt;"")*(DB!$D$2:$D$2576=$D$7))*(($F$4="전체")+($F$4&lt;&gt;"전체")*(DB!$H$2:$H$2576=$F$4))*(COUNTIF(AM$17:AM63,DB!$O$2:$O$2576)=0)),1)),"")</f>
        <v/>
      </c>
      <c r="AN64" s="65" t="str" cm="1">
        <f t="array" ref="AN64">IF(AM64="","",SUMPRODUCT(((($D$4="")+($D$4&lt;&gt;"")*ISNUMBER(SEARCH($D$4,DB!$G$2:$G$2576)))*(($D$3&lt;&gt;"YES")+($D$3="YES")*(DB!$E$2:$E$2576="YES"))*(($D$5="")+($D$5&lt;&gt;"")*(DB!$B$2:$B$2576=$D$5))*(($D$6="")+($D$6&lt;&gt;"")*(DB!$C$2:$C$2576=$D$6))*(($D$7="")+($D$7&lt;&gt;"")*(DB!$D$2:$D$2576=$D$7))*(($F$4="전체")+($F$4&lt;&gt;"전체")*(DB!$H$2:$H$2576=$F$4)))*(DB!$O$2:$O$2576=AM64)*1))</f>
        <v/>
      </c>
      <c r="AY64" t="s">
        <v>873</v>
      </c>
      <c r="AZ64">
        <v>47</v>
      </c>
      <c r="BA64">
        <v>14</v>
      </c>
      <c r="BB64" s="11">
        <v>5.439005439005439E-3</v>
      </c>
    </row>
    <row r="65" spans="1:54" ht="90" customHeight="1">
      <c r="A65" s="79"/>
      <c r="B65" s="73">
        <f t="shared" si="0"/>
        <v>49</v>
      </c>
      <c r="C65" s="74"/>
      <c r="D65" s="96" t="str" cm="1">
        <f t="array" ref="D65">IFERROR(INDEX(DB!B$2:B$2576,X65),"")</f>
        <v>3. 철골공사</v>
      </c>
      <c r="E65" s="107"/>
      <c r="F65" s="97" t="str" cm="1">
        <f t="array" ref="F65">IFERROR(INDEX(DB!C$2:C$2576,X65),"")</f>
        <v>3.1 철골 작업</v>
      </c>
      <c r="G65" s="108"/>
      <c r="H65" s="98" t="str" cm="1">
        <f t="array" ref="H65">IFERROR(INDEX(DB!D$2:D$2576,X65),"")</f>
        <v>3.1.2 철골 부재 인양, 조립</v>
      </c>
      <c r="I65" s="109"/>
      <c r="J65" s="99" t="str" cm="1">
        <f t="array" ref="J65">IFERROR(INDEX(DB!O$2:O$2576,X65),"")</f>
        <v>떨어짐</v>
      </c>
      <c r="K65" s="110"/>
      <c r="L65" s="75" t="str" cm="1">
        <f t="array" ref="L65">IFERROR(INDEX(DB!P$2:P$2576,X65),"")</f>
        <v>2018년 1월경 ㈜OO건설 오피스텔 신축 현장에서 재해자가 주차타워 최상단 철골보의  볼트 조임작업 중 기둥에 체결했던 안전대가 풀리면서 약 24m 지상 바닥으로 떨어져 사망</v>
      </c>
      <c r="M65" s="76" t="str" cm="1">
        <f t="array" ref="M65">IFERROR(INDEX(DB!Q$2:Q$2576,X65),"")</f>
        <v xml:space="preserve">주차타워 최상단 철골보의 볼트 조임 작업 중 별도의 안전대 걸이시설를 설치하여 안전대를 걸고 작업하여야 하나 수직구명줄 미설치 상태에서 작업 중 추락 </v>
      </c>
      <c r="N65" s="77"/>
      <c r="O65" s="78" t="str" cm="1">
        <f t="array" ref="O65">IFERROR(INDEX(DB!R$2:R$2576,X65),"")</f>
        <v>▶ 주차타워설치 등 고소작업 시 안전대 부착설비 설치 및 안전대 착용
▶ 자재인양구 등 추락위험이 있는 개구부에는 안전방망을 설치하여 자재 인양 시 여닫는 방식으로 작업 실시</v>
      </c>
      <c r="P65" s="101"/>
      <c r="Q65" s="102"/>
      <c r="R65" s="103"/>
      <c r="S65" s="43"/>
      <c r="T65" s="66" cm="1">
        <f t="array" ref="T65">IFERROR(_xlfn.AGGREGATE(15,6,ROW(DB!A$2:A$2576)/(((($D$3&lt;&gt;"YES")+($D$3="YES")*(DB!E$2:E$2576="YES"))*(($D$4="")+($D$4&lt;&gt;"")*ISNUMBER(SEARCH($D$4,DB!G$2:G$2576)))*(($D$5="")+($D$5&lt;&gt;"")*(DB!B$2:B$2576=$D$5))*(($D$6="")+($D$6&lt;&gt;"")*(DB!C$2:C$2576=$D$6))*(($D$7="")+($D$7&lt;&gt;"")*(DB!D$2:D$2576=$D$7))*(($F$4="전체")+($F$4&lt;&gt;"전체")*(DB!H$2:H$2576=$F$4)))),ROW()-16)-1,"")</f>
        <v>802</v>
      </c>
      <c r="U65" s="104" t="str" cm="1">
        <f t="array" ref="U65">IFERROR(INDEX(DB!B$2:B$2576,T65),"")</f>
        <v>3. 철골공사</v>
      </c>
      <c r="V65" s="105" t="str" cm="1">
        <f t="array" ref="V65">IFERROR(INDEX(DB!O$2:O$2576,T65),"")</f>
        <v>떨어짐</v>
      </c>
      <c r="W65" s="106">
        <f t="shared" si="1"/>
        <v>10087.049000000001</v>
      </c>
      <c r="X65" s="149">
        <f t="shared" si="2"/>
        <v>802</v>
      </c>
      <c r="AB65" s="138" t="str" cm="1">
        <f t="array" ref="AB65">IFERROR(INDEX(AI$17:AI$66,_xlfn.AGGREGATE(15,6,ROW(AI$17:AI$66)-ROW(AI$17)+1/(AJ$17:AJ$66=LARGE(AJ$17:AJ$66,49)),COUNTIF(AC$17:AC64,LARGE(AJ$17:AJ$66,49))+1)),"")</f>
        <v/>
      </c>
      <c r="AC65" s="131" t="str">
        <f>IFERROR(LARGE(AJ$17:AJ$66,49),"")</f>
        <v/>
      </c>
      <c r="AE65" s="130" t="str" cm="1">
        <f t="array" ref="AE65">IFERROR(INDEX(AM$17:AM$66,_xlfn.AGGREGATE(15,6,ROW(AM$17:AM$66)-ROW(AM$17)+1/(AN$17:AN$66=LARGE(AN$17:AN$66,49)),COUNTIF(AF$17:AF64,LARGE(AN$17:AN$66,49))+1)),"")</f>
        <v/>
      </c>
      <c r="AF65" s="136" t="str">
        <f>IFERROR(LARGE(AN$17:AN$66,49),"")</f>
        <v/>
      </c>
      <c r="AH65" s="65" t="str" cm="1">
        <f t="array" ref="AH65">IF(AG65="","",SUMPRODUCT(((($D$4="")+($D$4&lt;&gt;"")*ISNUMBER(SEARCH($D$4,DB!$G$2:$G$2576)))*(($D$3&lt;&gt;"YES")+($D$3="YES")*(DB!$E$2:$E$2576="YES"))*(($F$4="전체")+($F$4&lt;&gt;"전체")*(DB!$H$2:$H$2576=$F$4)))*(DB!$B$2:$B$2576=AG65)*1))</f>
        <v/>
      </c>
      <c r="AI65" s="65" t="str" cm="1">
        <f t="array" ref="AI65">IFERROR(INDEX(DB!$C$2:$C$2576,_xlfn.AGGREGATE(15,6,ROW(DB!$C$2:$C$2576)-1/((($D$4="")+($D$4&lt;&gt;"")*ISNUMBER(SEARCH($D$4,DB!$G$2:$G$2576)))*(($D$3&lt;&gt;"YES")+($D$3="YES")*(DB!$E$2:$E$2576="YES"))*(($D$5="")+($D$5&lt;&gt;"")*(DB!$B$2:$B$2576=$D$5))*(($D$6="")+($D$6&lt;&gt;"")*(DB!$C$2:$C$2576=$D$6))*(($D$7="")+($D$7&lt;&gt;"")*(DB!$D$2:$D$2576=$D$7))*(($F$4="전체")+($F$4&lt;&gt;"전체")*(DB!$H$2:$H$2576=$F$4))*(COUNTIF(AI$17:AI64,DB!$C$2:$C$2576)=0)),1)),"")</f>
        <v/>
      </c>
      <c r="AJ65" s="65" t="str" cm="1">
        <f t="array" ref="AJ65">IF(AI65="","",SUMPRODUCT(((($D$4="")+($D$4&lt;&gt;"")*ISNUMBER(SEARCH($D$4,DB!$G$2:$G$2576)))*(($D$3&lt;&gt;"YES")+($D$3="YES")*(DB!$E$2:$E$2576="YES"))*(($D$5="")+($D$5&lt;&gt;"")*(DB!$B$2:$B$2576=$D$5))*(($D$6="")+($D$6&lt;&gt;"")*(DB!$C$2:$C$2576=$D$6))*(($D$7="")+($D$7&lt;&gt;"")*(DB!$D$2:$D$2576=$D$7))*(($F$4="전체")+($F$4&lt;&gt;"전체")*(DB!$H$2:$H$2576=$F$4)))*(DB!$C$2:$C$2576=AI65)*1))</f>
        <v/>
      </c>
      <c r="AK65" s="65" t="str" cm="1">
        <f t="array" ref="AK65">IFERROR(INDEX(DB!$D$2:$D$2576,_xlfn.AGGREGATE(15,6,ROW(DB!$D$2:$D$2576)-1/((($D$4="")+($D$4&lt;&gt;"")*ISNUMBER(SEARCH($D$4,DB!$G$2:$G$2576)))*(($D$3&lt;&gt;"YES")+($D$3="YES")*(DB!$E$2:$E$2576="YES"))*(($F$4="전체")+($F$4&lt;&gt;"전체")*(DB!$H$2:$H$2576=$F$4))*(COUNTIF(AK$16:AK64,DB!$D$2:$D$2576)=0)),49)),"")</f>
        <v/>
      </c>
      <c r="AL65" s="65" t="str" cm="1">
        <f t="array" ref="AL65">IF(AK65="","",SUMPRODUCT(((($D$4="")+($D$4&lt;&gt;"")*ISNUMBER(SEARCH($D$4,DB!$G$2:$G$2576)))*(($D$3&lt;&gt;"YES")+($D$3="YES")*(DB!$E$2:$E$2576="YES"))*(($F$4="전체")+($F$4&lt;&gt;"전체")*(DB!$H$2:$H$2576=$F$4)))*(DB!$D$2:$D$2576=AK65)*1))</f>
        <v/>
      </c>
      <c r="AM65" s="65" t="str" cm="1">
        <f t="array" ref="AM65">IFERROR(INDEX(DB!$O$2:$O$2576,_xlfn.AGGREGATE(15,6,ROW(DB!$O$2:$O$2576)-1/((($D$4="")+($D$4&lt;&gt;"")*ISNUMBER(SEARCH($D$4,DB!$G$2:$G$2576)))*(($D$3&lt;&gt;"YES")+($D$3="YES")*(DB!$E$2:$E$2576="YES"))*(($D$5="")+($D$5&lt;&gt;"")*(DB!$B$2:$B$2576=$D$5))*(($D$6="")+($D$6&lt;&gt;"")*(DB!$C$2:$C$2576=$D$6))*(($D$7="")+($D$7&lt;&gt;"")*(DB!$D$2:$D$2576=$D$7))*(($F$4="전체")+($F$4&lt;&gt;"전체")*(DB!$H$2:$H$2576=$F$4))*(COUNTIF(AM$17:AM64,DB!$O$2:$O$2576)=0)),1)),"")</f>
        <v/>
      </c>
      <c r="AN65" s="65" t="str" cm="1">
        <f t="array" ref="AN65">IF(AM65="","",SUMPRODUCT(((($D$4="")+($D$4&lt;&gt;"")*ISNUMBER(SEARCH($D$4,DB!$G$2:$G$2576)))*(($D$3&lt;&gt;"YES")+($D$3="YES")*(DB!$E$2:$E$2576="YES"))*(($D$5="")+($D$5&lt;&gt;"")*(DB!$B$2:$B$2576=$D$5))*(($D$6="")+($D$6&lt;&gt;"")*(DB!$C$2:$C$2576=$D$6))*(($D$7="")+($D$7&lt;&gt;"")*(DB!$D$2:$D$2576=$D$7))*(($F$4="전체")+($F$4&lt;&gt;"전체")*(DB!$H$2:$H$2576=$F$4)))*(DB!$O$2:$O$2576=AM65)*1))</f>
        <v/>
      </c>
      <c r="AY65" t="s">
        <v>444</v>
      </c>
      <c r="AZ65">
        <v>48</v>
      </c>
      <c r="BA65">
        <v>13</v>
      </c>
      <c r="BB65" s="11">
        <v>5.0505050505050509E-3</v>
      </c>
    </row>
    <row r="66" spans="1:54" ht="90" customHeight="1">
      <c r="A66" s="26"/>
      <c r="B66" s="73">
        <f t="shared" si="0"/>
        <v>50</v>
      </c>
      <c r="C66" s="74"/>
      <c r="D66" s="96" t="str" cm="1">
        <f t="array" ref="D66">IFERROR(INDEX(DB!B$2:B$2576,X66),"")</f>
        <v>3. 철골공사</v>
      </c>
      <c r="E66" s="107"/>
      <c r="F66" s="97" t="str" cm="1">
        <f t="array" ref="F66">IFERROR(INDEX(DB!C$2:C$2576,X66),"")</f>
        <v>3.1 철골 작업</v>
      </c>
      <c r="G66" s="108"/>
      <c r="H66" s="98" t="str" cm="1">
        <f t="array" ref="H66">IFERROR(INDEX(DB!D$2:D$2576,X66),"")</f>
        <v>3.1.2 철골 부재 인양, 조립</v>
      </c>
      <c r="I66" s="109"/>
      <c r="J66" s="99" t="str" cm="1">
        <f t="array" ref="J66">IFERROR(INDEX(DB!O$2:O$2576,X66),"")</f>
        <v>떨어짐</v>
      </c>
      <c r="K66" s="110"/>
      <c r="L66" s="75" t="str" cm="1">
        <f t="array" ref="L66">IFERROR(INDEX(DB!P$2:P$2576,X66),"")</f>
        <v>2018년 3월경 ㈜OO 판매시설 증·개축현장에서 재해자가 3층 철골보의 볼트 조임작업을 위해 H빔 상단에서 이동 중 약 9.5m 지상 바닥으로 떨어져 사망</v>
      </c>
      <c r="M66" s="76" t="str" cm="1">
        <f t="array" ref="M66">IFERROR(INDEX(DB!Q$2:Q$2576,X66),"")</f>
        <v>철골 구조물 하부에 안전방망을 설치하지 않은 현장에서 안전대를 체결하지 않고 철골 상부에서 이동하다 근로자가 몸의 중심을 잃고 추락</v>
      </c>
      <c r="N66" s="77"/>
      <c r="O66" s="78" t="str" cm="1">
        <f t="array" ref="O66">IFERROR(INDEX(DB!R$2:R$2576,X66),"")</f>
        <v>▶ 철골 보 상부에서 이동시 추락방지를 위해 안전대 부착설비 설치 및 안전대 착용
▶ 승강용 사다리를 이용하여 이동할 경우 추락방지를 위해 안전대 체결
▶ 이동식크레인의 붐대 간섭 등 추락방망 설치가 곤란할 경우 철골 조립작업 전 지상애서 안전대 부착설비 설치 후 인양하여 조립 후 상부에서 안전대 체결하여 작업</v>
      </c>
      <c r="P66" s="101"/>
      <c r="Q66" s="102"/>
      <c r="R66" s="103"/>
      <c r="S66" s="43"/>
      <c r="T66" s="66" cm="1">
        <f t="array" ref="T66">IFERROR(_xlfn.AGGREGATE(15,6,ROW(DB!A$2:A$2576)/(((($D$3&lt;&gt;"YES")+($D$3="YES")*(DB!E$2:E$2576="YES"))*(($D$4="")+($D$4&lt;&gt;"")*ISNUMBER(SEARCH($D$4,DB!G$2:G$2576)))*(($D$5="")+($D$5&lt;&gt;"")*(DB!B$2:B$2576=$D$5))*(($D$6="")+($D$6&lt;&gt;"")*(DB!C$2:C$2576=$D$6))*(($D$7="")+($D$7&lt;&gt;"")*(DB!D$2:D$2576=$D$7))*(($F$4="전체")+($F$4&lt;&gt;"전체")*(DB!H$2:H$2576=$F$4)))),ROW()-16)-1,"")</f>
        <v>803</v>
      </c>
      <c r="U66" s="104" t="str" cm="1">
        <f t="array" ref="U66">IFERROR(INDEX(DB!B$2:B$2576,T66),"")</f>
        <v>3. 철골공사</v>
      </c>
      <c r="V66" s="105" t="str" cm="1">
        <f t="array" ref="V66">IFERROR(INDEX(DB!O$2:O$2576,T66),"")</f>
        <v>떨어짐</v>
      </c>
      <c r="W66" s="106">
        <f t="shared" si="1"/>
        <v>10087.049999999999</v>
      </c>
      <c r="X66" s="149">
        <f t="shared" si="2"/>
        <v>803</v>
      </c>
      <c r="AB66" s="138" t="str" cm="1">
        <f t="array" ref="AB66">IFERROR(INDEX(AI$17:AI$66,_xlfn.AGGREGATE(15,6,ROW(AI$17:AI$66)-ROW(AI$17)+1/(AJ$17:AJ$66=LARGE(AJ$17:AJ$66,50)),COUNTIF(AC$17:AC65,LARGE(AJ$17:AJ$66,50))+1)),"")</f>
        <v/>
      </c>
      <c r="AC66" s="131" t="str">
        <f>IFERROR(LARGE(AJ$17:AJ$66,50),"")</f>
        <v/>
      </c>
      <c r="AE66" s="130" t="str" cm="1">
        <f t="array" ref="AE66">IFERROR(INDEX(AM$17:AM$66,_xlfn.AGGREGATE(15,6,ROW(AM$17:AM$66)-ROW(AM$17)+1/(AN$17:AN$66=LARGE(AN$17:AN$66,50)),COUNTIF(AF$17:AF65,LARGE(AN$17:AN$66,50))+1)),"")</f>
        <v/>
      </c>
      <c r="AF66" s="136" t="str">
        <f>IFERROR(LARGE(AN$17:AN$66,50),"")</f>
        <v/>
      </c>
      <c r="AH66" s="65" t="str" cm="1">
        <f t="array" ref="AH66">IF(AG66="","",SUMPRODUCT(((($D$4="")+($D$4&lt;&gt;"")*ISNUMBER(SEARCH($D$4,DB!$G$2:$G$2576)))*(($D$3&lt;&gt;"YES")+($D$3="YES")*(DB!$E$2:$E$2576="YES"))*(($F$4="전체")+($F$4&lt;&gt;"전체")*(DB!$H$2:$H$2576=$F$4)))*(DB!$B$2:$B$2576=AG66)*1))</f>
        <v/>
      </c>
      <c r="AI66" s="65" t="str" cm="1">
        <f t="array" ref="AI66">IFERROR(INDEX(DB!$C$2:$C$2576,_xlfn.AGGREGATE(15,6,ROW(DB!$C$2:$C$2576)-1/((($D$4="")+($D$4&lt;&gt;"")*ISNUMBER(SEARCH($D$4,DB!$G$2:$G$2576)))*(($D$3&lt;&gt;"YES")+($D$3="YES")*(DB!$E$2:$E$2576="YES"))*(($D$5="")+($D$5&lt;&gt;"")*(DB!$B$2:$B$2576=$D$5))*(($D$6="")+($D$6&lt;&gt;"")*(DB!$C$2:$C$2576=$D$6))*(($D$7="")+($D$7&lt;&gt;"")*(DB!$D$2:$D$2576=$D$7))*(($F$4="전체")+($F$4&lt;&gt;"전체")*(DB!$H$2:$H$2576=$F$4))*(COUNTIF(AI$17:AI65,DB!$C$2:$C$2576)=0)),1)),"")</f>
        <v/>
      </c>
      <c r="AJ66" s="65" t="str" cm="1">
        <f t="array" ref="AJ66">IF(AI66="","",SUMPRODUCT(((($D$4="")+($D$4&lt;&gt;"")*ISNUMBER(SEARCH($D$4,DB!$G$2:$G$2576)))*(($D$3&lt;&gt;"YES")+($D$3="YES")*(DB!$E$2:$E$2576="YES"))*(($D$5="")+($D$5&lt;&gt;"")*(DB!$B$2:$B$2576=$D$5))*(($D$6="")+($D$6&lt;&gt;"")*(DB!$C$2:$C$2576=$D$6))*(($D$7="")+($D$7&lt;&gt;"")*(DB!$D$2:$D$2576=$D$7))*(($F$4="전체")+($F$4&lt;&gt;"전체")*(DB!$H$2:$H$2576=$F$4)))*(DB!$C$2:$C$2576=AI66)*1))</f>
        <v/>
      </c>
      <c r="AK66" s="65" t="str" cm="1">
        <f t="array" ref="AK66">IFERROR(INDEX(DB!$D$2:$D$2576,_xlfn.AGGREGATE(15,6,ROW(DB!$D$2:$D$2576)-1/((($D$4="")+($D$4&lt;&gt;"")*ISNUMBER(SEARCH($D$4,DB!$G$2:$G$2576)))*(($D$3&lt;&gt;"YES")+($D$3="YES")*(DB!$E$2:$E$2576="YES"))*(($F$4="전체")+($F$4&lt;&gt;"전체")*(DB!$H$2:$H$2576=$F$4))*(COUNTIF(AK$16:AK65,DB!$D$2:$D$2576)=0)),50)),"")</f>
        <v/>
      </c>
      <c r="AL66" s="65" t="str" cm="1">
        <f t="array" ref="AL66">IF(AK66="","",SUMPRODUCT(((($D$4="")+($D$4&lt;&gt;"")*ISNUMBER(SEARCH($D$4,DB!$G$2:$G$2576)))*(($D$3&lt;&gt;"YES")+($D$3="YES")*(DB!$E$2:$E$2576="YES"))*(($F$4="전체")+($F$4&lt;&gt;"전체")*(DB!$H$2:$H$2576=$F$4)))*(DB!$D$2:$D$2576=AK66)*1))</f>
        <v/>
      </c>
      <c r="AM66" s="65" t="str" cm="1">
        <f t="array" ref="AM66">IFERROR(INDEX(DB!$O$2:$O$2576,_xlfn.AGGREGATE(15,6,ROW(DB!$O$2:$O$2576)-1/((($D$4="")+($D$4&lt;&gt;"")*ISNUMBER(SEARCH($D$4,DB!$G$2:$G$2576)))*(($D$3&lt;&gt;"YES")+($D$3="YES")*(DB!$E$2:$E$2576="YES"))*(($D$5="")+($D$5&lt;&gt;"")*(DB!$B$2:$B$2576=$D$5))*(($D$6="")+($D$6&lt;&gt;"")*(DB!$C$2:$C$2576=$D$6))*(($D$7="")+($D$7&lt;&gt;"")*(DB!$D$2:$D$2576=$D$7))*(($F$4="전체")+($F$4&lt;&gt;"전체")*(DB!$H$2:$H$2576=$F$4))*(COUNTIF(AM$17:AM65,DB!$O$2:$O$2576)=0)),1)),"")</f>
        <v/>
      </c>
      <c r="AN66" s="65" t="str" cm="1">
        <f t="array" ref="AN66">IF(AM66="","",SUMPRODUCT(((($D$4="")+($D$4&lt;&gt;"")*ISNUMBER(SEARCH($D$4,DB!$G$2:$G$2576)))*(($D$3&lt;&gt;"YES")+($D$3="YES")*(DB!$E$2:$E$2576="YES"))*(($D$5="")+($D$5&lt;&gt;"")*(DB!$B$2:$B$2576=$D$5))*(($D$6="")+($D$6&lt;&gt;"")*(DB!$C$2:$C$2576=$D$6))*(($D$7="")+($D$7&lt;&gt;"")*(DB!$D$2:$D$2576=$D$7))*(($F$4="전체")+($F$4&lt;&gt;"전체")*(DB!$H$2:$H$2576=$F$4)))*(DB!$O$2:$O$2576=AM66)*1))</f>
        <v/>
      </c>
      <c r="AY66" t="s">
        <v>851</v>
      </c>
      <c r="AZ66">
        <v>49</v>
      </c>
      <c r="BA66">
        <v>11</v>
      </c>
      <c r="BB66" s="11">
        <v>4.2735042735042739E-3</v>
      </c>
    </row>
    <row r="67" spans="1:54" ht="90" customHeight="1">
      <c r="A67" s="26"/>
      <c r="B67" s="73">
        <f t="shared" si="0"/>
        <v>51</v>
      </c>
      <c r="C67" s="74"/>
      <c r="D67" s="96" t="str" cm="1">
        <f t="array" ref="D67">IFERROR(INDEX(DB!B$2:B$2576,X67),"")</f>
        <v>3. 철골공사</v>
      </c>
      <c r="E67" s="107"/>
      <c r="F67" s="97" t="str" cm="1">
        <f t="array" ref="F67">IFERROR(INDEX(DB!C$2:C$2576,X67),"")</f>
        <v>3.1 철골 작업</v>
      </c>
      <c r="G67" s="108"/>
      <c r="H67" s="98" t="str" cm="1">
        <f t="array" ref="H67">IFERROR(INDEX(DB!D$2:D$2576,X67),"")</f>
        <v>3.1.2 철골 부재 인양, 조립</v>
      </c>
      <c r="I67" s="109"/>
      <c r="J67" s="99" t="str" cm="1">
        <f t="array" ref="J67">IFERROR(INDEX(DB!O$2:O$2576,X67),"")</f>
        <v>떨어짐</v>
      </c>
      <c r="K67" s="110"/>
      <c r="L67" s="75" t="str" cm="1">
        <f t="array" ref="L67">IFERROR(INDEX(DB!P$2:P$2576,X67),"")</f>
        <v>2018년 4월경 ㈜OO건설에서 시공중인 OO 신축공사 현장에서 재해자(철골공)가 기계식 주차장 내부 벽체고정용 브라켓 4단높이에서 철골 연결부위 볼트의 본조임 작업을 위해 이동 또는 작업 중 몸의 중심을 잃고 지하2층 높이에 기 설치된 철판 파렛트 바닥(H≒19.232m)으로 떨어져 사망</v>
      </c>
      <c r="M67" s="76" t="str" cm="1">
        <f t="array" ref="M67">IFERROR(INDEX(DB!Q$2:Q$2576,X67),"")</f>
        <v>기계식 주차장 내부 벽체고정용 브라켓 4단높이에서 안전대 미착용한 상태에서 철골 연결부위 볼트의 본조임 작업을 위해 이동 중 근로자가 몸의 중심을 잃고 추락</v>
      </c>
      <c r="N67" s="77"/>
      <c r="O67" s="78" t="str" cm="1">
        <f t="array" ref="O67">IFERROR(INDEX(DB!R$2:R$2576,X67),"")</f>
        <v>▶ 기계식 주차설비 등 철골작업 시 근로자 주요 이동통로에 고정된 가설통로 설치 및 안전대 부착설비 설치
▶ 기계식 주차설비 등 수평방형, 수직방향 철골이 연결되는 부분에서 작업 시 시스템비계 또는 달대비계 등 작업발판 설치
▶ 작업발판의 설치가 곤란할 경우 작업면으로부터 수직거리 10m 이내에 안전방망 설치</v>
      </c>
      <c r="P67" s="100"/>
      <c r="Q67" s="102"/>
      <c r="R67" s="150"/>
      <c r="S67" s="43"/>
      <c r="T67" s="66" cm="1">
        <f t="array" ref="T67">IFERROR(_xlfn.AGGREGATE(15,6,ROW(DB!A$2:A$2576)/(((($D$3&lt;&gt;"YES")+($D$3="YES")*(DB!E$2:E$2576="YES"))*(($D$4="")+($D$4&lt;&gt;"")*ISNUMBER(SEARCH($D$4,DB!G$2:G$2576)))*(($D$5="")+($D$5&lt;&gt;"")*(DB!B$2:B$2576=$D$5))*(($D$6="")+($D$6&lt;&gt;"")*(DB!C$2:C$2576=$D$6))*(($D$7="")+($D$7&lt;&gt;"")*(DB!D$2:D$2576=$D$7))*(($F$4="전체")+($F$4&lt;&gt;"전체")*(DB!H$2:H$2576=$F$4)))),ROW()-16)-1,"")</f>
        <v>804</v>
      </c>
      <c r="U67" s="104" t="str" cm="1">
        <f t="array" ref="U67">IFERROR(INDEX(DB!B$2:B$2576,T67),"")</f>
        <v>3. 철골공사</v>
      </c>
      <c r="V67" s="105" t="str" cm="1">
        <f t="array" ref="V67">IFERROR(INDEX(DB!O$2:O$2576,T67),"")</f>
        <v>떨어짐</v>
      </c>
      <c r="W67" s="106">
        <f t="shared" si="1"/>
        <v>10087.050999999999</v>
      </c>
      <c r="X67" s="149">
        <f t="shared" si="2"/>
        <v>804</v>
      </c>
      <c r="AB67" s="151"/>
      <c r="AC67" s="131"/>
      <c r="AE67" s="130"/>
      <c r="AF67" s="136"/>
      <c r="AH67" s="65"/>
      <c r="AI67" s="65"/>
      <c r="AJ67" s="65"/>
      <c r="AK67" s="65"/>
      <c r="AL67" s="65"/>
      <c r="AM67" s="65"/>
      <c r="AN67" s="65"/>
      <c r="BB67" s="11"/>
    </row>
    <row r="68" spans="1:54" ht="90" customHeight="1">
      <c r="A68" s="26"/>
      <c r="B68" s="73">
        <f t="shared" si="0"/>
        <v>52</v>
      </c>
      <c r="C68" s="74"/>
      <c r="D68" s="96" t="str" cm="1">
        <f t="array" ref="D68">IFERROR(INDEX(DB!B$2:B$2576,X68),"")</f>
        <v>3. 철골공사</v>
      </c>
      <c r="E68" s="107"/>
      <c r="F68" s="97" t="str" cm="1">
        <f t="array" ref="F68">IFERROR(INDEX(DB!C$2:C$2576,X68),"")</f>
        <v>3.1 철골 작업</v>
      </c>
      <c r="G68" s="108"/>
      <c r="H68" s="98" t="str" cm="1">
        <f t="array" ref="H68">IFERROR(INDEX(DB!D$2:D$2576,X68),"")</f>
        <v>3.1.2 철골 부재 인양, 조립</v>
      </c>
      <c r="I68" s="109"/>
      <c r="J68" s="99" t="str" cm="1">
        <f t="array" ref="J68">IFERROR(INDEX(DB!O$2:O$2576,X68),"")</f>
        <v>떨어짐</v>
      </c>
      <c r="K68" s="110"/>
      <c r="L68" s="75" t="str" cm="1">
        <f t="array" ref="L68">IFERROR(INDEX(DB!P$2:P$2576,X68),"")</f>
        <v>2018년 7월경 OO 무역공장 신축공사 현장에서 지붕 용마루 부근에 다발로 적치된 중도리(퍼린,C형강)를 설치 위치에 배열하기위해 재해자(철골공)가 동료작업자 2명과 함께 길이 8.4M의 철골 중도리 1개를 함께 들고 각각 4M 떨어진 폭 20cm의 지붕 철골 보 위에서 이동하던 중 재해자만 몸의 중심을 잃고 6M 하부 콘크리트 바닥으로 떨어져 사망</v>
      </c>
      <c r="M68" s="76" t="str" cm="1">
        <f t="array" ref="M68">IFERROR(INDEX(DB!Q$2:Q$2576,X68),"")</f>
        <v>철골 구조물 하부에 안전방망을 설치하지 않은 현장에서 안전대를 체결하지 않고 철골 상부에서 이동하다 근로자가 몸의 중심을 잃고 추락</v>
      </c>
      <c r="N68" s="77"/>
      <c r="O68" s="78" t="str" cm="1">
        <f t="array" ref="O68">IFERROR(INDEX(DB!R$2:R$2576,X68),"")</f>
        <v>▶ 철골 보 상부에서 이동시 추락방지를 위해 안전대 부착설비 설치 및 안전대 착용
▶ 승강용 사다리를 이용하여 이동할 경우 추락방지를 위해 안전대 체결
▶ 이동식크레인의 붐대 간섭 등 추락방망 설치가 곤란할 경우 철골 조립작업 전 지상애서 안전대 부착설비 설치 후 인양하여 조립 후 상부에서 안전대 체결하여 작업</v>
      </c>
      <c r="P68" s="100"/>
      <c r="Q68" s="102"/>
      <c r="R68" s="150"/>
      <c r="S68" s="43"/>
      <c r="T68" s="66" cm="1">
        <f t="array" ref="T68">IFERROR(_xlfn.AGGREGATE(15,6,ROW(DB!A$2:A$2576)/(((($D$3&lt;&gt;"YES")+($D$3="YES")*(DB!E$2:E$2576="YES"))*(($D$4="")+($D$4&lt;&gt;"")*ISNUMBER(SEARCH($D$4,DB!G$2:G$2576)))*(($D$5="")+($D$5&lt;&gt;"")*(DB!B$2:B$2576=$D$5))*(($D$6="")+($D$6&lt;&gt;"")*(DB!C$2:C$2576=$D$6))*(($D$7="")+($D$7&lt;&gt;"")*(DB!D$2:D$2576=$D$7))*(($F$4="전체")+($F$4&lt;&gt;"전체")*(DB!H$2:H$2576=$F$4)))),ROW()-16)-1,"")</f>
        <v>807</v>
      </c>
      <c r="U68" s="104" t="str" cm="1">
        <f t="array" ref="U68">IFERROR(INDEX(DB!B$2:B$2576,T68),"")</f>
        <v>3. 철골공사</v>
      </c>
      <c r="V68" s="105" t="str" cm="1">
        <f t="array" ref="V68">IFERROR(INDEX(DB!O$2:O$2576,T68),"")</f>
        <v>떨어짐</v>
      </c>
      <c r="W68" s="106">
        <f t="shared" si="1"/>
        <v>10087.052</v>
      </c>
      <c r="X68" s="149">
        <f t="shared" si="2"/>
        <v>807</v>
      </c>
      <c r="AB68" s="151"/>
      <c r="AC68" s="131"/>
      <c r="AE68" s="130"/>
      <c r="AF68" s="136"/>
      <c r="AH68" s="65"/>
      <c r="AI68" s="65"/>
      <c r="AJ68" s="65"/>
      <c r="AK68" s="65"/>
      <c r="AL68" s="65"/>
      <c r="AM68" s="65"/>
      <c r="AN68" s="65"/>
      <c r="BB68" s="11"/>
    </row>
    <row r="69" spans="1:54" ht="90" customHeight="1">
      <c r="A69" s="26"/>
      <c r="B69" s="73">
        <f t="shared" si="0"/>
        <v>53</v>
      </c>
      <c r="C69" s="74"/>
      <c r="D69" s="96" t="str" cm="1">
        <f t="array" ref="D69">IFERROR(INDEX(DB!B$2:B$2576,X69),"")</f>
        <v>3. 철골공사</v>
      </c>
      <c r="E69" s="107"/>
      <c r="F69" s="97" t="str" cm="1">
        <f t="array" ref="F69">IFERROR(INDEX(DB!C$2:C$2576,X69),"")</f>
        <v>3.1 철골 작업</v>
      </c>
      <c r="G69" s="108"/>
      <c r="H69" s="98" t="str" cm="1">
        <f t="array" ref="H69">IFERROR(INDEX(DB!D$2:D$2576,X69),"")</f>
        <v>3.1.2 철골 부재 인양, 조립</v>
      </c>
      <c r="I69" s="109"/>
      <c r="J69" s="99" t="str" cm="1">
        <f t="array" ref="J69">IFERROR(INDEX(DB!O$2:O$2576,X69),"")</f>
        <v>떨어짐</v>
      </c>
      <c r="K69" s="110"/>
      <c r="L69" s="75" t="str" cm="1">
        <f t="array" ref="L69">IFERROR(INDEX(DB!P$2:P$2576,X69),"")</f>
        <v>2018년 7월경 ㈜OO 주상복합 신축공사 현장에서 재해자(철골공)가 철골 보 설치용 철판을 용접하기 위하여 철골구조 하부에 설치된 추락방호망으로 이동 중 방망의 달기 로프가 끊어지면서 높이 약 8.5m 의 아래 터파기 바닥으로 추락하여 사망</v>
      </c>
      <c r="M69" s="76" t="str" cm="1">
        <f t="array" ref="M69">IFERROR(INDEX(DB!Q$2:Q$2576,X69),"")</f>
        <v>철골 보 설치용 철판을 용접하기 위해 철골구조 하부에 설치된 추락방호망으로 이동 중 방망의 달기 로프가 끊어지면서 근로자가 추락</v>
      </c>
      <c r="N69" s="77"/>
      <c r="O69" s="78" t="str" cm="1">
        <f t="array" ref="O69">IFERROR(INDEX(DB!R$2:R$2576,X69),"")</f>
        <v>▶ 철골 보 웨브 구간 용접 등 추락위험이 있는 장소에서 작업 시 해당 철골 보의 형상과 치수에 맞는 달대비계 제작 후 철골 보에 매달아 작업 실시
▶ 안전방망의 달기로프가 묶여져 있는 장소에서 용접 작업 시 불티의 비산에 의한 훼손 유의 및 작업 후 안전방망 결속상태 점검</v>
      </c>
      <c r="P69" s="100"/>
      <c r="Q69" s="102"/>
      <c r="R69" s="150"/>
      <c r="S69" s="43"/>
      <c r="T69" s="66" cm="1">
        <f t="array" ref="T69">IFERROR(_xlfn.AGGREGATE(15,6,ROW(DB!A$2:A$2576)/(((($D$3&lt;&gt;"YES")+($D$3="YES")*(DB!E$2:E$2576="YES"))*(($D$4="")+($D$4&lt;&gt;"")*ISNUMBER(SEARCH($D$4,DB!G$2:G$2576)))*(($D$5="")+($D$5&lt;&gt;"")*(DB!B$2:B$2576=$D$5))*(($D$6="")+($D$6&lt;&gt;"")*(DB!C$2:C$2576=$D$6))*(($D$7="")+($D$7&lt;&gt;"")*(DB!D$2:D$2576=$D$7))*(($F$4="전체")+($F$4&lt;&gt;"전체")*(DB!H$2:H$2576=$F$4)))),ROW()-16)-1,"")</f>
        <v>808</v>
      </c>
      <c r="U69" s="104" t="str" cm="1">
        <f t="array" ref="U69">IFERROR(INDEX(DB!B$2:B$2576,T69),"")</f>
        <v>3. 철골공사</v>
      </c>
      <c r="V69" s="105" t="str" cm="1">
        <f t="array" ref="V69">IFERROR(INDEX(DB!O$2:O$2576,T69),"")</f>
        <v>떨어짐</v>
      </c>
      <c r="W69" s="106">
        <f t="shared" si="1"/>
        <v>10087.053</v>
      </c>
      <c r="X69" s="149">
        <f t="shared" si="2"/>
        <v>808</v>
      </c>
      <c r="AB69" s="151"/>
      <c r="AC69" s="131"/>
      <c r="AE69" s="130"/>
      <c r="AF69" s="136"/>
      <c r="AH69" s="65"/>
      <c r="AI69" s="65"/>
      <c r="AJ69" s="65"/>
      <c r="AK69" s="65"/>
      <c r="AL69" s="65"/>
      <c r="AM69" s="65"/>
      <c r="AN69" s="65"/>
      <c r="BB69" s="11"/>
    </row>
    <row r="70" spans="1:54" ht="90" customHeight="1">
      <c r="A70" s="26"/>
      <c r="B70" s="73">
        <f t="shared" si="0"/>
        <v>54</v>
      </c>
      <c r="C70" s="74"/>
      <c r="D70" s="96" t="str" cm="1">
        <f t="array" ref="D70">IFERROR(INDEX(DB!B$2:B$2576,X70),"")</f>
        <v>3. 철골공사</v>
      </c>
      <c r="E70" s="107"/>
      <c r="F70" s="97" t="str" cm="1">
        <f t="array" ref="F70">IFERROR(INDEX(DB!C$2:C$2576,X70),"")</f>
        <v>3.1 철골 작업</v>
      </c>
      <c r="G70" s="108"/>
      <c r="H70" s="98" t="str" cm="1">
        <f t="array" ref="H70">IFERROR(INDEX(DB!D$2:D$2576,X70),"")</f>
        <v>3.1.2 철골 부재 인양, 조립</v>
      </c>
      <c r="I70" s="109"/>
      <c r="J70" s="99" t="str" cm="1">
        <f t="array" ref="J70">IFERROR(INDEX(DB!O$2:O$2576,X70),"")</f>
        <v>떨어짐</v>
      </c>
      <c r="K70" s="110"/>
      <c r="L70" s="75" t="str" cm="1">
        <f t="array" ref="L70">IFERROR(INDEX(DB!P$2:P$2576,X70),"")</f>
        <v xml:space="preserve"> 2018년 11월경 근생시설 신축공사현장에서 재해자가 주차타워 철골기둥 조립작업을 마치고 내려오다 승강용트랩에서 손을 놓쳐 몸의 중심을 잃고 추락(H≒8.4m)하여 사망</v>
      </c>
      <c r="M70" s="76" t="str" cm="1">
        <f t="array" ref="M70">IFERROR(INDEX(DB!Q$2:Q$2576,X70),"")</f>
        <v>주차타워 철골기둥 조립작업을 마치고 내려오다 승강용트랩에서 손을 놓쳐 몸의 중심을 잃고 추락</v>
      </c>
      <c r="N70" s="77"/>
      <c r="O70" s="78" t="str" cm="1">
        <f t="array" ref="O70">IFERROR(INDEX(DB!R$2:R$2576,X70),"")</f>
        <v>▶ 철골 보 상부에서 작업 시 추락방지를 위해 안전대 부착설비 설치 및 안전대 착용
▶ 승강용 사다리를 이용하여 이동할 경우 추락방지를 위해 안전대 체결</v>
      </c>
      <c r="P70" s="100"/>
      <c r="Q70" s="102"/>
      <c r="R70" s="150"/>
      <c r="S70" s="43"/>
      <c r="T70" s="66" cm="1">
        <f t="array" ref="T70">IFERROR(_xlfn.AGGREGATE(15,6,ROW(DB!A$2:A$2576)/(((($D$3&lt;&gt;"YES")+($D$3="YES")*(DB!E$2:E$2576="YES"))*(($D$4="")+($D$4&lt;&gt;"")*ISNUMBER(SEARCH($D$4,DB!G$2:G$2576)))*(($D$5="")+($D$5&lt;&gt;"")*(DB!B$2:B$2576=$D$5))*(($D$6="")+($D$6&lt;&gt;"")*(DB!C$2:C$2576=$D$6))*(($D$7="")+($D$7&lt;&gt;"")*(DB!D$2:D$2576=$D$7))*(($F$4="전체")+($F$4&lt;&gt;"전체")*(DB!H$2:H$2576=$F$4)))),ROW()-16)-1,"")</f>
        <v>813</v>
      </c>
      <c r="U70" s="104" t="str" cm="1">
        <f t="array" ref="U70">IFERROR(INDEX(DB!B$2:B$2576,T70),"")</f>
        <v>3. 철골공사</v>
      </c>
      <c r="V70" s="105" t="str" cm="1">
        <f t="array" ref="V70">IFERROR(INDEX(DB!O$2:O$2576,T70),"")</f>
        <v>떨어짐</v>
      </c>
      <c r="W70" s="106">
        <f t="shared" si="1"/>
        <v>10087.054</v>
      </c>
      <c r="X70" s="149">
        <f t="shared" si="2"/>
        <v>813</v>
      </c>
      <c r="AB70" s="151"/>
      <c r="AC70" s="131"/>
      <c r="AE70" s="130"/>
      <c r="AF70" s="136"/>
      <c r="AH70" s="65"/>
      <c r="AI70" s="65"/>
      <c r="AJ70" s="65"/>
      <c r="AK70" s="65"/>
      <c r="AL70" s="65"/>
      <c r="AM70" s="65"/>
      <c r="AN70" s="65"/>
      <c r="BB70" s="11"/>
    </row>
    <row r="71" spans="1:54" ht="90" customHeight="1">
      <c r="A71" s="26"/>
      <c r="B71" s="73">
        <f t="shared" si="0"/>
        <v>55</v>
      </c>
      <c r="C71" s="74"/>
      <c r="D71" s="96" t="str" cm="1">
        <f t="array" ref="D71">IFERROR(INDEX(DB!B$2:B$2576,X71),"")</f>
        <v>3. 철골공사</v>
      </c>
      <c r="E71" s="107"/>
      <c r="F71" s="97" t="str" cm="1">
        <f t="array" ref="F71">IFERROR(INDEX(DB!C$2:C$2576,X71),"")</f>
        <v>3.1 철골 작업</v>
      </c>
      <c r="G71" s="108"/>
      <c r="H71" s="98" t="str" cm="1">
        <f t="array" ref="H71">IFERROR(INDEX(DB!D$2:D$2576,X71),"")</f>
        <v>3.1.2 철골 부재 인양, 조립</v>
      </c>
      <c r="I71" s="109"/>
      <c r="J71" s="99" t="str" cm="1">
        <f t="array" ref="J71">IFERROR(INDEX(DB!O$2:O$2576,X71),"")</f>
        <v>떨어짐</v>
      </c>
      <c r="K71" s="110"/>
      <c r="L71" s="75" t="str" cm="1">
        <f t="array" ref="L71">IFERROR(INDEX(DB!P$2:P$2576,X71),"")</f>
        <v>2018년 11월경 ㈜OO건설이 시공하는 판매시설 신축공사 현장에서 재해자(철골공)가 이동식 크레인(20ton)으로 인양된 3단 철골 보(RSG2) 상부에서 수평 이동(X2,Y6→X2,Y7) 중 철골 보 중간 지점에서 몸의 중심을 잃고 약 12.85m 아래 콘크리트 바닥으로 떨어져 사망</v>
      </c>
      <c r="M71" s="76" t="str" cm="1">
        <f t="array" ref="M71">IFERROR(INDEX(DB!Q$2:Q$2576,X71),"")</f>
        <v>철골 구조물 하부에 안전방망을 설치하지 않은 현장에서 안전대를 체결하지 않고 철골 상부에서 이동하다 근로자가 몸의 중심을 잃고 추락</v>
      </c>
      <c r="N71" s="77"/>
      <c r="O71" s="78" t="str" cm="1">
        <f t="array" ref="O71">IFERROR(INDEX(DB!R$2:R$2576,X71),"")</f>
        <v>▶ 철골 보 상부에서 이동시 추락방지를 위해 안전대 부착설비 설치 및 안전대 착용
▶ 승강용 사다리를 이용하여 이동할 경우 추락방지를 위해 안전대 체결
▶ 이동식크레인의 붐대 간섭 등 추락방망 설치가 곤란할 경우 철골 조립작업 전 지상애서 안전대 부착설비 설치 후 인양하여 조립 후 상부에서 안전대 체결하여 작업</v>
      </c>
      <c r="P71" s="100"/>
      <c r="Q71" s="102"/>
      <c r="R71" s="150"/>
      <c r="S71" s="43"/>
      <c r="T71" s="66" cm="1">
        <f t="array" ref="T71">IFERROR(_xlfn.AGGREGATE(15,6,ROW(DB!A$2:A$2576)/(((($D$3&lt;&gt;"YES")+($D$3="YES")*(DB!E$2:E$2576="YES"))*(($D$4="")+($D$4&lt;&gt;"")*ISNUMBER(SEARCH($D$4,DB!G$2:G$2576)))*(($D$5="")+($D$5&lt;&gt;"")*(DB!B$2:B$2576=$D$5))*(($D$6="")+($D$6&lt;&gt;"")*(DB!C$2:C$2576=$D$6))*(($D$7="")+($D$7&lt;&gt;"")*(DB!D$2:D$2576=$D$7))*(($F$4="전체")+($F$4&lt;&gt;"전체")*(DB!H$2:H$2576=$F$4)))),ROW()-16)-1,"")</f>
        <v>814</v>
      </c>
      <c r="U71" s="104" t="str" cm="1">
        <f t="array" ref="U71">IFERROR(INDEX(DB!B$2:B$2576,T71),"")</f>
        <v>3. 철골공사</v>
      </c>
      <c r="V71" s="105" t="str" cm="1">
        <f t="array" ref="V71">IFERROR(INDEX(DB!O$2:O$2576,T71),"")</f>
        <v>떨어짐</v>
      </c>
      <c r="W71" s="106">
        <f t="shared" si="1"/>
        <v>10087.055</v>
      </c>
      <c r="X71" s="149">
        <f t="shared" si="2"/>
        <v>814</v>
      </c>
      <c r="AB71" s="151"/>
      <c r="AC71" s="131"/>
      <c r="AE71" s="130"/>
      <c r="AF71" s="136"/>
      <c r="AH71" s="65"/>
      <c r="AI71" s="65"/>
      <c r="AJ71" s="65"/>
      <c r="AK71" s="65"/>
      <c r="AL71" s="65"/>
      <c r="AM71" s="65"/>
      <c r="AN71" s="65"/>
      <c r="BB71" s="11"/>
    </row>
    <row r="72" spans="1:54" ht="90" customHeight="1">
      <c r="A72" s="26"/>
      <c r="B72" s="73">
        <f t="shared" si="0"/>
        <v>56</v>
      </c>
      <c r="C72" s="74"/>
      <c r="D72" s="96" t="str" cm="1">
        <f t="array" ref="D72">IFERROR(INDEX(DB!B$2:B$2576,X72),"")</f>
        <v>3. 철골공사</v>
      </c>
      <c r="E72" s="107"/>
      <c r="F72" s="97" t="str" cm="1">
        <f t="array" ref="F72">IFERROR(INDEX(DB!C$2:C$2576,X72),"")</f>
        <v>3.1 철골 작업</v>
      </c>
      <c r="G72" s="108"/>
      <c r="H72" s="98" t="str" cm="1">
        <f t="array" ref="H72">IFERROR(INDEX(DB!D$2:D$2576,X72),"")</f>
        <v>3.1.2 철골 부재 인양, 조립</v>
      </c>
      <c r="I72" s="109"/>
      <c r="J72" s="99" t="str" cm="1">
        <f t="array" ref="J72">IFERROR(INDEX(DB!O$2:O$2576,X72),"")</f>
        <v>떨어짐</v>
      </c>
      <c r="K72" s="110"/>
      <c r="L72" s="75" t="str" cm="1">
        <f t="array" ref="L72">IFERROR(INDEX(DB!P$2:P$2576,X72),"")</f>
        <v>2018년 11월경 돈사 신축 현장에서 재해자가 철골 지붕트러스 볼팅작업중 몸의 중심을 잃고 약 5.7m 아래 콘크리트 바닥으로 추락하여 사망</v>
      </c>
      <c r="M72" s="76" t="str" cm="1">
        <f t="array" ref="M72">IFERROR(INDEX(DB!Q$2:Q$2576,X72),"")</f>
        <v>추락방호조치가 되어 있지 않은 철골 구조물 상부에서 작업 중 근로자 추락</v>
      </c>
      <c r="N72" s="77"/>
      <c r="O72" s="78" t="str" cm="1">
        <f t="array" ref="O72">IFERROR(INDEX(DB!R$2:R$2576,X72),"")</f>
        <v>▶ 추락방지망 설치 등의 안전방호조치 실시
▶ 안전방호조치가 현장 여건 상 어려울 경우, 별도의 안전대 부착설비를 설치
▶ 작업자의 개인보호구 착용여부 관리감독</v>
      </c>
      <c r="P72" s="100"/>
      <c r="Q72" s="102"/>
      <c r="R72" s="150"/>
      <c r="S72" s="43"/>
      <c r="T72" s="66" cm="1">
        <f t="array" ref="T72">IFERROR(_xlfn.AGGREGATE(15,6,ROW(DB!A$2:A$2576)/(((($D$3&lt;&gt;"YES")+($D$3="YES")*(DB!E$2:E$2576="YES"))*(($D$4="")+($D$4&lt;&gt;"")*ISNUMBER(SEARCH($D$4,DB!G$2:G$2576)))*(($D$5="")+($D$5&lt;&gt;"")*(DB!B$2:B$2576=$D$5))*(($D$6="")+($D$6&lt;&gt;"")*(DB!C$2:C$2576=$D$6))*(($D$7="")+($D$7&lt;&gt;"")*(DB!D$2:D$2576=$D$7))*(($F$4="전체")+($F$4&lt;&gt;"전체")*(DB!H$2:H$2576=$F$4)))),ROW()-16)-1,"")</f>
        <v>815</v>
      </c>
      <c r="U72" s="104" t="str" cm="1">
        <f t="array" ref="U72">IFERROR(INDEX(DB!B$2:B$2576,T72),"")</f>
        <v>3. 철골공사</v>
      </c>
      <c r="V72" s="105" t="str" cm="1">
        <f t="array" ref="V72">IFERROR(INDEX(DB!O$2:O$2576,T72),"")</f>
        <v>떨어짐</v>
      </c>
      <c r="W72" s="106">
        <f t="shared" si="1"/>
        <v>10087.056</v>
      </c>
      <c r="X72" s="149">
        <f t="shared" si="2"/>
        <v>815</v>
      </c>
      <c r="AB72" s="151"/>
      <c r="AC72" s="131"/>
      <c r="AE72" s="130"/>
      <c r="AF72" s="136"/>
      <c r="AH72" s="65"/>
      <c r="AI72" s="65"/>
      <c r="AJ72" s="65"/>
      <c r="AK72" s="65"/>
      <c r="AL72" s="65"/>
      <c r="AM72" s="65"/>
      <c r="AN72" s="65"/>
      <c r="BB72" s="11"/>
    </row>
    <row r="73" spans="1:54" ht="90" customHeight="1">
      <c r="A73" s="26"/>
      <c r="B73" s="73">
        <f t="shared" si="0"/>
        <v>57</v>
      </c>
      <c r="C73" s="74"/>
      <c r="D73" s="96" t="str" cm="1">
        <f t="array" ref="D73">IFERROR(INDEX(DB!B$2:B$2576,X73),"")</f>
        <v>3. 철골공사</v>
      </c>
      <c r="E73" s="107"/>
      <c r="F73" s="97" t="str" cm="1">
        <f t="array" ref="F73">IFERROR(INDEX(DB!C$2:C$2576,X73),"")</f>
        <v>3.1 철골 작업</v>
      </c>
      <c r="G73" s="108"/>
      <c r="H73" s="98" t="str" cm="1">
        <f t="array" ref="H73">IFERROR(INDEX(DB!D$2:D$2576,X73),"")</f>
        <v>3.1.2 철골 부재 인양, 조립</v>
      </c>
      <c r="I73" s="109"/>
      <c r="J73" s="99" t="str" cm="1">
        <f t="array" ref="J73">IFERROR(INDEX(DB!O$2:O$2576,X73),"")</f>
        <v>떨어짐</v>
      </c>
      <c r="K73" s="110"/>
      <c r="L73" s="75" t="str" cm="1">
        <f t="array" ref="L73">IFERROR(INDEX(DB!P$2:P$2576,X73),"")</f>
        <v>2018년 12월경 OO건설(주)에서 시공 중인 다목적강당 및 급식소 증축공사 현장에서 재해자(철골공)가 지상 2층 지붕철골빔(폭 35cm)위를 이동하던 중 몸의 중심을 잃고 지상 2층 콘크리트 바닥(높이 약 8.5m)으로 떨어져 사망</v>
      </c>
      <c r="M73" s="76" t="str" cm="1">
        <f t="array" ref="M73">IFERROR(INDEX(DB!Q$2:Q$2576,X73),"")</f>
        <v>철골 구조물 하부에 안전방망을 설치하지 않은 현장에서 안전대를 체결하지 않고 철골 상부에서 이동하다 근로자가 몸의 중심을 잃고 추락</v>
      </c>
      <c r="N73" s="77"/>
      <c r="O73" s="78" t="str" cm="1">
        <f t="array" ref="O73">IFERROR(INDEX(DB!R$2:R$2576,X73),"")</f>
        <v>▶ 철골 보 상부에서 이동시 추락방지를 위해 안전대 부착설비 설치 및 안전대 착용
▶ 승강용 사다리를 이용하여 이동할 경우 추락방지를 위해 안전대 체결
▶ 이동식크레인의 붐대 간섭 등 추락방망 설치가 곤란할 경우 철골 조립작업 전 지상애서 안전대 부착설비 설치 후 인양하여 조립 후 상부에서 안전대 체결하여 작업</v>
      </c>
      <c r="P73" s="100"/>
      <c r="Q73" s="102"/>
      <c r="R73" s="150"/>
      <c r="S73" s="43"/>
      <c r="T73" s="66" cm="1">
        <f t="array" ref="T73">IFERROR(_xlfn.AGGREGATE(15,6,ROW(DB!A$2:A$2576)/(((($D$3&lt;&gt;"YES")+($D$3="YES")*(DB!E$2:E$2576="YES"))*(($D$4="")+($D$4&lt;&gt;"")*ISNUMBER(SEARCH($D$4,DB!G$2:G$2576)))*(($D$5="")+($D$5&lt;&gt;"")*(DB!B$2:B$2576=$D$5))*(($D$6="")+($D$6&lt;&gt;"")*(DB!C$2:C$2576=$D$6))*(($D$7="")+($D$7&lt;&gt;"")*(DB!D$2:D$2576=$D$7))*(($F$4="전체")+($F$4&lt;&gt;"전체")*(DB!H$2:H$2576=$F$4)))),ROW()-16)-1,"")</f>
        <v>816</v>
      </c>
      <c r="U73" s="104" t="str" cm="1">
        <f t="array" ref="U73">IFERROR(INDEX(DB!B$2:B$2576,T73),"")</f>
        <v>3. 철골공사</v>
      </c>
      <c r="V73" s="105" t="str" cm="1">
        <f t="array" ref="V73">IFERROR(INDEX(DB!O$2:O$2576,T73),"")</f>
        <v>떨어짐</v>
      </c>
      <c r="W73" s="106">
        <f t="shared" si="1"/>
        <v>10087.057000000001</v>
      </c>
      <c r="X73" s="149">
        <f t="shared" si="2"/>
        <v>816</v>
      </c>
      <c r="AB73" s="151"/>
      <c r="AC73" s="131"/>
      <c r="AE73" s="130"/>
      <c r="AF73" s="136"/>
      <c r="AH73" s="65"/>
      <c r="AI73" s="65"/>
      <c r="AJ73" s="65"/>
      <c r="AK73" s="65"/>
      <c r="AL73" s="65"/>
      <c r="AM73" s="65"/>
      <c r="AN73" s="65"/>
      <c r="BB73" s="11"/>
    </row>
    <row r="74" spans="1:54" ht="90" customHeight="1">
      <c r="A74" s="26"/>
      <c r="B74" s="73">
        <f t="shared" si="0"/>
        <v>58</v>
      </c>
      <c r="C74" s="74"/>
      <c r="D74" s="96" t="str" cm="1">
        <f t="array" ref="D74">IFERROR(INDEX(DB!B$2:B$2576,X74),"")</f>
        <v>3. 철골공사</v>
      </c>
      <c r="E74" s="107"/>
      <c r="F74" s="97" t="str" cm="1">
        <f t="array" ref="F74">IFERROR(INDEX(DB!C$2:C$2576,X74),"")</f>
        <v>3.1 철골 작업</v>
      </c>
      <c r="G74" s="108"/>
      <c r="H74" s="98" t="str" cm="1">
        <f t="array" ref="H74">IFERROR(INDEX(DB!D$2:D$2576,X74),"")</f>
        <v>3.1.2 철골 부재 인양, 조립</v>
      </c>
      <c r="I74" s="109"/>
      <c r="J74" s="99" t="str" cm="1">
        <f t="array" ref="J74">IFERROR(INDEX(DB!O$2:O$2576,X74),"")</f>
        <v>떨어짐</v>
      </c>
      <c r="K74" s="110"/>
      <c r="L74" s="75" t="str" cm="1">
        <f t="array" ref="L74">IFERROR(INDEX(DB!P$2:P$2576,X74),"")</f>
        <v xml:space="preserve"> 2019년 1월경 ㈜OO 자동차관련시설(정비공장) 신축공사 현장에서 재해자(용접공)가 지상 2층의 철골보(H-Beam) 볼트 체결을 위해 이동하던 중 실족하여 지상 1층 카리프트실 바닥(H≒8.2m)으로 추락하여 사망</v>
      </c>
      <c r="M74" s="76" t="str" cm="1">
        <f t="array" ref="M74">IFERROR(INDEX(DB!Q$2:Q$2576,X74),"")</f>
        <v>철골 구조물 하부에 안전방망을 설치하지 않은 현장에서 안전대를 체결하지 않고 철골 상부에서 이동하다 근로자가 몸의 중심을 잃고 추락</v>
      </c>
      <c r="N74" s="77"/>
      <c r="O74" s="78" t="str" cm="1">
        <f t="array" ref="O74">IFERROR(INDEX(DB!R$2:R$2576,X74),"")</f>
        <v>▶ 철골 보 상부에서 이동시 추락방지를 위해 안전대 부착설비 설치 및 안전대 착용
▶ 승강용 사다리를 이용하여 이동할 경우 추락방지를 위해 안전대 체결
▶ 이동식크레인의 붐대 간섭 등 추락방망 설치가 곤란할 경우 철골 조립작업 전 지상애서 안전대 부착설비 설치 후 인양하여 조립 후 상부에서 안전대 체결하여 작업</v>
      </c>
      <c r="P74" s="100"/>
      <c r="Q74" s="102"/>
      <c r="R74" s="150"/>
      <c r="S74" s="43"/>
      <c r="T74" s="66" cm="1">
        <f t="array" ref="T74">IFERROR(_xlfn.AGGREGATE(15,6,ROW(DB!A$2:A$2576)/(((($D$3&lt;&gt;"YES")+($D$3="YES")*(DB!E$2:E$2576="YES"))*(($D$4="")+($D$4&lt;&gt;"")*ISNUMBER(SEARCH($D$4,DB!G$2:G$2576)))*(($D$5="")+($D$5&lt;&gt;"")*(DB!B$2:B$2576=$D$5))*(($D$6="")+($D$6&lt;&gt;"")*(DB!C$2:C$2576=$D$6))*(($D$7="")+($D$7&lt;&gt;"")*(DB!D$2:D$2576=$D$7))*(($F$4="전체")+($F$4&lt;&gt;"전체")*(DB!H$2:H$2576=$F$4)))),ROW()-16)-1,"")</f>
        <v>818</v>
      </c>
      <c r="U74" s="104" t="str" cm="1">
        <f t="array" ref="U74">IFERROR(INDEX(DB!B$2:B$2576,T74),"")</f>
        <v>3. 철골공사</v>
      </c>
      <c r="V74" s="105" t="str" cm="1">
        <f t="array" ref="V74">IFERROR(INDEX(DB!O$2:O$2576,T74),"")</f>
        <v>떨어짐</v>
      </c>
      <c r="W74" s="106">
        <f t="shared" si="1"/>
        <v>10087.058000000001</v>
      </c>
      <c r="X74" s="149">
        <f t="shared" si="2"/>
        <v>818</v>
      </c>
      <c r="AB74" s="151"/>
      <c r="AC74" s="131"/>
      <c r="AE74" s="130"/>
      <c r="AF74" s="136"/>
      <c r="AH74" s="65"/>
      <c r="AI74" s="65"/>
      <c r="AJ74" s="65"/>
      <c r="AK74" s="65"/>
      <c r="AL74" s="65"/>
      <c r="AM74" s="65"/>
      <c r="AN74" s="65"/>
      <c r="BB74" s="11"/>
    </row>
    <row r="75" spans="1:54" ht="90" customHeight="1">
      <c r="A75" s="26"/>
      <c r="B75" s="73">
        <f t="shared" si="0"/>
        <v>59</v>
      </c>
      <c r="C75" s="74"/>
      <c r="D75" s="96" t="str" cm="1">
        <f t="array" ref="D75">IFERROR(INDEX(DB!B$2:B$2576,X75),"")</f>
        <v>3. 철골공사</v>
      </c>
      <c r="E75" s="107"/>
      <c r="F75" s="97" t="str" cm="1">
        <f t="array" ref="F75">IFERROR(INDEX(DB!C$2:C$2576,X75),"")</f>
        <v>3.1 철골 작업</v>
      </c>
      <c r="G75" s="108"/>
      <c r="H75" s="98" t="str" cm="1">
        <f t="array" ref="H75">IFERROR(INDEX(DB!D$2:D$2576,X75),"")</f>
        <v>3.1.2 철골 부재 인양, 조립</v>
      </c>
      <c r="I75" s="109"/>
      <c r="J75" s="99" t="str" cm="1">
        <f t="array" ref="J75">IFERROR(INDEX(DB!O$2:O$2576,X75),"")</f>
        <v>떨어짐</v>
      </c>
      <c r="K75" s="110"/>
      <c r="L75" s="75" t="str" cm="1">
        <f t="array" ref="L75">IFERROR(INDEX(DB!P$2:P$2576,X75),"")</f>
        <v>2019년 5월경 ㈜OO이 시공하는 OO견본주택 건립공사 현장에서 재해자(철골공)가 지상2층 브레이싱 설치작업을 위해 지붕보 철골부재 상부에서 이동하던 중, 지상 바닥(H≒11m)으로 떨어져 사망</v>
      </c>
      <c r="M75" s="76" t="str" cm="1">
        <f t="array" ref="M75">IFERROR(INDEX(DB!Q$2:Q$2576,X75),"")</f>
        <v>철골 구조물 하부에 안전방망을 설치하지 않은 현장에서 안전대를 체결하지 않고 철골 상부에서 이동하다 근로자가 몸의 중심을 잃고 추락</v>
      </c>
      <c r="N75" s="77"/>
      <c r="O75" s="78" t="str" cm="1">
        <f t="array" ref="O75">IFERROR(INDEX(DB!R$2:R$2576,X75),"")</f>
        <v>▶ 철골 보 상부에서 이동시 추락방지를 위해 안전대 부착설비 설치 및 안전대 착용
▶ 승강용 사다리를 이용하여 이동할 경우 추락방지를 위해 안전대 체결
▶ 이동식크레인의 붐대 간섭 등 추락방망 설치가 곤란할 경우 철골 조립작업 전 지상애서 안전대 부착설비 설치 후 인양하여 조립 후 상부에서 안전대 체결하여 작업</v>
      </c>
      <c r="P75" s="100"/>
      <c r="Q75" s="102"/>
      <c r="R75" s="150"/>
      <c r="S75" s="43"/>
      <c r="T75" s="66" cm="1">
        <f t="array" ref="T75">IFERROR(_xlfn.AGGREGATE(15,6,ROW(DB!A$2:A$2576)/(((($D$3&lt;&gt;"YES")+($D$3="YES")*(DB!E$2:E$2576="YES"))*(($D$4="")+($D$4&lt;&gt;"")*ISNUMBER(SEARCH($D$4,DB!G$2:G$2576)))*(($D$5="")+($D$5&lt;&gt;"")*(DB!B$2:B$2576=$D$5))*(($D$6="")+($D$6&lt;&gt;"")*(DB!C$2:C$2576=$D$6))*(($D$7="")+($D$7&lt;&gt;"")*(DB!D$2:D$2576=$D$7))*(($F$4="전체")+($F$4&lt;&gt;"전체")*(DB!H$2:H$2576=$F$4)))),ROW()-16)-1,"")</f>
        <v>819</v>
      </c>
      <c r="U75" s="104" t="str" cm="1">
        <f t="array" ref="U75">IFERROR(INDEX(DB!B$2:B$2576,T75),"")</f>
        <v>3. 철골공사</v>
      </c>
      <c r="V75" s="105" t="str" cm="1">
        <f t="array" ref="V75">IFERROR(INDEX(DB!O$2:O$2576,T75),"")</f>
        <v>떨어짐</v>
      </c>
      <c r="W75" s="106">
        <f t="shared" si="1"/>
        <v>10087.058999999999</v>
      </c>
      <c r="X75" s="149">
        <f t="shared" si="2"/>
        <v>819</v>
      </c>
      <c r="AB75" s="151"/>
      <c r="AC75" s="131"/>
      <c r="AE75" s="130"/>
      <c r="AF75" s="136"/>
      <c r="AH75" s="65"/>
      <c r="AI75" s="65"/>
      <c r="AJ75" s="65"/>
      <c r="AK75" s="65"/>
      <c r="AL75" s="65"/>
      <c r="AM75" s="65"/>
      <c r="AN75" s="65"/>
      <c r="BB75" s="11"/>
    </row>
    <row r="76" spans="1:54" ht="90" customHeight="1">
      <c r="A76" s="26"/>
      <c r="B76" s="73">
        <f t="shared" si="0"/>
        <v>60</v>
      </c>
      <c r="C76" s="74"/>
      <c r="D76" s="96" t="str" cm="1">
        <f t="array" ref="D76">IFERROR(INDEX(DB!B$2:B$2576,X76),"")</f>
        <v>3. 철골공사</v>
      </c>
      <c r="E76" s="107"/>
      <c r="F76" s="97" t="str" cm="1">
        <f t="array" ref="F76">IFERROR(INDEX(DB!C$2:C$2576,X76),"")</f>
        <v>3.1 철골 작업</v>
      </c>
      <c r="G76" s="108"/>
      <c r="H76" s="98" t="str" cm="1">
        <f t="array" ref="H76">IFERROR(INDEX(DB!D$2:D$2576,X76),"")</f>
        <v>3.1.2 철골 부재 인양, 조립</v>
      </c>
      <c r="I76" s="109"/>
      <c r="J76" s="99" t="str" cm="1">
        <f t="array" ref="J76">IFERROR(INDEX(DB!O$2:O$2576,X76),"")</f>
        <v>떨어짐</v>
      </c>
      <c r="K76" s="110"/>
      <c r="L76" s="75" t="str" cm="1">
        <f t="array" ref="L76">IFERROR(INDEX(DB!P$2:P$2576,X76),"")</f>
        <v>2019년 5월경 OO(주) 견본주택신축공사 현장에서 철골 기둥(Column) 건립작업을 위해 철골 기둥의 앵커볼트 가체결 후 철골 기둥에매단 슬링(섬유로프)을 제거하는 순간, 철골 기둥이 전도되면서 재해자(철골조립공)가 이동 중이던 철골 보의 철골 기둥에 부딪힘으로써 재해자가 철골 보 상부에서 몸의 중심을 잃고 떨어져(H≒5.8m) 사망</v>
      </c>
      <c r="M76" s="76" t="str" cm="1">
        <f t="array" ref="M76">IFERROR(INDEX(DB!Q$2:Q$2576,X76),"")</f>
        <v>철골 기둥 건립작업을 위해 앵커볼트 가체결 후 철골 기둥에 매단 슬링을 제거하는 순간, 철골 기둥이 전도되면서 근로자가 이동 중이던 철골 보의 기둥에 부딪힘으로써 몸의 중심을 잃고 추락</v>
      </c>
      <c r="N76" s="77"/>
      <c r="O76" s="78" t="str" cm="1">
        <f t="array" ref="O76">IFERROR(INDEX(DB!R$2:R$2576,X76),"")</f>
        <v>▶ 철골 조립 시 철골의 접합부가 충분히 지지되도록 볼트 체결
▶ 견고한 구조 형성 전 들어올린 철골을 걸이로프 등으로부터 결속 유지
▶ 철골조립 시 안전대 부착설비 설치 및 안전대 지급</v>
      </c>
      <c r="P76" s="100"/>
      <c r="Q76" s="102"/>
      <c r="R76" s="150"/>
      <c r="S76" s="43"/>
      <c r="T76" s="66" cm="1">
        <f t="array" ref="T76">IFERROR(_xlfn.AGGREGATE(15,6,ROW(DB!A$2:A$2576)/(((($D$3&lt;&gt;"YES")+($D$3="YES")*(DB!E$2:E$2576="YES"))*(($D$4="")+($D$4&lt;&gt;"")*ISNUMBER(SEARCH($D$4,DB!G$2:G$2576)))*(($D$5="")+($D$5&lt;&gt;"")*(DB!B$2:B$2576=$D$5))*(($D$6="")+($D$6&lt;&gt;"")*(DB!C$2:C$2576=$D$6))*(($D$7="")+($D$7&lt;&gt;"")*(DB!D$2:D$2576=$D$7))*(($F$4="전체")+($F$4&lt;&gt;"전체")*(DB!H$2:H$2576=$F$4)))),ROW()-16)-1,"")</f>
        <v>820</v>
      </c>
      <c r="U76" s="104" t="str" cm="1">
        <f t="array" ref="U76">IFERROR(INDEX(DB!B$2:B$2576,T76),"")</f>
        <v>3. 철골공사</v>
      </c>
      <c r="V76" s="105" t="str" cm="1">
        <f t="array" ref="V76">IFERROR(INDEX(DB!O$2:O$2576,T76),"")</f>
        <v>떨어짐</v>
      </c>
      <c r="W76" s="106">
        <f t="shared" si="1"/>
        <v>10087.06</v>
      </c>
      <c r="X76" s="149">
        <f t="shared" si="2"/>
        <v>820</v>
      </c>
      <c r="AB76" s="151"/>
      <c r="AC76" s="131"/>
      <c r="AE76" s="130"/>
      <c r="AF76" s="136"/>
      <c r="AH76" s="65"/>
      <c r="AI76" s="65"/>
      <c r="AJ76" s="65"/>
      <c r="AK76" s="65"/>
      <c r="AL76" s="65"/>
      <c r="AM76" s="65"/>
      <c r="AN76" s="65"/>
      <c r="BB76" s="11"/>
    </row>
    <row r="77" spans="1:54" ht="90" customHeight="1">
      <c r="A77" s="26"/>
      <c r="B77" s="73">
        <f t="shared" si="0"/>
        <v>61</v>
      </c>
      <c r="C77" s="74"/>
      <c r="D77" s="96" t="str" cm="1">
        <f t="array" ref="D77">IFERROR(INDEX(DB!B$2:B$2576,X77),"")</f>
        <v>3. 철골공사</v>
      </c>
      <c r="E77" s="107"/>
      <c r="F77" s="97" t="str" cm="1">
        <f t="array" ref="F77">IFERROR(INDEX(DB!C$2:C$2576,X77),"")</f>
        <v>3.1 철골 작업</v>
      </c>
      <c r="G77" s="108"/>
      <c r="H77" s="98" t="str" cm="1">
        <f t="array" ref="H77">IFERROR(INDEX(DB!D$2:D$2576,X77),"")</f>
        <v>3.1.2 철골 부재 인양, 조립</v>
      </c>
      <c r="I77" s="109"/>
      <c r="J77" s="99" t="str" cm="1">
        <f t="array" ref="J77">IFERROR(INDEX(DB!O$2:O$2576,X77),"")</f>
        <v>떨어짐</v>
      </c>
      <c r="K77" s="110"/>
      <c r="L77" s="75" t="str" cm="1">
        <f t="array" ref="L77">IFERROR(INDEX(DB!P$2:P$2576,X77),"")</f>
        <v>2019년 5월경 OO 창고 증축공사장에서 재해자(철골공)이 철골에 C형강을 고정하기 위해 철골 위(약 높이 12m)에서 C형강 용접을 끝낸 후 몸의 중심을 잃고 바닥으로 추락하여 사망</v>
      </c>
      <c r="M77" s="76" t="str" cm="1">
        <f t="array" ref="M77">IFERROR(INDEX(DB!Q$2:Q$2576,X77),"")</f>
        <v>추락방호조치가 되어 있지 않은 철골 구조물 상부에서 작업 중 근로자 추락</v>
      </c>
      <c r="N77" s="77"/>
      <c r="O77" s="78" t="str" cm="1">
        <f t="array" ref="O77">IFERROR(INDEX(DB!R$2:R$2576,X77),"")</f>
        <v>▶ 추락방지망 설치 등의 안전방호조치 실시
▶ 안전방호조치가 현장 여건 상 어려울 경우, 별도의 안전대 부착설비를 설치
▶ 작업자의 개인보호구 착용여부 관리감독</v>
      </c>
      <c r="P77" s="100"/>
      <c r="Q77" s="102"/>
      <c r="R77" s="150"/>
      <c r="S77" s="43"/>
      <c r="T77" s="66" cm="1">
        <f t="array" ref="T77">IFERROR(_xlfn.AGGREGATE(15,6,ROW(DB!A$2:A$2576)/(((($D$3&lt;&gt;"YES")+($D$3="YES")*(DB!E$2:E$2576="YES"))*(($D$4="")+($D$4&lt;&gt;"")*ISNUMBER(SEARCH($D$4,DB!G$2:G$2576)))*(($D$5="")+($D$5&lt;&gt;"")*(DB!B$2:B$2576=$D$5))*(($D$6="")+($D$6&lt;&gt;"")*(DB!C$2:C$2576=$D$6))*(($D$7="")+($D$7&lt;&gt;"")*(DB!D$2:D$2576=$D$7))*(($F$4="전체")+($F$4&lt;&gt;"전체")*(DB!H$2:H$2576=$F$4)))),ROW()-16)-1,"")</f>
        <v>821</v>
      </c>
      <c r="U77" s="104" t="str" cm="1">
        <f t="array" ref="U77">IFERROR(INDEX(DB!B$2:B$2576,T77),"")</f>
        <v>3. 철골공사</v>
      </c>
      <c r="V77" s="105" t="str" cm="1">
        <f t="array" ref="V77">IFERROR(INDEX(DB!O$2:O$2576,T77),"")</f>
        <v>떨어짐</v>
      </c>
      <c r="W77" s="106">
        <f t="shared" si="1"/>
        <v>10087.061</v>
      </c>
      <c r="X77" s="149">
        <f t="shared" si="2"/>
        <v>821</v>
      </c>
      <c r="AB77" s="151"/>
      <c r="AC77" s="131"/>
      <c r="AE77" s="130"/>
      <c r="AF77" s="136"/>
      <c r="AH77" s="65"/>
      <c r="AI77" s="65"/>
      <c r="AJ77" s="65"/>
      <c r="AK77" s="65"/>
      <c r="AL77" s="65"/>
      <c r="AM77" s="65"/>
      <c r="AN77" s="65"/>
      <c r="BB77" s="11"/>
    </row>
    <row r="78" spans="1:54" ht="90" customHeight="1">
      <c r="A78" s="26"/>
      <c r="B78" s="73">
        <f t="shared" si="0"/>
        <v>62</v>
      </c>
      <c r="C78" s="74"/>
      <c r="D78" s="96" t="str" cm="1">
        <f t="array" ref="D78">IFERROR(INDEX(DB!B$2:B$2576,X78),"")</f>
        <v>3. 철골공사</v>
      </c>
      <c r="E78" s="107"/>
      <c r="F78" s="97" t="str" cm="1">
        <f t="array" ref="F78">IFERROR(INDEX(DB!C$2:C$2576,X78),"")</f>
        <v>3.1 철골 작업</v>
      </c>
      <c r="G78" s="108"/>
      <c r="H78" s="98" t="str" cm="1">
        <f t="array" ref="H78">IFERROR(INDEX(DB!D$2:D$2576,X78),"")</f>
        <v>3.1.2 철골 부재 인양, 조립</v>
      </c>
      <c r="I78" s="109"/>
      <c r="J78" s="99" t="str" cm="1">
        <f t="array" ref="J78">IFERROR(INDEX(DB!O$2:O$2576,X78),"")</f>
        <v>떨어짐</v>
      </c>
      <c r="K78" s="110"/>
      <c r="L78" s="75" t="str" cm="1">
        <f t="array" ref="L78">IFERROR(INDEX(DB!P$2:P$2576,X78),"")</f>
        <v>2019년 6월경 OO건설(주)이 시공 중인 OO(주) 공장 신축공사 현장에서 재해자(철골공)이 지상2층 철골 위에서 가새 설치작업 중 몸의 중심을 잃고 1층 바닥(H≒9m)으로 떨어져 사망</v>
      </c>
      <c r="M78" s="76" t="str" cm="1">
        <f t="array" ref="M78">IFERROR(INDEX(DB!Q$2:Q$2576,X78),"")</f>
        <v>추락방호조치가 되어 있지 않은 철골 구조물 상부에서 작업 중 근로자 추락</v>
      </c>
      <c r="N78" s="77"/>
      <c r="O78" s="78" t="str" cm="1">
        <f t="array" ref="O78">IFERROR(INDEX(DB!R$2:R$2576,X78),"")</f>
        <v>▶ 추락방지망 설치 등의 안전방호조치 실시
▶ 안전방호조치가 현장 여건 상 어려울 경우, 별도의 안전대 부착설비를 설치
▶ 작업자의 개인보호구 착용여부 관리감독</v>
      </c>
      <c r="P78" s="100"/>
      <c r="Q78" s="102"/>
      <c r="R78" s="150"/>
      <c r="S78" s="43"/>
      <c r="T78" s="66" cm="1">
        <f t="array" ref="T78">IFERROR(_xlfn.AGGREGATE(15,6,ROW(DB!A$2:A$2576)/(((($D$3&lt;&gt;"YES")+($D$3="YES")*(DB!E$2:E$2576="YES"))*(($D$4="")+($D$4&lt;&gt;"")*ISNUMBER(SEARCH($D$4,DB!G$2:G$2576)))*(($D$5="")+($D$5&lt;&gt;"")*(DB!B$2:B$2576=$D$5))*(($D$6="")+($D$6&lt;&gt;"")*(DB!C$2:C$2576=$D$6))*(($D$7="")+($D$7&lt;&gt;"")*(DB!D$2:D$2576=$D$7))*(($F$4="전체")+($F$4&lt;&gt;"전체")*(DB!H$2:H$2576=$F$4)))),ROW()-16)-1,"")</f>
        <v>822</v>
      </c>
      <c r="U78" s="104" t="str" cm="1">
        <f t="array" ref="U78">IFERROR(INDEX(DB!B$2:B$2576,T78),"")</f>
        <v>3. 철골공사</v>
      </c>
      <c r="V78" s="105" t="str" cm="1">
        <f t="array" ref="V78">IFERROR(INDEX(DB!O$2:O$2576,T78),"")</f>
        <v>떨어짐</v>
      </c>
      <c r="W78" s="106">
        <f t="shared" si="1"/>
        <v>10087.062</v>
      </c>
      <c r="X78" s="149">
        <f t="shared" si="2"/>
        <v>822</v>
      </c>
      <c r="AB78" s="151"/>
      <c r="AC78" s="131"/>
      <c r="AE78" s="130"/>
      <c r="AF78" s="136"/>
      <c r="AH78" s="65"/>
      <c r="AI78" s="65"/>
      <c r="AJ78" s="65"/>
      <c r="AK78" s="65"/>
      <c r="AL78" s="65"/>
      <c r="AM78" s="65"/>
      <c r="AN78" s="65"/>
      <c r="BB78" s="11"/>
    </row>
    <row r="79" spans="1:54" ht="90" customHeight="1">
      <c r="A79" s="26"/>
      <c r="B79" s="73">
        <f t="shared" si="0"/>
        <v>63</v>
      </c>
      <c r="C79" s="74"/>
      <c r="D79" s="96" t="str" cm="1">
        <f t="array" ref="D79">IFERROR(INDEX(DB!B$2:B$2576,X79),"")</f>
        <v>3. 철골공사</v>
      </c>
      <c r="E79" s="107"/>
      <c r="F79" s="97" t="str" cm="1">
        <f t="array" ref="F79">IFERROR(INDEX(DB!C$2:C$2576,X79),"")</f>
        <v>3.1 철골 작업</v>
      </c>
      <c r="G79" s="108"/>
      <c r="H79" s="98" t="str" cm="1">
        <f t="array" ref="H79">IFERROR(INDEX(DB!D$2:D$2576,X79),"")</f>
        <v>3.1.2 철골 부재 인양, 조립</v>
      </c>
      <c r="I79" s="109"/>
      <c r="J79" s="99" t="str" cm="1">
        <f t="array" ref="J79">IFERROR(INDEX(DB!O$2:O$2576,X79),"")</f>
        <v>떨어짐</v>
      </c>
      <c r="K79" s="110"/>
      <c r="L79" s="75" t="str" cm="1">
        <f t="array" ref="L79">IFERROR(INDEX(DB!P$2:P$2576,X79),"")</f>
        <v>2019년 9월경 ㈜OO이 시공하는 OO 공장 신축공사 현장에서 재해자(철골공)가 주1동 지붕 철골보(H-beam, 폭20cm) 위에서 이동식크레인으로 인양중인 자재(데크플레이트)를 받던 중 중심을 잃고 콘크리트 바닥으로 떨어져(H=6.2m) 사망</v>
      </c>
      <c r="M79" s="76" t="str" cm="1">
        <f t="array" ref="M79">IFERROR(INDEX(DB!Q$2:Q$2576,X79),"")</f>
        <v>안전대 부착설비 등 추락을 방지하기 위한 안전시설물이 미설치된 상태로 지붕 철골보 위에서 이동식크레인으로 인양중인 자재를 받던 중 근로자가 몸의 중심을 잃고 추락</v>
      </c>
      <c r="N79" s="77"/>
      <c r="O79" s="78" t="str" cm="1">
        <f t="array" ref="O79">IFERROR(INDEX(DB!R$2:R$2576,X79),"")</f>
        <v>▶ 철골조 상부에서 데크플레이트 작업 등 추락위험 장소에서 작업 시 추락방망 설치 및 안전대 부착설비 설치
▶ 크레인을 사용하여 데크플레이트 인양 시 철골보 사이공간을 고려하여 작업 실시
▶ 개인보호구 지급 및 착용</v>
      </c>
      <c r="P79" s="100"/>
      <c r="Q79" s="102"/>
      <c r="R79" s="150"/>
      <c r="S79" s="43"/>
      <c r="T79" s="66" cm="1">
        <f t="array" ref="T79">IFERROR(_xlfn.AGGREGATE(15,6,ROW(DB!A$2:A$2576)/(((($D$3&lt;&gt;"YES")+($D$3="YES")*(DB!E$2:E$2576="YES"))*(($D$4="")+($D$4&lt;&gt;"")*ISNUMBER(SEARCH($D$4,DB!G$2:G$2576)))*(($D$5="")+($D$5&lt;&gt;"")*(DB!B$2:B$2576=$D$5))*(($D$6="")+($D$6&lt;&gt;"")*(DB!C$2:C$2576=$D$6))*(($D$7="")+($D$7&lt;&gt;"")*(DB!D$2:D$2576=$D$7))*(($F$4="전체")+($F$4&lt;&gt;"전체")*(DB!H$2:H$2576=$F$4)))),ROW()-16)-1,"")</f>
        <v>823</v>
      </c>
      <c r="U79" s="104" t="str" cm="1">
        <f t="array" ref="U79">IFERROR(INDEX(DB!B$2:B$2576,T79),"")</f>
        <v>3. 철골공사</v>
      </c>
      <c r="V79" s="105" t="str" cm="1">
        <f t="array" ref="V79">IFERROR(INDEX(DB!O$2:O$2576,T79),"")</f>
        <v>떨어짐</v>
      </c>
      <c r="W79" s="106">
        <f t="shared" si="1"/>
        <v>10087.063</v>
      </c>
      <c r="X79" s="149">
        <f t="shared" si="2"/>
        <v>823</v>
      </c>
      <c r="AB79" s="151"/>
      <c r="AC79" s="131"/>
      <c r="AE79" s="130"/>
      <c r="AF79" s="136"/>
      <c r="AH79" s="65"/>
      <c r="AI79" s="65"/>
      <c r="AJ79" s="65"/>
      <c r="AK79" s="65"/>
      <c r="AL79" s="65"/>
      <c r="AM79" s="65"/>
      <c r="AN79" s="65"/>
      <c r="BB79" s="11"/>
    </row>
    <row r="80" spans="1:54" ht="90" customHeight="1">
      <c r="A80" s="26"/>
      <c r="B80" s="73">
        <f t="shared" si="0"/>
        <v>64</v>
      </c>
      <c r="C80" s="74"/>
      <c r="D80" s="96" t="str" cm="1">
        <f t="array" ref="D80">IFERROR(INDEX(DB!B$2:B$2576,X80),"")</f>
        <v>3. 철골공사</v>
      </c>
      <c r="E80" s="107"/>
      <c r="F80" s="97" t="str" cm="1">
        <f t="array" ref="F80">IFERROR(INDEX(DB!C$2:C$2576,X80),"")</f>
        <v>3.1 철골 작업</v>
      </c>
      <c r="G80" s="108"/>
      <c r="H80" s="98" t="str" cm="1">
        <f t="array" ref="H80">IFERROR(INDEX(DB!D$2:D$2576,X80),"")</f>
        <v>3.1.2 철골 부재 인양, 조립</v>
      </c>
      <c r="I80" s="109"/>
      <c r="J80" s="99" t="str" cm="1">
        <f t="array" ref="J80">IFERROR(INDEX(DB!O$2:O$2576,X80),"")</f>
        <v>떨어짐</v>
      </c>
      <c r="K80" s="110"/>
      <c r="L80" s="75" t="str" cm="1">
        <f t="array" ref="L80">IFERROR(INDEX(DB!P$2:P$2576,X80),"")</f>
        <v xml:space="preserve">2019년 9월경 OO㈜이 시공하는 OO 증축공사 현장에서 철골 재하청업체 사장과 작업자 1명이 지붕철골 상부(H형강, 플랜지 폭=20cm)에서 파라펫(C형강) 용접작업 중 약 5m 아래 지상 콘크리트 바닥으로 떨어져 사망   </v>
      </c>
      <c r="M80" s="76" t="str" cm="1">
        <f t="array" ref="M80">IFERROR(INDEX(DB!Q$2:Q$2576,X80),"")</f>
        <v>추락방호조치가 되어 있지 않은 철골 구조물 상부에서 작업 중 근로자 추락</v>
      </c>
      <c r="N80" s="77"/>
      <c r="O80" s="78" t="str" cm="1">
        <f t="array" ref="O80">IFERROR(INDEX(DB!R$2:R$2576,X80),"")</f>
        <v>▶ 추락방지망 설치 등의 안전방호조치 실시
▶ 안전방호조치가 현장 여건 상 어려울 경우, 별도의 안전대 부착설비를 설치
▶ 작업자의 개인보호구 착용여부 관리감독</v>
      </c>
      <c r="P80" s="100"/>
      <c r="Q80" s="102"/>
      <c r="R80" s="150"/>
      <c r="S80" s="43"/>
      <c r="T80" s="66" cm="1">
        <f t="array" ref="T80">IFERROR(_xlfn.AGGREGATE(15,6,ROW(DB!A$2:A$2576)/(((($D$3&lt;&gt;"YES")+($D$3="YES")*(DB!E$2:E$2576="YES"))*(($D$4="")+($D$4&lt;&gt;"")*ISNUMBER(SEARCH($D$4,DB!G$2:G$2576)))*(($D$5="")+($D$5&lt;&gt;"")*(DB!B$2:B$2576=$D$5))*(($D$6="")+($D$6&lt;&gt;"")*(DB!C$2:C$2576=$D$6))*(($D$7="")+($D$7&lt;&gt;"")*(DB!D$2:D$2576=$D$7))*(($F$4="전체")+($F$4&lt;&gt;"전체")*(DB!H$2:H$2576=$F$4)))),ROW()-16)-1,"")</f>
        <v>824</v>
      </c>
      <c r="U80" s="104" t="str" cm="1">
        <f t="array" ref="U80">IFERROR(INDEX(DB!B$2:B$2576,T80),"")</f>
        <v>3. 철골공사</v>
      </c>
      <c r="V80" s="105" t="str" cm="1">
        <f t="array" ref="V80">IFERROR(INDEX(DB!O$2:O$2576,T80),"")</f>
        <v>떨어짐</v>
      </c>
      <c r="W80" s="106">
        <f t="shared" si="1"/>
        <v>10087.064</v>
      </c>
      <c r="X80" s="149">
        <f t="shared" si="2"/>
        <v>824</v>
      </c>
      <c r="AB80" s="151"/>
      <c r="AC80" s="131"/>
      <c r="AE80" s="130"/>
      <c r="AF80" s="136"/>
      <c r="AH80" s="65"/>
      <c r="AI80" s="65"/>
      <c r="AJ80" s="65"/>
      <c r="AK80" s="65"/>
      <c r="AL80" s="65"/>
      <c r="AM80" s="65"/>
      <c r="AN80" s="65"/>
      <c r="BB80" s="11"/>
    </row>
    <row r="81" spans="1:54" ht="90" customHeight="1">
      <c r="A81" s="26"/>
      <c r="B81" s="73">
        <f t="shared" si="0"/>
        <v>65</v>
      </c>
      <c r="C81" s="74"/>
      <c r="D81" s="96" t="str" cm="1">
        <f t="array" ref="D81">IFERROR(INDEX(DB!B$2:B$2576,X81),"")</f>
        <v>3. 철골공사</v>
      </c>
      <c r="E81" s="107"/>
      <c r="F81" s="97" t="str" cm="1">
        <f t="array" ref="F81">IFERROR(INDEX(DB!C$2:C$2576,X81),"")</f>
        <v>3.1 철골 작업</v>
      </c>
      <c r="G81" s="108"/>
      <c r="H81" s="98" t="str" cm="1">
        <f t="array" ref="H81">IFERROR(INDEX(DB!D$2:D$2576,X81),"")</f>
        <v>3.1.2 철골 부재 인양, 조립</v>
      </c>
      <c r="I81" s="109"/>
      <c r="J81" s="99" t="str" cm="1">
        <f t="array" ref="J81">IFERROR(INDEX(DB!O$2:O$2576,X81),"")</f>
        <v>떨어짐</v>
      </c>
      <c r="K81" s="110"/>
      <c r="L81" s="75" t="str" cm="1">
        <f t="array" ref="L81">IFERROR(INDEX(DB!P$2:P$2576,X81),"")</f>
        <v>2019년 11월경 ㈜OO에서 시공하는 OO 공장 신축공사 현장에서 지상3층 데크 플레이트 말단부를 철골 외부 테두리 보에 고정하기 위해 사고 지점으로 이동 후 용접 준비작업 도중 몸의 중심을 잃고 3층 개구부에서 높이 약 11.6m 지상 1층 외부지반으로 추락하여 사망</v>
      </c>
      <c r="M81" s="76" t="str" cm="1">
        <f t="array" ref="M81">IFERROR(INDEX(DB!Q$2:Q$2576,X81),"")</f>
        <v>안전대 부착설비가 설치되지 않은 상태로 데크 플레이트 설치 작업 중 근로자가 몸의 중심을 잃고 데크플레이트 단부, 개구부로 추락</v>
      </c>
      <c r="N81" s="77"/>
      <c r="O81" s="78" t="str" cm="1">
        <f t="array" ref="O81">IFERROR(INDEX(DB!R$2:R$2576,X81),"")</f>
        <v>▶ 데크플레이트 설치작업 시 통로의 끝이나 개구부 등 추락위험이 있는 장소에는 안전난간, 울타리, 수직형 추락방망 또는 덮개 등의 방호조치 실시
▶ 안전난간 등 설치가 곤란할 경우 추락방호망 설치
▶ 데크플레이트 설치 및 철근 배근작업 시 근로자의 실족 방지를 위해 작업발판 등을 작업장의 통로에 설치
▶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v>
      </c>
      <c r="P81" s="100"/>
      <c r="Q81" s="102"/>
      <c r="R81" s="150"/>
      <c r="S81" s="43"/>
      <c r="T81" s="66" cm="1">
        <f t="array" ref="T81">IFERROR(_xlfn.AGGREGATE(15,6,ROW(DB!A$2:A$2576)/(((($D$3&lt;&gt;"YES")+($D$3="YES")*(DB!E$2:E$2576="YES"))*(($D$4="")+($D$4&lt;&gt;"")*ISNUMBER(SEARCH($D$4,DB!G$2:G$2576)))*(($D$5="")+($D$5&lt;&gt;"")*(DB!B$2:B$2576=$D$5))*(($D$6="")+($D$6&lt;&gt;"")*(DB!C$2:C$2576=$D$6))*(($D$7="")+($D$7&lt;&gt;"")*(DB!D$2:D$2576=$D$7))*(($F$4="전체")+($F$4&lt;&gt;"전체")*(DB!H$2:H$2576=$F$4)))),ROW()-16)-1,"")</f>
        <v>825</v>
      </c>
      <c r="U81" s="104" t="str" cm="1">
        <f t="array" ref="U81">IFERROR(INDEX(DB!B$2:B$2576,T81),"")</f>
        <v>3. 철골공사</v>
      </c>
      <c r="V81" s="105" t="str" cm="1">
        <f t="array" ref="V81">IFERROR(INDEX(DB!O$2:O$2576,T81),"")</f>
        <v>떨어짐</v>
      </c>
      <c r="W81" s="106">
        <f t="shared" si="1"/>
        <v>10087.065000000001</v>
      </c>
      <c r="X81" s="149">
        <f t="shared" si="2"/>
        <v>825</v>
      </c>
      <c r="AB81" s="151"/>
      <c r="AC81" s="131"/>
      <c r="AE81" s="130"/>
      <c r="AF81" s="136"/>
      <c r="AH81" s="65"/>
      <c r="AI81" s="65"/>
      <c r="AJ81" s="65"/>
      <c r="AK81" s="65"/>
      <c r="AL81" s="65"/>
      <c r="AM81" s="65"/>
      <c r="AN81" s="65"/>
      <c r="BB81" s="11"/>
    </row>
    <row r="82" spans="1:54" ht="90" customHeight="1">
      <c r="A82" s="26"/>
      <c r="B82" s="73">
        <f t="shared" ref="B82:B145" si="3">IFERROR(IF(X82="","",ROW()-16),"")</f>
        <v>66</v>
      </c>
      <c r="C82" s="74"/>
      <c r="D82" s="96" t="str" cm="1">
        <f t="array" ref="D82">IFERROR(INDEX(DB!B$2:B$2576,X82),"")</f>
        <v>3. 철골공사</v>
      </c>
      <c r="E82" s="107"/>
      <c r="F82" s="97" t="str" cm="1">
        <f t="array" ref="F82">IFERROR(INDEX(DB!C$2:C$2576,X82),"")</f>
        <v>3.1 철골 작업</v>
      </c>
      <c r="G82" s="108"/>
      <c r="H82" s="98" t="str" cm="1">
        <f t="array" ref="H82">IFERROR(INDEX(DB!D$2:D$2576,X82),"")</f>
        <v>3.1.2 철골 부재 인양, 조립</v>
      </c>
      <c r="I82" s="109"/>
      <c r="J82" s="99" t="str" cm="1">
        <f t="array" ref="J82">IFERROR(INDEX(DB!O$2:O$2576,X82),"")</f>
        <v>떨어짐</v>
      </c>
      <c r="K82" s="110"/>
      <c r="L82" s="75" t="str" cm="1">
        <f t="array" ref="L82">IFERROR(INDEX(DB!P$2:P$2576,X82),"")</f>
        <v>2019년 11월경 OO건설(주)에서 시공하는 OO산업(주) 공장 신축공사 현장에서 OO(주) 소속 재해자(철골공)는 공장 지붕 철골 조립작업을 위해 고소작업대에 탑승하여 약 7.3m 높이까지 상승한 뒤, 양중된 지붕 철골의 방향을 돌리기 위해 고소작업대에서 나와 기둥 철골을 밟고 서 있던 중 회전하는 지붕 철골에 맞아 약 7.8m 아래 콘크리트 바닥으로 떨어져 사망</v>
      </c>
      <c r="M82" s="76" t="str" cm="1">
        <f t="array" ref="M82">IFERROR(INDEX(DB!Q$2:Q$2576,X82),"")</f>
        <v>지붕 철골 조립작업을 위해 고소작업대에 탑승하여 상승한 뒤, 고소작업대에서 나와 기둥 철골을 밟고 서 있던 중 회전하는 지붕 철골에 맞아 근로자 추락</v>
      </c>
      <c r="N82" s="77"/>
      <c r="O82" s="78" t="str" cm="1">
        <f t="array" ref="O82">IFERROR(INDEX(DB!R$2:R$2576,X82),"")</f>
        <v>▶ 고소작업대를 상승시킨 상태에서는 작업대 내에서 작업 또는 안전대를 체결하여 작업가능범위 내에서 작업
▶ 철골구조 지붕 조립을 위한 철골 양중 시 안전한 위치에서 유도로프를 이용하여 작업
▶ 개인보호구 지급 및 착용</v>
      </c>
      <c r="P82" s="100"/>
      <c r="Q82" s="102"/>
      <c r="R82" s="150"/>
      <c r="S82" s="43"/>
      <c r="T82" s="66" cm="1">
        <f t="array" ref="T82">IFERROR(_xlfn.AGGREGATE(15,6,ROW(DB!A$2:A$2576)/(((($D$3&lt;&gt;"YES")+($D$3="YES")*(DB!E$2:E$2576="YES"))*(($D$4="")+($D$4&lt;&gt;"")*ISNUMBER(SEARCH($D$4,DB!G$2:G$2576)))*(($D$5="")+($D$5&lt;&gt;"")*(DB!B$2:B$2576=$D$5))*(($D$6="")+($D$6&lt;&gt;"")*(DB!C$2:C$2576=$D$6))*(($D$7="")+($D$7&lt;&gt;"")*(DB!D$2:D$2576=$D$7))*(($F$4="전체")+($F$4&lt;&gt;"전체")*(DB!H$2:H$2576=$F$4)))),ROW()-16)-1,"")</f>
        <v>826</v>
      </c>
      <c r="U82" s="104" t="str" cm="1">
        <f t="array" ref="U82">IFERROR(INDEX(DB!B$2:B$2576,T82),"")</f>
        <v>3. 철골공사</v>
      </c>
      <c r="V82" s="105" t="str" cm="1">
        <f t="array" ref="V82">IFERROR(INDEX(DB!O$2:O$2576,T82),"")</f>
        <v>떨어짐</v>
      </c>
      <c r="W82" s="106">
        <f t="shared" ref="W82:W145" si="4">IF(T82="","",COUNTIF($U$17:$U$216,"&lt;"&amp;U82)*100+COUNTIF($V$17:$V$216,"&lt;"&amp;V82)+(ROW()-16)*0.001)</f>
        <v>10087.066000000001</v>
      </c>
      <c r="X82" s="149">
        <f t="shared" ref="X82:X145" si="5">IFERROR(INDEX($T$17:$T$216,MATCH(SMALL($W$17:$W$216,ROW()-16),$W$17:$W$216,0)),"")</f>
        <v>826</v>
      </c>
      <c r="AB82" s="151"/>
      <c r="AC82" s="131"/>
      <c r="AE82" s="130"/>
      <c r="AF82" s="136"/>
      <c r="AH82" s="65"/>
      <c r="AI82" s="65"/>
      <c r="AJ82" s="65"/>
      <c r="AK82" s="65"/>
      <c r="AL82" s="65"/>
      <c r="AM82" s="65"/>
      <c r="AN82" s="65"/>
      <c r="BB82" s="11"/>
    </row>
    <row r="83" spans="1:54" ht="90" customHeight="1">
      <c r="A83" s="26"/>
      <c r="B83" s="73">
        <f t="shared" si="3"/>
        <v>67</v>
      </c>
      <c r="C83" s="74"/>
      <c r="D83" s="96" t="str" cm="1">
        <f t="array" ref="D83">IFERROR(INDEX(DB!B$2:B$2576,X83),"")</f>
        <v>3. 철골공사</v>
      </c>
      <c r="E83" s="107"/>
      <c r="F83" s="97" t="str" cm="1">
        <f t="array" ref="F83">IFERROR(INDEX(DB!C$2:C$2576,X83),"")</f>
        <v>3.1 철골 작업</v>
      </c>
      <c r="G83" s="108"/>
      <c r="H83" s="98" t="str" cm="1">
        <f t="array" ref="H83">IFERROR(INDEX(DB!D$2:D$2576,X83),"")</f>
        <v>3.1.2 철골 부재 인양, 조립</v>
      </c>
      <c r="I83" s="109"/>
      <c r="J83" s="99" t="str" cm="1">
        <f t="array" ref="J83">IFERROR(INDEX(DB!O$2:O$2576,X83),"")</f>
        <v>떨어짐</v>
      </c>
      <c r="K83" s="110"/>
      <c r="L83" s="75" t="str" cm="1">
        <f t="array" ref="L83">IFERROR(INDEX(DB!P$2:P$2576,X83),"")</f>
        <v>2019년 11월 OO공장 신축 공사 현장에서 재해자가 철골 기둥에 철골 보조립 작업 후 철골 보 중간지점에 인양 목적으로 연결되어 있던 클램프를 빼기위해 볼트 조립 작업 시 브래킷 볼트 구멍에 연결하였던 안전대 고리를 빼고 철골 보 위로 이동, 클램프를 빼던 중 추락(H≒15.5m) 하여 사망</v>
      </c>
      <c r="M83" s="76" t="str" cm="1">
        <f t="array" ref="M83">IFERROR(INDEX(DB!Q$2:Q$2576,X83),"")</f>
        <v>철골 구조물 하부에 안전방망을 설치하지 않은 현장에서 안전대를 체결하지 않고 철골 상부에서 이동하다 근로자가 몸의 중심을 잃고 추락</v>
      </c>
      <c r="N83" s="77"/>
      <c r="O83" s="78" t="str" cm="1">
        <f t="array" ref="O83">IFERROR(INDEX(DB!R$2:R$2576,X83),"")</f>
        <v>▶ 철골 보 상부에서 이동시 추락방지를 위해 안전대 부착설비 설치 및 안전대 착용
▶ 승강용 사다리를 이용하여 이동할 경우 추락방지를 위해 안전대 체결
▶ 이동식크레인의 붐대 간섭 등 추락방망 설치가 곤란할 경우 철골 조립작업 전 지상애서 안전대 부착설비 설치 후 인양하여 조립 후 상부에서 안전대 체결하여 작업</v>
      </c>
      <c r="P83" s="100"/>
      <c r="Q83" s="102"/>
      <c r="R83" s="150"/>
      <c r="S83" s="43"/>
      <c r="T83" s="66" cm="1">
        <f t="array" ref="T83">IFERROR(_xlfn.AGGREGATE(15,6,ROW(DB!A$2:A$2576)/(((($D$3&lt;&gt;"YES")+($D$3="YES")*(DB!E$2:E$2576="YES"))*(($D$4="")+($D$4&lt;&gt;"")*ISNUMBER(SEARCH($D$4,DB!G$2:G$2576)))*(($D$5="")+($D$5&lt;&gt;"")*(DB!B$2:B$2576=$D$5))*(($D$6="")+($D$6&lt;&gt;"")*(DB!C$2:C$2576=$D$6))*(($D$7="")+($D$7&lt;&gt;"")*(DB!D$2:D$2576=$D$7))*(($F$4="전체")+($F$4&lt;&gt;"전체")*(DB!H$2:H$2576=$F$4)))),ROW()-16)-1,"")</f>
        <v>827</v>
      </c>
      <c r="U83" s="104" t="str" cm="1">
        <f t="array" ref="U83">IFERROR(INDEX(DB!B$2:B$2576,T83),"")</f>
        <v>3. 철골공사</v>
      </c>
      <c r="V83" s="105" t="str" cm="1">
        <f t="array" ref="V83">IFERROR(INDEX(DB!O$2:O$2576,T83),"")</f>
        <v>떨어짐</v>
      </c>
      <c r="W83" s="106">
        <f t="shared" si="4"/>
        <v>10087.066999999999</v>
      </c>
      <c r="X83" s="149">
        <f t="shared" si="5"/>
        <v>827</v>
      </c>
      <c r="AB83" s="151"/>
      <c r="AC83" s="131"/>
      <c r="AE83" s="130"/>
      <c r="AF83" s="136"/>
      <c r="AH83" s="65"/>
      <c r="AI83" s="65"/>
      <c r="AJ83" s="65"/>
      <c r="AK83" s="65"/>
      <c r="AL83" s="65"/>
      <c r="AM83" s="65"/>
      <c r="AN83" s="65"/>
      <c r="BB83" s="11"/>
    </row>
    <row r="84" spans="1:54" ht="90" customHeight="1">
      <c r="A84" s="26"/>
      <c r="B84" s="73">
        <f t="shared" si="3"/>
        <v>68</v>
      </c>
      <c r="C84" s="74"/>
      <c r="D84" s="96" t="str" cm="1">
        <f t="array" ref="D84">IFERROR(INDEX(DB!B$2:B$2576,X84),"")</f>
        <v>3. 철골공사</v>
      </c>
      <c r="E84" s="107"/>
      <c r="F84" s="97" t="str" cm="1">
        <f t="array" ref="F84">IFERROR(INDEX(DB!C$2:C$2576,X84),"")</f>
        <v>3.1 철골 작업</v>
      </c>
      <c r="G84" s="108"/>
      <c r="H84" s="98" t="str" cm="1">
        <f t="array" ref="H84">IFERROR(INDEX(DB!D$2:D$2576,X84),"")</f>
        <v>3.1.2 철골 부재 인양, 조립</v>
      </c>
      <c r="I84" s="109"/>
      <c r="J84" s="99" t="str" cm="1">
        <f t="array" ref="J84">IFERROR(INDEX(DB!O$2:O$2576,X84),"")</f>
        <v>떨어짐</v>
      </c>
      <c r="K84" s="110"/>
      <c r="L84" s="75" t="str" cm="1">
        <f t="array" ref="L84">IFERROR(INDEX(DB!P$2:P$2576,X84),"")</f>
        <v>2019년 11월경 OO(주)가 시공중인 OO공장 신축공사 현장에서 재해자(철골공)가 지붕 철골을 설치한 후 이동 또는 작업 중, 몸의 중심을 잃고 지상1층 바닥(H≒10.8m)으로 떨어져 사망</v>
      </c>
      <c r="M84" s="76" t="str" cm="1">
        <f t="array" ref="M84">IFERROR(INDEX(DB!Q$2:Q$2576,X84),"")</f>
        <v>철골 구조물 하부에 안전방망을 설치하지 않은 현장에서 안전대를 체결하지 않고 철골 상부에서 이동하다 근로자가 몸의 중심을 잃고 추락</v>
      </c>
      <c r="N84" s="77"/>
      <c r="O84" s="78" t="str" cm="1">
        <f t="array" ref="O84">IFERROR(INDEX(DB!R$2:R$2576,X84),"")</f>
        <v>▶ 철골 보 상부에서 이동시 추락방지를 위해 안전대 부착설비 설치 및 안전대 착용
▶ 승강용 사다리를 이용하여 이동할 경우 추락방지를 위해 안전대 체결
▶ 이동식크레인의 붐대 간섭 등 추락방망 설치가 곤란할 경우 철골 조립작업 전 지상애서 안전대 부착설비 설치 후 인양하여 조립 후 상부에서 안전대 체결하여 작업</v>
      </c>
      <c r="P84" s="100"/>
      <c r="Q84" s="102"/>
      <c r="R84" s="150"/>
      <c r="S84" s="43"/>
      <c r="T84" s="66" cm="1">
        <f t="array" ref="T84">IFERROR(_xlfn.AGGREGATE(15,6,ROW(DB!A$2:A$2576)/(((($D$3&lt;&gt;"YES")+($D$3="YES")*(DB!E$2:E$2576="YES"))*(($D$4="")+($D$4&lt;&gt;"")*ISNUMBER(SEARCH($D$4,DB!G$2:G$2576)))*(($D$5="")+($D$5&lt;&gt;"")*(DB!B$2:B$2576=$D$5))*(($D$6="")+($D$6&lt;&gt;"")*(DB!C$2:C$2576=$D$6))*(($D$7="")+($D$7&lt;&gt;"")*(DB!D$2:D$2576=$D$7))*(($F$4="전체")+($F$4&lt;&gt;"전체")*(DB!H$2:H$2576=$F$4)))),ROW()-16)-1,"")</f>
        <v>828</v>
      </c>
      <c r="U84" s="104" t="str" cm="1">
        <f t="array" ref="U84">IFERROR(INDEX(DB!B$2:B$2576,T84),"")</f>
        <v>3. 철골공사</v>
      </c>
      <c r="V84" s="105" t="str" cm="1">
        <f t="array" ref="V84">IFERROR(INDEX(DB!O$2:O$2576,T84),"")</f>
        <v>떨어짐</v>
      </c>
      <c r="W84" s="106">
        <f t="shared" si="4"/>
        <v>10087.067999999999</v>
      </c>
      <c r="X84" s="149">
        <f t="shared" si="5"/>
        <v>828</v>
      </c>
      <c r="AB84" s="151"/>
      <c r="AC84" s="131"/>
      <c r="AE84" s="130"/>
      <c r="AF84" s="136"/>
      <c r="AH84" s="65"/>
      <c r="AI84" s="65"/>
      <c r="AJ84" s="65"/>
      <c r="AK84" s="65"/>
      <c r="AL84" s="65"/>
      <c r="AM84" s="65"/>
      <c r="AN84" s="65"/>
      <c r="BB84" s="11"/>
    </row>
    <row r="85" spans="1:54" ht="90" customHeight="1">
      <c r="A85" s="26"/>
      <c r="B85" s="73">
        <f t="shared" si="3"/>
        <v>69</v>
      </c>
      <c r="C85" s="74"/>
      <c r="D85" s="96" t="str" cm="1">
        <f t="array" ref="D85">IFERROR(INDEX(DB!B$2:B$2576,X85),"")</f>
        <v>3. 철골공사</v>
      </c>
      <c r="E85" s="107"/>
      <c r="F85" s="97" t="str" cm="1">
        <f t="array" ref="F85">IFERROR(INDEX(DB!C$2:C$2576,X85),"")</f>
        <v>3.1 철골 작업</v>
      </c>
      <c r="G85" s="108"/>
      <c r="H85" s="98" t="str" cm="1">
        <f t="array" ref="H85">IFERROR(INDEX(DB!D$2:D$2576,X85),"")</f>
        <v>3.1.2 철골 부재 인양, 조립</v>
      </c>
      <c r="I85" s="109"/>
      <c r="J85" s="99" t="str" cm="1">
        <f t="array" ref="J85">IFERROR(INDEX(DB!O$2:O$2576,X85),"")</f>
        <v>떨어짐</v>
      </c>
      <c r="K85" s="110"/>
      <c r="L85" s="75" t="str" cm="1">
        <f t="array" ref="L85">IFERROR(INDEX(DB!P$2:P$2576,X85),"")</f>
        <v>2020년 4월경 OO초 강당 겸 체육관 증축공사 현장에서 재해자(철골공)가 체육관 지붕 철골부재의 볼트 조임을 완료하고 이동식크레인과 연결된 클램프를 해체 후 철골부재 위를 이동함. 이때 인상 중이던 벨트 슬링의 고리에 설치된 클램프가 재해자의 옷에 걸렸거나 재해자의 몸을 가격(추정)하여 재해자가 중심을 잃고 약 8m 아래 2층 바닥으로 추락하여 사망</v>
      </c>
      <c r="M85" s="76" t="str" cm="1">
        <f t="array" ref="M85">IFERROR(INDEX(DB!Q$2:Q$2576,X85),"")</f>
        <v>지붕 철골부재의 볼트 조임을 완료하고 이동식크레인과 연결된 클램프를 해체 후 철골부재 위를 이동 중, 인상 중이던 벨트 슬링의 고리에 설치된 클램프가 근로자의 몸을 가격하여 중심을 잃고 추락</v>
      </c>
      <c r="N85" s="77"/>
      <c r="O85" s="78" t="str" cm="1">
        <f t="array" ref="O85">IFERROR(INDEX(DB!R$2:R$2576,X85),"")</f>
        <v>▶ 철골 설치 작업 시 이동 및 작업 중 추락방지를 위해 안전대 부착설비 설치 및 안전대 착용
▶ 철골 설치 작업 시 비계, 달비계, 고소작업대, 수평통로 및 안전난간 등의 작업발판 사용
▶ 작업발판의 설치가 곤란할 경우 작업면 하부에 추락방망 설치</v>
      </c>
      <c r="P85" s="100"/>
      <c r="Q85" s="102"/>
      <c r="R85" s="150"/>
      <c r="S85" s="43"/>
      <c r="T85" s="66" cm="1">
        <f t="array" ref="T85">IFERROR(_xlfn.AGGREGATE(15,6,ROW(DB!A$2:A$2576)/(((($D$3&lt;&gt;"YES")+($D$3="YES")*(DB!E$2:E$2576="YES"))*(($D$4="")+($D$4&lt;&gt;"")*ISNUMBER(SEARCH($D$4,DB!G$2:G$2576)))*(($D$5="")+($D$5&lt;&gt;"")*(DB!B$2:B$2576=$D$5))*(($D$6="")+($D$6&lt;&gt;"")*(DB!C$2:C$2576=$D$6))*(($D$7="")+($D$7&lt;&gt;"")*(DB!D$2:D$2576=$D$7))*(($F$4="전체")+($F$4&lt;&gt;"전체")*(DB!H$2:H$2576=$F$4)))),ROW()-16)-1,"")</f>
        <v>829</v>
      </c>
      <c r="U85" s="104" t="str" cm="1">
        <f t="array" ref="U85">IFERROR(INDEX(DB!B$2:B$2576,T85),"")</f>
        <v>3. 철골공사</v>
      </c>
      <c r="V85" s="105" t="str" cm="1">
        <f t="array" ref="V85">IFERROR(INDEX(DB!O$2:O$2576,T85),"")</f>
        <v>떨어짐</v>
      </c>
      <c r="W85" s="106">
        <f t="shared" si="4"/>
        <v>10087.069</v>
      </c>
      <c r="X85" s="149">
        <f t="shared" si="5"/>
        <v>829</v>
      </c>
      <c r="AB85" s="151"/>
      <c r="AC85" s="131"/>
      <c r="AE85" s="130"/>
      <c r="AF85" s="136"/>
      <c r="AH85" s="65"/>
      <c r="AI85" s="65"/>
      <c r="AJ85" s="65"/>
      <c r="AK85" s="65"/>
      <c r="AL85" s="65"/>
      <c r="AM85" s="65"/>
      <c r="AN85" s="65"/>
      <c r="BB85" s="11"/>
    </row>
    <row r="86" spans="1:54" ht="90" customHeight="1">
      <c r="A86" s="26"/>
      <c r="B86" s="73">
        <f t="shared" si="3"/>
        <v>70</v>
      </c>
      <c r="C86" s="74"/>
      <c r="D86" s="96" t="str" cm="1">
        <f t="array" ref="D86">IFERROR(INDEX(DB!B$2:B$2576,X86),"")</f>
        <v>3. 철골공사</v>
      </c>
      <c r="E86" s="107"/>
      <c r="F86" s="97" t="str" cm="1">
        <f t="array" ref="F86">IFERROR(INDEX(DB!C$2:C$2576,X86),"")</f>
        <v>3.1 철골 작업</v>
      </c>
      <c r="G86" s="108"/>
      <c r="H86" s="98" t="str" cm="1">
        <f t="array" ref="H86">IFERROR(INDEX(DB!D$2:D$2576,X86),"")</f>
        <v>3.1.2 철골 부재 인양, 조립</v>
      </c>
      <c r="I86" s="109"/>
      <c r="J86" s="99" t="str" cm="1">
        <f t="array" ref="J86">IFERROR(INDEX(DB!O$2:O$2576,X86),"")</f>
        <v>떨어짐</v>
      </c>
      <c r="K86" s="110"/>
      <c r="L86" s="75" t="str" cm="1">
        <f t="array" ref="L86">IFERROR(INDEX(DB!P$2:P$2576,X86),"")</f>
        <v>2020년 5월경 OO건설㈜에서 시공하는 근린생활시설 신축공사 현장에서 재해자(용접공)가 가용접 상태의 철골계단을 지지하던 양중용 걸이로프를 제거하고 철골계단 상부로 이동 중 가용접 부위가 탈락·붕괴되면서 약 8m 아래 콘크리트 바닥으로 떨어져 사망</v>
      </c>
      <c r="M86" s="76" t="str" cm="1">
        <f t="array" ref="M86">IFERROR(INDEX(DB!Q$2:Q$2576,X86),"")</f>
        <v>가용접 상태의 철골계단을 지지하던 양중용 걸이로프를 제거하고 철골계단 상부로 이동 중 가용접 부위가 탈락되면서 근로자 추락</v>
      </c>
      <c r="N86" s="77"/>
      <c r="O86" s="78" t="str" cm="1">
        <f t="array" ref="O86">IFERROR(INDEX(DB!R$2:R$2576,X86),"")</f>
        <v>▶ 철골계단 조립 시 본용접으로 철골부재의 접합부가 충분히 지지된 후 걸이로프 제거
▶ 철골계단 용접 시 안전대 부착설비 설치 및 안전대 착용
▶ 철골계단 조립 등 중량물 취급 시 안전방망, 수직형 추락방망 등을 설치하여 추락 및 낙하방지 실시</v>
      </c>
      <c r="P86" s="100"/>
      <c r="Q86" s="102"/>
      <c r="R86" s="150"/>
      <c r="S86" s="43"/>
      <c r="T86" s="66" cm="1">
        <f t="array" ref="T86">IFERROR(_xlfn.AGGREGATE(15,6,ROW(DB!A$2:A$2576)/(((($D$3&lt;&gt;"YES")+($D$3="YES")*(DB!E$2:E$2576="YES"))*(($D$4="")+($D$4&lt;&gt;"")*ISNUMBER(SEARCH($D$4,DB!G$2:G$2576)))*(($D$5="")+($D$5&lt;&gt;"")*(DB!B$2:B$2576=$D$5))*(($D$6="")+($D$6&lt;&gt;"")*(DB!C$2:C$2576=$D$6))*(($D$7="")+($D$7&lt;&gt;"")*(DB!D$2:D$2576=$D$7))*(($F$4="전체")+($F$4&lt;&gt;"전체")*(DB!H$2:H$2576=$F$4)))),ROW()-16)-1,"")</f>
        <v>830</v>
      </c>
      <c r="U86" s="104" t="str" cm="1">
        <f t="array" ref="U86">IFERROR(INDEX(DB!B$2:B$2576,T86),"")</f>
        <v>3. 철골공사</v>
      </c>
      <c r="V86" s="105" t="str" cm="1">
        <f t="array" ref="V86">IFERROR(INDEX(DB!O$2:O$2576,T86),"")</f>
        <v>떨어짐</v>
      </c>
      <c r="W86" s="106">
        <f t="shared" si="4"/>
        <v>10087.07</v>
      </c>
      <c r="X86" s="149">
        <f t="shared" si="5"/>
        <v>830</v>
      </c>
      <c r="AB86" s="151"/>
      <c r="AC86" s="131"/>
      <c r="AE86" s="130"/>
      <c r="AF86" s="136"/>
      <c r="AH86" s="65"/>
      <c r="AI86" s="65"/>
      <c r="AJ86" s="65"/>
      <c r="AK86" s="65"/>
      <c r="AL86" s="65"/>
      <c r="AM86" s="65"/>
      <c r="AN86" s="65"/>
      <c r="BB86" s="11"/>
    </row>
    <row r="87" spans="1:54" ht="90" customHeight="1">
      <c r="A87" s="26"/>
      <c r="B87" s="73">
        <f t="shared" si="3"/>
        <v>71</v>
      </c>
      <c r="C87" s="74"/>
      <c r="D87" s="96" t="str" cm="1">
        <f t="array" ref="D87">IFERROR(INDEX(DB!B$2:B$2576,X87),"")</f>
        <v>3. 철골공사</v>
      </c>
      <c r="E87" s="107"/>
      <c r="F87" s="97" t="str" cm="1">
        <f t="array" ref="F87">IFERROR(INDEX(DB!C$2:C$2576,X87),"")</f>
        <v>3.1 철골 작업</v>
      </c>
      <c r="G87" s="108"/>
      <c r="H87" s="98" t="str" cm="1">
        <f t="array" ref="H87">IFERROR(INDEX(DB!D$2:D$2576,X87),"")</f>
        <v>3.1.2 철골 부재 인양, 조립</v>
      </c>
      <c r="I87" s="109"/>
      <c r="J87" s="99" t="str" cm="1">
        <f t="array" ref="J87">IFERROR(INDEX(DB!O$2:O$2576,X87),"")</f>
        <v>떨어짐</v>
      </c>
      <c r="K87" s="110"/>
      <c r="L87" s="75" t="str" cm="1">
        <f t="array" ref="L87">IFERROR(INDEX(DB!P$2:P$2576,X87),"")</f>
        <v>2020년 5월경 자동차관련시설 현장에서 재해자가 카리프트 구간의 월 브레이싱 설치 작업을 하던 중 철골 상부에서 실족하여 콘크리트 바닥으로 추락(H≒11.8m)하여 사망한 재해임.</v>
      </c>
      <c r="M87" s="76" t="str" cm="1">
        <f t="array" ref="M87">IFERROR(INDEX(DB!Q$2:Q$2576,X87),"")</f>
        <v xml:space="preserve">카리프트 구간의 월 브레이싱 설치 작업을 하던 중, 근로자가 철골 상부에서 실족하여 추락 </v>
      </c>
      <c r="N87" s="77"/>
      <c r="O87" s="78" t="str" cm="1">
        <f t="array" ref="O87">IFERROR(INDEX(DB!R$2:R$2576,X87),"")</f>
        <v xml:space="preserve">▶ 철골작업 등 고소작업 시 비계 조립 등의 방법으로 작업발판 및 단부에 안전난간 설치
▶ 안전난간의 설치가 곤란할 경우 안전방망 및 안전대 부착설비 설치
▶ 철골작업 중 작업발판 및 안전방망의 설치가 곤란할 경우 수직·상하 이동이 가능한 곤돌라 등을 이용하여 작업 </v>
      </c>
      <c r="P87" s="100"/>
      <c r="Q87" s="102"/>
      <c r="R87" s="150"/>
      <c r="S87" s="43"/>
      <c r="T87" s="66" cm="1">
        <f t="array" ref="T87">IFERROR(_xlfn.AGGREGATE(15,6,ROW(DB!A$2:A$2576)/(((($D$3&lt;&gt;"YES")+($D$3="YES")*(DB!E$2:E$2576="YES"))*(($D$4="")+($D$4&lt;&gt;"")*ISNUMBER(SEARCH($D$4,DB!G$2:G$2576)))*(($D$5="")+($D$5&lt;&gt;"")*(DB!B$2:B$2576=$D$5))*(($D$6="")+($D$6&lt;&gt;"")*(DB!C$2:C$2576=$D$6))*(($D$7="")+($D$7&lt;&gt;"")*(DB!D$2:D$2576=$D$7))*(($F$4="전체")+($F$4&lt;&gt;"전체")*(DB!H$2:H$2576=$F$4)))),ROW()-16)-1,"")</f>
        <v>831</v>
      </c>
      <c r="U87" s="104" t="str" cm="1">
        <f t="array" ref="U87">IFERROR(INDEX(DB!B$2:B$2576,T87),"")</f>
        <v>3. 철골공사</v>
      </c>
      <c r="V87" s="105" t="str" cm="1">
        <f t="array" ref="V87">IFERROR(INDEX(DB!O$2:O$2576,T87),"")</f>
        <v>떨어짐</v>
      </c>
      <c r="W87" s="106">
        <f t="shared" si="4"/>
        <v>10087.071</v>
      </c>
      <c r="X87" s="149">
        <f t="shared" si="5"/>
        <v>831</v>
      </c>
      <c r="AB87" s="151"/>
      <c r="AC87" s="131"/>
      <c r="AE87" s="130"/>
      <c r="AF87" s="136"/>
      <c r="AH87" s="65"/>
      <c r="AI87" s="65"/>
      <c r="AJ87" s="65"/>
      <c r="AK87" s="65"/>
      <c r="AL87" s="65"/>
      <c r="AM87" s="65"/>
      <c r="AN87" s="65"/>
      <c r="BB87" s="11"/>
    </row>
    <row r="88" spans="1:54" ht="90" customHeight="1">
      <c r="A88" s="26"/>
      <c r="B88" s="73">
        <f t="shared" si="3"/>
        <v>72</v>
      </c>
      <c r="C88" s="74"/>
      <c r="D88" s="96" t="str" cm="1">
        <f t="array" ref="D88">IFERROR(INDEX(DB!B$2:B$2576,X88),"")</f>
        <v>3. 철골공사</v>
      </c>
      <c r="E88" s="107"/>
      <c r="F88" s="97" t="str" cm="1">
        <f t="array" ref="F88">IFERROR(INDEX(DB!C$2:C$2576,X88),"")</f>
        <v>3.1 철골 작업</v>
      </c>
      <c r="G88" s="108"/>
      <c r="H88" s="98" t="str" cm="1">
        <f t="array" ref="H88">IFERROR(INDEX(DB!D$2:D$2576,X88),"")</f>
        <v>3.1.2 철골 부재 인양, 조립</v>
      </c>
      <c r="I88" s="109"/>
      <c r="J88" s="99" t="str" cm="1">
        <f t="array" ref="J88">IFERROR(INDEX(DB!O$2:O$2576,X88),"")</f>
        <v>떨어짐</v>
      </c>
      <c r="K88" s="110"/>
      <c r="L88" s="75" t="str" cm="1">
        <f t="array" ref="L88">IFERROR(INDEX(DB!P$2:P$2576,X88),"")</f>
        <v>2020년 6월경 OO㈜에서 시공하는 OO공장 신축공사 현장에서 재해자1(철골공)와 동료작업자가 높이 약9.6m 철골보위에서 앵글브레이싱을 조립하던 중 재해자는 앵글브레이싱과 함께 콘크리트연석으로 떨어져 사망하고 밑에서 작업하던 재해자2(철골공)는 떨어지는 앵글브레이싱에 발등을 맞아 부상</v>
      </c>
      <c r="M88" s="76" t="str" cm="1">
        <f t="array" ref="M88">IFERROR(INDEX(DB!Q$2:Q$2576,X88),"")</f>
        <v>추락방호조치가 되어 있지 않은 철골 구조물 상부에서 작업 중 근로자 추락</v>
      </c>
      <c r="N88" s="77"/>
      <c r="O88" s="78" t="str" cm="1">
        <f t="array" ref="O88">IFERROR(INDEX(DB!R$2:R$2576,X88),"")</f>
        <v>▶ 추락방지망 설치 등의 안전방호조치 실시
▶ 안전방호조치가 현장 여건 상 어려울 경우, 별도의 안전대 부착설비를 설치
▶ 작업자의 개인보호구 착용여부 관리감독</v>
      </c>
      <c r="P88" s="100"/>
      <c r="Q88" s="102"/>
      <c r="R88" s="150"/>
      <c r="S88" s="43"/>
      <c r="T88" s="66" cm="1">
        <f t="array" ref="T88">IFERROR(_xlfn.AGGREGATE(15,6,ROW(DB!A$2:A$2576)/(((($D$3&lt;&gt;"YES")+($D$3="YES")*(DB!E$2:E$2576="YES"))*(($D$4="")+($D$4&lt;&gt;"")*ISNUMBER(SEARCH($D$4,DB!G$2:G$2576)))*(($D$5="")+($D$5&lt;&gt;"")*(DB!B$2:B$2576=$D$5))*(($D$6="")+($D$6&lt;&gt;"")*(DB!C$2:C$2576=$D$6))*(($D$7="")+($D$7&lt;&gt;"")*(DB!D$2:D$2576=$D$7))*(($F$4="전체")+($F$4&lt;&gt;"전체")*(DB!H$2:H$2576=$F$4)))),ROW()-16)-1,"")</f>
        <v>832</v>
      </c>
      <c r="U88" s="104" t="str" cm="1">
        <f t="array" ref="U88">IFERROR(INDEX(DB!B$2:B$2576,T88),"")</f>
        <v>3. 철골공사</v>
      </c>
      <c r="V88" s="105" t="str" cm="1">
        <f t="array" ref="V88">IFERROR(INDEX(DB!O$2:O$2576,T88),"")</f>
        <v>떨어짐</v>
      </c>
      <c r="W88" s="106">
        <f t="shared" si="4"/>
        <v>10087.072</v>
      </c>
      <c r="X88" s="149">
        <f t="shared" si="5"/>
        <v>832</v>
      </c>
      <c r="AB88" s="151"/>
      <c r="AC88" s="131"/>
      <c r="AE88" s="130"/>
      <c r="AF88" s="136"/>
      <c r="AH88" s="65"/>
      <c r="AI88" s="65"/>
      <c r="AJ88" s="65"/>
      <c r="AK88" s="65"/>
      <c r="AL88" s="65"/>
      <c r="AM88" s="65"/>
      <c r="AN88" s="65"/>
      <c r="BB88" s="11"/>
    </row>
    <row r="89" spans="1:54" ht="90" customHeight="1">
      <c r="A89" s="26"/>
      <c r="B89" s="73">
        <f t="shared" si="3"/>
        <v>73</v>
      </c>
      <c r="C89" s="74"/>
      <c r="D89" s="96" t="str" cm="1">
        <f t="array" ref="D89">IFERROR(INDEX(DB!B$2:B$2576,X89),"")</f>
        <v>3. 철골공사</v>
      </c>
      <c r="E89" s="107"/>
      <c r="F89" s="97" t="str" cm="1">
        <f t="array" ref="F89">IFERROR(INDEX(DB!C$2:C$2576,X89),"")</f>
        <v>3.1 철골 작업</v>
      </c>
      <c r="G89" s="108"/>
      <c r="H89" s="98" t="str" cm="1">
        <f t="array" ref="H89">IFERROR(INDEX(DB!D$2:D$2576,X89),"")</f>
        <v>3.1.2 철골 부재 인양, 조립</v>
      </c>
      <c r="I89" s="109"/>
      <c r="J89" s="99" t="str" cm="1">
        <f t="array" ref="J89">IFERROR(INDEX(DB!O$2:O$2576,X89),"")</f>
        <v>떨어짐</v>
      </c>
      <c r="K89" s="110"/>
      <c r="L89" s="75" t="str" cm="1">
        <f t="array" ref="L89">IFERROR(INDEX(DB!P$2:P$2576,X89),"")</f>
        <v>2020년 7월경 ㈜OO 숙박시설 신축공사 현장에서 재해자(철골공) 2명이 가 지상1층 슬래브 데크플레이트 설치작업 중 몸의 중심을 잃고 지상1층 바닥(H≒3.3m)으로 떨어져 부상</v>
      </c>
      <c r="M89" s="76" t="str" cm="1">
        <f t="array" ref="M89">IFERROR(INDEX(DB!Q$2:Q$2576,X89),"")</f>
        <v>안전대 부착설비가 설치되지 않은 상태로 데크 플레이트 설치 작업 중 근로자가 몸의 중심을 잃고 데크플레이트 단부, 개구부로 추락</v>
      </c>
      <c r="N89" s="77"/>
      <c r="O89" s="78" t="str" cm="1">
        <f t="array" ref="O89">IFERROR(INDEX(DB!R$2:R$2576,X89),"")</f>
        <v>▶ 데크플레이트 설치작업 시 통로의 끝이나 개구부 등 추락위험이 있는 장소에는 안전난간, 울타리, 수직형 추락방망 또는 덮개 등의 방호조치 실시
▶ 안전난간 등 설치가 곤란할 경우 추락방호망 설치
▶ 데크플레이트 설치 및 철근 배근작업 시 근로자의 실족 방지를 위해 작업발판 등을 작업장의 통로에 설치
▶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v>
      </c>
      <c r="P89" s="100"/>
      <c r="Q89" s="102"/>
      <c r="R89" s="150"/>
      <c r="S89" s="43"/>
      <c r="T89" s="66" cm="1">
        <f t="array" ref="T89">IFERROR(_xlfn.AGGREGATE(15,6,ROW(DB!A$2:A$2576)/(((($D$3&lt;&gt;"YES")+($D$3="YES")*(DB!E$2:E$2576="YES"))*(($D$4="")+($D$4&lt;&gt;"")*ISNUMBER(SEARCH($D$4,DB!G$2:G$2576)))*(($D$5="")+($D$5&lt;&gt;"")*(DB!B$2:B$2576=$D$5))*(($D$6="")+($D$6&lt;&gt;"")*(DB!C$2:C$2576=$D$6))*(($D$7="")+($D$7&lt;&gt;"")*(DB!D$2:D$2576=$D$7))*(($F$4="전체")+($F$4&lt;&gt;"전체")*(DB!H$2:H$2576=$F$4)))),ROW()-16)-1,"")</f>
        <v>833</v>
      </c>
      <c r="U89" s="104" t="str" cm="1">
        <f t="array" ref="U89">IFERROR(INDEX(DB!B$2:B$2576,T89),"")</f>
        <v>3. 철골공사</v>
      </c>
      <c r="V89" s="105" t="str" cm="1">
        <f t="array" ref="V89">IFERROR(INDEX(DB!O$2:O$2576,T89),"")</f>
        <v>떨어짐</v>
      </c>
      <c r="W89" s="106">
        <f t="shared" si="4"/>
        <v>10087.073</v>
      </c>
      <c r="X89" s="149">
        <f t="shared" si="5"/>
        <v>833</v>
      </c>
      <c r="AB89" s="151"/>
      <c r="AC89" s="131"/>
      <c r="AE89" s="130"/>
      <c r="AF89" s="136"/>
      <c r="AH89" s="65"/>
      <c r="AI89" s="65"/>
      <c r="AJ89" s="65"/>
      <c r="AK89" s="65"/>
      <c r="AL89" s="65"/>
      <c r="AM89" s="65"/>
      <c r="AN89" s="65"/>
      <c r="BB89" s="11"/>
    </row>
    <row r="90" spans="1:54" ht="90" customHeight="1">
      <c r="A90" s="26"/>
      <c r="B90" s="73">
        <f t="shared" si="3"/>
        <v>74</v>
      </c>
      <c r="C90" s="74"/>
      <c r="D90" s="96" t="str" cm="1">
        <f t="array" ref="D90">IFERROR(INDEX(DB!B$2:B$2576,X90),"")</f>
        <v>3. 철골공사</v>
      </c>
      <c r="E90" s="107"/>
      <c r="F90" s="97" t="str" cm="1">
        <f t="array" ref="F90">IFERROR(INDEX(DB!C$2:C$2576,X90),"")</f>
        <v>3.1 철골 작업</v>
      </c>
      <c r="G90" s="108"/>
      <c r="H90" s="98" t="str" cm="1">
        <f t="array" ref="H90">IFERROR(INDEX(DB!D$2:D$2576,X90),"")</f>
        <v>3.1.2 철골 부재 인양, 조립</v>
      </c>
      <c r="I90" s="109"/>
      <c r="J90" s="99" t="str" cm="1">
        <f t="array" ref="J90">IFERROR(INDEX(DB!O$2:O$2576,X90),"")</f>
        <v>떨어짐</v>
      </c>
      <c r="K90" s="110"/>
      <c r="L90" s="75" t="str" cm="1">
        <f t="array" ref="L90">IFERROR(INDEX(DB!P$2:P$2576,X90),"")</f>
        <v>2020년 7월경 OO건설(주) OO근린생활시설 건설현장에서 재해자가 지상2층 바닥 철골에 데크 플레이트 설치작업 중 데크 플레이트와 함께 추락(H=5.5m)하여 사망</v>
      </c>
      <c r="M90" s="76" t="str" cm="1">
        <f t="array" ref="M90">IFERROR(INDEX(DB!Q$2:Q$2576,X90),"")</f>
        <v>안전대 부착설비가 설치되지 않은 상태로 데크 플레이트 설치 작업 중 근로자가 몸의 중심을 잃고 데크플레이트 단부, 개구부로 추락</v>
      </c>
      <c r="N90" s="77"/>
      <c r="O90" s="78" t="str" cm="1">
        <f t="array" ref="O90">IFERROR(INDEX(DB!R$2:R$2576,X90),"")</f>
        <v>▶ 데크플레이트 설치작업 시 통로의 끝이나 개구부 등 추락위험이 있는 장소에는 안전난간, 울타리, 수직형 추락방망 또는 덮개 등의 방호조치 실시
▶ 안전난간 등 설치가 곤란할 경우 추락방호망 설치
▶ 데크플레이트 설치 및 철근 배근작업 시 근로자의 실족 방지를 위해 작업발판 등을 작업장의 통로에 설치
▶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v>
      </c>
      <c r="P90" s="100"/>
      <c r="Q90" s="102"/>
      <c r="R90" s="150"/>
      <c r="S90" s="43"/>
      <c r="T90" s="66" cm="1">
        <f t="array" ref="T90">IFERROR(_xlfn.AGGREGATE(15,6,ROW(DB!A$2:A$2576)/(((($D$3&lt;&gt;"YES")+($D$3="YES")*(DB!E$2:E$2576="YES"))*(($D$4="")+($D$4&lt;&gt;"")*ISNUMBER(SEARCH($D$4,DB!G$2:G$2576)))*(($D$5="")+($D$5&lt;&gt;"")*(DB!B$2:B$2576=$D$5))*(($D$6="")+($D$6&lt;&gt;"")*(DB!C$2:C$2576=$D$6))*(($D$7="")+($D$7&lt;&gt;"")*(DB!D$2:D$2576=$D$7))*(($F$4="전체")+($F$4&lt;&gt;"전체")*(DB!H$2:H$2576=$F$4)))),ROW()-16)-1,"")</f>
        <v>834</v>
      </c>
      <c r="U90" s="104" t="str" cm="1">
        <f t="array" ref="U90">IFERROR(INDEX(DB!B$2:B$2576,T90),"")</f>
        <v>3. 철골공사</v>
      </c>
      <c r="V90" s="105" t="str" cm="1">
        <f t="array" ref="V90">IFERROR(INDEX(DB!O$2:O$2576,T90),"")</f>
        <v>떨어짐</v>
      </c>
      <c r="W90" s="106">
        <f t="shared" si="4"/>
        <v>10087.074000000001</v>
      </c>
      <c r="X90" s="149">
        <f t="shared" si="5"/>
        <v>834</v>
      </c>
      <c r="AB90" s="151"/>
      <c r="AC90" s="131"/>
      <c r="AE90" s="130"/>
      <c r="AF90" s="136"/>
      <c r="AH90" s="65"/>
      <c r="AI90" s="65"/>
      <c r="AJ90" s="65"/>
      <c r="AK90" s="65"/>
      <c r="AL90" s="65"/>
      <c r="AM90" s="65"/>
      <c r="AN90" s="65"/>
      <c r="BB90" s="11"/>
    </row>
    <row r="91" spans="1:54" ht="90" customHeight="1">
      <c r="A91" s="26"/>
      <c r="B91" s="73">
        <f t="shared" si="3"/>
        <v>75</v>
      </c>
      <c r="C91" s="74"/>
      <c r="D91" s="96" t="str" cm="1">
        <f t="array" ref="D91">IFERROR(INDEX(DB!B$2:B$2576,X91),"")</f>
        <v>3. 철골공사</v>
      </c>
      <c r="E91" s="107"/>
      <c r="F91" s="97" t="str" cm="1">
        <f t="array" ref="F91">IFERROR(INDEX(DB!C$2:C$2576,X91),"")</f>
        <v>3.1 철골 작업</v>
      </c>
      <c r="G91" s="108"/>
      <c r="H91" s="98" t="str" cm="1">
        <f t="array" ref="H91">IFERROR(INDEX(DB!D$2:D$2576,X91),"")</f>
        <v>3.1.2 철골 부재 인양, 조립</v>
      </c>
      <c r="I91" s="109"/>
      <c r="J91" s="99" t="str" cm="1">
        <f t="array" ref="J91">IFERROR(INDEX(DB!O$2:O$2576,X91),"")</f>
        <v>떨어짐</v>
      </c>
      <c r="K91" s="110"/>
      <c r="L91" s="75" t="str" cm="1">
        <f t="array" ref="L91">IFERROR(INDEX(DB!P$2:P$2576,X91),"")</f>
        <v>2020년 7월경 ㈜OO 공장 신축공사 현장에서 재해자가 옥상층 파라펫 지지용 밑받침 철물 설치를 위해 철골보 위에서 이동 중 몸의 중심을 잃고 지상 콘크리트 바닥으로 떨어져(H≒17.5m) 사망</v>
      </c>
      <c r="M91" s="76" t="str" cm="1">
        <f t="array" ref="M91">IFERROR(INDEX(DB!Q$2:Q$2576,X91),"")</f>
        <v>철골 구조물 하부에 안전방망을 설치하지 않은 현장에서 안전대를 체결하지 않고 철골 상부에서 이동하다 근로자가 몸의 중심을 잃고 추락</v>
      </c>
      <c r="N91" s="77"/>
      <c r="O91" s="78" t="str" cm="1">
        <f t="array" ref="O91">IFERROR(INDEX(DB!R$2:R$2576,X91),"")</f>
        <v>▶ 철골 보 상부에서 이동시 추락방지를 위해 안전대 부착설비 설치 및 안전대 착용
▶ 승강용 사다리를 이용하여 이동할 경우 추락방지를 위해 안전대 체결
▶ 이동식크레인의 붐대 간섭 등 추락방망 설치가 곤란할 경우 철골 조립작업 전 지상애서 안전대 부착설비 설치 후 인양하여 조립 후 상부에서 안전대 체결하여 작업</v>
      </c>
      <c r="P91" s="100"/>
      <c r="Q91" s="102"/>
      <c r="R91" s="150"/>
      <c r="S91" s="43"/>
      <c r="T91" s="66" cm="1">
        <f t="array" ref="T91">IFERROR(_xlfn.AGGREGATE(15,6,ROW(DB!A$2:A$2576)/(((($D$3&lt;&gt;"YES")+($D$3="YES")*(DB!E$2:E$2576="YES"))*(($D$4="")+($D$4&lt;&gt;"")*ISNUMBER(SEARCH($D$4,DB!G$2:G$2576)))*(($D$5="")+($D$5&lt;&gt;"")*(DB!B$2:B$2576=$D$5))*(($D$6="")+($D$6&lt;&gt;"")*(DB!C$2:C$2576=$D$6))*(($D$7="")+($D$7&lt;&gt;"")*(DB!D$2:D$2576=$D$7))*(($F$4="전체")+($F$4&lt;&gt;"전체")*(DB!H$2:H$2576=$F$4)))),ROW()-16)-1,"")</f>
        <v>835</v>
      </c>
      <c r="U91" s="104" t="str" cm="1">
        <f t="array" ref="U91">IFERROR(INDEX(DB!B$2:B$2576,T91),"")</f>
        <v>3. 철골공사</v>
      </c>
      <c r="V91" s="105" t="str" cm="1">
        <f t="array" ref="V91">IFERROR(INDEX(DB!O$2:O$2576,T91),"")</f>
        <v>떨어짐</v>
      </c>
      <c r="W91" s="106">
        <f t="shared" si="4"/>
        <v>10087.075000000001</v>
      </c>
      <c r="X91" s="149">
        <f t="shared" si="5"/>
        <v>835</v>
      </c>
      <c r="AB91" s="151"/>
      <c r="AC91" s="131"/>
      <c r="AE91" s="130"/>
      <c r="AF91" s="136"/>
      <c r="AH91" s="65"/>
      <c r="AI91" s="65"/>
      <c r="AJ91" s="65"/>
      <c r="AK91" s="65"/>
      <c r="AL91" s="65"/>
      <c r="AM91" s="65"/>
      <c r="AN91" s="65"/>
      <c r="BB91" s="11"/>
    </row>
    <row r="92" spans="1:54" ht="90" customHeight="1">
      <c r="A92" s="26"/>
      <c r="B92" s="73">
        <f t="shared" si="3"/>
        <v>76</v>
      </c>
      <c r="C92" s="74"/>
      <c r="D92" s="96" t="str" cm="1">
        <f t="array" ref="D92">IFERROR(INDEX(DB!B$2:B$2576,X92),"")</f>
        <v>3. 철골공사</v>
      </c>
      <c r="E92" s="107"/>
      <c r="F92" s="97" t="str" cm="1">
        <f t="array" ref="F92">IFERROR(INDEX(DB!C$2:C$2576,X92),"")</f>
        <v>3.1 철골 작업</v>
      </c>
      <c r="G92" s="108"/>
      <c r="H92" s="98" t="str" cm="1">
        <f t="array" ref="H92">IFERROR(INDEX(DB!D$2:D$2576,X92),"")</f>
        <v>3.1.2 철골 부재 인양, 조립</v>
      </c>
      <c r="I92" s="109"/>
      <c r="J92" s="99" t="str" cm="1">
        <f t="array" ref="J92">IFERROR(INDEX(DB!O$2:O$2576,X92),"")</f>
        <v>떨어짐</v>
      </c>
      <c r="K92" s="110"/>
      <c r="L92" s="75" t="str" cm="1">
        <f t="array" ref="L92">IFERROR(INDEX(DB!P$2:P$2576,X92),"")</f>
        <v>2020년 8월경 OO건설(주)이 시공하는 OO센터 신축공사 현장에서 재해자(철골공)가 다목적강당 지붕철골 상부에서 ‘X’브레이싱 설치 작업을 위해 이동 중 몸의 중심을 잃고 약 9.4m 아래 바닥으로 떨어져 사망</v>
      </c>
      <c r="M92" s="76" t="str" cm="1">
        <f t="array" ref="M92">IFERROR(INDEX(DB!Q$2:Q$2576,X92),"")</f>
        <v>철골 구조물 하부에 안전방망을 설치하지 않은 현장에서 안전대를 체결하지 않고 철골 상부에서 이동하다 근로자가 몸의 중심을 잃고 추락</v>
      </c>
      <c r="N92" s="77"/>
      <c r="O92" s="78" t="str" cm="1">
        <f t="array" ref="O92">IFERROR(INDEX(DB!R$2:R$2576,X92),"")</f>
        <v>▶ 철골 보 상부에서 이동시 추락방지를 위해 안전대 부착설비 설치 및 안전대 착용
▶ 승강용 사다리를 이용하여 이동할 경우 추락방지를 위해 안전대 체결
▶ 이동식크레인의 붐대 간섭 등 추락방망 설치가 곤란할 경우 철골 조립작업 전 지상애서 안전대 부착설비 설치 후 인양하여 조립 후 상부에서 안전대 체결하여 작업</v>
      </c>
      <c r="P92" s="100"/>
      <c r="Q92" s="102"/>
      <c r="R92" s="150"/>
      <c r="S92" s="43"/>
      <c r="T92" s="66" cm="1">
        <f t="array" ref="T92">IFERROR(_xlfn.AGGREGATE(15,6,ROW(DB!A$2:A$2576)/(((($D$3&lt;&gt;"YES")+($D$3="YES")*(DB!E$2:E$2576="YES"))*(($D$4="")+($D$4&lt;&gt;"")*ISNUMBER(SEARCH($D$4,DB!G$2:G$2576)))*(($D$5="")+($D$5&lt;&gt;"")*(DB!B$2:B$2576=$D$5))*(($D$6="")+($D$6&lt;&gt;"")*(DB!C$2:C$2576=$D$6))*(($D$7="")+($D$7&lt;&gt;"")*(DB!D$2:D$2576=$D$7))*(($F$4="전체")+($F$4&lt;&gt;"전체")*(DB!H$2:H$2576=$F$4)))),ROW()-16)-1,"")</f>
        <v>836</v>
      </c>
      <c r="U92" s="104" t="str" cm="1">
        <f t="array" ref="U92">IFERROR(INDEX(DB!B$2:B$2576,T92),"")</f>
        <v>3. 철골공사</v>
      </c>
      <c r="V92" s="105" t="str" cm="1">
        <f t="array" ref="V92">IFERROR(INDEX(DB!O$2:O$2576,T92),"")</f>
        <v>맞음(낙하물체)</v>
      </c>
      <c r="W92" s="106">
        <f t="shared" si="4"/>
        <v>10191.075999999999</v>
      </c>
      <c r="X92" s="149">
        <f t="shared" si="5"/>
        <v>837</v>
      </c>
      <c r="AB92" s="151"/>
      <c r="AC92" s="131"/>
      <c r="AE92" s="130"/>
      <c r="AF92" s="136"/>
      <c r="AH92" s="65"/>
      <c r="AI92" s="65"/>
      <c r="AJ92" s="65"/>
      <c r="AK92" s="65"/>
      <c r="AL92" s="65"/>
      <c r="AM92" s="65"/>
      <c r="AN92" s="65"/>
      <c r="BB92" s="11"/>
    </row>
    <row r="93" spans="1:54" ht="90" customHeight="1">
      <c r="A93" s="26"/>
      <c r="B93" s="73">
        <f t="shared" si="3"/>
        <v>77</v>
      </c>
      <c r="C93" s="74"/>
      <c r="D93" s="96" t="str" cm="1">
        <f t="array" ref="D93">IFERROR(INDEX(DB!B$2:B$2576,X93),"")</f>
        <v>3. 철골공사</v>
      </c>
      <c r="E93" s="107"/>
      <c r="F93" s="97" t="str" cm="1">
        <f t="array" ref="F93">IFERROR(INDEX(DB!C$2:C$2576,X93),"")</f>
        <v>3.1 철골 작업</v>
      </c>
      <c r="G93" s="108"/>
      <c r="H93" s="98" t="str" cm="1">
        <f t="array" ref="H93">IFERROR(INDEX(DB!D$2:D$2576,X93),"")</f>
        <v>3.1.2 철골 부재 인양, 조립</v>
      </c>
      <c r="I93" s="109"/>
      <c r="J93" s="99" t="str" cm="1">
        <f t="array" ref="J93">IFERROR(INDEX(DB!O$2:O$2576,X93),"")</f>
        <v>떨어짐</v>
      </c>
      <c r="K93" s="110"/>
      <c r="L93" s="75" t="str" cm="1">
        <f t="array" ref="L93">IFERROR(INDEX(DB!P$2:P$2576,X93),"")</f>
        <v>2020년 8월경 ㈜OO 물류센터 신축공사 현장에서 재해자(철골공)이 철골보 위에서 조립작업을 위해 준비하던 중 높이 약10.9m에서 콘크리트바닥으로 떨어져 사망</v>
      </c>
      <c r="M93" s="76" t="str" cm="1">
        <f t="array" ref="M93">IFERROR(INDEX(DB!Q$2:Q$2576,X93),"")</f>
        <v>추락방호조치가 되어 있지 않은 철골 구조물 상부에서 작업 중 근로자 추락</v>
      </c>
      <c r="N93" s="77"/>
      <c r="O93" s="78" t="str" cm="1">
        <f t="array" ref="O93">IFERROR(INDEX(DB!R$2:R$2576,X93),"")</f>
        <v>▶ 추락방지망 설치 등의 안전방호조치 실시
▶ 안전방호조치가 현장 여건 상 어려울 경우, 별도의 안전대 부착설비를 설치
▶ 작업자의 개인보호구 착용여부 관리감독</v>
      </c>
      <c r="P93" s="100"/>
      <c r="Q93" s="102"/>
      <c r="R93" s="150"/>
      <c r="S93" s="43"/>
      <c r="T93" s="66" cm="1">
        <f t="array" ref="T93">IFERROR(_xlfn.AGGREGATE(15,6,ROW(DB!A$2:A$2576)/(((($D$3&lt;&gt;"YES")+($D$3="YES")*(DB!E$2:E$2576="YES"))*(($D$4="")+($D$4&lt;&gt;"")*ISNUMBER(SEARCH($D$4,DB!G$2:G$2576)))*(($D$5="")+($D$5&lt;&gt;"")*(DB!B$2:B$2576=$D$5))*(($D$6="")+($D$6&lt;&gt;"")*(DB!C$2:C$2576=$D$6))*(($D$7="")+($D$7&lt;&gt;"")*(DB!D$2:D$2576=$D$7))*(($F$4="전체")+($F$4&lt;&gt;"전체")*(DB!H$2:H$2576=$F$4)))),ROW()-16)-1,"")</f>
        <v>837</v>
      </c>
      <c r="U93" s="104" t="str" cm="1">
        <f t="array" ref="U93">IFERROR(INDEX(DB!B$2:B$2576,T93),"")</f>
        <v>3. 철골공사</v>
      </c>
      <c r="V93" s="105" t="str" cm="1">
        <f t="array" ref="V93">IFERROR(INDEX(DB!O$2:O$2576,T93),"")</f>
        <v>떨어짐</v>
      </c>
      <c r="W93" s="106">
        <f t="shared" si="4"/>
        <v>10087.076999999999</v>
      </c>
      <c r="X93" s="149">
        <f t="shared" si="5"/>
        <v>838</v>
      </c>
      <c r="AB93" s="151"/>
      <c r="AC93" s="131"/>
      <c r="AE93" s="130"/>
      <c r="AF93" s="136"/>
      <c r="AH93" s="65"/>
      <c r="AI93" s="65"/>
      <c r="AJ93" s="65"/>
      <c r="AK93" s="65"/>
      <c r="AL93" s="65"/>
      <c r="AM93" s="65"/>
      <c r="AN93" s="65"/>
      <c r="BB93" s="11"/>
    </row>
    <row r="94" spans="1:54" ht="90" customHeight="1">
      <c r="A94" s="26"/>
      <c r="B94" s="73">
        <f t="shared" si="3"/>
        <v>78</v>
      </c>
      <c r="C94" s="74"/>
      <c r="D94" s="96" t="str" cm="1">
        <f t="array" ref="D94">IFERROR(INDEX(DB!B$2:B$2576,X94),"")</f>
        <v>3. 철골공사</v>
      </c>
      <c r="E94" s="107"/>
      <c r="F94" s="97" t="str" cm="1">
        <f t="array" ref="F94">IFERROR(INDEX(DB!C$2:C$2576,X94),"")</f>
        <v>3.1 철골 작업</v>
      </c>
      <c r="G94" s="108"/>
      <c r="H94" s="98" t="str" cm="1">
        <f t="array" ref="H94">IFERROR(INDEX(DB!D$2:D$2576,X94),"")</f>
        <v>3.1.2 철골 부재 인양, 조립</v>
      </c>
      <c r="I94" s="109"/>
      <c r="J94" s="99" t="str" cm="1">
        <f t="array" ref="J94">IFERROR(INDEX(DB!O$2:O$2576,X94),"")</f>
        <v>떨어짐</v>
      </c>
      <c r="K94" s="110"/>
      <c r="L94" s="75" t="str" cm="1">
        <f t="array" ref="L94">IFERROR(INDEX(DB!P$2:P$2576,X94),"")</f>
        <v>2020년 9월경 근린생활시설 신축공사 현장에서 재해자(철골공)가 지붕 철골 보 가조립 완료 후 지상으로 내려오기 위해 보(폭 125mm)를 딛고 고소작업대(시저형)로 넘어가던 중 몸의 중심을 잃고 약 9.6m 아래 건물 외측 주차장 바닥으로 떨어져 사망</v>
      </c>
      <c r="M94" s="76" t="str" cm="1">
        <f t="array" ref="M94">IFERROR(INDEX(DB!Q$2:Q$2576,X94),"")</f>
        <v>철골구조물에서 고소작업대(시저형)로 넘어가던 중 몸의 중심을 잃고 근로자 추락</v>
      </c>
      <c r="N94" s="77"/>
      <c r="O94" s="78" t="str" cm="1">
        <f t="array" ref="O94">IFERROR(INDEX(DB!R$2:R$2576,X94),"")</f>
        <v>▶ 고소작업대를 사용하는 경우 탑승자가 작업대를 벗어나지 않도록 조치
▶ 고소작업대 사용 작업 시 작업대의 안전난간이 아닌 별도의 안전대 부착설비 설치 및 안전대 착용관리
▶ 고소작업대 안전장치 설치 및 정상작동 상태 유지로 허용 작업범위 내에서 작업 실시</v>
      </c>
      <c r="P94" s="100"/>
      <c r="Q94" s="102"/>
      <c r="R94" s="150"/>
      <c r="S94" s="43"/>
      <c r="T94" s="66" cm="1">
        <f t="array" ref="T94">IFERROR(_xlfn.AGGREGATE(15,6,ROW(DB!A$2:A$2576)/(((($D$3&lt;&gt;"YES")+($D$3="YES")*(DB!E$2:E$2576="YES"))*(($D$4="")+($D$4&lt;&gt;"")*ISNUMBER(SEARCH($D$4,DB!G$2:G$2576)))*(($D$5="")+($D$5&lt;&gt;"")*(DB!B$2:B$2576=$D$5))*(($D$6="")+($D$6&lt;&gt;"")*(DB!C$2:C$2576=$D$6))*(($D$7="")+($D$7&lt;&gt;"")*(DB!D$2:D$2576=$D$7))*(($F$4="전체")+($F$4&lt;&gt;"전체")*(DB!H$2:H$2576=$F$4)))),ROW()-16)-1,"")</f>
        <v>838</v>
      </c>
      <c r="U94" s="104" t="str" cm="1">
        <f t="array" ref="U94">IFERROR(INDEX(DB!B$2:B$2576,T94),"")</f>
        <v>3. 철골공사</v>
      </c>
      <c r="V94" s="105" t="str" cm="1">
        <f t="array" ref="V94">IFERROR(INDEX(DB!O$2:O$2576,T94),"")</f>
        <v>떨어짐</v>
      </c>
      <c r="W94" s="106">
        <f t="shared" si="4"/>
        <v>10087.078</v>
      </c>
      <c r="X94" s="149">
        <f t="shared" si="5"/>
        <v>840</v>
      </c>
      <c r="AB94" s="151"/>
      <c r="AC94" s="131"/>
      <c r="AE94" s="130"/>
      <c r="AF94" s="136"/>
      <c r="AH94" s="65"/>
      <c r="AI94" s="65"/>
      <c r="AJ94" s="65"/>
      <c r="AK94" s="65"/>
      <c r="AL94" s="65"/>
      <c r="AM94" s="65"/>
      <c r="AN94" s="65"/>
      <c r="BB94" s="11"/>
    </row>
    <row r="95" spans="1:54" ht="90" customHeight="1">
      <c r="A95" s="26"/>
      <c r="B95" s="73">
        <f t="shared" si="3"/>
        <v>79</v>
      </c>
      <c r="C95" s="74"/>
      <c r="D95" s="96" t="str" cm="1">
        <f t="array" ref="D95">IFERROR(INDEX(DB!B$2:B$2576,X95),"")</f>
        <v>3. 철골공사</v>
      </c>
      <c r="E95" s="107"/>
      <c r="F95" s="97" t="str" cm="1">
        <f t="array" ref="F95">IFERROR(INDEX(DB!C$2:C$2576,X95),"")</f>
        <v>3.1 철골 작업</v>
      </c>
      <c r="G95" s="108"/>
      <c r="H95" s="98" t="str" cm="1">
        <f t="array" ref="H95">IFERROR(INDEX(DB!D$2:D$2576,X95),"")</f>
        <v>3.1.2 철골 부재 인양, 조립</v>
      </c>
      <c r="I95" s="109"/>
      <c r="J95" s="99" t="str" cm="1">
        <f t="array" ref="J95">IFERROR(INDEX(DB!O$2:O$2576,X95),"")</f>
        <v>떨어짐</v>
      </c>
      <c r="K95" s="110"/>
      <c r="L95" s="75" t="str" cm="1">
        <f t="array" ref="L95">IFERROR(INDEX(DB!P$2:P$2576,X95),"")</f>
        <v>2020년 11월경 OO(주)이 시공하는 OO 창고시설 신축공사 현장에서 재해자(철골공)가 철골기둥 브라켓(H-250×125×6×9, 길이 약 70cm)에 걸터 앉아 이동식크레인으로 인양된 철골지붕 거더를 철골기둥 브라켓에 연결하는 볼트 가조임 작업 중 몸의 중심을 잃고 5m 아래 콘크리트 바닥으로 떨어져 사망</v>
      </c>
      <c r="M95" s="76" t="str" cm="1">
        <f t="array" ref="M95">IFERROR(INDEX(DB!Q$2:Q$2576,X95),"")</f>
        <v>추락방호조치가 되어 있지 않은 철골 구조물 상부에서 작업 중 근로자 추락</v>
      </c>
      <c r="N95" s="77"/>
      <c r="O95" s="78" t="str" cm="1">
        <f t="array" ref="O95">IFERROR(INDEX(DB!R$2:R$2576,X95),"")</f>
        <v>▶ 추락방지망 설치 등의 안전방호조치 실시
▶ 안전방호조치가 현장 여건 상 어려울 경우, 별도의 안전대 부착설비를 설치
▶ 작업자의 개인보호구 착용여부 관리감독</v>
      </c>
      <c r="P95" s="100"/>
      <c r="Q95" s="102"/>
      <c r="R95" s="150"/>
      <c r="S95" s="43"/>
      <c r="T95" s="66" cm="1">
        <f t="array" ref="T95">IFERROR(_xlfn.AGGREGATE(15,6,ROW(DB!A$2:A$2576)/(((($D$3&lt;&gt;"YES")+($D$3="YES")*(DB!E$2:E$2576="YES"))*(($D$4="")+($D$4&lt;&gt;"")*ISNUMBER(SEARCH($D$4,DB!G$2:G$2576)))*(($D$5="")+($D$5&lt;&gt;"")*(DB!B$2:B$2576=$D$5))*(($D$6="")+($D$6&lt;&gt;"")*(DB!C$2:C$2576=$D$6))*(($D$7="")+($D$7&lt;&gt;"")*(DB!D$2:D$2576=$D$7))*(($F$4="전체")+($F$4&lt;&gt;"전체")*(DB!H$2:H$2576=$F$4)))),ROW()-16)-1,"")</f>
        <v>840</v>
      </c>
      <c r="U95" s="104" t="str" cm="1">
        <f t="array" ref="U95">IFERROR(INDEX(DB!B$2:B$2576,T95),"")</f>
        <v>3. 철골공사</v>
      </c>
      <c r="V95" s="105" t="str" cm="1">
        <f t="array" ref="V95">IFERROR(INDEX(DB!O$2:O$2576,T95),"")</f>
        <v>떨어짐</v>
      </c>
      <c r="W95" s="106">
        <f t="shared" si="4"/>
        <v>10087.079</v>
      </c>
      <c r="X95" s="149">
        <f t="shared" si="5"/>
        <v>842</v>
      </c>
      <c r="AB95" s="151"/>
      <c r="AC95" s="131"/>
      <c r="AE95" s="130"/>
      <c r="AF95" s="136"/>
      <c r="AH95" s="65"/>
      <c r="AI95" s="65"/>
      <c r="AJ95" s="65"/>
      <c r="AK95" s="65"/>
      <c r="AL95" s="65"/>
      <c r="AM95" s="65"/>
      <c r="AN95" s="65"/>
      <c r="BB95" s="11"/>
    </row>
    <row r="96" spans="1:54" ht="90" customHeight="1">
      <c r="A96" s="26"/>
      <c r="B96" s="73">
        <f t="shared" si="3"/>
        <v>80</v>
      </c>
      <c r="C96" s="74"/>
      <c r="D96" s="96" t="str" cm="1">
        <f t="array" ref="D96">IFERROR(INDEX(DB!B$2:B$2576,X96),"")</f>
        <v>3. 철골공사</v>
      </c>
      <c r="E96" s="107"/>
      <c r="F96" s="97" t="str" cm="1">
        <f t="array" ref="F96">IFERROR(INDEX(DB!C$2:C$2576,X96),"")</f>
        <v>3.1 철골 작업</v>
      </c>
      <c r="G96" s="108"/>
      <c r="H96" s="98" t="str" cm="1">
        <f t="array" ref="H96">IFERROR(INDEX(DB!D$2:D$2576,X96),"")</f>
        <v>3.1.2 철골 부재 인양, 조립</v>
      </c>
      <c r="I96" s="109"/>
      <c r="J96" s="99" t="str" cm="1">
        <f t="array" ref="J96">IFERROR(INDEX(DB!O$2:O$2576,X96),"")</f>
        <v>떨어짐</v>
      </c>
      <c r="K96" s="110"/>
      <c r="L96" s="75" t="str" cm="1">
        <f t="array" ref="L96">IFERROR(INDEX(DB!P$2:P$2576,X96),"")</f>
        <v xml:space="preserve">2021년 3월경 재해자가 2층 거더와 기둥 접합부 용접을 위해 CO2 용접기 송급장치를 들고 철골 보 상부에서 이동 중 추락 (H≒7m)하여 사망 </v>
      </c>
      <c r="M96" s="76" t="str" cm="1">
        <f t="array" ref="M96">IFERROR(INDEX(DB!Q$2:Q$2576,X96),"")</f>
        <v>철골 구조물 하부에 안전방망을 설치하지 않은 현장에서 안전대를 체결하지 않고 철골 상부에서 이동하다 근로자가 몸의 중심을 잃고 추락</v>
      </c>
      <c r="N96" s="77"/>
      <c r="O96" s="78" t="str" cm="1">
        <f t="array" ref="O96">IFERROR(INDEX(DB!R$2:R$2576,X96),"")</f>
        <v>▶ 철골 보 상부에서 이동시 추락방지를 위해 안전대 부착설비 설치 및 안전대 착용
▶ 승강용 사다리를 이용하여 이동할 경우 추락방지를 위해 안전대 체결
▶ 이동식크레인의 붐대 간섭 등 추락방망 설치가 곤란할 경우 철골 조립작업 전 지상애서 안전대 부착설비 설치 후 인양하여 조립 후 상부에서 안전대 체결하여 작업</v>
      </c>
      <c r="P96" s="100"/>
      <c r="Q96" s="102"/>
      <c r="R96" s="150"/>
      <c r="S96" s="43"/>
      <c r="T96" s="66" cm="1">
        <f t="array" ref="T96">IFERROR(_xlfn.AGGREGATE(15,6,ROW(DB!A$2:A$2576)/(((($D$3&lt;&gt;"YES")+($D$3="YES")*(DB!E$2:E$2576="YES"))*(($D$4="")+($D$4&lt;&gt;"")*ISNUMBER(SEARCH($D$4,DB!G$2:G$2576)))*(($D$5="")+($D$5&lt;&gt;"")*(DB!B$2:B$2576=$D$5))*(($D$6="")+($D$6&lt;&gt;"")*(DB!C$2:C$2576=$D$6))*(($D$7="")+($D$7&lt;&gt;"")*(DB!D$2:D$2576=$D$7))*(($F$4="전체")+($F$4&lt;&gt;"전체")*(DB!H$2:H$2576=$F$4)))),ROW()-16)-1,"")</f>
        <v>842</v>
      </c>
      <c r="U96" s="104" t="str" cm="1">
        <f t="array" ref="U96">IFERROR(INDEX(DB!B$2:B$2576,T96),"")</f>
        <v>3. 철골공사</v>
      </c>
      <c r="V96" s="105" t="str" cm="1">
        <f t="array" ref="V96">IFERROR(INDEX(DB!O$2:O$2576,T96),"")</f>
        <v>떨어짐</v>
      </c>
      <c r="W96" s="106">
        <f t="shared" si="4"/>
        <v>10087.08</v>
      </c>
      <c r="X96" s="149">
        <f t="shared" si="5"/>
        <v>845</v>
      </c>
      <c r="AB96" s="151"/>
      <c r="AC96" s="131"/>
      <c r="AE96" s="130"/>
      <c r="AF96" s="136"/>
      <c r="AH96" s="65"/>
      <c r="AI96" s="65"/>
      <c r="AJ96" s="65"/>
      <c r="AK96" s="65"/>
      <c r="AL96" s="65"/>
      <c r="AM96" s="65"/>
      <c r="AN96" s="65"/>
      <c r="BB96" s="11"/>
    </row>
    <row r="97" spans="1:54" ht="90" customHeight="1">
      <c r="A97" s="26"/>
      <c r="B97" s="73">
        <f t="shared" si="3"/>
        <v>81</v>
      </c>
      <c r="C97" s="74"/>
      <c r="D97" s="96" t="str" cm="1">
        <f t="array" ref="D97">IFERROR(INDEX(DB!B$2:B$2576,X97),"")</f>
        <v>3. 철골공사</v>
      </c>
      <c r="E97" s="107"/>
      <c r="F97" s="97" t="str" cm="1">
        <f t="array" ref="F97">IFERROR(INDEX(DB!C$2:C$2576,X97),"")</f>
        <v>3.1 철골 작업</v>
      </c>
      <c r="G97" s="108"/>
      <c r="H97" s="98" t="str" cm="1">
        <f t="array" ref="H97">IFERROR(INDEX(DB!D$2:D$2576,X97),"")</f>
        <v>3.1.2 철골 부재 인양, 조립</v>
      </c>
      <c r="I97" s="109"/>
      <c r="J97" s="99" t="str" cm="1">
        <f t="array" ref="J97">IFERROR(INDEX(DB!O$2:O$2576,X97),"")</f>
        <v>떨어짐</v>
      </c>
      <c r="K97" s="110"/>
      <c r="L97" s="75" t="str" cm="1">
        <f t="array" ref="L97">IFERROR(INDEX(DB!P$2:P$2576,X97),"")</f>
        <v>2021년 3월경 OO 리모델링공사 현장에서 4층 철골기둥과 보의 본조립 작업 중(추정) 4층 바닥(H=3.6m)으로 떨어져 사망</v>
      </c>
      <c r="M97" s="76" t="str" cm="1">
        <f t="array" ref="M97">IFERROR(INDEX(DB!Q$2:Q$2576,X97),"")</f>
        <v>추락방호조치가 되어 있지 않은 철골 구조물 상부에서 작업 중 근로자 추락</v>
      </c>
      <c r="N97" s="77"/>
      <c r="O97" s="78" t="str" cm="1">
        <f t="array" ref="O97">IFERROR(INDEX(DB!R$2:R$2576,X97),"")</f>
        <v>▶ 추락방지망 설치 등의 안전방호조치 실시
▶ 안전방호조치가 현장 여건 상 어려울 경우, 별도의 안전대 부착설비를 설치
▶ 작업자의 개인보호구 착용여부 관리감독</v>
      </c>
      <c r="P97" s="100"/>
      <c r="Q97" s="102"/>
      <c r="R97" s="150"/>
      <c r="S97" s="43"/>
      <c r="T97" s="66" cm="1">
        <f t="array" ref="T97">IFERROR(_xlfn.AGGREGATE(15,6,ROW(DB!A$2:A$2576)/(((($D$3&lt;&gt;"YES")+($D$3="YES")*(DB!E$2:E$2576="YES"))*(($D$4="")+($D$4&lt;&gt;"")*ISNUMBER(SEARCH($D$4,DB!G$2:G$2576)))*(($D$5="")+($D$5&lt;&gt;"")*(DB!B$2:B$2576=$D$5))*(($D$6="")+($D$6&lt;&gt;"")*(DB!C$2:C$2576=$D$6))*(($D$7="")+($D$7&lt;&gt;"")*(DB!D$2:D$2576=$D$7))*(($F$4="전체")+($F$4&lt;&gt;"전체")*(DB!H$2:H$2576=$F$4)))),ROW()-16)-1,"")</f>
        <v>845</v>
      </c>
      <c r="U97" s="104" t="str" cm="1">
        <f t="array" ref="U97">IFERROR(INDEX(DB!B$2:B$2576,T97),"")</f>
        <v>3. 철골공사</v>
      </c>
      <c r="V97" s="105" t="str" cm="1">
        <f t="array" ref="V97">IFERROR(INDEX(DB!O$2:O$2576,T97),"")</f>
        <v>떨어짐</v>
      </c>
      <c r="W97" s="106">
        <f t="shared" si="4"/>
        <v>10087.081</v>
      </c>
      <c r="X97" s="149">
        <f t="shared" si="5"/>
        <v>846</v>
      </c>
      <c r="AB97" s="151"/>
      <c r="AC97" s="131"/>
      <c r="AE97" s="130"/>
      <c r="AF97" s="136"/>
      <c r="AH97" s="65"/>
      <c r="AI97" s="65"/>
      <c r="AJ97" s="65"/>
      <c r="AK97" s="65"/>
      <c r="AL97" s="65"/>
      <c r="AM97" s="65"/>
      <c r="AN97" s="65"/>
      <c r="BB97" s="11"/>
    </row>
    <row r="98" spans="1:54" ht="90" customHeight="1">
      <c r="A98" s="26"/>
      <c r="B98" s="73">
        <f t="shared" si="3"/>
        <v>82</v>
      </c>
      <c r="C98" s="74"/>
      <c r="D98" s="96" t="str" cm="1">
        <f t="array" ref="D98">IFERROR(INDEX(DB!B$2:B$2576,X98),"")</f>
        <v>3. 철골공사</v>
      </c>
      <c r="E98" s="107"/>
      <c r="F98" s="97" t="str" cm="1">
        <f t="array" ref="F98">IFERROR(INDEX(DB!C$2:C$2576,X98),"")</f>
        <v>3.1 철골 작업</v>
      </c>
      <c r="G98" s="108"/>
      <c r="H98" s="98" t="str" cm="1">
        <f t="array" ref="H98">IFERROR(INDEX(DB!D$2:D$2576,X98),"")</f>
        <v>3.1.2 철골 부재 인양, 조립</v>
      </c>
      <c r="I98" s="109"/>
      <c r="J98" s="99" t="str" cm="1">
        <f t="array" ref="J98">IFERROR(INDEX(DB!O$2:O$2576,X98),"")</f>
        <v>떨어짐</v>
      </c>
      <c r="K98" s="110"/>
      <c r="L98" s="75" t="str" cm="1">
        <f t="array" ref="L98">IFERROR(INDEX(DB!P$2:P$2576,X98),"")</f>
        <v>2021년 11월경 OO건설(주)에서 시공하는 공장 증축공사 현장에서 재해자가 약 20m 높이의 철골 상부에서 각파이프 설치 작업 중 추락하여 약 11m 아래에 있는 시저형 고소작업대 내부로 떨어져 사망</v>
      </c>
      <c r="M98" s="76" t="str" cm="1">
        <f t="array" ref="M98">IFERROR(INDEX(DB!Q$2:Q$2576,X98),"")</f>
        <v>추락방호망이 설치되지 않은 지붕 층 파라펫 설치 작업 구간에서 안전대를 체결하지 않은 상태에서 작업 중 파라펫 설치 작업 중 추락</v>
      </c>
      <c r="N98" s="77"/>
      <c r="O98" s="78" t="str" cm="1">
        <f t="array" ref="O98">IFERROR(INDEX(DB!R$2:R$2576,X98),"")</f>
        <v>▶ 철골빔 위에서 고소작업 시 추락방망 설치, 고소작업대 사용 등 추락방지조치 실시
▶ 추락위험이 있는 장소에서 작업 시 안전대 부착설비 및 안전대 착용</v>
      </c>
      <c r="P98" s="100"/>
      <c r="Q98" s="102"/>
      <c r="R98" s="150"/>
      <c r="S98" s="43"/>
      <c r="T98" s="66" cm="1">
        <f t="array" ref="T98">IFERROR(_xlfn.AGGREGATE(15,6,ROW(DB!A$2:A$2576)/(((($D$3&lt;&gt;"YES")+($D$3="YES")*(DB!E$2:E$2576="YES"))*(($D$4="")+($D$4&lt;&gt;"")*ISNUMBER(SEARCH($D$4,DB!G$2:G$2576)))*(($D$5="")+($D$5&lt;&gt;"")*(DB!B$2:B$2576=$D$5))*(($D$6="")+($D$6&lt;&gt;"")*(DB!C$2:C$2576=$D$6))*(($D$7="")+($D$7&lt;&gt;"")*(DB!D$2:D$2576=$D$7))*(($F$4="전체")+($F$4&lt;&gt;"전체")*(DB!H$2:H$2576=$F$4)))),ROW()-16)-1,"")</f>
        <v>846</v>
      </c>
      <c r="U98" s="104" t="str" cm="1">
        <f t="array" ref="U98">IFERROR(INDEX(DB!B$2:B$2576,T98),"")</f>
        <v>3. 철골공사</v>
      </c>
      <c r="V98" s="105" t="str" cm="1">
        <f t="array" ref="V98">IFERROR(INDEX(DB!O$2:O$2576,T98),"")</f>
        <v>떨어짐</v>
      </c>
      <c r="W98" s="106">
        <f t="shared" si="4"/>
        <v>10087.082</v>
      </c>
      <c r="X98" s="149">
        <f t="shared" si="5"/>
        <v>850</v>
      </c>
      <c r="AB98" s="151"/>
      <c r="AC98" s="131"/>
      <c r="AE98" s="130"/>
      <c r="AF98" s="136"/>
      <c r="AH98" s="65"/>
      <c r="AI98" s="65"/>
      <c r="AJ98" s="65"/>
      <c r="AK98" s="65"/>
      <c r="AL98" s="65"/>
      <c r="AM98" s="65"/>
      <c r="AN98" s="65"/>
      <c r="BB98" s="11"/>
    </row>
    <row r="99" spans="1:54" ht="90" customHeight="1">
      <c r="A99" s="26"/>
      <c r="B99" s="73">
        <f t="shared" si="3"/>
        <v>83</v>
      </c>
      <c r="C99" s="74"/>
      <c r="D99" s="96" t="str" cm="1">
        <f t="array" ref="D99">IFERROR(INDEX(DB!B$2:B$2576,X99),"")</f>
        <v>3. 철골공사</v>
      </c>
      <c r="E99" s="107"/>
      <c r="F99" s="97" t="str" cm="1">
        <f t="array" ref="F99">IFERROR(INDEX(DB!C$2:C$2576,X99),"")</f>
        <v>3.1 철골 작업</v>
      </c>
      <c r="G99" s="108"/>
      <c r="H99" s="98" t="str" cm="1">
        <f t="array" ref="H99">IFERROR(INDEX(DB!D$2:D$2576,X99),"")</f>
        <v>3.1.2 철골 부재 인양, 조립</v>
      </c>
      <c r="I99" s="109"/>
      <c r="J99" s="99" t="str" cm="1">
        <f t="array" ref="J99">IFERROR(INDEX(DB!O$2:O$2576,X99),"")</f>
        <v>떨어짐</v>
      </c>
      <c r="K99" s="110"/>
      <c r="L99" s="75" t="str" cm="1">
        <f t="array" ref="L99">IFERROR(INDEX(DB!P$2:P$2576,X99),"")</f>
        <v>주차타워 철골에 올라서 철거작업 중에  철골주보인 H-BEAM을 절단작업하고 다음 작업을 위해 철골보를 타고 이동하던 중 몸의 중심을 잃고 5층 철골보에서 지상1층 콘크리트 바닥(H=18m)으로 추락하여 사망</v>
      </c>
      <c r="M99" s="76" t="str" cm="1">
        <f t="array" ref="M99">IFERROR(INDEX(DB!Q$2:Q$2576,X99),"")</f>
        <v>철골 구조물 하부에 안전방망을 설치하지 않은 현장에서 안전대를 체결하지 않고 철골 상부에서 이동하다 근로자가 몸의 중심을 잃고 추락</v>
      </c>
      <c r="N99" s="77"/>
      <c r="O99" s="78" t="str" cm="1">
        <f t="array" ref="O99">IFERROR(INDEX(DB!R$2:R$2576,X99),"")</f>
        <v>▶ 철골 보 상부에서 이동시 추락방지를 위해 안전대 부착설비 설치 및 안전대 착용
▶ 승강용 사다리를 이용하여 이동할 경우 추락방지를 위해 안전대 체결
▶ 이동식크레인의 붐대 간섭 등 추락방망 설치가 곤란할 경우 철골 조립작업 전 지상애서 안전대 부착설비 설치 후 인양하여 조립 후 상부에서 안전대 체결하여 작업</v>
      </c>
      <c r="P99" s="100"/>
      <c r="Q99" s="102"/>
      <c r="R99" s="150"/>
      <c r="S99" s="43"/>
      <c r="T99" s="66" cm="1">
        <f t="array" ref="T99">IFERROR(_xlfn.AGGREGATE(15,6,ROW(DB!A$2:A$2576)/(((($D$3&lt;&gt;"YES")+($D$3="YES")*(DB!E$2:E$2576="YES"))*(($D$4="")+($D$4&lt;&gt;"")*ISNUMBER(SEARCH($D$4,DB!G$2:G$2576)))*(($D$5="")+($D$5&lt;&gt;"")*(DB!B$2:B$2576=$D$5))*(($D$6="")+($D$6&lt;&gt;"")*(DB!C$2:C$2576=$D$6))*(($D$7="")+($D$7&lt;&gt;"")*(DB!D$2:D$2576=$D$7))*(($F$4="전체")+($F$4&lt;&gt;"전체")*(DB!H$2:H$2576=$F$4)))),ROW()-16)-1,"")</f>
        <v>849</v>
      </c>
      <c r="U99" s="104" t="str" cm="1">
        <f t="array" ref="U99">IFERROR(INDEX(DB!B$2:B$2576,T99),"")</f>
        <v>3. 철골공사</v>
      </c>
      <c r="V99" s="105" t="str" cm="1">
        <f t="array" ref="V99">IFERROR(INDEX(DB!O$2:O$2576,T99),"")</f>
        <v>부딪힘 접촉</v>
      </c>
      <c r="W99" s="106">
        <f t="shared" si="4"/>
        <v>10199.083000000001</v>
      </c>
      <c r="X99" s="149">
        <f t="shared" si="5"/>
        <v>851</v>
      </c>
      <c r="AB99" s="151"/>
      <c r="AC99" s="131"/>
      <c r="AE99" s="130"/>
      <c r="AF99" s="136"/>
      <c r="AH99" s="65"/>
      <c r="AI99" s="65"/>
      <c r="AJ99" s="65"/>
      <c r="AK99" s="65"/>
      <c r="AL99" s="65"/>
      <c r="AM99" s="65"/>
      <c r="AN99" s="65"/>
      <c r="BB99" s="11"/>
    </row>
    <row r="100" spans="1:54" ht="90" customHeight="1">
      <c r="A100" s="26"/>
      <c r="B100" s="73">
        <f t="shared" si="3"/>
        <v>84</v>
      </c>
      <c r="C100" s="74"/>
      <c r="D100" s="96" t="str" cm="1">
        <f t="array" ref="D100">IFERROR(INDEX(DB!B$2:B$2576,X100),"")</f>
        <v>3. 철골공사</v>
      </c>
      <c r="E100" s="107"/>
      <c r="F100" s="97" t="str" cm="1">
        <f t="array" ref="F100">IFERROR(INDEX(DB!C$2:C$2576,X100),"")</f>
        <v>3.1 철골 작업</v>
      </c>
      <c r="G100" s="108"/>
      <c r="H100" s="98" t="str" cm="1">
        <f t="array" ref="H100">IFERROR(INDEX(DB!D$2:D$2576,X100),"")</f>
        <v>3.1.3 철골 데크 플레이트 설치</v>
      </c>
      <c r="I100" s="109"/>
      <c r="J100" s="99" t="str" cm="1">
        <f t="array" ref="J100">IFERROR(INDEX(DB!O$2:O$2576,X100),"")</f>
        <v>떨어짐</v>
      </c>
      <c r="K100" s="110"/>
      <c r="L100" s="75" t="str" cm="1">
        <f t="array" ref="L100">IFERROR(INDEX(DB!P$2:P$2576,X100),"")</f>
        <v>2016년 3월경 지상2층 철골구조물 신축공사 현장에서 재해자(철골공)가 지상2층 데크플레이트 설치(판개)작업 중 지상1층 바닥(약 3m)으로 떨어져 병원으로 이송·치료받았으나 사망</v>
      </c>
      <c r="M100" s="76" t="str" cm="1">
        <f t="array" ref="M100">IFERROR(INDEX(DB!Q$2:Q$2576,X100),"")</f>
        <v>안전대 부착설비가 설치되지 않은 상태로 데크 플레이트 설치 작업 중 근로자가 몸의 중심을 잃고 데크플레이트 단부, 개구부로 추락</v>
      </c>
      <c r="N100" s="77"/>
      <c r="O100" s="78" t="str" cm="1">
        <f t="array" ref="O100">IFERROR(INDEX(DB!R$2:R$2576,X100),"")</f>
        <v>▶ 데크플레이트 설치작업 시 통로의 끝이나 개구부 등 추락위험이 있는 장소에는 안전난간, 추락방망 또는 덮개, 안전대 착용 등의 방호조치 실시
▶ 안전난간 등 설치가 곤란할 경우 추락방호망 설치
▶ 데크플레이트 설치 및 철근 배근작업 시 근로자의 실족 방지를 위해 작업발판 등을 작업장의 통로에 설치
▶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v>
      </c>
      <c r="P100" s="100"/>
      <c r="Q100" s="102"/>
      <c r="R100" s="150"/>
      <c r="S100" s="43"/>
      <c r="T100" s="66" cm="1">
        <f t="array" ref="T100">IFERROR(_xlfn.AGGREGATE(15,6,ROW(DB!A$2:A$2576)/(((($D$3&lt;&gt;"YES")+($D$3="YES")*(DB!E$2:E$2576="YES"))*(($D$4="")+($D$4&lt;&gt;"")*ISNUMBER(SEARCH($D$4,DB!G$2:G$2576)))*(($D$5="")+($D$5&lt;&gt;"")*(DB!B$2:B$2576=$D$5))*(($D$6="")+($D$6&lt;&gt;"")*(DB!C$2:C$2576=$D$6))*(($D$7="")+($D$7&lt;&gt;"")*(DB!D$2:D$2576=$D$7))*(($F$4="전체")+($F$4&lt;&gt;"전체")*(DB!H$2:H$2576=$F$4)))),ROW()-16)-1,"")</f>
        <v>850</v>
      </c>
      <c r="U100" s="104" t="str" cm="1">
        <f t="array" ref="U100">IFERROR(INDEX(DB!B$2:B$2576,T100),"")</f>
        <v>3. 철골공사</v>
      </c>
      <c r="V100" s="105" t="str" cm="1">
        <f t="array" ref="V100">IFERROR(INDEX(DB!O$2:O$2576,T100),"")</f>
        <v>떨어짐</v>
      </c>
      <c r="W100" s="106">
        <f t="shared" si="4"/>
        <v>10087.084000000001</v>
      </c>
      <c r="X100" s="149">
        <f t="shared" si="5"/>
        <v>852</v>
      </c>
      <c r="AB100" s="151"/>
      <c r="AC100" s="131"/>
      <c r="AE100" s="130"/>
      <c r="AF100" s="136"/>
      <c r="AH100" s="65"/>
      <c r="AI100" s="65"/>
      <c r="AJ100" s="65"/>
      <c r="AK100" s="65"/>
      <c r="AL100" s="65"/>
      <c r="AM100" s="65"/>
      <c r="AN100" s="65"/>
      <c r="BB100" s="11"/>
    </row>
    <row r="101" spans="1:54" ht="90" customHeight="1">
      <c r="A101" s="26"/>
      <c r="B101" s="73">
        <f t="shared" si="3"/>
        <v>85</v>
      </c>
      <c r="C101" s="74"/>
      <c r="D101" s="96" t="str" cm="1">
        <f t="array" ref="D101">IFERROR(INDEX(DB!B$2:B$2576,X101),"")</f>
        <v>3. 철골공사</v>
      </c>
      <c r="E101" s="107"/>
      <c r="F101" s="97" t="str" cm="1">
        <f t="array" ref="F101">IFERROR(INDEX(DB!C$2:C$2576,X101),"")</f>
        <v>3.1 철골 작업</v>
      </c>
      <c r="G101" s="108"/>
      <c r="H101" s="98" t="str" cm="1">
        <f t="array" ref="H101">IFERROR(INDEX(DB!D$2:D$2576,X101),"")</f>
        <v>3.1.3 철골 데크 플레이트 설치</v>
      </c>
      <c r="I101" s="109"/>
      <c r="J101" s="99" t="str" cm="1">
        <f t="array" ref="J101">IFERROR(INDEX(DB!O$2:O$2576,X101),"")</f>
        <v>떨어짐</v>
      </c>
      <c r="K101" s="110"/>
      <c r="L101" s="75" t="str" cm="1">
        <f t="array" ref="L101">IFERROR(INDEX(DB!P$2:P$2576,X101),"")</f>
        <v>2016년 10월경 근린생활시설 신축공사 현장에서 재해자가 지붕 철골구조물에 데크플레이트 설치작업 중 추락(높이≒7.6m)하여 사망</v>
      </c>
      <c r="M101" s="76" t="str" cm="1">
        <f t="array" ref="M101">IFERROR(INDEX(DB!Q$2:Q$2576,X101),"")</f>
        <v>안전대 부착설비가 설치되지 않은 상태로 데크 플레이트 설치 작업 중 근로자가 몸의 중심을 잃고 데크플레이트 단부, 개구부로 추락</v>
      </c>
      <c r="N101" s="77"/>
      <c r="O101" s="78" t="str" cm="1">
        <f t="array" ref="O101">IFERROR(INDEX(DB!R$2:R$2576,X101),"")</f>
        <v>▶ 데크플레이트 설치작업 시 통로의 끝이나 개구부 등 추락위험이 있는 장소에는 안전난간, 울타리, 수직형 추락방망 또는 덮개 등의 방호조치 실시
▶ 안전난간 등 설치가 곤란할 경우 추락방호망 설치
▶ 데크플레이트 설치 및 철근 배근작업 시 근로자의 실족 방지를 위해 작업발판 등을 작업장의 통로에 설치
▶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v>
      </c>
      <c r="P101" s="100"/>
      <c r="Q101" s="102"/>
      <c r="R101" s="150"/>
      <c r="S101" s="43"/>
      <c r="T101" s="66" cm="1">
        <f t="array" ref="T101">IFERROR(_xlfn.AGGREGATE(15,6,ROW(DB!A$2:A$2576)/(((($D$3&lt;&gt;"YES")+($D$3="YES")*(DB!E$2:E$2576="YES"))*(($D$4="")+($D$4&lt;&gt;"")*ISNUMBER(SEARCH($D$4,DB!G$2:G$2576)))*(($D$5="")+($D$5&lt;&gt;"")*(DB!B$2:B$2576=$D$5))*(($D$6="")+($D$6&lt;&gt;"")*(DB!C$2:C$2576=$D$6))*(($D$7="")+($D$7&lt;&gt;"")*(DB!D$2:D$2576=$D$7))*(($F$4="전체")+($F$4&lt;&gt;"전체")*(DB!H$2:H$2576=$F$4)))),ROW()-16)-1,"")</f>
        <v>851</v>
      </c>
      <c r="U101" s="104" t="str" cm="1">
        <f t="array" ref="U101">IFERROR(INDEX(DB!B$2:B$2576,T101),"")</f>
        <v>3. 철골공사</v>
      </c>
      <c r="V101" s="105" t="str" cm="1">
        <f t="array" ref="V101">IFERROR(INDEX(DB!O$2:O$2576,T101),"")</f>
        <v>떨어짐</v>
      </c>
      <c r="W101" s="106">
        <f t="shared" si="4"/>
        <v>10087.084999999999</v>
      </c>
      <c r="X101" s="149">
        <f t="shared" si="5"/>
        <v>853</v>
      </c>
      <c r="AB101" s="151"/>
      <c r="AC101" s="131"/>
      <c r="AE101" s="130"/>
      <c r="AF101" s="136"/>
      <c r="AH101" s="65"/>
      <c r="AI101" s="65"/>
      <c r="AJ101" s="65"/>
      <c r="AK101" s="65"/>
      <c r="AL101" s="65"/>
      <c r="AM101" s="65"/>
      <c r="AN101" s="65"/>
      <c r="BB101" s="11"/>
    </row>
    <row r="102" spans="1:54" ht="90" customHeight="1">
      <c r="A102" s="26"/>
      <c r="B102" s="73">
        <f t="shared" si="3"/>
        <v>86</v>
      </c>
      <c r="C102" s="74"/>
      <c r="D102" s="96" t="str" cm="1">
        <f t="array" ref="D102">IFERROR(INDEX(DB!B$2:B$2576,X102),"")</f>
        <v>3. 철골공사</v>
      </c>
      <c r="E102" s="107"/>
      <c r="F102" s="97" t="str" cm="1">
        <f t="array" ref="F102">IFERROR(INDEX(DB!C$2:C$2576,X102),"")</f>
        <v>3.1 철골 작업</v>
      </c>
      <c r="G102" s="108"/>
      <c r="H102" s="98" t="str" cm="1">
        <f t="array" ref="H102">IFERROR(INDEX(DB!D$2:D$2576,X102),"")</f>
        <v>3.1.3 철골 데크 플레이트 설치</v>
      </c>
      <c r="I102" s="109"/>
      <c r="J102" s="99" t="str" cm="1">
        <f t="array" ref="J102">IFERROR(INDEX(DB!O$2:O$2576,X102),"")</f>
        <v>떨어짐</v>
      </c>
      <c r="K102" s="110"/>
      <c r="L102" s="75" t="str" cm="1">
        <f t="array" ref="L102">IFERROR(INDEX(DB!P$2:P$2576,X102),"")</f>
        <v>2017년 4월경 OO건설(주)이 시공중인 OO 물류센터 증축공사 현장에서 재해자(용접공)가 지상3층(X14~15, Y3~4) 데크플레이트 판개작업 및 용접작업 또는 이동 중, 몸의 중심을 잃고 지상1층 바닥(H=11m)으로 떨어져 사망</v>
      </c>
      <c r="M102" s="76" t="str" cm="1">
        <f t="array" ref="M102">IFERROR(INDEX(DB!Q$2:Q$2576,X102),"")</f>
        <v>안전대 부착설비가 설치되지 않은 상태로 데크 플레이트 설치 작업 중 근로자가 몸의 중심을 잃고 데크플레이트 단부, 개구부로 추락</v>
      </c>
      <c r="N102" s="77"/>
      <c r="O102" s="78" t="str" cm="1">
        <f t="array" ref="O102">IFERROR(INDEX(DB!R$2:R$2576,X102),"")</f>
        <v>▶ 데크플레이트 설치작업 시 통로의 끝이나 개구부 등 추락위험이 있는 장소에는 안전난간, 울타리, 수직형 추락방망 또는 덮개 등의 방호조치 실시
▶ 안전난간 등 설치가 곤란할 경우 추락방호망 설치
▶ 데크플레이트 설치 및 철근 배근작업 시 근로자의 실족 방지를 위해 작업발판 등을 작업장의 통로에 설치
▶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v>
      </c>
      <c r="P102" s="100"/>
      <c r="Q102" s="102"/>
      <c r="R102" s="150"/>
      <c r="S102" s="43"/>
      <c r="T102" s="66" cm="1">
        <f t="array" ref="T102">IFERROR(_xlfn.AGGREGATE(15,6,ROW(DB!A$2:A$2576)/(((($D$3&lt;&gt;"YES")+($D$3="YES")*(DB!E$2:E$2576="YES"))*(($D$4="")+($D$4&lt;&gt;"")*ISNUMBER(SEARCH($D$4,DB!G$2:G$2576)))*(($D$5="")+($D$5&lt;&gt;"")*(DB!B$2:B$2576=$D$5))*(($D$6="")+($D$6&lt;&gt;"")*(DB!C$2:C$2576=$D$6))*(($D$7="")+($D$7&lt;&gt;"")*(DB!D$2:D$2576=$D$7))*(($F$4="전체")+($F$4&lt;&gt;"전체")*(DB!H$2:H$2576=$F$4)))),ROW()-16)-1,"")</f>
        <v>852</v>
      </c>
      <c r="U102" s="104" t="str" cm="1">
        <f t="array" ref="U102">IFERROR(INDEX(DB!B$2:B$2576,T102),"")</f>
        <v>3. 철골공사</v>
      </c>
      <c r="V102" s="105" t="str" cm="1">
        <f t="array" ref="V102">IFERROR(INDEX(DB!O$2:O$2576,T102),"")</f>
        <v>떨어짐</v>
      </c>
      <c r="W102" s="106">
        <f t="shared" si="4"/>
        <v>10087.085999999999</v>
      </c>
      <c r="X102" s="149">
        <f t="shared" si="5"/>
        <v>854</v>
      </c>
      <c r="AB102" s="151"/>
      <c r="AC102" s="131"/>
      <c r="AE102" s="130"/>
      <c r="AF102" s="136"/>
      <c r="AH102" s="65"/>
      <c r="AI102" s="65"/>
      <c r="AJ102" s="65"/>
      <c r="AK102" s="65"/>
      <c r="AL102" s="65"/>
      <c r="AM102" s="65"/>
      <c r="AN102" s="65"/>
      <c r="BB102" s="11"/>
    </row>
    <row r="103" spans="1:54" ht="90" customHeight="1">
      <c r="A103" s="26"/>
      <c r="B103" s="73">
        <f t="shared" si="3"/>
        <v>87</v>
      </c>
      <c r="C103" s="74"/>
      <c r="D103" s="96" t="str" cm="1">
        <f t="array" ref="D103">IFERROR(INDEX(DB!B$2:B$2576,X103),"")</f>
        <v>3. 철골공사</v>
      </c>
      <c r="E103" s="107"/>
      <c r="F103" s="97" t="str" cm="1">
        <f t="array" ref="F103">IFERROR(INDEX(DB!C$2:C$2576,X103),"")</f>
        <v>3.1 철골 작업</v>
      </c>
      <c r="G103" s="108"/>
      <c r="H103" s="98" t="str" cm="1">
        <f t="array" ref="H103">IFERROR(INDEX(DB!D$2:D$2576,X103),"")</f>
        <v>3.1.3 철골 데크 플레이트 설치</v>
      </c>
      <c r="I103" s="109"/>
      <c r="J103" s="99" t="str" cm="1">
        <f t="array" ref="J103">IFERROR(INDEX(DB!O$2:O$2576,X103),"")</f>
        <v>떨어짐</v>
      </c>
      <c r="K103" s="110"/>
      <c r="L103" s="75" t="str" cm="1">
        <f t="array" ref="L103">IFERROR(INDEX(DB!P$2:P$2576,X103),"")</f>
        <v>2017년 9월경 OO 공장 신축공사 내 도장시설 제작 현장에서 재해자(생산직)가 공장동 내 2층에서 BOOTH DECK(가로3.75m x 세로 2.0m x 높이 0.1m)를 설치를 위해 BOOTH DECK를 측면으로 밀어내고자 공장동 벽체 철골 수평재 상부로 내려가는 중 바닥으로 추락(H=6.5m)하여 사망</v>
      </c>
      <c r="M103" s="76" t="str" cm="1">
        <f t="array" ref="M103">IFERROR(INDEX(DB!Q$2:Q$2576,X103),"")</f>
        <v>BOOTH DECK를 설치를 위해 BOOTH DECK를 측면으로 밀어내기 위해 안전대 미착용한 상태에서 벽체 철골 수평재 상부로 내려가는 중 몸의 균형을 잃고 추락</v>
      </c>
      <c r="N103" s="77"/>
      <c r="O103" s="78" t="str" cm="1">
        <f t="array" ref="O103">IFERROR(INDEX(DB!R$2:R$2576,X103),"")</f>
        <v>▶ 추락위험 장소에서 작업 시 비계 조립 등의 방법으로 작업발판 설치
▶ 작업발판 설치가 곤란할 경우 안전방망 설치
▶ 안전방망의 설치가 곤란할 경우 안전대 부착설비 설치 및 안전대 착용</v>
      </c>
      <c r="P103" s="100"/>
      <c r="Q103" s="102"/>
      <c r="R103" s="150"/>
      <c r="S103" s="43"/>
      <c r="T103" s="66" cm="1">
        <f t="array" ref="T103">IFERROR(_xlfn.AGGREGATE(15,6,ROW(DB!A$2:A$2576)/(((($D$3&lt;&gt;"YES")+($D$3="YES")*(DB!E$2:E$2576="YES"))*(($D$4="")+($D$4&lt;&gt;"")*ISNUMBER(SEARCH($D$4,DB!G$2:G$2576)))*(($D$5="")+($D$5&lt;&gt;"")*(DB!B$2:B$2576=$D$5))*(($D$6="")+($D$6&lt;&gt;"")*(DB!C$2:C$2576=$D$6))*(($D$7="")+($D$7&lt;&gt;"")*(DB!D$2:D$2576=$D$7))*(($F$4="전체")+($F$4&lt;&gt;"전체")*(DB!H$2:H$2576=$F$4)))),ROW()-16)-1,"")</f>
        <v>853</v>
      </c>
      <c r="U103" s="104" t="str" cm="1">
        <f t="array" ref="U103">IFERROR(INDEX(DB!B$2:B$2576,T103),"")</f>
        <v>3. 철골공사</v>
      </c>
      <c r="V103" s="105" t="str" cm="1">
        <f t="array" ref="V103">IFERROR(INDEX(DB!O$2:O$2576,T103),"")</f>
        <v>떨어짐</v>
      </c>
      <c r="W103" s="106">
        <f t="shared" si="4"/>
        <v>10087.087</v>
      </c>
      <c r="X103" s="149">
        <f t="shared" si="5"/>
        <v>855</v>
      </c>
      <c r="AB103" s="151"/>
      <c r="AC103" s="131"/>
      <c r="AE103" s="130"/>
      <c r="AF103" s="136"/>
      <c r="AH103" s="65"/>
      <c r="AI103" s="65"/>
      <c r="AJ103" s="65"/>
      <c r="AK103" s="65"/>
      <c r="AL103" s="65"/>
      <c r="AM103" s="65"/>
      <c r="AN103" s="65"/>
      <c r="BB103" s="11"/>
    </row>
    <row r="104" spans="1:54" ht="90" customHeight="1">
      <c r="A104" s="26"/>
      <c r="B104" s="73">
        <f t="shared" si="3"/>
        <v>88</v>
      </c>
      <c r="C104" s="74"/>
      <c r="D104" s="96" t="str" cm="1">
        <f t="array" ref="D104">IFERROR(INDEX(DB!B$2:B$2576,X104),"")</f>
        <v>3. 철골공사</v>
      </c>
      <c r="E104" s="107"/>
      <c r="F104" s="97" t="str" cm="1">
        <f t="array" ref="F104">IFERROR(INDEX(DB!C$2:C$2576,X104),"")</f>
        <v>3.1 철골 작업</v>
      </c>
      <c r="G104" s="108"/>
      <c r="H104" s="98" t="str" cm="1">
        <f t="array" ref="H104">IFERROR(INDEX(DB!D$2:D$2576,X104),"")</f>
        <v>3.1.3 철골 데크 플레이트 설치</v>
      </c>
      <c r="I104" s="109"/>
      <c r="J104" s="99" t="str" cm="1">
        <f t="array" ref="J104">IFERROR(INDEX(DB!O$2:O$2576,X104),"")</f>
        <v>떨어짐</v>
      </c>
      <c r="K104" s="110"/>
      <c r="L104" s="75" t="str" cm="1">
        <f t="array" ref="L104">IFERROR(INDEX(DB!P$2:P$2576,X104),"")</f>
        <v>2017년 9월경 OO(주)에서 시공하는 OO부두 건설공사 현장에서 재해자(철골공)이 경비실 상부 데크플레이트를 설치하던 중 고정되지 않은 데크플레이트를 밟고 부재와 함께 콘크리트 바닥으로 떨어져(H≒3.3m) 사망</v>
      </c>
      <c r="M104" s="76" t="str" cm="1">
        <f t="array" ref="M104">IFERROR(INDEX(DB!Q$2:Q$2576,X104),"")</f>
        <v>철골 구조물의 데크플레이트 설치 작업 중 고정되지 않은 데크플레이트를 밟는 순간 부재와 함께 근로자 추락</v>
      </c>
      <c r="N104" s="77"/>
      <c r="O104" s="78" t="str" cm="1">
        <f t="array" ref="O104">IFERROR(INDEX(DB!R$2:R$2576,X104),"")</f>
        <v>▶ 데크플레이트 설치 시 추락방지를 위해 안전방망 설치
▶ 안전방망 설치가 곤란할 경우 안전대 부착설비 설치 및 안전대 착용
▶ 데크플레이트 설치시 추락 및 낙하하는 등의 사고 방지를 위해 보 상단 좌우 50mm 이상 걸치도록 설치 및 1매 째의 데크플레이트 설치 후 곧바로 가용접 실시 이후 순차적으로 60cm 간격 이내마다 가용접 실시</v>
      </c>
      <c r="P104" s="100"/>
      <c r="Q104" s="102"/>
      <c r="R104" s="150"/>
      <c r="S104" s="43"/>
      <c r="T104" s="66" cm="1">
        <f t="array" ref="T104">IFERROR(_xlfn.AGGREGATE(15,6,ROW(DB!A$2:A$2576)/(((($D$3&lt;&gt;"YES")+($D$3="YES")*(DB!E$2:E$2576="YES"))*(($D$4="")+($D$4&lt;&gt;"")*ISNUMBER(SEARCH($D$4,DB!G$2:G$2576)))*(($D$5="")+($D$5&lt;&gt;"")*(DB!B$2:B$2576=$D$5))*(($D$6="")+($D$6&lt;&gt;"")*(DB!C$2:C$2576=$D$6))*(($D$7="")+($D$7&lt;&gt;"")*(DB!D$2:D$2576=$D$7))*(($F$4="전체")+($F$4&lt;&gt;"전체")*(DB!H$2:H$2576=$F$4)))),ROW()-16)-1,"")</f>
        <v>854</v>
      </c>
      <c r="U104" s="104" t="str" cm="1">
        <f t="array" ref="U104">IFERROR(INDEX(DB!B$2:B$2576,T104),"")</f>
        <v>3. 철골공사</v>
      </c>
      <c r="V104" s="105" t="str" cm="1">
        <f t="array" ref="V104">IFERROR(INDEX(DB!O$2:O$2576,T104),"")</f>
        <v>떨어짐</v>
      </c>
      <c r="W104" s="106">
        <f t="shared" si="4"/>
        <v>10087.088</v>
      </c>
      <c r="X104" s="149">
        <f t="shared" si="5"/>
        <v>856</v>
      </c>
      <c r="AB104" s="151"/>
      <c r="AC104" s="131"/>
      <c r="AE104" s="130"/>
      <c r="AF104" s="136"/>
      <c r="AH104" s="65"/>
      <c r="AI104" s="65"/>
      <c r="AJ104" s="65"/>
      <c r="AK104" s="65"/>
      <c r="AL104" s="65"/>
      <c r="AM104" s="65"/>
      <c r="AN104" s="65"/>
      <c r="BB104" s="11"/>
    </row>
    <row r="105" spans="1:54" ht="90" customHeight="1">
      <c r="A105" s="26"/>
      <c r="B105" s="73">
        <f t="shared" si="3"/>
        <v>89</v>
      </c>
      <c r="C105" s="74"/>
      <c r="D105" s="96" t="str" cm="1">
        <f t="array" ref="D105">IFERROR(INDEX(DB!B$2:B$2576,X105),"")</f>
        <v>3. 철골공사</v>
      </c>
      <c r="E105" s="107"/>
      <c r="F105" s="97" t="str" cm="1">
        <f t="array" ref="F105">IFERROR(INDEX(DB!C$2:C$2576,X105),"")</f>
        <v>3.1 철골 작업</v>
      </c>
      <c r="G105" s="108"/>
      <c r="H105" s="98" t="str" cm="1">
        <f t="array" ref="H105">IFERROR(INDEX(DB!D$2:D$2576,X105),"")</f>
        <v>3.1.3 철골 데크 플레이트 설치</v>
      </c>
      <c r="I105" s="109"/>
      <c r="J105" s="99" t="str" cm="1">
        <f t="array" ref="J105">IFERROR(INDEX(DB!O$2:O$2576,X105),"")</f>
        <v>떨어짐</v>
      </c>
      <c r="K105" s="110"/>
      <c r="L105" s="75" t="str" cm="1">
        <f t="array" ref="L105">IFERROR(INDEX(DB!P$2:P$2576,X105),"")</f>
        <v>2018년 11월경 OO(주)가 시공하는 OO 신축공사 현장에서 재해자(데크설치공)가 지상 3층 철골 상부에서 용접봉 홀더를 들고 이동하던 중 약 7m 아래 지상 1층 콘크리트 바닥으로 추락하여 사망</v>
      </c>
      <c r="M105" s="76" t="str" cm="1">
        <f t="array" ref="M105">IFERROR(INDEX(DB!Q$2:Q$2576,X105),"")</f>
        <v>철골 구조물 하부에 안전방망을 설치하지 않은 현장에서 안전대를 체결하지 않고 철골 상부에서 이동하다 근로자가 몸의 중심을 잃고 추락</v>
      </c>
      <c r="N105" s="77"/>
      <c r="O105" s="78" t="str" cm="1">
        <f t="array" ref="O105">IFERROR(INDEX(DB!R$2:R$2576,X105),"")</f>
        <v>▶ 철골 보 상부에서 이동시 추락방지를 위해 안전대 부착설비 설치 및 안전대 착용
▶ 승강용 사다리를 이용하여 이동할 경우 추락방지를 위해 안전대 체결
▶ 이동식크레인의 붐대 간섭 등 추락방망 설치가 곤란할 경우 철골 조립작업 전 지상애서 안전대 부착설비 설치 후 인양하여 조립 후 상부에서 안전대 체결하여 작업</v>
      </c>
      <c r="P105" s="100"/>
      <c r="Q105" s="102"/>
      <c r="R105" s="150"/>
      <c r="S105" s="43"/>
      <c r="T105" s="66" cm="1">
        <f t="array" ref="T105">IFERROR(_xlfn.AGGREGATE(15,6,ROW(DB!A$2:A$2576)/(((($D$3&lt;&gt;"YES")+($D$3="YES")*(DB!E$2:E$2576="YES"))*(($D$4="")+($D$4&lt;&gt;"")*ISNUMBER(SEARCH($D$4,DB!G$2:G$2576)))*(($D$5="")+($D$5&lt;&gt;"")*(DB!B$2:B$2576=$D$5))*(($D$6="")+($D$6&lt;&gt;"")*(DB!C$2:C$2576=$D$6))*(($D$7="")+($D$7&lt;&gt;"")*(DB!D$2:D$2576=$D$7))*(($F$4="전체")+($F$4&lt;&gt;"전체")*(DB!H$2:H$2576=$F$4)))),ROW()-16)-1,"")</f>
        <v>855</v>
      </c>
      <c r="U105" s="104" t="str" cm="1">
        <f t="array" ref="U105">IFERROR(INDEX(DB!B$2:B$2576,T105),"")</f>
        <v>3. 철골공사</v>
      </c>
      <c r="V105" s="105" t="str" cm="1">
        <f t="array" ref="V105">IFERROR(INDEX(DB!O$2:O$2576,T105),"")</f>
        <v>떨어짐</v>
      </c>
      <c r="W105" s="106">
        <f t="shared" si="4"/>
        <v>10087.089</v>
      </c>
      <c r="X105" s="149">
        <f t="shared" si="5"/>
        <v>858</v>
      </c>
      <c r="AB105" s="151"/>
      <c r="AC105" s="131"/>
      <c r="AE105" s="130"/>
      <c r="AF105" s="136"/>
      <c r="AH105" s="65"/>
      <c r="AI105" s="65"/>
      <c r="AJ105" s="65"/>
      <c r="AK105" s="65"/>
      <c r="AL105" s="65"/>
      <c r="AM105" s="65"/>
      <c r="AN105" s="65"/>
      <c r="BB105" s="11"/>
    </row>
    <row r="106" spans="1:54" ht="90" customHeight="1">
      <c r="A106" s="26"/>
      <c r="B106" s="73">
        <f t="shared" si="3"/>
        <v>90</v>
      </c>
      <c r="C106" s="74"/>
      <c r="D106" s="96" t="str" cm="1">
        <f t="array" ref="D106">IFERROR(INDEX(DB!B$2:B$2576,X106),"")</f>
        <v>3. 철골공사</v>
      </c>
      <c r="E106" s="107"/>
      <c r="F106" s="97" t="str" cm="1">
        <f t="array" ref="F106">IFERROR(INDEX(DB!C$2:C$2576,X106),"")</f>
        <v>3.1 철골 작업</v>
      </c>
      <c r="G106" s="108"/>
      <c r="H106" s="98" t="str" cm="1">
        <f t="array" ref="H106">IFERROR(INDEX(DB!D$2:D$2576,X106),"")</f>
        <v>3.1.3 철골 데크 플레이트 설치</v>
      </c>
      <c r="I106" s="109"/>
      <c r="J106" s="99" t="str" cm="1">
        <f t="array" ref="J106">IFERROR(INDEX(DB!O$2:O$2576,X106),"")</f>
        <v>떨어짐</v>
      </c>
      <c r="K106" s="110"/>
      <c r="L106" s="75" t="str" cm="1">
        <f t="array" ref="L106">IFERROR(INDEX(DB!P$2:P$2576,X106),"")</f>
        <v>2019년 2월경 재해자가 OO설치공사 현장에서 철골+데크구조의 경량 슬래브 미설치구간 바닥 개구부 주변에서 균형을 잃고 추락(≒6.0m)</v>
      </c>
      <c r="M106" s="76" t="str" cm="1">
        <f t="array" ref="M106">IFERROR(INDEX(DB!Q$2:Q$2576,X106),"")</f>
        <v>안전대 부착설비가 설치되지 않은 상태로 데크 플레이트 설치 작업 중 근로자가 몸의 중심을 잃고 데크플레이트 단부, 개구부로 추락</v>
      </c>
      <c r="N106" s="77"/>
      <c r="O106" s="78" t="str" cm="1">
        <f t="array" ref="O106">IFERROR(INDEX(DB!R$2:R$2576,X106),"")</f>
        <v>▶ 데크플레이트 설치작업 시 통로의 끝이나 개구부 등 추락위험이 있는 장소에는 안전난간, 울타리, 수직형 추락방망 또는 덮개 등의 방호조치 실시
▶ 안전난간 등 설치가 곤란할 경우 추락방호망 설치
▶ 데크플레이트 설치 및 철근 배근작업 시 근로자의 실족 방지를 위해 작업발판 등을 작업장의 통로에 설치
▶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v>
      </c>
      <c r="P106" s="100"/>
      <c r="Q106" s="102"/>
      <c r="R106" s="150"/>
      <c r="S106" s="43"/>
      <c r="T106" s="66" cm="1">
        <f t="array" ref="T106">IFERROR(_xlfn.AGGREGATE(15,6,ROW(DB!A$2:A$2576)/(((($D$3&lt;&gt;"YES")+($D$3="YES")*(DB!E$2:E$2576="YES"))*(($D$4="")+($D$4&lt;&gt;"")*ISNUMBER(SEARCH($D$4,DB!G$2:G$2576)))*(($D$5="")+($D$5&lt;&gt;"")*(DB!B$2:B$2576=$D$5))*(($D$6="")+($D$6&lt;&gt;"")*(DB!C$2:C$2576=$D$6))*(($D$7="")+($D$7&lt;&gt;"")*(DB!D$2:D$2576=$D$7))*(($F$4="전체")+($F$4&lt;&gt;"전체")*(DB!H$2:H$2576=$F$4)))),ROW()-16)-1,"")</f>
        <v>856</v>
      </c>
      <c r="U106" s="104" t="str" cm="1">
        <f t="array" ref="U106">IFERROR(INDEX(DB!B$2:B$2576,T106),"")</f>
        <v>3. 철골공사</v>
      </c>
      <c r="V106" s="105" t="str" cm="1">
        <f t="array" ref="V106">IFERROR(INDEX(DB!O$2:O$2576,T106),"")</f>
        <v>떨어짐</v>
      </c>
      <c r="W106" s="106">
        <f t="shared" si="4"/>
        <v>10087.09</v>
      </c>
      <c r="X106" s="149">
        <f t="shared" si="5"/>
        <v>859</v>
      </c>
      <c r="AB106" s="151"/>
      <c r="AC106" s="131"/>
      <c r="AE106" s="130"/>
      <c r="AF106" s="136"/>
      <c r="AH106" s="65"/>
      <c r="AI106" s="65"/>
      <c r="AJ106" s="65"/>
      <c r="AK106" s="65"/>
      <c r="AL106" s="65"/>
      <c r="AM106" s="65"/>
      <c r="AN106" s="65"/>
      <c r="BB106" s="11"/>
    </row>
    <row r="107" spans="1:54" ht="90" customHeight="1">
      <c r="A107" s="26"/>
      <c r="B107" s="73">
        <f t="shared" si="3"/>
        <v>91</v>
      </c>
      <c r="C107" s="74"/>
      <c r="D107" s="96" t="str" cm="1">
        <f t="array" ref="D107">IFERROR(INDEX(DB!B$2:B$2576,X107),"")</f>
        <v>3. 철골공사</v>
      </c>
      <c r="E107" s="107"/>
      <c r="F107" s="97" t="str" cm="1">
        <f t="array" ref="F107">IFERROR(INDEX(DB!C$2:C$2576,X107),"")</f>
        <v>3.1 철골 작업</v>
      </c>
      <c r="G107" s="108"/>
      <c r="H107" s="98" t="str" cm="1">
        <f t="array" ref="H107">IFERROR(INDEX(DB!D$2:D$2576,X107),"")</f>
        <v>3.1.3 철골 데크 플레이트 설치</v>
      </c>
      <c r="I107" s="109"/>
      <c r="J107" s="99" t="str" cm="1">
        <f t="array" ref="J107">IFERROR(INDEX(DB!O$2:O$2576,X107),"")</f>
        <v>떨어짐</v>
      </c>
      <c r="K107" s="110"/>
      <c r="L107" s="75" t="str" cm="1">
        <f t="array" ref="L107">IFERROR(INDEX(DB!P$2:P$2576,X107),"")</f>
        <v>2019년 3월 OO건설(주) OO 건설공사 현장에서 골조공사 협력업체인 OO(주) 소속 콘크리트공 6명이 OO시설동 크레인조정실 바닥슬래브 콘크리트 타설 작업을 진행하던 중 데크플레이트(Deck-plate)를 지지하고 있던 목재각재가 슬래브 자중 및 작업하중을 견디지 못하고 철근콘크리트 보 측면에서 이탈되면서 바닥 슬래브가 붕괴되어 콘크리트공 3명이 약 24.0m아래 지상으로 추락하여 사망</v>
      </c>
      <c r="M107" s="76" t="str" cm="1">
        <f t="array" ref="M107">IFERROR(INDEX(DB!Q$2:Q$2576,X107),"")</f>
        <v>콘크리트 타설 작업 진행 중, 데크플레이트를 지지하고 있던 목재각재가 슬래브 자중 및 작업 하중을 견디지 못하고 이탈되면서 슬래브가 붕괴되어 근로자 추락</v>
      </c>
      <c r="N107" s="77"/>
      <c r="O107" s="78" t="str" cm="1">
        <f t="array" ref="O107">IFERROR(INDEX(DB!R$2:R$2576,X107),"")</f>
        <v>▶ 설계도서 작성 및 준수 
▶ 콘크리트 타설 전 안전점검 및 보강조치 실시
▶ 콘크리트 타설 작업 시 추락방지조치 실시</v>
      </c>
      <c r="P107" s="100"/>
      <c r="Q107" s="102"/>
      <c r="R107" s="150"/>
      <c r="S107" s="43"/>
      <c r="T107" s="66" cm="1">
        <f t="array" ref="T107">IFERROR(_xlfn.AGGREGATE(15,6,ROW(DB!A$2:A$2576)/(((($D$3&lt;&gt;"YES")+($D$3="YES")*(DB!E$2:E$2576="YES"))*(($D$4="")+($D$4&lt;&gt;"")*ISNUMBER(SEARCH($D$4,DB!G$2:G$2576)))*(($D$5="")+($D$5&lt;&gt;"")*(DB!B$2:B$2576=$D$5))*(($D$6="")+($D$6&lt;&gt;"")*(DB!C$2:C$2576=$D$6))*(($D$7="")+($D$7&lt;&gt;"")*(DB!D$2:D$2576=$D$7))*(($F$4="전체")+($F$4&lt;&gt;"전체")*(DB!H$2:H$2576=$F$4)))),ROW()-16)-1,"")</f>
        <v>858</v>
      </c>
      <c r="U107" s="104" t="str" cm="1">
        <f t="array" ref="U107">IFERROR(INDEX(DB!B$2:B$2576,T107),"")</f>
        <v>3. 철골공사</v>
      </c>
      <c r="V107" s="105" t="str" cm="1">
        <f t="array" ref="V107">IFERROR(INDEX(DB!O$2:O$2576,T107),"")</f>
        <v>떨어짐</v>
      </c>
      <c r="W107" s="106">
        <f t="shared" si="4"/>
        <v>10087.091</v>
      </c>
      <c r="X107" s="149">
        <f t="shared" si="5"/>
        <v>860</v>
      </c>
      <c r="AB107" s="151"/>
      <c r="AC107" s="131"/>
      <c r="AE107" s="130"/>
      <c r="AF107" s="136"/>
      <c r="AH107" s="65"/>
      <c r="AI107" s="65"/>
      <c r="AJ107" s="65"/>
      <c r="AK107" s="65"/>
      <c r="AL107" s="65"/>
      <c r="AM107" s="65"/>
      <c r="AN107" s="65"/>
      <c r="BB107" s="11"/>
    </row>
    <row r="108" spans="1:54" ht="90" customHeight="1">
      <c r="A108" s="26"/>
      <c r="B108" s="73">
        <f t="shared" si="3"/>
        <v>92</v>
      </c>
      <c r="C108" s="74"/>
      <c r="D108" s="96" t="str" cm="1">
        <f t="array" ref="D108">IFERROR(INDEX(DB!B$2:B$2576,X108),"")</f>
        <v>3. 철골공사</v>
      </c>
      <c r="E108" s="107"/>
      <c r="F108" s="97" t="str" cm="1">
        <f t="array" ref="F108">IFERROR(INDEX(DB!C$2:C$2576,X108),"")</f>
        <v>3.1 철골 작업</v>
      </c>
      <c r="G108" s="108"/>
      <c r="H108" s="98" t="str" cm="1">
        <f t="array" ref="H108">IFERROR(INDEX(DB!D$2:D$2576,X108),"")</f>
        <v>3.1.3 철골 데크 플레이트 설치</v>
      </c>
      <c r="I108" s="109"/>
      <c r="J108" s="99" t="str" cm="1">
        <f t="array" ref="J108">IFERROR(INDEX(DB!O$2:O$2576,X108),"")</f>
        <v>떨어짐</v>
      </c>
      <c r="K108" s="110"/>
      <c r="L108" s="75" t="str" cm="1">
        <f t="array" ref="L108">IFERROR(INDEX(DB!P$2:P$2576,X108),"")</f>
        <v xml:space="preserve"> 2019년 6월경 OO 모델하우스 건립공사 현장에서 재해자(철골공)가 지상 2층 바닥 데크플레이트 설치 작업 중 단부에서 지상 바닥으로 떨어져(H≒7.3m) 사망</v>
      </c>
      <c r="M108" s="76" t="str" cm="1">
        <f t="array" ref="M108">IFERROR(INDEX(DB!Q$2:Q$2576,X108),"")</f>
        <v>안전대 부착설비가 설치되지 않은 상태로 데크 플레이트 설치 작업 중 근로자가 몸의 중심을 잃고 데크플레이트 단부, 개구부로 추락</v>
      </c>
      <c r="N108" s="77"/>
      <c r="O108" s="78" t="str" cm="1">
        <f t="array" ref="O108">IFERROR(INDEX(DB!R$2:R$2576,X108),"")</f>
        <v>▶ 데크플레이트 설치작업 시 통로의 끝이나 개구부 등 추락위험이 있는 장소에는 안전난간, 추락방망 또는 덮개, 안전대 착용 등의 방호조치 실시
▶ 안전난간 등 설치가 곤란할 경우 추락방호망 설치
▶ 데크플레이트 설치 및 철근 배근작업 시 근로자의 실족 방지를 위해 작업발판 등을 작업장의 통로에 설치
▶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v>
      </c>
      <c r="P108" s="100"/>
      <c r="Q108" s="102"/>
      <c r="R108" s="150"/>
      <c r="S108" s="43"/>
      <c r="T108" s="66" cm="1">
        <f t="array" ref="T108">IFERROR(_xlfn.AGGREGATE(15,6,ROW(DB!A$2:A$2576)/(((($D$3&lt;&gt;"YES")+($D$3="YES")*(DB!E$2:E$2576="YES"))*(($D$4="")+($D$4&lt;&gt;"")*ISNUMBER(SEARCH($D$4,DB!G$2:G$2576)))*(($D$5="")+($D$5&lt;&gt;"")*(DB!B$2:B$2576=$D$5))*(($D$6="")+($D$6&lt;&gt;"")*(DB!C$2:C$2576=$D$6))*(($D$7="")+($D$7&lt;&gt;"")*(DB!D$2:D$2576=$D$7))*(($F$4="전체")+($F$4&lt;&gt;"전체")*(DB!H$2:H$2576=$F$4)))),ROW()-16)-1,"")</f>
        <v>859</v>
      </c>
      <c r="U108" s="104" t="str" cm="1">
        <f t="array" ref="U108">IFERROR(INDEX(DB!B$2:B$2576,T108),"")</f>
        <v>3. 철골공사</v>
      </c>
      <c r="V108" s="105" t="str" cm="1">
        <f t="array" ref="V108">IFERROR(INDEX(DB!O$2:O$2576,T108),"")</f>
        <v>떨어짐</v>
      </c>
      <c r="W108" s="106">
        <f t="shared" si="4"/>
        <v>10087.092000000001</v>
      </c>
      <c r="X108" s="149">
        <f t="shared" si="5"/>
        <v>861</v>
      </c>
      <c r="AB108" s="151"/>
      <c r="AC108" s="131"/>
      <c r="AE108" s="130"/>
      <c r="AF108" s="136"/>
      <c r="AH108" s="65"/>
      <c r="AI108" s="65"/>
      <c r="AJ108" s="65"/>
      <c r="AK108" s="65"/>
      <c r="AL108" s="65"/>
      <c r="AM108" s="65"/>
      <c r="AN108" s="65"/>
      <c r="BB108" s="11"/>
    </row>
    <row r="109" spans="1:54" ht="90" customHeight="1">
      <c r="A109" s="26"/>
      <c r="B109" s="73">
        <f t="shared" si="3"/>
        <v>93</v>
      </c>
      <c r="C109" s="74"/>
      <c r="D109" s="96" t="str" cm="1">
        <f t="array" ref="D109">IFERROR(INDEX(DB!B$2:B$2576,X109),"")</f>
        <v>3. 철골공사</v>
      </c>
      <c r="E109" s="107"/>
      <c r="F109" s="97" t="str" cm="1">
        <f t="array" ref="F109">IFERROR(INDEX(DB!C$2:C$2576,X109),"")</f>
        <v>3.1 철골 작업</v>
      </c>
      <c r="G109" s="108"/>
      <c r="H109" s="98" t="str" cm="1">
        <f t="array" ref="H109">IFERROR(INDEX(DB!D$2:D$2576,X109),"")</f>
        <v>3.1.3 철골 데크 플레이트 설치</v>
      </c>
      <c r="I109" s="109"/>
      <c r="J109" s="99" t="str" cm="1">
        <f t="array" ref="J109">IFERROR(INDEX(DB!O$2:O$2576,X109),"")</f>
        <v>떨어짐</v>
      </c>
      <c r="K109" s="110"/>
      <c r="L109" s="75" t="str" cm="1">
        <f t="array" ref="L109">IFERROR(INDEX(DB!P$2:P$2576,X109),"")</f>
        <v>2019년 6월경 OO건설(주)에서 시공하는 OO 근생 및 주택 신축공사현장에서 재해자가 지상 2층 계단참 데크플레이트 설치작업 중 밟고있던 미 고정된 데크플레이트가 철골에서 탈락되면서 지상1층 콘크리트 바닥으로 떨어져(높이 4.2m) 사망</v>
      </c>
      <c r="M109" s="76" t="str" cm="1">
        <f t="array" ref="M109">IFERROR(INDEX(DB!Q$2:Q$2576,X109),"")</f>
        <v>철골 구조물의 데크플레이트 설치 작업 중 고정되지 않은 데크플레이트를 밟는 순간 부재와 함께 근로자 추락</v>
      </c>
      <c r="N109" s="77"/>
      <c r="O109" s="78" t="str" cm="1">
        <f t="array" ref="O109">IFERROR(INDEX(DB!R$2:R$2576,X109),"")</f>
        <v>▶ 데크플레이트 설치 시 추락방지를 위해 안전방망 설치
▶ 안전방망 설치가 곤란할 경우 안전대 부착설비 설치 및 안전대 착용
▶ 데크플레이트 설치시 추락 및 낙하하는 등의 사고 방지를 위해 보 상단 좌우 50mm 이상 걸치도록 설치 및 1매 째의 데크플레이트 설치 후 곧바로 가용접 실시 이후 순차적으로 60cm 간격 이내마다 가용접 실시</v>
      </c>
      <c r="P109" s="100"/>
      <c r="Q109" s="102"/>
      <c r="R109" s="150"/>
      <c r="S109" s="43"/>
      <c r="T109" s="66" cm="1">
        <f t="array" ref="T109">IFERROR(_xlfn.AGGREGATE(15,6,ROW(DB!A$2:A$2576)/(((($D$3&lt;&gt;"YES")+($D$3="YES")*(DB!E$2:E$2576="YES"))*(($D$4="")+($D$4&lt;&gt;"")*ISNUMBER(SEARCH($D$4,DB!G$2:G$2576)))*(($D$5="")+($D$5&lt;&gt;"")*(DB!B$2:B$2576=$D$5))*(($D$6="")+($D$6&lt;&gt;"")*(DB!C$2:C$2576=$D$6))*(($D$7="")+($D$7&lt;&gt;"")*(DB!D$2:D$2576=$D$7))*(($F$4="전체")+($F$4&lt;&gt;"전체")*(DB!H$2:H$2576=$F$4)))),ROW()-16)-1,"")</f>
        <v>860</v>
      </c>
      <c r="U109" s="104" t="str" cm="1">
        <f t="array" ref="U109">IFERROR(INDEX(DB!B$2:B$2576,T109),"")</f>
        <v>3. 철골공사</v>
      </c>
      <c r="V109" s="105" t="str" cm="1">
        <f t="array" ref="V109">IFERROR(INDEX(DB!O$2:O$2576,T109),"")</f>
        <v>떨어짐</v>
      </c>
      <c r="W109" s="106">
        <f t="shared" si="4"/>
        <v>10087.093000000001</v>
      </c>
      <c r="X109" s="149">
        <f t="shared" si="5"/>
        <v>862</v>
      </c>
      <c r="AB109" s="151"/>
      <c r="AC109" s="131"/>
      <c r="AE109" s="130"/>
      <c r="AF109" s="136"/>
      <c r="AH109" s="65"/>
      <c r="AI109" s="65"/>
      <c r="AJ109" s="65"/>
      <c r="AK109" s="65"/>
      <c r="AL109" s="65"/>
      <c r="AM109" s="65"/>
      <c r="AN109" s="65"/>
      <c r="BB109" s="11"/>
    </row>
    <row r="110" spans="1:54" ht="90" customHeight="1">
      <c r="A110" s="26"/>
      <c r="B110" s="73">
        <f t="shared" si="3"/>
        <v>94</v>
      </c>
      <c r="C110" s="74"/>
      <c r="D110" s="96" t="str" cm="1">
        <f t="array" ref="D110">IFERROR(INDEX(DB!B$2:B$2576,X110),"")</f>
        <v>3. 철골공사</v>
      </c>
      <c r="E110" s="107"/>
      <c r="F110" s="97" t="str" cm="1">
        <f t="array" ref="F110">IFERROR(INDEX(DB!C$2:C$2576,X110),"")</f>
        <v>3.1 철골 작업</v>
      </c>
      <c r="G110" s="108"/>
      <c r="H110" s="98" t="str" cm="1">
        <f t="array" ref="H110">IFERROR(INDEX(DB!D$2:D$2576,X110),"")</f>
        <v>3.1.3 철골 데크 플레이트 설치</v>
      </c>
      <c r="I110" s="109"/>
      <c r="J110" s="99" t="str" cm="1">
        <f t="array" ref="J110">IFERROR(INDEX(DB!O$2:O$2576,X110),"")</f>
        <v>떨어짐</v>
      </c>
      <c r="K110" s="110"/>
      <c r="L110" s="75" t="str" cm="1">
        <f t="array" ref="L110">IFERROR(INDEX(DB!P$2:P$2576,X110),"")</f>
        <v>2020년 8월경 OO건설(주)이 시공하는 OO센터 건립공사 현장에서 재해자(판넬공)가 지붕층 철골보 위에 데크플레이트 설치 후 가용접하려던 중 데크플레이트와 함께 약 14.1m 아래 콘크리트 바닥으로 떨어져 사망</v>
      </c>
      <c r="M110" s="76" t="str" cm="1">
        <f t="array" ref="M110">IFERROR(INDEX(DB!Q$2:Q$2576,X110),"")</f>
        <v>안전대 부착설비가 설치되지 않은 상태로 데크 플레이트 설치 작업 중 근로자가 몸의 중심을 잃고 데크플레이트 단부, 개구부로 추락</v>
      </c>
      <c r="N110" s="77"/>
      <c r="O110" s="78" t="str" cm="1">
        <f t="array" ref="O110">IFERROR(INDEX(DB!R$2:R$2576,X110),"")</f>
        <v>▶ 데크플레이트 설치작업 시 통로의 끝이나 개구부 등 추락위험이 있는 장소에는 안전난간, 추락방망 또는 덮개, 안전대 착용 등의 방호조치 실시
▶ 안전난간 등 설치가 곤란할 경우 추락방호망 설치
▶ 데크플레이트 설치 및 철근 배근작업 시 근로자의 실족 방지를 위해 작업발판 등을 작업장의 통로에 설치
▶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v>
      </c>
      <c r="P110" s="100"/>
      <c r="Q110" s="102"/>
      <c r="R110" s="150"/>
      <c r="S110" s="43"/>
      <c r="T110" s="66" cm="1">
        <f t="array" ref="T110">IFERROR(_xlfn.AGGREGATE(15,6,ROW(DB!A$2:A$2576)/(((($D$3&lt;&gt;"YES")+($D$3="YES")*(DB!E$2:E$2576="YES"))*(($D$4="")+($D$4&lt;&gt;"")*ISNUMBER(SEARCH($D$4,DB!G$2:G$2576)))*(($D$5="")+($D$5&lt;&gt;"")*(DB!B$2:B$2576=$D$5))*(($D$6="")+($D$6&lt;&gt;"")*(DB!C$2:C$2576=$D$6))*(($D$7="")+($D$7&lt;&gt;"")*(DB!D$2:D$2576=$D$7))*(($F$4="전체")+($F$4&lt;&gt;"전체")*(DB!H$2:H$2576=$F$4)))),ROW()-16)-1,"")</f>
        <v>861</v>
      </c>
      <c r="U110" s="104" t="str" cm="1">
        <f t="array" ref="U110">IFERROR(INDEX(DB!B$2:B$2576,T110),"")</f>
        <v>3. 철골공사</v>
      </c>
      <c r="V110" s="105" t="str" cm="1">
        <f t="array" ref="V110">IFERROR(INDEX(DB!O$2:O$2576,T110),"")</f>
        <v>떨어짐</v>
      </c>
      <c r="W110" s="106">
        <f t="shared" si="4"/>
        <v>10087.093999999999</v>
      </c>
      <c r="X110" s="149">
        <f t="shared" si="5"/>
        <v>863</v>
      </c>
      <c r="AB110" s="151"/>
      <c r="AC110" s="131"/>
      <c r="AE110" s="130"/>
      <c r="AF110" s="136"/>
      <c r="AH110" s="65"/>
      <c r="AI110" s="65"/>
      <c r="AJ110" s="65"/>
      <c r="AK110" s="65"/>
      <c r="AL110" s="65"/>
      <c r="AM110" s="65"/>
      <c r="AN110" s="65"/>
      <c r="BB110" s="11"/>
    </row>
    <row r="111" spans="1:54" ht="90" customHeight="1">
      <c r="A111" s="26"/>
      <c r="B111" s="73">
        <f t="shared" si="3"/>
        <v>95</v>
      </c>
      <c r="C111" s="74"/>
      <c r="D111" s="96" t="str" cm="1">
        <f t="array" ref="D111">IFERROR(INDEX(DB!B$2:B$2576,X111),"")</f>
        <v>3. 철골공사</v>
      </c>
      <c r="E111" s="107"/>
      <c r="F111" s="97" t="str" cm="1">
        <f t="array" ref="F111">IFERROR(INDEX(DB!C$2:C$2576,X111),"")</f>
        <v>3.1 철골 작업</v>
      </c>
      <c r="G111" s="108"/>
      <c r="H111" s="98" t="str" cm="1">
        <f t="array" ref="H111">IFERROR(INDEX(DB!D$2:D$2576,X111),"")</f>
        <v>3.1.2 철골 부재 인양, 조립</v>
      </c>
      <c r="I111" s="109"/>
      <c r="J111" s="99" t="str" cm="1">
        <f t="array" ref="J111">IFERROR(INDEX(DB!O$2:O$2576,X111),"")</f>
        <v>맞음(낙하물체)</v>
      </c>
      <c r="K111" s="110"/>
      <c r="L111" s="75" t="str" cm="1">
        <f t="array" ref="L111">IFERROR(INDEX(DB!P$2:P$2576,X111),"")</f>
        <v>2020년 7월경 OOO(개인) 판매시설 신축 현장에서 재해자(직영인부)가 철골기둥에 철골보(도리)를 설치하고 1층 바닥에 앉아 철골기둥의 수직도를 확인하던 중 임시용접된 상부의 철골보(도리)가 떨어지며(h=3.25m) 재해자의 머리와 등을 가격하여 사망</v>
      </c>
      <c r="M111" s="76" t="str" cm="1">
        <f t="array" ref="M111">IFERROR(INDEX(DB!Q$2:Q$2576,X111),"")</f>
        <v xml:space="preserve">철골기둥 철골보를 설치하는 작업을 위해 철골기둥의 수직도를 확인하던 중 임시용접된 상부의 철골보가 탈락하여 근로자에게 낙하 </v>
      </c>
      <c r="N111" s="77"/>
      <c r="O111" s="78" t="str" cm="1">
        <f t="array" ref="O111">IFERROR(INDEX(DB!R$2:R$2576,X111),"")</f>
        <v>▶ 철골 조립 시 철골의 접합부가 충분히 지지되도록 볼트 체결
▶ 견고한 구조 형성 전 들어올린 철골을 걸이로프 등으로부터 결속 유지
▶ 철골조립 시 안전대 부착설비 설치 및 안전대 지급</v>
      </c>
      <c r="P111" s="100"/>
      <c r="Q111" s="102"/>
      <c r="R111" s="150"/>
      <c r="S111" s="43"/>
      <c r="T111" s="66" cm="1">
        <f t="array" ref="T111">IFERROR(_xlfn.AGGREGATE(15,6,ROW(DB!A$2:A$2576)/(((($D$3&lt;&gt;"YES")+($D$3="YES")*(DB!E$2:E$2576="YES"))*(($D$4="")+($D$4&lt;&gt;"")*ISNUMBER(SEARCH($D$4,DB!G$2:G$2576)))*(($D$5="")+($D$5&lt;&gt;"")*(DB!B$2:B$2576=$D$5))*(($D$6="")+($D$6&lt;&gt;"")*(DB!C$2:C$2576=$D$6))*(($D$7="")+($D$7&lt;&gt;"")*(DB!D$2:D$2576=$D$7))*(($F$4="전체")+($F$4&lt;&gt;"전체")*(DB!H$2:H$2576=$F$4)))),ROW()-16)-1,"")</f>
        <v>862</v>
      </c>
      <c r="U111" s="104" t="str" cm="1">
        <f t="array" ref="U111">IFERROR(INDEX(DB!B$2:B$2576,T111),"")</f>
        <v>3. 철골공사</v>
      </c>
      <c r="V111" s="105" t="str" cm="1">
        <f t="array" ref="V111">IFERROR(INDEX(DB!O$2:O$2576,T111),"")</f>
        <v>떨어짐</v>
      </c>
      <c r="W111" s="106">
        <f t="shared" si="4"/>
        <v>10087.094999999999</v>
      </c>
      <c r="X111" s="149">
        <f t="shared" si="5"/>
        <v>836</v>
      </c>
      <c r="AB111" s="151"/>
      <c r="AC111" s="131"/>
      <c r="AE111" s="130"/>
      <c r="AF111" s="136"/>
      <c r="AH111" s="65"/>
      <c r="AI111" s="65"/>
      <c r="AJ111" s="65"/>
      <c r="AK111" s="65"/>
      <c r="AL111" s="65"/>
      <c r="AM111" s="65"/>
      <c r="AN111" s="65"/>
      <c r="BB111" s="11"/>
    </row>
    <row r="112" spans="1:54" ht="90" customHeight="1">
      <c r="A112" s="26"/>
      <c r="B112" s="73">
        <f t="shared" si="3"/>
        <v>96</v>
      </c>
      <c r="C112" s="74"/>
      <c r="D112" s="96" t="str" cm="1">
        <f t="array" ref="D112">IFERROR(INDEX(DB!B$2:B$2576,X112),"")</f>
        <v>3. 철골공사</v>
      </c>
      <c r="E112" s="107"/>
      <c r="F112" s="97" t="str" cm="1">
        <f t="array" ref="F112">IFERROR(INDEX(DB!C$2:C$2576,X112),"")</f>
        <v>3.1 철골 작업</v>
      </c>
      <c r="G112" s="108"/>
      <c r="H112" s="98" t="str" cm="1">
        <f t="array" ref="H112">IFERROR(INDEX(DB!D$2:D$2576,X112),"")</f>
        <v>3.1.2 철골 부재 인양, 조립</v>
      </c>
      <c r="I112" s="109"/>
      <c r="J112" s="99" t="str" cm="1">
        <f t="array" ref="J112">IFERROR(INDEX(DB!O$2:O$2576,X112),"")</f>
        <v>부딪힘 접촉</v>
      </c>
      <c r="K112" s="110"/>
      <c r="L112" s="75" t="str" cm="1">
        <f t="array" ref="L112">IFERROR(INDEX(DB!P$2:P$2576,X112),"")</f>
        <v>2021년 9월경 OO의 공장 이전 및 리모델링 현장에서 OOOO 소속 재해자가 천장 페인트 작업을 마친 후 철재 구조물(트러스) 조립 작업장으로 이동 중 뒤로 넘어져 바닥에 놓여져 있던 트러스 구조의 철재 파이프에 목·어깨를 부딪히고 후두부가 바닥에 부딪혀 사망</v>
      </c>
      <c r="M112" s="76" t="str" cm="1">
        <f t="array" ref="M112">IFERROR(INDEX(DB!Q$2:Q$2576,X112),"")</f>
        <v>천장 페인트 작업을 마친 후 철재 구조물(트러스) 조립 작업장으로 이동 중 뒤로 넘어져 바닥에 놓여져 있던 트러스 구조물에 충돌</v>
      </c>
      <c r="N112" s="77"/>
      <c r="O112" s="78" t="str" cm="1">
        <f t="array" ref="O112">IFERROR(INDEX(DB!R$2:R$2576,X112),"")</f>
        <v xml:space="preserve">▶ 통로 주요 부분에 통로 표시 및 장애물 제거 등 이동통로 확보
▶ 개인보호구 지급 및 착용상태 관리 실시 </v>
      </c>
      <c r="P112" s="100"/>
      <c r="Q112" s="102"/>
      <c r="R112" s="150"/>
      <c r="S112" s="43"/>
      <c r="T112" s="66" cm="1">
        <f t="array" ref="T112">IFERROR(_xlfn.AGGREGATE(15,6,ROW(DB!A$2:A$2576)/(((($D$3&lt;&gt;"YES")+($D$3="YES")*(DB!E$2:E$2576="YES"))*(($D$4="")+($D$4&lt;&gt;"")*ISNUMBER(SEARCH($D$4,DB!G$2:G$2576)))*(($D$5="")+($D$5&lt;&gt;"")*(DB!B$2:B$2576=$D$5))*(($D$6="")+($D$6&lt;&gt;"")*(DB!C$2:C$2576=$D$6))*(($D$7="")+($D$7&lt;&gt;"")*(DB!D$2:D$2576=$D$7))*(($F$4="전체")+($F$4&lt;&gt;"전체")*(DB!H$2:H$2576=$F$4)))),ROW()-16)-1,"")</f>
        <v>863</v>
      </c>
      <c r="U112" s="104" t="str" cm="1">
        <f t="array" ref="U112">IFERROR(INDEX(DB!B$2:B$2576,T112),"")</f>
        <v>3. 철골공사</v>
      </c>
      <c r="V112" s="105" t="str" cm="1">
        <f t="array" ref="V112">IFERROR(INDEX(DB!O$2:O$2576,T112),"")</f>
        <v>떨어짐</v>
      </c>
      <c r="W112" s="106">
        <f t="shared" si="4"/>
        <v>10087.096</v>
      </c>
      <c r="X112" s="149">
        <f t="shared" si="5"/>
        <v>849</v>
      </c>
      <c r="AB112" s="151"/>
      <c r="AC112" s="131"/>
      <c r="AE112" s="130"/>
      <c r="AF112" s="136"/>
      <c r="AH112" s="65"/>
      <c r="AI112" s="65"/>
      <c r="AJ112" s="65"/>
      <c r="AK112" s="65"/>
      <c r="AL112" s="65"/>
      <c r="AM112" s="65"/>
      <c r="AN112" s="65"/>
      <c r="BB112" s="11"/>
    </row>
    <row r="113" spans="1:54" ht="90" customHeight="1">
      <c r="A113" s="26"/>
      <c r="B113" s="73">
        <f t="shared" si="3"/>
        <v>97</v>
      </c>
      <c r="C113" s="74"/>
      <c r="D113" s="96" t="str" cm="1">
        <f t="array" ref="D113">IFERROR(INDEX(DB!B$2:B$2576,X113),"")</f>
        <v>4. 마감공사</v>
      </c>
      <c r="E113" s="107"/>
      <c r="F113" s="97" t="str" cm="1">
        <f t="array" ref="F113">IFERROR(INDEX(DB!C$2:C$2576,X113),"")</f>
        <v>4.4 도장작업</v>
      </c>
      <c r="G113" s="108"/>
      <c r="H113" s="98" t="str" cm="1">
        <f t="array" ref="H113">IFERROR(INDEX(DB!D$2:D$2576,X113),"")</f>
        <v>4.4.2 실내 도장</v>
      </c>
      <c r="I113" s="109"/>
      <c r="J113" s="99" t="str" cm="1">
        <f t="array" ref="J113">IFERROR(INDEX(DB!O$2:O$2576,X113),"")</f>
        <v>떨어짐</v>
      </c>
      <c r="K113" s="110"/>
      <c r="L113" s="75" t="str" cm="1">
        <f t="array" ref="L113">IFERROR(INDEX(DB!P$2:P$2576,X113),"")</f>
        <v>2017년 2월경 OO공장 증축공사 현장에서 재해자가 지상 4층 계단실 철골 보 내화도장 작업 중 몸의 중심을 잃고 지상 3층 계단실로 추락하여(H≒4.0m) 사망</v>
      </c>
      <c r="M113" s="76" t="str" cm="1">
        <f t="array" ref="M113">IFERROR(INDEX(DB!Q$2:Q$2576,X113),"")</f>
        <v>안전난간 미설치한 계단실 철골 보 내화도장 작업 중 몸의 균형을 잃고 추락</v>
      </c>
      <c r="N113" s="77"/>
      <c r="O113" s="78" t="str" cm="1">
        <f t="array" ref="O113">IFERROR(INDEX(DB!R$2:R$2576,X113),"")</f>
        <v>▶ 철골보 상부 등 추락위험이 있는 장소에서 작업 시 작업높이에 적합한 안전한 작업발판(비계, 고소작업대 등)을 설치하여 안전하게 작업
▶ 작업발판을 설치하기 어려운 경우 철골보 하부에 추락방호망을 설치하고 철골보 상부에 안전대 부착설비를 설치하여 안전대를 체결한 후 작업</v>
      </c>
      <c r="P113" s="100"/>
      <c r="Q113" s="102"/>
      <c r="R113" s="150"/>
      <c r="S113" s="43"/>
      <c r="T113" s="66" cm="1">
        <f t="array" ref="T113">IFERROR(_xlfn.AGGREGATE(15,6,ROW(DB!A$2:A$2576)/(((($D$3&lt;&gt;"YES")+($D$3="YES")*(DB!E$2:E$2576="YES"))*(($D$4="")+($D$4&lt;&gt;"")*ISNUMBER(SEARCH($D$4,DB!G$2:G$2576)))*(($D$5="")+($D$5&lt;&gt;"")*(DB!B$2:B$2576=$D$5))*(($D$6="")+($D$6&lt;&gt;"")*(DB!C$2:C$2576=$D$6))*(($D$7="")+($D$7&lt;&gt;"")*(DB!D$2:D$2576=$D$7))*(($F$4="전체")+($F$4&lt;&gt;"전체")*(DB!H$2:H$2576=$F$4)))),ROW()-16)-1,"")</f>
        <v>871</v>
      </c>
      <c r="U113" s="104" t="str" cm="1">
        <f t="array" ref="U113">IFERROR(INDEX(DB!B$2:B$2576,T113),"")</f>
        <v>4. 마감공사</v>
      </c>
      <c r="V113" s="105" t="str" cm="1">
        <f t="array" ref="V113">IFERROR(INDEX(DB!O$2:O$2576,T113),"")</f>
        <v>떨어짐</v>
      </c>
      <c r="W113" s="106">
        <f t="shared" si="4"/>
        <v>17887.097000000002</v>
      </c>
      <c r="X113" s="149">
        <f t="shared" si="5"/>
        <v>871</v>
      </c>
      <c r="AB113" s="151"/>
      <c r="AC113" s="131"/>
      <c r="AE113" s="130"/>
      <c r="AF113" s="136"/>
      <c r="AH113" s="65"/>
      <c r="AI113" s="65"/>
      <c r="AJ113" s="65"/>
      <c r="AK113" s="65"/>
      <c r="AL113" s="65"/>
      <c r="AM113" s="65"/>
      <c r="AN113" s="65"/>
      <c r="BB113" s="11"/>
    </row>
    <row r="114" spans="1:54" ht="90" customHeight="1">
      <c r="A114" s="26"/>
      <c r="B114" s="73">
        <f t="shared" si="3"/>
        <v>98</v>
      </c>
      <c r="C114" s="74"/>
      <c r="D114" s="96" t="str" cm="1">
        <f t="array" ref="D114">IFERROR(INDEX(DB!B$2:B$2576,X114),"")</f>
        <v>4. 마감공사</v>
      </c>
      <c r="E114" s="107"/>
      <c r="F114" s="97" t="str" cm="1">
        <f t="array" ref="F114">IFERROR(INDEX(DB!C$2:C$2576,X114),"")</f>
        <v>4.4 도장작업</v>
      </c>
      <c r="G114" s="108"/>
      <c r="H114" s="98" t="str" cm="1">
        <f t="array" ref="H114">IFERROR(INDEX(DB!D$2:D$2576,X114),"")</f>
        <v>4.4.3 실외 도장</v>
      </c>
      <c r="I114" s="109"/>
      <c r="J114" s="99" t="str" cm="1">
        <f t="array" ref="J114">IFERROR(INDEX(DB!O$2:O$2576,X114),"")</f>
        <v>떨어짐</v>
      </c>
      <c r="K114" s="110"/>
      <c r="L114" s="75" t="str" cm="1">
        <f t="array" ref="L114">IFERROR(INDEX(DB!P$2:P$2576,X114),"")</f>
        <v>2016년 12월경 OO챔버시험동 신축공사 현장에서, 협력업체 소속 재해자가 당 현장내 부품실 지붕 철골보 상부에서 내화페인트 도장작업 중 철골보(약 H=13m) 아래 콘크리트 바닥으로 추락하여 사망</v>
      </c>
      <c r="M114" s="76" t="str" cm="1">
        <f t="array" ref="M114">IFERROR(INDEX(DB!Q$2:Q$2576,X114),"")</f>
        <v>안전대 미착용한 상태에서 철골보 상부에서 내화도장 작업 중 몸의 균형을 잃고 추락</v>
      </c>
      <c r="N114" s="77"/>
      <c r="O114" s="78" t="str" cm="1">
        <f t="array" ref="O114">IFERROR(INDEX(DB!R$2:R$2576,X114),"")</f>
        <v>▶ 철골보 상부 등 추락위험이 있는 장소에서 작업 시 작업높이에 적합한 안전한 작업발판(비계, 고소작업대 등)을 설치하여 안전하게 작업
▶ 작업발판을 설치하기 어려운 경우 철골보 하부에 추락방호망을 설치하고 철골보 상부에 안전대 부착설비를 설치하여 안전대를 체결한 후 작업</v>
      </c>
      <c r="P114" s="100"/>
      <c r="Q114" s="102"/>
      <c r="R114" s="150"/>
      <c r="S114" s="43"/>
      <c r="T114" s="66" cm="1">
        <f t="array" ref="T114">IFERROR(_xlfn.AGGREGATE(15,6,ROW(DB!A$2:A$2576)/(((($D$3&lt;&gt;"YES")+($D$3="YES")*(DB!E$2:E$2576="YES"))*(($D$4="")+($D$4&lt;&gt;"")*ISNUMBER(SEARCH($D$4,DB!G$2:G$2576)))*(($D$5="")+($D$5&lt;&gt;"")*(DB!B$2:B$2576=$D$5))*(($D$6="")+($D$6&lt;&gt;"")*(DB!C$2:C$2576=$D$6))*(($D$7="")+($D$7&lt;&gt;"")*(DB!D$2:D$2576=$D$7))*(($F$4="전체")+($F$4&lt;&gt;"전체")*(DB!H$2:H$2576=$F$4)))),ROW()-16)-1,"")</f>
        <v>873</v>
      </c>
      <c r="U114" s="104" t="str" cm="1">
        <f t="array" ref="U114">IFERROR(INDEX(DB!B$2:B$2576,T114),"")</f>
        <v>4. 마감공사</v>
      </c>
      <c r="V114" s="105" t="str" cm="1">
        <f t="array" ref="V114">IFERROR(INDEX(DB!O$2:O$2576,T114),"")</f>
        <v>떨어짐</v>
      </c>
      <c r="W114" s="106">
        <f t="shared" si="4"/>
        <v>17887.098000000002</v>
      </c>
      <c r="X114" s="149">
        <f t="shared" si="5"/>
        <v>873</v>
      </c>
      <c r="AB114" s="151"/>
      <c r="AC114" s="131"/>
      <c r="AE114" s="130"/>
      <c r="AF114" s="136"/>
      <c r="AH114" s="65"/>
      <c r="AI114" s="65"/>
      <c r="AJ114" s="65"/>
      <c r="AK114" s="65"/>
      <c r="AL114" s="65"/>
      <c r="AM114" s="65"/>
      <c r="AN114" s="65"/>
      <c r="BB114" s="11"/>
    </row>
    <row r="115" spans="1:54" ht="90" customHeight="1">
      <c r="A115" s="26"/>
      <c r="B115" s="73">
        <f t="shared" si="3"/>
        <v>99</v>
      </c>
      <c r="C115" s="74"/>
      <c r="D115" s="96" t="str" cm="1">
        <f t="array" ref="D115">IFERROR(INDEX(DB!B$2:B$2576,X115),"")</f>
        <v>4. 마감공사</v>
      </c>
      <c r="E115" s="107"/>
      <c r="F115" s="97" t="str" cm="1">
        <f t="array" ref="F115">IFERROR(INDEX(DB!C$2:C$2576,X115),"")</f>
        <v>4.5 금속 및 잡철물 작업</v>
      </c>
      <c r="G115" s="108"/>
      <c r="H115" s="98" t="str" cm="1">
        <f t="array" ref="H115">IFERROR(INDEX(DB!D$2:D$2576,X115),"")</f>
        <v>4.5.2 금속 및 잡철물 시공</v>
      </c>
      <c r="I115" s="109"/>
      <c r="J115" s="99" t="str" cm="1">
        <f t="array" ref="J115">IFERROR(INDEX(DB!O$2:O$2576,X115),"")</f>
        <v>떨어짐</v>
      </c>
      <c r="K115" s="110"/>
      <c r="L115" s="75" t="str" cm="1">
        <f t="array" ref="L115">IFERROR(INDEX(DB!P$2:P$2576,X115),"")</f>
        <v>2013년 7월경 공연장 구간 보강공사 현장에서, 재해자가 아치형 캐노피 위에서 캐노피 덮개용 폴리카보네이트 고정작업 중, 캐노피 끝단에서 추락(H≒4m)</v>
      </c>
      <c r="M115" s="76" t="str" cm="1">
        <f t="array" ref="M115">IFERROR(INDEX(DB!Q$2:Q$2576,X115),"")</f>
        <v>아치형 캐노피 상부에서 작업 중 앞쪽으로 몸의 무게중심이 쏠려 추락</v>
      </c>
      <c r="N115" s="77"/>
      <c r="O115" s="78" t="str" cm="1">
        <f t="array" ref="O115">IFERROR(INDEX(DB!R$2:R$2576,X115),"")</f>
        <v>▶ 추락위험이 있는 장소에서 작업 시 작업높이에 적합한 안전한 작업발판(비계, 고소작업대 등)을 설치하여 안전하게 작업
▶ 작업발판을 설치하기 어려운 경우 추락방호망을 설치하고 안전대 부착설비를 설치하여 안전대를 체결한 후 작업</v>
      </c>
      <c r="P115" s="100"/>
      <c r="Q115" s="102"/>
      <c r="R115" s="150"/>
      <c r="S115" s="43"/>
      <c r="T115" s="66" cm="1">
        <f t="array" ref="T115">IFERROR(_xlfn.AGGREGATE(15,6,ROW(DB!A$2:A$2576)/(((($D$3&lt;&gt;"YES")+($D$3="YES")*(DB!E$2:E$2576="YES"))*(($D$4="")+($D$4&lt;&gt;"")*ISNUMBER(SEARCH($D$4,DB!G$2:G$2576)))*(($D$5="")+($D$5&lt;&gt;"")*(DB!B$2:B$2576=$D$5))*(($D$6="")+($D$6&lt;&gt;"")*(DB!C$2:C$2576=$D$6))*(($D$7="")+($D$7&lt;&gt;"")*(DB!D$2:D$2576=$D$7))*(($F$4="전체")+($F$4&lt;&gt;"전체")*(DB!H$2:H$2576=$F$4)))),ROW()-16)-1,"")</f>
        <v>875</v>
      </c>
      <c r="U115" s="104" t="str" cm="1">
        <f t="array" ref="U115">IFERROR(INDEX(DB!B$2:B$2576,T115),"")</f>
        <v>4. 마감공사</v>
      </c>
      <c r="V115" s="105" t="str" cm="1">
        <f t="array" ref="V115">IFERROR(INDEX(DB!O$2:O$2576,T115),"")</f>
        <v>떨어짐</v>
      </c>
      <c r="W115" s="106">
        <f t="shared" si="4"/>
        <v>17887.098999999998</v>
      </c>
      <c r="X115" s="149">
        <f t="shared" si="5"/>
        <v>875</v>
      </c>
      <c r="AB115" s="151"/>
      <c r="AC115" s="131"/>
      <c r="AE115" s="130"/>
      <c r="AF115" s="136"/>
      <c r="AH115" s="65"/>
      <c r="AI115" s="65"/>
      <c r="AJ115" s="65"/>
      <c r="AK115" s="65"/>
      <c r="AL115" s="65"/>
      <c r="AM115" s="65"/>
      <c r="AN115" s="65"/>
      <c r="BB115" s="11"/>
    </row>
    <row r="116" spans="1:54" ht="90" customHeight="1">
      <c r="A116" s="26"/>
      <c r="B116" s="73">
        <f t="shared" si="3"/>
        <v>100</v>
      </c>
      <c r="C116" s="74"/>
      <c r="D116" s="96" t="str" cm="1">
        <f t="array" ref="D116">IFERROR(INDEX(DB!B$2:B$2576,X116),"")</f>
        <v>4. 마감공사</v>
      </c>
      <c r="E116" s="107"/>
      <c r="F116" s="97" t="str" cm="1">
        <f t="array" ref="F116">IFERROR(INDEX(DB!C$2:C$2576,X116),"")</f>
        <v>4.5 금속 및 잡철물 작업</v>
      </c>
      <c r="G116" s="108"/>
      <c r="H116" s="98" t="str" cm="1">
        <f t="array" ref="H116">IFERROR(INDEX(DB!D$2:D$2576,X116),"")</f>
        <v>4.5.2 금속 및 잡철물 시공</v>
      </c>
      <c r="I116" s="109"/>
      <c r="J116" s="99" t="str" cm="1">
        <f t="array" ref="J116">IFERROR(INDEX(DB!O$2:O$2576,X116),"")</f>
        <v>떨어짐</v>
      </c>
      <c r="K116" s="110"/>
      <c r="L116" s="75" t="str" cm="1">
        <f t="array" ref="L116">IFERROR(INDEX(DB!P$2:P$2576,X116),"")</f>
        <v>2016년 8월경 OO주유소 신축공사현장에서 재해자는 주유소 지붕(케노피)에서 물받이(400×100×15×1.6, L≒15.0m)를 설치하기 위하여 지붕 철골(C형강) 위에서 보조 작업을 하던 중 갑자기 몸의 중심을 잃고 지상 1층 바닥(H≒7.5m)으로 추락</v>
      </c>
      <c r="M116" s="76" t="str" cm="1">
        <f t="array" ref="M116">IFERROR(INDEX(DB!Q$2:Q$2576,X116),"")</f>
        <v>철골보 상부에서 작업 중 발을 헛디뎌 바닥으로 추락</v>
      </c>
      <c r="N116" s="77"/>
      <c r="O116" s="78" t="str" cm="1">
        <f t="array" ref="O116">IFERROR(INDEX(DB!R$2:R$2576,X116),"")</f>
        <v>▶ 철골보 상부 등 추락위험이 있는 장소에서 작업 시 작업높이에 적합한 안전한 작업발판(비계, 고소작업대 등)을 설치하여 안전하게 작업
▶ 작업발판을 설치하기 어려운 경우 철골보 하부에 추락방호망을 설치하고 철골보 상부에 안전대 부착설비를 설치하여 안전대를 체결한 후 작업</v>
      </c>
      <c r="P116" s="100"/>
      <c r="Q116" s="102"/>
      <c r="R116" s="150"/>
      <c r="S116" s="43"/>
      <c r="T116" s="66" cm="1">
        <f t="array" ref="T116">IFERROR(_xlfn.AGGREGATE(15,6,ROW(DB!A$2:A$2576)/(((($D$3&lt;&gt;"YES")+($D$3="YES")*(DB!E$2:E$2576="YES"))*(($D$4="")+($D$4&lt;&gt;"")*ISNUMBER(SEARCH($D$4,DB!G$2:G$2576)))*(($D$5="")+($D$5&lt;&gt;"")*(DB!B$2:B$2576=$D$5))*(($D$6="")+($D$6&lt;&gt;"")*(DB!C$2:C$2576=$D$6))*(($D$7="")+($D$7&lt;&gt;"")*(DB!D$2:D$2576=$D$7))*(($F$4="전체")+($F$4&lt;&gt;"전체")*(DB!H$2:H$2576=$F$4)))),ROW()-16)-1,"")</f>
        <v>876</v>
      </c>
      <c r="U116" s="104" t="str" cm="1">
        <f t="array" ref="U116">IFERROR(INDEX(DB!B$2:B$2576,T116),"")</f>
        <v>4. 마감공사</v>
      </c>
      <c r="V116" s="105" t="str" cm="1">
        <f t="array" ref="V116">IFERROR(INDEX(DB!O$2:O$2576,T116),"")</f>
        <v>떨어짐</v>
      </c>
      <c r="W116" s="106">
        <f t="shared" si="4"/>
        <v>17887.099999999999</v>
      </c>
      <c r="X116" s="149">
        <f t="shared" si="5"/>
        <v>876</v>
      </c>
      <c r="AB116" s="151"/>
      <c r="AC116" s="131"/>
      <c r="AE116" s="130"/>
      <c r="AF116" s="136"/>
      <c r="AH116" s="65"/>
      <c r="AI116" s="65"/>
      <c r="AJ116" s="65"/>
      <c r="AK116" s="65"/>
      <c r="AL116" s="65"/>
      <c r="AM116" s="65"/>
      <c r="AN116" s="65"/>
      <c r="BB116" s="11"/>
    </row>
    <row r="117" spans="1:54" ht="90" customHeight="1">
      <c r="A117" s="26"/>
      <c r="B117" s="73">
        <f t="shared" si="3"/>
        <v>101</v>
      </c>
      <c r="C117" s="74"/>
      <c r="D117" s="96" t="str" cm="1">
        <f t="array" ref="D117">IFERROR(INDEX(DB!B$2:B$2576,X117),"")</f>
        <v>4. 마감공사</v>
      </c>
      <c r="E117" s="107"/>
      <c r="F117" s="97" t="str" cm="1">
        <f t="array" ref="F117">IFERROR(INDEX(DB!C$2:C$2576,X117),"")</f>
        <v>4.5 금속 및 잡철물 작업</v>
      </c>
      <c r="G117" s="108"/>
      <c r="H117" s="98" t="str" cm="1">
        <f t="array" ref="H117">IFERROR(INDEX(DB!D$2:D$2576,X117),"")</f>
        <v>4.5.2 금속 및 잡철물 시공</v>
      </c>
      <c r="I117" s="109"/>
      <c r="J117" s="99" t="str" cm="1">
        <f t="array" ref="J117">IFERROR(INDEX(DB!O$2:O$2576,X117),"")</f>
        <v>떨어짐</v>
      </c>
      <c r="K117" s="110"/>
      <c r="L117" s="75" t="str" cm="1">
        <f t="array" ref="L117">IFERROR(INDEX(DB!P$2:P$2576,X117),"")</f>
        <v>2016년 9월경 OO공영주차장 건립공사 현장에서 재해자가 경사램프 상부 지붕 하지 철물(下持鐵物) 설치작업을 하기 위하여 지붕 철골보 위에서 C형강 및 각파이프 임시용접작업을 하던 중, 몸의 중심을 잃고 개구부 사이로 추락(H≒4.7m)</v>
      </c>
      <c r="M117" s="76" t="str" cm="1">
        <f t="array" ref="M117">IFERROR(INDEX(DB!Q$2:Q$2576,X117),"")</f>
        <v>철골보 상부에서 이동하던 중 발을 헛디뎌 바닥으로 추락</v>
      </c>
      <c r="N117" s="77"/>
      <c r="O117" s="78" t="str" cm="1">
        <f t="array" ref="O117">IFERROR(INDEX(DB!R$2:R$2576,X117),"")</f>
        <v>▶ 철골보 상부 등 추락위험이 있는 장소에서 작업 시 작업높이에 적합한 안전한 작업발판(비계, 고소작업대 등)을 설치하여 안전하게 작업
▶ 작업발판을 설치하기 어려운 경우 철골보 하부에 추락방호망을 설치하고 철골보 상부에 안전대 부착설비를 설치하여 안전대를 체결한 후 작업</v>
      </c>
      <c r="P117" s="100"/>
      <c r="Q117" s="102"/>
      <c r="R117" s="150"/>
      <c r="S117" s="43"/>
      <c r="T117" s="66" cm="1">
        <f t="array" ref="T117">IFERROR(_xlfn.AGGREGATE(15,6,ROW(DB!A$2:A$2576)/(((($D$3&lt;&gt;"YES")+($D$3="YES")*(DB!E$2:E$2576="YES"))*(($D$4="")+($D$4&lt;&gt;"")*ISNUMBER(SEARCH($D$4,DB!G$2:G$2576)))*(($D$5="")+($D$5&lt;&gt;"")*(DB!B$2:B$2576=$D$5))*(($D$6="")+($D$6&lt;&gt;"")*(DB!C$2:C$2576=$D$6))*(($D$7="")+($D$7&lt;&gt;"")*(DB!D$2:D$2576=$D$7))*(($F$4="전체")+($F$4&lt;&gt;"전체")*(DB!H$2:H$2576=$F$4)))),ROW()-16)-1,"")</f>
        <v>877</v>
      </c>
      <c r="U117" s="104" t="str" cm="1">
        <f t="array" ref="U117">IFERROR(INDEX(DB!B$2:B$2576,T117),"")</f>
        <v>4. 마감공사</v>
      </c>
      <c r="V117" s="105" t="str" cm="1">
        <f t="array" ref="V117">IFERROR(INDEX(DB!O$2:O$2576,T117),"")</f>
        <v>떨어짐</v>
      </c>
      <c r="W117" s="106">
        <f t="shared" si="4"/>
        <v>17887.100999999999</v>
      </c>
      <c r="X117" s="149">
        <f t="shared" si="5"/>
        <v>877</v>
      </c>
      <c r="AB117" s="151"/>
      <c r="AC117" s="131"/>
      <c r="AE117" s="130"/>
      <c r="AF117" s="136"/>
      <c r="AH117" s="65"/>
      <c r="AI117" s="65"/>
      <c r="AJ117" s="65"/>
      <c r="AK117" s="65"/>
      <c r="AL117" s="65"/>
      <c r="AM117" s="65"/>
      <c r="AN117" s="65"/>
      <c r="BB117" s="11"/>
    </row>
    <row r="118" spans="1:54" ht="90" customHeight="1">
      <c r="A118" s="26"/>
      <c r="B118" s="73">
        <f t="shared" si="3"/>
        <v>102</v>
      </c>
      <c r="C118" s="74"/>
      <c r="D118" s="96" t="str" cm="1">
        <f t="array" ref="D118">IFERROR(INDEX(DB!B$2:B$2576,X118),"")</f>
        <v>4. 마감공사</v>
      </c>
      <c r="E118" s="107"/>
      <c r="F118" s="97" t="str" cm="1">
        <f t="array" ref="F118">IFERROR(INDEX(DB!C$2:C$2576,X118),"")</f>
        <v>4.5 금속 및 잡철물 작업</v>
      </c>
      <c r="G118" s="108"/>
      <c r="H118" s="98" t="str" cm="1">
        <f t="array" ref="H118">IFERROR(INDEX(DB!D$2:D$2576,X118),"")</f>
        <v>4.5.2 금속 및 잡철물 시공</v>
      </c>
      <c r="I118" s="109"/>
      <c r="J118" s="99" t="str" cm="1">
        <f t="array" ref="J118">IFERROR(INDEX(DB!O$2:O$2576,X118),"")</f>
        <v>떨어짐</v>
      </c>
      <c r="K118" s="110"/>
      <c r="L118" s="75" t="str" cm="1">
        <f t="array" ref="L118">IFERROR(INDEX(DB!P$2:P$2576,X118),"")</f>
        <v>2016년 12월경 신축공사 현장 지붕 처마부위에서 철골조 부재를 밟고 벽체 판넬 상부에 빗물받이 홈통 고정 작업을 진행하던 재해자가 몸의 균형을 잃고 4m 하부 콘크리트 바닥으로 추락</v>
      </c>
      <c r="M118" s="76" t="str" cm="1">
        <f t="array" ref="M118">IFERROR(INDEX(DB!Q$2:Q$2576,X118),"")</f>
        <v>철골보 상부에서 작업 중 발을 헛디뎌 바닥으로 추락</v>
      </c>
      <c r="N118" s="77"/>
      <c r="O118" s="78" t="str" cm="1">
        <f t="array" ref="O118">IFERROR(INDEX(DB!R$2:R$2576,X118),"")</f>
        <v>▶ 철골보 상부 등 추락위험이 있는 장소에서 작업 시 작업높이에 적합한 안전한 작업발판(비계, 고소작업대 등)을 설치하여 안전하게 작업
▶ 작업발판을 설치하기 어려운 경우 철골보 하부에 추락방호망을 설치하고 철골보 상부에 안전대 부착설비를 설치하여 안전대를 체결한 후 작업</v>
      </c>
      <c r="P118" s="100"/>
      <c r="Q118" s="102"/>
      <c r="R118" s="150"/>
      <c r="S118" s="43"/>
      <c r="T118" s="66" cm="1">
        <f t="array" ref="T118">IFERROR(_xlfn.AGGREGATE(15,6,ROW(DB!A$2:A$2576)/(((($D$3&lt;&gt;"YES")+($D$3="YES")*(DB!E$2:E$2576="YES"))*(($D$4="")+($D$4&lt;&gt;"")*ISNUMBER(SEARCH($D$4,DB!G$2:G$2576)))*(($D$5="")+($D$5&lt;&gt;"")*(DB!B$2:B$2576=$D$5))*(($D$6="")+($D$6&lt;&gt;"")*(DB!C$2:C$2576=$D$6))*(($D$7="")+($D$7&lt;&gt;"")*(DB!D$2:D$2576=$D$7))*(($F$4="전체")+($F$4&lt;&gt;"전체")*(DB!H$2:H$2576=$F$4)))),ROW()-16)-1,"")</f>
        <v>878</v>
      </c>
      <c r="U118" s="104" t="str" cm="1">
        <f t="array" ref="U118">IFERROR(INDEX(DB!B$2:B$2576,T118),"")</f>
        <v>4. 마감공사</v>
      </c>
      <c r="V118" s="105" t="str" cm="1">
        <f t="array" ref="V118">IFERROR(INDEX(DB!O$2:O$2576,T118),"")</f>
        <v>떨어짐</v>
      </c>
      <c r="W118" s="106">
        <f t="shared" si="4"/>
        <v>17887.101999999999</v>
      </c>
      <c r="X118" s="149">
        <f t="shared" si="5"/>
        <v>878</v>
      </c>
      <c r="AB118" s="151"/>
      <c r="AC118" s="131"/>
      <c r="AE118" s="130"/>
      <c r="AF118" s="136"/>
      <c r="AH118" s="65"/>
      <c r="AI118" s="65"/>
      <c r="AJ118" s="65"/>
      <c r="AK118" s="65"/>
      <c r="AL118" s="65"/>
      <c r="AM118" s="65"/>
      <c r="AN118" s="65"/>
      <c r="BB118" s="11"/>
    </row>
    <row r="119" spans="1:54" ht="90" customHeight="1">
      <c r="A119" s="26"/>
      <c r="B119" s="73">
        <f t="shared" si="3"/>
        <v>103</v>
      </c>
      <c r="C119" s="74"/>
      <c r="D119" s="96" t="str" cm="1">
        <f t="array" ref="D119">IFERROR(INDEX(DB!B$2:B$2576,X119),"")</f>
        <v>4. 마감공사</v>
      </c>
      <c r="E119" s="107"/>
      <c r="F119" s="97" t="str" cm="1">
        <f t="array" ref="F119">IFERROR(INDEX(DB!C$2:C$2576,X119),"")</f>
        <v>4.5 금속 및 잡철물 작업</v>
      </c>
      <c r="G119" s="108"/>
      <c r="H119" s="98" t="str" cm="1">
        <f t="array" ref="H119">IFERROR(INDEX(DB!D$2:D$2576,X119),"")</f>
        <v>4.5.2 금속 및 잡철물 시공</v>
      </c>
      <c r="I119" s="109"/>
      <c r="J119" s="99" t="str" cm="1">
        <f t="array" ref="J119">IFERROR(INDEX(DB!O$2:O$2576,X119),"")</f>
        <v>떨어짐</v>
      </c>
      <c r="K119" s="110"/>
      <c r="L119" s="75" t="str" cm="1">
        <f t="array" ref="L119">IFERROR(INDEX(DB!P$2:P$2576,X119),"")</f>
        <v>2017년 9월경 OO타워 현장에서 재해자가 지상1층 환풍구에 철제 그레이팅을 덮는 작업을 하던 중 밟고 있던 철제그레이팅이 지지재에서 미끄러지면서 지하 4층 기계실 바닥으로 추락(약18.7m)</v>
      </c>
      <c r="M119" s="76" t="str" cm="1">
        <f t="array" ref="M119">IFERROR(INDEX(DB!Q$2:Q$2576,X119),"")</f>
        <v>환기구 덮개 위에서 고정작업을 하던 중 작업하중 등에 의해 덮개가 밀려나면서 발생한 개구부 아래로 추락</v>
      </c>
      <c r="N119" s="77"/>
      <c r="O119" s="78" t="str" cm="1">
        <f t="array" ref="O119">IFERROR(INDEX(DB!R$2:R$2576,X119),"")</f>
        <v>▶ 개구부 등 추락위험이 있는 장소에서 작업하는 경우 작업높이에 맞는 견고한 작업발판(비계 등)을 설치
▶ 작업발판을 설치하기 곤란한 경우 안전방망을 설치하고 안전대걸이설비에 안전대를 체결한 후 작업</v>
      </c>
      <c r="P119" s="100"/>
      <c r="Q119" s="102"/>
      <c r="R119" s="150"/>
      <c r="S119" s="43"/>
      <c r="T119" s="66" cm="1">
        <f t="array" ref="T119">IFERROR(_xlfn.AGGREGATE(15,6,ROW(DB!A$2:A$2576)/(((($D$3&lt;&gt;"YES")+($D$3="YES")*(DB!E$2:E$2576="YES"))*(($D$4="")+($D$4&lt;&gt;"")*ISNUMBER(SEARCH($D$4,DB!G$2:G$2576)))*(($D$5="")+($D$5&lt;&gt;"")*(DB!B$2:B$2576=$D$5))*(($D$6="")+($D$6&lt;&gt;"")*(DB!C$2:C$2576=$D$6))*(($D$7="")+($D$7&lt;&gt;"")*(DB!D$2:D$2576=$D$7))*(($F$4="전체")+($F$4&lt;&gt;"전체")*(DB!H$2:H$2576=$F$4)))),ROW()-16)-1,"")</f>
        <v>880</v>
      </c>
      <c r="U119" s="104" t="str" cm="1">
        <f t="array" ref="U119">IFERROR(INDEX(DB!B$2:B$2576,T119),"")</f>
        <v>4. 마감공사</v>
      </c>
      <c r="V119" s="105" t="str" cm="1">
        <f t="array" ref="V119">IFERROR(INDEX(DB!O$2:O$2576,T119),"")</f>
        <v>떨어짐</v>
      </c>
      <c r="W119" s="106">
        <f t="shared" si="4"/>
        <v>17887.102999999999</v>
      </c>
      <c r="X119" s="149">
        <f t="shared" si="5"/>
        <v>880</v>
      </c>
      <c r="AB119" s="151"/>
      <c r="AC119" s="131"/>
      <c r="AE119" s="130"/>
      <c r="AF119" s="136"/>
      <c r="AH119" s="65"/>
      <c r="AI119" s="65"/>
      <c r="AJ119" s="65"/>
      <c r="AK119" s="65"/>
      <c r="AL119" s="65"/>
      <c r="AM119" s="65"/>
      <c r="AN119" s="65"/>
      <c r="BB119" s="11"/>
    </row>
    <row r="120" spans="1:54" ht="90" customHeight="1">
      <c r="A120" s="26"/>
      <c r="B120" s="73">
        <f t="shared" si="3"/>
        <v>104</v>
      </c>
      <c r="C120" s="74"/>
      <c r="D120" s="96" t="str" cm="1">
        <f t="array" ref="D120">IFERROR(INDEX(DB!B$2:B$2576,X120),"")</f>
        <v>4. 마감공사</v>
      </c>
      <c r="E120" s="107"/>
      <c r="F120" s="97" t="str" cm="1">
        <f t="array" ref="F120">IFERROR(INDEX(DB!C$2:C$2576,X120),"")</f>
        <v>4.5 금속 및 잡철물 작업</v>
      </c>
      <c r="G120" s="108"/>
      <c r="H120" s="98" t="str" cm="1">
        <f t="array" ref="H120">IFERROR(INDEX(DB!D$2:D$2576,X120),"")</f>
        <v>4.5.2 금속 및 잡철물 시공</v>
      </c>
      <c r="I120" s="109"/>
      <c r="J120" s="99" t="str" cm="1">
        <f t="array" ref="J120">IFERROR(INDEX(DB!O$2:O$2576,X120),"")</f>
        <v>떨어짐</v>
      </c>
      <c r="K120" s="110"/>
      <c r="L120" s="75" t="str" cm="1">
        <f t="array" ref="L120">IFERROR(INDEX(DB!P$2:P$2576,X120),"")</f>
        <v>2017년 10월경 OO식물원 조성공사 온실 내부에서 재해자가 관람 스카이워크 하지철물 설치 작업 과정에서 철골보 상으로 이동하던 중, 몸의 중심을 잃고 약 6.5M아래 지상 콘크리트 바닥으로 추락</v>
      </c>
      <c r="M120" s="76" t="str" cm="1">
        <f t="array" ref="M120">IFERROR(INDEX(DB!Q$2:Q$2576,X120),"")</f>
        <v>철골보 상부에서 이동하던 중 발을 헛디뎌 바닥으로 추락</v>
      </c>
      <c r="N120" s="77"/>
      <c r="O120" s="78" t="str" cm="1">
        <f t="array" ref="O120">IFERROR(INDEX(DB!R$2:R$2576,X120),"")</f>
        <v>▶ 철골보 상부 등 추락위험이 있는 장소에서 작업 시 작업높이에 적합한 안전한 작업발판(비계, 고소작업대 등)을 설치하여 안전하게 작업
▶ 작업발판을 설치하기 어려운 경우 철골보 하부에 추락방호망을 설치하고 철골보 상부에 안전대 부착설비를 설치하여 안전대를 체결한 후 작업</v>
      </c>
      <c r="P120" s="100"/>
      <c r="Q120" s="102"/>
      <c r="R120" s="150"/>
      <c r="S120" s="43"/>
      <c r="T120" s="66" cm="1">
        <f t="array" ref="T120">IFERROR(_xlfn.AGGREGATE(15,6,ROW(DB!A$2:A$2576)/(((($D$3&lt;&gt;"YES")+($D$3="YES")*(DB!E$2:E$2576="YES"))*(($D$4="")+($D$4&lt;&gt;"")*ISNUMBER(SEARCH($D$4,DB!G$2:G$2576)))*(($D$5="")+($D$5&lt;&gt;"")*(DB!B$2:B$2576=$D$5))*(($D$6="")+($D$6&lt;&gt;"")*(DB!C$2:C$2576=$D$6))*(($D$7="")+($D$7&lt;&gt;"")*(DB!D$2:D$2576=$D$7))*(($F$4="전체")+($F$4&lt;&gt;"전체")*(DB!H$2:H$2576=$F$4)))),ROW()-16)-1,"")</f>
        <v>881</v>
      </c>
      <c r="U120" s="104" t="str" cm="1">
        <f t="array" ref="U120">IFERROR(INDEX(DB!B$2:B$2576,T120),"")</f>
        <v>4. 마감공사</v>
      </c>
      <c r="V120" s="105" t="str" cm="1">
        <f t="array" ref="V120">IFERROR(INDEX(DB!O$2:O$2576,T120),"")</f>
        <v>떨어짐</v>
      </c>
      <c r="W120" s="106">
        <f t="shared" si="4"/>
        <v>17887.103999999999</v>
      </c>
      <c r="X120" s="149">
        <f t="shared" si="5"/>
        <v>881</v>
      </c>
      <c r="AB120" s="151"/>
      <c r="AC120" s="131"/>
      <c r="AE120" s="130"/>
      <c r="AF120" s="136"/>
      <c r="AH120" s="65"/>
      <c r="AI120" s="65"/>
      <c r="AJ120" s="65"/>
      <c r="AK120" s="65"/>
      <c r="AL120" s="65"/>
      <c r="AM120" s="65"/>
      <c r="AN120" s="65"/>
      <c r="BB120" s="11"/>
    </row>
    <row r="121" spans="1:54" ht="90" customHeight="1">
      <c r="A121" s="26"/>
      <c r="B121" s="73">
        <f t="shared" si="3"/>
        <v>105</v>
      </c>
      <c r="C121" s="74"/>
      <c r="D121" s="96" t="str" cm="1">
        <f t="array" ref="D121">IFERROR(INDEX(DB!B$2:B$2576,X121),"")</f>
        <v>4. 마감공사</v>
      </c>
      <c r="E121" s="107"/>
      <c r="F121" s="97" t="str" cm="1">
        <f t="array" ref="F121">IFERROR(INDEX(DB!C$2:C$2576,X121),"")</f>
        <v>4.6 창호 및 유리 작업</v>
      </c>
      <c r="G121" s="108"/>
      <c r="H121" s="98" t="str" cm="1">
        <f t="array" ref="H121">IFERROR(INDEX(DB!D$2:D$2576,X121),"")</f>
        <v>4.6.2 창호 및 유리 설치</v>
      </c>
      <c r="I121" s="109"/>
      <c r="J121" s="99" t="str" cm="1">
        <f t="array" ref="J121">IFERROR(INDEX(DB!O$2:O$2576,X121),"")</f>
        <v>떨어짐</v>
      </c>
      <c r="K121" s="110"/>
      <c r="L121" s="75" t="str" cm="1">
        <f t="array" ref="L121">IFERROR(INDEX(DB!P$2:P$2576,X121),"")</f>
        <v>2020년 7월경 도시환경정비사업 현장에서 재해자가 지하주차장 램프(#3) 지붕 유리설치 공사 중 유리 미설치 구간으로 추락(H≒7.6m)</v>
      </c>
      <c r="M121" s="76" t="str" cm="1">
        <f t="array" ref="M121">IFERROR(INDEX(DB!Q$2:Q$2576,X121),"")</f>
        <v xml:space="preserve">주차장 램프 지붕 상부에서 작업 중 유리가 미설치된 개구부를 인지하지 못하고 발을 헛디뎌 추락 </v>
      </c>
      <c r="N121" s="77"/>
      <c r="O121" s="78" t="str" cm="1">
        <f t="array" ref="O121">IFERROR(INDEX(DB!R$2:R$2576,X121),"")</f>
        <v>▶ 추락할 위험이 있는 개구부에는 안전난간 또는 덮개 등을 충분한 강도를 가진 구조로 튼튼하게 설치
▶ 개구부 덮개를 설치할 경우 뒤집히거나 떨어지지 않도록 견고히 설치하고 개구부임을 표시하는 등 떨어짐 위험을 방지하기 위한 필요한 조치 실시
▶ 추락방지망 또는 안전난간 설치가 어려운 경우, 안전대 부착설비를 설치하고 안전대 체결 후 작업토록 관리감독</v>
      </c>
      <c r="P121" s="100"/>
      <c r="Q121" s="102"/>
      <c r="R121" s="150"/>
      <c r="S121" s="43"/>
      <c r="T121" s="66" cm="1">
        <f t="array" ref="T121">IFERROR(_xlfn.AGGREGATE(15,6,ROW(DB!A$2:A$2576)/(((($D$3&lt;&gt;"YES")+($D$3="YES")*(DB!E$2:E$2576="YES"))*(($D$4="")+($D$4&lt;&gt;"")*ISNUMBER(SEARCH($D$4,DB!G$2:G$2576)))*(($D$5="")+($D$5&lt;&gt;"")*(DB!B$2:B$2576=$D$5))*(($D$6="")+($D$6&lt;&gt;"")*(DB!C$2:C$2576=$D$6))*(($D$7="")+($D$7&lt;&gt;"")*(DB!D$2:D$2576=$D$7))*(($F$4="전체")+($F$4&lt;&gt;"전체")*(DB!H$2:H$2576=$F$4)))),ROW()-16)-1,"")</f>
        <v>885</v>
      </c>
      <c r="U121" s="104" t="str" cm="1">
        <f t="array" ref="U121">IFERROR(INDEX(DB!B$2:B$2576,T121),"")</f>
        <v>4. 마감공사</v>
      </c>
      <c r="V121" s="105" t="str" cm="1">
        <f t="array" ref="V121">IFERROR(INDEX(DB!O$2:O$2576,T121),"")</f>
        <v>떨어짐</v>
      </c>
      <c r="W121" s="106">
        <f t="shared" si="4"/>
        <v>17887.105</v>
      </c>
      <c r="X121" s="149">
        <f t="shared" si="5"/>
        <v>885</v>
      </c>
      <c r="AB121" s="151"/>
      <c r="AC121" s="131"/>
      <c r="AE121" s="130"/>
      <c r="AF121" s="136"/>
      <c r="AH121" s="65"/>
      <c r="AI121" s="65"/>
      <c r="AJ121" s="65"/>
      <c r="AK121" s="65"/>
      <c r="AL121" s="65"/>
      <c r="AM121" s="65"/>
      <c r="AN121" s="65"/>
      <c r="BB121" s="11"/>
    </row>
    <row r="122" spans="1:54" ht="90" customHeight="1">
      <c r="A122" s="26"/>
      <c r="B122" s="73">
        <f t="shared" si="3"/>
        <v>106</v>
      </c>
      <c r="C122" s="74"/>
      <c r="D122" s="96" t="str" cm="1">
        <f t="array" ref="D122">IFERROR(INDEX(DB!B$2:B$2576,X122),"")</f>
        <v>4. 마감공사</v>
      </c>
      <c r="E122" s="107"/>
      <c r="F122" s="97" t="str" cm="1">
        <f t="array" ref="F122">IFERROR(INDEX(DB!C$2:C$2576,X122),"")</f>
        <v>4.7 수장 작업</v>
      </c>
      <c r="G122" s="108"/>
      <c r="H122" s="98" t="str" cm="1">
        <f t="array" ref="H122">IFERROR(INDEX(DB!D$2:D$2576,X122),"")</f>
        <v>4.7.2 수장시공(석고보드, 도배 등)</v>
      </c>
      <c r="I122" s="109"/>
      <c r="J122" s="99" t="str" cm="1">
        <f t="array" ref="J122">IFERROR(INDEX(DB!O$2:O$2576,X122),"")</f>
        <v>떨어짐</v>
      </c>
      <c r="K122" s="110"/>
      <c r="L122" s="75" t="str" cm="1">
        <f t="array" ref="L122">IFERROR(INDEX(DB!P$2:P$2576,X122),"")</f>
        <v>2019년 8월경 OO정비공장 신축공사 현장에서 재해자가 사무동 3층 바닥 슬래브에서 내부칸막이 판넬 지지철물을 기조립된 슬래브 철근에 용접을 하기 위하여 이동 중 철근에 발이 걸려 몸의 중심을 잃고 3층 슬래브 단부로 떨어져 (H=7.2m) 사망</v>
      </c>
      <c r="M122" s="76" t="str" cm="1">
        <f t="array" ref="M122">IFERROR(INDEX(DB!Q$2:Q$2576,X122),"")</f>
        <v>작업을 위해 슬래브 철근 상부로 이동하던 중 철근에 발이 걸려 안전난간이 설치되지 않은 슬래브 단부로 추락</v>
      </c>
      <c r="N122" s="77"/>
      <c r="O122" s="78" t="str" cm="1">
        <f t="array" ref="O122">IFERROR(INDEX(DB!R$2:R$2576,X122),"")</f>
        <v>▶ 철근조립이나 데크플레이트 설치 구간 등 실족위험이 있는 경우 작업장 바닥에 실족방지망 또는 작업발판 및 안전난간 설치
▶ 안전난간 설치 시 지름 2.7cm 이상의 금속제 파이프나 그 이상 강도의 재료 사용하며 구조적으로 가장 취약한 지점에서 가장 취약한 방향으로 작용하는 100kg 이상의 하중에 견딜 수 있는 구조로 설치</v>
      </c>
      <c r="P122" s="100"/>
      <c r="Q122" s="102"/>
      <c r="R122" s="150"/>
      <c r="S122" s="43"/>
      <c r="T122" s="66" cm="1">
        <f t="array" ref="T122">IFERROR(_xlfn.AGGREGATE(15,6,ROW(DB!A$2:A$2576)/(((($D$3&lt;&gt;"YES")+($D$3="YES")*(DB!E$2:E$2576="YES"))*(($D$4="")+($D$4&lt;&gt;"")*ISNUMBER(SEARCH($D$4,DB!G$2:G$2576)))*(($D$5="")+($D$5&lt;&gt;"")*(DB!B$2:B$2576=$D$5))*(($D$6="")+($D$6&lt;&gt;"")*(DB!C$2:C$2576=$D$6))*(($D$7="")+($D$7&lt;&gt;"")*(DB!D$2:D$2576=$D$7))*(($F$4="전체")+($F$4&lt;&gt;"전체")*(DB!H$2:H$2576=$F$4)))),ROW()-16)-1,"")</f>
        <v>891</v>
      </c>
      <c r="U122" s="104" t="str" cm="1">
        <f t="array" ref="U122">IFERROR(INDEX(DB!B$2:B$2576,T122),"")</f>
        <v>4. 마감공사</v>
      </c>
      <c r="V122" s="105" t="str" cm="1">
        <f t="array" ref="V122">IFERROR(INDEX(DB!O$2:O$2576,T122),"")</f>
        <v>떨어짐</v>
      </c>
      <c r="W122" s="106">
        <f t="shared" si="4"/>
        <v>17887.106</v>
      </c>
      <c r="X122" s="149">
        <f t="shared" si="5"/>
        <v>891</v>
      </c>
      <c r="AB122" s="151"/>
      <c r="AC122" s="131"/>
      <c r="AE122" s="130"/>
      <c r="AF122" s="136"/>
      <c r="AH122" s="65"/>
      <c r="AI122" s="65"/>
      <c r="AJ122" s="65"/>
      <c r="AK122" s="65"/>
      <c r="AL122" s="65"/>
      <c r="AM122" s="65"/>
      <c r="AN122" s="65"/>
      <c r="BB122" s="11"/>
    </row>
    <row r="123" spans="1:54" ht="90" customHeight="1">
      <c r="A123" s="26"/>
      <c r="B123" s="73">
        <f t="shared" si="3"/>
        <v>107</v>
      </c>
      <c r="C123" s="74"/>
      <c r="D123" s="96" t="str" cm="1">
        <f t="array" ref="D123">IFERROR(INDEX(DB!B$2:B$2576,X123),"")</f>
        <v>4. 마감공사</v>
      </c>
      <c r="E123" s="107"/>
      <c r="F123" s="97" t="str" cm="1">
        <f t="array" ref="F123">IFERROR(INDEX(DB!C$2:C$2576,X123),"")</f>
        <v>4.8 판넬 등 외부마감 작업</v>
      </c>
      <c r="G123" s="108"/>
      <c r="H123" s="98" t="str" cm="1">
        <f t="array" ref="H123">IFERROR(INDEX(DB!D$2:D$2576,X123),"")</f>
        <v>4.8.1 판넬 등 외부마감 자재반입</v>
      </c>
      <c r="I123" s="109"/>
      <c r="J123" s="99" t="str" cm="1">
        <f t="array" ref="J123">IFERROR(INDEX(DB!O$2:O$2576,X123),"")</f>
        <v>떨어짐</v>
      </c>
      <c r="K123" s="110"/>
      <c r="L123" s="75" t="str" cm="1">
        <f t="array" ref="L123">IFERROR(INDEX(DB!P$2:P$2576,X123),"")</f>
        <v>2020년 10월경 OO(주)이 시공하는 OO창고 신축공사 현장에서 재해자(판넬공)가 철골 지붕으로 운반된 판넬 다발의 인양기구(판넬 지지대 및 슬링벨트)를 풀기 위해 퍼린(purlin) 위에서 작업(또는 이동) 중 실족하여 지상 1층 콘크리트 바닥으로 떨어져(높이 약 14.9m) 사망</v>
      </c>
      <c r="M123" s="76" t="str" cm="1">
        <f t="array" ref="M123">IFERROR(INDEX(DB!Q$2:Q$2576,X123),"")</f>
        <v>철골구조물 상부에서 양중물 줄걸이 해체작업 중 발을 헛디뎌 추락</v>
      </c>
      <c r="N123" s="77"/>
      <c r="O123" s="78" t="str" cm="1">
        <f t="array" ref="O123">IFERROR(INDEX(DB!R$2:R$2576,X123),"")</f>
        <v>▶ 철골 구조물 상부에서 자재 인양, 이동, 설치 등 추락할 위험이 있는 작업 전 전 구간에 걸쳐 추락방지망, 안전대 부착설비 설치 등의 안전방호조치를 실시
▶ 철골 지붕 위에서 패널 등 마감재을 판개하는 등 추락할 위험이 있는 작업 시, 안전대 부착설비는 철골 거더 방향 뿐만 아니라 퍼린방향으로도 설치하여 전 작업범위에서 안전대를 체결할 수 있도록 조치
▶ 지붕재 등 마감재의의 해체 또는 설치 작업 시 고소작업대, 타워형 계단 등을 사용하여 철골 구조물 위에서의 작업을 최소화할 수 있는 작업 방법을 검토
▶ 지붕 위에서 지붕재의 해체 또는 설치 작업 시, 지붕 단부에서 작업하는 경우, 건물 외부에 쌍줄비계를 설치하고 안전난간대, 작업발판을 마련하여 작업자의 추락을 방지
▶ 외부의 패널 설치 작업 시, 고정볼트 조임자리가 높아서 작업이 어려울 경우, 안전대 죔줄을 풀고 이동하는 등 불안전한 작업행위를 금지하며 고소작업대를 타고 상승한 후 작업 재개
▶ 고소작업대를 벗어나 안전대 체결 없이 작업하는 행위를 금지
▶ 지붕 위에서 지붕재의 해체 또는 설치 작업 전 기후 상황에 따른 작업 중단 여부를 일일 검토하고, 노후화된 마감재의 경우 미끄러짐 우려가 있으므로 논슬립 안전화를 착용하도록 조치
▶ 작업자의 개인보호구 착용, 안전대 체결여부 점검 및 관리감독</v>
      </c>
      <c r="P123" s="100"/>
      <c r="Q123" s="102"/>
      <c r="R123" s="150"/>
      <c r="S123" s="43"/>
      <c r="T123" s="66" cm="1">
        <f t="array" ref="T123">IFERROR(_xlfn.AGGREGATE(15,6,ROW(DB!A$2:A$2576)/(((($D$3&lt;&gt;"YES")+($D$3="YES")*(DB!E$2:E$2576="YES"))*(($D$4="")+($D$4&lt;&gt;"")*ISNUMBER(SEARCH($D$4,DB!G$2:G$2576)))*(($D$5="")+($D$5&lt;&gt;"")*(DB!B$2:B$2576=$D$5))*(($D$6="")+($D$6&lt;&gt;"")*(DB!C$2:C$2576=$D$6))*(($D$7="")+($D$7&lt;&gt;"")*(DB!D$2:D$2576=$D$7))*(($F$4="전체")+($F$4&lt;&gt;"전체")*(DB!H$2:H$2576=$F$4)))),ROW()-16)-1,"")</f>
        <v>893</v>
      </c>
      <c r="U123" s="104" t="str" cm="1">
        <f t="array" ref="U123">IFERROR(INDEX(DB!B$2:B$2576,T123),"")</f>
        <v>4. 마감공사</v>
      </c>
      <c r="V123" s="105" t="str" cm="1">
        <f t="array" ref="V123">IFERROR(INDEX(DB!O$2:O$2576,T123),"")</f>
        <v>떨어짐</v>
      </c>
      <c r="W123" s="106">
        <f t="shared" si="4"/>
        <v>17887.107</v>
      </c>
      <c r="X123" s="149">
        <f t="shared" si="5"/>
        <v>893</v>
      </c>
      <c r="AB123" s="151"/>
      <c r="AC123" s="131"/>
      <c r="AE123" s="130"/>
      <c r="AF123" s="136"/>
      <c r="AH123" s="65"/>
      <c r="AI123" s="65"/>
      <c r="AJ123" s="65"/>
      <c r="AK123" s="65"/>
      <c r="AL123" s="65"/>
      <c r="AM123" s="65"/>
      <c r="AN123" s="65"/>
      <c r="BB123" s="11"/>
    </row>
    <row r="124" spans="1:54" ht="90" customHeight="1">
      <c r="A124" s="26"/>
      <c r="B124" s="73">
        <f t="shared" si="3"/>
        <v>108</v>
      </c>
      <c r="C124" s="74"/>
      <c r="D124" s="96" t="str" cm="1">
        <f t="array" ref="D124">IFERROR(INDEX(DB!B$2:B$2576,X124),"")</f>
        <v>4. 마감공사</v>
      </c>
      <c r="E124" s="107"/>
      <c r="F124" s="97" t="str" cm="1">
        <f t="array" ref="F124">IFERROR(INDEX(DB!C$2:C$2576,X124),"")</f>
        <v>4.8 판넬 등 외부마감 작업</v>
      </c>
      <c r="G124" s="108"/>
      <c r="H124" s="98" t="str" cm="1">
        <f t="array" ref="H124">IFERROR(INDEX(DB!D$2:D$2576,X124),"")</f>
        <v>4.8.2 판넬 등 외부마감 시공</v>
      </c>
      <c r="I124" s="109"/>
      <c r="J124" s="99" t="str" cm="1">
        <f t="array" ref="J124">IFERROR(INDEX(DB!O$2:O$2576,X124),"")</f>
        <v>떨어짐</v>
      </c>
      <c r="K124" s="110"/>
      <c r="L124" s="75" t="str" cm="1">
        <f t="array" ref="L124">IFERROR(INDEX(DB!P$2:P$2576,X124),"")</f>
        <v>2016년 4월경 OO공사에서 재해자가 철골 트러스 위에서 패널 조립작업중 몸의 중심을 잃고 높이 약 9.7m 1층 콘크리트 바닥으로 추락하여 사망</v>
      </c>
      <c r="M124" s="76" t="str" cm="1">
        <f t="array" ref="M124">IFERROR(INDEX(DB!Q$2:Q$2576,X124),"")</f>
        <v>철골 구조물 위에서 작업하던 중 발을 헛디뎌 바닥으로 추락</v>
      </c>
      <c r="N124" s="77"/>
      <c r="O124" s="78" t="str" cm="1">
        <f t="array" ref="O124">IFERROR(INDEX(DB!R$2:R$2576,X124),"")</f>
        <v>▶ 철골 구조물 상부에서 자재 인양, 이동, 설치 등 추락할 위험이 있는 작업 전 전 구간에 걸쳐 추락방지망, 안전대 부착설비 설치 등의 안전방호조치를 실시
▶ 철골 지붕 위에서 패널 등 마감재을 판개하는 등 추락할 위험이 있는 작업 시, 안전대 부착설비는 철골 거더 방향 뿐만 아니라 퍼린방향으로도 설치하여 전 작업범위에서 안전대를 체결할 수 있도록 조치
▶ 지붕재 등 마감재의의 해체 또는 설치 작업 시 고소작업대, 타워형 계단 등을 사용하여 철골 구조물 위에서의 작업을 최소화할 수 있는 작업 방법을 검토
▶ 지붕 위에서 지붕재의 해체 또는 설치 작업 시, 지붕 단부에서 작업하는 경우, 건물 외부에 쌍줄비계를 설치하고 안전난간대, 작업발판을 마련하여 작업자의 추락을 방지
▶ 외부의 패널 설치 작업 시, 고정볼트 조임자리가 높아서 작업이 어려울 경우, 안전대 죔줄을 풀고 이동하는 등 불안전한 작업행위를 금지하며 고소작업대를 타고 상승한 후 작업 재개
▶ 고소작업대를 벗어나 안전대 체결 없이 작업하는 행위를 금지
▶ 지붕 위에서 지붕재의 해체 또는 설치 작업 전 기후 상황에 따른 작업 중단 여부를 일일 검토하고, 노후화된 마감재의 경우 미끄러짐 우려가 있으므로 논슬립 안전화를 착용하도록 조치
▶ 작업자의 개인보호구 착용, 안전대 체결여부 점검 및 관리감독</v>
      </c>
      <c r="P124" s="100"/>
      <c r="Q124" s="102"/>
      <c r="R124" s="150"/>
      <c r="S124" s="43"/>
      <c r="T124" s="66" cm="1">
        <f t="array" ref="T124">IFERROR(_xlfn.AGGREGATE(15,6,ROW(DB!A$2:A$2576)/(((($D$3&lt;&gt;"YES")+($D$3="YES")*(DB!E$2:E$2576="YES"))*(($D$4="")+($D$4&lt;&gt;"")*ISNUMBER(SEARCH($D$4,DB!G$2:G$2576)))*(($D$5="")+($D$5&lt;&gt;"")*(DB!B$2:B$2576=$D$5))*(($D$6="")+($D$6&lt;&gt;"")*(DB!C$2:C$2576=$D$6))*(($D$7="")+($D$7&lt;&gt;"")*(DB!D$2:D$2576=$D$7))*(($F$4="전체")+($F$4&lt;&gt;"전체")*(DB!H$2:H$2576=$F$4)))),ROW()-16)-1,"")</f>
        <v>894</v>
      </c>
      <c r="U124" s="104" t="str" cm="1">
        <f t="array" ref="U124">IFERROR(INDEX(DB!B$2:B$2576,T124),"")</f>
        <v>4. 마감공사</v>
      </c>
      <c r="V124" s="105" t="str" cm="1">
        <f t="array" ref="V124">IFERROR(INDEX(DB!O$2:O$2576,T124),"")</f>
        <v>떨어짐</v>
      </c>
      <c r="W124" s="106">
        <f t="shared" si="4"/>
        <v>17887.108</v>
      </c>
      <c r="X124" s="149">
        <f t="shared" si="5"/>
        <v>894</v>
      </c>
      <c r="AB124" s="151"/>
      <c r="AC124" s="131"/>
      <c r="AE124" s="130"/>
      <c r="AF124" s="136"/>
      <c r="AH124" s="65"/>
      <c r="AI124" s="65"/>
      <c r="AJ124" s="65"/>
      <c r="AK124" s="65"/>
      <c r="AL124" s="65"/>
      <c r="AM124" s="65"/>
      <c r="AN124" s="65"/>
      <c r="BB124" s="11"/>
    </row>
    <row r="125" spans="1:54" ht="90" customHeight="1">
      <c r="A125" s="26"/>
      <c r="B125" s="73">
        <f t="shared" si="3"/>
        <v>109</v>
      </c>
      <c r="C125" s="74"/>
      <c r="D125" s="96" t="str" cm="1">
        <f t="array" ref="D125">IFERROR(INDEX(DB!B$2:B$2576,X125),"")</f>
        <v>4. 마감공사</v>
      </c>
      <c r="E125" s="107"/>
      <c r="F125" s="97" t="str" cm="1">
        <f t="array" ref="F125">IFERROR(INDEX(DB!C$2:C$2576,X125),"")</f>
        <v>4.8 판넬 등 외부마감 작업</v>
      </c>
      <c r="G125" s="108"/>
      <c r="H125" s="98" t="str" cm="1">
        <f t="array" ref="H125">IFERROR(INDEX(DB!D$2:D$2576,X125),"")</f>
        <v>4.8.2 판넬 등 외부마감 시공</v>
      </c>
      <c r="I125" s="109"/>
      <c r="J125" s="99" t="str" cm="1">
        <f t="array" ref="J125">IFERROR(INDEX(DB!O$2:O$2576,X125),"")</f>
        <v>떨어짐</v>
      </c>
      <c r="K125" s="110"/>
      <c r="L125" s="75" t="str" cm="1">
        <f t="array" ref="L125">IFERROR(INDEX(DB!P$2:P$2576,X125),"")</f>
        <v>2016년 7월경 OO공사에서 재해자가 철골 구조물 위에서 하지철물에 판넬(칼라시트)을 설치하던 중  안전대 고리를 풀고 옆으로 이동하던 순간 몸의 중심을 잃고 지상으로 추락하여(H≒15m) 사망</v>
      </c>
      <c r="M125" s="76" t="str" cm="1">
        <f t="array" ref="M125">IFERROR(INDEX(DB!Q$2:Q$2576,X125),"")</f>
        <v>철골 구조물 위에서 이동하던 중 발을 헛디뎌 바닥으로 추락</v>
      </c>
      <c r="N125" s="77"/>
      <c r="O125" s="78" t="str" cm="1">
        <f t="array" ref="O125">IFERROR(INDEX(DB!R$2:R$2576,X125),"")</f>
        <v>▶ 철골 구조물 상부에서 자재 인양, 이동, 설치 등 추락할 위험이 있는 작업 전 전 구간에 걸쳐 추락방지망, 안전대 부착설비 설치 등의 안전방호조치를 실시
▶ 철골 지붕 위에서 패널 등 마감재을 판개하는 등 추락할 위험이 있는 작업 시, 안전대 부착설비는 철골 거더 방향 뿐만 아니라 퍼린방향으로도 설치하여 전 작업범위에서 안전대를 체결할 수 있도록 조치
▶ 지붕재 등 마감재의의 해체 또는 설치 작업 시 고소작업대, 타워형 계단 등을 사용하여 철골 구조물 위에서의 작업을 최소화할 수 있는 작업 방법을 검토
▶ 지붕 위에서 지붕재의 해체 또는 설치 작업 시, 지붕 단부에서 작업하는 경우, 건물 외부에 쌍줄비계를 설치하고 안전난간대, 작업발판을 마련하여 작업자의 추락을 방지
▶ 외부의 패널 설치 작업 시, 고정볼트 조임자리가 높아서 작업이 어려울 경우, 안전대 죔줄을 풀고 이동하는 등 불안전한 작업행위를 금지하며 고소작업대를 타고 상승한 후 작업 재개
▶ 고소작업대를 벗어나 안전대 체결 없이 작업하는 행위를 금지
▶ 지붕 위에서 지붕재의 해체 또는 설치 작업 전 기후 상황에 따른 작업 중단 여부를 일일 검토하고, 노후화된 마감재의 경우 미끄러짐 우려가 있으므로 논슬립 안전화를 착용하도록 조치
▶ 작업자의 개인보호구 착용, 안전대 체결여부 점검 및 관리감독</v>
      </c>
      <c r="P125" s="100"/>
      <c r="Q125" s="102"/>
      <c r="R125" s="150"/>
      <c r="S125" s="43"/>
      <c r="T125" s="66" cm="1">
        <f t="array" ref="T125">IFERROR(_xlfn.AGGREGATE(15,6,ROW(DB!A$2:A$2576)/(((($D$3&lt;&gt;"YES")+($D$3="YES")*(DB!E$2:E$2576="YES"))*(($D$4="")+($D$4&lt;&gt;"")*ISNUMBER(SEARCH($D$4,DB!G$2:G$2576)))*(($D$5="")+($D$5&lt;&gt;"")*(DB!B$2:B$2576=$D$5))*(($D$6="")+($D$6&lt;&gt;"")*(DB!C$2:C$2576=$D$6))*(($D$7="")+($D$7&lt;&gt;"")*(DB!D$2:D$2576=$D$7))*(($F$4="전체")+($F$4&lt;&gt;"전체")*(DB!H$2:H$2576=$F$4)))),ROW()-16)-1,"")</f>
        <v>896</v>
      </c>
      <c r="U125" s="104" t="str" cm="1">
        <f t="array" ref="U125">IFERROR(INDEX(DB!B$2:B$2576,T125),"")</f>
        <v>4. 마감공사</v>
      </c>
      <c r="V125" s="105" t="str" cm="1">
        <f t="array" ref="V125">IFERROR(INDEX(DB!O$2:O$2576,T125),"")</f>
        <v>떨어짐</v>
      </c>
      <c r="W125" s="106">
        <f t="shared" si="4"/>
        <v>17887.109</v>
      </c>
      <c r="X125" s="149">
        <f t="shared" si="5"/>
        <v>896</v>
      </c>
      <c r="AB125" s="151"/>
      <c r="AC125" s="131"/>
      <c r="AE125" s="130"/>
      <c r="AF125" s="136"/>
      <c r="AH125" s="65"/>
      <c r="AI125" s="65"/>
      <c r="AJ125" s="65"/>
      <c r="AK125" s="65"/>
      <c r="AL125" s="65"/>
      <c r="AM125" s="65"/>
      <c r="AN125" s="65"/>
      <c r="BB125" s="11"/>
    </row>
    <row r="126" spans="1:54" ht="90" customHeight="1">
      <c r="A126" s="26"/>
      <c r="B126" s="73">
        <f t="shared" si="3"/>
        <v>110</v>
      </c>
      <c r="C126" s="74"/>
      <c r="D126" s="96" t="str" cm="1">
        <f t="array" ref="D126">IFERROR(INDEX(DB!B$2:B$2576,X126),"")</f>
        <v>4. 마감공사</v>
      </c>
      <c r="E126" s="107"/>
      <c r="F126" s="97" t="str" cm="1">
        <f t="array" ref="F126">IFERROR(INDEX(DB!C$2:C$2576,X126),"")</f>
        <v>4.8 판넬 등 외부마감 작업</v>
      </c>
      <c r="G126" s="108"/>
      <c r="H126" s="98" t="str" cm="1">
        <f t="array" ref="H126">IFERROR(INDEX(DB!D$2:D$2576,X126),"")</f>
        <v>4.8.2 판넬 등 외부마감 시공</v>
      </c>
      <c r="I126" s="109"/>
      <c r="J126" s="99" t="str" cm="1">
        <f t="array" ref="J126">IFERROR(INDEX(DB!O$2:O$2576,X126),"")</f>
        <v>떨어짐</v>
      </c>
      <c r="K126" s="110"/>
      <c r="L126" s="75" t="str" cm="1">
        <f t="array" ref="L126">IFERROR(INDEX(DB!P$2:P$2576,X126),"")</f>
        <v>2016년 12월경 OO공사에서 재해자가 철골 트러스 위에서 벽체 샌드위치 패널(1,000×7,500×125, 45kg)을 로프에 묶어 올리던 중 지상바닥으로 추락하여 사망</v>
      </c>
      <c r="M126" s="76" t="str" cm="1">
        <f t="array" ref="M126">IFERROR(INDEX(DB!Q$2:Q$2576,X126),"")</f>
        <v>철골 구조물 위에서 자재 운반 중 발을 헛디뎌 바닥으로 추락</v>
      </c>
      <c r="N126" s="77"/>
      <c r="O126" s="78" t="str" cm="1">
        <f t="array" ref="O126">IFERROR(INDEX(DB!R$2:R$2576,X126),"")</f>
        <v>▶ 철골 구조물 상부에서 자재 인양, 이동, 설치 등 추락할 위험이 있는 작업 전 전 구간에 걸쳐 추락방지망, 안전대 부착설비 설치 등의 안전방호조치를 실시
▶ 철골 지붕 위에서 패널 등 마감재을 판개하는 등 추락할 위험이 있는 작업 시, 안전대 부착설비는 철골 거더 방향 뿐만 아니라 퍼린방향으로도 설치하여 전 작업범위에서 안전대를 체결할 수 있도록 조치
▶ 지붕재 등 마감재의의 해체 또는 설치 작업 시 고소작업대, 타워형 계단 등을 사용하여 철골 구조물 위에서의 작업을 최소화할 수 있는 작업 방법을 검토
▶ 지붕 위에서 지붕재의 해체 또는 설치 작업 시, 지붕 단부에서 작업하는 경우, 건물 외부에 쌍줄비계를 설치하고 안전난간대, 작업발판을 마련하여 작업자의 추락을 방지
▶ 외부의 패널 설치 작업 시, 고정볼트 조임자리가 높아서 작업이 어려울 경우, 안전대 죔줄을 풀고 이동하는 등 불안전한 작업행위를 금지하며 고소작업대를 타고 상승한 후 작업 재개
▶ 고소작업대를 벗어나 안전대 체결 없이 작업하는 행위를 금지
▶ 지붕 위에서 지붕재의 해체 또는 설치 작업 전 기후 상황에 따른 작업 중단 여부를 일일 검토하고, 노후화된 마감재의 경우 미끄러짐 우려가 있으므로 논슬립 안전화를 착용하도록 조치
▶ 작업자의 개인보호구 착용, 안전대 체결여부 점검 및 관리감독</v>
      </c>
      <c r="P126" s="100"/>
      <c r="Q126" s="102"/>
      <c r="R126" s="150"/>
      <c r="S126" s="43"/>
      <c r="T126" s="66" cm="1">
        <f t="array" ref="T126">IFERROR(_xlfn.AGGREGATE(15,6,ROW(DB!A$2:A$2576)/(((($D$3&lt;&gt;"YES")+($D$3="YES")*(DB!E$2:E$2576="YES"))*(($D$4="")+($D$4&lt;&gt;"")*ISNUMBER(SEARCH($D$4,DB!G$2:G$2576)))*(($D$5="")+($D$5&lt;&gt;"")*(DB!B$2:B$2576=$D$5))*(($D$6="")+($D$6&lt;&gt;"")*(DB!C$2:C$2576=$D$6))*(($D$7="")+($D$7&lt;&gt;"")*(DB!D$2:D$2576=$D$7))*(($F$4="전체")+($F$4&lt;&gt;"전체")*(DB!H$2:H$2576=$F$4)))),ROW()-16)-1,"")</f>
        <v>897</v>
      </c>
      <c r="U126" s="104" t="str" cm="1">
        <f t="array" ref="U126">IFERROR(INDEX(DB!B$2:B$2576,T126),"")</f>
        <v>4. 마감공사</v>
      </c>
      <c r="V126" s="105" t="str" cm="1">
        <f t="array" ref="V126">IFERROR(INDEX(DB!O$2:O$2576,T126),"")</f>
        <v>떨어짐</v>
      </c>
      <c r="W126" s="106">
        <f t="shared" si="4"/>
        <v>17887.11</v>
      </c>
      <c r="X126" s="149">
        <f t="shared" si="5"/>
        <v>897</v>
      </c>
      <c r="AB126" s="151"/>
      <c r="AC126" s="131"/>
      <c r="AE126" s="130"/>
      <c r="AF126" s="136"/>
      <c r="AH126" s="65"/>
      <c r="AI126" s="65"/>
      <c r="AJ126" s="65"/>
      <c r="AK126" s="65"/>
      <c r="AL126" s="65"/>
      <c r="AM126" s="65"/>
      <c r="AN126" s="65"/>
      <c r="BB126" s="11"/>
    </row>
    <row r="127" spans="1:54" ht="90" customHeight="1">
      <c r="A127" s="26"/>
      <c r="B127" s="73">
        <f t="shared" si="3"/>
        <v>111</v>
      </c>
      <c r="C127" s="74"/>
      <c r="D127" s="96" t="str" cm="1">
        <f t="array" ref="D127">IFERROR(INDEX(DB!B$2:B$2576,X127),"")</f>
        <v>4. 마감공사</v>
      </c>
      <c r="E127" s="107"/>
      <c r="F127" s="97" t="str" cm="1">
        <f t="array" ref="F127">IFERROR(INDEX(DB!C$2:C$2576,X127),"")</f>
        <v>4.8 판넬 등 외부마감 작업</v>
      </c>
      <c r="G127" s="108"/>
      <c r="H127" s="98" t="str" cm="1">
        <f t="array" ref="H127">IFERROR(INDEX(DB!D$2:D$2576,X127),"")</f>
        <v>4.8.2 판넬 등 외부마감 시공</v>
      </c>
      <c r="I127" s="109"/>
      <c r="J127" s="99" t="str" cm="1">
        <f t="array" ref="J127">IFERROR(INDEX(DB!O$2:O$2576,X127),"")</f>
        <v>떨어짐</v>
      </c>
      <c r="K127" s="110"/>
      <c r="L127" s="75" t="str" cm="1">
        <f t="array" ref="L127">IFERROR(INDEX(DB!P$2:P$2576,X127),"")</f>
        <v>2018년 7월경 OO공사에서 재해자가 지하주차장 램프 출입구 캐노피 위에서 지붕자재(폴리카보네이트)설치 작업 중 몸의 중심을 잃고 약 3.9m 아래 콘크리트 바닥으로 추락하여 사망</v>
      </c>
      <c r="M127" s="76" t="str" cm="1">
        <f t="array" ref="M127">IFERROR(INDEX(DB!Q$2:Q$2576,X127),"")</f>
        <v xml:space="preserve">주차장 램프 지붕에서 작업 중 발을 헛디뎌 지붕단부로 추락 </v>
      </c>
      <c r="N127" s="77"/>
      <c r="O127" s="78" t="str" cm="1">
        <f t="array" ref="O127">IFERROR(INDEX(DB!R$2:R$2576,X127),"")</f>
        <v>▶ 철골 구조물 상부에서 자재 인양, 이동, 설치 등 추락할 위험이 있는 작업 전 전 구간에 걸쳐 추락방지망, 안전대 부착설비 설치 등의 안전방호조치를 실시
▶ 철골 지붕 위에서 패널 등 마감재을 판개하는 등 추락할 위험이 있는 작업 시, 안전대 부착설비는 철골 거더 방향 뿐만 아니라 퍼린방향으로도 설치하여 전 작업범위에서 안전대를 체결할 수 있도록 조치
▶ 지붕재 등 마감재의의 해체 또는 설치 작업 시 고소작업대, 타워형 계단 등을 사용하여 철골 구조물 위에서의 작업을 최소화할 수 있는 작업 방법을 검토
▶ 지붕 위에서 지붕재의 해체 또는 설치 작업 시, 지붕 단부에서 작업하는 경우, 건물 외부에 쌍줄비계를 설치하고 안전난간대, 작업발판을 마련하여 작업자의 추락을 방지
▶ 외부의 패널 설치 작업 시, 고정볼트 조임자리가 높아서 작업이 어려울 경우, 안전대 죔줄을 풀고 이동하는 등 불안전한 작업행위를 금지하며 고소작업대를 타고 상승한 후 작업 재개
▶ 고소작업대를 벗어나 안전대 체결 없이 작업하는 행위를 금지
▶ 지붕 위에서 지붕재의 해체 또는 설치 작업 전 기후 상황에 따른 작업 중단 여부를 일일 검토하고, 노후화된 마감재의 경우 미끄러짐 우려가 있으므로 논슬립 안전화를 착용하도록 조치
▶ 작업자의 개인보호구 착용, 안전대 체결여부 점검 및 관리감독</v>
      </c>
      <c r="P127" s="100"/>
      <c r="Q127" s="102"/>
      <c r="R127" s="150"/>
      <c r="S127" s="43"/>
      <c r="T127" s="66" cm="1">
        <f t="array" ref="T127">IFERROR(_xlfn.AGGREGATE(15,6,ROW(DB!A$2:A$2576)/(((($D$3&lt;&gt;"YES")+($D$3="YES")*(DB!E$2:E$2576="YES"))*(($D$4="")+($D$4&lt;&gt;"")*ISNUMBER(SEARCH($D$4,DB!G$2:G$2576)))*(($D$5="")+($D$5&lt;&gt;"")*(DB!B$2:B$2576=$D$5))*(($D$6="")+($D$6&lt;&gt;"")*(DB!C$2:C$2576=$D$6))*(($D$7="")+($D$7&lt;&gt;"")*(DB!D$2:D$2576=$D$7))*(($F$4="전체")+($F$4&lt;&gt;"전체")*(DB!H$2:H$2576=$F$4)))),ROW()-16)-1,"")</f>
        <v>901</v>
      </c>
      <c r="U127" s="104" t="str" cm="1">
        <f t="array" ref="U127">IFERROR(INDEX(DB!B$2:B$2576,T127),"")</f>
        <v>4. 마감공사</v>
      </c>
      <c r="V127" s="105" t="str" cm="1">
        <f t="array" ref="V127">IFERROR(INDEX(DB!O$2:O$2576,T127),"")</f>
        <v>떨어짐</v>
      </c>
      <c r="W127" s="106">
        <f t="shared" si="4"/>
        <v>17887.111000000001</v>
      </c>
      <c r="X127" s="149">
        <f t="shared" si="5"/>
        <v>901</v>
      </c>
      <c r="AB127" s="151"/>
      <c r="AC127" s="131"/>
      <c r="AE127" s="130"/>
      <c r="AF127" s="136"/>
      <c r="AH127" s="65"/>
      <c r="AI127" s="65"/>
      <c r="AJ127" s="65"/>
      <c r="AK127" s="65"/>
      <c r="AL127" s="65"/>
      <c r="AM127" s="65"/>
      <c r="AN127" s="65"/>
      <c r="BB127" s="11"/>
    </row>
    <row r="128" spans="1:54" ht="90" customHeight="1">
      <c r="A128" s="26"/>
      <c r="B128" s="73">
        <f t="shared" si="3"/>
        <v>112</v>
      </c>
      <c r="C128" s="74"/>
      <c r="D128" s="96" t="str" cm="1">
        <f t="array" ref="D128">IFERROR(INDEX(DB!B$2:B$2576,X128),"")</f>
        <v>4. 마감공사</v>
      </c>
      <c r="E128" s="107"/>
      <c r="F128" s="97" t="str" cm="1">
        <f t="array" ref="F128">IFERROR(INDEX(DB!C$2:C$2576,X128),"")</f>
        <v>4.8 판넬 등 외부마감 작업</v>
      </c>
      <c r="G128" s="108"/>
      <c r="H128" s="98" t="str" cm="1">
        <f t="array" ref="H128">IFERROR(INDEX(DB!D$2:D$2576,X128),"")</f>
        <v>4.8.2 판넬 등 외부마감 시공</v>
      </c>
      <c r="I128" s="109"/>
      <c r="J128" s="99" t="str" cm="1">
        <f t="array" ref="J128">IFERROR(INDEX(DB!O$2:O$2576,X128),"")</f>
        <v>떨어짐</v>
      </c>
      <c r="K128" s="110"/>
      <c r="L128" s="75" t="str" cm="1">
        <f t="array" ref="L128">IFERROR(INDEX(DB!P$2:P$2576,X128),"")</f>
        <v>2018년 12월경 OO공사에서 재해자가 철골구조룸 위에서 빗물받이 구조물을 설치하기 위해 이동하던 중 바닥으로 추락하여(H≒6.9m) 사망</v>
      </c>
      <c r="M128" s="76" t="str" cm="1">
        <f t="array" ref="M128">IFERROR(INDEX(DB!Q$2:Q$2576,X128),"")</f>
        <v>철골 구조물 위에서 이동하던 중 발을 헛디뎌 바닥으로 추락</v>
      </c>
      <c r="N128" s="77"/>
      <c r="O128" s="78" t="str" cm="1">
        <f t="array" ref="O128">IFERROR(INDEX(DB!R$2:R$2576,X128),"")</f>
        <v>▶ 철골 구조물 상부에서 자재 인양, 이동, 설치 등 추락할 위험이 있는 작업 전 전 구간에 걸쳐 추락방지망, 안전대 부착설비 설치 등의 안전방호조치를 실시
▶ 철골 지붕 위에서 패널 등 마감재을 판개하는 등 추락할 위험이 있는 작업 시, 안전대 부착설비는 철골 거더 방향 뿐만 아니라 퍼린방향으로도 설치하여 전 작업범위에서 안전대를 체결할 수 있도록 조치
▶ 지붕재 등 마감재의의 해체 또는 설치 작업 시 고소작업대, 타워형 계단 등을 사용하여 철골 구조물 위에서의 작업을 최소화할 수 있는 작업 방법을 검토
▶ 지붕 위에서 지붕재의 해체 또는 설치 작업 시, 지붕 단부에서 작업하는 경우, 건물 외부에 쌍줄비계를 설치하고 안전난간대, 작업발판을 마련하여 작업자의 추락을 방지
▶ 외부의 패널 설치 작업 시, 고정볼트 조임자리가 높아서 작업이 어려울 경우, 안전대 죔줄을 풀고 이동하는 등 불안전한 작업행위를 금지하며 고소작업대를 타고 상승한 후 작업 재개
▶ 고소작업대를 벗어나 안전대 체결 없이 작업하는 행위를 금지
▶ 지붕 위에서 지붕재의 해체 또는 설치 작업 전 기후 상황에 따른 작업 중단 여부를 일일 검토하고, 노후화된 마감재의 경우 미끄러짐 우려가 있으므로 논슬립 안전화를 착용하도록 조치
▶ 작업자의 개인보호구 착용, 안전대 체결여부 점검 및 관리감독</v>
      </c>
      <c r="P128" s="100"/>
      <c r="Q128" s="102"/>
      <c r="R128" s="150"/>
      <c r="S128" s="43"/>
      <c r="T128" s="66" cm="1">
        <f t="array" ref="T128">IFERROR(_xlfn.AGGREGATE(15,6,ROW(DB!A$2:A$2576)/(((($D$3&lt;&gt;"YES")+($D$3="YES")*(DB!E$2:E$2576="YES"))*(($D$4="")+($D$4&lt;&gt;"")*ISNUMBER(SEARCH($D$4,DB!G$2:G$2576)))*(($D$5="")+($D$5&lt;&gt;"")*(DB!B$2:B$2576=$D$5))*(($D$6="")+($D$6&lt;&gt;"")*(DB!C$2:C$2576=$D$6))*(($D$7="")+($D$7&lt;&gt;"")*(DB!D$2:D$2576=$D$7))*(($F$4="전체")+($F$4&lt;&gt;"전체")*(DB!H$2:H$2576=$F$4)))),ROW()-16)-1,"")</f>
        <v>903</v>
      </c>
      <c r="U128" s="104" t="str" cm="1">
        <f t="array" ref="U128">IFERROR(INDEX(DB!B$2:B$2576,T128),"")</f>
        <v>4. 마감공사</v>
      </c>
      <c r="V128" s="105" t="str" cm="1">
        <f t="array" ref="V128">IFERROR(INDEX(DB!O$2:O$2576,T128),"")</f>
        <v>떨어짐</v>
      </c>
      <c r="W128" s="106">
        <f t="shared" si="4"/>
        <v>17887.112000000001</v>
      </c>
      <c r="X128" s="149">
        <f t="shared" si="5"/>
        <v>903</v>
      </c>
      <c r="AB128" s="151"/>
      <c r="AC128" s="131"/>
      <c r="AE128" s="130"/>
      <c r="AF128" s="136"/>
      <c r="AH128" s="65"/>
      <c r="AI128" s="65"/>
      <c r="AJ128" s="65"/>
      <c r="AK128" s="65"/>
      <c r="AL128" s="65"/>
      <c r="AM128" s="65"/>
      <c r="AN128" s="65"/>
      <c r="BB128" s="11"/>
    </row>
    <row r="129" spans="1:54" ht="90" customHeight="1">
      <c r="A129" s="26"/>
      <c r="B129" s="73">
        <f t="shared" si="3"/>
        <v>113</v>
      </c>
      <c r="C129" s="74"/>
      <c r="D129" s="96" t="str" cm="1">
        <f t="array" ref="D129">IFERROR(INDEX(DB!B$2:B$2576,X129),"")</f>
        <v>4. 마감공사</v>
      </c>
      <c r="E129" s="107"/>
      <c r="F129" s="97" t="str" cm="1">
        <f t="array" ref="F129">IFERROR(INDEX(DB!C$2:C$2576,X129),"")</f>
        <v>4.8 판넬 등 외부마감 작업</v>
      </c>
      <c r="G129" s="108"/>
      <c r="H129" s="98" t="str" cm="1">
        <f t="array" ref="H129">IFERROR(INDEX(DB!D$2:D$2576,X129),"")</f>
        <v>4.8.2 판넬 등 외부마감 시공</v>
      </c>
      <c r="I129" s="109"/>
      <c r="J129" s="99" t="str" cm="1">
        <f t="array" ref="J129">IFERROR(INDEX(DB!O$2:O$2576,X129),"")</f>
        <v>떨어짐</v>
      </c>
      <c r="K129" s="110"/>
      <c r="L129" s="75" t="str" cm="1">
        <f t="array" ref="L129">IFERROR(INDEX(DB!P$2:P$2576,X129),"")</f>
        <v>2019년 12월경 OO공사에서 재해자가 철골구조물 위에서 외벽 패널의 고정볼트 조임작업을 위해 안전대 죔줄(로프)을 푼 상태로 이동하던 중 높이 12m아래 지면으로 추락하여 사망</v>
      </c>
      <c r="M129" s="76" t="str" cm="1">
        <f t="array" ref="M129">IFERROR(INDEX(DB!Q$2:Q$2576,X129),"")</f>
        <v>철골 구조물 위에서 이동하던 중 발을 헛디뎌 바닥으로 추락</v>
      </c>
      <c r="N129" s="77"/>
      <c r="O129" s="78" t="str" cm="1">
        <f t="array" ref="O129">IFERROR(INDEX(DB!R$2:R$2576,X129),"")</f>
        <v>▶ 철골 구조물 상부에서 자재 인양, 이동, 설치 등 추락할 위험이 있는 작업 전 전 구간에 걸쳐 추락방지망, 안전대 부착설비 설치 등의 안전방호조치를 실시
▶ 철골 지붕 위에서 패널 등 마감재을 판개하는 등 추락할 위험이 있는 작업 시, 안전대 부착설비는 철골 거더 방향 뿐만 아니라 퍼린방향으로도 설치하여 전 작업범위에서 안전대를 체결할 수 있도록 조치
▶ 지붕재 등 마감재의의 해체 또는 설치 작업 시 고소작업대, 타워형 계단 등을 사용하여 철골 구조물 위에서의 작업을 최소화할 수 있는 작업 방법을 검토
▶ 지붕 위에서 지붕재의 해체 또는 설치 작업 시, 지붕 단부에서 작업하는 경우, 건물 외부에 쌍줄비계를 설치하고 안전난간대, 작업발판을 마련하여 작업자의 추락을 방지
▶ 외부의 패널 설치 작업 시, 고정볼트 조임자리가 높아서 작업이 어려울 경우, 안전대 죔줄을 풀고 이동하는 등 불안전한 작업행위를 금지하며 고소작업대를 타고 상승한 후 작업 재개
▶ 고소작업대를 벗어나 안전대 체결 없이 작업하는 행위를 금지
▶ 지붕 위에서 지붕재의 해체 또는 설치 작업 전 기후 상황에 따른 작업 중단 여부를 일일 검토하고, 노후화된 마감재의 경우 미끄러짐 우려가 있으므로 논슬립 안전화를 착용하도록 조치
▶ 작업자의 개인보호구 착용, 안전대 체결여부 점검 및 관리감독</v>
      </c>
      <c r="P129" s="100"/>
      <c r="Q129" s="102"/>
      <c r="R129" s="150"/>
      <c r="S129" s="43"/>
      <c r="T129" s="66" cm="1">
        <f t="array" ref="T129">IFERROR(_xlfn.AGGREGATE(15,6,ROW(DB!A$2:A$2576)/(((($D$3&lt;&gt;"YES")+($D$3="YES")*(DB!E$2:E$2576="YES"))*(($D$4="")+($D$4&lt;&gt;"")*ISNUMBER(SEARCH($D$4,DB!G$2:G$2576)))*(($D$5="")+($D$5&lt;&gt;"")*(DB!B$2:B$2576=$D$5))*(($D$6="")+($D$6&lt;&gt;"")*(DB!C$2:C$2576=$D$6))*(($D$7="")+($D$7&lt;&gt;"")*(DB!D$2:D$2576=$D$7))*(($F$4="전체")+($F$4&lt;&gt;"전체")*(DB!H$2:H$2576=$F$4)))),ROW()-16)-1,"")</f>
        <v>904</v>
      </c>
      <c r="U129" s="104" t="str" cm="1">
        <f t="array" ref="U129">IFERROR(INDEX(DB!B$2:B$2576,T129),"")</f>
        <v>4. 마감공사</v>
      </c>
      <c r="V129" s="105" t="str" cm="1">
        <f t="array" ref="V129">IFERROR(INDEX(DB!O$2:O$2576,T129),"")</f>
        <v>떨어짐</v>
      </c>
      <c r="W129" s="106">
        <f t="shared" si="4"/>
        <v>17887.113000000001</v>
      </c>
      <c r="X129" s="149">
        <f t="shared" si="5"/>
        <v>904</v>
      </c>
      <c r="AB129" s="151"/>
      <c r="AC129" s="131"/>
      <c r="AE129" s="130"/>
      <c r="AF129" s="136"/>
      <c r="AH129" s="65"/>
      <c r="AI129" s="65"/>
      <c r="AJ129" s="65"/>
      <c r="AK129" s="65"/>
      <c r="AL129" s="65"/>
      <c r="AM129" s="65"/>
      <c r="AN129" s="65"/>
      <c r="BB129" s="11"/>
    </row>
    <row r="130" spans="1:54" ht="90" customHeight="1">
      <c r="A130" s="26"/>
      <c r="B130" s="73">
        <f t="shared" si="3"/>
        <v>114</v>
      </c>
      <c r="C130" s="74"/>
      <c r="D130" s="96" t="str" cm="1">
        <f t="array" ref="D130">IFERROR(INDEX(DB!B$2:B$2576,X130),"")</f>
        <v>4. 마감공사</v>
      </c>
      <c r="E130" s="107"/>
      <c r="F130" s="97" t="str" cm="1">
        <f t="array" ref="F130">IFERROR(INDEX(DB!C$2:C$2576,X130),"")</f>
        <v>4.8 판넬 등 외부마감 작업</v>
      </c>
      <c r="G130" s="108"/>
      <c r="H130" s="98" t="str" cm="1">
        <f t="array" ref="H130">IFERROR(INDEX(DB!D$2:D$2576,X130),"")</f>
        <v>4.8.2 판넬 등 외부마감 시공</v>
      </c>
      <c r="I130" s="109"/>
      <c r="J130" s="99" t="str" cm="1">
        <f t="array" ref="J130">IFERROR(INDEX(DB!O$2:O$2576,X130),"")</f>
        <v>떨어짐</v>
      </c>
      <c r="K130" s="110"/>
      <c r="L130" s="75" t="str" cm="1">
        <f t="array" ref="L130">IFERROR(INDEX(DB!P$2:P$2576,X130),"")</f>
        <v>2020년 6월경 OO공사에서 재해자가 철골구조물 위에서 지붕 샌드위치 판넬 설치 작업 중 지상바닥으로 추락하여(H≒6.8m) 사망</v>
      </c>
      <c r="M130" s="76" t="str" cm="1">
        <f t="array" ref="M130">IFERROR(INDEX(DB!Q$2:Q$2576,X130),"")</f>
        <v>철골 구조물 위에서 작업하던 중 발을 헛디뎌 바닥으로 추락</v>
      </c>
      <c r="N130" s="77"/>
      <c r="O130" s="78" t="str" cm="1">
        <f t="array" ref="O130">IFERROR(INDEX(DB!R$2:R$2576,X130),"")</f>
        <v>▶ 철골 구조물 상부에서 자재 인양, 이동, 설치 등 추락할 위험이 있는 작업 전 전 구간에 걸쳐 추락방지망, 안전대 부착설비 설치 등의 안전방호조치를 실시
▶ 철골 지붕 위에서 패널 등 마감재을 판개하는 등 추락할 위험이 있는 작업 시, 안전대 부착설비는 철골 거더 방향 뿐만 아니라 퍼린방향으로도 설치하여 전 작업범위에서 안전대를 체결할 수 있도록 조치
▶ 지붕재 등 마감재의의 해체 또는 설치 작업 시 고소작업대, 타워형 계단 등을 사용하여 철골 구조물 위에서의 작업을 최소화할 수 있는 작업 방법을 검토
▶ 지붕 위에서 지붕재의 해체 또는 설치 작업 시, 지붕 단부에서 작업하는 경우, 건물 외부에 쌍줄비계를 설치하고 안전난간대, 작업발판을 마련하여 작업자의 추락을 방지
▶ 외부의 패널 설치 작업 시, 고정볼트 조임자리가 높아서 작업이 어려울 경우, 안전대 죔줄을 풀고 이동하는 등 불안전한 작업행위를 금지하며 고소작업대를 타고 상승한 후 작업 재개
▶ 고소작업대를 벗어나 안전대 체결 없이 작업하는 행위를 금지
▶ 지붕 위에서 지붕재의 해체 또는 설치 작업 전 기후 상황에 따른 작업 중단 여부를 일일 검토하고, 노후화된 마감재의 경우 미끄러짐 우려가 있으므로 논슬립 안전화를 착용하도록 조치
▶ 작업자의 개인보호구 착용, 안전대 체결여부 점검 및 관리감독</v>
      </c>
      <c r="P130" s="100"/>
      <c r="Q130" s="102"/>
      <c r="R130" s="150"/>
      <c r="S130" s="43"/>
      <c r="T130" s="66" cm="1">
        <f t="array" ref="T130">IFERROR(_xlfn.AGGREGATE(15,6,ROW(DB!A$2:A$2576)/(((($D$3&lt;&gt;"YES")+($D$3="YES")*(DB!E$2:E$2576="YES"))*(($D$4="")+($D$4&lt;&gt;"")*ISNUMBER(SEARCH($D$4,DB!G$2:G$2576)))*(($D$5="")+($D$5&lt;&gt;"")*(DB!B$2:B$2576=$D$5))*(($D$6="")+($D$6&lt;&gt;"")*(DB!C$2:C$2576=$D$6))*(($D$7="")+($D$7&lt;&gt;"")*(DB!D$2:D$2576=$D$7))*(($F$4="전체")+($F$4&lt;&gt;"전체")*(DB!H$2:H$2576=$F$4)))),ROW()-16)-1,"")</f>
        <v>905</v>
      </c>
      <c r="U130" s="104" t="str" cm="1">
        <f t="array" ref="U130">IFERROR(INDEX(DB!B$2:B$2576,T130),"")</f>
        <v>4. 마감공사</v>
      </c>
      <c r="V130" s="105" t="str" cm="1">
        <f t="array" ref="V130">IFERROR(INDEX(DB!O$2:O$2576,T130),"")</f>
        <v>떨어짐</v>
      </c>
      <c r="W130" s="106">
        <f t="shared" si="4"/>
        <v>17887.114000000001</v>
      </c>
      <c r="X130" s="149">
        <f t="shared" si="5"/>
        <v>905</v>
      </c>
      <c r="AB130" s="151"/>
      <c r="AC130" s="131"/>
      <c r="AE130" s="130"/>
      <c r="AF130" s="136"/>
      <c r="AH130" s="65"/>
      <c r="AI130" s="65"/>
      <c r="AJ130" s="65"/>
      <c r="AK130" s="65"/>
      <c r="AL130" s="65"/>
      <c r="AM130" s="65"/>
      <c r="AN130" s="65"/>
      <c r="BB130" s="11"/>
    </row>
    <row r="131" spans="1:54" ht="90" customHeight="1">
      <c r="A131" s="26"/>
      <c r="B131" s="73">
        <f t="shared" si="3"/>
        <v>115</v>
      </c>
      <c r="C131" s="74"/>
      <c r="D131" s="96" t="str" cm="1">
        <f t="array" ref="D131">IFERROR(INDEX(DB!B$2:B$2576,X131),"")</f>
        <v>4. 마감공사</v>
      </c>
      <c r="E131" s="107"/>
      <c r="F131" s="97" t="str" cm="1">
        <f t="array" ref="F131">IFERROR(INDEX(DB!C$2:C$2576,X131),"")</f>
        <v>4.8 판넬 등 외부마감 작업</v>
      </c>
      <c r="G131" s="108"/>
      <c r="H131" s="98" t="str" cm="1">
        <f t="array" ref="H131">IFERROR(INDEX(DB!D$2:D$2576,X131),"")</f>
        <v>4.8.2 판넬 등 외부마감 시공</v>
      </c>
      <c r="I131" s="109"/>
      <c r="J131" s="99" t="str" cm="1">
        <f t="array" ref="J131">IFERROR(INDEX(DB!O$2:O$2576,X131),"")</f>
        <v>떨어짐</v>
      </c>
      <c r="K131" s="110"/>
      <c r="L131" s="75" t="str" cm="1">
        <f t="array" ref="L131">IFERROR(INDEX(DB!P$2:P$2576,X131),"")</f>
        <v>2020년 7월경 OO공사에서 재해재가 고소작업대(시저형)를 이용하여 외부 판넬 설치 작업 중 고소작업대를 벗어나 철골구조물 위로 올라가 몸의 중심을 잃고 지면(H≒9.0m)으로 추락하여 사망</v>
      </c>
      <c r="M131" s="76" t="str" cm="1">
        <f t="array" ref="M131">IFERROR(INDEX(DB!Q$2:Q$2576,X131),"")</f>
        <v>고소작업대에 탑승하여 작업 중 작업대를 벗어나 철골 구조물 위로 올라가던 중 발을 헛디뎌 바닥으로 추락</v>
      </c>
      <c r="N131" s="77"/>
      <c r="O131" s="78" t="str" cm="1">
        <f t="array" ref="O131">IFERROR(INDEX(DB!R$2:R$2576,X131),"")</f>
        <v>▶ 철골 구조물 상부에서 자재 인양, 이동, 설치 등 추락할 위험이 있는 작업 전 전 구간에 걸쳐 추락방지망, 안전대 부착설비 설치 등의 안전방호조치를 실시
▶ 철골 지붕 위에서 패널 등 마감재을 판개하는 등 추락할 위험이 있는 작업 시, 안전대 부착설비는 철골 거더 방향 뿐만 아니라 퍼린방향으로도 설치하여 전 작업범위에서 안전대를 체결할 수 있도록 조치
▶ 지붕재 등 마감재의의 해체 또는 설치 작업 시 고소작업대, 타워형 계단 등을 사용하여 철골 구조물 위에서의 작업을 최소화할 수 있는 작업 방법을 검토
▶ 지붕 위에서 지붕재의 해체 또는 설치 작업 시, 지붕 단부에서 작업하는 경우, 건물 외부에 쌍줄비계를 설치하고 안전난간대, 작업발판을 마련하여 작업자의 추락을 방지
▶ 외부의 패널 설치 작업 시, 고정볼트 조임자리가 높아서 작업이 어려울 경우, 안전대 죔줄을 풀고 이동하는 등 불안전한 작업행위를 금지하며 고소작업대를 타고 상승한 후 작업 재개
▶ 고소작업대를 벗어나 안전대 체결 없이 작업하는 행위를 금지
▶ 지붕 위에서 지붕재의 해체 또는 설치 작업 전 기후 상황에 따른 작업 중단 여부를 일일 검토하고, 노후화된 마감재의 경우 미끄러짐 우려가 있으므로 논슬립 안전화를 착용하도록 조치
▶ 작업자의 개인보호구 착용, 안전대 체결여부 점검 및 관리감독</v>
      </c>
      <c r="P131" s="100"/>
      <c r="Q131" s="102"/>
      <c r="R131" s="150"/>
      <c r="S131" s="43"/>
      <c r="T131" s="66" cm="1">
        <f t="array" ref="T131">IFERROR(_xlfn.AGGREGATE(15,6,ROW(DB!A$2:A$2576)/(((($D$3&lt;&gt;"YES")+($D$3="YES")*(DB!E$2:E$2576="YES"))*(($D$4="")+($D$4&lt;&gt;"")*ISNUMBER(SEARCH($D$4,DB!G$2:G$2576)))*(($D$5="")+($D$5&lt;&gt;"")*(DB!B$2:B$2576=$D$5))*(($D$6="")+($D$6&lt;&gt;"")*(DB!C$2:C$2576=$D$6))*(($D$7="")+($D$7&lt;&gt;"")*(DB!D$2:D$2576=$D$7))*(($F$4="전체")+($F$4&lt;&gt;"전체")*(DB!H$2:H$2576=$F$4)))),ROW()-16)-1,"")</f>
        <v>906</v>
      </c>
      <c r="U131" s="104" t="str" cm="1">
        <f t="array" ref="U131">IFERROR(INDEX(DB!B$2:B$2576,T131),"")</f>
        <v>4. 마감공사</v>
      </c>
      <c r="V131" s="105" t="str" cm="1">
        <f t="array" ref="V131">IFERROR(INDEX(DB!O$2:O$2576,T131),"")</f>
        <v>떨어짐</v>
      </c>
      <c r="W131" s="106">
        <f t="shared" si="4"/>
        <v>17887.115000000002</v>
      </c>
      <c r="X131" s="149">
        <f t="shared" si="5"/>
        <v>906</v>
      </c>
      <c r="AB131" s="151"/>
      <c r="AC131" s="131"/>
      <c r="AE131" s="130"/>
      <c r="AF131" s="136"/>
      <c r="AH131" s="65"/>
      <c r="AI131" s="65"/>
      <c r="AJ131" s="65"/>
      <c r="AK131" s="65"/>
      <c r="AL131" s="65"/>
      <c r="AM131" s="65"/>
      <c r="AN131" s="65"/>
      <c r="BB131" s="11"/>
    </row>
    <row r="132" spans="1:54" ht="90" customHeight="1">
      <c r="A132" s="26"/>
      <c r="B132" s="73">
        <f t="shared" si="3"/>
        <v>116</v>
      </c>
      <c r="C132" s="74"/>
      <c r="D132" s="96" t="str" cm="1">
        <f t="array" ref="D132">IFERROR(INDEX(DB!B$2:B$2576,X132),"")</f>
        <v>5. 전기, 기계설비공사</v>
      </c>
      <c r="E132" s="107"/>
      <c r="F132" s="97" t="str" cm="1">
        <f t="array" ref="F132">IFERROR(INDEX(DB!C$2:C$2576,X132),"")</f>
        <v>5.2 기계설비 작업</v>
      </c>
      <c r="G132" s="108"/>
      <c r="H132" s="98" t="str" cm="1">
        <f t="array" ref="H132">IFERROR(INDEX(DB!D$2:D$2576,X132),"")</f>
        <v>5.2.2 기계설비 설치</v>
      </c>
      <c r="I132" s="109"/>
      <c r="J132" s="99" t="str" cm="1">
        <f t="array" ref="J132">IFERROR(INDEX(DB!O$2:O$2576,X132),"")</f>
        <v>끼임</v>
      </c>
      <c r="K132" s="110"/>
      <c r="L132" s="75" t="str" cm="1">
        <f t="array" ref="L132">IFERROR(INDEX(DB!P$2:P$2576,X132),"")</f>
        <v>2018년 4월경 OO시 OO구 소재 OOOO(주) / OOOO 신축공사 현장에서 OOOO(주) 소속의 재해자가 고소작업대 작업대에 탑승 이동중 고소작업대의 조정레버에 신체가 접촉되면서 작업대가 갑자기 상승 되어 재해자의 상체 가슴부위가 작업대의 상부 난간대와 난방배관 사이에 협착되어 사망한 재해로 추정됨</v>
      </c>
      <c r="M132" s="76" t="str" cm="1">
        <f t="array" ref="M132">IFERROR(INDEX(DB!Q$2:Q$2576,X132),"")</f>
        <v>고소작업대 탑승 후 이동중 작업대의 급상승에 의한 난간대와의 충돌, 협착</v>
      </c>
      <c r="N132" s="77"/>
      <c r="O132" s="78" t="str" cm="1">
        <f t="array" ref="O132">IFERROR(INDEX(DB!R$2:R$2576,X132),"")</f>
        <v>▶ 협착방지조치를 위한 과상승 방지장치 설치 및 작업적정 높이 기준 준수
▶ 작업 전 과상승방지장치 점검을 통한 협착방지조치 준수</v>
      </c>
      <c r="P132" s="100"/>
      <c r="Q132" s="102"/>
      <c r="R132" s="150"/>
      <c r="S132" s="43"/>
      <c r="T132" s="66" cm="1">
        <f t="array" ref="T132">IFERROR(_xlfn.AGGREGATE(15,6,ROW(DB!A$2:A$2576)/(((($D$3&lt;&gt;"YES")+($D$3="YES")*(DB!E$2:E$2576="YES"))*(($D$4="")+($D$4&lt;&gt;"")*ISNUMBER(SEARCH($D$4,DB!G$2:G$2576)))*(($D$5="")+($D$5&lt;&gt;"")*(DB!B$2:B$2576=$D$5))*(($D$6="")+($D$6&lt;&gt;"")*(DB!C$2:C$2576=$D$6))*(($D$7="")+($D$7&lt;&gt;"")*(DB!D$2:D$2576=$D$7))*(($F$4="전체")+($F$4&lt;&gt;"전체")*(DB!H$2:H$2576=$F$4)))),ROW()-16)-1,"")</f>
        <v>912</v>
      </c>
      <c r="U132" s="104" t="str" cm="1">
        <f t="array" ref="U132">IFERROR(INDEX(DB!B$2:B$2576,T132),"")</f>
        <v>5. 전기, 기계설비공사</v>
      </c>
      <c r="V132" s="105" t="str" cm="1">
        <f t="array" ref="V132">IFERROR(INDEX(DB!O$2:O$2576,T132),"")</f>
        <v>떨어짐</v>
      </c>
      <c r="W132" s="106">
        <f t="shared" si="4"/>
        <v>19787.116000000002</v>
      </c>
      <c r="X132" s="149">
        <f t="shared" si="5"/>
        <v>922</v>
      </c>
      <c r="AB132" s="151"/>
      <c r="AC132" s="131"/>
      <c r="AE132" s="130"/>
      <c r="AF132" s="136"/>
      <c r="AH132" s="65"/>
      <c r="AI132" s="65"/>
      <c r="AJ132" s="65"/>
      <c r="AK132" s="65"/>
      <c r="AL132" s="65"/>
      <c r="AM132" s="65"/>
      <c r="AN132" s="65"/>
      <c r="BB132" s="11"/>
    </row>
    <row r="133" spans="1:54" ht="90" customHeight="1">
      <c r="A133" s="26"/>
      <c r="B133" s="73">
        <f t="shared" si="3"/>
        <v>117</v>
      </c>
      <c r="C133" s="74"/>
      <c r="D133" s="96" t="str" cm="1">
        <f t="array" ref="D133">IFERROR(INDEX(DB!B$2:B$2576,X133),"")</f>
        <v>5. 전기, 기계설비공사</v>
      </c>
      <c r="E133" s="107"/>
      <c r="F133" s="97" t="str" cm="1">
        <f t="array" ref="F133">IFERROR(INDEX(DB!C$2:C$2576,X133),"")</f>
        <v>5.1 전기 설비 작업</v>
      </c>
      <c r="G133" s="108"/>
      <c r="H133" s="98" t="str" cm="1">
        <f t="array" ref="H133">IFERROR(INDEX(DB!D$2:D$2576,X133),"")</f>
        <v>5.1.4 전기특고압선로, 활선 및 전주시공</v>
      </c>
      <c r="I133" s="109"/>
      <c r="J133" s="99" t="str" cm="1">
        <f t="array" ref="J133">IFERROR(INDEX(DB!O$2:O$2576,X133),"")</f>
        <v>떨어짐</v>
      </c>
      <c r="K133" s="110"/>
      <c r="L133" s="75" t="str" cm="1">
        <f t="array" ref="L133">IFERROR(INDEX(DB!P$2:P$2576,X133),"")</f>
        <v>2016년 9월경 OO설치공사 현장에서 재해자가 기존 철탑의 피뢰기 설치작업을 하기 위해 철탑의 높이 약 46m 지점에서 작업을 하던중 실족하여 지상으로 떨어짐</v>
      </c>
      <c r="M133" s="76" t="str" cm="1">
        <f t="array" ref="M133">IFERROR(INDEX(DB!Q$2:Q$2576,X133),"")</f>
        <v>송전철탑의 상단부에서 피뢰기 설치 및 압축인류크램프, 점퍼소켓 교체작업 등 상단부에서 작업 및 승하강시 실족하여 바닥으로 추락</v>
      </c>
      <c r="N133" s="77"/>
      <c r="O133" s="78" t="str" cm="1">
        <f t="array" ref="O133">IFERROR(INDEX(DB!R$2:R$2576,X133),"")</f>
        <v>▶ 철탑 세우기전 지상에서 각 부재에 안전대 걸이설비를 사전 부착
   - 주각 스텝볼트 상태 점검 및 안전로프 설치
   - 수평재(암) 안전대 걸이설비 설치 등 지상에서 선조립
▶ 철탑의 승하강 통로 및 수평재(암)상단부 작업자는 안전대를 체결한 상태로 작업실시
▶ 10m 높이마다 추락방지망(주각 내부) 및 낙하물방지망(주각 외부)을 설치</v>
      </c>
      <c r="P133" s="100"/>
      <c r="Q133" s="102"/>
      <c r="R133" s="150"/>
      <c r="S133" s="43"/>
      <c r="T133" s="66" cm="1">
        <f t="array" ref="T133">IFERROR(_xlfn.AGGREGATE(15,6,ROW(DB!A$2:A$2576)/(((($D$3&lt;&gt;"YES")+($D$3="YES")*(DB!E$2:E$2576="YES"))*(($D$4="")+($D$4&lt;&gt;"")*ISNUMBER(SEARCH($D$4,DB!G$2:G$2576)))*(($D$5="")+($D$5&lt;&gt;"")*(DB!B$2:B$2576=$D$5))*(($D$6="")+($D$6&lt;&gt;"")*(DB!C$2:C$2576=$D$6))*(($D$7="")+($D$7&lt;&gt;"")*(DB!D$2:D$2576=$D$7))*(($F$4="전체")+($F$4&lt;&gt;"전체")*(DB!H$2:H$2576=$F$4)))),ROW()-16)-1,"")</f>
        <v>919</v>
      </c>
      <c r="U133" s="104" t="str" cm="1">
        <f t="array" ref="U133">IFERROR(INDEX(DB!B$2:B$2576,T133),"")</f>
        <v>5. 전기, 기계설비공사</v>
      </c>
      <c r="V133" s="105" t="str" cm="1">
        <f t="array" ref="V133">IFERROR(INDEX(DB!O$2:O$2576,T133),"")</f>
        <v>무너짐</v>
      </c>
      <c r="W133" s="106">
        <f t="shared" si="4"/>
        <v>19892.116999999998</v>
      </c>
      <c r="X133" s="149">
        <f t="shared" si="5"/>
        <v>912</v>
      </c>
      <c r="AB133" s="151"/>
      <c r="AC133" s="131"/>
      <c r="AE133" s="130"/>
      <c r="AF133" s="136"/>
      <c r="AH133" s="65"/>
      <c r="AI133" s="65"/>
      <c r="AJ133" s="65"/>
      <c r="AK133" s="65"/>
      <c r="AL133" s="65"/>
      <c r="AM133" s="65"/>
      <c r="AN133" s="65"/>
      <c r="BB133" s="11"/>
    </row>
    <row r="134" spans="1:54" ht="90" customHeight="1">
      <c r="A134" s="26"/>
      <c r="B134" s="73">
        <f t="shared" si="3"/>
        <v>118</v>
      </c>
      <c r="C134" s="74"/>
      <c r="D134" s="96" t="str" cm="1">
        <f t="array" ref="D134">IFERROR(INDEX(DB!B$2:B$2576,X134),"")</f>
        <v>5. 전기, 기계설비공사</v>
      </c>
      <c r="E134" s="107"/>
      <c r="F134" s="97" t="str" cm="1">
        <f t="array" ref="F134">IFERROR(INDEX(DB!C$2:C$2576,X134),"")</f>
        <v>5.2 기계설비 작업</v>
      </c>
      <c r="G134" s="108"/>
      <c r="H134" s="98" t="str" cm="1">
        <f t="array" ref="H134">IFERROR(INDEX(DB!D$2:D$2576,X134),"")</f>
        <v>5.2.2 기계설비 설치</v>
      </c>
      <c r="I134" s="109"/>
      <c r="J134" s="99" t="str" cm="1">
        <f t="array" ref="J134">IFERROR(INDEX(DB!O$2:O$2576,X134),"")</f>
        <v>무너짐</v>
      </c>
      <c r="K134" s="110"/>
      <c r="L134" s="75" t="str" cm="1">
        <f t="array" ref="L134">IFERROR(INDEX(DB!P$2:P$2576,X134),"")</f>
        <v>2017년 4월경 OOOO이 시공하는 OO시 OO군 OO읍 소재 OO공사 현장에서 협력업체 OOOO(주)의 재하도급업체인 OOOO 소속 작업자들이 부지내 Vessel (높이 104.4m, 2090톤) 설치를 위한 Tower Mast  system(일명 : Tower Lift System)을 조립하는 과정에서 Tower Mast System의 수직도를 조정하기 위하여 G1, G4 Stability Guys를 유압장치로 당기던 중 Tower Mast System의 Tower "A"상단의 Capping Beam과 Side Beam 연결부가 파단 되었고, Tower “A”는 남쪽으로 넘어지면서 기존 배관라인을 강타하여 화재(Jet Fire)가 발생하였고, Tower “B”는 인접한 휴게실을 강타하여 휴식 중이던 재해자 1명이 사망하고 4명이 부상한 재해임.</v>
      </c>
      <c r="M134" s="76" t="str" cm="1">
        <f t="array" ref="M134">IFERROR(INDEX(DB!Q$2:Q$2576,X134),"")</f>
        <v>타워 리프트 시스템 조립작업 중 타워 상단의 빔 연결부 파단에 의한 전도 및 휴게실 붕괴</v>
      </c>
      <c r="N134" s="77"/>
      <c r="O134" s="78" t="str" cm="1">
        <f t="array" ref="O134">IFERROR(INDEX(DB!R$2:R$2576,X134),"")</f>
        <v>▶ 설치작업 구간에 작업구역 설정 및 근로자 출입제한
▶ 시설물 붕괴, 전도 등의 위험 방지조치 준수</v>
      </c>
      <c r="P134" s="100"/>
      <c r="Q134" s="102"/>
      <c r="R134" s="150"/>
      <c r="S134" s="43"/>
      <c r="T134" s="66" cm="1">
        <f t="array" ref="T134">IFERROR(_xlfn.AGGREGATE(15,6,ROW(DB!A$2:A$2576)/(((($D$3&lt;&gt;"YES")+($D$3="YES")*(DB!E$2:E$2576="YES"))*(($D$4="")+($D$4&lt;&gt;"")*ISNUMBER(SEARCH($D$4,DB!G$2:G$2576)))*(($D$5="")+($D$5&lt;&gt;"")*(DB!B$2:B$2576=$D$5))*(($D$6="")+($D$6&lt;&gt;"")*(DB!C$2:C$2576=$D$6))*(($D$7="")+($D$7&lt;&gt;"")*(DB!D$2:D$2576=$D$7))*(($F$4="전체")+($F$4&lt;&gt;"전체")*(DB!H$2:H$2576=$F$4)))),ROW()-16)-1,"")</f>
        <v>922</v>
      </c>
      <c r="U134" s="104" t="str" cm="1">
        <f t="array" ref="U134">IFERROR(INDEX(DB!B$2:B$2576,T134),"")</f>
        <v>5. 전기, 기계설비공사</v>
      </c>
      <c r="V134" s="105" t="str" cm="1">
        <f t="array" ref="V134">IFERROR(INDEX(DB!O$2:O$2576,T134),"")</f>
        <v>끼임</v>
      </c>
      <c r="W134" s="106">
        <f t="shared" si="4"/>
        <v>19784.117999999999</v>
      </c>
      <c r="X134" s="149">
        <f t="shared" si="5"/>
        <v>919</v>
      </c>
      <c r="AB134" s="151"/>
      <c r="AC134" s="131"/>
      <c r="AE134" s="130"/>
      <c r="AF134" s="136"/>
      <c r="AH134" s="65"/>
      <c r="AI134" s="65"/>
      <c r="AJ134" s="65"/>
      <c r="AK134" s="65"/>
      <c r="AL134" s="65"/>
      <c r="AM134" s="65"/>
      <c r="AN134" s="65"/>
      <c r="BB134" s="11"/>
    </row>
    <row r="135" spans="1:54" ht="90" customHeight="1">
      <c r="A135" s="26"/>
      <c r="B135" s="73" t="str">
        <f t="shared" si="3"/>
        <v/>
      </c>
      <c r="C135" s="74"/>
      <c r="D135" s="96" t="str" cm="1">
        <f t="array" ref="D135">IFERROR(INDEX(DB!B$2:B$2576,X135),"")</f>
        <v/>
      </c>
      <c r="E135" s="107"/>
      <c r="F135" s="97" t="str" cm="1">
        <f t="array" ref="F135">IFERROR(INDEX(DB!C$2:C$2576,X135),"")</f>
        <v/>
      </c>
      <c r="G135" s="108"/>
      <c r="H135" s="98" t="str" cm="1">
        <f t="array" ref="H135">IFERROR(INDEX(DB!D$2:D$2576,X135),"")</f>
        <v/>
      </c>
      <c r="I135" s="109"/>
      <c r="J135" s="99" t="str" cm="1">
        <f t="array" ref="J135">IFERROR(INDEX(DB!O$2:O$2576,X135),"")</f>
        <v/>
      </c>
      <c r="K135" s="110"/>
      <c r="L135" s="75" t="str" cm="1">
        <f t="array" ref="L135">IFERROR(INDEX(DB!P$2:P$2576,X135),"")</f>
        <v/>
      </c>
      <c r="M135" s="76" t="str" cm="1">
        <f t="array" ref="M135">IFERROR(INDEX(DB!Q$2:Q$2576,X135),"")</f>
        <v/>
      </c>
      <c r="N135" s="77"/>
      <c r="O135" s="78" t="str" cm="1">
        <f t="array" ref="O135">IFERROR(INDEX(DB!R$2:R$2576,X135),"")</f>
        <v/>
      </c>
      <c r="P135" s="100"/>
      <c r="Q135" s="102"/>
      <c r="R135" s="150"/>
      <c r="S135" s="43"/>
      <c r="T135" s="66" t="str" cm="1">
        <f t="array" ref="T135">IFERROR(_xlfn.AGGREGATE(15,6,ROW(DB!A$2:A$2576)/(((($D$3&lt;&gt;"YES")+($D$3="YES")*(DB!E$2:E$2576="YES"))*(($D$4="")+($D$4&lt;&gt;"")*ISNUMBER(SEARCH($D$4,DB!G$2:G$2576)))*(($D$5="")+($D$5&lt;&gt;"")*(DB!B$2:B$2576=$D$5))*(($D$6="")+($D$6&lt;&gt;"")*(DB!C$2:C$2576=$D$6))*(($D$7="")+($D$7&lt;&gt;"")*(DB!D$2:D$2576=$D$7))*(($F$4="전체")+($F$4&lt;&gt;"전체")*(DB!H$2:H$2576=$F$4)))),ROW()-16)-1,"")</f>
        <v/>
      </c>
      <c r="U135" s="104" t="str" cm="1">
        <f t="array" ref="U135">IFERROR(INDEX(DB!B$2:B$2576,T135),"")</f>
        <v/>
      </c>
      <c r="V135" s="105" t="str" cm="1">
        <f t="array" ref="V135">IFERROR(INDEX(DB!O$2:O$2576,T135),"")</f>
        <v/>
      </c>
      <c r="W135" s="106" t="str">
        <f t="shared" si="4"/>
        <v/>
      </c>
      <c r="X135" s="149" t="str">
        <f t="shared" si="5"/>
        <v/>
      </c>
      <c r="AB135" s="151"/>
      <c r="AC135" s="131"/>
      <c r="AE135" s="130"/>
      <c r="AF135" s="136"/>
      <c r="AH135" s="65"/>
      <c r="AI135" s="65"/>
      <c r="AJ135" s="65"/>
      <c r="AK135" s="65"/>
      <c r="AL135" s="65"/>
      <c r="AM135" s="65"/>
      <c r="AN135" s="65"/>
      <c r="BB135" s="11"/>
    </row>
    <row r="136" spans="1:54" ht="90" customHeight="1">
      <c r="A136" s="26"/>
      <c r="B136" s="73" t="str">
        <f t="shared" si="3"/>
        <v/>
      </c>
      <c r="C136" s="74"/>
      <c r="D136" s="96" t="str" cm="1">
        <f t="array" ref="D136">IFERROR(INDEX(DB!B$2:B$2576,X136),"")</f>
        <v/>
      </c>
      <c r="E136" s="107"/>
      <c r="F136" s="97" t="str" cm="1">
        <f t="array" ref="F136">IFERROR(INDEX(DB!C$2:C$2576,X136),"")</f>
        <v/>
      </c>
      <c r="G136" s="108"/>
      <c r="H136" s="98" t="str" cm="1">
        <f t="array" ref="H136">IFERROR(INDEX(DB!D$2:D$2576,X136),"")</f>
        <v/>
      </c>
      <c r="I136" s="109"/>
      <c r="J136" s="99" t="str" cm="1">
        <f t="array" ref="J136">IFERROR(INDEX(DB!O$2:O$2576,X136),"")</f>
        <v/>
      </c>
      <c r="K136" s="110"/>
      <c r="L136" s="75" t="str" cm="1">
        <f t="array" ref="L136">IFERROR(INDEX(DB!P$2:P$2576,X136),"")</f>
        <v/>
      </c>
      <c r="M136" s="76" t="str" cm="1">
        <f t="array" ref="M136">IFERROR(INDEX(DB!Q$2:Q$2576,X136),"")</f>
        <v/>
      </c>
      <c r="N136" s="77"/>
      <c r="O136" s="78" t="str" cm="1">
        <f t="array" ref="O136">IFERROR(INDEX(DB!R$2:R$2576,X136),"")</f>
        <v/>
      </c>
      <c r="P136" s="100"/>
      <c r="Q136" s="102"/>
      <c r="R136" s="150"/>
      <c r="S136" s="43"/>
      <c r="T136" s="66" t="str" cm="1">
        <f t="array" ref="T136">IFERROR(_xlfn.AGGREGATE(15,6,ROW(DB!A$2:A$2576)/(((($D$3&lt;&gt;"YES")+($D$3="YES")*(DB!E$2:E$2576="YES"))*(($D$4="")+($D$4&lt;&gt;"")*ISNUMBER(SEARCH($D$4,DB!G$2:G$2576)))*(($D$5="")+($D$5&lt;&gt;"")*(DB!B$2:B$2576=$D$5))*(($D$6="")+($D$6&lt;&gt;"")*(DB!C$2:C$2576=$D$6))*(($D$7="")+($D$7&lt;&gt;"")*(DB!D$2:D$2576=$D$7))*(($F$4="전체")+($F$4&lt;&gt;"전체")*(DB!H$2:H$2576=$F$4)))),ROW()-16)-1,"")</f>
        <v/>
      </c>
      <c r="U136" s="104" t="str" cm="1">
        <f t="array" ref="U136">IFERROR(INDEX(DB!B$2:B$2576,T136),"")</f>
        <v/>
      </c>
      <c r="V136" s="105" t="str" cm="1">
        <f t="array" ref="V136">IFERROR(INDEX(DB!O$2:O$2576,T136),"")</f>
        <v/>
      </c>
      <c r="W136" s="106" t="str">
        <f t="shared" si="4"/>
        <v/>
      </c>
      <c r="X136" s="149" t="str">
        <f t="shared" si="5"/>
        <v/>
      </c>
      <c r="AB136" s="151"/>
      <c r="AC136" s="131"/>
      <c r="AE136" s="130"/>
      <c r="AF136" s="136"/>
      <c r="AH136" s="65"/>
      <c r="AI136" s="65"/>
      <c r="AJ136" s="65"/>
      <c r="AK136" s="65"/>
      <c r="AL136" s="65"/>
      <c r="AM136" s="65"/>
      <c r="AN136" s="65"/>
      <c r="BB136" s="11"/>
    </row>
    <row r="137" spans="1:54" ht="90" customHeight="1">
      <c r="A137" s="26"/>
      <c r="B137" s="73" t="str">
        <f t="shared" si="3"/>
        <v/>
      </c>
      <c r="C137" s="74"/>
      <c r="D137" s="96" t="str" cm="1">
        <f t="array" ref="D137">IFERROR(INDEX(DB!B$2:B$2576,X137),"")</f>
        <v/>
      </c>
      <c r="E137" s="107"/>
      <c r="F137" s="97" t="str" cm="1">
        <f t="array" ref="F137">IFERROR(INDEX(DB!C$2:C$2576,X137),"")</f>
        <v/>
      </c>
      <c r="G137" s="108"/>
      <c r="H137" s="98" t="str" cm="1">
        <f t="array" ref="H137">IFERROR(INDEX(DB!D$2:D$2576,X137),"")</f>
        <v/>
      </c>
      <c r="I137" s="109"/>
      <c r="J137" s="99" t="str" cm="1">
        <f t="array" ref="J137">IFERROR(INDEX(DB!O$2:O$2576,X137),"")</f>
        <v/>
      </c>
      <c r="K137" s="110"/>
      <c r="L137" s="75" t="str" cm="1">
        <f t="array" ref="L137">IFERROR(INDEX(DB!P$2:P$2576,X137),"")</f>
        <v/>
      </c>
      <c r="M137" s="76" t="str" cm="1">
        <f t="array" ref="M137">IFERROR(INDEX(DB!Q$2:Q$2576,X137),"")</f>
        <v/>
      </c>
      <c r="N137" s="77"/>
      <c r="O137" s="78" t="str" cm="1">
        <f t="array" ref="O137">IFERROR(INDEX(DB!R$2:R$2576,X137),"")</f>
        <v/>
      </c>
      <c r="P137" s="100"/>
      <c r="Q137" s="102"/>
      <c r="R137" s="150"/>
      <c r="S137" s="43"/>
      <c r="T137" s="66" t="str" cm="1">
        <f t="array" ref="T137">IFERROR(_xlfn.AGGREGATE(15,6,ROW(DB!A$2:A$2576)/(((($D$3&lt;&gt;"YES")+($D$3="YES")*(DB!E$2:E$2576="YES"))*(($D$4="")+($D$4&lt;&gt;"")*ISNUMBER(SEARCH($D$4,DB!G$2:G$2576)))*(($D$5="")+($D$5&lt;&gt;"")*(DB!B$2:B$2576=$D$5))*(($D$6="")+($D$6&lt;&gt;"")*(DB!C$2:C$2576=$D$6))*(($D$7="")+($D$7&lt;&gt;"")*(DB!D$2:D$2576=$D$7))*(($F$4="전체")+($F$4&lt;&gt;"전체")*(DB!H$2:H$2576=$F$4)))),ROW()-16)-1,"")</f>
        <v/>
      </c>
      <c r="U137" s="104" t="str" cm="1">
        <f t="array" ref="U137">IFERROR(INDEX(DB!B$2:B$2576,T137),"")</f>
        <v/>
      </c>
      <c r="V137" s="105" t="str" cm="1">
        <f t="array" ref="V137">IFERROR(INDEX(DB!O$2:O$2576,T137),"")</f>
        <v/>
      </c>
      <c r="W137" s="106" t="str">
        <f t="shared" si="4"/>
        <v/>
      </c>
      <c r="X137" s="149" t="str">
        <f t="shared" si="5"/>
        <v/>
      </c>
      <c r="AB137" s="151"/>
      <c r="AC137" s="131"/>
      <c r="AE137" s="130"/>
      <c r="AF137" s="136"/>
      <c r="AH137" s="65"/>
      <c r="AI137" s="65"/>
      <c r="AJ137" s="65"/>
      <c r="AK137" s="65"/>
      <c r="AL137" s="65"/>
      <c r="AM137" s="65"/>
      <c r="AN137" s="65"/>
      <c r="BB137" s="11"/>
    </row>
    <row r="138" spans="1:54" ht="90" customHeight="1">
      <c r="A138" s="26"/>
      <c r="B138" s="73" t="str">
        <f t="shared" si="3"/>
        <v/>
      </c>
      <c r="C138" s="74"/>
      <c r="D138" s="96" t="str" cm="1">
        <f t="array" ref="D138">IFERROR(INDEX(DB!B$2:B$2576,X138),"")</f>
        <v/>
      </c>
      <c r="E138" s="107"/>
      <c r="F138" s="97" t="str" cm="1">
        <f t="array" ref="F138">IFERROR(INDEX(DB!C$2:C$2576,X138),"")</f>
        <v/>
      </c>
      <c r="G138" s="108"/>
      <c r="H138" s="98" t="str" cm="1">
        <f t="array" ref="H138">IFERROR(INDEX(DB!D$2:D$2576,X138),"")</f>
        <v/>
      </c>
      <c r="I138" s="109"/>
      <c r="J138" s="99" t="str" cm="1">
        <f t="array" ref="J138">IFERROR(INDEX(DB!O$2:O$2576,X138),"")</f>
        <v/>
      </c>
      <c r="K138" s="110"/>
      <c r="L138" s="75" t="str" cm="1">
        <f t="array" ref="L138">IFERROR(INDEX(DB!P$2:P$2576,X138),"")</f>
        <v/>
      </c>
      <c r="M138" s="76" t="str" cm="1">
        <f t="array" ref="M138">IFERROR(INDEX(DB!Q$2:Q$2576,X138),"")</f>
        <v/>
      </c>
      <c r="N138" s="77"/>
      <c r="O138" s="78" t="str" cm="1">
        <f t="array" ref="O138">IFERROR(INDEX(DB!R$2:R$2576,X138),"")</f>
        <v/>
      </c>
      <c r="P138" s="100"/>
      <c r="Q138" s="102"/>
      <c r="R138" s="150"/>
      <c r="S138" s="43"/>
      <c r="T138" s="66" t="str" cm="1">
        <f t="array" ref="T138">IFERROR(_xlfn.AGGREGATE(15,6,ROW(DB!A$2:A$2576)/(((($D$3&lt;&gt;"YES")+($D$3="YES")*(DB!E$2:E$2576="YES"))*(($D$4="")+($D$4&lt;&gt;"")*ISNUMBER(SEARCH($D$4,DB!G$2:G$2576)))*(($D$5="")+($D$5&lt;&gt;"")*(DB!B$2:B$2576=$D$5))*(($D$6="")+($D$6&lt;&gt;"")*(DB!C$2:C$2576=$D$6))*(($D$7="")+($D$7&lt;&gt;"")*(DB!D$2:D$2576=$D$7))*(($F$4="전체")+($F$4&lt;&gt;"전체")*(DB!H$2:H$2576=$F$4)))),ROW()-16)-1,"")</f>
        <v/>
      </c>
      <c r="U138" s="104" t="str" cm="1">
        <f t="array" ref="U138">IFERROR(INDEX(DB!B$2:B$2576,T138),"")</f>
        <v/>
      </c>
      <c r="V138" s="105" t="str" cm="1">
        <f t="array" ref="V138">IFERROR(INDEX(DB!O$2:O$2576,T138),"")</f>
        <v/>
      </c>
      <c r="W138" s="106" t="str">
        <f t="shared" si="4"/>
        <v/>
      </c>
      <c r="X138" s="149" t="str">
        <f t="shared" si="5"/>
        <v/>
      </c>
      <c r="AB138" s="151"/>
      <c r="AC138" s="131"/>
      <c r="AE138" s="130"/>
      <c r="AF138" s="136"/>
      <c r="AH138" s="65"/>
      <c r="AI138" s="65"/>
      <c r="AJ138" s="65"/>
      <c r="AK138" s="65"/>
      <c r="AL138" s="65"/>
      <c r="AM138" s="65"/>
      <c r="AN138" s="65"/>
      <c r="BB138" s="11"/>
    </row>
    <row r="139" spans="1:54" ht="90" customHeight="1">
      <c r="A139" s="26"/>
      <c r="B139" s="73" t="str">
        <f t="shared" si="3"/>
        <v/>
      </c>
      <c r="C139" s="74"/>
      <c r="D139" s="96" t="str" cm="1">
        <f t="array" ref="D139">IFERROR(INDEX(DB!B$2:B$2576,X139),"")</f>
        <v/>
      </c>
      <c r="E139" s="107"/>
      <c r="F139" s="97" t="str" cm="1">
        <f t="array" ref="F139">IFERROR(INDEX(DB!C$2:C$2576,X139),"")</f>
        <v/>
      </c>
      <c r="G139" s="108"/>
      <c r="H139" s="98" t="str" cm="1">
        <f t="array" ref="H139">IFERROR(INDEX(DB!D$2:D$2576,X139),"")</f>
        <v/>
      </c>
      <c r="I139" s="109"/>
      <c r="J139" s="99" t="str" cm="1">
        <f t="array" ref="J139">IFERROR(INDEX(DB!O$2:O$2576,X139),"")</f>
        <v/>
      </c>
      <c r="K139" s="110"/>
      <c r="L139" s="75" t="str" cm="1">
        <f t="array" ref="L139">IFERROR(INDEX(DB!P$2:P$2576,X139),"")</f>
        <v/>
      </c>
      <c r="M139" s="76" t="str" cm="1">
        <f t="array" ref="M139">IFERROR(INDEX(DB!Q$2:Q$2576,X139),"")</f>
        <v/>
      </c>
      <c r="N139" s="77"/>
      <c r="O139" s="78" t="str" cm="1">
        <f t="array" ref="O139">IFERROR(INDEX(DB!R$2:R$2576,X139),"")</f>
        <v/>
      </c>
      <c r="P139" s="100"/>
      <c r="Q139" s="102"/>
      <c r="R139" s="150"/>
      <c r="S139" s="43"/>
      <c r="T139" s="66" t="str" cm="1">
        <f t="array" ref="T139">IFERROR(_xlfn.AGGREGATE(15,6,ROW(DB!A$2:A$2576)/(((($D$3&lt;&gt;"YES")+($D$3="YES")*(DB!E$2:E$2576="YES"))*(($D$4="")+($D$4&lt;&gt;"")*ISNUMBER(SEARCH($D$4,DB!G$2:G$2576)))*(($D$5="")+($D$5&lt;&gt;"")*(DB!B$2:B$2576=$D$5))*(($D$6="")+($D$6&lt;&gt;"")*(DB!C$2:C$2576=$D$6))*(($D$7="")+($D$7&lt;&gt;"")*(DB!D$2:D$2576=$D$7))*(($F$4="전체")+($F$4&lt;&gt;"전체")*(DB!H$2:H$2576=$F$4)))),ROW()-16)-1,"")</f>
        <v/>
      </c>
      <c r="U139" s="104" t="str" cm="1">
        <f t="array" ref="U139">IFERROR(INDEX(DB!B$2:B$2576,T139),"")</f>
        <v/>
      </c>
      <c r="V139" s="105" t="str" cm="1">
        <f t="array" ref="V139">IFERROR(INDEX(DB!O$2:O$2576,T139),"")</f>
        <v/>
      </c>
      <c r="W139" s="106" t="str">
        <f t="shared" si="4"/>
        <v/>
      </c>
      <c r="X139" s="149" t="str">
        <f t="shared" si="5"/>
        <v/>
      </c>
      <c r="AB139" s="151"/>
      <c r="AC139" s="131"/>
      <c r="AE139" s="130"/>
      <c r="AF139" s="136"/>
      <c r="AH139" s="65"/>
      <c r="AI139" s="65"/>
      <c r="AJ139" s="65"/>
      <c r="AK139" s="65"/>
      <c r="AL139" s="65"/>
      <c r="AM139" s="65"/>
      <c r="AN139" s="65"/>
      <c r="BB139" s="11"/>
    </row>
    <row r="140" spans="1:54" ht="90" customHeight="1">
      <c r="A140" s="26"/>
      <c r="B140" s="73" t="str">
        <f t="shared" si="3"/>
        <v/>
      </c>
      <c r="C140" s="74"/>
      <c r="D140" s="96" t="str" cm="1">
        <f t="array" ref="D140">IFERROR(INDEX(DB!B$2:B$2576,X140),"")</f>
        <v/>
      </c>
      <c r="E140" s="107"/>
      <c r="F140" s="97" t="str" cm="1">
        <f t="array" ref="F140">IFERROR(INDEX(DB!C$2:C$2576,X140),"")</f>
        <v/>
      </c>
      <c r="G140" s="108"/>
      <c r="H140" s="98" t="str" cm="1">
        <f t="array" ref="H140">IFERROR(INDEX(DB!D$2:D$2576,X140),"")</f>
        <v/>
      </c>
      <c r="I140" s="109"/>
      <c r="J140" s="99" t="str" cm="1">
        <f t="array" ref="J140">IFERROR(INDEX(DB!O$2:O$2576,X140),"")</f>
        <v/>
      </c>
      <c r="K140" s="110"/>
      <c r="L140" s="75" t="str" cm="1">
        <f t="array" ref="L140">IFERROR(INDEX(DB!P$2:P$2576,X140),"")</f>
        <v/>
      </c>
      <c r="M140" s="76" t="str" cm="1">
        <f t="array" ref="M140">IFERROR(INDEX(DB!Q$2:Q$2576,X140),"")</f>
        <v/>
      </c>
      <c r="N140" s="77"/>
      <c r="O140" s="78" t="str" cm="1">
        <f t="array" ref="O140">IFERROR(INDEX(DB!R$2:R$2576,X140),"")</f>
        <v/>
      </c>
      <c r="P140" s="100"/>
      <c r="Q140" s="102"/>
      <c r="R140" s="150"/>
      <c r="S140" s="43"/>
      <c r="T140" s="66" t="str" cm="1">
        <f t="array" ref="T140">IFERROR(_xlfn.AGGREGATE(15,6,ROW(DB!A$2:A$2576)/(((($D$3&lt;&gt;"YES")+($D$3="YES")*(DB!E$2:E$2576="YES"))*(($D$4="")+($D$4&lt;&gt;"")*ISNUMBER(SEARCH($D$4,DB!G$2:G$2576)))*(($D$5="")+($D$5&lt;&gt;"")*(DB!B$2:B$2576=$D$5))*(($D$6="")+($D$6&lt;&gt;"")*(DB!C$2:C$2576=$D$6))*(($D$7="")+($D$7&lt;&gt;"")*(DB!D$2:D$2576=$D$7))*(($F$4="전체")+($F$4&lt;&gt;"전체")*(DB!H$2:H$2576=$F$4)))),ROW()-16)-1,"")</f>
        <v/>
      </c>
      <c r="U140" s="104" t="str" cm="1">
        <f t="array" ref="U140">IFERROR(INDEX(DB!B$2:B$2576,T140),"")</f>
        <v/>
      </c>
      <c r="V140" s="105" t="str" cm="1">
        <f t="array" ref="V140">IFERROR(INDEX(DB!O$2:O$2576,T140),"")</f>
        <v/>
      </c>
      <c r="W140" s="106" t="str">
        <f t="shared" si="4"/>
        <v/>
      </c>
      <c r="X140" s="149" t="str">
        <f t="shared" si="5"/>
        <v/>
      </c>
      <c r="AB140" s="151"/>
      <c r="AC140" s="131"/>
      <c r="AE140" s="130"/>
      <c r="AF140" s="136"/>
      <c r="AH140" s="65"/>
      <c r="AI140" s="65"/>
      <c r="AJ140" s="65"/>
      <c r="AK140" s="65"/>
      <c r="AL140" s="65"/>
      <c r="AM140" s="65"/>
      <c r="AN140" s="65"/>
      <c r="BB140" s="11"/>
    </row>
    <row r="141" spans="1:54" ht="90" customHeight="1">
      <c r="A141" s="26"/>
      <c r="B141" s="73" t="str">
        <f t="shared" si="3"/>
        <v/>
      </c>
      <c r="C141" s="74"/>
      <c r="D141" s="96" t="str" cm="1">
        <f t="array" ref="D141">IFERROR(INDEX(DB!B$2:B$2576,X141),"")</f>
        <v/>
      </c>
      <c r="E141" s="107"/>
      <c r="F141" s="97" t="str" cm="1">
        <f t="array" ref="F141">IFERROR(INDEX(DB!C$2:C$2576,X141),"")</f>
        <v/>
      </c>
      <c r="G141" s="108"/>
      <c r="H141" s="98" t="str" cm="1">
        <f t="array" ref="H141">IFERROR(INDEX(DB!D$2:D$2576,X141),"")</f>
        <v/>
      </c>
      <c r="I141" s="109"/>
      <c r="J141" s="99" t="str" cm="1">
        <f t="array" ref="J141">IFERROR(INDEX(DB!O$2:O$2576,X141),"")</f>
        <v/>
      </c>
      <c r="K141" s="110"/>
      <c r="L141" s="75" t="str" cm="1">
        <f t="array" ref="L141">IFERROR(INDEX(DB!P$2:P$2576,X141),"")</f>
        <v/>
      </c>
      <c r="M141" s="76" t="str" cm="1">
        <f t="array" ref="M141">IFERROR(INDEX(DB!Q$2:Q$2576,X141),"")</f>
        <v/>
      </c>
      <c r="N141" s="77"/>
      <c r="O141" s="78" t="str" cm="1">
        <f t="array" ref="O141">IFERROR(INDEX(DB!R$2:R$2576,X141),"")</f>
        <v/>
      </c>
      <c r="P141" s="100"/>
      <c r="Q141" s="102"/>
      <c r="R141" s="150"/>
      <c r="S141" s="43"/>
      <c r="T141" s="66" t="str" cm="1">
        <f t="array" ref="T141">IFERROR(_xlfn.AGGREGATE(15,6,ROW(DB!A$2:A$2576)/(((($D$3&lt;&gt;"YES")+($D$3="YES")*(DB!E$2:E$2576="YES"))*(($D$4="")+($D$4&lt;&gt;"")*ISNUMBER(SEARCH($D$4,DB!G$2:G$2576)))*(($D$5="")+($D$5&lt;&gt;"")*(DB!B$2:B$2576=$D$5))*(($D$6="")+($D$6&lt;&gt;"")*(DB!C$2:C$2576=$D$6))*(($D$7="")+($D$7&lt;&gt;"")*(DB!D$2:D$2576=$D$7))*(($F$4="전체")+($F$4&lt;&gt;"전체")*(DB!H$2:H$2576=$F$4)))),ROW()-16)-1,"")</f>
        <v/>
      </c>
      <c r="U141" s="104" t="str" cm="1">
        <f t="array" ref="U141">IFERROR(INDEX(DB!B$2:B$2576,T141),"")</f>
        <v/>
      </c>
      <c r="V141" s="105" t="str" cm="1">
        <f t="array" ref="V141">IFERROR(INDEX(DB!O$2:O$2576,T141),"")</f>
        <v/>
      </c>
      <c r="W141" s="106" t="str">
        <f t="shared" si="4"/>
        <v/>
      </c>
      <c r="X141" s="149" t="str">
        <f t="shared" si="5"/>
        <v/>
      </c>
      <c r="AB141" s="151"/>
      <c r="AC141" s="131"/>
      <c r="AE141" s="130"/>
      <c r="AF141" s="136"/>
      <c r="AH141" s="65"/>
      <c r="AI141" s="65"/>
      <c r="AJ141" s="65"/>
      <c r="AK141" s="65"/>
      <c r="AL141" s="65"/>
      <c r="AM141" s="65"/>
      <c r="AN141" s="65"/>
      <c r="BB141" s="11"/>
    </row>
    <row r="142" spans="1:54" ht="90" customHeight="1">
      <c r="A142" s="26"/>
      <c r="B142" s="73" t="str">
        <f t="shared" si="3"/>
        <v/>
      </c>
      <c r="C142" s="74"/>
      <c r="D142" s="96" t="str" cm="1">
        <f t="array" ref="D142">IFERROR(INDEX(DB!B$2:B$2576,X142),"")</f>
        <v/>
      </c>
      <c r="E142" s="107"/>
      <c r="F142" s="97" t="str" cm="1">
        <f t="array" ref="F142">IFERROR(INDEX(DB!C$2:C$2576,X142),"")</f>
        <v/>
      </c>
      <c r="G142" s="108"/>
      <c r="H142" s="98" t="str" cm="1">
        <f t="array" ref="H142">IFERROR(INDEX(DB!D$2:D$2576,X142),"")</f>
        <v/>
      </c>
      <c r="I142" s="109"/>
      <c r="J142" s="99" t="str" cm="1">
        <f t="array" ref="J142">IFERROR(INDEX(DB!O$2:O$2576,X142),"")</f>
        <v/>
      </c>
      <c r="K142" s="110"/>
      <c r="L142" s="75" t="str" cm="1">
        <f t="array" ref="L142">IFERROR(INDEX(DB!P$2:P$2576,X142),"")</f>
        <v/>
      </c>
      <c r="M142" s="76" t="str" cm="1">
        <f t="array" ref="M142">IFERROR(INDEX(DB!Q$2:Q$2576,X142),"")</f>
        <v/>
      </c>
      <c r="N142" s="77"/>
      <c r="O142" s="78" t="str" cm="1">
        <f t="array" ref="O142">IFERROR(INDEX(DB!R$2:R$2576,X142),"")</f>
        <v/>
      </c>
      <c r="P142" s="100"/>
      <c r="Q142" s="102"/>
      <c r="R142" s="150"/>
      <c r="S142" s="43"/>
      <c r="T142" s="66" t="str" cm="1">
        <f t="array" ref="T142">IFERROR(_xlfn.AGGREGATE(15,6,ROW(DB!A$2:A$2576)/(((($D$3&lt;&gt;"YES")+($D$3="YES")*(DB!E$2:E$2576="YES"))*(($D$4="")+($D$4&lt;&gt;"")*ISNUMBER(SEARCH($D$4,DB!G$2:G$2576)))*(($D$5="")+($D$5&lt;&gt;"")*(DB!B$2:B$2576=$D$5))*(($D$6="")+($D$6&lt;&gt;"")*(DB!C$2:C$2576=$D$6))*(($D$7="")+($D$7&lt;&gt;"")*(DB!D$2:D$2576=$D$7))*(($F$4="전체")+($F$4&lt;&gt;"전체")*(DB!H$2:H$2576=$F$4)))),ROW()-16)-1,"")</f>
        <v/>
      </c>
      <c r="U142" s="104" t="str" cm="1">
        <f t="array" ref="U142">IFERROR(INDEX(DB!B$2:B$2576,T142),"")</f>
        <v/>
      </c>
      <c r="V142" s="105" t="str" cm="1">
        <f t="array" ref="V142">IFERROR(INDEX(DB!O$2:O$2576,T142),"")</f>
        <v/>
      </c>
      <c r="W142" s="106" t="str">
        <f t="shared" si="4"/>
        <v/>
      </c>
      <c r="X142" s="149" t="str">
        <f t="shared" si="5"/>
        <v/>
      </c>
      <c r="AB142" s="151"/>
      <c r="AC142" s="131"/>
      <c r="AE142" s="130"/>
      <c r="AF142" s="136"/>
      <c r="AH142" s="65"/>
      <c r="AI142" s="65"/>
      <c r="AJ142" s="65"/>
      <c r="AK142" s="65"/>
      <c r="AL142" s="65"/>
      <c r="AM142" s="65"/>
      <c r="AN142" s="65"/>
      <c r="BB142" s="11"/>
    </row>
    <row r="143" spans="1:54" ht="90" customHeight="1">
      <c r="A143" s="26"/>
      <c r="B143" s="73" t="str">
        <f t="shared" si="3"/>
        <v/>
      </c>
      <c r="C143" s="74"/>
      <c r="D143" s="96" t="str" cm="1">
        <f t="array" ref="D143">IFERROR(INDEX(DB!B$2:B$2576,X143),"")</f>
        <v/>
      </c>
      <c r="E143" s="107"/>
      <c r="F143" s="97" t="str" cm="1">
        <f t="array" ref="F143">IFERROR(INDEX(DB!C$2:C$2576,X143),"")</f>
        <v/>
      </c>
      <c r="G143" s="108"/>
      <c r="H143" s="98" t="str" cm="1">
        <f t="array" ref="H143">IFERROR(INDEX(DB!D$2:D$2576,X143),"")</f>
        <v/>
      </c>
      <c r="I143" s="109"/>
      <c r="J143" s="99" t="str" cm="1">
        <f t="array" ref="J143">IFERROR(INDEX(DB!O$2:O$2576,X143),"")</f>
        <v/>
      </c>
      <c r="K143" s="110"/>
      <c r="L143" s="75" t="str" cm="1">
        <f t="array" ref="L143">IFERROR(INDEX(DB!P$2:P$2576,X143),"")</f>
        <v/>
      </c>
      <c r="M143" s="76" t="str" cm="1">
        <f t="array" ref="M143">IFERROR(INDEX(DB!Q$2:Q$2576,X143),"")</f>
        <v/>
      </c>
      <c r="N143" s="77"/>
      <c r="O143" s="78" t="str" cm="1">
        <f t="array" ref="O143">IFERROR(INDEX(DB!R$2:R$2576,X143),"")</f>
        <v/>
      </c>
      <c r="P143" s="100"/>
      <c r="Q143" s="102"/>
      <c r="R143" s="150"/>
      <c r="S143" s="43"/>
      <c r="T143" s="66" t="str" cm="1">
        <f t="array" ref="T143">IFERROR(_xlfn.AGGREGATE(15,6,ROW(DB!A$2:A$2576)/(((($D$3&lt;&gt;"YES")+($D$3="YES")*(DB!E$2:E$2576="YES"))*(($D$4="")+($D$4&lt;&gt;"")*ISNUMBER(SEARCH($D$4,DB!G$2:G$2576)))*(($D$5="")+($D$5&lt;&gt;"")*(DB!B$2:B$2576=$D$5))*(($D$6="")+($D$6&lt;&gt;"")*(DB!C$2:C$2576=$D$6))*(($D$7="")+($D$7&lt;&gt;"")*(DB!D$2:D$2576=$D$7))*(($F$4="전체")+($F$4&lt;&gt;"전체")*(DB!H$2:H$2576=$F$4)))),ROW()-16)-1,"")</f>
        <v/>
      </c>
      <c r="U143" s="104" t="str" cm="1">
        <f t="array" ref="U143">IFERROR(INDEX(DB!B$2:B$2576,T143),"")</f>
        <v/>
      </c>
      <c r="V143" s="105" t="str" cm="1">
        <f t="array" ref="V143">IFERROR(INDEX(DB!O$2:O$2576,T143),"")</f>
        <v/>
      </c>
      <c r="W143" s="106" t="str">
        <f t="shared" si="4"/>
        <v/>
      </c>
      <c r="X143" s="149" t="str">
        <f t="shared" si="5"/>
        <v/>
      </c>
      <c r="AB143" s="151"/>
      <c r="AC143" s="131"/>
      <c r="AE143" s="130"/>
      <c r="AF143" s="136"/>
      <c r="AH143" s="65"/>
      <c r="AI143" s="65"/>
      <c r="AJ143" s="65"/>
      <c r="AK143" s="65"/>
      <c r="AL143" s="65"/>
      <c r="AM143" s="65"/>
      <c r="AN143" s="65"/>
      <c r="BB143" s="11"/>
    </row>
    <row r="144" spans="1:54" ht="90" customHeight="1">
      <c r="A144" s="26"/>
      <c r="B144" s="73" t="str">
        <f t="shared" si="3"/>
        <v/>
      </c>
      <c r="C144" s="74"/>
      <c r="D144" s="96" t="str" cm="1">
        <f t="array" ref="D144">IFERROR(INDEX(DB!B$2:B$2576,X144),"")</f>
        <v/>
      </c>
      <c r="E144" s="107"/>
      <c r="F144" s="97" t="str" cm="1">
        <f t="array" ref="F144">IFERROR(INDEX(DB!C$2:C$2576,X144),"")</f>
        <v/>
      </c>
      <c r="G144" s="108"/>
      <c r="H144" s="98" t="str" cm="1">
        <f t="array" ref="H144">IFERROR(INDEX(DB!D$2:D$2576,X144),"")</f>
        <v/>
      </c>
      <c r="I144" s="109"/>
      <c r="J144" s="99" t="str" cm="1">
        <f t="array" ref="J144">IFERROR(INDEX(DB!O$2:O$2576,X144),"")</f>
        <v/>
      </c>
      <c r="K144" s="110"/>
      <c r="L144" s="75" t="str" cm="1">
        <f t="array" ref="L144">IFERROR(INDEX(DB!P$2:P$2576,X144),"")</f>
        <v/>
      </c>
      <c r="M144" s="76" t="str" cm="1">
        <f t="array" ref="M144">IFERROR(INDEX(DB!Q$2:Q$2576,X144),"")</f>
        <v/>
      </c>
      <c r="N144" s="77"/>
      <c r="O144" s="78" t="str" cm="1">
        <f t="array" ref="O144">IFERROR(INDEX(DB!R$2:R$2576,X144),"")</f>
        <v/>
      </c>
      <c r="P144" s="100"/>
      <c r="Q144" s="102"/>
      <c r="R144" s="150"/>
      <c r="S144" s="43"/>
      <c r="T144" s="66" t="str" cm="1">
        <f t="array" ref="T144">IFERROR(_xlfn.AGGREGATE(15,6,ROW(DB!A$2:A$2576)/(((($D$3&lt;&gt;"YES")+($D$3="YES")*(DB!E$2:E$2576="YES"))*(($D$4="")+($D$4&lt;&gt;"")*ISNUMBER(SEARCH($D$4,DB!G$2:G$2576)))*(($D$5="")+($D$5&lt;&gt;"")*(DB!B$2:B$2576=$D$5))*(($D$6="")+($D$6&lt;&gt;"")*(DB!C$2:C$2576=$D$6))*(($D$7="")+($D$7&lt;&gt;"")*(DB!D$2:D$2576=$D$7))*(($F$4="전체")+($F$4&lt;&gt;"전체")*(DB!H$2:H$2576=$F$4)))),ROW()-16)-1,"")</f>
        <v/>
      </c>
      <c r="U144" s="104" t="str" cm="1">
        <f t="array" ref="U144">IFERROR(INDEX(DB!B$2:B$2576,T144),"")</f>
        <v/>
      </c>
      <c r="V144" s="105" t="str" cm="1">
        <f t="array" ref="V144">IFERROR(INDEX(DB!O$2:O$2576,T144),"")</f>
        <v/>
      </c>
      <c r="W144" s="106" t="str">
        <f t="shared" si="4"/>
        <v/>
      </c>
      <c r="X144" s="149" t="str">
        <f t="shared" si="5"/>
        <v/>
      </c>
      <c r="AB144" s="151"/>
      <c r="AC144" s="131"/>
      <c r="AE144" s="130"/>
      <c r="AF144" s="136"/>
      <c r="AH144" s="65"/>
      <c r="AI144" s="65"/>
      <c r="AJ144" s="65"/>
      <c r="AK144" s="65"/>
      <c r="AL144" s="65"/>
      <c r="AM144" s="65"/>
      <c r="AN144" s="65"/>
      <c r="BB144" s="11"/>
    </row>
    <row r="145" spans="1:54" ht="90" customHeight="1">
      <c r="A145" s="26"/>
      <c r="B145" s="73" t="str">
        <f t="shared" si="3"/>
        <v/>
      </c>
      <c r="C145" s="74"/>
      <c r="D145" s="96" t="str" cm="1">
        <f t="array" ref="D145">IFERROR(INDEX(DB!B$2:B$2576,X145),"")</f>
        <v/>
      </c>
      <c r="E145" s="107"/>
      <c r="F145" s="97" t="str" cm="1">
        <f t="array" ref="F145">IFERROR(INDEX(DB!C$2:C$2576,X145),"")</f>
        <v/>
      </c>
      <c r="G145" s="108"/>
      <c r="H145" s="98" t="str" cm="1">
        <f t="array" ref="H145">IFERROR(INDEX(DB!D$2:D$2576,X145),"")</f>
        <v/>
      </c>
      <c r="I145" s="109"/>
      <c r="J145" s="99" t="str" cm="1">
        <f t="array" ref="J145">IFERROR(INDEX(DB!O$2:O$2576,X145),"")</f>
        <v/>
      </c>
      <c r="K145" s="110"/>
      <c r="L145" s="75" t="str" cm="1">
        <f t="array" ref="L145">IFERROR(INDEX(DB!P$2:P$2576,X145),"")</f>
        <v/>
      </c>
      <c r="M145" s="76" t="str" cm="1">
        <f t="array" ref="M145">IFERROR(INDEX(DB!Q$2:Q$2576,X145),"")</f>
        <v/>
      </c>
      <c r="N145" s="77"/>
      <c r="O145" s="78" t="str" cm="1">
        <f t="array" ref="O145">IFERROR(INDEX(DB!R$2:R$2576,X145),"")</f>
        <v/>
      </c>
      <c r="P145" s="100"/>
      <c r="Q145" s="102"/>
      <c r="R145" s="150"/>
      <c r="S145" s="43"/>
      <c r="T145" s="66" t="str" cm="1">
        <f t="array" ref="T145">IFERROR(_xlfn.AGGREGATE(15,6,ROW(DB!A$2:A$2576)/(((($D$3&lt;&gt;"YES")+($D$3="YES")*(DB!E$2:E$2576="YES"))*(($D$4="")+($D$4&lt;&gt;"")*ISNUMBER(SEARCH($D$4,DB!G$2:G$2576)))*(($D$5="")+($D$5&lt;&gt;"")*(DB!B$2:B$2576=$D$5))*(($D$6="")+($D$6&lt;&gt;"")*(DB!C$2:C$2576=$D$6))*(($D$7="")+($D$7&lt;&gt;"")*(DB!D$2:D$2576=$D$7))*(($F$4="전체")+($F$4&lt;&gt;"전체")*(DB!H$2:H$2576=$F$4)))),ROW()-16)-1,"")</f>
        <v/>
      </c>
      <c r="U145" s="104" t="str" cm="1">
        <f t="array" ref="U145">IFERROR(INDEX(DB!B$2:B$2576,T145),"")</f>
        <v/>
      </c>
      <c r="V145" s="105" t="str" cm="1">
        <f t="array" ref="V145">IFERROR(INDEX(DB!O$2:O$2576,T145),"")</f>
        <v/>
      </c>
      <c r="W145" s="106" t="str">
        <f t="shared" si="4"/>
        <v/>
      </c>
      <c r="X145" s="149" t="str">
        <f t="shared" si="5"/>
        <v/>
      </c>
      <c r="AB145" s="151"/>
      <c r="AC145" s="131"/>
      <c r="AE145" s="130"/>
      <c r="AF145" s="136"/>
      <c r="AH145" s="65"/>
      <c r="AI145" s="65"/>
      <c r="AJ145" s="65"/>
      <c r="AK145" s="65"/>
      <c r="AL145" s="65"/>
      <c r="AM145" s="65"/>
      <c r="AN145" s="65"/>
      <c r="BB145" s="11"/>
    </row>
    <row r="146" spans="1:54" ht="90" customHeight="1">
      <c r="A146" s="26"/>
      <c r="B146" s="73" t="str">
        <f t="shared" ref="B146:B209" si="6">IFERROR(IF(X146="","",ROW()-16),"")</f>
        <v/>
      </c>
      <c r="C146" s="74"/>
      <c r="D146" s="96" t="str" cm="1">
        <f t="array" ref="D146">IFERROR(INDEX(DB!B$2:B$2576,X146),"")</f>
        <v/>
      </c>
      <c r="E146" s="107"/>
      <c r="F146" s="97" t="str" cm="1">
        <f t="array" ref="F146">IFERROR(INDEX(DB!C$2:C$2576,X146),"")</f>
        <v/>
      </c>
      <c r="G146" s="108"/>
      <c r="H146" s="98" t="str" cm="1">
        <f t="array" ref="H146">IFERROR(INDEX(DB!D$2:D$2576,X146),"")</f>
        <v/>
      </c>
      <c r="I146" s="109"/>
      <c r="J146" s="99" t="str" cm="1">
        <f t="array" ref="J146">IFERROR(INDEX(DB!O$2:O$2576,X146),"")</f>
        <v/>
      </c>
      <c r="K146" s="110"/>
      <c r="L146" s="75" t="str" cm="1">
        <f t="array" ref="L146">IFERROR(INDEX(DB!P$2:P$2576,X146),"")</f>
        <v/>
      </c>
      <c r="M146" s="76" t="str" cm="1">
        <f t="array" ref="M146">IFERROR(INDEX(DB!Q$2:Q$2576,X146),"")</f>
        <v/>
      </c>
      <c r="N146" s="77"/>
      <c r="O146" s="78" t="str" cm="1">
        <f t="array" ref="O146">IFERROR(INDEX(DB!R$2:R$2576,X146),"")</f>
        <v/>
      </c>
      <c r="P146" s="100"/>
      <c r="Q146" s="102"/>
      <c r="R146" s="150"/>
      <c r="S146" s="43"/>
      <c r="T146" s="66" t="str" cm="1">
        <f t="array" ref="T146">IFERROR(_xlfn.AGGREGATE(15,6,ROW(DB!A$2:A$2576)/(((($D$3&lt;&gt;"YES")+($D$3="YES")*(DB!E$2:E$2576="YES"))*(($D$4="")+($D$4&lt;&gt;"")*ISNUMBER(SEARCH($D$4,DB!G$2:G$2576)))*(($D$5="")+($D$5&lt;&gt;"")*(DB!B$2:B$2576=$D$5))*(($D$6="")+($D$6&lt;&gt;"")*(DB!C$2:C$2576=$D$6))*(($D$7="")+($D$7&lt;&gt;"")*(DB!D$2:D$2576=$D$7))*(($F$4="전체")+($F$4&lt;&gt;"전체")*(DB!H$2:H$2576=$F$4)))),ROW()-16)-1,"")</f>
        <v/>
      </c>
      <c r="U146" s="104" t="str" cm="1">
        <f t="array" ref="U146">IFERROR(INDEX(DB!B$2:B$2576,T146),"")</f>
        <v/>
      </c>
      <c r="V146" s="105" t="str" cm="1">
        <f t="array" ref="V146">IFERROR(INDEX(DB!O$2:O$2576,T146),"")</f>
        <v/>
      </c>
      <c r="W146" s="106" t="str">
        <f t="shared" ref="W146:W209" si="7">IF(T146="","",COUNTIF($U$17:$U$216,"&lt;"&amp;U146)*100+COUNTIF($V$17:$V$216,"&lt;"&amp;V146)+(ROW()-16)*0.001)</f>
        <v/>
      </c>
      <c r="X146" s="149" t="str">
        <f t="shared" ref="X146:X209" si="8">IFERROR(INDEX($T$17:$T$216,MATCH(SMALL($W$17:$W$216,ROW()-16),$W$17:$W$216,0)),"")</f>
        <v/>
      </c>
      <c r="AB146" s="151"/>
      <c r="AC146" s="131"/>
      <c r="AE146" s="130"/>
      <c r="AF146" s="136"/>
      <c r="AH146" s="65"/>
      <c r="AI146" s="65"/>
      <c r="AJ146" s="65"/>
      <c r="AK146" s="65"/>
      <c r="AL146" s="65"/>
      <c r="AM146" s="65"/>
      <c r="AN146" s="65"/>
      <c r="BB146" s="11"/>
    </row>
    <row r="147" spans="1:54" ht="90" customHeight="1">
      <c r="A147" s="26"/>
      <c r="B147" s="73" t="str">
        <f t="shared" si="6"/>
        <v/>
      </c>
      <c r="C147" s="74"/>
      <c r="D147" s="96" t="str" cm="1">
        <f t="array" ref="D147">IFERROR(INDEX(DB!B$2:B$2576,X147),"")</f>
        <v/>
      </c>
      <c r="E147" s="107"/>
      <c r="F147" s="97" t="str" cm="1">
        <f t="array" ref="F147">IFERROR(INDEX(DB!C$2:C$2576,X147),"")</f>
        <v/>
      </c>
      <c r="G147" s="108"/>
      <c r="H147" s="98" t="str" cm="1">
        <f t="array" ref="H147">IFERROR(INDEX(DB!D$2:D$2576,X147),"")</f>
        <v/>
      </c>
      <c r="I147" s="109"/>
      <c r="J147" s="99" t="str" cm="1">
        <f t="array" ref="J147">IFERROR(INDEX(DB!O$2:O$2576,X147),"")</f>
        <v/>
      </c>
      <c r="K147" s="110"/>
      <c r="L147" s="75" t="str" cm="1">
        <f t="array" ref="L147">IFERROR(INDEX(DB!P$2:P$2576,X147),"")</f>
        <v/>
      </c>
      <c r="M147" s="76" t="str" cm="1">
        <f t="array" ref="M147">IFERROR(INDEX(DB!Q$2:Q$2576,X147),"")</f>
        <v/>
      </c>
      <c r="N147" s="77"/>
      <c r="O147" s="78" t="str" cm="1">
        <f t="array" ref="O147">IFERROR(INDEX(DB!R$2:R$2576,X147),"")</f>
        <v/>
      </c>
      <c r="P147" s="100"/>
      <c r="Q147" s="102"/>
      <c r="R147" s="150"/>
      <c r="S147" s="43"/>
      <c r="T147" s="66" t="str" cm="1">
        <f t="array" ref="T147">IFERROR(_xlfn.AGGREGATE(15,6,ROW(DB!A$2:A$2576)/(((($D$3&lt;&gt;"YES")+($D$3="YES")*(DB!E$2:E$2576="YES"))*(($D$4="")+($D$4&lt;&gt;"")*ISNUMBER(SEARCH($D$4,DB!G$2:G$2576)))*(($D$5="")+($D$5&lt;&gt;"")*(DB!B$2:B$2576=$D$5))*(($D$6="")+($D$6&lt;&gt;"")*(DB!C$2:C$2576=$D$6))*(($D$7="")+($D$7&lt;&gt;"")*(DB!D$2:D$2576=$D$7))*(($F$4="전체")+($F$4&lt;&gt;"전체")*(DB!H$2:H$2576=$F$4)))),ROW()-16)-1,"")</f>
        <v/>
      </c>
      <c r="U147" s="104" t="str" cm="1">
        <f t="array" ref="U147">IFERROR(INDEX(DB!B$2:B$2576,T147),"")</f>
        <v/>
      </c>
      <c r="V147" s="105" t="str" cm="1">
        <f t="array" ref="V147">IFERROR(INDEX(DB!O$2:O$2576,T147),"")</f>
        <v/>
      </c>
      <c r="W147" s="106" t="str">
        <f t="shared" si="7"/>
        <v/>
      </c>
      <c r="X147" s="149" t="str">
        <f t="shared" si="8"/>
        <v/>
      </c>
      <c r="AB147" s="151"/>
      <c r="AC147" s="131"/>
      <c r="AE147" s="130"/>
      <c r="AF147" s="136"/>
      <c r="AH147" s="65"/>
      <c r="AI147" s="65"/>
      <c r="AJ147" s="65"/>
      <c r="AK147" s="65"/>
      <c r="AL147" s="65"/>
      <c r="AM147" s="65"/>
      <c r="AN147" s="65"/>
      <c r="BB147" s="11"/>
    </row>
    <row r="148" spans="1:54" ht="90" customHeight="1">
      <c r="A148" s="26"/>
      <c r="B148" s="73" t="str">
        <f t="shared" si="6"/>
        <v/>
      </c>
      <c r="C148" s="74"/>
      <c r="D148" s="96" t="str" cm="1">
        <f t="array" ref="D148">IFERROR(INDEX(DB!B$2:B$2576,X148),"")</f>
        <v/>
      </c>
      <c r="E148" s="107"/>
      <c r="F148" s="97" t="str" cm="1">
        <f t="array" ref="F148">IFERROR(INDEX(DB!C$2:C$2576,X148),"")</f>
        <v/>
      </c>
      <c r="G148" s="108"/>
      <c r="H148" s="98" t="str" cm="1">
        <f t="array" ref="H148">IFERROR(INDEX(DB!D$2:D$2576,X148),"")</f>
        <v/>
      </c>
      <c r="I148" s="109"/>
      <c r="J148" s="99" t="str" cm="1">
        <f t="array" ref="J148">IFERROR(INDEX(DB!O$2:O$2576,X148),"")</f>
        <v/>
      </c>
      <c r="K148" s="110"/>
      <c r="L148" s="75" t="str" cm="1">
        <f t="array" ref="L148">IFERROR(INDEX(DB!P$2:P$2576,X148),"")</f>
        <v/>
      </c>
      <c r="M148" s="76" t="str" cm="1">
        <f t="array" ref="M148">IFERROR(INDEX(DB!Q$2:Q$2576,X148),"")</f>
        <v/>
      </c>
      <c r="N148" s="77"/>
      <c r="O148" s="78" t="str" cm="1">
        <f t="array" ref="O148">IFERROR(INDEX(DB!R$2:R$2576,X148),"")</f>
        <v/>
      </c>
      <c r="P148" s="100"/>
      <c r="Q148" s="102"/>
      <c r="R148" s="150"/>
      <c r="S148" s="43"/>
      <c r="T148" s="66" t="str" cm="1">
        <f t="array" ref="T148">IFERROR(_xlfn.AGGREGATE(15,6,ROW(DB!A$2:A$2576)/(((($D$3&lt;&gt;"YES")+($D$3="YES")*(DB!E$2:E$2576="YES"))*(($D$4="")+($D$4&lt;&gt;"")*ISNUMBER(SEARCH($D$4,DB!G$2:G$2576)))*(($D$5="")+($D$5&lt;&gt;"")*(DB!B$2:B$2576=$D$5))*(($D$6="")+($D$6&lt;&gt;"")*(DB!C$2:C$2576=$D$6))*(($D$7="")+($D$7&lt;&gt;"")*(DB!D$2:D$2576=$D$7))*(($F$4="전체")+($F$4&lt;&gt;"전체")*(DB!H$2:H$2576=$F$4)))),ROW()-16)-1,"")</f>
        <v/>
      </c>
      <c r="U148" s="104" t="str" cm="1">
        <f t="array" ref="U148">IFERROR(INDEX(DB!B$2:B$2576,T148),"")</f>
        <v/>
      </c>
      <c r="V148" s="105" t="str" cm="1">
        <f t="array" ref="V148">IFERROR(INDEX(DB!O$2:O$2576,T148),"")</f>
        <v/>
      </c>
      <c r="W148" s="106" t="str">
        <f t="shared" si="7"/>
        <v/>
      </c>
      <c r="X148" s="149" t="str">
        <f t="shared" si="8"/>
        <v/>
      </c>
      <c r="AB148" s="151"/>
      <c r="AC148" s="131"/>
      <c r="AE148" s="130"/>
      <c r="AF148" s="136"/>
      <c r="AH148" s="65"/>
      <c r="AI148" s="65"/>
      <c r="AJ148" s="65"/>
      <c r="AK148" s="65"/>
      <c r="AL148" s="65"/>
      <c r="AM148" s="65"/>
      <c r="AN148" s="65"/>
      <c r="BB148" s="11"/>
    </row>
    <row r="149" spans="1:54" ht="90" customHeight="1">
      <c r="A149" s="26"/>
      <c r="B149" s="73" t="str">
        <f t="shared" si="6"/>
        <v/>
      </c>
      <c r="C149" s="74"/>
      <c r="D149" s="96" t="str" cm="1">
        <f t="array" ref="D149">IFERROR(INDEX(DB!B$2:B$2576,X149),"")</f>
        <v/>
      </c>
      <c r="E149" s="107"/>
      <c r="F149" s="97" t="str" cm="1">
        <f t="array" ref="F149">IFERROR(INDEX(DB!C$2:C$2576,X149),"")</f>
        <v/>
      </c>
      <c r="G149" s="108"/>
      <c r="H149" s="98" t="str" cm="1">
        <f t="array" ref="H149">IFERROR(INDEX(DB!D$2:D$2576,X149),"")</f>
        <v/>
      </c>
      <c r="I149" s="109"/>
      <c r="J149" s="99" t="str" cm="1">
        <f t="array" ref="J149">IFERROR(INDEX(DB!O$2:O$2576,X149),"")</f>
        <v/>
      </c>
      <c r="K149" s="110"/>
      <c r="L149" s="75" t="str" cm="1">
        <f t="array" ref="L149">IFERROR(INDEX(DB!P$2:P$2576,X149),"")</f>
        <v/>
      </c>
      <c r="M149" s="76" t="str" cm="1">
        <f t="array" ref="M149">IFERROR(INDEX(DB!Q$2:Q$2576,X149),"")</f>
        <v/>
      </c>
      <c r="N149" s="77"/>
      <c r="O149" s="78" t="str" cm="1">
        <f t="array" ref="O149">IFERROR(INDEX(DB!R$2:R$2576,X149),"")</f>
        <v/>
      </c>
      <c r="P149" s="100"/>
      <c r="Q149" s="102"/>
      <c r="R149" s="150"/>
      <c r="S149" s="43"/>
      <c r="T149" s="66" t="str" cm="1">
        <f t="array" ref="T149">IFERROR(_xlfn.AGGREGATE(15,6,ROW(DB!A$2:A$2576)/(((($D$3&lt;&gt;"YES")+($D$3="YES")*(DB!E$2:E$2576="YES"))*(($D$4="")+($D$4&lt;&gt;"")*ISNUMBER(SEARCH($D$4,DB!G$2:G$2576)))*(($D$5="")+($D$5&lt;&gt;"")*(DB!B$2:B$2576=$D$5))*(($D$6="")+($D$6&lt;&gt;"")*(DB!C$2:C$2576=$D$6))*(($D$7="")+($D$7&lt;&gt;"")*(DB!D$2:D$2576=$D$7))*(($F$4="전체")+($F$4&lt;&gt;"전체")*(DB!H$2:H$2576=$F$4)))),ROW()-16)-1,"")</f>
        <v/>
      </c>
      <c r="U149" s="104" t="str" cm="1">
        <f t="array" ref="U149">IFERROR(INDEX(DB!B$2:B$2576,T149),"")</f>
        <v/>
      </c>
      <c r="V149" s="105" t="str" cm="1">
        <f t="array" ref="V149">IFERROR(INDEX(DB!O$2:O$2576,T149),"")</f>
        <v/>
      </c>
      <c r="W149" s="106" t="str">
        <f t="shared" si="7"/>
        <v/>
      </c>
      <c r="X149" s="149" t="str">
        <f t="shared" si="8"/>
        <v/>
      </c>
      <c r="AB149" s="151"/>
      <c r="AC149" s="131"/>
      <c r="AE149" s="130"/>
      <c r="AF149" s="136"/>
      <c r="AH149" s="65"/>
      <c r="AI149" s="65"/>
      <c r="AJ149" s="65"/>
      <c r="AK149" s="65"/>
      <c r="AL149" s="65"/>
      <c r="AM149" s="65"/>
      <c r="AN149" s="65"/>
      <c r="BB149" s="11"/>
    </row>
    <row r="150" spans="1:54" ht="90" customHeight="1">
      <c r="A150" s="26"/>
      <c r="B150" s="73" t="str">
        <f t="shared" si="6"/>
        <v/>
      </c>
      <c r="C150" s="74"/>
      <c r="D150" s="96" t="str" cm="1">
        <f t="array" ref="D150">IFERROR(INDEX(DB!B$2:B$2576,X150),"")</f>
        <v/>
      </c>
      <c r="E150" s="107"/>
      <c r="F150" s="97" t="str" cm="1">
        <f t="array" ref="F150">IFERROR(INDEX(DB!C$2:C$2576,X150),"")</f>
        <v/>
      </c>
      <c r="G150" s="108"/>
      <c r="H150" s="98" t="str" cm="1">
        <f t="array" ref="H150">IFERROR(INDEX(DB!D$2:D$2576,X150),"")</f>
        <v/>
      </c>
      <c r="I150" s="109"/>
      <c r="J150" s="99" t="str" cm="1">
        <f t="array" ref="J150">IFERROR(INDEX(DB!O$2:O$2576,X150),"")</f>
        <v/>
      </c>
      <c r="K150" s="110"/>
      <c r="L150" s="75" t="str" cm="1">
        <f t="array" ref="L150">IFERROR(INDEX(DB!P$2:P$2576,X150),"")</f>
        <v/>
      </c>
      <c r="M150" s="76" t="str" cm="1">
        <f t="array" ref="M150">IFERROR(INDEX(DB!Q$2:Q$2576,X150),"")</f>
        <v/>
      </c>
      <c r="N150" s="77"/>
      <c r="O150" s="78" t="str" cm="1">
        <f t="array" ref="O150">IFERROR(INDEX(DB!R$2:R$2576,X150),"")</f>
        <v/>
      </c>
      <c r="P150" s="100"/>
      <c r="Q150" s="102"/>
      <c r="R150" s="150"/>
      <c r="S150" s="43"/>
      <c r="T150" s="66" t="str" cm="1">
        <f t="array" ref="T150">IFERROR(_xlfn.AGGREGATE(15,6,ROW(DB!A$2:A$2576)/(((($D$3&lt;&gt;"YES")+($D$3="YES")*(DB!E$2:E$2576="YES"))*(($D$4="")+($D$4&lt;&gt;"")*ISNUMBER(SEARCH($D$4,DB!G$2:G$2576)))*(($D$5="")+($D$5&lt;&gt;"")*(DB!B$2:B$2576=$D$5))*(($D$6="")+($D$6&lt;&gt;"")*(DB!C$2:C$2576=$D$6))*(($D$7="")+($D$7&lt;&gt;"")*(DB!D$2:D$2576=$D$7))*(($F$4="전체")+($F$4&lt;&gt;"전체")*(DB!H$2:H$2576=$F$4)))),ROW()-16)-1,"")</f>
        <v/>
      </c>
      <c r="U150" s="104" t="str" cm="1">
        <f t="array" ref="U150">IFERROR(INDEX(DB!B$2:B$2576,T150),"")</f>
        <v/>
      </c>
      <c r="V150" s="105" t="str" cm="1">
        <f t="array" ref="V150">IFERROR(INDEX(DB!O$2:O$2576,T150),"")</f>
        <v/>
      </c>
      <c r="W150" s="106" t="str">
        <f t="shared" si="7"/>
        <v/>
      </c>
      <c r="X150" s="149" t="str">
        <f t="shared" si="8"/>
        <v/>
      </c>
      <c r="AB150" s="151"/>
      <c r="AC150" s="131"/>
      <c r="AE150" s="130"/>
      <c r="AF150" s="136"/>
      <c r="AH150" s="65"/>
      <c r="AI150" s="65"/>
      <c r="AJ150" s="65"/>
      <c r="AK150" s="65"/>
      <c r="AL150" s="65"/>
      <c r="AM150" s="65"/>
      <c r="AN150" s="65"/>
      <c r="BB150" s="11"/>
    </row>
    <row r="151" spans="1:54" ht="90" customHeight="1">
      <c r="A151" s="26"/>
      <c r="B151" s="73" t="str">
        <f t="shared" si="6"/>
        <v/>
      </c>
      <c r="C151" s="74"/>
      <c r="D151" s="96" t="str" cm="1">
        <f t="array" ref="D151">IFERROR(INDEX(DB!B$2:B$2576,X151),"")</f>
        <v/>
      </c>
      <c r="E151" s="107"/>
      <c r="F151" s="97" t="str" cm="1">
        <f t="array" ref="F151">IFERROR(INDEX(DB!C$2:C$2576,X151),"")</f>
        <v/>
      </c>
      <c r="G151" s="108"/>
      <c r="H151" s="98" t="str" cm="1">
        <f t="array" ref="H151">IFERROR(INDEX(DB!D$2:D$2576,X151),"")</f>
        <v/>
      </c>
      <c r="I151" s="109"/>
      <c r="J151" s="99" t="str" cm="1">
        <f t="array" ref="J151">IFERROR(INDEX(DB!O$2:O$2576,X151),"")</f>
        <v/>
      </c>
      <c r="K151" s="110"/>
      <c r="L151" s="75" t="str" cm="1">
        <f t="array" ref="L151">IFERROR(INDEX(DB!P$2:P$2576,X151),"")</f>
        <v/>
      </c>
      <c r="M151" s="76" t="str" cm="1">
        <f t="array" ref="M151">IFERROR(INDEX(DB!Q$2:Q$2576,X151),"")</f>
        <v/>
      </c>
      <c r="N151" s="77"/>
      <c r="O151" s="78" t="str" cm="1">
        <f t="array" ref="O151">IFERROR(INDEX(DB!R$2:R$2576,X151),"")</f>
        <v/>
      </c>
      <c r="P151" s="100"/>
      <c r="Q151" s="102"/>
      <c r="R151" s="150"/>
      <c r="S151" s="43"/>
      <c r="T151" s="66" t="str" cm="1">
        <f t="array" ref="T151">IFERROR(_xlfn.AGGREGATE(15,6,ROW(DB!A$2:A$2576)/(((($D$3&lt;&gt;"YES")+($D$3="YES")*(DB!E$2:E$2576="YES"))*(($D$4="")+($D$4&lt;&gt;"")*ISNUMBER(SEARCH($D$4,DB!G$2:G$2576)))*(($D$5="")+($D$5&lt;&gt;"")*(DB!B$2:B$2576=$D$5))*(($D$6="")+($D$6&lt;&gt;"")*(DB!C$2:C$2576=$D$6))*(($D$7="")+($D$7&lt;&gt;"")*(DB!D$2:D$2576=$D$7))*(($F$4="전체")+($F$4&lt;&gt;"전체")*(DB!H$2:H$2576=$F$4)))),ROW()-16)-1,"")</f>
        <v/>
      </c>
      <c r="U151" s="104" t="str" cm="1">
        <f t="array" ref="U151">IFERROR(INDEX(DB!B$2:B$2576,T151),"")</f>
        <v/>
      </c>
      <c r="V151" s="105" t="str" cm="1">
        <f t="array" ref="V151">IFERROR(INDEX(DB!O$2:O$2576,T151),"")</f>
        <v/>
      </c>
      <c r="W151" s="106" t="str">
        <f t="shared" si="7"/>
        <v/>
      </c>
      <c r="X151" s="149" t="str">
        <f t="shared" si="8"/>
        <v/>
      </c>
      <c r="AB151" s="151"/>
      <c r="AC151" s="131"/>
      <c r="AE151" s="130"/>
      <c r="AF151" s="136"/>
      <c r="AH151" s="65"/>
      <c r="AI151" s="65"/>
      <c r="AJ151" s="65"/>
      <c r="AK151" s="65"/>
      <c r="AL151" s="65"/>
      <c r="AM151" s="65"/>
      <c r="AN151" s="65"/>
      <c r="BB151" s="11"/>
    </row>
    <row r="152" spans="1:54" ht="90" customHeight="1">
      <c r="A152" s="26"/>
      <c r="B152" s="73" t="str">
        <f t="shared" si="6"/>
        <v/>
      </c>
      <c r="C152" s="74"/>
      <c r="D152" s="96" t="str" cm="1">
        <f t="array" ref="D152">IFERROR(INDEX(DB!B$2:B$2576,X152),"")</f>
        <v/>
      </c>
      <c r="E152" s="107"/>
      <c r="F152" s="97" t="str" cm="1">
        <f t="array" ref="F152">IFERROR(INDEX(DB!C$2:C$2576,X152),"")</f>
        <v/>
      </c>
      <c r="G152" s="108"/>
      <c r="H152" s="98" t="str" cm="1">
        <f t="array" ref="H152">IFERROR(INDEX(DB!D$2:D$2576,X152),"")</f>
        <v/>
      </c>
      <c r="I152" s="109"/>
      <c r="J152" s="99" t="str" cm="1">
        <f t="array" ref="J152">IFERROR(INDEX(DB!O$2:O$2576,X152),"")</f>
        <v/>
      </c>
      <c r="K152" s="110"/>
      <c r="L152" s="75" t="str" cm="1">
        <f t="array" ref="L152">IFERROR(INDEX(DB!P$2:P$2576,X152),"")</f>
        <v/>
      </c>
      <c r="M152" s="76" t="str" cm="1">
        <f t="array" ref="M152">IFERROR(INDEX(DB!Q$2:Q$2576,X152),"")</f>
        <v/>
      </c>
      <c r="N152" s="77"/>
      <c r="O152" s="78" t="str" cm="1">
        <f t="array" ref="O152">IFERROR(INDEX(DB!R$2:R$2576,X152),"")</f>
        <v/>
      </c>
      <c r="P152" s="100"/>
      <c r="Q152" s="102"/>
      <c r="R152" s="150"/>
      <c r="S152" s="43"/>
      <c r="T152" s="66" t="str" cm="1">
        <f t="array" ref="T152">IFERROR(_xlfn.AGGREGATE(15,6,ROW(DB!A$2:A$2576)/(((($D$3&lt;&gt;"YES")+($D$3="YES")*(DB!E$2:E$2576="YES"))*(($D$4="")+($D$4&lt;&gt;"")*ISNUMBER(SEARCH($D$4,DB!G$2:G$2576)))*(($D$5="")+($D$5&lt;&gt;"")*(DB!B$2:B$2576=$D$5))*(($D$6="")+($D$6&lt;&gt;"")*(DB!C$2:C$2576=$D$6))*(($D$7="")+($D$7&lt;&gt;"")*(DB!D$2:D$2576=$D$7))*(($F$4="전체")+($F$4&lt;&gt;"전체")*(DB!H$2:H$2576=$F$4)))),ROW()-16)-1,"")</f>
        <v/>
      </c>
      <c r="U152" s="104" t="str" cm="1">
        <f t="array" ref="U152">IFERROR(INDEX(DB!B$2:B$2576,T152),"")</f>
        <v/>
      </c>
      <c r="V152" s="105" t="str" cm="1">
        <f t="array" ref="V152">IFERROR(INDEX(DB!O$2:O$2576,T152),"")</f>
        <v/>
      </c>
      <c r="W152" s="106" t="str">
        <f t="shared" si="7"/>
        <v/>
      </c>
      <c r="X152" s="149" t="str">
        <f t="shared" si="8"/>
        <v/>
      </c>
      <c r="AB152" s="151"/>
      <c r="AC152" s="131"/>
      <c r="AE152" s="130"/>
      <c r="AF152" s="136"/>
      <c r="AH152" s="65"/>
      <c r="AI152" s="65"/>
      <c r="AJ152" s="65"/>
      <c r="AK152" s="65"/>
      <c r="AL152" s="65"/>
      <c r="AM152" s="65"/>
      <c r="AN152" s="65"/>
      <c r="BB152" s="11"/>
    </row>
    <row r="153" spans="1:54" ht="90" customHeight="1">
      <c r="A153" s="26"/>
      <c r="B153" s="73" t="str">
        <f t="shared" si="6"/>
        <v/>
      </c>
      <c r="C153" s="74"/>
      <c r="D153" s="96" t="str" cm="1">
        <f t="array" ref="D153">IFERROR(INDEX(DB!B$2:B$2576,X153),"")</f>
        <v/>
      </c>
      <c r="E153" s="107"/>
      <c r="F153" s="97" t="str" cm="1">
        <f t="array" ref="F153">IFERROR(INDEX(DB!C$2:C$2576,X153),"")</f>
        <v/>
      </c>
      <c r="G153" s="108"/>
      <c r="H153" s="98" t="str" cm="1">
        <f t="array" ref="H153">IFERROR(INDEX(DB!D$2:D$2576,X153),"")</f>
        <v/>
      </c>
      <c r="I153" s="109"/>
      <c r="J153" s="99" t="str" cm="1">
        <f t="array" ref="J153">IFERROR(INDEX(DB!O$2:O$2576,X153),"")</f>
        <v/>
      </c>
      <c r="K153" s="110"/>
      <c r="L153" s="75" t="str" cm="1">
        <f t="array" ref="L153">IFERROR(INDEX(DB!P$2:P$2576,X153),"")</f>
        <v/>
      </c>
      <c r="M153" s="76" t="str" cm="1">
        <f t="array" ref="M153">IFERROR(INDEX(DB!Q$2:Q$2576,X153),"")</f>
        <v/>
      </c>
      <c r="N153" s="77"/>
      <c r="O153" s="78" t="str" cm="1">
        <f t="array" ref="O153">IFERROR(INDEX(DB!R$2:R$2576,X153),"")</f>
        <v/>
      </c>
      <c r="P153" s="100"/>
      <c r="Q153" s="102"/>
      <c r="R153" s="150"/>
      <c r="S153" s="43"/>
      <c r="T153" s="66" t="str" cm="1">
        <f t="array" ref="T153">IFERROR(_xlfn.AGGREGATE(15,6,ROW(DB!A$2:A$2576)/(((($D$3&lt;&gt;"YES")+($D$3="YES")*(DB!E$2:E$2576="YES"))*(($D$4="")+($D$4&lt;&gt;"")*ISNUMBER(SEARCH($D$4,DB!G$2:G$2576)))*(($D$5="")+($D$5&lt;&gt;"")*(DB!B$2:B$2576=$D$5))*(($D$6="")+($D$6&lt;&gt;"")*(DB!C$2:C$2576=$D$6))*(($D$7="")+($D$7&lt;&gt;"")*(DB!D$2:D$2576=$D$7))*(($F$4="전체")+($F$4&lt;&gt;"전체")*(DB!H$2:H$2576=$F$4)))),ROW()-16)-1,"")</f>
        <v/>
      </c>
      <c r="U153" s="104" t="str" cm="1">
        <f t="array" ref="U153">IFERROR(INDEX(DB!B$2:B$2576,T153),"")</f>
        <v/>
      </c>
      <c r="V153" s="105" t="str" cm="1">
        <f t="array" ref="V153">IFERROR(INDEX(DB!O$2:O$2576,T153),"")</f>
        <v/>
      </c>
      <c r="W153" s="106" t="str">
        <f t="shared" si="7"/>
        <v/>
      </c>
      <c r="X153" s="149" t="str">
        <f t="shared" si="8"/>
        <v/>
      </c>
      <c r="AB153" s="151"/>
      <c r="AC153" s="131"/>
      <c r="AE153" s="130"/>
      <c r="AF153" s="136"/>
      <c r="AH153" s="65"/>
      <c r="AI153" s="65"/>
      <c r="AJ153" s="65"/>
      <c r="AK153" s="65"/>
      <c r="AL153" s="65"/>
      <c r="AM153" s="65"/>
      <c r="AN153" s="65"/>
      <c r="BB153" s="11"/>
    </row>
    <row r="154" spans="1:54" ht="90" customHeight="1">
      <c r="A154" s="26"/>
      <c r="B154" s="73" t="str">
        <f t="shared" si="6"/>
        <v/>
      </c>
      <c r="C154" s="74"/>
      <c r="D154" s="96" t="str" cm="1">
        <f t="array" ref="D154">IFERROR(INDEX(DB!B$2:B$2576,X154),"")</f>
        <v/>
      </c>
      <c r="E154" s="107"/>
      <c r="F154" s="97" t="str" cm="1">
        <f t="array" ref="F154">IFERROR(INDEX(DB!C$2:C$2576,X154),"")</f>
        <v/>
      </c>
      <c r="G154" s="108"/>
      <c r="H154" s="98" t="str" cm="1">
        <f t="array" ref="H154">IFERROR(INDEX(DB!D$2:D$2576,X154),"")</f>
        <v/>
      </c>
      <c r="I154" s="109"/>
      <c r="J154" s="99" t="str" cm="1">
        <f t="array" ref="J154">IFERROR(INDEX(DB!O$2:O$2576,X154),"")</f>
        <v/>
      </c>
      <c r="K154" s="110"/>
      <c r="L154" s="75" t="str" cm="1">
        <f t="array" ref="L154">IFERROR(INDEX(DB!P$2:P$2576,X154),"")</f>
        <v/>
      </c>
      <c r="M154" s="76" t="str" cm="1">
        <f t="array" ref="M154">IFERROR(INDEX(DB!Q$2:Q$2576,X154),"")</f>
        <v/>
      </c>
      <c r="N154" s="77"/>
      <c r="O154" s="78" t="str" cm="1">
        <f t="array" ref="O154">IFERROR(INDEX(DB!R$2:R$2576,X154),"")</f>
        <v/>
      </c>
      <c r="P154" s="100"/>
      <c r="Q154" s="102"/>
      <c r="R154" s="150"/>
      <c r="S154" s="43"/>
      <c r="T154" s="66" t="str" cm="1">
        <f t="array" ref="T154">IFERROR(_xlfn.AGGREGATE(15,6,ROW(DB!A$2:A$2576)/(((($D$3&lt;&gt;"YES")+($D$3="YES")*(DB!E$2:E$2576="YES"))*(($D$4="")+($D$4&lt;&gt;"")*ISNUMBER(SEARCH($D$4,DB!G$2:G$2576)))*(($D$5="")+($D$5&lt;&gt;"")*(DB!B$2:B$2576=$D$5))*(($D$6="")+($D$6&lt;&gt;"")*(DB!C$2:C$2576=$D$6))*(($D$7="")+($D$7&lt;&gt;"")*(DB!D$2:D$2576=$D$7))*(($F$4="전체")+($F$4&lt;&gt;"전체")*(DB!H$2:H$2576=$F$4)))),ROW()-16)-1,"")</f>
        <v/>
      </c>
      <c r="U154" s="104" t="str" cm="1">
        <f t="array" ref="U154">IFERROR(INDEX(DB!B$2:B$2576,T154),"")</f>
        <v/>
      </c>
      <c r="V154" s="105" t="str" cm="1">
        <f t="array" ref="V154">IFERROR(INDEX(DB!O$2:O$2576,T154),"")</f>
        <v/>
      </c>
      <c r="W154" s="106" t="str">
        <f t="shared" si="7"/>
        <v/>
      </c>
      <c r="X154" s="149" t="str">
        <f t="shared" si="8"/>
        <v/>
      </c>
      <c r="AB154" s="151"/>
      <c r="AC154" s="131"/>
      <c r="AE154" s="130"/>
      <c r="AF154" s="136"/>
      <c r="AH154" s="65"/>
      <c r="AI154" s="65"/>
      <c r="AJ154" s="65"/>
      <c r="AK154" s="65"/>
      <c r="AL154" s="65"/>
      <c r="AM154" s="65"/>
      <c r="AN154" s="65"/>
      <c r="BB154" s="11"/>
    </row>
    <row r="155" spans="1:54" ht="90" customHeight="1">
      <c r="A155" s="26"/>
      <c r="B155" s="73" t="str">
        <f t="shared" si="6"/>
        <v/>
      </c>
      <c r="C155" s="74"/>
      <c r="D155" s="96" t="str" cm="1">
        <f t="array" ref="D155">IFERROR(INDEX(DB!B$2:B$2576,X155),"")</f>
        <v/>
      </c>
      <c r="E155" s="107"/>
      <c r="F155" s="97" t="str" cm="1">
        <f t="array" ref="F155">IFERROR(INDEX(DB!C$2:C$2576,X155),"")</f>
        <v/>
      </c>
      <c r="G155" s="108"/>
      <c r="H155" s="98" t="str" cm="1">
        <f t="array" ref="H155">IFERROR(INDEX(DB!D$2:D$2576,X155),"")</f>
        <v/>
      </c>
      <c r="I155" s="109"/>
      <c r="J155" s="99" t="str" cm="1">
        <f t="array" ref="J155">IFERROR(INDEX(DB!O$2:O$2576,X155),"")</f>
        <v/>
      </c>
      <c r="K155" s="110"/>
      <c r="L155" s="75" t="str" cm="1">
        <f t="array" ref="L155">IFERROR(INDEX(DB!P$2:P$2576,X155),"")</f>
        <v/>
      </c>
      <c r="M155" s="76" t="str" cm="1">
        <f t="array" ref="M155">IFERROR(INDEX(DB!Q$2:Q$2576,X155),"")</f>
        <v/>
      </c>
      <c r="N155" s="77"/>
      <c r="O155" s="78" t="str" cm="1">
        <f t="array" ref="O155">IFERROR(INDEX(DB!R$2:R$2576,X155),"")</f>
        <v/>
      </c>
      <c r="P155" s="100"/>
      <c r="Q155" s="102"/>
      <c r="R155" s="150"/>
      <c r="S155" s="43"/>
      <c r="T155" s="66" t="str" cm="1">
        <f t="array" ref="T155">IFERROR(_xlfn.AGGREGATE(15,6,ROW(DB!A$2:A$2576)/(((($D$3&lt;&gt;"YES")+($D$3="YES")*(DB!E$2:E$2576="YES"))*(($D$4="")+($D$4&lt;&gt;"")*ISNUMBER(SEARCH($D$4,DB!G$2:G$2576)))*(($D$5="")+($D$5&lt;&gt;"")*(DB!B$2:B$2576=$D$5))*(($D$6="")+($D$6&lt;&gt;"")*(DB!C$2:C$2576=$D$6))*(($D$7="")+($D$7&lt;&gt;"")*(DB!D$2:D$2576=$D$7))*(($F$4="전체")+($F$4&lt;&gt;"전체")*(DB!H$2:H$2576=$F$4)))),ROW()-16)-1,"")</f>
        <v/>
      </c>
      <c r="U155" s="104" t="str" cm="1">
        <f t="array" ref="U155">IFERROR(INDEX(DB!B$2:B$2576,T155),"")</f>
        <v/>
      </c>
      <c r="V155" s="105" t="str" cm="1">
        <f t="array" ref="V155">IFERROR(INDEX(DB!O$2:O$2576,T155),"")</f>
        <v/>
      </c>
      <c r="W155" s="106" t="str">
        <f t="shared" si="7"/>
        <v/>
      </c>
      <c r="X155" s="149" t="str">
        <f t="shared" si="8"/>
        <v/>
      </c>
      <c r="AB155" s="151"/>
      <c r="AC155" s="131"/>
      <c r="AE155" s="130"/>
      <c r="AF155" s="136"/>
      <c r="AH155" s="65"/>
      <c r="AI155" s="65"/>
      <c r="AJ155" s="65"/>
      <c r="AK155" s="65"/>
      <c r="AL155" s="65"/>
      <c r="AM155" s="65"/>
      <c r="AN155" s="65"/>
      <c r="BB155" s="11"/>
    </row>
    <row r="156" spans="1:54" ht="90" customHeight="1">
      <c r="A156" s="26"/>
      <c r="B156" s="73" t="str">
        <f t="shared" si="6"/>
        <v/>
      </c>
      <c r="C156" s="74"/>
      <c r="D156" s="96" t="str" cm="1">
        <f t="array" ref="D156">IFERROR(INDEX(DB!B$2:B$2576,X156),"")</f>
        <v/>
      </c>
      <c r="E156" s="107"/>
      <c r="F156" s="97" t="str" cm="1">
        <f t="array" ref="F156">IFERROR(INDEX(DB!C$2:C$2576,X156),"")</f>
        <v/>
      </c>
      <c r="G156" s="108"/>
      <c r="H156" s="98" t="str" cm="1">
        <f t="array" ref="H156">IFERROR(INDEX(DB!D$2:D$2576,X156),"")</f>
        <v/>
      </c>
      <c r="I156" s="109"/>
      <c r="J156" s="99" t="str" cm="1">
        <f t="array" ref="J156">IFERROR(INDEX(DB!O$2:O$2576,X156),"")</f>
        <v/>
      </c>
      <c r="K156" s="110"/>
      <c r="L156" s="75" t="str" cm="1">
        <f t="array" ref="L156">IFERROR(INDEX(DB!P$2:P$2576,X156),"")</f>
        <v/>
      </c>
      <c r="M156" s="76" t="str" cm="1">
        <f t="array" ref="M156">IFERROR(INDEX(DB!Q$2:Q$2576,X156),"")</f>
        <v/>
      </c>
      <c r="N156" s="77"/>
      <c r="O156" s="78" t="str" cm="1">
        <f t="array" ref="O156">IFERROR(INDEX(DB!R$2:R$2576,X156),"")</f>
        <v/>
      </c>
      <c r="P156" s="100"/>
      <c r="Q156" s="102"/>
      <c r="R156" s="150"/>
      <c r="S156" s="43"/>
      <c r="T156" s="66" t="str" cm="1">
        <f t="array" ref="T156">IFERROR(_xlfn.AGGREGATE(15,6,ROW(DB!A$2:A$2576)/(((($D$3&lt;&gt;"YES")+($D$3="YES")*(DB!E$2:E$2576="YES"))*(($D$4="")+($D$4&lt;&gt;"")*ISNUMBER(SEARCH($D$4,DB!G$2:G$2576)))*(($D$5="")+($D$5&lt;&gt;"")*(DB!B$2:B$2576=$D$5))*(($D$6="")+($D$6&lt;&gt;"")*(DB!C$2:C$2576=$D$6))*(($D$7="")+($D$7&lt;&gt;"")*(DB!D$2:D$2576=$D$7))*(($F$4="전체")+($F$4&lt;&gt;"전체")*(DB!H$2:H$2576=$F$4)))),ROW()-16)-1,"")</f>
        <v/>
      </c>
      <c r="U156" s="104" t="str" cm="1">
        <f t="array" ref="U156">IFERROR(INDEX(DB!B$2:B$2576,T156),"")</f>
        <v/>
      </c>
      <c r="V156" s="105" t="str" cm="1">
        <f t="array" ref="V156">IFERROR(INDEX(DB!O$2:O$2576,T156),"")</f>
        <v/>
      </c>
      <c r="W156" s="106" t="str">
        <f t="shared" si="7"/>
        <v/>
      </c>
      <c r="X156" s="149" t="str">
        <f t="shared" si="8"/>
        <v/>
      </c>
      <c r="AB156" s="151"/>
      <c r="AC156" s="131"/>
      <c r="AE156" s="130"/>
      <c r="AF156" s="136"/>
      <c r="AH156" s="65"/>
      <c r="AI156" s="65"/>
      <c r="AJ156" s="65"/>
      <c r="AK156" s="65"/>
      <c r="AL156" s="65"/>
      <c r="AM156" s="65"/>
      <c r="AN156" s="65"/>
      <c r="BB156" s="11"/>
    </row>
    <row r="157" spans="1:54" ht="90" customHeight="1">
      <c r="A157" s="26"/>
      <c r="B157" s="73" t="str">
        <f t="shared" si="6"/>
        <v/>
      </c>
      <c r="C157" s="74"/>
      <c r="D157" s="96" t="str" cm="1">
        <f t="array" ref="D157">IFERROR(INDEX(DB!B$2:B$2576,X157),"")</f>
        <v/>
      </c>
      <c r="E157" s="107"/>
      <c r="F157" s="97" t="str" cm="1">
        <f t="array" ref="F157">IFERROR(INDEX(DB!C$2:C$2576,X157),"")</f>
        <v/>
      </c>
      <c r="G157" s="108"/>
      <c r="H157" s="98" t="str" cm="1">
        <f t="array" ref="H157">IFERROR(INDEX(DB!D$2:D$2576,X157),"")</f>
        <v/>
      </c>
      <c r="I157" s="109"/>
      <c r="J157" s="99" t="str" cm="1">
        <f t="array" ref="J157">IFERROR(INDEX(DB!O$2:O$2576,X157),"")</f>
        <v/>
      </c>
      <c r="K157" s="110"/>
      <c r="L157" s="75" t="str" cm="1">
        <f t="array" ref="L157">IFERROR(INDEX(DB!P$2:P$2576,X157),"")</f>
        <v/>
      </c>
      <c r="M157" s="76" t="str" cm="1">
        <f t="array" ref="M157">IFERROR(INDEX(DB!Q$2:Q$2576,X157),"")</f>
        <v/>
      </c>
      <c r="N157" s="77"/>
      <c r="O157" s="78" t="str" cm="1">
        <f t="array" ref="O157">IFERROR(INDEX(DB!R$2:R$2576,X157),"")</f>
        <v/>
      </c>
      <c r="P157" s="100"/>
      <c r="Q157" s="102"/>
      <c r="R157" s="150"/>
      <c r="S157" s="43"/>
      <c r="T157" s="66" t="str" cm="1">
        <f t="array" ref="T157">IFERROR(_xlfn.AGGREGATE(15,6,ROW(DB!A$2:A$2576)/(((($D$3&lt;&gt;"YES")+($D$3="YES")*(DB!E$2:E$2576="YES"))*(($D$4="")+($D$4&lt;&gt;"")*ISNUMBER(SEARCH($D$4,DB!G$2:G$2576)))*(($D$5="")+($D$5&lt;&gt;"")*(DB!B$2:B$2576=$D$5))*(($D$6="")+($D$6&lt;&gt;"")*(DB!C$2:C$2576=$D$6))*(($D$7="")+($D$7&lt;&gt;"")*(DB!D$2:D$2576=$D$7))*(($F$4="전체")+($F$4&lt;&gt;"전체")*(DB!H$2:H$2576=$F$4)))),ROW()-16)-1,"")</f>
        <v/>
      </c>
      <c r="U157" s="104" t="str" cm="1">
        <f t="array" ref="U157">IFERROR(INDEX(DB!B$2:B$2576,T157),"")</f>
        <v/>
      </c>
      <c r="V157" s="105" t="str" cm="1">
        <f t="array" ref="V157">IFERROR(INDEX(DB!O$2:O$2576,T157),"")</f>
        <v/>
      </c>
      <c r="W157" s="106" t="str">
        <f t="shared" si="7"/>
        <v/>
      </c>
      <c r="X157" s="149" t="str">
        <f t="shared" si="8"/>
        <v/>
      </c>
      <c r="AB157" s="151"/>
      <c r="AC157" s="131"/>
      <c r="AE157" s="130"/>
      <c r="AF157" s="136"/>
      <c r="AH157" s="65"/>
      <c r="AI157" s="65"/>
      <c r="AJ157" s="65"/>
      <c r="AK157" s="65"/>
      <c r="AL157" s="65"/>
      <c r="AM157" s="65"/>
      <c r="AN157" s="65"/>
      <c r="BB157" s="11"/>
    </row>
    <row r="158" spans="1:54" ht="90" customHeight="1">
      <c r="A158" s="26"/>
      <c r="B158" s="73" t="str">
        <f t="shared" si="6"/>
        <v/>
      </c>
      <c r="C158" s="74"/>
      <c r="D158" s="96" t="str" cm="1">
        <f t="array" ref="D158">IFERROR(INDEX(DB!B$2:B$2576,X158),"")</f>
        <v/>
      </c>
      <c r="E158" s="107"/>
      <c r="F158" s="97" t="str" cm="1">
        <f t="array" ref="F158">IFERROR(INDEX(DB!C$2:C$2576,X158),"")</f>
        <v/>
      </c>
      <c r="G158" s="108"/>
      <c r="H158" s="98" t="str" cm="1">
        <f t="array" ref="H158">IFERROR(INDEX(DB!D$2:D$2576,X158),"")</f>
        <v/>
      </c>
      <c r="I158" s="109"/>
      <c r="J158" s="99" t="str" cm="1">
        <f t="array" ref="J158">IFERROR(INDEX(DB!O$2:O$2576,X158),"")</f>
        <v/>
      </c>
      <c r="K158" s="110"/>
      <c r="L158" s="75" t="str" cm="1">
        <f t="array" ref="L158">IFERROR(INDEX(DB!P$2:P$2576,X158),"")</f>
        <v/>
      </c>
      <c r="M158" s="76" t="str" cm="1">
        <f t="array" ref="M158">IFERROR(INDEX(DB!Q$2:Q$2576,X158),"")</f>
        <v/>
      </c>
      <c r="N158" s="77"/>
      <c r="O158" s="78" t="str" cm="1">
        <f t="array" ref="O158">IFERROR(INDEX(DB!R$2:R$2576,X158),"")</f>
        <v/>
      </c>
      <c r="P158" s="100"/>
      <c r="Q158" s="102"/>
      <c r="R158" s="150"/>
      <c r="S158" s="43"/>
      <c r="T158" s="66" t="str" cm="1">
        <f t="array" ref="T158">IFERROR(_xlfn.AGGREGATE(15,6,ROW(DB!A$2:A$2576)/(((($D$3&lt;&gt;"YES")+($D$3="YES")*(DB!E$2:E$2576="YES"))*(($D$4="")+($D$4&lt;&gt;"")*ISNUMBER(SEARCH($D$4,DB!G$2:G$2576)))*(($D$5="")+($D$5&lt;&gt;"")*(DB!B$2:B$2576=$D$5))*(($D$6="")+($D$6&lt;&gt;"")*(DB!C$2:C$2576=$D$6))*(($D$7="")+($D$7&lt;&gt;"")*(DB!D$2:D$2576=$D$7))*(($F$4="전체")+($F$4&lt;&gt;"전체")*(DB!H$2:H$2576=$F$4)))),ROW()-16)-1,"")</f>
        <v/>
      </c>
      <c r="U158" s="104" t="str" cm="1">
        <f t="array" ref="U158">IFERROR(INDEX(DB!B$2:B$2576,T158),"")</f>
        <v/>
      </c>
      <c r="V158" s="105" t="str" cm="1">
        <f t="array" ref="V158">IFERROR(INDEX(DB!O$2:O$2576,T158),"")</f>
        <v/>
      </c>
      <c r="W158" s="106" t="str">
        <f t="shared" si="7"/>
        <v/>
      </c>
      <c r="X158" s="149" t="str">
        <f t="shared" si="8"/>
        <v/>
      </c>
      <c r="AB158" s="151"/>
      <c r="AC158" s="131"/>
      <c r="AE158" s="130"/>
      <c r="AF158" s="136"/>
      <c r="AH158" s="65"/>
      <c r="AI158" s="65"/>
      <c r="AJ158" s="65"/>
      <c r="AK158" s="65"/>
      <c r="AL158" s="65"/>
      <c r="AM158" s="65"/>
      <c r="AN158" s="65"/>
      <c r="BB158" s="11"/>
    </row>
    <row r="159" spans="1:54" ht="90" customHeight="1">
      <c r="A159" s="26"/>
      <c r="B159" s="73" t="str">
        <f t="shared" si="6"/>
        <v/>
      </c>
      <c r="C159" s="74"/>
      <c r="D159" s="96" t="str" cm="1">
        <f t="array" ref="D159">IFERROR(INDEX(DB!B$2:B$2576,X159),"")</f>
        <v/>
      </c>
      <c r="E159" s="107"/>
      <c r="F159" s="97" t="str" cm="1">
        <f t="array" ref="F159">IFERROR(INDEX(DB!C$2:C$2576,X159),"")</f>
        <v/>
      </c>
      <c r="G159" s="108"/>
      <c r="H159" s="98" t="str" cm="1">
        <f t="array" ref="H159">IFERROR(INDEX(DB!D$2:D$2576,X159),"")</f>
        <v/>
      </c>
      <c r="I159" s="109"/>
      <c r="J159" s="99" t="str" cm="1">
        <f t="array" ref="J159">IFERROR(INDEX(DB!O$2:O$2576,X159),"")</f>
        <v/>
      </c>
      <c r="K159" s="110"/>
      <c r="L159" s="75" t="str" cm="1">
        <f t="array" ref="L159">IFERROR(INDEX(DB!P$2:P$2576,X159),"")</f>
        <v/>
      </c>
      <c r="M159" s="76" t="str" cm="1">
        <f t="array" ref="M159">IFERROR(INDEX(DB!Q$2:Q$2576,X159),"")</f>
        <v/>
      </c>
      <c r="N159" s="77"/>
      <c r="O159" s="78" t="str" cm="1">
        <f t="array" ref="O159">IFERROR(INDEX(DB!R$2:R$2576,X159),"")</f>
        <v/>
      </c>
      <c r="P159" s="100"/>
      <c r="Q159" s="102"/>
      <c r="R159" s="150"/>
      <c r="S159" s="43"/>
      <c r="T159" s="66" t="str" cm="1">
        <f t="array" ref="T159">IFERROR(_xlfn.AGGREGATE(15,6,ROW(DB!A$2:A$2576)/(((($D$3&lt;&gt;"YES")+($D$3="YES")*(DB!E$2:E$2576="YES"))*(($D$4="")+($D$4&lt;&gt;"")*ISNUMBER(SEARCH($D$4,DB!G$2:G$2576)))*(($D$5="")+($D$5&lt;&gt;"")*(DB!B$2:B$2576=$D$5))*(($D$6="")+($D$6&lt;&gt;"")*(DB!C$2:C$2576=$D$6))*(($D$7="")+($D$7&lt;&gt;"")*(DB!D$2:D$2576=$D$7))*(($F$4="전체")+($F$4&lt;&gt;"전체")*(DB!H$2:H$2576=$F$4)))),ROW()-16)-1,"")</f>
        <v/>
      </c>
      <c r="U159" s="104" t="str" cm="1">
        <f t="array" ref="U159">IFERROR(INDEX(DB!B$2:B$2576,T159),"")</f>
        <v/>
      </c>
      <c r="V159" s="105" t="str" cm="1">
        <f t="array" ref="V159">IFERROR(INDEX(DB!O$2:O$2576,T159),"")</f>
        <v/>
      </c>
      <c r="W159" s="106" t="str">
        <f t="shared" si="7"/>
        <v/>
      </c>
      <c r="X159" s="149" t="str">
        <f t="shared" si="8"/>
        <v/>
      </c>
      <c r="AB159" s="151"/>
      <c r="AC159" s="131"/>
      <c r="AE159" s="130"/>
      <c r="AF159" s="136"/>
      <c r="AH159" s="65"/>
      <c r="AI159" s="65"/>
      <c r="AJ159" s="65"/>
      <c r="AK159" s="65"/>
      <c r="AL159" s="65"/>
      <c r="AM159" s="65"/>
      <c r="AN159" s="65"/>
      <c r="BB159" s="11"/>
    </row>
    <row r="160" spans="1:54" ht="90" customHeight="1">
      <c r="A160" s="26"/>
      <c r="B160" s="73" t="str">
        <f t="shared" si="6"/>
        <v/>
      </c>
      <c r="C160" s="74"/>
      <c r="D160" s="96" t="str" cm="1">
        <f t="array" ref="D160">IFERROR(INDEX(DB!B$2:B$2576,X160),"")</f>
        <v/>
      </c>
      <c r="E160" s="107"/>
      <c r="F160" s="97" t="str" cm="1">
        <f t="array" ref="F160">IFERROR(INDEX(DB!C$2:C$2576,X160),"")</f>
        <v/>
      </c>
      <c r="G160" s="108"/>
      <c r="H160" s="98" t="str" cm="1">
        <f t="array" ref="H160">IFERROR(INDEX(DB!D$2:D$2576,X160),"")</f>
        <v/>
      </c>
      <c r="I160" s="109"/>
      <c r="J160" s="99" t="str" cm="1">
        <f t="array" ref="J160">IFERROR(INDEX(DB!O$2:O$2576,X160),"")</f>
        <v/>
      </c>
      <c r="K160" s="110"/>
      <c r="L160" s="75" t="str" cm="1">
        <f t="array" ref="L160">IFERROR(INDEX(DB!P$2:P$2576,X160),"")</f>
        <v/>
      </c>
      <c r="M160" s="76" t="str" cm="1">
        <f t="array" ref="M160">IFERROR(INDEX(DB!Q$2:Q$2576,X160),"")</f>
        <v/>
      </c>
      <c r="N160" s="77"/>
      <c r="O160" s="78" t="str" cm="1">
        <f t="array" ref="O160">IFERROR(INDEX(DB!R$2:R$2576,X160),"")</f>
        <v/>
      </c>
      <c r="P160" s="100"/>
      <c r="Q160" s="102"/>
      <c r="R160" s="150"/>
      <c r="S160" s="43"/>
      <c r="T160" s="66" t="str" cm="1">
        <f t="array" ref="T160">IFERROR(_xlfn.AGGREGATE(15,6,ROW(DB!A$2:A$2576)/(((($D$3&lt;&gt;"YES")+($D$3="YES")*(DB!E$2:E$2576="YES"))*(($D$4="")+($D$4&lt;&gt;"")*ISNUMBER(SEARCH($D$4,DB!G$2:G$2576)))*(($D$5="")+($D$5&lt;&gt;"")*(DB!B$2:B$2576=$D$5))*(($D$6="")+($D$6&lt;&gt;"")*(DB!C$2:C$2576=$D$6))*(($D$7="")+($D$7&lt;&gt;"")*(DB!D$2:D$2576=$D$7))*(($F$4="전체")+($F$4&lt;&gt;"전체")*(DB!H$2:H$2576=$F$4)))),ROW()-16)-1,"")</f>
        <v/>
      </c>
      <c r="U160" s="104" t="str" cm="1">
        <f t="array" ref="U160">IFERROR(INDEX(DB!B$2:B$2576,T160),"")</f>
        <v/>
      </c>
      <c r="V160" s="105" t="str" cm="1">
        <f t="array" ref="V160">IFERROR(INDEX(DB!O$2:O$2576,T160),"")</f>
        <v/>
      </c>
      <c r="W160" s="106" t="str">
        <f t="shared" si="7"/>
        <v/>
      </c>
      <c r="X160" s="149" t="str">
        <f t="shared" si="8"/>
        <v/>
      </c>
      <c r="AB160" s="151"/>
      <c r="AC160" s="131"/>
      <c r="AE160" s="130"/>
      <c r="AF160" s="136"/>
      <c r="AH160" s="65"/>
      <c r="AI160" s="65"/>
      <c r="AJ160" s="65"/>
      <c r="AK160" s="65"/>
      <c r="AL160" s="65"/>
      <c r="AM160" s="65"/>
      <c r="AN160" s="65"/>
      <c r="BB160" s="11"/>
    </row>
    <row r="161" spans="1:54" ht="90" customHeight="1">
      <c r="A161" s="26"/>
      <c r="B161" s="73" t="str">
        <f t="shared" si="6"/>
        <v/>
      </c>
      <c r="C161" s="74"/>
      <c r="D161" s="96" t="str" cm="1">
        <f t="array" ref="D161">IFERROR(INDEX(DB!B$2:B$2576,X161),"")</f>
        <v/>
      </c>
      <c r="E161" s="107"/>
      <c r="F161" s="97" t="str" cm="1">
        <f t="array" ref="F161">IFERROR(INDEX(DB!C$2:C$2576,X161),"")</f>
        <v/>
      </c>
      <c r="G161" s="108"/>
      <c r="H161" s="98" t="str" cm="1">
        <f t="array" ref="H161">IFERROR(INDEX(DB!D$2:D$2576,X161),"")</f>
        <v/>
      </c>
      <c r="I161" s="109"/>
      <c r="J161" s="99" t="str" cm="1">
        <f t="array" ref="J161">IFERROR(INDEX(DB!O$2:O$2576,X161),"")</f>
        <v/>
      </c>
      <c r="K161" s="110"/>
      <c r="L161" s="75" t="str" cm="1">
        <f t="array" ref="L161">IFERROR(INDEX(DB!P$2:P$2576,X161),"")</f>
        <v/>
      </c>
      <c r="M161" s="76" t="str" cm="1">
        <f t="array" ref="M161">IFERROR(INDEX(DB!Q$2:Q$2576,X161),"")</f>
        <v/>
      </c>
      <c r="N161" s="77"/>
      <c r="O161" s="78" t="str" cm="1">
        <f t="array" ref="O161">IFERROR(INDEX(DB!R$2:R$2576,X161),"")</f>
        <v/>
      </c>
      <c r="P161" s="100"/>
      <c r="Q161" s="102"/>
      <c r="R161" s="150"/>
      <c r="S161" s="43"/>
      <c r="T161" s="66" t="str" cm="1">
        <f t="array" ref="T161">IFERROR(_xlfn.AGGREGATE(15,6,ROW(DB!A$2:A$2576)/(((($D$3&lt;&gt;"YES")+($D$3="YES")*(DB!E$2:E$2576="YES"))*(($D$4="")+($D$4&lt;&gt;"")*ISNUMBER(SEARCH($D$4,DB!G$2:G$2576)))*(($D$5="")+($D$5&lt;&gt;"")*(DB!B$2:B$2576=$D$5))*(($D$6="")+($D$6&lt;&gt;"")*(DB!C$2:C$2576=$D$6))*(($D$7="")+($D$7&lt;&gt;"")*(DB!D$2:D$2576=$D$7))*(($F$4="전체")+($F$4&lt;&gt;"전체")*(DB!H$2:H$2576=$F$4)))),ROW()-16)-1,"")</f>
        <v/>
      </c>
      <c r="U161" s="104" t="str" cm="1">
        <f t="array" ref="U161">IFERROR(INDEX(DB!B$2:B$2576,T161),"")</f>
        <v/>
      </c>
      <c r="V161" s="105" t="str" cm="1">
        <f t="array" ref="V161">IFERROR(INDEX(DB!O$2:O$2576,T161),"")</f>
        <v/>
      </c>
      <c r="W161" s="106" t="str">
        <f t="shared" si="7"/>
        <v/>
      </c>
      <c r="X161" s="149" t="str">
        <f t="shared" si="8"/>
        <v/>
      </c>
      <c r="AB161" s="151"/>
      <c r="AC161" s="131"/>
      <c r="AE161" s="130"/>
      <c r="AF161" s="136"/>
      <c r="AH161" s="65"/>
      <c r="AI161" s="65"/>
      <c r="AJ161" s="65"/>
      <c r="AK161" s="65"/>
      <c r="AL161" s="65"/>
      <c r="AM161" s="65"/>
      <c r="AN161" s="65"/>
      <c r="BB161" s="11"/>
    </row>
    <row r="162" spans="1:54" ht="90" customHeight="1">
      <c r="A162" s="26"/>
      <c r="B162" s="73" t="str">
        <f t="shared" si="6"/>
        <v/>
      </c>
      <c r="C162" s="74"/>
      <c r="D162" s="96" t="str" cm="1">
        <f t="array" ref="D162">IFERROR(INDEX(DB!B$2:B$2576,X162),"")</f>
        <v/>
      </c>
      <c r="E162" s="107"/>
      <c r="F162" s="97" t="str" cm="1">
        <f t="array" ref="F162">IFERROR(INDEX(DB!C$2:C$2576,X162),"")</f>
        <v/>
      </c>
      <c r="G162" s="108"/>
      <c r="H162" s="98" t="str" cm="1">
        <f t="array" ref="H162">IFERROR(INDEX(DB!D$2:D$2576,X162),"")</f>
        <v/>
      </c>
      <c r="I162" s="109"/>
      <c r="J162" s="99" t="str" cm="1">
        <f t="array" ref="J162">IFERROR(INDEX(DB!O$2:O$2576,X162),"")</f>
        <v/>
      </c>
      <c r="K162" s="110"/>
      <c r="L162" s="75" t="str" cm="1">
        <f t="array" ref="L162">IFERROR(INDEX(DB!P$2:P$2576,X162),"")</f>
        <v/>
      </c>
      <c r="M162" s="76" t="str" cm="1">
        <f t="array" ref="M162">IFERROR(INDEX(DB!Q$2:Q$2576,X162),"")</f>
        <v/>
      </c>
      <c r="N162" s="77"/>
      <c r="O162" s="78" t="str" cm="1">
        <f t="array" ref="O162">IFERROR(INDEX(DB!R$2:R$2576,X162),"")</f>
        <v/>
      </c>
      <c r="P162" s="100"/>
      <c r="Q162" s="102"/>
      <c r="R162" s="150"/>
      <c r="S162" s="43"/>
      <c r="T162" s="66" t="str" cm="1">
        <f t="array" ref="T162">IFERROR(_xlfn.AGGREGATE(15,6,ROW(DB!A$2:A$2576)/(((($D$3&lt;&gt;"YES")+($D$3="YES")*(DB!E$2:E$2576="YES"))*(($D$4="")+($D$4&lt;&gt;"")*ISNUMBER(SEARCH($D$4,DB!G$2:G$2576)))*(($D$5="")+($D$5&lt;&gt;"")*(DB!B$2:B$2576=$D$5))*(($D$6="")+($D$6&lt;&gt;"")*(DB!C$2:C$2576=$D$6))*(($D$7="")+($D$7&lt;&gt;"")*(DB!D$2:D$2576=$D$7))*(($F$4="전체")+($F$4&lt;&gt;"전체")*(DB!H$2:H$2576=$F$4)))),ROW()-16)-1,"")</f>
        <v/>
      </c>
      <c r="U162" s="104" t="str" cm="1">
        <f t="array" ref="U162">IFERROR(INDEX(DB!B$2:B$2576,T162),"")</f>
        <v/>
      </c>
      <c r="V162" s="105" t="str" cm="1">
        <f t="array" ref="V162">IFERROR(INDEX(DB!O$2:O$2576,T162),"")</f>
        <v/>
      </c>
      <c r="W162" s="106" t="str">
        <f t="shared" si="7"/>
        <v/>
      </c>
      <c r="X162" s="149" t="str">
        <f t="shared" si="8"/>
        <v/>
      </c>
      <c r="AB162" s="151"/>
      <c r="AC162" s="131"/>
      <c r="AE162" s="130"/>
      <c r="AF162" s="136"/>
      <c r="AH162" s="65"/>
      <c r="AI162" s="65"/>
      <c r="AJ162" s="65"/>
      <c r="AK162" s="65"/>
      <c r="AL162" s="65"/>
      <c r="AM162" s="65"/>
      <c r="AN162" s="65"/>
      <c r="BB162" s="11"/>
    </row>
    <row r="163" spans="1:54" ht="90" customHeight="1">
      <c r="A163" s="26"/>
      <c r="B163" s="73" t="str">
        <f t="shared" si="6"/>
        <v/>
      </c>
      <c r="C163" s="74"/>
      <c r="D163" s="96" t="str" cm="1">
        <f t="array" ref="D163">IFERROR(INDEX(DB!B$2:B$2576,X163),"")</f>
        <v/>
      </c>
      <c r="E163" s="107"/>
      <c r="F163" s="97" t="str" cm="1">
        <f t="array" ref="F163">IFERROR(INDEX(DB!C$2:C$2576,X163),"")</f>
        <v/>
      </c>
      <c r="G163" s="108"/>
      <c r="H163" s="98" t="str" cm="1">
        <f t="array" ref="H163">IFERROR(INDEX(DB!D$2:D$2576,X163),"")</f>
        <v/>
      </c>
      <c r="I163" s="109"/>
      <c r="J163" s="99" t="str" cm="1">
        <f t="array" ref="J163">IFERROR(INDEX(DB!O$2:O$2576,X163),"")</f>
        <v/>
      </c>
      <c r="K163" s="110"/>
      <c r="L163" s="75" t="str" cm="1">
        <f t="array" ref="L163">IFERROR(INDEX(DB!P$2:P$2576,X163),"")</f>
        <v/>
      </c>
      <c r="M163" s="76" t="str" cm="1">
        <f t="array" ref="M163">IFERROR(INDEX(DB!Q$2:Q$2576,X163),"")</f>
        <v/>
      </c>
      <c r="N163" s="77"/>
      <c r="O163" s="78" t="str" cm="1">
        <f t="array" ref="O163">IFERROR(INDEX(DB!R$2:R$2576,X163),"")</f>
        <v/>
      </c>
      <c r="P163" s="100"/>
      <c r="Q163" s="102"/>
      <c r="R163" s="150"/>
      <c r="S163" s="43"/>
      <c r="T163" s="66" t="str" cm="1">
        <f t="array" ref="T163">IFERROR(_xlfn.AGGREGATE(15,6,ROW(DB!A$2:A$2576)/(((($D$3&lt;&gt;"YES")+($D$3="YES")*(DB!E$2:E$2576="YES"))*(($D$4="")+($D$4&lt;&gt;"")*ISNUMBER(SEARCH($D$4,DB!G$2:G$2576)))*(($D$5="")+($D$5&lt;&gt;"")*(DB!B$2:B$2576=$D$5))*(($D$6="")+($D$6&lt;&gt;"")*(DB!C$2:C$2576=$D$6))*(($D$7="")+($D$7&lt;&gt;"")*(DB!D$2:D$2576=$D$7))*(($F$4="전체")+($F$4&lt;&gt;"전체")*(DB!H$2:H$2576=$F$4)))),ROW()-16)-1,"")</f>
        <v/>
      </c>
      <c r="U163" s="104" t="str" cm="1">
        <f t="array" ref="U163">IFERROR(INDEX(DB!B$2:B$2576,T163),"")</f>
        <v/>
      </c>
      <c r="V163" s="105" t="str" cm="1">
        <f t="array" ref="V163">IFERROR(INDEX(DB!O$2:O$2576,T163),"")</f>
        <v/>
      </c>
      <c r="W163" s="106" t="str">
        <f t="shared" si="7"/>
        <v/>
      </c>
      <c r="X163" s="149" t="str">
        <f t="shared" si="8"/>
        <v/>
      </c>
      <c r="AB163" s="151"/>
      <c r="AC163" s="131"/>
      <c r="AE163" s="130"/>
      <c r="AF163" s="136"/>
      <c r="AH163" s="65"/>
      <c r="AI163" s="65"/>
      <c r="AJ163" s="65"/>
      <c r="AK163" s="65"/>
      <c r="AL163" s="65"/>
      <c r="AM163" s="65"/>
      <c r="AN163" s="65"/>
      <c r="BB163" s="11"/>
    </row>
    <row r="164" spans="1:54" ht="90" customHeight="1">
      <c r="A164" s="26"/>
      <c r="B164" s="73" t="str">
        <f t="shared" si="6"/>
        <v/>
      </c>
      <c r="C164" s="74"/>
      <c r="D164" s="96" t="str" cm="1">
        <f t="array" ref="D164">IFERROR(INDEX(DB!B$2:B$2576,X164),"")</f>
        <v/>
      </c>
      <c r="E164" s="107"/>
      <c r="F164" s="97" t="str" cm="1">
        <f t="array" ref="F164">IFERROR(INDEX(DB!C$2:C$2576,X164),"")</f>
        <v/>
      </c>
      <c r="G164" s="108"/>
      <c r="H164" s="98" t="str" cm="1">
        <f t="array" ref="H164">IFERROR(INDEX(DB!D$2:D$2576,X164),"")</f>
        <v/>
      </c>
      <c r="I164" s="109"/>
      <c r="J164" s="99" t="str" cm="1">
        <f t="array" ref="J164">IFERROR(INDEX(DB!O$2:O$2576,X164),"")</f>
        <v/>
      </c>
      <c r="K164" s="110"/>
      <c r="L164" s="75" t="str" cm="1">
        <f t="array" ref="L164">IFERROR(INDEX(DB!P$2:P$2576,X164),"")</f>
        <v/>
      </c>
      <c r="M164" s="76" t="str" cm="1">
        <f t="array" ref="M164">IFERROR(INDEX(DB!Q$2:Q$2576,X164),"")</f>
        <v/>
      </c>
      <c r="N164" s="77"/>
      <c r="O164" s="78" t="str" cm="1">
        <f t="array" ref="O164">IFERROR(INDEX(DB!R$2:R$2576,X164),"")</f>
        <v/>
      </c>
      <c r="P164" s="100"/>
      <c r="Q164" s="102"/>
      <c r="R164" s="150"/>
      <c r="S164" s="43"/>
      <c r="T164" s="66" t="str" cm="1">
        <f t="array" ref="T164">IFERROR(_xlfn.AGGREGATE(15,6,ROW(DB!A$2:A$2576)/(((($D$3&lt;&gt;"YES")+($D$3="YES")*(DB!E$2:E$2576="YES"))*(($D$4="")+($D$4&lt;&gt;"")*ISNUMBER(SEARCH($D$4,DB!G$2:G$2576)))*(($D$5="")+($D$5&lt;&gt;"")*(DB!B$2:B$2576=$D$5))*(($D$6="")+($D$6&lt;&gt;"")*(DB!C$2:C$2576=$D$6))*(($D$7="")+($D$7&lt;&gt;"")*(DB!D$2:D$2576=$D$7))*(($F$4="전체")+($F$4&lt;&gt;"전체")*(DB!H$2:H$2576=$F$4)))),ROW()-16)-1,"")</f>
        <v/>
      </c>
      <c r="U164" s="104" t="str" cm="1">
        <f t="array" ref="U164">IFERROR(INDEX(DB!B$2:B$2576,T164),"")</f>
        <v/>
      </c>
      <c r="V164" s="105" t="str" cm="1">
        <f t="array" ref="V164">IFERROR(INDEX(DB!O$2:O$2576,T164),"")</f>
        <v/>
      </c>
      <c r="W164" s="106" t="str">
        <f t="shared" si="7"/>
        <v/>
      </c>
      <c r="X164" s="149" t="str">
        <f t="shared" si="8"/>
        <v/>
      </c>
      <c r="AB164" s="151"/>
      <c r="AC164" s="131"/>
      <c r="AE164" s="130"/>
      <c r="AF164" s="136"/>
      <c r="AH164" s="65"/>
      <c r="AI164" s="65"/>
      <c r="AJ164" s="65"/>
      <c r="AK164" s="65"/>
      <c r="AL164" s="65"/>
      <c r="AM164" s="65"/>
      <c r="AN164" s="65"/>
      <c r="BB164" s="11"/>
    </row>
    <row r="165" spans="1:54" ht="90" customHeight="1">
      <c r="A165" s="26"/>
      <c r="B165" s="73" t="str">
        <f t="shared" si="6"/>
        <v/>
      </c>
      <c r="C165" s="74"/>
      <c r="D165" s="96" t="str" cm="1">
        <f t="array" ref="D165">IFERROR(INDEX(DB!B$2:B$2576,X165),"")</f>
        <v/>
      </c>
      <c r="E165" s="107"/>
      <c r="F165" s="97" t="str" cm="1">
        <f t="array" ref="F165">IFERROR(INDEX(DB!C$2:C$2576,X165),"")</f>
        <v/>
      </c>
      <c r="G165" s="108"/>
      <c r="H165" s="98" t="str" cm="1">
        <f t="array" ref="H165">IFERROR(INDEX(DB!D$2:D$2576,X165),"")</f>
        <v/>
      </c>
      <c r="I165" s="109"/>
      <c r="J165" s="99" t="str" cm="1">
        <f t="array" ref="J165">IFERROR(INDEX(DB!O$2:O$2576,X165),"")</f>
        <v/>
      </c>
      <c r="K165" s="110"/>
      <c r="L165" s="75" t="str" cm="1">
        <f t="array" ref="L165">IFERROR(INDEX(DB!P$2:P$2576,X165),"")</f>
        <v/>
      </c>
      <c r="M165" s="76" t="str" cm="1">
        <f t="array" ref="M165">IFERROR(INDEX(DB!Q$2:Q$2576,X165),"")</f>
        <v/>
      </c>
      <c r="N165" s="77"/>
      <c r="O165" s="78" t="str" cm="1">
        <f t="array" ref="O165">IFERROR(INDEX(DB!R$2:R$2576,X165),"")</f>
        <v/>
      </c>
      <c r="P165" s="100"/>
      <c r="Q165" s="102"/>
      <c r="R165" s="150"/>
      <c r="S165" s="43"/>
      <c r="T165" s="66" t="str" cm="1">
        <f t="array" ref="T165">IFERROR(_xlfn.AGGREGATE(15,6,ROW(DB!A$2:A$2576)/(((($D$3&lt;&gt;"YES")+($D$3="YES")*(DB!E$2:E$2576="YES"))*(($D$4="")+($D$4&lt;&gt;"")*ISNUMBER(SEARCH($D$4,DB!G$2:G$2576)))*(($D$5="")+($D$5&lt;&gt;"")*(DB!B$2:B$2576=$D$5))*(($D$6="")+($D$6&lt;&gt;"")*(DB!C$2:C$2576=$D$6))*(($D$7="")+($D$7&lt;&gt;"")*(DB!D$2:D$2576=$D$7))*(($F$4="전체")+($F$4&lt;&gt;"전체")*(DB!H$2:H$2576=$F$4)))),ROW()-16)-1,"")</f>
        <v/>
      </c>
      <c r="U165" s="104" t="str" cm="1">
        <f t="array" ref="U165">IFERROR(INDEX(DB!B$2:B$2576,T165),"")</f>
        <v/>
      </c>
      <c r="V165" s="105" t="str" cm="1">
        <f t="array" ref="V165">IFERROR(INDEX(DB!O$2:O$2576,T165),"")</f>
        <v/>
      </c>
      <c r="W165" s="106" t="str">
        <f t="shared" si="7"/>
        <v/>
      </c>
      <c r="X165" s="149" t="str">
        <f t="shared" si="8"/>
        <v/>
      </c>
      <c r="AB165" s="151"/>
      <c r="AC165" s="131"/>
      <c r="AE165" s="130"/>
      <c r="AF165" s="136"/>
      <c r="AH165" s="65"/>
      <c r="AI165" s="65"/>
      <c r="AJ165" s="65"/>
      <c r="AK165" s="65"/>
      <c r="AL165" s="65"/>
      <c r="AM165" s="65"/>
      <c r="AN165" s="65"/>
      <c r="BB165" s="11"/>
    </row>
    <row r="166" spans="1:54" ht="90" customHeight="1">
      <c r="A166" s="26"/>
      <c r="B166" s="73" t="str">
        <f t="shared" si="6"/>
        <v/>
      </c>
      <c r="C166" s="74"/>
      <c r="D166" s="96" t="str" cm="1">
        <f t="array" ref="D166">IFERROR(INDEX(DB!B$2:B$2576,X166),"")</f>
        <v/>
      </c>
      <c r="E166" s="107"/>
      <c r="F166" s="97" t="str" cm="1">
        <f t="array" ref="F166">IFERROR(INDEX(DB!C$2:C$2576,X166),"")</f>
        <v/>
      </c>
      <c r="G166" s="108"/>
      <c r="H166" s="98" t="str" cm="1">
        <f t="array" ref="H166">IFERROR(INDEX(DB!D$2:D$2576,X166),"")</f>
        <v/>
      </c>
      <c r="I166" s="109"/>
      <c r="J166" s="99" t="str" cm="1">
        <f t="array" ref="J166">IFERROR(INDEX(DB!O$2:O$2576,X166),"")</f>
        <v/>
      </c>
      <c r="K166" s="110"/>
      <c r="L166" s="75" t="str" cm="1">
        <f t="array" ref="L166">IFERROR(INDEX(DB!P$2:P$2576,X166),"")</f>
        <v/>
      </c>
      <c r="M166" s="76" t="str" cm="1">
        <f t="array" ref="M166">IFERROR(INDEX(DB!Q$2:Q$2576,X166),"")</f>
        <v/>
      </c>
      <c r="N166" s="77"/>
      <c r="O166" s="78" t="str" cm="1">
        <f t="array" ref="O166">IFERROR(INDEX(DB!R$2:R$2576,X166),"")</f>
        <v/>
      </c>
      <c r="P166" s="100"/>
      <c r="Q166" s="102"/>
      <c r="R166" s="150"/>
      <c r="S166" s="43"/>
      <c r="T166" s="66" t="str" cm="1">
        <f t="array" ref="T166">IFERROR(_xlfn.AGGREGATE(15,6,ROW(DB!A$2:A$2576)/(((($D$3&lt;&gt;"YES")+($D$3="YES")*(DB!E$2:E$2576="YES"))*(($D$4="")+($D$4&lt;&gt;"")*ISNUMBER(SEARCH($D$4,DB!G$2:G$2576)))*(($D$5="")+($D$5&lt;&gt;"")*(DB!B$2:B$2576=$D$5))*(($D$6="")+($D$6&lt;&gt;"")*(DB!C$2:C$2576=$D$6))*(($D$7="")+($D$7&lt;&gt;"")*(DB!D$2:D$2576=$D$7))*(($F$4="전체")+($F$4&lt;&gt;"전체")*(DB!H$2:H$2576=$F$4)))),ROW()-16)-1,"")</f>
        <v/>
      </c>
      <c r="U166" s="104" t="str" cm="1">
        <f t="array" ref="U166">IFERROR(INDEX(DB!B$2:B$2576,T166),"")</f>
        <v/>
      </c>
      <c r="V166" s="105" t="str" cm="1">
        <f t="array" ref="V166">IFERROR(INDEX(DB!O$2:O$2576,T166),"")</f>
        <v/>
      </c>
      <c r="W166" s="106" t="str">
        <f t="shared" si="7"/>
        <v/>
      </c>
      <c r="X166" s="149" t="str">
        <f t="shared" si="8"/>
        <v/>
      </c>
      <c r="AB166" s="151"/>
      <c r="AC166" s="131"/>
      <c r="AE166" s="130"/>
      <c r="AF166" s="136"/>
      <c r="AH166" s="65"/>
      <c r="AI166" s="65"/>
      <c r="AJ166" s="65"/>
      <c r="AK166" s="65"/>
      <c r="AL166" s="65"/>
      <c r="AM166" s="65"/>
      <c r="AN166" s="65"/>
      <c r="BB166" s="11"/>
    </row>
    <row r="167" spans="1:54" ht="90" customHeight="1">
      <c r="A167" s="26"/>
      <c r="B167" s="73" t="str">
        <f t="shared" si="6"/>
        <v/>
      </c>
      <c r="C167" s="74"/>
      <c r="D167" s="96" t="str" cm="1">
        <f t="array" ref="D167">IFERROR(INDEX(DB!B$2:B$2576,X167),"")</f>
        <v/>
      </c>
      <c r="E167" s="107"/>
      <c r="F167" s="97" t="str" cm="1">
        <f t="array" ref="F167">IFERROR(INDEX(DB!C$2:C$2576,X167),"")</f>
        <v/>
      </c>
      <c r="G167" s="108"/>
      <c r="H167" s="98" t="str" cm="1">
        <f t="array" ref="H167">IFERROR(INDEX(DB!D$2:D$2576,X167),"")</f>
        <v/>
      </c>
      <c r="I167" s="109"/>
      <c r="J167" s="99" t="str" cm="1">
        <f t="array" ref="J167">IFERROR(INDEX(DB!O$2:O$2576,X167),"")</f>
        <v/>
      </c>
      <c r="K167" s="110"/>
      <c r="L167" s="75" t="str" cm="1">
        <f t="array" ref="L167">IFERROR(INDEX(DB!P$2:P$2576,X167),"")</f>
        <v/>
      </c>
      <c r="M167" s="76" t="str" cm="1">
        <f t="array" ref="M167">IFERROR(INDEX(DB!Q$2:Q$2576,X167),"")</f>
        <v/>
      </c>
      <c r="N167" s="77"/>
      <c r="O167" s="78" t="str" cm="1">
        <f t="array" ref="O167">IFERROR(INDEX(DB!R$2:R$2576,X167),"")</f>
        <v/>
      </c>
      <c r="P167" s="100"/>
      <c r="Q167" s="102"/>
      <c r="R167" s="150"/>
      <c r="S167" s="43"/>
      <c r="T167" s="66" t="str" cm="1">
        <f t="array" ref="T167">IFERROR(_xlfn.AGGREGATE(15,6,ROW(DB!A$2:A$2576)/(((($D$3&lt;&gt;"YES")+($D$3="YES")*(DB!E$2:E$2576="YES"))*(($D$4="")+($D$4&lt;&gt;"")*ISNUMBER(SEARCH($D$4,DB!G$2:G$2576)))*(($D$5="")+($D$5&lt;&gt;"")*(DB!B$2:B$2576=$D$5))*(($D$6="")+($D$6&lt;&gt;"")*(DB!C$2:C$2576=$D$6))*(($D$7="")+($D$7&lt;&gt;"")*(DB!D$2:D$2576=$D$7))*(($F$4="전체")+($F$4&lt;&gt;"전체")*(DB!H$2:H$2576=$F$4)))),ROW()-16)-1,"")</f>
        <v/>
      </c>
      <c r="U167" s="104" t="str" cm="1">
        <f t="array" ref="U167">IFERROR(INDEX(DB!B$2:B$2576,T167),"")</f>
        <v/>
      </c>
      <c r="V167" s="105" t="str" cm="1">
        <f t="array" ref="V167">IFERROR(INDEX(DB!O$2:O$2576,T167),"")</f>
        <v/>
      </c>
      <c r="W167" s="106" t="str">
        <f t="shared" si="7"/>
        <v/>
      </c>
      <c r="X167" s="149" t="str">
        <f t="shared" si="8"/>
        <v/>
      </c>
      <c r="AB167" s="151"/>
      <c r="AC167" s="131"/>
      <c r="AE167" s="130"/>
      <c r="AF167" s="136"/>
      <c r="AH167" s="65"/>
      <c r="AI167" s="65"/>
      <c r="AJ167" s="65"/>
      <c r="AK167" s="65"/>
      <c r="AL167" s="65"/>
      <c r="AM167" s="65"/>
      <c r="AN167" s="65"/>
      <c r="BB167" s="11"/>
    </row>
    <row r="168" spans="1:54" ht="90" customHeight="1">
      <c r="A168" s="26"/>
      <c r="B168" s="73" t="str">
        <f t="shared" si="6"/>
        <v/>
      </c>
      <c r="C168" s="74"/>
      <c r="D168" s="96" t="str" cm="1">
        <f t="array" ref="D168">IFERROR(INDEX(DB!B$2:B$2576,X168),"")</f>
        <v/>
      </c>
      <c r="E168" s="107"/>
      <c r="F168" s="97" t="str" cm="1">
        <f t="array" ref="F168">IFERROR(INDEX(DB!C$2:C$2576,X168),"")</f>
        <v/>
      </c>
      <c r="G168" s="108"/>
      <c r="H168" s="98" t="str" cm="1">
        <f t="array" ref="H168">IFERROR(INDEX(DB!D$2:D$2576,X168),"")</f>
        <v/>
      </c>
      <c r="I168" s="109"/>
      <c r="J168" s="99" t="str" cm="1">
        <f t="array" ref="J168">IFERROR(INDEX(DB!O$2:O$2576,X168),"")</f>
        <v/>
      </c>
      <c r="K168" s="110"/>
      <c r="L168" s="75" t="str" cm="1">
        <f t="array" ref="L168">IFERROR(INDEX(DB!P$2:P$2576,X168),"")</f>
        <v/>
      </c>
      <c r="M168" s="76" t="str" cm="1">
        <f t="array" ref="M168">IFERROR(INDEX(DB!Q$2:Q$2576,X168),"")</f>
        <v/>
      </c>
      <c r="N168" s="77"/>
      <c r="O168" s="78" t="str" cm="1">
        <f t="array" ref="O168">IFERROR(INDEX(DB!R$2:R$2576,X168),"")</f>
        <v/>
      </c>
      <c r="P168" s="100"/>
      <c r="Q168" s="102"/>
      <c r="R168" s="150"/>
      <c r="S168" s="43"/>
      <c r="T168" s="66" t="str" cm="1">
        <f t="array" ref="T168">IFERROR(_xlfn.AGGREGATE(15,6,ROW(DB!A$2:A$2576)/(((($D$3&lt;&gt;"YES")+($D$3="YES")*(DB!E$2:E$2576="YES"))*(($D$4="")+($D$4&lt;&gt;"")*ISNUMBER(SEARCH($D$4,DB!G$2:G$2576)))*(($D$5="")+($D$5&lt;&gt;"")*(DB!B$2:B$2576=$D$5))*(($D$6="")+($D$6&lt;&gt;"")*(DB!C$2:C$2576=$D$6))*(($D$7="")+($D$7&lt;&gt;"")*(DB!D$2:D$2576=$D$7))*(($F$4="전체")+($F$4&lt;&gt;"전체")*(DB!H$2:H$2576=$F$4)))),ROW()-16)-1,"")</f>
        <v/>
      </c>
      <c r="U168" s="104" t="str" cm="1">
        <f t="array" ref="U168">IFERROR(INDEX(DB!B$2:B$2576,T168),"")</f>
        <v/>
      </c>
      <c r="V168" s="105" t="str" cm="1">
        <f t="array" ref="V168">IFERROR(INDEX(DB!O$2:O$2576,T168),"")</f>
        <v/>
      </c>
      <c r="W168" s="106" t="str">
        <f t="shared" si="7"/>
        <v/>
      </c>
      <c r="X168" s="149" t="str">
        <f t="shared" si="8"/>
        <v/>
      </c>
      <c r="AB168" s="151"/>
      <c r="AC168" s="131"/>
      <c r="AE168" s="130"/>
      <c r="AF168" s="136"/>
      <c r="AH168" s="65"/>
      <c r="AI168" s="65"/>
      <c r="AJ168" s="65"/>
      <c r="AK168" s="65"/>
      <c r="AL168" s="65"/>
      <c r="AM168" s="65"/>
      <c r="AN168" s="65"/>
      <c r="BB168" s="11"/>
    </row>
    <row r="169" spans="1:54" ht="90" customHeight="1">
      <c r="A169" s="26"/>
      <c r="B169" s="73" t="str">
        <f t="shared" si="6"/>
        <v/>
      </c>
      <c r="C169" s="74"/>
      <c r="D169" s="96" t="str" cm="1">
        <f t="array" ref="D169">IFERROR(INDEX(DB!B$2:B$2576,X169),"")</f>
        <v/>
      </c>
      <c r="E169" s="107"/>
      <c r="F169" s="97" t="str" cm="1">
        <f t="array" ref="F169">IFERROR(INDEX(DB!C$2:C$2576,X169),"")</f>
        <v/>
      </c>
      <c r="G169" s="108"/>
      <c r="H169" s="98" t="str" cm="1">
        <f t="array" ref="H169">IFERROR(INDEX(DB!D$2:D$2576,X169),"")</f>
        <v/>
      </c>
      <c r="I169" s="109"/>
      <c r="J169" s="99" t="str" cm="1">
        <f t="array" ref="J169">IFERROR(INDEX(DB!O$2:O$2576,X169),"")</f>
        <v/>
      </c>
      <c r="K169" s="110"/>
      <c r="L169" s="75" t="str" cm="1">
        <f t="array" ref="L169">IFERROR(INDEX(DB!P$2:P$2576,X169),"")</f>
        <v/>
      </c>
      <c r="M169" s="76" t="str" cm="1">
        <f t="array" ref="M169">IFERROR(INDEX(DB!Q$2:Q$2576,X169),"")</f>
        <v/>
      </c>
      <c r="N169" s="77"/>
      <c r="O169" s="78" t="str" cm="1">
        <f t="array" ref="O169">IFERROR(INDEX(DB!R$2:R$2576,X169),"")</f>
        <v/>
      </c>
      <c r="P169" s="100"/>
      <c r="Q169" s="102"/>
      <c r="R169" s="150"/>
      <c r="S169" s="43"/>
      <c r="T169" s="66" t="str" cm="1">
        <f t="array" ref="T169">IFERROR(_xlfn.AGGREGATE(15,6,ROW(DB!A$2:A$2576)/(((($D$3&lt;&gt;"YES")+($D$3="YES")*(DB!E$2:E$2576="YES"))*(($D$4="")+($D$4&lt;&gt;"")*ISNUMBER(SEARCH($D$4,DB!G$2:G$2576)))*(($D$5="")+($D$5&lt;&gt;"")*(DB!B$2:B$2576=$D$5))*(($D$6="")+($D$6&lt;&gt;"")*(DB!C$2:C$2576=$D$6))*(($D$7="")+($D$7&lt;&gt;"")*(DB!D$2:D$2576=$D$7))*(($F$4="전체")+($F$4&lt;&gt;"전체")*(DB!H$2:H$2576=$F$4)))),ROW()-16)-1,"")</f>
        <v/>
      </c>
      <c r="U169" s="104" t="str" cm="1">
        <f t="array" ref="U169">IFERROR(INDEX(DB!B$2:B$2576,T169),"")</f>
        <v/>
      </c>
      <c r="V169" s="105" t="str" cm="1">
        <f t="array" ref="V169">IFERROR(INDEX(DB!O$2:O$2576,T169),"")</f>
        <v/>
      </c>
      <c r="W169" s="106" t="str">
        <f t="shared" si="7"/>
        <v/>
      </c>
      <c r="X169" s="149" t="str">
        <f t="shared" si="8"/>
        <v/>
      </c>
      <c r="AB169" s="151"/>
      <c r="AC169" s="131"/>
      <c r="AE169" s="130"/>
      <c r="AF169" s="136"/>
      <c r="AH169" s="65"/>
      <c r="AI169" s="65"/>
      <c r="AJ169" s="65"/>
      <c r="AK169" s="65"/>
      <c r="AL169" s="65"/>
      <c r="AM169" s="65"/>
      <c r="AN169" s="65"/>
      <c r="BB169" s="11"/>
    </row>
    <row r="170" spans="1:54" ht="90" customHeight="1">
      <c r="A170" s="26"/>
      <c r="B170" s="73" t="str">
        <f t="shared" si="6"/>
        <v/>
      </c>
      <c r="C170" s="74"/>
      <c r="D170" s="96" t="str" cm="1">
        <f t="array" ref="D170">IFERROR(INDEX(DB!B$2:B$2576,X170),"")</f>
        <v/>
      </c>
      <c r="E170" s="107"/>
      <c r="F170" s="97" t="str" cm="1">
        <f t="array" ref="F170">IFERROR(INDEX(DB!C$2:C$2576,X170),"")</f>
        <v/>
      </c>
      <c r="G170" s="108"/>
      <c r="H170" s="98" t="str" cm="1">
        <f t="array" ref="H170">IFERROR(INDEX(DB!D$2:D$2576,X170),"")</f>
        <v/>
      </c>
      <c r="I170" s="109"/>
      <c r="J170" s="99" t="str" cm="1">
        <f t="array" ref="J170">IFERROR(INDEX(DB!O$2:O$2576,X170),"")</f>
        <v/>
      </c>
      <c r="K170" s="110"/>
      <c r="L170" s="75" t="str" cm="1">
        <f t="array" ref="L170">IFERROR(INDEX(DB!P$2:P$2576,X170),"")</f>
        <v/>
      </c>
      <c r="M170" s="76" t="str" cm="1">
        <f t="array" ref="M170">IFERROR(INDEX(DB!Q$2:Q$2576,X170),"")</f>
        <v/>
      </c>
      <c r="N170" s="77"/>
      <c r="O170" s="78" t="str" cm="1">
        <f t="array" ref="O170">IFERROR(INDEX(DB!R$2:R$2576,X170),"")</f>
        <v/>
      </c>
      <c r="P170" s="100"/>
      <c r="Q170" s="102"/>
      <c r="R170" s="150"/>
      <c r="S170" s="43"/>
      <c r="T170" s="66" t="str" cm="1">
        <f t="array" ref="T170">IFERROR(_xlfn.AGGREGATE(15,6,ROW(DB!A$2:A$2576)/(((($D$3&lt;&gt;"YES")+($D$3="YES")*(DB!E$2:E$2576="YES"))*(($D$4="")+($D$4&lt;&gt;"")*ISNUMBER(SEARCH($D$4,DB!G$2:G$2576)))*(($D$5="")+($D$5&lt;&gt;"")*(DB!B$2:B$2576=$D$5))*(($D$6="")+($D$6&lt;&gt;"")*(DB!C$2:C$2576=$D$6))*(($D$7="")+($D$7&lt;&gt;"")*(DB!D$2:D$2576=$D$7))*(($F$4="전체")+($F$4&lt;&gt;"전체")*(DB!H$2:H$2576=$F$4)))),ROW()-16)-1,"")</f>
        <v/>
      </c>
      <c r="U170" s="104" t="str" cm="1">
        <f t="array" ref="U170">IFERROR(INDEX(DB!B$2:B$2576,T170),"")</f>
        <v/>
      </c>
      <c r="V170" s="105" t="str" cm="1">
        <f t="array" ref="V170">IFERROR(INDEX(DB!O$2:O$2576,T170),"")</f>
        <v/>
      </c>
      <c r="W170" s="106" t="str">
        <f t="shared" si="7"/>
        <v/>
      </c>
      <c r="X170" s="149" t="str">
        <f t="shared" si="8"/>
        <v/>
      </c>
      <c r="AB170" s="151"/>
      <c r="AC170" s="131"/>
      <c r="AE170" s="130"/>
      <c r="AF170" s="136"/>
      <c r="AH170" s="65"/>
      <c r="AI170" s="65"/>
      <c r="AJ170" s="65"/>
      <c r="AK170" s="65"/>
      <c r="AL170" s="65"/>
      <c r="AM170" s="65"/>
      <c r="AN170" s="65"/>
      <c r="BB170" s="11"/>
    </row>
    <row r="171" spans="1:54" ht="90" customHeight="1">
      <c r="A171" s="26"/>
      <c r="B171" s="73" t="str">
        <f t="shared" si="6"/>
        <v/>
      </c>
      <c r="C171" s="74"/>
      <c r="D171" s="96" t="str" cm="1">
        <f t="array" ref="D171">IFERROR(INDEX(DB!B$2:B$2576,X171),"")</f>
        <v/>
      </c>
      <c r="E171" s="107"/>
      <c r="F171" s="97" t="str" cm="1">
        <f t="array" ref="F171">IFERROR(INDEX(DB!C$2:C$2576,X171),"")</f>
        <v/>
      </c>
      <c r="G171" s="108"/>
      <c r="H171" s="98" t="str" cm="1">
        <f t="array" ref="H171">IFERROR(INDEX(DB!D$2:D$2576,X171),"")</f>
        <v/>
      </c>
      <c r="I171" s="109"/>
      <c r="J171" s="99" t="str" cm="1">
        <f t="array" ref="J171">IFERROR(INDEX(DB!O$2:O$2576,X171),"")</f>
        <v/>
      </c>
      <c r="K171" s="110"/>
      <c r="L171" s="75" t="str" cm="1">
        <f t="array" ref="L171">IFERROR(INDEX(DB!P$2:P$2576,X171),"")</f>
        <v/>
      </c>
      <c r="M171" s="76" t="str" cm="1">
        <f t="array" ref="M171">IFERROR(INDEX(DB!Q$2:Q$2576,X171),"")</f>
        <v/>
      </c>
      <c r="N171" s="77"/>
      <c r="O171" s="78" t="str" cm="1">
        <f t="array" ref="O171">IFERROR(INDEX(DB!R$2:R$2576,X171),"")</f>
        <v/>
      </c>
      <c r="P171" s="100"/>
      <c r="Q171" s="102"/>
      <c r="R171" s="150"/>
      <c r="S171" s="43"/>
      <c r="T171" s="66" t="str" cm="1">
        <f t="array" ref="T171">IFERROR(_xlfn.AGGREGATE(15,6,ROW(DB!A$2:A$2576)/(((($D$3&lt;&gt;"YES")+($D$3="YES")*(DB!E$2:E$2576="YES"))*(($D$4="")+($D$4&lt;&gt;"")*ISNUMBER(SEARCH($D$4,DB!G$2:G$2576)))*(($D$5="")+($D$5&lt;&gt;"")*(DB!B$2:B$2576=$D$5))*(($D$6="")+($D$6&lt;&gt;"")*(DB!C$2:C$2576=$D$6))*(($D$7="")+($D$7&lt;&gt;"")*(DB!D$2:D$2576=$D$7))*(($F$4="전체")+($F$4&lt;&gt;"전체")*(DB!H$2:H$2576=$F$4)))),ROW()-16)-1,"")</f>
        <v/>
      </c>
      <c r="U171" s="104" t="str" cm="1">
        <f t="array" ref="U171">IFERROR(INDEX(DB!B$2:B$2576,T171),"")</f>
        <v/>
      </c>
      <c r="V171" s="105" t="str" cm="1">
        <f t="array" ref="V171">IFERROR(INDEX(DB!O$2:O$2576,T171),"")</f>
        <v/>
      </c>
      <c r="W171" s="106" t="str">
        <f t="shared" si="7"/>
        <v/>
      </c>
      <c r="X171" s="149" t="str">
        <f t="shared" si="8"/>
        <v/>
      </c>
      <c r="AB171" s="151"/>
      <c r="AC171" s="131"/>
      <c r="AE171" s="130"/>
      <c r="AF171" s="136"/>
      <c r="AH171" s="65"/>
      <c r="AI171" s="65"/>
      <c r="AJ171" s="65"/>
      <c r="AK171" s="65"/>
      <c r="AL171" s="65"/>
      <c r="AM171" s="65"/>
      <c r="AN171" s="65"/>
      <c r="BB171" s="11"/>
    </row>
    <row r="172" spans="1:54" ht="90" customHeight="1">
      <c r="A172" s="26"/>
      <c r="B172" s="73" t="str">
        <f t="shared" si="6"/>
        <v/>
      </c>
      <c r="C172" s="74"/>
      <c r="D172" s="96" t="str" cm="1">
        <f t="array" ref="D172">IFERROR(INDEX(DB!B$2:B$2576,X172),"")</f>
        <v/>
      </c>
      <c r="E172" s="107"/>
      <c r="F172" s="97" t="str" cm="1">
        <f t="array" ref="F172">IFERROR(INDEX(DB!C$2:C$2576,X172),"")</f>
        <v/>
      </c>
      <c r="G172" s="108"/>
      <c r="H172" s="98" t="str" cm="1">
        <f t="array" ref="H172">IFERROR(INDEX(DB!D$2:D$2576,X172),"")</f>
        <v/>
      </c>
      <c r="I172" s="109"/>
      <c r="J172" s="99" t="str" cm="1">
        <f t="array" ref="J172">IFERROR(INDEX(DB!O$2:O$2576,X172),"")</f>
        <v/>
      </c>
      <c r="K172" s="110"/>
      <c r="L172" s="75" t="str" cm="1">
        <f t="array" ref="L172">IFERROR(INDEX(DB!P$2:P$2576,X172),"")</f>
        <v/>
      </c>
      <c r="M172" s="76" t="str" cm="1">
        <f t="array" ref="M172">IFERROR(INDEX(DB!Q$2:Q$2576,X172),"")</f>
        <v/>
      </c>
      <c r="N172" s="77"/>
      <c r="O172" s="78" t="str" cm="1">
        <f t="array" ref="O172">IFERROR(INDEX(DB!R$2:R$2576,X172),"")</f>
        <v/>
      </c>
      <c r="P172" s="100"/>
      <c r="Q172" s="102"/>
      <c r="R172" s="150"/>
      <c r="S172" s="43"/>
      <c r="T172" s="66" t="str" cm="1">
        <f t="array" ref="T172">IFERROR(_xlfn.AGGREGATE(15,6,ROW(DB!A$2:A$2576)/(((($D$3&lt;&gt;"YES")+($D$3="YES")*(DB!E$2:E$2576="YES"))*(($D$4="")+($D$4&lt;&gt;"")*ISNUMBER(SEARCH($D$4,DB!G$2:G$2576)))*(($D$5="")+($D$5&lt;&gt;"")*(DB!B$2:B$2576=$D$5))*(($D$6="")+($D$6&lt;&gt;"")*(DB!C$2:C$2576=$D$6))*(($D$7="")+($D$7&lt;&gt;"")*(DB!D$2:D$2576=$D$7))*(($F$4="전체")+($F$4&lt;&gt;"전체")*(DB!H$2:H$2576=$F$4)))),ROW()-16)-1,"")</f>
        <v/>
      </c>
      <c r="U172" s="104" t="str" cm="1">
        <f t="array" ref="U172">IFERROR(INDEX(DB!B$2:B$2576,T172),"")</f>
        <v/>
      </c>
      <c r="V172" s="105" t="str" cm="1">
        <f t="array" ref="V172">IFERROR(INDEX(DB!O$2:O$2576,T172),"")</f>
        <v/>
      </c>
      <c r="W172" s="106" t="str">
        <f t="shared" si="7"/>
        <v/>
      </c>
      <c r="X172" s="149" t="str">
        <f t="shared" si="8"/>
        <v/>
      </c>
      <c r="AB172" s="151"/>
      <c r="AC172" s="131"/>
      <c r="AE172" s="130"/>
      <c r="AF172" s="136"/>
      <c r="AH172" s="65"/>
      <c r="AI172" s="65"/>
      <c r="AJ172" s="65"/>
      <c r="AK172" s="65"/>
      <c r="AL172" s="65"/>
      <c r="AM172" s="65"/>
      <c r="AN172" s="65"/>
      <c r="BB172" s="11"/>
    </row>
    <row r="173" spans="1:54" ht="90" customHeight="1">
      <c r="A173" s="26"/>
      <c r="B173" s="73" t="str">
        <f t="shared" si="6"/>
        <v/>
      </c>
      <c r="C173" s="74"/>
      <c r="D173" s="96" t="str" cm="1">
        <f t="array" ref="D173">IFERROR(INDEX(DB!B$2:B$2576,X173),"")</f>
        <v/>
      </c>
      <c r="E173" s="107"/>
      <c r="F173" s="97" t="str" cm="1">
        <f t="array" ref="F173">IFERROR(INDEX(DB!C$2:C$2576,X173),"")</f>
        <v/>
      </c>
      <c r="G173" s="108"/>
      <c r="H173" s="98" t="str" cm="1">
        <f t="array" ref="H173">IFERROR(INDEX(DB!D$2:D$2576,X173),"")</f>
        <v/>
      </c>
      <c r="I173" s="109"/>
      <c r="J173" s="99" t="str" cm="1">
        <f t="array" ref="J173">IFERROR(INDEX(DB!O$2:O$2576,X173),"")</f>
        <v/>
      </c>
      <c r="K173" s="110"/>
      <c r="L173" s="75" t="str" cm="1">
        <f t="array" ref="L173">IFERROR(INDEX(DB!P$2:P$2576,X173),"")</f>
        <v/>
      </c>
      <c r="M173" s="76" t="str" cm="1">
        <f t="array" ref="M173">IFERROR(INDEX(DB!Q$2:Q$2576,X173),"")</f>
        <v/>
      </c>
      <c r="N173" s="77"/>
      <c r="O173" s="78" t="str" cm="1">
        <f t="array" ref="O173">IFERROR(INDEX(DB!R$2:R$2576,X173),"")</f>
        <v/>
      </c>
      <c r="P173" s="100"/>
      <c r="Q173" s="102"/>
      <c r="R173" s="150"/>
      <c r="S173" s="43"/>
      <c r="T173" s="66" t="str" cm="1">
        <f t="array" ref="T173">IFERROR(_xlfn.AGGREGATE(15,6,ROW(DB!A$2:A$2576)/(((($D$3&lt;&gt;"YES")+($D$3="YES")*(DB!E$2:E$2576="YES"))*(($D$4="")+($D$4&lt;&gt;"")*ISNUMBER(SEARCH($D$4,DB!G$2:G$2576)))*(($D$5="")+($D$5&lt;&gt;"")*(DB!B$2:B$2576=$D$5))*(($D$6="")+($D$6&lt;&gt;"")*(DB!C$2:C$2576=$D$6))*(($D$7="")+($D$7&lt;&gt;"")*(DB!D$2:D$2576=$D$7))*(($F$4="전체")+($F$4&lt;&gt;"전체")*(DB!H$2:H$2576=$F$4)))),ROW()-16)-1,"")</f>
        <v/>
      </c>
      <c r="U173" s="104" t="str" cm="1">
        <f t="array" ref="U173">IFERROR(INDEX(DB!B$2:B$2576,T173),"")</f>
        <v/>
      </c>
      <c r="V173" s="105" t="str" cm="1">
        <f t="array" ref="V173">IFERROR(INDEX(DB!O$2:O$2576,T173),"")</f>
        <v/>
      </c>
      <c r="W173" s="106" t="str">
        <f t="shared" si="7"/>
        <v/>
      </c>
      <c r="X173" s="149" t="str">
        <f t="shared" si="8"/>
        <v/>
      </c>
      <c r="AB173" s="151"/>
      <c r="AC173" s="131"/>
      <c r="AE173" s="130"/>
      <c r="AF173" s="136"/>
      <c r="AH173" s="65"/>
      <c r="AI173" s="65"/>
      <c r="AJ173" s="65"/>
      <c r="AK173" s="65"/>
      <c r="AL173" s="65"/>
      <c r="AM173" s="65"/>
      <c r="AN173" s="65"/>
      <c r="BB173" s="11"/>
    </row>
    <row r="174" spans="1:54" ht="90" customHeight="1">
      <c r="A174" s="26"/>
      <c r="B174" s="73" t="str">
        <f t="shared" si="6"/>
        <v/>
      </c>
      <c r="C174" s="74"/>
      <c r="D174" s="96" t="str" cm="1">
        <f t="array" ref="D174">IFERROR(INDEX(DB!B$2:B$2576,X174),"")</f>
        <v/>
      </c>
      <c r="E174" s="107"/>
      <c r="F174" s="97" t="str" cm="1">
        <f t="array" ref="F174">IFERROR(INDEX(DB!C$2:C$2576,X174),"")</f>
        <v/>
      </c>
      <c r="G174" s="108"/>
      <c r="H174" s="98" t="str" cm="1">
        <f t="array" ref="H174">IFERROR(INDEX(DB!D$2:D$2576,X174),"")</f>
        <v/>
      </c>
      <c r="I174" s="109"/>
      <c r="J174" s="99" t="str" cm="1">
        <f t="array" ref="J174">IFERROR(INDEX(DB!O$2:O$2576,X174),"")</f>
        <v/>
      </c>
      <c r="K174" s="110"/>
      <c r="L174" s="75" t="str" cm="1">
        <f t="array" ref="L174">IFERROR(INDEX(DB!P$2:P$2576,X174),"")</f>
        <v/>
      </c>
      <c r="M174" s="76" t="str" cm="1">
        <f t="array" ref="M174">IFERROR(INDEX(DB!Q$2:Q$2576,X174),"")</f>
        <v/>
      </c>
      <c r="N174" s="77"/>
      <c r="O174" s="78" t="str" cm="1">
        <f t="array" ref="O174">IFERROR(INDEX(DB!R$2:R$2576,X174),"")</f>
        <v/>
      </c>
      <c r="P174" s="100"/>
      <c r="Q174" s="102"/>
      <c r="R174" s="150"/>
      <c r="S174" s="43"/>
      <c r="T174" s="66" t="str" cm="1">
        <f t="array" ref="T174">IFERROR(_xlfn.AGGREGATE(15,6,ROW(DB!A$2:A$2576)/(((($D$3&lt;&gt;"YES")+($D$3="YES")*(DB!E$2:E$2576="YES"))*(($D$4="")+($D$4&lt;&gt;"")*ISNUMBER(SEARCH($D$4,DB!G$2:G$2576)))*(($D$5="")+($D$5&lt;&gt;"")*(DB!B$2:B$2576=$D$5))*(($D$6="")+($D$6&lt;&gt;"")*(DB!C$2:C$2576=$D$6))*(($D$7="")+($D$7&lt;&gt;"")*(DB!D$2:D$2576=$D$7))*(($F$4="전체")+($F$4&lt;&gt;"전체")*(DB!H$2:H$2576=$F$4)))),ROW()-16)-1,"")</f>
        <v/>
      </c>
      <c r="U174" s="104" t="str" cm="1">
        <f t="array" ref="U174">IFERROR(INDEX(DB!B$2:B$2576,T174),"")</f>
        <v/>
      </c>
      <c r="V174" s="105" t="str" cm="1">
        <f t="array" ref="V174">IFERROR(INDEX(DB!O$2:O$2576,T174),"")</f>
        <v/>
      </c>
      <c r="W174" s="106" t="str">
        <f t="shared" si="7"/>
        <v/>
      </c>
      <c r="X174" s="149" t="str">
        <f t="shared" si="8"/>
        <v/>
      </c>
      <c r="AB174" s="151"/>
      <c r="AC174" s="131"/>
      <c r="AE174" s="130"/>
      <c r="AF174" s="136"/>
      <c r="AH174" s="65"/>
      <c r="AI174" s="65"/>
      <c r="AJ174" s="65"/>
      <c r="AK174" s="65"/>
      <c r="AL174" s="65"/>
      <c r="AM174" s="65"/>
      <c r="AN174" s="65"/>
      <c r="BB174" s="11"/>
    </row>
    <row r="175" spans="1:54" ht="90" customHeight="1">
      <c r="A175" s="26"/>
      <c r="B175" s="73" t="str">
        <f t="shared" si="6"/>
        <v/>
      </c>
      <c r="C175" s="74"/>
      <c r="D175" s="96" t="str" cm="1">
        <f t="array" ref="D175">IFERROR(INDEX(DB!B$2:B$2576,X175),"")</f>
        <v/>
      </c>
      <c r="E175" s="107"/>
      <c r="F175" s="97" t="str" cm="1">
        <f t="array" ref="F175">IFERROR(INDEX(DB!C$2:C$2576,X175),"")</f>
        <v/>
      </c>
      <c r="G175" s="108"/>
      <c r="H175" s="98" t="str" cm="1">
        <f t="array" ref="H175">IFERROR(INDEX(DB!D$2:D$2576,X175),"")</f>
        <v/>
      </c>
      <c r="I175" s="109"/>
      <c r="J175" s="99" t="str" cm="1">
        <f t="array" ref="J175">IFERROR(INDEX(DB!O$2:O$2576,X175),"")</f>
        <v/>
      </c>
      <c r="K175" s="110"/>
      <c r="L175" s="75" t="str" cm="1">
        <f t="array" ref="L175">IFERROR(INDEX(DB!P$2:P$2576,X175),"")</f>
        <v/>
      </c>
      <c r="M175" s="76" t="str" cm="1">
        <f t="array" ref="M175">IFERROR(INDEX(DB!Q$2:Q$2576,X175),"")</f>
        <v/>
      </c>
      <c r="N175" s="77"/>
      <c r="O175" s="78" t="str" cm="1">
        <f t="array" ref="O175">IFERROR(INDEX(DB!R$2:R$2576,X175),"")</f>
        <v/>
      </c>
      <c r="P175" s="100"/>
      <c r="Q175" s="102"/>
      <c r="R175" s="150"/>
      <c r="S175" s="43"/>
      <c r="T175" s="66" t="str" cm="1">
        <f t="array" ref="T175">IFERROR(_xlfn.AGGREGATE(15,6,ROW(DB!A$2:A$2576)/(((($D$3&lt;&gt;"YES")+($D$3="YES")*(DB!E$2:E$2576="YES"))*(($D$4="")+($D$4&lt;&gt;"")*ISNUMBER(SEARCH($D$4,DB!G$2:G$2576)))*(($D$5="")+($D$5&lt;&gt;"")*(DB!B$2:B$2576=$D$5))*(($D$6="")+($D$6&lt;&gt;"")*(DB!C$2:C$2576=$D$6))*(($D$7="")+($D$7&lt;&gt;"")*(DB!D$2:D$2576=$D$7))*(($F$4="전체")+($F$4&lt;&gt;"전체")*(DB!H$2:H$2576=$F$4)))),ROW()-16)-1,"")</f>
        <v/>
      </c>
      <c r="U175" s="104" t="str" cm="1">
        <f t="array" ref="U175">IFERROR(INDEX(DB!B$2:B$2576,T175),"")</f>
        <v/>
      </c>
      <c r="V175" s="105" t="str" cm="1">
        <f t="array" ref="V175">IFERROR(INDEX(DB!O$2:O$2576,T175),"")</f>
        <v/>
      </c>
      <c r="W175" s="106" t="str">
        <f t="shared" si="7"/>
        <v/>
      </c>
      <c r="X175" s="149" t="str">
        <f t="shared" si="8"/>
        <v/>
      </c>
      <c r="AB175" s="151"/>
      <c r="AC175" s="131"/>
      <c r="AE175" s="130"/>
      <c r="AF175" s="136"/>
      <c r="AH175" s="65"/>
      <c r="AI175" s="65"/>
      <c r="AJ175" s="65"/>
      <c r="AK175" s="65"/>
      <c r="AL175" s="65"/>
      <c r="AM175" s="65"/>
      <c r="AN175" s="65"/>
      <c r="BB175" s="11"/>
    </row>
    <row r="176" spans="1:54" ht="90" customHeight="1">
      <c r="A176" s="26"/>
      <c r="B176" s="73" t="str">
        <f t="shared" si="6"/>
        <v/>
      </c>
      <c r="C176" s="74"/>
      <c r="D176" s="96" t="str" cm="1">
        <f t="array" ref="D176">IFERROR(INDEX(DB!B$2:B$2576,X176),"")</f>
        <v/>
      </c>
      <c r="E176" s="107"/>
      <c r="F176" s="97" t="str" cm="1">
        <f t="array" ref="F176">IFERROR(INDEX(DB!C$2:C$2576,X176),"")</f>
        <v/>
      </c>
      <c r="G176" s="108"/>
      <c r="H176" s="98" t="str" cm="1">
        <f t="array" ref="H176">IFERROR(INDEX(DB!D$2:D$2576,X176),"")</f>
        <v/>
      </c>
      <c r="I176" s="109"/>
      <c r="J176" s="99" t="str" cm="1">
        <f t="array" ref="J176">IFERROR(INDEX(DB!O$2:O$2576,X176),"")</f>
        <v/>
      </c>
      <c r="K176" s="110"/>
      <c r="L176" s="75" t="str" cm="1">
        <f t="array" ref="L176">IFERROR(INDEX(DB!P$2:P$2576,X176),"")</f>
        <v/>
      </c>
      <c r="M176" s="76" t="str" cm="1">
        <f t="array" ref="M176">IFERROR(INDEX(DB!Q$2:Q$2576,X176),"")</f>
        <v/>
      </c>
      <c r="N176" s="77"/>
      <c r="O176" s="78" t="str" cm="1">
        <f t="array" ref="O176">IFERROR(INDEX(DB!R$2:R$2576,X176),"")</f>
        <v/>
      </c>
      <c r="P176" s="100"/>
      <c r="Q176" s="102"/>
      <c r="R176" s="150"/>
      <c r="S176" s="43"/>
      <c r="T176" s="66" t="str" cm="1">
        <f t="array" ref="T176">IFERROR(_xlfn.AGGREGATE(15,6,ROW(DB!A$2:A$2576)/(((($D$3&lt;&gt;"YES")+($D$3="YES")*(DB!E$2:E$2576="YES"))*(($D$4="")+($D$4&lt;&gt;"")*ISNUMBER(SEARCH($D$4,DB!G$2:G$2576)))*(($D$5="")+($D$5&lt;&gt;"")*(DB!B$2:B$2576=$D$5))*(($D$6="")+($D$6&lt;&gt;"")*(DB!C$2:C$2576=$D$6))*(($D$7="")+($D$7&lt;&gt;"")*(DB!D$2:D$2576=$D$7))*(($F$4="전체")+($F$4&lt;&gt;"전체")*(DB!H$2:H$2576=$F$4)))),ROW()-16)-1,"")</f>
        <v/>
      </c>
      <c r="U176" s="104" t="str" cm="1">
        <f t="array" ref="U176">IFERROR(INDEX(DB!B$2:B$2576,T176),"")</f>
        <v/>
      </c>
      <c r="V176" s="105" t="str" cm="1">
        <f t="array" ref="V176">IFERROR(INDEX(DB!O$2:O$2576,T176),"")</f>
        <v/>
      </c>
      <c r="W176" s="106" t="str">
        <f t="shared" si="7"/>
        <v/>
      </c>
      <c r="X176" s="149" t="str">
        <f t="shared" si="8"/>
        <v/>
      </c>
      <c r="AB176" s="151"/>
      <c r="AC176" s="131"/>
      <c r="AE176" s="130"/>
      <c r="AF176" s="136"/>
      <c r="AH176" s="65"/>
      <c r="AI176" s="65"/>
      <c r="AJ176" s="65"/>
      <c r="AK176" s="65"/>
      <c r="AL176" s="65"/>
      <c r="AM176" s="65"/>
      <c r="AN176" s="65"/>
      <c r="BB176" s="11"/>
    </row>
    <row r="177" spans="1:54" ht="90" customHeight="1">
      <c r="A177" s="26"/>
      <c r="B177" s="73" t="str">
        <f t="shared" si="6"/>
        <v/>
      </c>
      <c r="C177" s="74"/>
      <c r="D177" s="96" t="str" cm="1">
        <f t="array" ref="D177">IFERROR(INDEX(DB!B$2:B$2576,X177),"")</f>
        <v/>
      </c>
      <c r="E177" s="107"/>
      <c r="F177" s="97" t="str" cm="1">
        <f t="array" ref="F177">IFERROR(INDEX(DB!C$2:C$2576,X177),"")</f>
        <v/>
      </c>
      <c r="G177" s="108"/>
      <c r="H177" s="98" t="str" cm="1">
        <f t="array" ref="H177">IFERROR(INDEX(DB!D$2:D$2576,X177),"")</f>
        <v/>
      </c>
      <c r="I177" s="109"/>
      <c r="J177" s="99" t="str" cm="1">
        <f t="array" ref="J177">IFERROR(INDEX(DB!O$2:O$2576,X177),"")</f>
        <v/>
      </c>
      <c r="K177" s="110"/>
      <c r="L177" s="75" t="str" cm="1">
        <f t="array" ref="L177">IFERROR(INDEX(DB!P$2:P$2576,X177),"")</f>
        <v/>
      </c>
      <c r="M177" s="76" t="str" cm="1">
        <f t="array" ref="M177">IFERROR(INDEX(DB!Q$2:Q$2576,X177),"")</f>
        <v/>
      </c>
      <c r="N177" s="77"/>
      <c r="O177" s="78" t="str" cm="1">
        <f t="array" ref="O177">IFERROR(INDEX(DB!R$2:R$2576,X177),"")</f>
        <v/>
      </c>
      <c r="P177" s="100"/>
      <c r="Q177" s="102"/>
      <c r="R177" s="150"/>
      <c r="S177" s="43"/>
      <c r="T177" s="66" t="str" cm="1">
        <f t="array" ref="T177">IFERROR(_xlfn.AGGREGATE(15,6,ROW(DB!A$2:A$2576)/(((($D$3&lt;&gt;"YES")+($D$3="YES")*(DB!E$2:E$2576="YES"))*(($D$4="")+($D$4&lt;&gt;"")*ISNUMBER(SEARCH($D$4,DB!G$2:G$2576)))*(($D$5="")+($D$5&lt;&gt;"")*(DB!B$2:B$2576=$D$5))*(($D$6="")+($D$6&lt;&gt;"")*(DB!C$2:C$2576=$D$6))*(($D$7="")+($D$7&lt;&gt;"")*(DB!D$2:D$2576=$D$7))*(($F$4="전체")+($F$4&lt;&gt;"전체")*(DB!H$2:H$2576=$F$4)))),ROW()-16)-1,"")</f>
        <v/>
      </c>
      <c r="U177" s="104" t="str" cm="1">
        <f t="array" ref="U177">IFERROR(INDEX(DB!B$2:B$2576,T177),"")</f>
        <v/>
      </c>
      <c r="V177" s="105" t="str" cm="1">
        <f t="array" ref="V177">IFERROR(INDEX(DB!O$2:O$2576,T177),"")</f>
        <v/>
      </c>
      <c r="W177" s="106" t="str">
        <f t="shared" si="7"/>
        <v/>
      </c>
      <c r="X177" s="149" t="str">
        <f t="shared" si="8"/>
        <v/>
      </c>
      <c r="AB177" s="151"/>
      <c r="AC177" s="131"/>
      <c r="AE177" s="130"/>
      <c r="AF177" s="136"/>
      <c r="AH177" s="65"/>
      <c r="AI177" s="65"/>
      <c r="AJ177" s="65"/>
      <c r="AK177" s="65"/>
      <c r="AL177" s="65"/>
      <c r="AM177" s="65"/>
      <c r="AN177" s="65"/>
      <c r="BB177" s="11"/>
    </row>
    <row r="178" spans="1:54" ht="90" customHeight="1">
      <c r="A178" s="26"/>
      <c r="B178" s="73" t="str">
        <f t="shared" si="6"/>
        <v/>
      </c>
      <c r="C178" s="74"/>
      <c r="D178" s="96" t="str" cm="1">
        <f t="array" ref="D178">IFERROR(INDEX(DB!B$2:B$2576,X178),"")</f>
        <v/>
      </c>
      <c r="E178" s="107"/>
      <c r="F178" s="97" t="str" cm="1">
        <f t="array" ref="F178">IFERROR(INDEX(DB!C$2:C$2576,X178),"")</f>
        <v/>
      </c>
      <c r="G178" s="108"/>
      <c r="H178" s="98" t="str" cm="1">
        <f t="array" ref="H178">IFERROR(INDEX(DB!D$2:D$2576,X178),"")</f>
        <v/>
      </c>
      <c r="I178" s="109"/>
      <c r="J178" s="99" t="str" cm="1">
        <f t="array" ref="J178">IFERROR(INDEX(DB!O$2:O$2576,X178),"")</f>
        <v/>
      </c>
      <c r="K178" s="110"/>
      <c r="L178" s="75" t="str" cm="1">
        <f t="array" ref="L178">IFERROR(INDEX(DB!P$2:P$2576,X178),"")</f>
        <v/>
      </c>
      <c r="M178" s="76" t="str" cm="1">
        <f t="array" ref="M178">IFERROR(INDEX(DB!Q$2:Q$2576,X178),"")</f>
        <v/>
      </c>
      <c r="N178" s="77"/>
      <c r="O178" s="78" t="str" cm="1">
        <f t="array" ref="O178">IFERROR(INDEX(DB!R$2:R$2576,X178),"")</f>
        <v/>
      </c>
      <c r="P178" s="100"/>
      <c r="Q178" s="102"/>
      <c r="R178" s="150"/>
      <c r="S178" s="43"/>
      <c r="T178" s="66" t="str" cm="1">
        <f t="array" ref="T178">IFERROR(_xlfn.AGGREGATE(15,6,ROW(DB!A$2:A$2576)/(((($D$3&lt;&gt;"YES")+($D$3="YES")*(DB!E$2:E$2576="YES"))*(($D$4="")+($D$4&lt;&gt;"")*ISNUMBER(SEARCH($D$4,DB!G$2:G$2576)))*(($D$5="")+($D$5&lt;&gt;"")*(DB!B$2:B$2576=$D$5))*(($D$6="")+($D$6&lt;&gt;"")*(DB!C$2:C$2576=$D$6))*(($D$7="")+($D$7&lt;&gt;"")*(DB!D$2:D$2576=$D$7))*(($F$4="전체")+($F$4&lt;&gt;"전체")*(DB!H$2:H$2576=$F$4)))),ROW()-16)-1,"")</f>
        <v/>
      </c>
      <c r="U178" s="104" t="str" cm="1">
        <f t="array" ref="U178">IFERROR(INDEX(DB!B$2:B$2576,T178),"")</f>
        <v/>
      </c>
      <c r="V178" s="105" t="str" cm="1">
        <f t="array" ref="V178">IFERROR(INDEX(DB!O$2:O$2576,T178),"")</f>
        <v/>
      </c>
      <c r="W178" s="106" t="str">
        <f t="shared" si="7"/>
        <v/>
      </c>
      <c r="X178" s="149" t="str">
        <f t="shared" si="8"/>
        <v/>
      </c>
      <c r="AB178" s="151"/>
      <c r="AC178" s="131"/>
      <c r="AE178" s="130"/>
      <c r="AF178" s="136"/>
      <c r="AH178" s="65"/>
      <c r="AI178" s="65"/>
      <c r="AJ178" s="65"/>
      <c r="AK178" s="65"/>
      <c r="AL178" s="65"/>
      <c r="AM178" s="65"/>
      <c r="AN178" s="65"/>
      <c r="BB178" s="11"/>
    </row>
    <row r="179" spans="1:54" ht="90" customHeight="1">
      <c r="A179" s="26"/>
      <c r="B179" s="73" t="str">
        <f t="shared" si="6"/>
        <v/>
      </c>
      <c r="C179" s="74"/>
      <c r="D179" s="96" t="str" cm="1">
        <f t="array" ref="D179">IFERROR(INDEX(DB!B$2:B$2576,X179),"")</f>
        <v/>
      </c>
      <c r="E179" s="107"/>
      <c r="F179" s="97" t="str" cm="1">
        <f t="array" ref="F179">IFERROR(INDEX(DB!C$2:C$2576,X179),"")</f>
        <v/>
      </c>
      <c r="G179" s="108"/>
      <c r="H179" s="98" t="str" cm="1">
        <f t="array" ref="H179">IFERROR(INDEX(DB!D$2:D$2576,X179),"")</f>
        <v/>
      </c>
      <c r="I179" s="109"/>
      <c r="J179" s="99" t="str" cm="1">
        <f t="array" ref="J179">IFERROR(INDEX(DB!O$2:O$2576,X179),"")</f>
        <v/>
      </c>
      <c r="K179" s="110"/>
      <c r="L179" s="75" t="str" cm="1">
        <f t="array" ref="L179">IFERROR(INDEX(DB!P$2:P$2576,X179),"")</f>
        <v/>
      </c>
      <c r="M179" s="76" t="str" cm="1">
        <f t="array" ref="M179">IFERROR(INDEX(DB!Q$2:Q$2576,X179),"")</f>
        <v/>
      </c>
      <c r="N179" s="77"/>
      <c r="O179" s="78" t="str" cm="1">
        <f t="array" ref="O179">IFERROR(INDEX(DB!R$2:R$2576,X179),"")</f>
        <v/>
      </c>
      <c r="P179" s="100"/>
      <c r="Q179" s="102"/>
      <c r="R179" s="150"/>
      <c r="S179" s="43"/>
      <c r="T179" s="66" t="str" cm="1">
        <f t="array" ref="T179">IFERROR(_xlfn.AGGREGATE(15,6,ROW(DB!A$2:A$2576)/(((($D$3&lt;&gt;"YES")+($D$3="YES")*(DB!E$2:E$2576="YES"))*(($D$4="")+($D$4&lt;&gt;"")*ISNUMBER(SEARCH($D$4,DB!G$2:G$2576)))*(($D$5="")+($D$5&lt;&gt;"")*(DB!B$2:B$2576=$D$5))*(($D$6="")+($D$6&lt;&gt;"")*(DB!C$2:C$2576=$D$6))*(($D$7="")+($D$7&lt;&gt;"")*(DB!D$2:D$2576=$D$7))*(($F$4="전체")+($F$4&lt;&gt;"전체")*(DB!H$2:H$2576=$F$4)))),ROW()-16)-1,"")</f>
        <v/>
      </c>
      <c r="U179" s="104" t="str" cm="1">
        <f t="array" ref="U179">IFERROR(INDEX(DB!B$2:B$2576,T179),"")</f>
        <v/>
      </c>
      <c r="V179" s="105" t="str" cm="1">
        <f t="array" ref="V179">IFERROR(INDEX(DB!O$2:O$2576,T179),"")</f>
        <v/>
      </c>
      <c r="W179" s="106" t="str">
        <f t="shared" si="7"/>
        <v/>
      </c>
      <c r="X179" s="149" t="str">
        <f t="shared" si="8"/>
        <v/>
      </c>
      <c r="AB179" s="151"/>
      <c r="AC179" s="131"/>
      <c r="AE179" s="130"/>
      <c r="AF179" s="136"/>
      <c r="AH179" s="65"/>
      <c r="AI179" s="65"/>
      <c r="AJ179" s="65"/>
      <c r="AK179" s="65"/>
      <c r="AL179" s="65"/>
      <c r="AM179" s="65"/>
      <c r="AN179" s="65"/>
      <c r="BB179" s="11"/>
    </row>
    <row r="180" spans="1:54" ht="90" customHeight="1">
      <c r="A180" s="26"/>
      <c r="B180" s="73" t="str">
        <f t="shared" si="6"/>
        <v/>
      </c>
      <c r="C180" s="74"/>
      <c r="D180" s="96" t="str" cm="1">
        <f t="array" ref="D180">IFERROR(INDEX(DB!B$2:B$2576,X180),"")</f>
        <v/>
      </c>
      <c r="E180" s="107"/>
      <c r="F180" s="97" t="str" cm="1">
        <f t="array" ref="F180">IFERROR(INDEX(DB!C$2:C$2576,X180),"")</f>
        <v/>
      </c>
      <c r="G180" s="108"/>
      <c r="H180" s="98" t="str" cm="1">
        <f t="array" ref="H180">IFERROR(INDEX(DB!D$2:D$2576,X180),"")</f>
        <v/>
      </c>
      <c r="I180" s="109"/>
      <c r="J180" s="99" t="str" cm="1">
        <f t="array" ref="J180">IFERROR(INDEX(DB!O$2:O$2576,X180),"")</f>
        <v/>
      </c>
      <c r="K180" s="110"/>
      <c r="L180" s="75" t="str" cm="1">
        <f t="array" ref="L180">IFERROR(INDEX(DB!P$2:P$2576,X180),"")</f>
        <v/>
      </c>
      <c r="M180" s="76" t="str" cm="1">
        <f t="array" ref="M180">IFERROR(INDEX(DB!Q$2:Q$2576,X180),"")</f>
        <v/>
      </c>
      <c r="N180" s="77"/>
      <c r="O180" s="78" t="str" cm="1">
        <f t="array" ref="O180">IFERROR(INDEX(DB!R$2:R$2576,X180),"")</f>
        <v/>
      </c>
      <c r="P180" s="100"/>
      <c r="Q180" s="102"/>
      <c r="R180" s="150"/>
      <c r="S180" s="43"/>
      <c r="T180" s="66" t="str" cm="1">
        <f t="array" ref="T180">IFERROR(_xlfn.AGGREGATE(15,6,ROW(DB!A$2:A$2576)/(((($D$3&lt;&gt;"YES")+($D$3="YES")*(DB!E$2:E$2576="YES"))*(($D$4="")+($D$4&lt;&gt;"")*ISNUMBER(SEARCH($D$4,DB!G$2:G$2576)))*(($D$5="")+($D$5&lt;&gt;"")*(DB!B$2:B$2576=$D$5))*(($D$6="")+($D$6&lt;&gt;"")*(DB!C$2:C$2576=$D$6))*(($D$7="")+($D$7&lt;&gt;"")*(DB!D$2:D$2576=$D$7))*(($F$4="전체")+($F$4&lt;&gt;"전체")*(DB!H$2:H$2576=$F$4)))),ROW()-16)-1,"")</f>
        <v/>
      </c>
      <c r="U180" s="104" t="str" cm="1">
        <f t="array" ref="U180">IFERROR(INDEX(DB!B$2:B$2576,T180),"")</f>
        <v/>
      </c>
      <c r="V180" s="105" t="str" cm="1">
        <f t="array" ref="V180">IFERROR(INDEX(DB!O$2:O$2576,T180),"")</f>
        <v/>
      </c>
      <c r="W180" s="106" t="str">
        <f t="shared" si="7"/>
        <v/>
      </c>
      <c r="X180" s="149" t="str">
        <f t="shared" si="8"/>
        <v/>
      </c>
      <c r="AB180" s="151"/>
      <c r="AC180" s="131"/>
      <c r="AE180" s="130"/>
      <c r="AF180" s="136"/>
      <c r="AH180" s="65"/>
      <c r="AI180" s="65"/>
      <c r="AJ180" s="65"/>
      <c r="AK180" s="65"/>
      <c r="AL180" s="65"/>
      <c r="AM180" s="65"/>
      <c r="AN180" s="65"/>
      <c r="BB180" s="11"/>
    </row>
    <row r="181" spans="1:54" ht="90" customHeight="1">
      <c r="A181" s="26"/>
      <c r="B181" s="73" t="str">
        <f t="shared" si="6"/>
        <v/>
      </c>
      <c r="C181" s="74"/>
      <c r="D181" s="96" t="str" cm="1">
        <f t="array" ref="D181">IFERROR(INDEX(DB!B$2:B$2576,X181),"")</f>
        <v/>
      </c>
      <c r="E181" s="107"/>
      <c r="F181" s="97" t="str" cm="1">
        <f t="array" ref="F181">IFERROR(INDEX(DB!C$2:C$2576,X181),"")</f>
        <v/>
      </c>
      <c r="G181" s="108"/>
      <c r="H181" s="98" t="str" cm="1">
        <f t="array" ref="H181">IFERROR(INDEX(DB!D$2:D$2576,X181),"")</f>
        <v/>
      </c>
      <c r="I181" s="109"/>
      <c r="J181" s="99" t="str" cm="1">
        <f t="array" ref="J181">IFERROR(INDEX(DB!O$2:O$2576,X181),"")</f>
        <v/>
      </c>
      <c r="K181" s="110"/>
      <c r="L181" s="75" t="str" cm="1">
        <f t="array" ref="L181">IFERROR(INDEX(DB!P$2:P$2576,X181),"")</f>
        <v/>
      </c>
      <c r="M181" s="76" t="str" cm="1">
        <f t="array" ref="M181">IFERROR(INDEX(DB!Q$2:Q$2576,X181),"")</f>
        <v/>
      </c>
      <c r="N181" s="77"/>
      <c r="O181" s="78" t="str" cm="1">
        <f t="array" ref="O181">IFERROR(INDEX(DB!R$2:R$2576,X181),"")</f>
        <v/>
      </c>
      <c r="P181" s="100"/>
      <c r="Q181" s="102"/>
      <c r="R181" s="150"/>
      <c r="S181" s="43"/>
      <c r="T181" s="66" t="str" cm="1">
        <f t="array" ref="T181">IFERROR(_xlfn.AGGREGATE(15,6,ROW(DB!A$2:A$2576)/(((($D$3&lt;&gt;"YES")+($D$3="YES")*(DB!E$2:E$2576="YES"))*(($D$4="")+($D$4&lt;&gt;"")*ISNUMBER(SEARCH($D$4,DB!G$2:G$2576)))*(($D$5="")+($D$5&lt;&gt;"")*(DB!B$2:B$2576=$D$5))*(($D$6="")+($D$6&lt;&gt;"")*(DB!C$2:C$2576=$D$6))*(($D$7="")+($D$7&lt;&gt;"")*(DB!D$2:D$2576=$D$7))*(($F$4="전체")+($F$4&lt;&gt;"전체")*(DB!H$2:H$2576=$F$4)))),ROW()-16)-1,"")</f>
        <v/>
      </c>
      <c r="U181" s="104" t="str" cm="1">
        <f t="array" ref="U181">IFERROR(INDEX(DB!B$2:B$2576,T181),"")</f>
        <v/>
      </c>
      <c r="V181" s="105" t="str" cm="1">
        <f t="array" ref="V181">IFERROR(INDEX(DB!O$2:O$2576,T181),"")</f>
        <v/>
      </c>
      <c r="W181" s="106" t="str">
        <f t="shared" si="7"/>
        <v/>
      </c>
      <c r="X181" s="149" t="str">
        <f t="shared" si="8"/>
        <v/>
      </c>
      <c r="AB181" s="151"/>
      <c r="AC181" s="131"/>
      <c r="AE181" s="130"/>
      <c r="AF181" s="136"/>
      <c r="AH181" s="65"/>
      <c r="AI181" s="65"/>
      <c r="AJ181" s="65"/>
      <c r="AK181" s="65"/>
      <c r="AL181" s="65"/>
      <c r="AM181" s="65"/>
      <c r="AN181" s="65"/>
      <c r="BB181" s="11"/>
    </row>
    <row r="182" spans="1:54" ht="90" customHeight="1">
      <c r="A182" s="26"/>
      <c r="B182" s="73" t="str">
        <f t="shared" si="6"/>
        <v/>
      </c>
      <c r="C182" s="74"/>
      <c r="D182" s="96" t="str" cm="1">
        <f t="array" ref="D182">IFERROR(INDEX(DB!B$2:B$2576,X182),"")</f>
        <v/>
      </c>
      <c r="E182" s="107"/>
      <c r="F182" s="97" t="str" cm="1">
        <f t="array" ref="F182">IFERROR(INDEX(DB!C$2:C$2576,X182),"")</f>
        <v/>
      </c>
      <c r="G182" s="108"/>
      <c r="H182" s="98" t="str" cm="1">
        <f t="array" ref="H182">IFERROR(INDEX(DB!D$2:D$2576,X182),"")</f>
        <v/>
      </c>
      <c r="I182" s="109"/>
      <c r="J182" s="99" t="str" cm="1">
        <f t="array" ref="J182">IFERROR(INDEX(DB!O$2:O$2576,X182),"")</f>
        <v/>
      </c>
      <c r="K182" s="110"/>
      <c r="L182" s="75" t="str" cm="1">
        <f t="array" ref="L182">IFERROR(INDEX(DB!P$2:P$2576,X182),"")</f>
        <v/>
      </c>
      <c r="M182" s="76" t="str" cm="1">
        <f t="array" ref="M182">IFERROR(INDEX(DB!Q$2:Q$2576,X182),"")</f>
        <v/>
      </c>
      <c r="N182" s="77"/>
      <c r="O182" s="78" t="str" cm="1">
        <f t="array" ref="O182">IFERROR(INDEX(DB!R$2:R$2576,X182),"")</f>
        <v/>
      </c>
      <c r="P182" s="100"/>
      <c r="Q182" s="102"/>
      <c r="R182" s="150"/>
      <c r="S182" s="43"/>
      <c r="T182" s="66" t="str" cm="1">
        <f t="array" ref="T182">IFERROR(_xlfn.AGGREGATE(15,6,ROW(DB!A$2:A$2576)/(((($D$3&lt;&gt;"YES")+($D$3="YES")*(DB!E$2:E$2576="YES"))*(($D$4="")+($D$4&lt;&gt;"")*ISNUMBER(SEARCH($D$4,DB!G$2:G$2576)))*(($D$5="")+($D$5&lt;&gt;"")*(DB!B$2:B$2576=$D$5))*(($D$6="")+($D$6&lt;&gt;"")*(DB!C$2:C$2576=$D$6))*(($D$7="")+($D$7&lt;&gt;"")*(DB!D$2:D$2576=$D$7))*(($F$4="전체")+($F$4&lt;&gt;"전체")*(DB!H$2:H$2576=$F$4)))),ROW()-16)-1,"")</f>
        <v/>
      </c>
      <c r="U182" s="104" t="str" cm="1">
        <f t="array" ref="U182">IFERROR(INDEX(DB!B$2:B$2576,T182),"")</f>
        <v/>
      </c>
      <c r="V182" s="105" t="str" cm="1">
        <f t="array" ref="V182">IFERROR(INDEX(DB!O$2:O$2576,T182),"")</f>
        <v/>
      </c>
      <c r="W182" s="106" t="str">
        <f t="shared" si="7"/>
        <v/>
      </c>
      <c r="X182" s="149" t="str">
        <f t="shared" si="8"/>
        <v/>
      </c>
      <c r="AB182" s="151"/>
      <c r="AC182" s="131"/>
      <c r="AE182" s="130"/>
      <c r="AF182" s="136"/>
      <c r="AH182" s="65"/>
      <c r="AI182" s="65"/>
      <c r="AJ182" s="65"/>
      <c r="AK182" s="65"/>
      <c r="AL182" s="65"/>
      <c r="AM182" s="65"/>
      <c r="AN182" s="65"/>
      <c r="BB182" s="11"/>
    </row>
    <row r="183" spans="1:54" ht="90" customHeight="1">
      <c r="A183" s="26"/>
      <c r="B183" s="73" t="str">
        <f t="shared" si="6"/>
        <v/>
      </c>
      <c r="C183" s="74"/>
      <c r="D183" s="96" t="str" cm="1">
        <f t="array" ref="D183">IFERROR(INDEX(DB!B$2:B$2576,X183),"")</f>
        <v/>
      </c>
      <c r="E183" s="107"/>
      <c r="F183" s="97" t="str" cm="1">
        <f t="array" ref="F183">IFERROR(INDEX(DB!C$2:C$2576,X183),"")</f>
        <v/>
      </c>
      <c r="G183" s="108"/>
      <c r="H183" s="98" t="str" cm="1">
        <f t="array" ref="H183">IFERROR(INDEX(DB!D$2:D$2576,X183),"")</f>
        <v/>
      </c>
      <c r="I183" s="109"/>
      <c r="J183" s="99" t="str" cm="1">
        <f t="array" ref="J183">IFERROR(INDEX(DB!O$2:O$2576,X183),"")</f>
        <v/>
      </c>
      <c r="K183" s="110"/>
      <c r="L183" s="75" t="str" cm="1">
        <f t="array" ref="L183">IFERROR(INDEX(DB!P$2:P$2576,X183),"")</f>
        <v/>
      </c>
      <c r="M183" s="76" t="str" cm="1">
        <f t="array" ref="M183">IFERROR(INDEX(DB!Q$2:Q$2576,X183),"")</f>
        <v/>
      </c>
      <c r="N183" s="77"/>
      <c r="O183" s="78" t="str" cm="1">
        <f t="array" ref="O183">IFERROR(INDEX(DB!R$2:R$2576,X183),"")</f>
        <v/>
      </c>
      <c r="P183" s="100"/>
      <c r="Q183" s="102"/>
      <c r="R183" s="150"/>
      <c r="S183" s="43"/>
      <c r="T183" s="66" t="str" cm="1">
        <f t="array" ref="T183">IFERROR(_xlfn.AGGREGATE(15,6,ROW(DB!A$2:A$2576)/(((($D$3&lt;&gt;"YES")+($D$3="YES")*(DB!E$2:E$2576="YES"))*(($D$4="")+($D$4&lt;&gt;"")*ISNUMBER(SEARCH($D$4,DB!G$2:G$2576)))*(($D$5="")+($D$5&lt;&gt;"")*(DB!B$2:B$2576=$D$5))*(($D$6="")+($D$6&lt;&gt;"")*(DB!C$2:C$2576=$D$6))*(($D$7="")+($D$7&lt;&gt;"")*(DB!D$2:D$2576=$D$7))*(($F$4="전체")+($F$4&lt;&gt;"전체")*(DB!H$2:H$2576=$F$4)))),ROW()-16)-1,"")</f>
        <v/>
      </c>
      <c r="U183" s="104" t="str" cm="1">
        <f t="array" ref="U183">IFERROR(INDEX(DB!B$2:B$2576,T183),"")</f>
        <v/>
      </c>
      <c r="V183" s="105" t="str" cm="1">
        <f t="array" ref="V183">IFERROR(INDEX(DB!O$2:O$2576,T183),"")</f>
        <v/>
      </c>
      <c r="W183" s="106" t="str">
        <f t="shared" si="7"/>
        <v/>
      </c>
      <c r="X183" s="149" t="str">
        <f t="shared" si="8"/>
        <v/>
      </c>
      <c r="AB183" s="151"/>
      <c r="AC183" s="131"/>
      <c r="AE183" s="130"/>
      <c r="AF183" s="136"/>
      <c r="AH183" s="65"/>
      <c r="AI183" s="65"/>
      <c r="AJ183" s="65"/>
      <c r="AK183" s="65"/>
      <c r="AL183" s="65"/>
      <c r="AM183" s="65"/>
      <c r="AN183" s="65"/>
      <c r="BB183" s="11"/>
    </row>
    <row r="184" spans="1:54" ht="90" customHeight="1">
      <c r="A184" s="26"/>
      <c r="B184" s="73" t="str">
        <f t="shared" si="6"/>
        <v/>
      </c>
      <c r="C184" s="74"/>
      <c r="D184" s="96" t="str" cm="1">
        <f t="array" ref="D184">IFERROR(INDEX(DB!B$2:B$2576,X184),"")</f>
        <v/>
      </c>
      <c r="E184" s="107"/>
      <c r="F184" s="97" t="str" cm="1">
        <f t="array" ref="F184">IFERROR(INDEX(DB!C$2:C$2576,X184),"")</f>
        <v/>
      </c>
      <c r="G184" s="108"/>
      <c r="H184" s="98" t="str" cm="1">
        <f t="array" ref="H184">IFERROR(INDEX(DB!D$2:D$2576,X184),"")</f>
        <v/>
      </c>
      <c r="I184" s="109"/>
      <c r="J184" s="99" t="str" cm="1">
        <f t="array" ref="J184">IFERROR(INDEX(DB!O$2:O$2576,X184),"")</f>
        <v/>
      </c>
      <c r="K184" s="110"/>
      <c r="L184" s="75" t="str" cm="1">
        <f t="array" ref="L184">IFERROR(INDEX(DB!P$2:P$2576,X184),"")</f>
        <v/>
      </c>
      <c r="M184" s="76" t="str" cm="1">
        <f t="array" ref="M184">IFERROR(INDEX(DB!Q$2:Q$2576,X184),"")</f>
        <v/>
      </c>
      <c r="N184" s="77"/>
      <c r="O184" s="78" t="str" cm="1">
        <f t="array" ref="O184">IFERROR(INDEX(DB!R$2:R$2576,X184),"")</f>
        <v/>
      </c>
      <c r="P184" s="100"/>
      <c r="Q184" s="102"/>
      <c r="R184" s="150"/>
      <c r="S184" s="43"/>
      <c r="T184" s="66" t="str" cm="1">
        <f t="array" ref="T184">IFERROR(_xlfn.AGGREGATE(15,6,ROW(DB!A$2:A$2576)/(((($D$3&lt;&gt;"YES")+($D$3="YES")*(DB!E$2:E$2576="YES"))*(($D$4="")+($D$4&lt;&gt;"")*ISNUMBER(SEARCH($D$4,DB!G$2:G$2576)))*(($D$5="")+($D$5&lt;&gt;"")*(DB!B$2:B$2576=$D$5))*(($D$6="")+($D$6&lt;&gt;"")*(DB!C$2:C$2576=$D$6))*(($D$7="")+($D$7&lt;&gt;"")*(DB!D$2:D$2576=$D$7))*(($F$4="전체")+($F$4&lt;&gt;"전체")*(DB!H$2:H$2576=$F$4)))),ROW()-16)-1,"")</f>
        <v/>
      </c>
      <c r="U184" s="104" t="str" cm="1">
        <f t="array" ref="U184">IFERROR(INDEX(DB!B$2:B$2576,T184),"")</f>
        <v/>
      </c>
      <c r="V184" s="105" t="str" cm="1">
        <f t="array" ref="V184">IFERROR(INDEX(DB!O$2:O$2576,T184),"")</f>
        <v/>
      </c>
      <c r="W184" s="106" t="str">
        <f t="shared" si="7"/>
        <v/>
      </c>
      <c r="X184" s="149" t="str">
        <f t="shared" si="8"/>
        <v/>
      </c>
      <c r="AB184" s="151"/>
      <c r="AC184" s="131"/>
      <c r="AE184" s="130"/>
      <c r="AF184" s="136"/>
      <c r="AH184" s="65"/>
      <c r="AI184" s="65"/>
      <c r="AJ184" s="65"/>
      <c r="AK184" s="65"/>
      <c r="AL184" s="65"/>
      <c r="AM184" s="65"/>
      <c r="AN184" s="65"/>
      <c r="BB184" s="11"/>
    </row>
    <row r="185" spans="1:54" ht="90" customHeight="1">
      <c r="A185" s="26"/>
      <c r="B185" s="73" t="str">
        <f t="shared" si="6"/>
        <v/>
      </c>
      <c r="C185" s="74"/>
      <c r="D185" s="96" t="str" cm="1">
        <f t="array" ref="D185">IFERROR(INDEX(DB!B$2:B$2576,X185),"")</f>
        <v/>
      </c>
      <c r="E185" s="107"/>
      <c r="F185" s="97" t="str" cm="1">
        <f t="array" ref="F185">IFERROR(INDEX(DB!C$2:C$2576,X185),"")</f>
        <v/>
      </c>
      <c r="G185" s="108"/>
      <c r="H185" s="98" t="str" cm="1">
        <f t="array" ref="H185">IFERROR(INDEX(DB!D$2:D$2576,X185),"")</f>
        <v/>
      </c>
      <c r="I185" s="109"/>
      <c r="J185" s="99" t="str" cm="1">
        <f t="array" ref="J185">IFERROR(INDEX(DB!O$2:O$2576,X185),"")</f>
        <v/>
      </c>
      <c r="K185" s="110"/>
      <c r="L185" s="75" t="str" cm="1">
        <f t="array" ref="L185">IFERROR(INDEX(DB!P$2:P$2576,X185),"")</f>
        <v/>
      </c>
      <c r="M185" s="76" t="str" cm="1">
        <f t="array" ref="M185">IFERROR(INDEX(DB!Q$2:Q$2576,X185),"")</f>
        <v/>
      </c>
      <c r="N185" s="77"/>
      <c r="O185" s="78" t="str" cm="1">
        <f t="array" ref="O185">IFERROR(INDEX(DB!R$2:R$2576,X185),"")</f>
        <v/>
      </c>
      <c r="P185" s="100"/>
      <c r="Q185" s="102"/>
      <c r="R185" s="150"/>
      <c r="S185" s="43"/>
      <c r="T185" s="66" t="str" cm="1">
        <f t="array" ref="T185">IFERROR(_xlfn.AGGREGATE(15,6,ROW(DB!A$2:A$2576)/(((($D$3&lt;&gt;"YES")+($D$3="YES")*(DB!E$2:E$2576="YES"))*(($D$4="")+($D$4&lt;&gt;"")*ISNUMBER(SEARCH($D$4,DB!G$2:G$2576)))*(($D$5="")+($D$5&lt;&gt;"")*(DB!B$2:B$2576=$D$5))*(($D$6="")+($D$6&lt;&gt;"")*(DB!C$2:C$2576=$D$6))*(($D$7="")+($D$7&lt;&gt;"")*(DB!D$2:D$2576=$D$7))*(($F$4="전체")+($F$4&lt;&gt;"전체")*(DB!H$2:H$2576=$F$4)))),ROW()-16)-1,"")</f>
        <v/>
      </c>
      <c r="U185" s="104" t="str" cm="1">
        <f t="array" ref="U185">IFERROR(INDEX(DB!B$2:B$2576,T185),"")</f>
        <v/>
      </c>
      <c r="V185" s="105" t="str" cm="1">
        <f t="array" ref="V185">IFERROR(INDEX(DB!O$2:O$2576,T185),"")</f>
        <v/>
      </c>
      <c r="W185" s="106" t="str">
        <f t="shared" si="7"/>
        <v/>
      </c>
      <c r="X185" s="149" t="str">
        <f t="shared" si="8"/>
        <v/>
      </c>
      <c r="AB185" s="151"/>
      <c r="AC185" s="131"/>
      <c r="AE185" s="130"/>
      <c r="AF185" s="136"/>
      <c r="AH185" s="65"/>
      <c r="AI185" s="65"/>
      <c r="AJ185" s="65"/>
      <c r="AK185" s="65"/>
      <c r="AL185" s="65"/>
      <c r="AM185" s="65"/>
      <c r="AN185" s="65"/>
      <c r="BB185" s="11"/>
    </row>
    <row r="186" spans="1:54" ht="90" customHeight="1">
      <c r="A186" s="26"/>
      <c r="B186" s="73" t="str">
        <f t="shared" si="6"/>
        <v/>
      </c>
      <c r="C186" s="74"/>
      <c r="D186" s="96" t="str" cm="1">
        <f t="array" ref="D186">IFERROR(INDEX(DB!B$2:B$2576,X186),"")</f>
        <v/>
      </c>
      <c r="E186" s="107"/>
      <c r="F186" s="97" t="str" cm="1">
        <f t="array" ref="F186">IFERROR(INDEX(DB!C$2:C$2576,X186),"")</f>
        <v/>
      </c>
      <c r="G186" s="108"/>
      <c r="H186" s="98" t="str" cm="1">
        <f t="array" ref="H186">IFERROR(INDEX(DB!D$2:D$2576,X186),"")</f>
        <v/>
      </c>
      <c r="I186" s="109"/>
      <c r="J186" s="99" t="str" cm="1">
        <f t="array" ref="J186">IFERROR(INDEX(DB!O$2:O$2576,X186),"")</f>
        <v/>
      </c>
      <c r="K186" s="110"/>
      <c r="L186" s="75" t="str" cm="1">
        <f t="array" ref="L186">IFERROR(INDEX(DB!P$2:P$2576,X186),"")</f>
        <v/>
      </c>
      <c r="M186" s="76" t="str" cm="1">
        <f t="array" ref="M186">IFERROR(INDEX(DB!Q$2:Q$2576,X186),"")</f>
        <v/>
      </c>
      <c r="N186" s="77"/>
      <c r="O186" s="78" t="str" cm="1">
        <f t="array" ref="O186">IFERROR(INDEX(DB!R$2:R$2576,X186),"")</f>
        <v/>
      </c>
      <c r="P186" s="100"/>
      <c r="Q186" s="102"/>
      <c r="R186" s="150"/>
      <c r="S186" s="43"/>
      <c r="T186" s="66" t="str" cm="1">
        <f t="array" ref="T186">IFERROR(_xlfn.AGGREGATE(15,6,ROW(DB!A$2:A$2576)/(((($D$3&lt;&gt;"YES")+($D$3="YES")*(DB!E$2:E$2576="YES"))*(($D$4="")+($D$4&lt;&gt;"")*ISNUMBER(SEARCH($D$4,DB!G$2:G$2576)))*(($D$5="")+($D$5&lt;&gt;"")*(DB!B$2:B$2576=$D$5))*(($D$6="")+($D$6&lt;&gt;"")*(DB!C$2:C$2576=$D$6))*(($D$7="")+($D$7&lt;&gt;"")*(DB!D$2:D$2576=$D$7))*(($F$4="전체")+($F$4&lt;&gt;"전체")*(DB!H$2:H$2576=$F$4)))),ROW()-16)-1,"")</f>
        <v/>
      </c>
      <c r="U186" s="104" t="str" cm="1">
        <f t="array" ref="U186">IFERROR(INDEX(DB!B$2:B$2576,T186),"")</f>
        <v/>
      </c>
      <c r="V186" s="105" t="str" cm="1">
        <f t="array" ref="V186">IFERROR(INDEX(DB!O$2:O$2576,T186),"")</f>
        <v/>
      </c>
      <c r="W186" s="106" t="str">
        <f t="shared" si="7"/>
        <v/>
      </c>
      <c r="X186" s="149" t="str">
        <f t="shared" si="8"/>
        <v/>
      </c>
      <c r="AB186" s="151"/>
      <c r="AC186" s="131"/>
      <c r="AE186" s="130"/>
      <c r="AF186" s="136"/>
      <c r="AH186" s="65"/>
      <c r="AI186" s="65"/>
      <c r="AJ186" s="65"/>
      <c r="AK186" s="65"/>
      <c r="AL186" s="65"/>
      <c r="AM186" s="65"/>
      <c r="AN186" s="65"/>
      <c r="BB186" s="11"/>
    </row>
    <row r="187" spans="1:54" ht="90" customHeight="1">
      <c r="A187" s="26"/>
      <c r="B187" s="73" t="str">
        <f t="shared" si="6"/>
        <v/>
      </c>
      <c r="C187" s="74"/>
      <c r="D187" s="96" t="str" cm="1">
        <f t="array" ref="D187">IFERROR(INDEX(DB!B$2:B$2576,X187),"")</f>
        <v/>
      </c>
      <c r="E187" s="107"/>
      <c r="F187" s="97" t="str" cm="1">
        <f t="array" ref="F187">IFERROR(INDEX(DB!C$2:C$2576,X187),"")</f>
        <v/>
      </c>
      <c r="G187" s="108"/>
      <c r="H187" s="98" t="str" cm="1">
        <f t="array" ref="H187">IFERROR(INDEX(DB!D$2:D$2576,X187),"")</f>
        <v/>
      </c>
      <c r="I187" s="109"/>
      <c r="J187" s="99" t="str" cm="1">
        <f t="array" ref="J187">IFERROR(INDEX(DB!O$2:O$2576,X187),"")</f>
        <v/>
      </c>
      <c r="K187" s="110"/>
      <c r="L187" s="75" t="str" cm="1">
        <f t="array" ref="L187">IFERROR(INDEX(DB!P$2:P$2576,X187),"")</f>
        <v/>
      </c>
      <c r="M187" s="76" t="str" cm="1">
        <f t="array" ref="M187">IFERROR(INDEX(DB!Q$2:Q$2576,X187),"")</f>
        <v/>
      </c>
      <c r="N187" s="77"/>
      <c r="O187" s="78" t="str" cm="1">
        <f t="array" ref="O187">IFERROR(INDEX(DB!R$2:R$2576,X187),"")</f>
        <v/>
      </c>
      <c r="P187" s="100"/>
      <c r="Q187" s="102"/>
      <c r="R187" s="150"/>
      <c r="S187" s="43"/>
      <c r="T187" s="66" t="str" cm="1">
        <f t="array" ref="T187">IFERROR(_xlfn.AGGREGATE(15,6,ROW(DB!A$2:A$2576)/(((($D$3&lt;&gt;"YES")+($D$3="YES")*(DB!E$2:E$2576="YES"))*(($D$4="")+($D$4&lt;&gt;"")*ISNUMBER(SEARCH($D$4,DB!G$2:G$2576)))*(($D$5="")+($D$5&lt;&gt;"")*(DB!B$2:B$2576=$D$5))*(($D$6="")+($D$6&lt;&gt;"")*(DB!C$2:C$2576=$D$6))*(($D$7="")+($D$7&lt;&gt;"")*(DB!D$2:D$2576=$D$7))*(($F$4="전체")+($F$4&lt;&gt;"전체")*(DB!H$2:H$2576=$F$4)))),ROW()-16)-1,"")</f>
        <v/>
      </c>
      <c r="U187" s="104" t="str" cm="1">
        <f t="array" ref="U187">IFERROR(INDEX(DB!B$2:B$2576,T187),"")</f>
        <v/>
      </c>
      <c r="V187" s="105" t="str" cm="1">
        <f t="array" ref="V187">IFERROR(INDEX(DB!O$2:O$2576,T187),"")</f>
        <v/>
      </c>
      <c r="W187" s="106" t="str">
        <f t="shared" si="7"/>
        <v/>
      </c>
      <c r="X187" s="149" t="str">
        <f t="shared" si="8"/>
        <v/>
      </c>
      <c r="AB187" s="151"/>
      <c r="AC187" s="131"/>
      <c r="AE187" s="130"/>
      <c r="AF187" s="136"/>
      <c r="AH187" s="65"/>
      <c r="AI187" s="65"/>
      <c r="AJ187" s="65"/>
      <c r="AK187" s="65"/>
      <c r="AL187" s="65"/>
      <c r="AM187" s="65"/>
      <c r="AN187" s="65"/>
      <c r="BB187" s="11"/>
    </row>
    <row r="188" spans="1:54" ht="90" customHeight="1">
      <c r="A188" s="26"/>
      <c r="B188" s="73" t="str">
        <f t="shared" si="6"/>
        <v/>
      </c>
      <c r="C188" s="74"/>
      <c r="D188" s="96" t="str" cm="1">
        <f t="array" ref="D188">IFERROR(INDEX(DB!B$2:B$2576,X188),"")</f>
        <v/>
      </c>
      <c r="E188" s="107"/>
      <c r="F188" s="97" t="str" cm="1">
        <f t="array" ref="F188">IFERROR(INDEX(DB!C$2:C$2576,X188),"")</f>
        <v/>
      </c>
      <c r="G188" s="108"/>
      <c r="H188" s="98" t="str" cm="1">
        <f t="array" ref="H188">IFERROR(INDEX(DB!D$2:D$2576,X188),"")</f>
        <v/>
      </c>
      <c r="I188" s="109"/>
      <c r="J188" s="99" t="str" cm="1">
        <f t="array" ref="J188">IFERROR(INDEX(DB!O$2:O$2576,X188),"")</f>
        <v/>
      </c>
      <c r="K188" s="110"/>
      <c r="L188" s="75" t="str" cm="1">
        <f t="array" ref="L188">IFERROR(INDEX(DB!P$2:P$2576,X188),"")</f>
        <v/>
      </c>
      <c r="M188" s="76" t="str" cm="1">
        <f t="array" ref="M188">IFERROR(INDEX(DB!Q$2:Q$2576,X188),"")</f>
        <v/>
      </c>
      <c r="N188" s="77"/>
      <c r="O188" s="78" t="str" cm="1">
        <f t="array" ref="O188">IFERROR(INDEX(DB!R$2:R$2576,X188),"")</f>
        <v/>
      </c>
      <c r="P188" s="100"/>
      <c r="Q188" s="102"/>
      <c r="R188" s="150"/>
      <c r="S188" s="43"/>
      <c r="T188" s="66" t="str" cm="1">
        <f t="array" ref="T188">IFERROR(_xlfn.AGGREGATE(15,6,ROW(DB!A$2:A$2576)/(((($D$3&lt;&gt;"YES")+($D$3="YES")*(DB!E$2:E$2576="YES"))*(($D$4="")+($D$4&lt;&gt;"")*ISNUMBER(SEARCH($D$4,DB!G$2:G$2576)))*(($D$5="")+($D$5&lt;&gt;"")*(DB!B$2:B$2576=$D$5))*(($D$6="")+($D$6&lt;&gt;"")*(DB!C$2:C$2576=$D$6))*(($D$7="")+($D$7&lt;&gt;"")*(DB!D$2:D$2576=$D$7))*(($F$4="전체")+($F$4&lt;&gt;"전체")*(DB!H$2:H$2576=$F$4)))),ROW()-16)-1,"")</f>
        <v/>
      </c>
      <c r="U188" s="104" t="str" cm="1">
        <f t="array" ref="U188">IFERROR(INDEX(DB!B$2:B$2576,T188),"")</f>
        <v/>
      </c>
      <c r="V188" s="105" t="str" cm="1">
        <f t="array" ref="V188">IFERROR(INDEX(DB!O$2:O$2576,T188),"")</f>
        <v/>
      </c>
      <c r="W188" s="106" t="str">
        <f t="shared" si="7"/>
        <v/>
      </c>
      <c r="X188" s="149" t="str">
        <f t="shared" si="8"/>
        <v/>
      </c>
      <c r="AB188" s="151"/>
      <c r="AC188" s="131"/>
      <c r="AE188" s="130"/>
      <c r="AF188" s="136"/>
      <c r="AH188" s="65"/>
      <c r="AI188" s="65"/>
      <c r="AJ188" s="65"/>
      <c r="AK188" s="65"/>
      <c r="AL188" s="65"/>
      <c r="AM188" s="65"/>
      <c r="AN188" s="65"/>
      <c r="BB188" s="11"/>
    </row>
    <row r="189" spans="1:54" ht="90" customHeight="1">
      <c r="A189" s="26"/>
      <c r="B189" s="73" t="str">
        <f t="shared" si="6"/>
        <v/>
      </c>
      <c r="C189" s="74"/>
      <c r="D189" s="96" t="str" cm="1">
        <f t="array" ref="D189">IFERROR(INDEX(DB!B$2:B$2576,X189),"")</f>
        <v/>
      </c>
      <c r="E189" s="107"/>
      <c r="F189" s="97" t="str" cm="1">
        <f t="array" ref="F189">IFERROR(INDEX(DB!C$2:C$2576,X189),"")</f>
        <v/>
      </c>
      <c r="G189" s="108"/>
      <c r="H189" s="98" t="str" cm="1">
        <f t="array" ref="H189">IFERROR(INDEX(DB!D$2:D$2576,X189),"")</f>
        <v/>
      </c>
      <c r="I189" s="109"/>
      <c r="J189" s="99" t="str" cm="1">
        <f t="array" ref="J189">IFERROR(INDEX(DB!O$2:O$2576,X189),"")</f>
        <v/>
      </c>
      <c r="K189" s="110"/>
      <c r="L189" s="75" t="str" cm="1">
        <f t="array" ref="L189">IFERROR(INDEX(DB!P$2:P$2576,X189),"")</f>
        <v/>
      </c>
      <c r="M189" s="76" t="str" cm="1">
        <f t="array" ref="M189">IFERROR(INDEX(DB!Q$2:Q$2576,X189),"")</f>
        <v/>
      </c>
      <c r="N189" s="77"/>
      <c r="O189" s="78" t="str" cm="1">
        <f t="array" ref="O189">IFERROR(INDEX(DB!R$2:R$2576,X189),"")</f>
        <v/>
      </c>
      <c r="P189" s="100"/>
      <c r="Q189" s="102"/>
      <c r="R189" s="150"/>
      <c r="S189" s="43"/>
      <c r="T189" s="66" t="str" cm="1">
        <f t="array" ref="T189">IFERROR(_xlfn.AGGREGATE(15,6,ROW(DB!A$2:A$2576)/(((($D$3&lt;&gt;"YES")+($D$3="YES")*(DB!E$2:E$2576="YES"))*(($D$4="")+($D$4&lt;&gt;"")*ISNUMBER(SEARCH($D$4,DB!G$2:G$2576)))*(($D$5="")+($D$5&lt;&gt;"")*(DB!B$2:B$2576=$D$5))*(($D$6="")+($D$6&lt;&gt;"")*(DB!C$2:C$2576=$D$6))*(($D$7="")+($D$7&lt;&gt;"")*(DB!D$2:D$2576=$D$7))*(($F$4="전체")+($F$4&lt;&gt;"전체")*(DB!H$2:H$2576=$F$4)))),ROW()-16)-1,"")</f>
        <v/>
      </c>
      <c r="U189" s="104" t="str" cm="1">
        <f t="array" ref="U189">IFERROR(INDEX(DB!B$2:B$2576,T189),"")</f>
        <v/>
      </c>
      <c r="V189" s="105" t="str" cm="1">
        <f t="array" ref="V189">IFERROR(INDEX(DB!O$2:O$2576,T189),"")</f>
        <v/>
      </c>
      <c r="W189" s="106" t="str">
        <f t="shared" si="7"/>
        <v/>
      </c>
      <c r="X189" s="149" t="str">
        <f t="shared" si="8"/>
        <v/>
      </c>
      <c r="AB189" s="151"/>
      <c r="AC189" s="131"/>
      <c r="AE189" s="130"/>
      <c r="AF189" s="136"/>
      <c r="AH189" s="65"/>
      <c r="AI189" s="65"/>
      <c r="AJ189" s="65"/>
      <c r="AK189" s="65"/>
      <c r="AL189" s="65"/>
      <c r="AM189" s="65"/>
      <c r="AN189" s="65"/>
      <c r="BB189" s="11"/>
    </row>
    <row r="190" spans="1:54" ht="90" customHeight="1">
      <c r="A190" s="26"/>
      <c r="B190" s="73" t="str">
        <f t="shared" si="6"/>
        <v/>
      </c>
      <c r="C190" s="74"/>
      <c r="D190" s="96" t="str" cm="1">
        <f t="array" ref="D190">IFERROR(INDEX(DB!B$2:B$2576,X190),"")</f>
        <v/>
      </c>
      <c r="E190" s="107"/>
      <c r="F190" s="97" t="str" cm="1">
        <f t="array" ref="F190">IFERROR(INDEX(DB!C$2:C$2576,X190),"")</f>
        <v/>
      </c>
      <c r="G190" s="108"/>
      <c r="H190" s="98" t="str" cm="1">
        <f t="array" ref="H190">IFERROR(INDEX(DB!D$2:D$2576,X190),"")</f>
        <v/>
      </c>
      <c r="I190" s="109"/>
      <c r="J190" s="99" t="str" cm="1">
        <f t="array" ref="J190">IFERROR(INDEX(DB!O$2:O$2576,X190),"")</f>
        <v/>
      </c>
      <c r="K190" s="110"/>
      <c r="L190" s="75" t="str" cm="1">
        <f t="array" ref="L190">IFERROR(INDEX(DB!P$2:P$2576,X190),"")</f>
        <v/>
      </c>
      <c r="M190" s="76" t="str" cm="1">
        <f t="array" ref="M190">IFERROR(INDEX(DB!Q$2:Q$2576,X190),"")</f>
        <v/>
      </c>
      <c r="N190" s="77"/>
      <c r="O190" s="78" t="str" cm="1">
        <f t="array" ref="O190">IFERROR(INDEX(DB!R$2:R$2576,X190),"")</f>
        <v/>
      </c>
      <c r="P190" s="100"/>
      <c r="Q190" s="102"/>
      <c r="R190" s="150"/>
      <c r="S190" s="43"/>
      <c r="T190" s="66" t="str" cm="1">
        <f t="array" ref="T190">IFERROR(_xlfn.AGGREGATE(15,6,ROW(DB!A$2:A$2576)/(((($D$3&lt;&gt;"YES")+($D$3="YES")*(DB!E$2:E$2576="YES"))*(($D$4="")+($D$4&lt;&gt;"")*ISNUMBER(SEARCH($D$4,DB!G$2:G$2576)))*(($D$5="")+($D$5&lt;&gt;"")*(DB!B$2:B$2576=$D$5))*(($D$6="")+($D$6&lt;&gt;"")*(DB!C$2:C$2576=$D$6))*(($D$7="")+($D$7&lt;&gt;"")*(DB!D$2:D$2576=$D$7))*(($F$4="전체")+($F$4&lt;&gt;"전체")*(DB!H$2:H$2576=$F$4)))),ROW()-16)-1,"")</f>
        <v/>
      </c>
      <c r="U190" s="104" t="str" cm="1">
        <f t="array" ref="U190">IFERROR(INDEX(DB!B$2:B$2576,T190),"")</f>
        <v/>
      </c>
      <c r="V190" s="105" t="str" cm="1">
        <f t="array" ref="V190">IFERROR(INDEX(DB!O$2:O$2576,T190),"")</f>
        <v/>
      </c>
      <c r="W190" s="106" t="str">
        <f t="shared" si="7"/>
        <v/>
      </c>
      <c r="X190" s="149" t="str">
        <f t="shared" si="8"/>
        <v/>
      </c>
      <c r="AB190" s="151"/>
      <c r="AC190" s="131"/>
      <c r="AE190" s="130"/>
      <c r="AF190" s="136"/>
      <c r="AH190" s="65"/>
      <c r="AI190" s="65"/>
      <c r="AJ190" s="65"/>
      <c r="AK190" s="65"/>
      <c r="AL190" s="65"/>
      <c r="AM190" s="65"/>
      <c r="AN190" s="65"/>
      <c r="BB190" s="11"/>
    </row>
    <row r="191" spans="1:54" ht="90" customHeight="1">
      <c r="A191" s="26"/>
      <c r="B191" s="73" t="str">
        <f t="shared" si="6"/>
        <v/>
      </c>
      <c r="C191" s="74"/>
      <c r="D191" s="96" t="str" cm="1">
        <f t="array" ref="D191">IFERROR(INDEX(DB!B$2:B$2576,X191),"")</f>
        <v/>
      </c>
      <c r="E191" s="107"/>
      <c r="F191" s="97" t="str" cm="1">
        <f t="array" ref="F191">IFERROR(INDEX(DB!C$2:C$2576,X191),"")</f>
        <v/>
      </c>
      <c r="G191" s="108"/>
      <c r="H191" s="98" t="str" cm="1">
        <f t="array" ref="H191">IFERROR(INDEX(DB!D$2:D$2576,X191),"")</f>
        <v/>
      </c>
      <c r="I191" s="109"/>
      <c r="J191" s="99" t="str" cm="1">
        <f t="array" ref="J191">IFERROR(INDEX(DB!O$2:O$2576,X191),"")</f>
        <v/>
      </c>
      <c r="K191" s="110"/>
      <c r="L191" s="75" t="str" cm="1">
        <f t="array" ref="L191">IFERROR(INDEX(DB!P$2:P$2576,X191),"")</f>
        <v/>
      </c>
      <c r="M191" s="76" t="str" cm="1">
        <f t="array" ref="M191">IFERROR(INDEX(DB!Q$2:Q$2576,X191),"")</f>
        <v/>
      </c>
      <c r="N191" s="77"/>
      <c r="O191" s="78" t="str" cm="1">
        <f t="array" ref="O191">IFERROR(INDEX(DB!R$2:R$2576,X191),"")</f>
        <v/>
      </c>
      <c r="P191" s="100"/>
      <c r="Q191" s="102"/>
      <c r="R191" s="150"/>
      <c r="S191" s="43"/>
      <c r="T191" s="66" t="str" cm="1">
        <f t="array" ref="T191">IFERROR(_xlfn.AGGREGATE(15,6,ROW(DB!A$2:A$2576)/(((($D$3&lt;&gt;"YES")+($D$3="YES")*(DB!E$2:E$2576="YES"))*(($D$4="")+($D$4&lt;&gt;"")*ISNUMBER(SEARCH($D$4,DB!G$2:G$2576)))*(($D$5="")+($D$5&lt;&gt;"")*(DB!B$2:B$2576=$D$5))*(($D$6="")+($D$6&lt;&gt;"")*(DB!C$2:C$2576=$D$6))*(($D$7="")+($D$7&lt;&gt;"")*(DB!D$2:D$2576=$D$7))*(($F$4="전체")+($F$4&lt;&gt;"전체")*(DB!H$2:H$2576=$F$4)))),ROW()-16)-1,"")</f>
        <v/>
      </c>
      <c r="U191" s="104" t="str" cm="1">
        <f t="array" ref="U191">IFERROR(INDEX(DB!B$2:B$2576,T191),"")</f>
        <v/>
      </c>
      <c r="V191" s="105" t="str" cm="1">
        <f t="array" ref="V191">IFERROR(INDEX(DB!O$2:O$2576,T191),"")</f>
        <v/>
      </c>
      <c r="W191" s="106" t="str">
        <f t="shared" si="7"/>
        <v/>
      </c>
      <c r="X191" s="149" t="str">
        <f t="shared" si="8"/>
        <v/>
      </c>
      <c r="AB191" s="151"/>
      <c r="AC191" s="131"/>
      <c r="AE191" s="130"/>
      <c r="AF191" s="136"/>
      <c r="AH191" s="65"/>
      <c r="AI191" s="65"/>
      <c r="AJ191" s="65"/>
      <c r="AK191" s="65"/>
      <c r="AL191" s="65"/>
      <c r="AM191" s="65"/>
      <c r="AN191" s="65"/>
      <c r="BB191" s="11"/>
    </row>
    <row r="192" spans="1:54" ht="90" customHeight="1">
      <c r="A192" s="26"/>
      <c r="B192" s="73" t="str">
        <f t="shared" si="6"/>
        <v/>
      </c>
      <c r="C192" s="74"/>
      <c r="D192" s="96" t="str" cm="1">
        <f t="array" ref="D192">IFERROR(INDEX(DB!B$2:B$2576,X192),"")</f>
        <v/>
      </c>
      <c r="E192" s="107"/>
      <c r="F192" s="97" t="str" cm="1">
        <f t="array" ref="F192">IFERROR(INDEX(DB!C$2:C$2576,X192),"")</f>
        <v/>
      </c>
      <c r="G192" s="108"/>
      <c r="H192" s="98" t="str" cm="1">
        <f t="array" ref="H192">IFERROR(INDEX(DB!D$2:D$2576,X192),"")</f>
        <v/>
      </c>
      <c r="I192" s="109"/>
      <c r="J192" s="99" t="str" cm="1">
        <f t="array" ref="J192">IFERROR(INDEX(DB!O$2:O$2576,X192),"")</f>
        <v/>
      </c>
      <c r="K192" s="110"/>
      <c r="L192" s="75" t="str" cm="1">
        <f t="array" ref="L192">IFERROR(INDEX(DB!P$2:P$2576,X192),"")</f>
        <v/>
      </c>
      <c r="M192" s="76" t="str" cm="1">
        <f t="array" ref="M192">IFERROR(INDEX(DB!Q$2:Q$2576,X192),"")</f>
        <v/>
      </c>
      <c r="N192" s="77"/>
      <c r="O192" s="78" t="str" cm="1">
        <f t="array" ref="O192">IFERROR(INDEX(DB!R$2:R$2576,X192),"")</f>
        <v/>
      </c>
      <c r="P192" s="100"/>
      <c r="Q192" s="102"/>
      <c r="R192" s="150"/>
      <c r="S192" s="43"/>
      <c r="T192" s="66" t="str" cm="1">
        <f t="array" ref="T192">IFERROR(_xlfn.AGGREGATE(15,6,ROW(DB!A$2:A$2576)/(((($D$3&lt;&gt;"YES")+($D$3="YES")*(DB!E$2:E$2576="YES"))*(($D$4="")+($D$4&lt;&gt;"")*ISNUMBER(SEARCH($D$4,DB!G$2:G$2576)))*(($D$5="")+($D$5&lt;&gt;"")*(DB!B$2:B$2576=$D$5))*(($D$6="")+($D$6&lt;&gt;"")*(DB!C$2:C$2576=$D$6))*(($D$7="")+($D$7&lt;&gt;"")*(DB!D$2:D$2576=$D$7))*(($F$4="전체")+($F$4&lt;&gt;"전체")*(DB!H$2:H$2576=$F$4)))),ROW()-16)-1,"")</f>
        <v/>
      </c>
      <c r="U192" s="104" t="str" cm="1">
        <f t="array" ref="U192">IFERROR(INDEX(DB!B$2:B$2576,T192),"")</f>
        <v/>
      </c>
      <c r="V192" s="105" t="str" cm="1">
        <f t="array" ref="V192">IFERROR(INDEX(DB!O$2:O$2576,T192),"")</f>
        <v/>
      </c>
      <c r="W192" s="106" t="str">
        <f t="shared" si="7"/>
        <v/>
      </c>
      <c r="X192" s="149" t="str">
        <f t="shared" si="8"/>
        <v/>
      </c>
      <c r="AB192" s="151"/>
      <c r="AC192" s="131"/>
      <c r="AE192" s="130"/>
      <c r="AF192" s="136"/>
      <c r="AH192" s="65"/>
      <c r="AI192" s="65"/>
      <c r="AJ192" s="65"/>
      <c r="AK192" s="65"/>
      <c r="AL192" s="65"/>
      <c r="AM192" s="65"/>
      <c r="AN192" s="65"/>
      <c r="BB192" s="11"/>
    </row>
    <row r="193" spans="1:54" ht="90" customHeight="1">
      <c r="A193" s="26"/>
      <c r="B193" s="73" t="str">
        <f t="shared" si="6"/>
        <v/>
      </c>
      <c r="C193" s="74"/>
      <c r="D193" s="96" t="str" cm="1">
        <f t="array" ref="D193">IFERROR(INDEX(DB!B$2:B$2576,X193),"")</f>
        <v/>
      </c>
      <c r="E193" s="107"/>
      <c r="F193" s="97" t="str" cm="1">
        <f t="array" ref="F193">IFERROR(INDEX(DB!C$2:C$2576,X193),"")</f>
        <v/>
      </c>
      <c r="G193" s="108"/>
      <c r="H193" s="98" t="str" cm="1">
        <f t="array" ref="H193">IFERROR(INDEX(DB!D$2:D$2576,X193),"")</f>
        <v/>
      </c>
      <c r="I193" s="109"/>
      <c r="J193" s="99" t="str" cm="1">
        <f t="array" ref="J193">IFERROR(INDEX(DB!O$2:O$2576,X193),"")</f>
        <v/>
      </c>
      <c r="K193" s="110"/>
      <c r="L193" s="75" t="str" cm="1">
        <f t="array" ref="L193">IFERROR(INDEX(DB!P$2:P$2576,X193),"")</f>
        <v/>
      </c>
      <c r="M193" s="76" t="str" cm="1">
        <f t="array" ref="M193">IFERROR(INDEX(DB!Q$2:Q$2576,X193),"")</f>
        <v/>
      </c>
      <c r="N193" s="77"/>
      <c r="O193" s="78" t="str" cm="1">
        <f t="array" ref="O193">IFERROR(INDEX(DB!R$2:R$2576,X193),"")</f>
        <v/>
      </c>
      <c r="P193" s="100"/>
      <c r="Q193" s="102"/>
      <c r="R193" s="150"/>
      <c r="S193" s="43"/>
      <c r="T193" s="66" t="str" cm="1">
        <f t="array" ref="T193">IFERROR(_xlfn.AGGREGATE(15,6,ROW(DB!A$2:A$2576)/(((($D$3&lt;&gt;"YES")+($D$3="YES")*(DB!E$2:E$2576="YES"))*(($D$4="")+($D$4&lt;&gt;"")*ISNUMBER(SEARCH($D$4,DB!G$2:G$2576)))*(($D$5="")+($D$5&lt;&gt;"")*(DB!B$2:B$2576=$D$5))*(($D$6="")+($D$6&lt;&gt;"")*(DB!C$2:C$2576=$D$6))*(($D$7="")+($D$7&lt;&gt;"")*(DB!D$2:D$2576=$D$7))*(($F$4="전체")+($F$4&lt;&gt;"전체")*(DB!H$2:H$2576=$F$4)))),ROW()-16)-1,"")</f>
        <v/>
      </c>
      <c r="U193" s="104" t="str" cm="1">
        <f t="array" ref="U193">IFERROR(INDEX(DB!B$2:B$2576,T193),"")</f>
        <v/>
      </c>
      <c r="V193" s="105" t="str" cm="1">
        <f t="array" ref="V193">IFERROR(INDEX(DB!O$2:O$2576,T193),"")</f>
        <v/>
      </c>
      <c r="W193" s="106" t="str">
        <f t="shared" si="7"/>
        <v/>
      </c>
      <c r="X193" s="149" t="str">
        <f t="shared" si="8"/>
        <v/>
      </c>
      <c r="AB193" s="151"/>
      <c r="AC193" s="131"/>
      <c r="AE193" s="130"/>
      <c r="AF193" s="136"/>
      <c r="AH193" s="65"/>
      <c r="AI193" s="65"/>
      <c r="AJ193" s="65"/>
      <c r="AK193" s="65"/>
      <c r="AL193" s="65"/>
      <c r="AM193" s="65"/>
      <c r="AN193" s="65"/>
      <c r="BB193" s="11"/>
    </row>
    <row r="194" spans="1:54" ht="90" customHeight="1">
      <c r="A194" s="26"/>
      <c r="B194" s="73" t="str">
        <f t="shared" si="6"/>
        <v/>
      </c>
      <c r="C194" s="74"/>
      <c r="D194" s="96" t="str" cm="1">
        <f t="array" ref="D194">IFERROR(INDEX(DB!B$2:B$2576,X194),"")</f>
        <v/>
      </c>
      <c r="E194" s="107"/>
      <c r="F194" s="97" t="str" cm="1">
        <f t="array" ref="F194">IFERROR(INDEX(DB!C$2:C$2576,X194),"")</f>
        <v/>
      </c>
      <c r="G194" s="108"/>
      <c r="H194" s="98" t="str" cm="1">
        <f t="array" ref="H194">IFERROR(INDEX(DB!D$2:D$2576,X194),"")</f>
        <v/>
      </c>
      <c r="I194" s="109"/>
      <c r="J194" s="99" t="str" cm="1">
        <f t="array" ref="J194">IFERROR(INDEX(DB!O$2:O$2576,X194),"")</f>
        <v/>
      </c>
      <c r="K194" s="110"/>
      <c r="L194" s="75" t="str" cm="1">
        <f t="array" ref="L194">IFERROR(INDEX(DB!P$2:P$2576,X194),"")</f>
        <v/>
      </c>
      <c r="M194" s="76" t="str" cm="1">
        <f t="array" ref="M194">IFERROR(INDEX(DB!Q$2:Q$2576,X194),"")</f>
        <v/>
      </c>
      <c r="N194" s="77"/>
      <c r="O194" s="78" t="str" cm="1">
        <f t="array" ref="O194">IFERROR(INDEX(DB!R$2:R$2576,X194),"")</f>
        <v/>
      </c>
      <c r="P194" s="100"/>
      <c r="Q194" s="102"/>
      <c r="R194" s="150"/>
      <c r="S194" s="43"/>
      <c r="T194" s="66" t="str" cm="1">
        <f t="array" ref="T194">IFERROR(_xlfn.AGGREGATE(15,6,ROW(DB!A$2:A$2576)/(((($D$3&lt;&gt;"YES")+($D$3="YES")*(DB!E$2:E$2576="YES"))*(($D$4="")+($D$4&lt;&gt;"")*ISNUMBER(SEARCH($D$4,DB!G$2:G$2576)))*(($D$5="")+($D$5&lt;&gt;"")*(DB!B$2:B$2576=$D$5))*(($D$6="")+($D$6&lt;&gt;"")*(DB!C$2:C$2576=$D$6))*(($D$7="")+($D$7&lt;&gt;"")*(DB!D$2:D$2576=$D$7))*(($F$4="전체")+($F$4&lt;&gt;"전체")*(DB!H$2:H$2576=$F$4)))),ROW()-16)-1,"")</f>
        <v/>
      </c>
      <c r="U194" s="104" t="str" cm="1">
        <f t="array" ref="U194">IFERROR(INDEX(DB!B$2:B$2576,T194),"")</f>
        <v/>
      </c>
      <c r="V194" s="105" t="str" cm="1">
        <f t="array" ref="V194">IFERROR(INDEX(DB!O$2:O$2576,T194),"")</f>
        <v/>
      </c>
      <c r="W194" s="106" t="str">
        <f t="shared" si="7"/>
        <v/>
      </c>
      <c r="X194" s="149" t="str">
        <f t="shared" si="8"/>
        <v/>
      </c>
      <c r="AB194" s="151"/>
      <c r="AC194" s="131"/>
      <c r="AE194" s="130"/>
      <c r="AF194" s="136"/>
      <c r="AH194" s="65"/>
      <c r="AI194" s="65"/>
      <c r="AJ194" s="65"/>
      <c r="AK194" s="65"/>
      <c r="AL194" s="65"/>
      <c r="AM194" s="65"/>
      <c r="AN194" s="65"/>
      <c r="BB194" s="11"/>
    </row>
    <row r="195" spans="1:54" ht="90" customHeight="1">
      <c r="A195" s="26"/>
      <c r="B195" s="73" t="str">
        <f t="shared" si="6"/>
        <v/>
      </c>
      <c r="C195" s="74"/>
      <c r="D195" s="96" t="str" cm="1">
        <f t="array" ref="D195">IFERROR(INDEX(DB!B$2:B$2576,X195),"")</f>
        <v/>
      </c>
      <c r="E195" s="107"/>
      <c r="F195" s="97" t="str" cm="1">
        <f t="array" ref="F195">IFERROR(INDEX(DB!C$2:C$2576,X195),"")</f>
        <v/>
      </c>
      <c r="G195" s="108"/>
      <c r="H195" s="98" t="str" cm="1">
        <f t="array" ref="H195">IFERROR(INDEX(DB!D$2:D$2576,X195),"")</f>
        <v/>
      </c>
      <c r="I195" s="109"/>
      <c r="J195" s="99" t="str" cm="1">
        <f t="array" ref="J195">IFERROR(INDEX(DB!O$2:O$2576,X195),"")</f>
        <v/>
      </c>
      <c r="K195" s="110"/>
      <c r="L195" s="75" t="str" cm="1">
        <f t="array" ref="L195">IFERROR(INDEX(DB!P$2:P$2576,X195),"")</f>
        <v/>
      </c>
      <c r="M195" s="76" t="str" cm="1">
        <f t="array" ref="M195">IFERROR(INDEX(DB!Q$2:Q$2576,X195),"")</f>
        <v/>
      </c>
      <c r="N195" s="77"/>
      <c r="O195" s="78" t="str" cm="1">
        <f t="array" ref="O195">IFERROR(INDEX(DB!R$2:R$2576,X195),"")</f>
        <v/>
      </c>
      <c r="P195" s="100"/>
      <c r="Q195" s="102"/>
      <c r="R195" s="150"/>
      <c r="S195" s="43"/>
      <c r="T195" s="66" t="str" cm="1">
        <f t="array" ref="T195">IFERROR(_xlfn.AGGREGATE(15,6,ROW(DB!A$2:A$2576)/(((($D$3&lt;&gt;"YES")+($D$3="YES")*(DB!E$2:E$2576="YES"))*(($D$4="")+($D$4&lt;&gt;"")*ISNUMBER(SEARCH($D$4,DB!G$2:G$2576)))*(($D$5="")+($D$5&lt;&gt;"")*(DB!B$2:B$2576=$D$5))*(($D$6="")+($D$6&lt;&gt;"")*(DB!C$2:C$2576=$D$6))*(($D$7="")+($D$7&lt;&gt;"")*(DB!D$2:D$2576=$D$7))*(($F$4="전체")+($F$4&lt;&gt;"전체")*(DB!H$2:H$2576=$F$4)))),ROW()-16)-1,"")</f>
        <v/>
      </c>
      <c r="U195" s="104" t="str" cm="1">
        <f t="array" ref="U195">IFERROR(INDEX(DB!B$2:B$2576,T195),"")</f>
        <v/>
      </c>
      <c r="V195" s="105" t="str" cm="1">
        <f t="array" ref="V195">IFERROR(INDEX(DB!O$2:O$2576,T195),"")</f>
        <v/>
      </c>
      <c r="W195" s="106" t="str">
        <f t="shared" si="7"/>
        <v/>
      </c>
      <c r="X195" s="149" t="str">
        <f t="shared" si="8"/>
        <v/>
      </c>
      <c r="AB195" s="151"/>
      <c r="AC195" s="131"/>
      <c r="AE195" s="130"/>
      <c r="AF195" s="136"/>
      <c r="AH195" s="65"/>
      <c r="AI195" s="65"/>
      <c r="AJ195" s="65"/>
      <c r="AK195" s="65"/>
      <c r="AL195" s="65"/>
      <c r="AM195" s="65"/>
      <c r="AN195" s="65"/>
      <c r="BB195" s="11"/>
    </row>
    <row r="196" spans="1:54" ht="90" customHeight="1">
      <c r="A196" s="26"/>
      <c r="B196" s="73" t="str">
        <f t="shared" si="6"/>
        <v/>
      </c>
      <c r="C196" s="74"/>
      <c r="D196" s="96" t="str" cm="1">
        <f t="array" ref="D196">IFERROR(INDEX(DB!B$2:B$2576,X196),"")</f>
        <v/>
      </c>
      <c r="E196" s="107"/>
      <c r="F196" s="97" t="str" cm="1">
        <f t="array" ref="F196">IFERROR(INDEX(DB!C$2:C$2576,X196),"")</f>
        <v/>
      </c>
      <c r="G196" s="108"/>
      <c r="H196" s="98" t="str" cm="1">
        <f t="array" ref="H196">IFERROR(INDEX(DB!D$2:D$2576,X196),"")</f>
        <v/>
      </c>
      <c r="I196" s="109"/>
      <c r="J196" s="99" t="str" cm="1">
        <f t="array" ref="J196">IFERROR(INDEX(DB!O$2:O$2576,X196),"")</f>
        <v/>
      </c>
      <c r="K196" s="110"/>
      <c r="L196" s="75" t="str" cm="1">
        <f t="array" ref="L196">IFERROR(INDEX(DB!P$2:P$2576,X196),"")</f>
        <v/>
      </c>
      <c r="M196" s="76" t="str" cm="1">
        <f t="array" ref="M196">IFERROR(INDEX(DB!Q$2:Q$2576,X196),"")</f>
        <v/>
      </c>
      <c r="N196" s="77"/>
      <c r="O196" s="78" t="str" cm="1">
        <f t="array" ref="O196">IFERROR(INDEX(DB!R$2:R$2576,X196),"")</f>
        <v/>
      </c>
      <c r="P196" s="100"/>
      <c r="Q196" s="102"/>
      <c r="R196" s="150"/>
      <c r="S196" s="43"/>
      <c r="T196" s="66" t="str" cm="1">
        <f t="array" ref="T196">IFERROR(_xlfn.AGGREGATE(15,6,ROW(DB!A$2:A$2576)/(((($D$3&lt;&gt;"YES")+($D$3="YES")*(DB!E$2:E$2576="YES"))*(($D$4="")+($D$4&lt;&gt;"")*ISNUMBER(SEARCH($D$4,DB!G$2:G$2576)))*(($D$5="")+($D$5&lt;&gt;"")*(DB!B$2:B$2576=$D$5))*(($D$6="")+($D$6&lt;&gt;"")*(DB!C$2:C$2576=$D$6))*(($D$7="")+($D$7&lt;&gt;"")*(DB!D$2:D$2576=$D$7))*(($F$4="전체")+($F$4&lt;&gt;"전체")*(DB!H$2:H$2576=$F$4)))),ROW()-16)-1,"")</f>
        <v/>
      </c>
      <c r="U196" s="104" t="str" cm="1">
        <f t="array" ref="U196">IFERROR(INDEX(DB!B$2:B$2576,T196),"")</f>
        <v/>
      </c>
      <c r="V196" s="105" t="str" cm="1">
        <f t="array" ref="V196">IFERROR(INDEX(DB!O$2:O$2576,T196),"")</f>
        <v/>
      </c>
      <c r="W196" s="106" t="str">
        <f t="shared" si="7"/>
        <v/>
      </c>
      <c r="X196" s="149" t="str">
        <f t="shared" si="8"/>
        <v/>
      </c>
      <c r="AB196" s="151"/>
      <c r="AC196" s="131"/>
      <c r="AE196" s="130"/>
      <c r="AF196" s="136"/>
      <c r="AH196" s="65"/>
      <c r="AI196" s="65"/>
      <c r="AJ196" s="65"/>
      <c r="AK196" s="65"/>
      <c r="AL196" s="65"/>
      <c r="AM196" s="65"/>
      <c r="AN196" s="65"/>
      <c r="BB196" s="11"/>
    </row>
    <row r="197" spans="1:54" ht="90" customHeight="1">
      <c r="A197" s="26"/>
      <c r="B197" s="73" t="str">
        <f t="shared" si="6"/>
        <v/>
      </c>
      <c r="C197" s="74"/>
      <c r="D197" s="96" t="str" cm="1">
        <f t="array" ref="D197">IFERROR(INDEX(DB!B$2:B$2576,X197),"")</f>
        <v/>
      </c>
      <c r="E197" s="107"/>
      <c r="F197" s="97" t="str" cm="1">
        <f t="array" ref="F197">IFERROR(INDEX(DB!C$2:C$2576,X197),"")</f>
        <v/>
      </c>
      <c r="G197" s="108"/>
      <c r="H197" s="98" t="str" cm="1">
        <f t="array" ref="H197">IFERROR(INDEX(DB!D$2:D$2576,X197),"")</f>
        <v/>
      </c>
      <c r="I197" s="109"/>
      <c r="J197" s="99" t="str" cm="1">
        <f t="array" ref="J197">IFERROR(INDEX(DB!O$2:O$2576,X197),"")</f>
        <v/>
      </c>
      <c r="K197" s="110"/>
      <c r="L197" s="75" t="str" cm="1">
        <f t="array" ref="L197">IFERROR(INDEX(DB!P$2:P$2576,X197),"")</f>
        <v/>
      </c>
      <c r="M197" s="76" t="str" cm="1">
        <f t="array" ref="M197">IFERROR(INDEX(DB!Q$2:Q$2576,X197),"")</f>
        <v/>
      </c>
      <c r="N197" s="77"/>
      <c r="O197" s="78" t="str" cm="1">
        <f t="array" ref="O197">IFERROR(INDEX(DB!R$2:R$2576,X197),"")</f>
        <v/>
      </c>
      <c r="P197" s="100"/>
      <c r="Q197" s="102"/>
      <c r="R197" s="150"/>
      <c r="S197" s="43"/>
      <c r="T197" s="66" t="str" cm="1">
        <f t="array" ref="T197">IFERROR(_xlfn.AGGREGATE(15,6,ROW(DB!A$2:A$2576)/(((($D$3&lt;&gt;"YES")+($D$3="YES")*(DB!E$2:E$2576="YES"))*(($D$4="")+($D$4&lt;&gt;"")*ISNUMBER(SEARCH($D$4,DB!G$2:G$2576)))*(($D$5="")+($D$5&lt;&gt;"")*(DB!B$2:B$2576=$D$5))*(($D$6="")+($D$6&lt;&gt;"")*(DB!C$2:C$2576=$D$6))*(($D$7="")+($D$7&lt;&gt;"")*(DB!D$2:D$2576=$D$7))*(($F$4="전체")+($F$4&lt;&gt;"전체")*(DB!H$2:H$2576=$F$4)))),ROW()-16)-1,"")</f>
        <v/>
      </c>
      <c r="U197" s="104" t="str" cm="1">
        <f t="array" ref="U197">IFERROR(INDEX(DB!B$2:B$2576,T197),"")</f>
        <v/>
      </c>
      <c r="V197" s="105" t="str" cm="1">
        <f t="array" ref="V197">IFERROR(INDEX(DB!O$2:O$2576,T197),"")</f>
        <v/>
      </c>
      <c r="W197" s="106" t="str">
        <f t="shared" si="7"/>
        <v/>
      </c>
      <c r="X197" s="149" t="str">
        <f t="shared" si="8"/>
        <v/>
      </c>
      <c r="AB197" s="151"/>
      <c r="AC197" s="131"/>
      <c r="AE197" s="130"/>
      <c r="AF197" s="136"/>
      <c r="AH197" s="65"/>
      <c r="AI197" s="65"/>
      <c r="AJ197" s="65"/>
      <c r="AK197" s="65"/>
      <c r="AL197" s="65"/>
      <c r="AM197" s="65"/>
      <c r="AN197" s="65"/>
      <c r="BB197" s="11"/>
    </row>
    <row r="198" spans="1:54" ht="90" customHeight="1">
      <c r="A198" s="26"/>
      <c r="B198" s="73" t="str">
        <f t="shared" si="6"/>
        <v/>
      </c>
      <c r="C198" s="74"/>
      <c r="D198" s="96" t="str" cm="1">
        <f t="array" ref="D198">IFERROR(INDEX(DB!B$2:B$2576,X198),"")</f>
        <v/>
      </c>
      <c r="E198" s="107"/>
      <c r="F198" s="97" t="str" cm="1">
        <f t="array" ref="F198">IFERROR(INDEX(DB!C$2:C$2576,X198),"")</f>
        <v/>
      </c>
      <c r="G198" s="108"/>
      <c r="H198" s="98" t="str" cm="1">
        <f t="array" ref="H198">IFERROR(INDEX(DB!D$2:D$2576,X198),"")</f>
        <v/>
      </c>
      <c r="I198" s="109"/>
      <c r="J198" s="99" t="str" cm="1">
        <f t="array" ref="J198">IFERROR(INDEX(DB!O$2:O$2576,X198),"")</f>
        <v/>
      </c>
      <c r="K198" s="110"/>
      <c r="L198" s="75" t="str" cm="1">
        <f t="array" ref="L198">IFERROR(INDEX(DB!P$2:P$2576,X198),"")</f>
        <v/>
      </c>
      <c r="M198" s="76" t="str" cm="1">
        <f t="array" ref="M198">IFERROR(INDEX(DB!Q$2:Q$2576,X198),"")</f>
        <v/>
      </c>
      <c r="N198" s="77"/>
      <c r="O198" s="78" t="str" cm="1">
        <f t="array" ref="O198">IFERROR(INDEX(DB!R$2:R$2576,X198),"")</f>
        <v/>
      </c>
      <c r="P198" s="100"/>
      <c r="Q198" s="102"/>
      <c r="R198" s="150"/>
      <c r="S198" s="43"/>
      <c r="T198" s="66" t="str" cm="1">
        <f t="array" ref="T198">IFERROR(_xlfn.AGGREGATE(15,6,ROW(DB!A$2:A$2576)/(((($D$3&lt;&gt;"YES")+($D$3="YES")*(DB!E$2:E$2576="YES"))*(($D$4="")+($D$4&lt;&gt;"")*ISNUMBER(SEARCH($D$4,DB!G$2:G$2576)))*(($D$5="")+($D$5&lt;&gt;"")*(DB!B$2:B$2576=$D$5))*(($D$6="")+($D$6&lt;&gt;"")*(DB!C$2:C$2576=$D$6))*(($D$7="")+($D$7&lt;&gt;"")*(DB!D$2:D$2576=$D$7))*(($F$4="전체")+($F$4&lt;&gt;"전체")*(DB!H$2:H$2576=$F$4)))),ROW()-16)-1,"")</f>
        <v/>
      </c>
      <c r="U198" s="104" t="str" cm="1">
        <f t="array" ref="U198">IFERROR(INDEX(DB!B$2:B$2576,T198),"")</f>
        <v/>
      </c>
      <c r="V198" s="105" t="str" cm="1">
        <f t="array" ref="V198">IFERROR(INDEX(DB!O$2:O$2576,T198),"")</f>
        <v/>
      </c>
      <c r="W198" s="106" t="str">
        <f t="shared" si="7"/>
        <v/>
      </c>
      <c r="X198" s="149" t="str">
        <f t="shared" si="8"/>
        <v/>
      </c>
      <c r="AB198" s="151"/>
      <c r="AC198" s="131"/>
      <c r="AE198" s="130"/>
      <c r="AF198" s="136"/>
      <c r="AH198" s="65"/>
      <c r="AI198" s="65"/>
      <c r="AJ198" s="65"/>
      <c r="AK198" s="65"/>
      <c r="AL198" s="65"/>
      <c r="AM198" s="65"/>
      <c r="AN198" s="65"/>
      <c r="BB198" s="11"/>
    </row>
    <row r="199" spans="1:54" ht="90" customHeight="1">
      <c r="A199" s="26"/>
      <c r="B199" s="73" t="str">
        <f t="shared" si="6"/>
        <v/>
      </c>
      <c r="C199" s="74"/>
      <c r="D199" s="96" t="str" cm="1">
        <f t="array" ref="D199">IFERROR(INDEX(DB!B$2:B$2576,X199),"")</f>
        <v/>
      </c>
      <c r="E199" s="107"/>
      <c r="F199" s="97" t="str" cm="1">
        <f t="array" ref="F199">IFERROR(INDEX(DB!C$2:C$2576,X199),"")</f>
        <v/>
      </c>
      <c r="G199" s="108"/>
      <c r="H199" s="98" t="str" cm="1">
        <f t="array" ref="H199">IFERROR(INDEX(DB!D$2:D$2576,X199),"")</f>
        <v/>
      </c>
      <c r="I199" s="109"/>
      <c r="J199" s="99" t="str" cm="1">
        <f t="array" ref="J199">IFERROR(INDEX(DB!O$2:O$2576,X199),"")</f>
        <v/>
      </c>
      <c r="K199" s="110"/>
      <c r="L199" s="75" t="str" cm="1">
        <f t="array" ref="L199">IFERROR(INDEX(DB!P$2:P$2576,X199),"")</f>
        <v/>
      </c>
      <c r="M199" s="76" t="str" cm="1">
        <f t="array" ref="M199">IFERROR(INDEX(DB!Q$2:Q$2576,X199),"")</f>
        <v/>
      </c>
      <c r="N199" s="77"/>
      <c r="O199" s="78" t="str" cm="1">
        <f t="array" ref="O199">IFERROR(INDEX(DB!R$2:R$2576,X199),"")</f>
        <v/>
      </c>
      <c r="P199" s="100"/>
      <c r="Q199" s="102"/>
      <c r="R199" s="150"/>
      <c r="S199" s="43"/>
      <c r="T199" s="66" t="str" cm="1">
        <f t="array" ref="T199">IFERROR(_xlfn.AGGREGATE(15,6,ROW(DB!A$2:A$2576)/(((($D$3&lt;&gt;"YES")+($D$3="YES")*(DB!E$2:E$2576="YES"))*(($D$4="")+($D$4&lt;&gt;"")*ISNUMBER(SEARCH($D$4,DB!G$2:G$2576)))*(($D$5="")+($D$5&lt;&gt;"")*(DB!B$2:B$2576=$D$5))*(($D$6="")+($D$6&lt;&gt;"")*(DB!C$2:C$2576=$D$6))*(($D$7="")+($D$7&lt;&gt;"")*(DB!D$2:D$2576=$D$7))*(($F$4="전체")+($F$4&lt;&gt;"전체")*(DB!H$2:H$2576=$F$4)))),ROW()-16)-1,"")</f>
        <v/>
      </c>
      <c r="U199" s="104" t="str" cm="1">
        <f t="array" ref="U199">IFERROR(INDEX(DB!B$2:B$2576,T199),"")</f>
        <v/>
      </c>
      <c r="V199" s="105" t="str" cm="1">
        <f t="array" ref="V199">IFERROR(INDEX(DB!O$2:O$2576,T199),"")</f>
        <v/>
      </c>
      <c r="W199" s="106" t="str">
        <f t="shared" si="7"/>
        <v/>
      </c>
      <c r="X199" s="149" t="str">
        <f t="shared" si="8"/>
        <v/>
      </c>
      <c r="AB199" s="151"/>
      <c r="AC199" s="131"/>
      <c r="AE199" s="130"/>
      <c r="AF199" s="136"/>
      <c r="AH199" s="65"/>
      <c r="AI199" s="65"/>
      <c r="AJ199" s="65"/>
      <c r="AK199" s="65"/>
      <c r="AL199" s="65"/>
      <c r="AM199" s="65"/>
      <c r="AN199" s="65"/>
      <c r="BB199" s="11"/>
    </row>
    <row r="200" spans="1:54" ht="90" customHeight="1">
      <c r="A200" s="26"/>
      <c r="B200" s="73" t="str">
        <f t="shared" si="6"/>
        <v/>
      </c>
      <c r="C200" s="74"/>
      <c r="D200" s="96" t="str" cm="1">
        <f t="array" ref="D200">IFERROR(INDEX(DB!B$2:B$2576,X200),"")</f>
        <v/>
      </c>
      <c r="E200" s="107"/>
      <c r="F200" s="97" t="str" cm="1">
        <f t="array" ref="F200">IFERROR(INDEX(DB!C$2:C$2576,X200),"")</f>
        <v/>
      </c>
      <c r="G200" s="108"/>
      <c r="H200" s="98" t="str" cm="1">
        <f t="array" ref="H200">IFERROR(INDEX(DB!D$2:D$2576,X200),"")</f>
        <v/>
      </c>
      <c r="I200" s="109"/>
      <c r="J200" s="99" t="str" cm="1">
        <f t="array" ref="J200">IFERROR(INDEX(DB!O$2:O$2576,X200),"")</f>
        <v/>
      </c>
      <c r="K200" s="110"/>
      <c r="L200" s="75" t="str" cm="1">
        <f t="array" ref="L200">IFERROR(INDEX(DB!P$2:P$2576,X200),"")</f>
        <v/>
      </c>
      <c r="M200" s="76" t="str" cm="1">
        <f t="array" ref="M200">IFERROR(INDEX(DB!Q$2:Q$2576,X200),"")</f>
        <v/>
      </c>
      <c r="N200" s="77"/>
      <c r="O200" s="78" t="str" cm="1">
        <f t="array" ref="O200">IFERROR(INDEX(DB!R$2:R$2576,X200),"")</f>
        <v/>
      </c>
      <c r="P200" s="100"/>
      <c r="Q200" s="102"/>
      <c r="R200" s="150"/>
      <c r="S200" s="43"/>
      <c r="T200" s="66" t="str" cm="1">
        <f t="array" ref="T200">IFERROR(_xlfn.AGGREGATE(15,6,ROW(DB!A$2:A$2576)/(((($D$3&lt;&gt;"YES")+($D$3="YES")*(DB!E$2:E$2576="YES"))*(($D$4="")+($D$4&lt;&gt;"")*ISNUMBER(SEARCH($D$4,DB!G$2:G$2576)))*(($D$5="")+($D$5&lt;&gt;"")*(DB!B$2:B$2576=$D$5))*(($D$6="")+($D$6&lt;&gt;"")*(DB!C$2:C$2576=$D$6))*(($D$7="")+($D$7&lt;&gt;"")*(DB!D$2:D$2576=$D$7))*(($F$4="전체")+($F$4&lt;&gt;"전체")*(DB!H$2:H$2576=$F$4)))),ROW()-16)-1,"")</f>
        <v/>
      </c>
      <c r="U200" s="104" t="str" cm="1">
        <f t="array" ref="U200">IFERROR(INDEX(DB!B$2:B$2576,T200),"")</f>
        <v/>
      </c>
      <c r="V200" s="105" t="str" cm="1">
        <f t="array" ref="V200">IFERROR(INDEX(DB!O$2:O$2576,T200),"")</f>
        <v/>
      </c>
      <c r="W200" s="106" t="str">
        <f t="shared" si="7"/>
        <v/>
      </c>
      <c r="X200" s="149" t="str">
        <f t="shared" si="8"/>
        <v/>
      </c>
      <c r="AB200" s="151"/>
      <c r="AC200" s="131"/>
      <c r="AE200" s="130"/>
      <c r="AF200" s="136"/>
      <c r="AH200" s="65"/>
      <c r="AI200" s="65"/>
      <c r="AJ200" s="65"/>
      <c r="AK200" s="65"/>
      <c r="AL200" s="65"/>
      <c r="AM200" s="65"/>
      <c r="AN200" s="65"/>
      <c r="BB200" s="11"/>
    </row>
    <row r="201" spans="1:54" ht="90" customHeight="1">
      <c r="A201" s="26"/>
      <c r="B201" s="73" t="str">
        <f t="shared" si="6"/>
        <v/>
      </c>
      <c r="C201" s="74"/>
      <c r="D201" s="96" t="str" cm="1">
        <f t="array" ref="D201">IFERROR(INDEX(DB!B$2:B$2576,X201),"")</f>
        <v/>
      </c>
      <c r="E201" s="107"/>
      <c r="F201" s="97" t="str" cm="1">
        <f t="array" ref="F201">IFERROR(INDEX(DB!C$2:C$2576,X201),"")</f>
        <v/>
      </c>
      <c r="G201" s="108"/>
      <c r="H201" s="98" t="str" cm="1">
        <f t="array" ref="H201">IFERROR(INDEX(DB!D$2:D$2576,X201),"")</f>
        <v/>
      </c>
      <c r="I201" s="109"/>
      <c r="J201" s="99" t="str" cm="1">
        <f t="array" ref="J201">IFERROR(INDEX(DB!O$2:O$2576,X201),"")</f>
        <v/>
      </c>
      <c r="K201" s="110"/>
      <c r="L201" s="75" t="str" cm="1">
        <f t="array" ref="L201">IFERROR(INDEX(DB!P$2:P$2576,X201),"")</f>
        <v/>
      </c>
      <c r="M201" s="76" t="str" cm="1">
        <f t="array" ref="M201">IFERROR(INDEX(DB!Q$2:Q$2576,X201),"")</f>
        <v/>
      </c>
      <c r="N201" s="77"/>
      <c r="O201" s="78" t="str" cm="1">
        <f t="array" ref="O201">IFERROR(INDEX(DB!R$2:R$2576,X201),"")</f>
        <v/>
      </c>
      <c r="P201" s="100"/>
      <c r="Q201" s="102"/>
      <c r="R201" s="150"/>
      <c r="S201" s="43"/>
      <c r="T201" s="66" t="str" cm="1">
        <f t="array" ref="T201">IFERROR(_xlfn.AGGREGATE(15,6,ROW(DB!A$2:A$2576)/(((($D$3&lt;&gt;"YES")+($D$3="YES")*(DB!E$2:E$2576="YES"))*(($D$4="")+($D$4&lt;&gt;"")*ISNUMBER(SEARCH($D$4,DB!G$2:G$2576)))*(($D$5="")+($D$5&lt;&gt;"")*(DB!B$2:B$2576=$D$5))*(($D$6="")+($D$6&lt;&gt;"")*(DB!C$2:C$2576=$D$6))*(($D$7="")+($D$7&lt;&gt;"")*(DB!D$2:D$2576=$D$7))*(($F$4="전체")+($F$4&lt;&gt;"전체")*(DB!H$2:H$2576=$F$4)))),ROW()-16)-1,"")</f>
        <v/>
      </c>
      <c r="U201" s="104" t="str" cm="1">
        <f t="array" ref="U201">IFERROR(INDEX(DB!B$2:B$2576,T201),"")</f>
        <v/>
      </c>
      <c r="V201" s="105" t="str" cm="1">
        <f t="array" ref="V201">IFERROR(INDEX(DB!O$2:O$2576,T201),"")</f>
        <v/>
      </c>
      <c r="W201" s="106" t="str">
        <f t="shared" si="7"/>
        <v/>
      </c>
      <c r="X201" s="149" t="str">
        <f t="shared" si="8"/>
        <v/>
      </c>
      <c r="AB201" s="151"/>
      <c r="AC201" s="131"/>
      <c r="AE201" s="130"/>
      <c r="AF201" s="136"/>
      <c r="AH201" s="65"/>
      <c r="AI201" s="65"/>
      <c r="AJ201" s="65"/>
      <c r="AK201" s="65"/>
      <c r="AL201" s="65"/>
      <c r="AM201" s="65"/>
      <c r="AN201" s="65"/>
      <c r="BB201" s="11"/>
    </row>
    <row r="202" spans="1:54" ht="90" customHeight="1">
      <c r="A202" s="26"/>
      <c r="B202" s="73" t="str">
        <f t="shared" si="6"/>
        <v/>
      </c>
      <c r="C202" s="74"/>
      <c r="D202" s="96" t="str" cm="1">
        <f t="array" ref="D202">IFERROR(INDEX(DB!B$2:B$2576,X202),"")</f>
        <v/>
      </c>
      <c r="E202" s="107"/>
      <c r="F202" s="97" t="str" cm="1">
        <f t="array" ref="F202">IFERROR(INDEX(DB!C$2:C$2576,X202),"")</f>
        <v/>
      </c>
      <c r="G202" s="108"/>
      <c r="H202" s="98" t="str" cm="1">
        <f t="array" ref="H202">IFERROR(INDEX(DB!D$2:D$2576,X202),"")</f>
        <v/>
      </c>
      <c r="I202" s="109"/>
      <c r="J202" s="99" t="str" cm="1">
        <f t="array" ref="J202">IFERROR(INDEX(DB!O$2:O$2576,X202),"")</f>
        <v/>
      </c>
      <c r="K202" s="110"/>
      <c r="L202" s="75" t="str" cm="1">
        <f t="array" ref="L202">IFERROR(INDEX(DB!P$2:P$2576,X202),"")</f>
        <v/>
      </c>
      <c r="M202" s="76" t="str" cm="1">
        <f t="array" ref="M202">IFERROR(INDEX(DB!Q$2:Q$2576,X202),"")</f>
        <v/>
      </c>
      <c r="N202" s="77"/>
      <c r="O202" s="78" t="str" cm="1">
        <f t="array" ref="O202">IFERROR(INDEX(DB!R$2:R$2576,X202),"")</f>
        <v/>
      </c>
      <c r="P202" s="100"/>
      <c r="Q202" s="102"/>
      <c r="R202" s="150"/>
      <c r="S202" s="43"/>
      <c r="T202" s="66" t="str" cm="1">
        <f t="array" ref="T202">IFERROR(_xlfn.AGGREGATE(15,6,ROW(DB!A$2:A$2576)/(((($D$3&lt;&gt;"YES")+($D$3="YES")*(DB!E$2:E$2576="YES"))*(($D$4="")+($D$4&lt;&gt;"")*ISNUMBER(SEARCH($D$4,DB!G$2:G$2576)))*(($D$5="")+($D$5&lt;&gt;"")*(DB!B$2:B$2576=$D$5))*(($D$6="")+($D$6&lt;&gt;"")*(DB!C$2:C$2576=$D$6))*(($D$7="")+($D$7&lt;&gt;"")*(DB!D$2:D$2576=$D$7))*(($F$4="전체")+($F$4&lt;&gt;"전체")*(DB!H$2:H$2576=$F$4)))),ROW()-16)-1,"")</f>
        <v/>
      </c>
      <c r="U202" s="104" t="str" cm="1">
        <f t="array" ref="U202">IFERROR(INDEX(DB!B$2:B$2576,T202),"")</f>
        <v/>
      </c>
      <c r="V202" s="105" t="str" cm="1">
        <f t="array" ref="V202">IFERROR(INDEX(DB!O$2:O$2576,T202),"")</f>
        <v/>
      </c>
      <c r="W202" s="106" t="str">
        <f t="shared" si="7"/>
        <v/>
      </c>
      <c r="X202" s="149" t="str">
        <f t="shared" si="8"/>
        <v/>
      </c>
      <c r="AB202" s="151"/>
      <c r="AC202" s="131"/>
      <c r="AE202" s="130"/>
      <c r="AF202" s="136"/>
      <c r="AH202" s="65"/>
      <c r="AI202" s="65"/>
      <c r="AJ202" s="65"/>
      <c r="AK202" s="65"/>
      <c r="AL202" s="65"/>
      <c r="AM202" s="65"/>
      <c r="AN202" s="65"/>
      <c r="BB202" s="11"/>
    </row>
    <row r="203" spans="1:54" ht="90" customHeight="1">
      <c r="A203" s="26"/>
      <c r="B203" s="73" t="str">
        <f t="shared" si="6"/>
        <v/>
      </c>
      <c r="C203" s="74"/>
      <c r="D203" s="96" t="str" cm="1">
        <f t="array" ref="D203">IFERROR(INDEX(DB!B$2:B$2576,X203),"")</f>
        <v/>
      </c>
      <c r="E203" s="107"/>
      <c r="F203" s="97" t="str" cm="1">
        <f t="array" ref="F203">IFERROR(INDEX(DB!C$2:C$2576,X203),"")</f>
        <v/>
      </c>
      <c r="G203" s="108"/>
      <c r="H203" s="98" t="str" cm="1">
        <f t="array" ref="H203">IFERROR(INDEX(DB!D$2:D$2576,X203),"")</f>
        <v/>
      </c>
      <c r="I203" s="109"/>
      <c r="J203" s="99" t="str" cm="1">
        <f t="array" ref="J203">IFERROR(INDEX(DB!O$2:O$2576,X203),"")</f>
        <v/>
      </c>
      <c r="K203" s="110"/>
      <c r="L203" s="75" t="str" cm="1">
        <f t="array" ref="L203">IFERROR(INDEX(DB!P$2:P$2576,X203),"")</f>
        <v/>
      </c>
      <c r="M203" s="76" t="str" cm="1">
        <f t="array" ref="M203">IFERROR(INDEX(DB!Q$2:Q$2576,X203),"")</f>
        <v/>
      </c>
      <c r="N203" s="77"/>
      <c r="O203" s="78" t="str" cm="1">
        <f t="array" ref="O203">IFERROR(INDEX(DB!R$2:R$2576,X203),"")</f>
        <v/>
      </c>
      <c r="P203" s="100"/>
      <c r="Q203" s="102"/>
      <c r="R203" s="150"/>
      <c r="S203" s="43"/>
      <c r="T203" s="66" t="str" cm="1">
        <f t="array" ref="T203">IFERROR(_xlfn.AGGREGATE(15,6,ROW(DB!A$2:A$2576)/(((($D$3&lt;&gt;"YES")+($D$3="YES")*(DB!E$2:E$2576="YES"))*(($D$4="")+($D$4&lt;&gt;"")*ISNUMBER(SEARCH($D$4,DB!G$2:G$2576)))*(($D$5="")+($D$5&lt;&gt;"")*(DB!B$2:B$2576=$D$5))*(($D$6="")+($D$6&lt;&gt;"")*(DB!C$2:C$2576=$D$6))*(($D$7="")+($D$7&lt;&gt;"")*(DB!D$2:D$2576=$D$7))*(($F$4="전체")+($F$4&lt;&gt;"전체")*(DB!H$2:H$2576=$F$4)))),ROW()-16)-1,"")</f>
        <v/>
      </c>
      <c r="U203" s="104" t="str" cm="1">
        <f t="array" ref="U203">IFERROR(INDEX(DB!B$2:B$2576,T203),"")</f>
        <v/>
      </c>
      <c r="V203" s="105" t="str" cm="1">
        <f t="array" ref="V203">IFERROR(INDEX(DB!O$2:O$2576,T203),"")</f>
        <v/>
      </c>
      <c r="W203" s="106" t="str">
        <f t="shared" si="7"/>
        <v/>
      </c>
      <c r="X203" s="149" t="str">
        <f t="shared" si="8"/>
        <v/>
      </c>
      <c r="AB203" s="151"/>
      <c r="AC203" s="131"/>
      <c r="AE203" s="130"/>
      <c r="AF203" s="136"/>
      <c r="AH203" s="65"/>
      <c r="AI203" s="65"/>
      <c r="AJ203" s="65"/>
      <c r="AK203" s="65"/>
      <c r="AL203" s="65"/>
      <c r="AM203" s="65"/>
      <c r="AN203" s="65"/>
      <c r="BB203" s="11"/>
    </row>
    <row r="204" spans="1:54" ht="90" customHeight="1">
      <c r="A204" s="26"/>
      <c r="B204" s="73" t="str">
        <f t="shared" si="6"/>
        <v/>
      </c>
      <c r="C204" s="74"/>
      <c r="D204" s="96" t="str" cm="1">
        <f t="array" ref="D204">IFERROR(INDEX(DB!B$2:B$2576,X204),"")</f>
        <v/>
      </c>
      <c r="E204" s="107"/>
      <c r="F204" s="97" t="str" cm="1">
        <f t="array" ref="F204">IFERROR(INDEX(DB!C$2:C$2576,X204),"")</f>
        <v/>
      </c>
      <c r="G204" s="108"/>
      <c r="H204" s="98" t="str" cm="1">
        <f t="array" ref="H204">IFERROR(INDEX(DB!D$2:D$2576,X204),"")</f>
        <v/>
      </c>
      <c r="I204" s="109"/>
      <c r="J204" s="99" t="str" cm="1">
        <f t="array" ref="J204">IFERROR(INDEX(DB!O$2:O$2576,X204),"")</f>
        <v/>
      </c>
      <c r="K204" s="110"/>
      <c r="L204" s="75" t="str" cm="1">
        <f t="array" ref="L204">IFERROR(INDEX(DB!P$2:P$2576,X204),"")</f>
        <v/>
      </c>
      <c r="M204" s="76" t="str" cm="1">
        <f t="array" ref="M204">IFERROR(INDEX(DB!Q$2:Q$2576,X204),"")</f>
        <v/>
      </c>
      <c r="N204" s="77"/>
      <c r="O204" s="78" t="str" cm="1">
        <f t="array" ref="O204">IFERROR(INDEX(DB!R$2:R$2576,X204),"")</f>
        <v/>
      </c>
      <c r="P204" s="100"/>
      <c r="Q204" s="102"/>
      <c r="R204" s="150"/>
      <c r="S204" s="43"/>
      <c r="T204" s="66" t="str" cm="1">
        <f t="array" ref="T204">IFERROR(_xlfn.AGGREGATE(15,6,ROW(DB!A$2:A$2576)/(((($D$3&lt;&gt;"YES")+($D$3="YES")*(DB!E$2:E$2576="YES"))*(($D$4="")+($D$4&lt;&gt;"")*ISNUMBER(SEARCH($D$4,DB!G$2:G$2576)))*(($D$5="")+($D$5&lt;&gt;"")*(DB!B$2:B$2576=$D$5))*(($D$6="")+($D$6&lt;&gt;"")*(DB!C$2:C$2576=$D$6))*(($D$7="")+($D$7&lt;&gt;"")*(DB!D$2:D$2576=$D$7))*(($F$4="전체")+($F$4&lt;&gt;"전체")*(DB!H$2:H$2576=$F$4)))),ROW()-16)-1,"")</f>
        <v/>
      </c>
      <c r="U204" s="104" t="str" cm="1">
        <f t="array" ref="U204">IFERROR(INDEX(DB!B$2:B$2576,T204),"")</f>
        <v/>
      </c>
      <c r="V204" s="105" t="str" cm="1">
        <f t="array" ref="V204">IFERROR(INDEX(DB!O$2:O$2576,T204),"")</f>
        <v/>
      </c>
      <c r="W204" s="106" t="str">
        <f t="shared" si="7"/>
        <v/>
      </c>
      <c r="X204" s="149" t="str">
        <f t="shared" si="8"/>
        <v/>
      </c>
      <c r="AB204" s="151"/>
      <c r="AC204" s="131"/>
      <c r="AE204" s="130"/>
      <c r="AF204" s="136"/>
      <c r="AH204" s="65"/>
      <c r="AI204" s="65"/>
      <c r="AJ204" s="65"/>
      <c r="AK204" s="65"/>
      <c r="AL204" s="65"/>
      <c r="AM204" s="65"/>
      <c r="AN204" s="65"/>
      <c r="BB204" s="11"/>
    </row>
    <row r="205" spans="1:54" ht="90" customHeight="1">
      <c r="A205" s="26"/>
      <c r="B205" s="73" t="str">
        <f t="shared" si="6"/>
        <v/>
      </c>
      <c r="C205" s="74"/>
      <c r="D205" s="96" t="str" cm="1">
        <f t="array" ref="D205">IFERROR(INDEX(DB!B$2:B$2576,X205),"")</f>
        <v/>
      </c>
      <c r="E205" s="107"/>
      <c r="F205" s="97" t="str" cm="1">
        <f t="array" ref="F205">IFERROR(INDEX(DB!C$2:C$2576,X205),"")</f>
        <v/>
      </c>
      <c r="G205" s="108"/>
      <c r="H205" s="98" t="str" cm="1">
        <f t="array" ref="H205">IFERROR(INDEX(DB!D$2:D$2576,X205),"")</f>
        <v/>
      </c>
      <c r="I205" s="109"/>
      <c r="J205" s="99" t="str" cm="1">
        <f t="array" ref="J205">IFERROR(INDEX(DB!O$2:O$2576,X205),"")</f>
        <v/>
      </c>
      <c r="K205" s="110"/>
      <c r="L205" s="75" t="str" cm="1">
        <f t="array" ref="L205">IFERROR(INDEX(DB!P$2:P$2576,X205),"")</f>
        <v/>
      </c>
      <c r="M205" s="76" t="str" cm="1">
        <f t="array" ref="M205">IFERROR(INDEX(DB!Q$2:Q$2576,X205),"")</f>
        <v/>
      </c>
      <c r="N205" s="77"/>
      <c r="O205" s="78" t="str" cm="1">
        <f t="array" ref="O205">IFERROR(INDEX(DB!R$2:R$2576,X205),"")</f>
        <v/>
      </c>
      <c r="P205" s="100"/>
      <c r="Q205" s="102"/>
      <c r="R205" s="150"/>
      <c r="S205" s="43"/>
      <c r="T205" s="66" t="str" cm="1">
        <f t="array" ref="T205">IFERROR(_xlfn.AGGREGATE(15,6,ROW(DB!A$2:A$2576)/(((($D$3&lt;&gt;"YES")+($D$3="YES")*(DB!E$2:E$2576="YES"))*(($D$4="")+($D$4&lt;&gt;"")*ISNUMBER(SEARCH($D$4,DB!G$2:G$2576)))*(($D$5="")+($D$5&lt;&gt;"")*(DB!B$2:B$2576=$D$5))*(($D$6="")+($D$6&lt;&gt;"")*(DB!C$2:C$2576=$D$6))*(($D$7="")+($D$7&lt;&gt;"")*(DB!D$2:D$2576=$D$7))*(($F$4="전체")+($F$4&lt;&gt;"전체")*(DB!H$2:H$2576=$F$4)))),ROW()-16)-1,"")</f>
        <v/>
      </c>
      <c r="U205" s="104" t="str" cm="1">
        <f t="array" ref="U205">IFERROR(INDEX(DB!B$2:B$2576,T205),"")</f>
        <v/>
      </c>
      <c r="V205" s="105" t="str" cm="1">
        <f t="array" ref="V205">IFERROR(INDEX(DB!O$2:O$2576,T205),"")</f>
        <v/>
      </c>
      <c r="W205" s="106" t="str">
        <f t="shared" si="7"/>
        <v/>
      </c>
      <c r="X205" s="149" t="str">
        <f t="shared" si="8"/>
        <v/>
      </c>
      <c r="AB205" s="151"/>
      <c r="AC205" s="131"/>
      <c r="AE205" s="130"/>
      <c r="AF205" s="136"/>
      <c r="AH205" s="65"/>
      <c r="AI205" s="65"/>
      <c r="AJ205" s="65"/>
      <c r="AK205" s="65"/>
      <c r="AL205" s="65"/>
      <c r="AM205" s="65"/>
      <c r="AN205" s="65"/>
      <c r="BB205" s="11"/>
    </row>
    <row r="206" spans="1:54" ht="90" customHeight="1">
      <c r="A206" s="26"/>
      <c r="B206" s="73" t="str">
        <f t="shared" si="6"/>
        <v/>
      </c>
      <c r="C206" s="74"/>
      <c r="D206" s="96" t="str" cm="1">
        <f t="array" ref="D206">IFERROR(INDEX(DB!B$2:B$2576,X206),"")</f>
        <v/>
      </c>
      <c r="E206" s="107"/>
      <c r="F206" s="97" t="str" cm="1">
        <f t="array" ref="F206">IFERROR(INDEX(DB!C$2:C$2576,X206),"")</f>
        <v/>
      </c>
      <c r="G206" s="108"/>
      <c r="H206" s="98" t="str" cm="1">
        <f t="array" ref="H206">IFERROR(INDEX(DB!D$2:D$2576,X206),"")</f>
        <v/>
      </c>
      <c r="I206" s="109"/>
      <c r="J206" s="99" t="str" cm="1">
        <f t="array" ref="J206">IFERROR(INDEX(DB!O$2:O$2576,X206),"")</f>
        <v/>
      </c>
      <c r="K206" s="110"/>
      <c r="L206" s="75" t="str" cm="1">
        <f t="array" ref="L206">IFERROR(INDEX(DB!P$2:P$2576,X206),"")</f>
        <v/>
      </c>
      <c r="M206" s="76" t="str" cm="1">
        <f t="array" ref="M206">IFERROR(INDEX(DB!Q$2:Q$2576,X206),"")</f>
        <v/>
      </c>
      <c r="N206" s="77"/>
      <c r="O206" s="78" t="str" cm="1">
        <f t="array" ref="O206">IFERROR(INDEX(DB!R$2:R$2576,X206),"")</f>
        <v/>
      </c>
      <c r="P206" s="100"/>
      <c r="Q206" s="102"/>
      <c r="R206" s="150"/>
      <c r="S206" s="43"/>
      <c r="T206" s="66" t="str" cm="1">
        <f t="array" ref="T206">IFERROR(_xlfn.AGGREGATE(15,6,ROW(DB!A$2:A$2576)/(((($D$3&lt;&gt;"YES")+($D$3="YES")*(DB!E$2:E$2576="YES"))*(($D$4="")+($D$4&lt;&gt;"")*ISNUMBER(SEARCH($D$4,DB!G$2:G$2576)))*(($D$5="")+($D$5&lt;&gt;"")*(DB!B$2:B$2576=$D$5))*(($D$6="")+($D$6&lt;&gt;"")*(DB!C$2:C$2576=$D$6))*(($D$7="")+($D$7&lt;&gt;"")*(DB!D$2:D$2576=$D$7))*(($F$4="전체")+($F$4&lt;&gt;"전체")*(DB!H$2:H$2576=$F$4)))),ROW()-16)-1,"")</f>
        <v/>
      </c>
      <c r="U206" s="104" t="str" cm="1">
        <f t="array" ref="U206">IFERROR(INDEX(DB!B$2:B$2576,T206),"")</f>
        <v/>
      </c>
      <c r="V206" s="105" t="str" cm="1">
        <f t="array" ref="V206">IFERROR(INDEX(DB!O$2:O$2576,T206),"")</f>
        <v/>
      </c>
      <c r="W206" s="106" t="str">
        <f t="shared" si="7"/>
        <v/>
      </c>
      <c r="X206" s="149" t="str">
        <f t="shared" si="8"/>
        <v/>
      </c>
      <c r="AB206" s="151"/>
      <c r="AC206" s="131"/>
      <c r="AE206" s="130"/>
      <c r="AF206" s="136"/>
      <c r="AH206" s="65"/>
      <c r="AI206" s="65"/>
      <c r="AJ206" s="65"/>
      <c r="AK206" s="65"/>
      <c r="AL206" s="65"/>
      <c r="AM206" s="65"/>
      <c r="AN206" s="65"/>
      <c r="BB206" s="11"/>
    </row>
    <row r="207" spans="1:54" ht="90" customHeight="1">
      <c r="A207" s="26"/>
      <c r="B207" s="73" t="str">
        <f t="shared" si="6"/>
        <v/>
      </c>
      <c r="C207" s="74"/>
      <c r="D207" s="96" t="str" cm="1">
        <f t="array" ref="D207">IFERROR(INDEX(DB!B$2:B$2576,X207),"")</f>
        <v/>
      </c>
      <c r="E207" s="107"/>
      <c r="F207" s="97" t="str" cm="1">
        <f t="array" ref="F207">IFERROR(INDEX(DB!C$2:C$2576,X207),"")</f>
        <v/>
      </c>
      <c r="G207" s="108"/>
      <c r="H207" s="98" t="str" cm="1">
        <f t="array" ref="H207">IFERROR(INDEX(DB!D$2:D$2576,X207),"")</f>
        <v/>
      </c>
      <c r="I207" s="109"/>
      <c r="J207" s="99" t="str" cm="1">
        <f t="array" ref="J207">IFERROR(INDEX(DB!O$2:O$2576,X207),"")</f>
        <v/>
      </c>
      <c r="K207" s="110"/>
      <c r="L207" s="75" t="str" cm="1">
        <f t="array" ref="L207">IFERROR(INDEX(DB!P$2:P$2576,X207),"")</f>
        <v/>
      </c>
      <c r="M207" s="76" t="str" cm="1">
        <f t="array" ref="M207">IFERROR(INDEX(DB!Q$2:Q$2576,X207),"")</f>
        <v/>
      </c>
      <c r="N207" s="77"/>
      <c r="O207" s="78" t="str" cm="1">
        <f t="array" ref="O207">IFERROR(INDEX(DB!R$2:R$2576,X207),"")</f>
        <v/>
      </c>
      <c r="P207" s="100"/>
      <c r="Q207" s="102"/>
      <c r="R207" s="150"/>
      <c r="S207" s="43"/>
      <c r="T207" s="66" t="str" cm="1">
        <f t="array" ref="T207">IFERROR(_xlfn.AGGREGATE(15,6,ROW(DB!A$2:A$2576)/(((($D$3&lt;&gt;"YES")+($D$3="YES")*(DB!E$2:E$2576="YES"))*(($D$4="")+($D$4&lt;&gt;"")*ISNUMBER(SEARCH($D$4,DB!G$2:G$2576)))*(($D$5="")+($D$5&lt;&gt;"")*(DB!B$2:B$2576=$D$5))*(($D$6="")+($D$6&lt;&gt;"")*(DB!C$2:C$2576=$D$6))*(($D$7="")+($D$7&lt;&gt;"")*(DB!D$2:D$2576=$D$7))*(($F$4="전체")+($F$4&lt;&gt;"전체")*(DB!H$2:H$2576=$F$4)))),ROW()-16)-1,"")</f>
        <v/>
      </c>
      <c r="U207" s="104" t="str" cm="1">
        <f t="array" ref="U207">IFERROR(INDEX(DB!B$2:B$2576,T207),"")</f>
        <v/>
      </c>
      <c r="V207" s="105" t="str" cm="1">
        <f t="array" ref="V207">IFERROR(INDEX(DB!O$2:O$2576,T207),"")</f>
        <v/>
      </c>
      <c r="W207" s="106" t="str">
        <f t="shared" si="7"/>
        <v/>
      </c>
      <c r="X207" s="149" t="str">
        <f t="shared" si="8"/>
        <v/>
      </c>
      <c r="AB207" s="151"/>
      <c r="AC207" s="131"/>
      <c r="AE207" s="130"/>
      <c r="AF207" s="136"/>
      <c r="AH207" s="65"/>
      <c r="AI207" s="65"/>
      <c r="AJ207" s="65"/>
      <c r="AK207" s="65"/>
      <c r="AL207" s="65"/>
      <c r="AM207" s="65"/>
      <c r="AN207" s="65"/>
      <c r="BB207" s="11"/>
    </row>
    <row r="208" spans="1:54" ht="90" customHeight="1">
      <c r="A208" s="26"/>
      <c r="B208" s="73" t="str">
        <f t="shared" si="6"/>
        <v/>
      </c>
      <c r="C208" s="74"/>
      <c r="D208" s="96" t="str" cm="1">
        <f t="array" ref="D208">IFERROR(INDEX(DB!B$2:B$2576,X208),"")</f>
        <v/>
      </c>
      <c r="E208" s="107"/>
      <c r="F208" s="97" t="str" cm="1">
        <f t="array" ref="F208">IFERROR(INDEX(DB!C$2:C$2576,X208),"")</f>
        <v/>
      </c>
      <c r="G208" s="108"/>
      <c r="H208" s="98" t="str" cm="1">
        <f t="array" ref="H208">IFERROR(INDEX(DB!D$2:D$2576,X208),"")</f>
        <v/>
      </c>
      <c r="I208" s="109"/>
      <c r="J208" s="99" t="str" cm="1">
        <f t="array" ref="J208">IFERROR(INDEX(DB!O$2:O$2576,X208),"")</f>
        <v/>
      </c>
      <c r="K208" s="110"/>
      <c r="L208" s="75" t="str" cm="1">
        <f t="array" ref="L208">IFERROR(INDEX(DB!P$2:P$2576,X208),"")</f>
        <v/>
      </c>
      <c r="M208" s="76" t="str" cm="1">
        <f t="array" ref="M208">IFERROR(INDEX(DB!Q$2:Q$2576,X208),"")</f>
        <v/>
      </c>
      <c r="N208" s="77"/>
      <c r="O208" s="78" t="str" cm="1">
        <f t="array" ref="O208">IFERROR(INDEX(DB!R$2:R$2576,X208),"")</f>
        <v/>
      </c>
      <c r="P208" s="100"/>
      <c r="Q208" s="102"/>
      <c r="R208" s="150"/>
      <c r="S208" s="43"/>
      <c r="T208" s="66" t="str" cm="1">
        <f t="array" ref="T208">IFERROR(_xlfn.AGGREGATE(15,6,ROW(DB!A$2:A$2576)/(((($D$3&lt;&gt;"YES")+($D$3="YES")*(DB!E$2:E$2576="YES"))*(($D$4="")+($D$4&lt;&gt;"")*ISNUMBER(SEARCH($D$4,DB!G$2:G$2576)))*(($D$5="")+($D$5&lt;&gt;"")*(DB!B$2:B$2576=$D$5))*(($D$6="")+($D$6&lt;&gt;"")*(DB!C$2:C$2576=$D$6))*(($D$7="")+($D$7&lt;&gt;"")*(DB!D$2:D$2576=$D$7))*(($F$4="전체")+($F$4&lt;&gt;"전체")*(DB!H$2:H$2576=$F$4)))),ROW()-16)-1,"")</f>
        <v/>
      </c>
      <c r="U208" s="104" t="str" cm="1">
        <f t="array" ref="U208">IFERROR(INDEX(DB!B$2:B$2576,T208),"")</f>
        <v/>
      </c>
      <c r="V208" s="105" t="str" cm="1">
        <f t="array" ref="V208">IFERROR(INDEX(DB!O$2:O$2576,T208),"")</f>
        <v/>
      </c>
      <c r="W208" s="106" t="str">
        <f t="shared" si="7"/>
        <v/>
      </c>
      <c r="X208" s="149" t="str">
        <f t="shared" si="8"/>
        <v/>
      </c>
      <c r="AB208" s="151"/>
      <c r="AC208" s="131"/>
      <c r="AE208" s="130"/>
      <c r="AF208" s="136"/>
      <c r="AH208" s="65"/>
      <c r="AI208" s="65"/>
      <c r="AJ208" s="65"/>
      <c r="AK208" s="65"/>
      <c r="AL208" s="65"/>
      <c r="AM208" s="65"/>
      <c r="AN208" s="65"/>
      <c r="BB208" s="11"/>
    </row>
    <row r="209" spans="1:54" ht="90" customHeight="1">
      <c r="A209" s="26"/>
      <c r="B209" s="73" t="str">
        <f t="shared" si="6"/>
        <v/>
      </c>
      <c r="C209" s="74"/>
      <c r="D209" s="96" t="str" cm="1">
        <f t="array" ref="D209">IFERROR(INDEX(DB!B$2:B$2576,X209),"")</f>
        <v/>
      </c>
      <c r="E209" s="107"/>
      <c r="F209" s="97" t="str" cm="1">
        <f t="array" ref="F209">IFERROR(INDEX(DB!C$2:C$2576,X209),"")</f>
        <v/>
      </c>
      <c r="G209" s="108"/>
      <c r="H209" s="98" t="str" cm="1">
        <f t="array" ref="H209">IFERROR(INDEX(DB!D$2:D$2576,X209),"")</f>
        <v/>
      </c>
      <c r="I209" s="109"/>
      <c r="J209" s="99" t="str" cm="1">
        <f t="array" ref="J209">IFERROR(INDEX(DB!O$2:O$2576,X209),"")</f>
        <v/>
      </c>
      <c r="K209" s="110"/>
      <c r="L209" s="75" t="str" cm="1">
        <f t="array" ref="L209">IFERROR(INDEX(DB!P$2:P$2576,X209),"")</f>
        <v/>
      </c>
      <c r="M209" s="76" t="str" cm="1">
        <f t="array" ref="M209">IFERROR(INDEX(DB!Q$2:Q$2576,X209),"")</f>
        <v/>
      </c>
      <c r="N209" s="77"/>
      <c r="O209" s="78" t="str" cm="1">
        <f t="array" ref="O209">IFERROR(INDEX(DB!R$2:R$2576,X209),"")</f>
        <v/>
      </c>
      <c r="P209" s="100"/>
      <c r="Q209" s="102"/>
      <c r="R209" s="150"/>
      <c r="S209" s="43"/>
      <c r="T209" s="66" t="str" cm="1">
        <f t="array" ref="T209">IFERROR(_xlfn.AGGREGATE(15,6,ROW(DB!A$2:A$2576)/(((($D$3&lt;&gt;"YES")+($D$3="YES")*(DB!E$2:E$2576="YES"))*(($D$4="")+($D$4&lt;&gt;"")*ISNUMBER(SEARCH($D$4,DB!G$2:G$2576)))*(($D$5="")+($D$5&lt;&gt;"")*(DB!B$2:B$2576=$D$5))*(($D$6="")+($D$6&lt;&gt;"")*(DB!C$2:C$2576=$D$6))*(($D$7="")+($D$7&lt;&gt;"")*(DB!D$2:D$2576=$D$7))*(($F$4="전체")+($F$4&lt;&gt;"전체")*(DB!H$2:H$2576=$F$4)))),ROW()-16)-1,"")</f>
        <v/>
      </c>
      <c r="U209" s="104" t="str" cm="1">
        <f t="array" ref="U209">IFERROR(INDEX(DB!B$2:B$2576,T209),"")</f>
        <v/>
      </c>
      <c r="V209" s="105" t="str" cm="1">
        <f t="array" ref="V209">IFERROR(INDEX(DB!O$2:O$2576,T209),"")</f>
        <v/>
      </c>
      <c r="W209" s="106" t="str">
        <f t="shared" si="7"/>
        <v/>
      </c>
      <c r="X209" s="149" t="str">
        <f t="shared" si="8"/>
        <v/>
      </c>
      <c r="AB209" s="151"/>
      <c r="AC209" s="131"/>
      <c r="AE209" s="130"/>
      <c r="AF209" s="136"/>
      <c r="AH209" s="65"/>
      <c r="AI209" s="65"/>
      <c r="AJ209" s="65"/>
      <c r="AK209" s="65"/>
      <c r="AL209" s="65"/>
      <c r="AM209" s="65"/>
      <c r="AN209" s="65"/>
      <c r="BB209" s="11"/>
    </row>
    <row r="210" spans="1:54" ht="90" customHeight="1">
      <c r="A210" s="26"/>
      <c r="B210" s="73" t="str">
        <f t="shared" ref="B210:B216" si="9">IFERROR(IF(X210="","",ROW()-16),"")</f>
        <v/>
      </c>
      <c r="C210" s="74"/>
      <c r="D210" s="96" t="str" cm="1">
        <f t="array" ref="D210">IFERROR(INDEX(DB!B$2:B$2576,X210),"")</f>
        <v/>
      </c>
      <c r="E210" s="107"/>
      <c r="F210" s="97" t="str" cm="1">
        <f t="array" ref="F210">IFERROR(INDEX(DB!C$2:C$2576,X210),"")</f>
        <v/>
      </c>
      <c r="G210" s="108"/>
      <c r="H210" s="98" t="str" cm="1">
        <f t="array" ref="H210">IFERROR(INDEX(DB!D$2:D$2576,X210),"")</f>
        <v/>
      </c>
      <c r="I210" s="109"/>
      <c r="J210" s="99" t="str" cm="1">
        <f t="array" ref="J210">IFERROR(INDEX(DB!O$2:O$2576,X210),"")</f>
        <v/>
      </c>
      <c r="K210" s="110"/>
      <c r="L210" s="75" t="str" cm="1">
        <f t="array" ref="L210">IFERROR(INDEX(DB!P$2:P$2576,X210),"")</f>
        <v/>
      </c>
      <c r="M210" s="76" t="str" cm="1">
        <f t="array" ref="M210">IFERROR(INDEX(DB!Q$2:Q$2576,X210),"")</f>
        <v/>
      </c>
      <c r="N210" s="77"/>
      <c r="O210" s="78" t="str" cm="1">
        <f t="array" ref="O210">IFERROR(INDEX(DB!R$2:R$2576,X210),"")</f>
        <v/>
      </c>
      <c r="P210" s="100"/>
      <c r="Q210" s="102"/>
      <c r="R210" s="150"/>
      <c r="S210" s="43"/>
      <c r="T210" s="66" t="str" cm="1">
        <f t="array" ref="T210">IFERROR(_xlfn.AGGREGATE(15,6,ROW(DB!A$2:A$2576)/(((($D$3&lt;&gt;"YES")+($D$3="YES")*(DB!E$2:E$2576="YES"))*(($D$4="")+($D$4&lt;&gt;"")*ISNUMBER(SEARCH($D$4,DB!G$2:G$2576)))*(($D$5="")+($D$5&lt;&gt;"")*(DB!B$2:B$2576=$D$5))*(($D$6="")+($D$6&lt;&gt;"")*(DB!C$2:C$2576=$D$6))*(($D$7="")+($D$7&lt;&gt;"")*(DB!D$2:D$2576=$D$7))*(($F$4="전체")+($F$4&lt;&gt;"전체")*(DB!H$2:H$2576=$F$4)))),ROW()-16)-1,"")</f>
        <v/>
      </c>
      <c r="U210" s="104" t="str" cm="1">
        <f t="array" ref="U210">IFERROR(INDEX(DB!B$2:B$2576,T210),"")</f>
        <v/>
      </c>
      <c r="V210" s="105" t="str" cm="1">
        <f t="array" ref="V210">IFERROR(INDEX(DB!O$2:O$2576,T210),"")</f>
        <v/>
      </c>
      <c r="W210" s="106" t="str">
        <f t="shared" ref="W210:W216" si="10">IF(T210="","",COUNTIF($U$17:$U$216,"&lt;"&amp;U210)*100+COUNTIF($V$17:$V$216,"&lt;"&amp;V210)+(ROW()-16)*0.001)</f>
        <v/>
      </c>
      <c r="X210" s="149" t="str">
        <f t="shared" ref="X210:X216" si="11">IFERROR(INDEX($T$17:$T$216,MATCH(SMALL($W$17:$W$216,ROW()-16),$W$17:$W$216,0)),"")</f>
        <v/>
      </c>
      <c r="AB210" s="151"/>
      <c r="AC210" s="131"/>
      <c r="AE210" s="130"/>
      <c r="AF210" s="136"/>
      <c r="AH210" s="65"/>
      <c r="AI210" s="65"/>
      <c r="AJ210" s="65"/>
      <c r="AK210" s="65"/>
      <c r="AL210" s="65"/>
      <c r="AM210" s="65"/>
      <c r="AN210" s="65"/>
      <c r="BB210" s="11"/>
    </row>
    <row r="211" spans="1:54" ht="90" customHeight="1">
      <c r="A211" s="26"/>
      <c r="B211" s="73" t="str">
        <f t="shared" si="9"/>
        <v/>
      </c>
      <c r="C211" s="74"/>
      <c r="D211" s="96" t="str" cm="1">
        <f t="array" ref="D211">IFERROR(INDEX(DB!B$2:B$2576,X211),"")</f>
        <v/>
      </c>
      <c r="E211" s="107"/>
      <c r="F211" s="97" t="str" cm="1">
        <f t="array" ref="F211">IFERROR(INDEX(DB!C$2:C$2576,X211),"")</f>
        <v/>
      </c>
      <c r="G211" s="108"/>
      <c r="H211" s="98" t="str" cm="1">
        <f t="array" ref="H211">IFERROR(INDEX(DB!D$2:D$2576,X211),"")</f>
        <v/>
      </c>
      <c r="I211" s="109"/>
      <c r="J211" s="99" t="str" cm="1">
        <f t="array" ref="J211">IFERROR(INDEX(DB!O$2:O$2576,X211),"")</f>
        <v/>
      </c>
      <c r="K211" s="110"/>
      <c r="L211" s="75" t="str" cm="1">
        <f t="array" ref="L211">IFERROR(INDEX(DB!P$2:P$2576,X211),"")</f>
        <v/>
      </c>
      <c r="M211" s="76" t="str" cm="1">
        <f t="array" ref="M211">IFERROR(INDEX(DB!Q$2:Q$2576,X211),"")</f>
        <v/>
      </c>
      <c r="N211" s="77"/>
      <c r="O211" s="78" t="str" cm="1">
        <f t="array" ref="O211">IFERROR(INDEX(DB!R$2:R$2576,X211),"")</f>
        <v/>
      </c>
      <c r="P211" s="100"/>
      <c r="Q211" s="102"/>
      <c r="R211" s="150"/>
      <c r="S211" s="43"/>
      <c r="T211" s="66" t="str" cm="1">
        <f t="array" ref="T211">IFERROR(_xlfn.AGGREGATE(15,6,ROW(DB!A$2:A$2576)/(((($D$3&lt;&gt;"YES")+($D$3="YES")*(DB!E$2:E$2576="YES"))*(($D$4="")+($D$4&lt;&gt;"")*ISNUMBER(SEARCH($D$4,DB!G$2:G$2576)))*(($D$5="")+($D$5&lt;&gt;"")*(DB!B$2:B$2576=$D$5))*(($D$6="")+($D$6&lt;&gt;"")*(DB!C$2:C$2576=$D$6))*(($D$7="")+($D$7&lt;&gt;"")*(DB!D$2:D$2576=$D$7))*(($F$4="전체")+($F$4&lt;&gt;"전체")*(DB!H$2:H$2576=$F$4)))),ROW()-16)-1,"")</f>
        <v/>
      </c>
      <c r="U211" s="104" t="str" cm="1">
        <f t="array" ref="U211">IFERROR(INDEX(DB!B$2:B$2576,T211),"")</f>
        <v/>
      </c>
      <c r="V211" s="105" t="str" cm="1">
        <f t="array" ref="V211">IFERROR(INDEX(DB!O$2:O$2576,T211),"")</f>
        <v/>
      </c>
      <c r="W211" s="106" t="str">
        <f t="shared" si="10"/>
        <v/>
      </c>
      <c r="X211" s="149" t="str">
        <f t="shared" si="11"/>
        <v/>
      </c>
      <c r="AB211" s="151"/>
      <c r="AC211" s="131"/>
      <c r="AE211" s="130"/>
      <c r="AF211" s="136"/>
      <c r="AH211" s="65"/>
      <c r="AI211" s="65"/>
      <c r="AJ211" s="65"/>
      <c r="AK211" s="65"/>
      <c r="AL211" s="65"/>
      <c r="AM211" s="65"/>
      <c r="AN211" s="65"/>
      <c r="BB211" s="11"/>
    </row>
    <row r="212" spans="1:54" ht="90" customHeight="1">
      <c r="A212" s="26"/>
      <c r="B212" s="73" t="str">
        <f t="shared" si="9"/>
        <v/>
      </c>
      <c r="C212" s="74"/>
      <c r="D212" s="96" t="str" cm="1">
        <f t="array" ref="D212">IFERROR(INDEX(DB!B$2:B$2576,X212),"")</f>
        <v/>
      </c>
      <c r="E212" s="107"/>
      <c r="F212" s="97" t="str" cm="1">
        <f t="array" ref="F212">IFERROR(INDEX(DB!C$2:C$2576,X212),"")</f>
        <v/>
      </c>
      <c r="G212" s="108"/>
      <c r="H212" s="98" t="str" cm="1">
        <f t="array" ref="H212">IFERROR(INDEX(DB!D$2:D$2576,X212),"")</f>
        <v/>
      </c>
      <c r="I212" s="109"/>
      <c r="J212" s="99" t="str" cm="1">
        <f t="array" ref="J212">IFERROR(INDEX(DB!O$2:O$2576,X212),"")</f>
        <v/>
      </c>
      <c r="K212" s="110"/>
      <c r="L212" s="75" t="str" cm="1">
        <f t="array" ref="L212">IFERROR(INDEX(DB!P$2:P$2576,X212),"")</f>
        <v/>
      </c>
      <c r="M212" s="76" t="str" cm="1">
        <f t="array" ref="M212">IFERROR(INDEX(DB!Q$2:Q$2576,X212),"")</f>
        <v/>
      </c>
      <c r="N212" s="77"/>
      <c r="O212" s="78" t="str" cm="1">
        <f t="array" ref="O212">IFERROR(INDEX(DB!R$2:R$2576,X212),"")</f>
        <v/>
      </c>
      <c r="P212" s="100"/>
      <c r="Q212" s="102"/>
      <c r="R212" s="150"/>
      <c r="S212" s="43"/>
      <c r="T212" s="66" t="str" cm="1">
        <f t="array" ref="T212">IFERROR(_xlfn.AGGREGATE(15,6,ROW(DB!A$2:A$2576)/(((($D$3&lt;&gt;"YES")+($D$3="YES")*(DB!E$2:E$2576="YES"))*(($D$4="")+($D$4&lt;&gt;"")*ISNUMBER(SEARCH($D$4,DB!G$2:G$2576)))*(($D$5="")+($D$5&lt;&gt;"")*(DB!B$2:B$2576=$D$5))*(($D$6="")+($D$6&lt;&gt;"")*(DB!C$2:C$2576=$D$6))*(($D$7="")+($D$7&lt;&gt;"")*(DB!D$2:D$2576=$D$7))*(($F$4="전체")+($F$4&lt;&gt;"전체")*(DB!H$2:H$2576=$F$4)))),ROW()-16)-1,"")</f>
        <v/>
      </c>
      <c r="U212" s="104" t="str" cm="1">
        <f t="array" ref="U212">IFERROR(INDEX(DB!B$2:B$2576,T212),"")</f>
        <v/>
      </c>
      <c r="V212" s="105" t="str" cm="1">
        <f t="array" ref="V212">IFERROR(INDEX(DB!O$2:O$2576,T212),"")</f>
        <v/>
      </c>
      <c r="W212" s="106" t="str">
        <f t="shared" si="10"/>
        <v/>
      </c>
      <c r="X212" s="149" t="str">
        <f t="shared" si="11"/>
        <v/>
      </c>
      <c r="AB212" s="151"/>
      <c r="AC212" s="131"/>
      <c r="AE212" s="130"/>
      <c r="AF212" s="136"/>
      <c r="AH212" s="65"/>
      <c r="AI212" s="65"/>
      <c r="AJ212" s="65"/>
      <c r="AK212" s="65"/>
      <c r="AL212" s="65"/>
      <c r="AM212" s="65"/>
      <c r="AN212" s="65"/>
      <c r="BB212" s="11"/>
    </row>
    <row r="213" spans="1:54" ht="90" customHeight="1">
      <c r="A213" s="26"/>
      <c r="B213" s="73" t="str">
        <f t="shared" si="9"/>
        <v/>
      </c>
      <c r="C213" s="74"/>
      <c r="D213" s="96" t="str" cm="1">
        <f t="array" ref="D213">IFERROR(INDEX(DB!B$2:B$2576,X213),"")</f>
        <v/>
      </c>
      <c r="E213" s="107"/>
      <c r="F213" s="97" t="str" cm="1">
        <f t="array" ref="F213">IFERROR(INDEX(DB!C$2:C$2576,X213),"")</f>
        <v/>
      </c>
      <c r="G213" s="108"/>
      <c r="H213" s="98" t="str" cm="1">
        <f t="array" ref="H213">IFERROR(INDEX(DB!D$2:D$2576,X213),"")</f>
        <v/>
      </c>
      <c r="I213" s="109"/>
      <c r="J213" s="99" t="str" cm="1">
        <f t="array" ref="J213">IFERROR(INDEX(DB!O$2:O$2576,X213),"")</f>
        <v/>
      </c>
      <c r="K213" s="110"/>
      <c r="L213" s="75" t="str" cm="1">
        <f t="array" ref="L213">IFERROR(INDEX(DB!P$2:P$2576,X213),"")</f>
        <v/>
      </c>
      <c r="M213" s="76" t="str" cm="1">
        <f t="array" ref="M213">IFERROR(INDEX(DB!Q$2:Q$2576,X213),"")</f>
        <v/>
      </c>
      <c r="N213" s="77"/>
      <c r="O213" s="78" t="str" cm="1">
        <f t="array" ref="O213">IFERROR(INDEX(DB!R$2:R$2576,X213),"")</f>
        <v/>
      </c>
      <c r="P213" s="100"/>
      <c r="Q213" s="102"/>
      <c r="R213" s="150"/>
      <c r="S213" s="43"/>
      <c r="T213" s="66" t="str" cm="1">
        <f t="array" ref="T213">IFERROR(_xlfn.AGGREGATE(15,6,ROW(DB!A$2:A$2576)/(((($D$3&lt;&gt;"YES")+($D$3="YES")*(DB!E$2:E$2576="YES"))*(($D$4="")+($D$4&lt;&gt;"")*ISNUMBER(SEARCH($D$4,DB!G$2:G$2576)))*(($D$5="")+($D$5&lt;&gt;"")*(DB!B$2:B$2576=$D$5))*(($D$6="")+($D$6&lt;&gt;"")*(DB!C$2:C$2576=$D$6))*(($D$7="")+($D$7&lt;&gt;"")*(DB!D$2:D$2576=$D$7))*(($F$4="전체")+($F$4&lt;&gt;"전체")*(DB!H$2:H$2576=$F$4)))),ROW()-16)-1,"")</f>
        <v/>
      </c>
      <c r="U213" s="104" t="str" cm="1">
        <f t="array" ref="U213">IFERROR(INDEX(DB!B$2:B$2576,T213),"")</f>
        <v/>
      </c>
      <c r="V213" s="105" t="str" cm="1">
        <f t="array" ref="V213">IFERROR(INDEX(DB!O$2:O$2576,T213),"")</f>
        <v/>
      </c>
      <c r="W213" s="106" t="str">
        <f t="shared" si="10"/>
        <v/>
      </c>
      <c r="X213" s="149" t="str">
        <f t="shared" si="11"/>
        <v/>
      </c>
      <c r="AB213" s="151"/>
      <c r="AC213" s="131"/>
      <c r="AE213" s="130"/>
      <c r="AF213" s="136"/>
      <c r="AH213" s="65"/>
      <c r="AI213" s="65"/>
      <c r="AJ213" s="65"/>
      <c r="AK213" s="65"/>
      <c r="AL213" s="65"/>
      <c r="AM213" s="65"/>
      <c r="AN213" s="65"/>
      <c r="BB213" s="11"/>
    </row>
    <row r="214" spans="1:54" ht="90" customHeight="1">
      <c r="A214" s="26"/>
      <c r="B214" s="73" t="str">
        <f t="shared" si="9"/>
        <v/>
      </c>
      <c r="C214" s="74"/>
      <c r="D214" s="96" t="str" cm="1">
        <f t="array" ref="D214">IFERROR(INDEX(DB!B$2:B$2576,X214),"")</f>
        <v/>
      </c>
      <c r="E214" s="107"/>
      <c r="F214" s="97" t="str" cm="1">
        <f t="array" ref="F214">IFERROR(INDEX(DB!C$2:C$2576,X214),"")</f>
        <v/>
      </c>
      <c r="G214" s="108"/>
      <c r="H214" s="98" t="str" cm="1">
        <f t="array" ref="H214">IFERROR(INDEX(DB!D$2:D$2576,X214),"")</f>
        <v/>
      </c>
      <c r="I214" s="109"/>
      <c r="J214" s="99" t="str" cm="1">
        <f t="array" ref="J214">IFERROR(INDEX(DB!O$2:O$2576,X214),"")</f>
        <v/>
      </c>
      <c r="K214" s="110"/>
      <c r="L214" s="75" t="str" cm="1">
        <f t="array" ref="L214">IFERROR(INDEX(DB!P$2:P$2576,X214),"")</f>
        <v/>
      </c>
      <c r="M214" s="76" t="str" cm="1">
        <f t="array" ref="M214">IFERROR(INDEX(DB!Q$2:Q$2576,X214),"")</f>
        <v/>
      </c>
      <c r="N214" s="77"/>
      <c r="O214" s="78" t="str" cm="1">
        <f t="array" ref="O214">IFERROR(INDEX(DB!R$2:R$2576,X214),"")</f>
        <v/>
      </c>
      <c r="P214" s="100"/>
      <c r="Q214" s="102"/>
      <c r="R214" s="150"/>
      <c r="S214" s="43"/>
      <c r="T214" s="66" t="str" cm="1">
        <f t="array" ref="T214">IFERROR(_xlfn.AGGREGATE(15,6,ROW(DB!A$2:A$2576)/(((($D$3&lt;&gt;"YES")+($D$3="YES")*(DB!E$2:E$2576="YES"))*(($D$4="")+($D$4&lt;&gt;"")*ISNUMBER(SEARCH($D$4,DB!G$2:G$2576)))*(($D$5="")+($D$5&lt;&gt;"")*(DB!B$2:B$2576=$D$5))*(($D$6="")+($D$6&lt;&gt;"")*(DB!C$2:C$2576=$D$6))*(($D$7="")+($D$7&lt;&gt;"")*(DB!D$2:D$2576=$D$7))*(($F$4="전체")+($F$4&lt;&gt;"전체")*(DB!H$2:H$2576=$F$4)))),ROW()-16)-1,"")</f>
        <v/>
      </c>
      <c r="U214" s="104" t="str" cm="1">
        <f t="array" ref="U214">IFERROR(INDEX(DB!B$2:B$2576,T214),"")</f>
        <v/>
      </c>
      <c r="V214" s="105" t="str" cm="1">
        <f t="array" ref="V214">IFERROR(INDEX(DB!O$2:O$2576,T214),"")</f>
        <v/>
      </c>
      <c r="W214" s="106" t="str">
        <f t="shared" si="10"/>
        <v/>
      </c>
      <c r="X214" s="149" t="str">
        <f t="shared" si="11"/>
        <v/>
      </c>
      <c r="AB214" s="151"/>
      <c r="AC214" s="131"/>
      <c r="AE214" s="130"/>
      <c r="AF214" s="136"/>
      <c r="AH214" s="65"/>
      <c r="AI214" s="65"/>
      <c r="AJ214" s="65"/>
      <c r="AK214" s="65"/>
      <c r="AL214" s="65"/>
      <c r="AM214" s="65"/>
      <c r="AN214" s="65"/>
      <c r="BB214" s="11"/>
    </row>
    <row r="215" spans="1:54" ht="90" customHeight="1">
      <c r="A215" s="26"/>
      <c r="B215" s="73" t="str">
        <f t="shared" si="9"/>
        <v/>
      </c>
      <c r="C215" s="74"/>
      <c r="D215" s="96" t="str" cm="1">
        <f t="array" ref="D215">IFERROR(INDEX(DB!B$2:B$2576,X215),"")</f>
        <v/>
      </c>
      <c r="E215" s="107"/>
      <c r="F215" s="97" t="str" cm="1">
        <f t="array" ref="F215">IFERROR(INDEX(DB!C$2:C$2576,X215),"")</f>
        <v/>
      </c>
      <c r="G215" s="108"/>
      <c r="H215" s="98" t="str" cm="1">
        <f t="array" ref="H215">IFERROR(INDEX(DB!D$2:D$2576,X215),"")</f>
        <v/>
      </c>
      <c r="I215" s="109"/>
      <c r="J215" s="99" t="str" cm="1">
        <f t="array" ref="J215">IFERROR(INDEX(DB!O$2:O$2576,X215),"")</f>
        <v/>
      </c>
      <c r="K215" s="110"/>
      <c r="L215" s="75" t="str" cm="1">
        <f t="array" ref="L215">IFERROR(INDEX(DB!P$2:P$2576,X215),"")</f>
        <v/>
      </c>
      <c r="M215" s="76" t="str" cm="1">
        <f t="array" ref="M215">IFERROR(INDEX(DB!Q$2:Q$2576,X215),"")</f>
        <v/>
      </c>
      <c r="N215" s="77"/>
      <c r="O215" s="78" t="str" cm="1">
        <f t="array" ref="O215">IFERROR(INDEX(DB!R$2:R$2576,X215),"")</f>
        <v/>
      </c>
      <c r="P215" s="100"/>
      <c r="Q215" s="102"/>
      <c r="R215" s="150"/>
      <c r="S215" s="43"/>
      <c r="T215" s="66" t="str" cm="1">
        <f t="array" ref="T215">IFERROR(_xlfn.AGGREGATE(15,6,ROW(DB!A$2:A$2576)/(((($D$3&lt;&gt;"YES")+($D$3="YES")*(DB!E$2:E$2576="YES"))*(($D$4="")+($D$4&lt;&gt;"")*ISNUMBER(SEARCH($D$4,DB!G$2:G$2576)))*(($D$5="")+($D$5&lt;&gt;"")*(DB!B$2:B$2576=$D$5))*(($D$6="")+($D$6&lt;&gt;"")*(DB!C$2:C$2576=$D$6))*(($D$7="")+($D$7&lt;&gt;"")*(DB!D$2:D$2576=$D$7))*(($F$4="전체")+($F$4&lt;&gt;"전체")*(DB!H$2:H$2576=$F$4)))),ROW()-16)-1,"")</f>
        <v/>
      </c>
      <c r="U215" s="104" t="str" cm="1">
        <f t="array" ref="U215">IFERROR(INDEX(DB!B$2:B$2576,T215),"")</f>
        <v/>
      </c>
      <c r="V215" s="105" t="str" cm="1">
        <f t="array" ref="V215">IFERROR(INDEX(DB!O$2:O$2576,T215),"")</f>
        <v/>
      </c>
      <c r="W215" s="106" t="str">
        <f t="shared" si="10"/>
        <v/>
      </c>
      <c r="X215" s="149" t="str">
        <f t="shared" si="11"/>
        <v/>
      </c>
      <c r="AB215" s="151"/>
      <c r="AC215" s="131"/>
      <c r="AE215" s="130"/>
      <c r="AF215" s="136"/>
      <c r="AH215" s="65"/>
      <c r="AI215" s="65"/>
      <c r="AJ215" s="65"/>
      <c r="AK215" s="65"/>
      <c r="AL215" s="65"/>
      <c r="AM215" s="65"/>
      <c r="AN215" s="65"/>
      <c r="BB215" s="11"/>
    </row>
    <row r="216" spans="1:54" ht="90" customHeight="1">
      <c r="A216" s="26"/>
      <c r="B216" s="73" t="str">
        <f t="shared" si="9"/>
        <v/>
      </c>
      <c r="C216" s="74"/>
      <c r="D216" s="96" t="str" cm="1">
        <f t="array" ref="D216">IFERROR(INDEX(DB!B$2:B$2576,X216),"")</f>
        <v/>
      </c>
      <c r="E216" s="107"/>
      <c r="F216" s="97" t="str" cm="1">
        <f t="array" ref="F216">IFERROR(INDEX(DB!C$2:C$2576,X216),"")</f>
        <v/>
      </c>
      <c r="G216" s="108"/>
      <c r="H216" s="98" t="str" cm="1">
        <f t="array" ref="H216">IFERROR(INDEX(DB!D$2:D$2576,X216),"")</f>
        <v/>
      </c>
      <c r="I216" s="109"/>
      <c r="J216" s="99" t="str" cm="1">
        <f t="array" ref="J216">IFERROR(INDEX(DB!O$2:O$2576,X216),"")</f>
        <v/>
      </c>
      <c r="K216" s="110"/>
      <c r="L216" s="75" t="str" cm="1">
        <f t="array" ref="L216">IFERROR(INDEX(DB!P$2:P$2576,X216),"")</f>
        <v/>
      </c>
      <c r="M216" s="76" t="str" cm="1">
        <f t="array" ref="M216">IFERROR(INDEX(DB!Q$2:Q$2576,X216),"")</f>
        <v/>
      </c>
      <c r="N216" s="77"/>
      <c r="O216" s="78" t="str" cm="1">
        <f t="array" ref="O216">IFERROR(INDEX(DB!R$2:R$2576,X216),"")</f>
        <v/>
      </c>
      <c r="P216" s="100"/>
      <c r="Q216" s="102"/>
      <c r="R216" s="150"/>
      <c r="S216" s="43"/>
      <c r="T216" s="66" t="str" cm="1">
        <f t="array" ref="T216">IFERROR(_xlfn.AGGREGATE(15,6,ROW(DB!A$2:A$2576)/(((($D$3&lt;&gt;"YES")+($D$3="YES")*(DB!E$2:E$2576="YES"))*(($D$4="")+($D$4&lt;&gt;"")*ISNUMBER(SEARCH($D$4,DB!G$2:G$2576)))*(($D$5="")+($D$5&lt;&gt;"")*(DB!B$2:B$2576=$D$5))*(($D$6="")+($D$6&lt;&gt;"")*(DB!C$2:C$2576=$D$6))*(($D$7="")+($D$7&lt;&gt;"")*(DB!D$2:D$2576=$D$7))*(($F$4="전체")+($F$4&lt;&gt;"전체")*(DB!H$2:H$2576=$F$4)))),ROW()-16)-1,"")</f>
        <v/>
      </c>
      <c r="U216" s="104" t="str" cm="1">
        <f t="array" ref="U216">IFERROR(INDEX(DB!B$2:B$2576,T216),"")</f>
        <v/>
      </c>
      <c r="V216" s="105" t="str" cm="1">
        <f t="array" ref="V216">IFERROR(INDEX(DB!O$2:O$2576,T216),"")</f>
        <v/>
      </c>
      <c r="W216" s="106" t="str">
        <f t="shared" si="10"/>
        <v/>
      </c>
      <c r="X216" s="149" t="str">
        <f t="shared" si="11"/>
        <v/>
      </c>
      <c r="AB216" s="151"/>
      <c r="AC216" s="131"/>
      <c r="AE216" s="130"/>
      <c r="AF216" s="136"/>
      <c r="AH216" s="65"/>
      <c r="AI216" s="65"/>
      <c r="AJ216" s="65"/>
      <c r="AK216" s="65"/>
      <c r="AL216" s="65"/>
      <c r="AM216" s="65"/>
      <c r="AN216" s="65"/>
      <c r="BB216" s="11"/>
    </row>
    <row r="217" spans="1:54" ht="100" customHeight="1">
      <c r="A217" s="26"/>
      <c r="C217" s="43"/>
      <c r="E217" s="43"/>
      <c r="G217" s="43"/>
      <c r="I217" s="43"/>
      <c r="K217" s="43"/>
      <c r="M217" s="43"/>
      <c r="AY217" t="s">
        <v>2180</v>
      </c>
      <c r="AZ217">
        <v>50</v>
      </c>
      <c r="BA217">
        <v>11</v>
      </c>
      <c r="BB217" s="11">
        <v>4.2735042735042739E-3</v>
      </c>
    </row>
    <row r="218" spans="1:54" ht="100" customHeight="1">
      <c r="A218" s="26"/>
      <c r="C218" s="43"/>
      <c r="E218" s="43"/>
      <c r="G218" s="43"/>
      <c r="I218" s="43"/>
      <c r="K218" s="43"/>
      <c r="M218" s="43"/>
      <c r="AY218" t="s">
        <v>1722</v>
      </c>
      <c r="AZ218">
        <v>51</v>
      </c>
      <c r="BA218">
        <v>11</v>
      </c>
      <c r="BB218" s="11">
        <v>4.2735042735042739E-3</v>
      </c>
    </row>
    <row r="219" spans="1:54" ht="100" customHeight="1">
      <c r="A219" s="26"/>
      <c r="C219" s="43"/>
      <c r="E219" s="43"/>
      <c r="G219" s="43"/>
      <c r="I219" s="43"/>
      <c r="K219" s="43"/>
      <c r="M219" s="43"/>
      <c r="AY219" t="s">
        <v>1999</v>
      </c>
      <c r="AZ219">
        <v>52</v>
      </c>
      <c r="BA219">
        <v>11</v>
      </c>
      <c r="BB219" s="11">
        <v>4.2735042735042739E-3</v>
      </c>
    </row>
    <row r="220" spans="1:54" ht="100" customHeight="1">
      <c r="A220" s="26"/>
      <c r="C220" s="43"/>
      <c r="E220" s="43"/>
      <c r="G220" s="43"/>
      <c r="I220" s="43"/>
      <c r="K220" s="43"/>
      <c r="M220" s="43"/>
      <c r="AY220" t="s">
        <v>543</v>
      </c>
      <c r="AZ220">
        <v>53</v>
      </c>
      <c r="BA220">
        <v>8</v>
      </c>
      <c r="BB220" s="11">
        <v>3.108003108003108E-3</v>
      </c>
    </row>
    <row r="221" spans="1:54" ht="100" customHeight="1">
      <c r="A221" s="26"/>
      <c r="C221" s="43"/>
      <c r="E221" s="43"/>
      <c r="G221" s="43"/>
      <c r="I221" s="43"/>
      <c r="K221" s="43"/>
      <c r="M221" s="43"/>
      <c r="AY221" t="s">
        <v>2568</v>
      </c>
      <c r="AZ221">
        <v>54</v>
      </c>
      <c r="BA221">
        <v>7</v>
      </c>
      <c r="BB221" s="11">
        <v>2.7195027195027195E-3</v>
      </c>
    </row>
    <row r="222" spans="1:54" ht="100" customHeight="1">
      <c r="A222" s="26"/>
      <c r="C222" s="43"/>
      <c r="E222" s="43"/>
      <c r="G222" s="43"/>
      <c r="I222" s="43"/>
      <c r="K222" s="43"/>
      <c r="M222" s="43"/>
      <c r="AY222" t="s">
        <v>535</v>
      </c>
      <c r="AZ222">
        <v>55</v>
      </c>
      <c r="BA222">
        <v>6</v>
      </c>
      <c r="BB222" s="11">
        <v>2.331002331002331E-3</v>
      </c>
    </row>
    <row r="223" spans="1:54" ht="100" customHeight="1">
      <c r="A223" s="26"/>
      <c r="C223" s="43"/>
      <c r="E223" s="43"/>
      <c r="G223" s="43"/>
      <c r="I223" s="43"/>
      <c r="K223" s="43"/>
      <c r="M223" s="43"/>
      <c r="AY223" t="s">
        <v>1407</v>
      </c>
      <c r="AZ223">
        <v>56</v>
      </c>
      <c r="BA223">
        <v>5</v>
      </c>
      <c r="BB223" s="11">
        <v>1.9425019425019425E-3</v>
      </c>
    </row>
    <row r="224" spans="1:54" ht="100" customHeight="1">
      <c r="A224" s="26"/>
      <c r="C224" s="43"/>
      <c r="E224" s="43"/>
      <c r="G224" s="43"/>
      <c r="I224" s="43"/>
      <c r="K224" s="43"/>
      <c r="M224" s="43"/>
      <c r="AY224" t="s">
        <v>201</v>
      </c>
      <c r="AZ224">
        <v>57</v>
      </c>
      <c r="BA224">
        <v>4</v>
      </c>
      <c r="BB224" s="11">
        <v>1.554001554001554E-3</v>
      </c>
    </row>
    <row r="225" spans="1:54" ht="100" customHeight="1">
      <c r="A225" s="26"/>
      <c r="C225" s="43"/>
      <c r="E225" s="43"/>
      <c r="G225" s="43"/>
      <c r="I225" s="43"/>
      <c r="K225" s="43"/>
      <c r="M225" s="43"/>
      <c r="AY225" t="s">
        <v>3336</v>
      </c>
      <c r="AZ225">
        <v>58</v>
      </c>
      <c r="BA225">
        <v>3</v>
      </c>
      <c r="BB225" s="11">
        <v>1.1655011655011655E-3</v>
      </c>
    </row>
    <row r="226" spans="1:54" ht="100" customHeight="1">
      <c r="A226" s="26"/>
      <c r="C226" s="43"/>
      <c r="E226" s="43"/>
      <c r="G226" s="43"/>
      <c r="I226" s="43"/>
      <c r="K226" s="43"/>
      <c r="M226" s="43"/>
      <c r="AY226" t="s">
        <v>6216</v>
      </c>
      <c r="AZ226">
        <v>59</v>
      </c>
      <c r="BA226">
        <v>1</v>
      </c>
      <c r="BB226" s="11">
        <v>3.885003885003885E-4</v>
      </c>
    </row>
    <row r="227" spans="1:54" ht="100" customHeight="1">
      <c r="A227" s="26"/>
      <c r="C227" s="43"/>
      <c r="E227" s="43"/>
      <c r="G227" s="43"/>
      <c r="I227" s="43"/>
      <c r="K227" s="43"/>
      <c r="M227" s="43"/>
    </row>
    <row r="228" spans="1:54" ht="100" customHeight="1">
      <c r="A228" s="26"/>
      <c r="C228" s="43"/>
      <c r="E228" s="43"/>
      <c r="G228" s="43"/>
      <c r="I228" s="43"/>
      <c r="K228" s="43"/>
      <c r="M228" s="43"/>
    </row>
    <row r="229" spans="1:54" ht="100" customHeight="1">
      <c r="A229" s="26"/>
      <c r="C229" s="43"/>
      <c r="E229" s="43"/>
      <c r="G229" s="43"/>
      <c r="I229" s="43"/>
      <c r="K229" s="43"/>
      <c r="M229" s="43"/>
    </row>
    <row r="230" spans="1:54" ht="100" customHeight="1">
      <c r="A230" s="26"/>
      <c r="C230" s="43"/>
      <c r="E230" s="43"/>
      <c r="G230" s="43"/>
      <c r="I230" s="43"/>
      <c r="K230" s="43"/>
      <c r="M230" s="43"/>
    </row>
    <row r="231" spans="1:54" ht="100" customHeight="1">
      <c r="A231" s="26"/>
      <c r="C231" s="43"/>
      <c r="E231" s="43"/>
      <c r="G231" s="43"/>
      <c r="I231" s="43"/>
      <c r="K231" s="43"/>
      <c r="M231" s="43"/>
    </row>
    <row r="232" spans="1:54" ht="100" customHeight="1">
      <c r="A232" s="26"/>
      <c r="C232" s="43"/>
      <c r="E232" s="43"/>
      <c r="G232" s="43"/>
      <c r="I232" s="43"/>
      <c r="K232" s="43"/>
      <c r="M232" s="43"/>
    </row>
    <row r="233" spans="1:54" ht="100" customHeight="1">
      <c r="A233" s="26"/>
      <c r="C233" s="43"/>
      <c r="E233" s="43"/>
      <c r="G233" s="43"/>
      <c r="I233" s="43"/>
      <c r="K233" s="43"/>
      <c r="M233" s="43"/>
    </row>
    <row r="234" spans="1:54" ht="100" customHeight="1">
      <c r="A234" s="26"/>
      <c r="C234" s="43"/>
      <c r="E234" s="43"/>
      <c r="G234" s="43"/>
      <c r="I234" s="43"/>
      <c r="K234" s="43"/>
      <c r="M234" s="43"/>
    </row>
    <row r="235" spans="1:54" ht="100" customHeight="1">
      <c r="A235" s="26"/>
      <c r="C235" s="43"/>
      <c r="E235" s="43"/>
      <c r="G235" s="43"/>
      <c r="I235" s="43"/>
      <c r="K235" s="43"/>
      <c r="M235" s="43"/>
    </row>
    <row r="236" spans="1:54" ht="100" customHeight="1">
      <c r="A236" s="26"/>
      <c r="C236" s="43"/>
      <c r="E236" s="43"/>
      <c r="G236" s="43"/>
      <c r="I236" s="43"/>
      <c r="K236" s="43"/>
      <c r="M236" s="43"/>
    </row>
    <row r="237" spans="1:54" ht="100" customHeight="1">
      <c r="A237" s="26"/>
      <c r="C237" s="43"/>
      <c r="E237" s="43"/>
      <c r="G237" s="43"/>
      <c r="I237" s="43"/>
      <c r="K237" s="43"/>
      <c r="M237" s="43"/>
    </row>
    <row r="238" spans="1:54" ht="100" customHeight="1">
      <c r="A238" s="26"/>
      <c r="C238" s="43"/>
      <c r="E238" s="43"/>
      <c r="G238" s="43"/>
      <c r="I238" s="43"/>
      <c r="K238" s="43"/>
      <c r="M238" s="43"/>
    </row>
    <row r="239" spans="1:54" ht="100" customHeight="1">
      <c r="A239" s="26"/>
      <c r="C239" s="43"/>
      <c r="E239" s="43"/>
      <c r="G239" s="43"/>
      <c r="I239" s="43"/>
      <c r="K239" s="43"/>
      <c r="M239" s="43"/>
    </row>
    <row r="240" spans="1:54" ht="100" customHeight="1">
      <c r="A240" s="26"/>
      <c r="C240" s="43"/>
      <c r="E240" s="43"/>
      <c r="G240" s="43"/>
      <c r="I240" s="43"/>
      <c r="K240" s="43"/>
      <c r="M240" s="43"/>
    </row>
    <row r="241" spans="1:13" ht="100" customHeight="1">
      <c r="A241" s="26"/>
      <c r="C241" s="43"/>
      <c r="E241" s="43"/>
      <c r="G241" s="43"/>
      <c r="I241" s="43"/>
      <c r="K241" s="43"/>
      <c r="M241" s="43"/>
    </row>
    <row r="242" spans="1:13" ht="100" customHeight="1">
      <c r="A242" s="26"/>
      <c r="C242" s="43"/>
      <c r="E242" s="43"/>
      <c r="G242" s="43"/>
      <c r="I242" s="43"/>
      <c r="K242" s="43"/>
      <c r="M242" s="43"/>
    </row>
    <row r="243" spans="1:13" ht="100" customHeight="1">
      <c r="A243" s="26"/>
      <c r="C243" s="43"/>
      <c r="E243" s="43"/>
      <c r="G243" s="43"/>
      <c r="I243" s="43"/>
      <c r="K243" s="43"/>
      <c r="M243" s="43"/>
    </row>
    <row r="244" spans="1:13" ht="100" customHeight="1">
      <c r="A244" s="26"/>
      <c r="C244" s="43"/>
      <c r="E244" s="43"/>
      <c r="G244" s="43"/>
      <c r="I244" s="43"/>
      <c r="K244" s="43"/>
      <c r="M244" s="43"/>
    </row>
    <row r="245" spans="1:13" ht="100" customHeight="1">
      <c r="A245" s="26"/>
      <c r="C245" s="43"/>
      <c r="E245" s="43"/>
      <c r="G245" s="43"/>
      <c r="I245" s="43"/>
      <c r="K245" s="43"/>
      <c r="M245" s="43"/>
    </row>
    <row r="246" spans="1:13" ht="100" customHeight="1">
      <c r="A246" s="26"/>
      <c r="C246" s="43"/>
      <c r="E246" s="43"/>
      <c r="G246" s="43"/>
      <c r="I246" s="43"/>
      <c r="K246" s="43"/>
      <c r="M246" s="43"/>
    </row>
    <row r="247" spans="1:13" ht="100" customHeight="1">
      <c r="A247" s="26"/>
      <c r="C247" s="43"/>
      <c r="E247" s="43"/>
      <c r="G247" s="43"/>
      <c r="I247" s="43"/>
      <c r="K247" s="43"/>
      <c r="M247" s="43"/>
    </row>
    <row r="248" spans="1:13" ht="100" customHeight="1">
      <c r="A248" s="26"/>
      <c r="C248" s="43"/>
      <c r="E248" s="43"/>
      <c r="G248" s="43"/>
      <c r="I248" s="43"/>
      <c r="K248" s="43"/>
      <c r="M248" s="43"/>
    </row>
    <row r="249" spans="1:13" ht="100" customHeight="1">
      <c r="A249" s="26"/>
      <c r="C249" s="43"/>
      <c r="E249" s="43"/>
      <c r="G249" s="43"/>
      <c r="I249" s="43"/>
      <c r="K249" s="43"/>
      <c r="M249" s="43"/>
    </row>
    <row r="250" spans="1:13" ht="100" customHeight="1">
      <c r="A250" s="26"/>
      <c r="C250" s="43"/>
      <c r="E250" s="43"/>
      <c r="G250" s="43"/>
      <c r="I250" s="43"/>
      <c r="K250" s="43"/>
      <c r="M250" s="43"/>
    </row>
    <row r="251" spans="1:13" ht="100" customHeight="1">
      <c r="A251" s="26"/>
      <c r="C251" s="43"/>
      <c r="E251" s="43"/>
      <c r="G251" s="43"/>
      <c r="I251" s="43"/>
      <c r="K251" s="43"/>
      <c r="M251" s="43"/>
    </row>
    <row r="252" spans="1:13" ht="100" customHeight="1">
      <c r="A252" s="26"/>
      <c r="C252" s="43"/>
      <c r="E252" s="43"/>
      <c r="G252" s="43"/>
      <c r="I252" s="43"/>
      <c r="K252" s="43"/>
      <c r="M252" s="43"/>
    </row>
    <row r="253" spans="1:13" ht="100" customHeight="1">
      <c r="A253" s="26"/>
      <c r="C253" s="43"/>
      <c r="E253" s="43"/>
      <c r="G253" s="43"/>
      <c r="I253" s="43"/>
      <c r="K253" s="43"/>
      <c r="M253" s="43"/>
    </row>
    <row r="254" spans="1:13" ht="100" customHeight="1">
      <c r="A254" s="26"/>
      <c r="C254" s="43"/>
      <c r="E254" s="43"/>
      <c r="G254" s="43"/>
      <c r="I254" s="43"/>
      <c r="K254" s="43"/>
      <c r="M254" s="43"/>
    </row>
    <row r="255" spans="1:13" ht="100" customHeight="1">
      <c r="A255" s="26"/>
      <c r="C255" s="43"/>
      <c r="E255" s="43"/>
      <c r="G255" s="43"/>
      <c r="I255" s="43"/>
      <c r="K255" s="43"/>
      <c r="M255" s="43"/>
    </row>
    <row r="256" spans="1:13" ht="100" customHeight="1">
      <c r="A256" s="26"/>
      <c r="C256" s="43"/>
      <c r="E256" s="43"/>
      <c r="G256" s="43"/>
      <c r="I256" s="43"/>
      <c r="K256" s="43"/>
      <c r="M256" s="43"/>
    </row>
    <row r="257" spans="1:13" ht="100" customHeight="1">
      <c r="A257" s="26"/>
      <c r="C257" s="43"/>
      <c r="E257" s="43"/>
      <c r="G257" s="43"/>
      <c r="I257" s="43"/>
      <c r="K257" s="43"/>
      <c r="M257" s="43"/>
    </row>
    <row r="258" spans="1:13" ht="100" customHeight="1">
      <c r="A258" s="26"/>
      <c r="C258" s="43"/>
      <c r="E258" s="43"/>
      <c r="G258" s="43"/>
      <c r="I258" s="43"/>
      <c r="K258" s="43"/>
      <c r="M258" s="43"/>
    </row>
    <row r="259" spans="1:13" ht="100" customHeight="1">
      <c r="A259" s="26"/>
      <c r="C259" s="43"/>
      <c r="E259" s="43"/>
      <c r="G259" s="43"/>
      <c r="I259" s="43"/>
      <c r="K259" s="43"/>
      <c r="M259" s="43"/>
    </row>
    <row r="260" spans="1:13" ht="100" customHeight="1">
      <c r="A260" s="26"/>
      <c r="C260" s="43"/>
      <c r="E260" s="43"/>
      <c r="G260" s="43"/>
      <c r="I260" s="43"/>
      <c r="K260" s="43"/>
      <c r="M260" s="43"/>
    </row>
    <row r="261" spans="1:13" ht="100" customHeight="1">
      <c r="A261" s="26"/>
      <c r="C261" s="43"/>
      <c r="E261" s="43"/>
      <c r="G261" s="43"/>
      <c r="I261" s="43"/>
      <c r="K261" s="43"/>
      <c r="M261" s="43"/>
    </row>
    <row r="262" spans="1:13" ht="100" customHeight="1">
      <c r="A262" s="26"/>
      <c r="C262" s="43"/>
      <c r="E262" s="43"/>
      <c r="G262" s="43"/>
      <c r="I262" s="43"/>
      <c r="K262" s="43"/>
      <c r="M262" s="43"/>
    </row>
    <row r="263" spans="1:13" ht="100" customHeight="1">
      <c r="A263" s="26"/>
      <c r="C263" s="43"/>
      <c r="E263" s="43"/>
      <c r="G263" s="43"/>
      <c r="I263" s="43"/>
      <c r="K263" s="43"/>
      <c r="M263" s="43"/>
    </row>
    <row r="264" spans="1:13" ht="100" customHeight="1">
      <c r="A264" s="26"/>
      <c r="C264" s="43"/>
      <c r="E264" s="43"/>
      <c r="G264" s="43"/>
      <c r="I264" s="43"/>
      <c r="K264" s="43"/>
      <c r="M264" s="43"/>
    </row>
    <row r="265" spans="1:13" ht="100" customHeight="1">
      <c r="A265" s="26"/>
      <c r="C265" s="43"/>
      <c r="E265" s="43"/>
      <c r="G265" s="43"/>
      <c r="I265" s="43"/>
      <c r="K265" s="43"/>
      <c r="M265" s="43"/>
    </row>
    <row r="266" spans="1:13" ht="100" customHeight="1">
      <c r="A266" s="26"/>
      <c r="C266" s="43"/>
      <c r="E266" s="43"/>
      <c r="G266" s="43"/>
      <c r="I266" s="43"/>
      <c r="K266" s="43"/>
      <c r="M266" s="43"/>
    </row>
    <row r="267" spans="1:13" ht="100" customHeight="1">
      <c r="A267" s="26"/>
      <c r="C267" s="43"/>
      <c r="E267" s="43"/>
      <c r="G267" s="43"/>
      <c r="I267" s="43"/>
      <c r="K267" s="43"/>
      <c r="M267" s="43"/>
    </row>
    <row r="268" spans="1:13" ht="100" customHeight="1">
      <c r="A268" s="26"/>
      <c r="C268" s="43"/>
      <c r="E268" s="43"/>
      <c r="G268" s="43"/>
      <c r="I268" s="43"/>
      <c r="K268" s="43"/>
      <c r="M268" s="43"/>
    </row>
    <row r="269" spans="1:13" ht="100" customHeight="1">
      <c r="A269" s="26"/>
      <c r="C269" s="43"/>
      <c r="E269" s="43"/>
      <c r="G269" s="43"/>
      <c r="I269" s="43"/>
      <c r="K269" s="43"/>
      <c r="M269" s="43"/>
    </row>
    <row r="270" spans="1:13" ht="100" customHeight="1">
      <c r="A270" s="26"/>
      <c r="C270" s="43"/>
      <c r="E270" s="43"/>
      <c r="G270" s="43"/>
      <c r="I270" s="43"/>
      <c r="K270" s="43"/>
      <c r="M270" s="43"/>
    </row>
    <row r="271" spans="1:13" ht="100" customHeight="1">
      <c r="A271" s="26"/>
      <c r="C271" s="43"/>
      <c r="E271" s="43"/>
      <c r="G271" s="43"/>
      <c r="I271" s="43"/>
      <c r="K271" s="43"/>
      <c r="M271" s="43"/>
    </row>
    <row r="272" spans="1:13" ht="100" customHeight="1">
      <c r="A272" s="26"/>
      <c r="C272" s="43"/>
      <c r="E272" s="43"/>
      <c r="G272" s="43"/>
      <c r="I272" s="43"/>
      <c r="K272" s="43"/>
      <c r="M272" s="43"/>
    </row>
    <row r="273" spans="1:13" ht="100" customHeight="1">
      <c r="A273" s="26"/>
      <c r="C273" s="43"/>
      <c r="E273" s="43"/>
      <c r="G273" s="43"/>
      <c r="I273" s="43"/>
      <c r="K273" s="43"/>
      <c r="M273" s="43"/>
    </row>
    <row r="274" spans="1:13" ht="100" customHeight="1">
      <c r="A274" s="26"/>
      <c r="C274" s="43"/>
      <c r="E274" s="43"/>
      <c r="G274" s="43"/>
      <c r="I274" s="43"/>
      <c r="K274" s="43"/>
      <c r="M274" s="43"/>
    </row>
    <row r="275" spans="1:13" ht="100" customHeight="1">
      <c r="A275" s="26"/>
      <c r="C275" s="43"/>
      <c r="E275" s="43"/>
      <c r="G275" s="43"/>
      <c r="I275" s="43"/>
      <c r="K275" s="43"/>
      <c r="M275" s="43"/>
    </row>
    <row r="276" spans="1:13" ht="100" customHeight="1">
      <c r="A276" s="26"/>
      <c r="C276" s="43"/>
      <c r="E276" s="43"/>
      <c r="G276" s="43"/>
      <c r="I276" s="43"/>
      <c r="K276" s="43"/>
      <c r="M276" s="43"/>
    </row>
    <row r="277" spans="1:13" ht="100" customHeight="1">
      <c r="A277" s="26"/>
      <c r="C277" s="43"/>
      <c r="E277" s="43"/>
      <c r="G277" s="43"/>
      <c r="I277" s="43"/>
      <c r="K277" s="43"/>
      <c r="M277" s="43"/>
    </row>
    <row r="278" spans="1:13" ht="100" customHeight="1">
      <c r="A278" s="26"/>
      <c r="C278" s="43"/>
      <c r="E278" s="43"/>
      <c r="G278" s="43"/>
      <c r="I278" s="43"/>
      <c r="K278" s="43"/>
      <c r="M278" s="43"/>
    </row>
    <row r="279" spans="1:13" ht="100" customHeight="1">
      <c r="A279" s="26"/>
      <c r="C279" s="43"/>
      <c r="E279" s="43"/>
      <c r="G279" s="43"/>
      <c r="I279" s="43"/>
      <c r="K279" s="43"/>
      <c r="M279" s="43"/>
    </row>
    <row r="280" spans="1:13" ht="100" customHeight="1">
      <c r="A280" s="26"/>
      <c r="C280" s="43"/>
      <c r="E280" s="43"/>
      <c r="G280" s="43"/>
      <c r="I280" s="43"/>
      <c r="K280" s="43"/>
      <c r="M280" s="43"/>
    </row>
    <row r="281" spans="1:13" ht="100" customHeight="1">
      <c r="A281" s="26"/>
      <c r="C281" s="43"/>
      <c r="E281" s="43"/>
      <c r="G281" s="43"/>
      <c r="I281" s="43"/>
      <c r="K281" s="43"/>
      <c r="M281" s="43"/>
    </row>
    <row r="282" spans="1:13" ht="100" customHeight="1">
      <c r="A282" s="26"/>
      <c r="C282" s="43"/>
      <c r="E282" s="43"/>
      <c r="G282" s="43"/>
      <c r="I282" s="43"/>
      <c r="K282" s="43"/>
      <c r="M282" s="43"/>
    </row>
    <row r="283" spans="1:13" ht="100" customHeight="1">
      <c r="A283" s="26"/>
      <c r="C283" s="43"/>
      <c r="E283" s="43"/>
      <c r="G283" s="43"/>
      <c r="I283" s="43"/>
      <c r="K283" s="43"/>
      <c r="M283" s="43"/>
    </row>
    <row r="284" spans="1:13" ht="100" customHeight="1">
      <c r="A284" s="26"/>
      <c r="C284" s="43"/>
      <c r="E284" s="43"/>
      <c r="G284" s="43"/>
      <c r="I284" s="43"/>
      <c r="K284" s="43"/>
      <c r="M284" s="43"/>
    </row>
    <row r="285" spans="1:13" ht="100" customHeight="1">
      <c r="A285" s="26"/>
      <c r="C285" s="43"/>
      <c r="E285" s="43"/>
      <c r="G285" s="43"/>
      <c r="I285" s="43"/>
      <c r="K285" s="43"/>
      <c r="M285" s="43"/>
    </row>
    <row r="286" spans="1:13" ht="100" customHeight="1">
      <c r="A286" s="26"/>
      <c r="C286" s="43"/>
      <c r="E286" s="43"/>
      <c r="G286" s="43"/>
      <c r="I286" s="43"/>
      <c r="K286" s="43"/>
      <c r="M286" s="43"/>
    </row>
    <row r="287" spans="1:13" ht="100" customHeight="1">
      <c r="A287" s="26"/>
      <c r="C287" s="43"/>
      <c r="E287" s="43"/>
      <c r="G287" s="43"/>
      <c r="I287" s="43"/>
      <c r="K287" s="43"/>
      <c r="M287" s="43"/>
    </row>
    <row r="288" spans="1:13" ht="100" customHeight="1">
      <c r="A288" s="26"/>
      <c r="C288" s="43"/>
      <c r="E288" s="43"/>
      <c r="G288" s="43"/>
      <c r="I288" s="43"/>
      <c r="K288" s="43"/>
      <c r="M288" s="43"/>
    </row>
    <row r="289" spans="1:13" ht="100" customHeight="1">
      <c r="A289" s="26"/>
      <c r="C289" s="43"/>
      <c r="E289" s="43"/>
      <c r="G289" s="43"/>
      <c r="I289" s="43"/>
      <c r="K289" s="43"/>
      <c r="M289" s="43"/>
    </row>
    <row r="290" spans="1:13" ht="100" customHeight="1">
      <c r="A290" s="26"/>
      <c r="C290" s="43"/>
      <c r="E290" s="43"/>
      <c r="G290" s="43"/>
      <c r="I290" s="43"/>
      <c r="K290" s="43"/>
      <c r="M290" s="43"/>
    </row>
    <row r="291" spans="1:13" ht="100" customHeight="1">
      <c r="A291" s="26"/>
      <c r="C291" s="43"/>
      <c r="E291" s="43"/>
      <c r="G291" s="43"/>
      <c r="I291" s="43"/>
      <c r="K291" s="43"/>
      <c r="M291" s="43"/>
    </row>
    <row r="292" spans="1:13" ht="100" customHeight="1">
      <c r="A292" s="26"/>
      <c r="C292" s="43"/>
      <c r="E292" s="43"/>
      <c r="G292" s="43"/>
      <c r="I292" s="43"/>
      <c r="K292" s="43"/>
      <c r="M292" s="43"/>
    </row>
    <row r="293" spans="1:13" ht="100" customHeight="1">
      <c r="A293" s="26"/>
      <c r="C293" s="43"/>
      <c r="E293" s="43"/>
      <c r="G293" s="43"/>
      <c r="I293" s="43"/>
      <c r="K293" s="43"/>
      <c r="M293" s="43"/>
    </row>
    <row r="294" spans="1:13" ht="100" customHeight="1">
      <c r="A294" s="26"/>
      <c r="C294" s="43"/>
      <c r="E294" s="43"/>
      <c r="G294" s="43"/>
      <c r="I294" s="43"/>
      <c r="K294" s="43"/>
      <c r="M294" s="43"/>
    </row>
    <row r="295" spans="1:13" ht="100" customHeight="1">
      <c r="A295" s="26"/>
      <c r="C295" s="43"/>
      <c r="E295" s="43"/>
      <c r="G295" s="43"/>
      <c r="I295" s="43"/>
      <c r="K295" s="43"/>
      <c r="M295" s="43"/>
    </row>
    <row r="296" spans="1:13" ht="100" customHeight="1">
      <c r="A296" s="26"/>
      <c r="C296" s="43"/>
      <c r="E296" s="43"/>
      <c r="G296" s="43"/>
      <c r="I296" s="43"/>
      <c r="K296" s="43"/>
      <c r="M296" s="43"/>
    </row>
    <row r="297" spans="1:13" ht="100" customHeight="1">
      <c r="A297" s="26"/>
      <c r="C297" s="43"/>
      <c r="E297" s="43"/>
      <c r="G297" s="43"/>
      <c r="I297" s="43"/>
      <c r="K297" s="43"/>
      <c r="M297" s="43"/>
    </row>
    <row r="298" spans="1:13" ht="100" customHeight="1">
      <c r="A298" s="26"/>
      <c r="C298" s="43"/>
      <c r="E298" s="43"/>
      <c r="G298" s="43"/>
      <c r="I298" s="43"/>
      <c r="K298" s="43"/>
      <c r="M298" s="43"/>
    </row>
    <row r="299" spans="1:13" ht="100" customHeight="1">
      <c r="A299" s="26"/>
      <c r="C299" s="43"/>
      <c r="E299" s="43"/>
      <c r="G299" s="43"/>
      <c r="I299" s="43"/>
      <c r="K299" s="43"/>
      <c r="M299" s="43"/>
    </row>
    <row r="300" spans="1:13" ht="100" customHeight="1">
      <c r="A300" s="26"/>
      <c r="C300" s="43"/>
      <c r="E300" s="43"/>
      <c r="G300" s="43"/>
      <c r="I300" s="43"/>
      <c r="K300" s="43"/>
      <c r="M300" s="43"/>
    </row>
    <row r="301" spans="1:13" ht="100" customHeight="1">
      <c r="A301" s="26"/>
      <c r="C301" s="43"/>
      <c r="E301" s="43"/>
      <c r="G301" s="43"/>
      <c r="I301" s="43"/>
      <c r="K301" s="43"/>
      <c r="M301" s="43"/>
    </row>
    <row r="302" spans="1:13" ht="100" customHeight="1">
      <c r="A302" s="26"/>
      <c r="C302" s="43"/>
      <c r="E302" s="43"/>
      <c r="G302" s="43"/>
      <c r="I302" s="43"/>
      <c r="K302" s="43"/>
      <c r="M302" s="43"/>
    </row>
    <row r="303" spans="1:13" ht="100" customHeight="1">
      <c r="A303" s="26"/>
      <c r="C303" s="43"/>
      <c r="E303" s="43"/>
      <c r="G303" s="43"/>
      <c r="I303" s="43"/>
      <c r="K303" s="43"/>
      <c r="M303" s="43"/>
    </row>
    <row r="304" spans="1:13" ht="100" customHeight="1">
      <c r="A304" s="26"/>
      <c r="C304" s="43"/>
      <c r="E304" s="43"/>
      <c r="G304" s="43"/>
      <c r="I304" s="43"/>
      <c r="K304" s="43"/>
      <c r="M304" s="43"/>
    </row>
    <row r="305" spans="1:13" ht="100" customHeight="1">
      <c r="A305" s="26"/>
      <c r="C305" s="43"/>
      <c r="E305" s="43"/>
      <c r="G305" s="43"/>
      <c r="I305" s="43"/>
      <c r="K305" s="43"/>
      <c r="M305" s="43"/>
    </row>
    <row r="306" spans="1:13" ht="100" customHeight="1">
      <c r="A306" s="26"/>
      <c r="C306" s="43"/>
      <c r="E306" s="43"/>
      <c r="G306" s="43"/>
      <c r="I306" s="43"/>
      <c r="K306" s="43"/>
      <c r="M306" s="43"/>
    </row>
    <row r="307" spans="1:13" ht="100" customHeight="1">
      <c r="A307" s="26"/>
      <c r="C307" s="43"/>
      <c r="E307" s="43"/>
      <c r="G307" s="43"/>
      <c r="I307" s="43"/>
      <c r="K307" s="43"/>
      <c r="M307" s="43"/>
    </row>
    <row r="308" spans="1:13" ht="100" customHeight="1">
      <c r="A308" s="26"/>
      <c r="C308" s="43"/>
      <c r="E308" s="43"/>
      <c r="G308" s="43"/>
      <c r="I308" s="43"/>
      <c r="K308" s="43"/>
      <c r="M308" s="43"/>
    </row>
    <row r="309" spans="1:13" ht="100" customHeight="1">
      <c r="A309" s="26"/>
      <c r="C309" s="43"/>
      <c r="E309" s="43"/>
      <c r="G309" s="43"/>
      <c r="I309" s="43"/>
      <c r="K309" s="43"/>
      <c r="M309" s="43"/>
    </row>
    <row r="310" spans="1:13" ht="100" customHeight="1">
      <c r="A310" s="26"/>
      <c r="C310" s="43"/>
      <c r="E310" s="43"/>
      <c r="G310" s="43"/>
      <c r="I310" s="43"/>
      <c r="K310" s="43"/>
      <c r="M310" s="43"/>
    </row>
    <row r="311" spans="1:13" ht="100" customHeight="1">
      <c r="A311" s="26"/>
      <c r="C311" s="43"/>
      <c r="E311" s="43"/>
      <c r="G311" s="43"/>
      <c r="I311" s="43"/>
      <c r="K311" s="43"/>
      <c r="M311" s="43"/>
    </row>
    <row r="312" spans="1:13" ht="100" customHeight="1">
      <c r="A312" s="26"/>
      <c r="C312" s="43"/>
      <c r="E312" s="43"/>
      <c r="G312" s="43"/>
      <c r="I312" s="43"/>
      <c r="K312" s="43"/>
      <c r="M312" s="43"/>
    </row>
    <row r="313" spans="1:13" ht="100" customHeight="1">
      <c r="A313" s="26"/>
      <c r="C313" s="43"/>
      <c r="E313" s="43"/>
      <c r="G313" s="43"/>
      <c r="I313" s="43"/>
      <c r="K313" s="43"/>
      <c r="M313" s="43"/>
    </row>
    <row r="314" spans="1:13" ht="100" customHeight="1">
      <c r="A314" s="26"/>
      <c r="C314" s="43"/>
      <c r="E314" s="43"/>
      <c r="G314" s="43"/>
      <c r="I314" s="43"/>
      <c r="K314" s="43"/>
      <c r="M314" s="43"/>
    </row>
    <row r="315" spans="1:13" ht="100" customHeight="1">
      <c r="A315" s="26"/>
      <c r="C315" s="43"/>
      <c r="E315" s="43"/>
      <c r="G315" s="43"/>
      <c r="I315" s="43"/>
      <c r="K315" s="43"/>
      <c r="M315" s="43"/>
    </row>
    <row r="316" spans="1:13" ht="100" customHeight="1">
      <c r="A316" s="26"/>
      <c r="C316" s="43"/>
      <c r="E316" s="43"/>
      <c r="G316" s="43"/>
      <c r="I316" s="43"/>
      <c r="K316" s="43"/>
      <c r="M316" s="43"/>
    </row>
    <row r="317" spans="1:13" ht="100" customHeight="1">
      <c r="A317" s="26"/>
      <c r="C317" s="43"/>
      <c r="E317" s="43"/>
      <c r="G317" s="43"/>
      <c r="I317" s="43"/>
      <c r="K317" s="43"/>
      <c r="M317" s="43"/>
    </row>
    <row r="318" spans="1:13" ht="100" customHeight="1">
      <c r="A318" s="26"/>
      <c r="C318" s="43"/>
      <c r="E318" s="43"/>
      <c r="G318" s="43"/>
      <c r="I318" s="43"/>
      <c r="K318" s="43"/>
      <c r="M318" s="43"/>
    </row>
    <row r="319" spans="1:13" ht="100" customHeight="1">
      <c r="A319" s="26"/>
      <c r="C319" s="43"/>
      <c r="E319" s="43"/>
      <c r="G319" s="43"/>
      <c r="I319" s="43"/>
      <c r="K319" s="43"/>
      <c r="M319" s="43"/>
    </row>
    <row r="320" spans="1:13" ht="100" customHeight="1">
      <c r="A320" s="26"/>
      <c r="C320" s="43"/>
      <c r="E320" s="43"/>
      <c r="G320" s="43"/>
      <c r="I320" s="43"/>
      <c r="K320" s="43"/>
      <c r="M320" s="43"/>
    </row>
    <row r="321" spans="1:13" ht="100" customHeight="1">
      <c r="A321" s="26"/>
      <c r="C321" s="43"/>
      <c r="E321" s="43"/>
      <c r="G321" s="43"/>
      <c r="I321" s="43"/>
      <c r="K321" s="43"/>
      <c r="M321" s="43"/>
    </row>
    <row r="322" spans="1:13" ht="100" customHeight="1">
      <c r="A322" s="26"/>
      <c r="C322" s="43"/>
      <c r="E322" s="43"/>
      <c r="G322" s="43"/>
      <c r="I322" s="43"/>
      <c r="K322" s="43"/>
      <c r="M322" s="43"/>
    </row>
    <row r="323" spans="1:13" ht="100" customHeight="1">
      <c r="A323" s="26"/>
      <c r="C323" s="43"/>
      <c r="E323" s="43"/>
      <c r="G323" s="43"/>
      <c r="I323" s="43"/>
      <c r="K323" s="43"/>
      <c r="M323" s="43"/>
    </row>
    <row r="324" spans="1:13" ht="100" customHeight="1">
      <c r="A324" s="26"/>
      <c r="C324" s="43"/>
      <c r="E324" s="43"/>
      <c r="G324" s="43"/>
      <c r="I324" s="43"/>
      <c r="K324" s="43"/>
      <c r="M324" s="43"/>
    </row>
    <row r="325" spans="1:13" ht="100" customHeight="1">
      <c r="A325" s="26"/>
      <c r="C325" s="43"/>
      <c r="E325" s="43"/>
      <c r="G325" s="43"/>
      <c r="I325" s="43"/>
      <c r="K325" s="43"/>
      <c r="M325" s="43"/>
    </row>
    <row r="326" spans="1:13" ht="100" customHeight="1">
      <c r="A326" s="26"/>
      <c r="C326" s="43"/>
      <c r="E326" s="43"/>
      <c r="G326" s="43"/>
      <c r="I326" s="43"/>
      <c r="K326" s="43"/>
      <c r="M326" s="43"/>
    </row>
    <row r="327" spans="1:13" ht="100" customHeight="1">
      <c r="A327" s="26"/>
      <c r="C327" s="43"/>
      <c r="E327" s="43"/>
      <c r="G327" s="43"/>
      <c r="I327" s="43"/>
      <c r="K327" s="43"/>
      <c r="M327" s="43"/>
    </row>
    <row r="328" spans="1:13" ht="100" customHeight="1">
      <c r="A328" s="26"/>
      <c r="C328" s="43"/>
      <c r="E328" s="43"/>
      <c r="G328" s="43"/>
      <c r="I328" s="43"/>
      <c r="K328" s="43"/>
      <c r="M328" s="43"/>
    </row>
    <row r="329" spans="1:13" ht="100" customHeight="1">
      <c r="A329" s="26"/>
      <c r="C329" s="43"/>
      <c r="E329" s="43"/>
      <c r="G329" s="43"/>
      <c r="I329" s="43"/>
      <c r="K329" s="43"/>
      <c r="M329" s="43"/>
    </row>
    <row r="330" spans="1:13" ht="100" customHeight="1">
      <c r="A330" s="26"/>
      <c r="C330" s="43"/>
      <c r="E330" s="43"/>
      <c r="G330" s="43"/>
      <c r="I330" s="43"/>
      <c r="K330" s="43"/>
      <c r="M330" s="43"/>
    </row>
    <row r="331" spans="1:13" ht="100" customHeight="1">
      <c r="A331" s="26"/>
      <c r="C331" s="43"/>
      <c r="E331" s="43"/>
      <c r="G331" s="43"/>
      <c r="I331" s="43"/>
      <c r="K331" s="43"/>
      <c r="M331" s="43"/>
    </row>
    <row r="332" spans="1:13" ht="100" customHeight="1">
      <c r="A332" s="26"/>
      <c r="C332" s="43"/>
      <c r="E332" s="43"/>
      <c r="G332" s="43"/>
      <c r="I332" s="43"/>
      <c r="K332" s="43"/>
      <c r="M332" s="43"/>
    </row>
    <row r="333" spans="1:13" ht="100" customHeight="1">
      <c r="A333" s="26"/>
      <c r="C333" s="43"/>
      <c r="E333" s="43"/>
      <c r="G333" s="43"/>
      <c r="I333" s="43"/>
      <c r="K333" s="43"/>
      <c r="M333" s="43"/>
    </row>
    <row r="334" spans="1:13" ht="100" customHeight="1">
      <c r="A334" s="26"/>
      <c r="C334" s="43"/>
      <c r="E334" s="43"/>
      <c r="G334" s="43"/>
      <c r="I334" s="43"/>
      <c r="K334" s="43"/>
      <c r="M334" s="43"/>
    </row>
    <row r="335" spans="1:13" ht="100" customHeight="1">
      <c r="A335" s="26"/>
      <c r="C335" s="43"/>
      <c r="E335" s="43"/>
      <c r="G335" s="43"/>
      <c r="I335" s="43"/>
      <c r="K335" s="43"/>
      <c r="M335" s="43"/>
    </row>
    <row r="336" spans="1:13" ht="100" customHeight="1">
      <c r="A336" s="26"/>
      <c r="C336" s="43"/>
      <c r="E336" s="43"/>
      <c r="G336" s="43"/>
      <c r="I336" s="43"/>
      <c r="K336" s="43"/>
      <c r="M336" s="43"/>
    </row>
    <row r="337" spans="1:13" ht="100" customHeight="1">
      <c r="A337" s="26"/>
      <c r="C337" s="43"/>
      <c r="E337" s="43"/>
      <c r="G337" s="43"/>
      <c r="I337" s="43"/>
      <c r="K337" s="43"/>
      <c r="M337" s="43"/>
    </row>
    <row r="338" spans="1:13" ht="100" customHeight="1">
      <c r="A338" s="26"/>
      <c r="C338" s="43"/>
      <c r="E338" s="43"/>
      <c r="G338" s="43"/>
      <c r="I338" s="43"/>
      <c r="K338" s="43"/>
      <c r="M338" s="43"/>
    </row>
    <row r="339" spans="1:13" ht="100" customHeight="1">
      <c r="A339" s="26"/>
      <c r="C339" s="43"/>
      <c r="E339" s="43"/>
      <c r="G339" s="43"/>
      <c r="I339" s="43"/>
      <c r="K339" s="43"/>
      <c r="M339" s="43"/>
    </row>
    <row r="340" spans="1:13" ht="100" customHeight="1">
      <c r="A340" s="26"/>
      <c r="C340" s="43"/>
      <c r="E340" s="43"/>
      <c r="G340" s="43"/>
      <c r="I340" s="43"/>
      <c r="K340" s="43"/>
      <c r="M340" s="43"/>
    </row>
    <row r="341" spans="1:13" ht="100" customHeight="1">
      <c r="A341" s="26"/>
      <c r="C341" s="43"/>
      <c r="E341" s="43"/>
      <c r="G341" s="43"/>
      <c r="I341" s="43"/>
      <c r="K341" s="43"/>
      <c r="M341" s="43"/>
    </row>
    <row r="342" spans="1:13" ht="100" customHeight="1">
      <c r="A342" s="26"/>
      <c r="C342" s="43"/>
      <c r="E342" s="43"/>
      <c r="G342" s="43"/>
      <c r="I342" s="43"/>
      <c r="K342" s="43"/>
      <c r="M342" s="43"/>
    </row>
    <row r="343" spans="1:13" ht="100" customHeight="1">
      <c r="A343" s="26"/>
      <c r="C343" s="43"/>
      <c r="E343" s="43"/>
      <c r="G343" s="43"/>
      <c r="I343" s="43"/>
      <c r="K343" s="43"/>
      <c r="M343" s="43"/>
    </row>
    <row r="344" spans="1:13" ht="100" customHeight="1">
      <c r="A344" s="26"/>
      <c r="C344" s="43"/>
      <c r="E344" s="43"/>
      <c r="G344" s="43"/>
      <c r="I344" s="43"/>
      <c r="K344" s="43"/>
      <c r="M344" s="43"/>
    </row>
    <row r="345" spans="1:13" ht="100" customHeight="1">
      <c r="A345" s="26"/>
      <c r="C345" s="43"/>
      <c r="E345" s="43"/>
      <c r="G345" s="43"/>
      <c r="I345" s="43"/>
      <c r="K345" s="43"/>
      <c r="M345" s="43"/>
    </row>
    <row r="346" spans="1:13" ht="100" customHeight="1">
      <c r="A346" s="26"/>
      <c r="C346" s="43"/>
      <c r="E346" s="43"/>
      <c r="G346" s="43"/>
      <c r="I346" s="43"/>
      <c r="K346" s="43"/>
      <c r="M346" s="43"/>
    </row>
    <row r="347" spans="1:13" ht="100" customHeight="1">
      <c r="A347" s="26"/>
      <c r="C347" s="43"/>
      <c r="E347" s="43"/>
      <c r="G347" s="43"/>
      <c r="I347" s="43"/>
      <c r="K347" s="43"/>
      <c r="M347" s="43"/>
    </row>
    <row r="348" spans="1:13" ht="100" customHeight="1">
      <c r="A348" s="26"/>
      <c r="C348" s="43"/>
      <c r="E348" s="43"/>
      <c r="G348" s="43"/>
      <c r="I348" s="43"/>
      <c r="K348" s="43"/>
      <c r="M348" s="43"/>
    </row>
    <row r="349" spans="1:13" ht="100" customHeight="1">
      <c r="A349" s="26"/>
      <c r="C349" s="43"/>
      <c r="E349" s="43"/>
      <c r="G349" s="43"/>
      <c r="I349" s="43"/>
      <c r="K349" s="43"/>
      <c r="M349" s="43"/>
    </row>
    <row r="350" spans="1:13" ht="100" customHeight="1">
      <c r="A350" s="26"/>
      <c r="C350" s="43"/>
      <c r="E350" s="43"/>
      <c r="G350" s="43"/>
      <c r="I350" s="43"/>
      <c r="K350" s="43"/>
      <c r="M350" s="43"/>
    </row>
    <row r="351" spans="1:13" ht="100" customHeight="1">
      <c r="A351" s="26"/>
      <c r="C351" s="43"/>
      <c r="E351" s="43"/>
      <c r="G351" s="43"/>
      <c r="I351" s="43"/>
      <c r="K351" s="43"/>
      <c r="M351" s="43"/>
    </row>
    <row r="352" spans="1:13" ht="100" customHeight="1">
      <c r="A352" s="26"/>
      <c r="C352" s="43"/>
      <c r="E352" s="43"/>
      <c r="G352" s="43"/>
      <c r="I352" s="43"/>
      <c r="K352" s="43"/>
      <c r="M352" s="43"/>
    </row>
    <row r="353" spans="1:13" ht="100" customHeight="1">
      <c r="A353" s="26"/>
      <c r="C353" s="43"/>
      <c r="E353" s="43"/>
      <c r="G353" s="43"/>
      <c r="I353" s="43"/>
      <c r="K353" s="43"/>
      <c r="M353" s="43"/>
    </row>
    <row r="354" spans="1:13" ht="100" customHeight="1"/>
    <row r="355" spans="1:13" ht="100" customHeight="1"/>
    <row r="356" spans="1:13" ht="100" customHeight="1"/>
    <row r="357" spans="1:13" ht="100" customHeight="1"/>
    <row r="358" spans="1:13" ht="100" customHeight="1"/>
    <row r="359" spans="1:13" ht="100" customHeight="1"/>
    <row r="360" spans="1:13" ht="100" customHeight="1"/>
    <row r="361" spans="1:13" ht="100" customHeight="1"/>
    <row r="362" spans="1:13" ht="100" customHeight="1"/>
    <row r="363" spans="1:13" ht="100" customHeight="1"/>
    <row r="364" spans="1:13" ht="100" customHeight="1"/>
    <row r="365" spans="1:13" ht="100" customHeight="1"/>
    <row r="366" spans="1:13" ht="100" customHeight="1"/>
    <row r="367" spans="1:13" ht="100" customHeight="1"/>
    <row r="368" spans="1:13" ht="100" customHeight="1"/>
    <row r="369" ht="100" customHeight="1"/>
    <row r="370" ht="100" customHeight="1"/>
    <row r="371" ht="100" customHeight="1"/>
    <row r="372" ht="100" customHeight="1"/>
    <row r="373" ht="100" customHeight="1"/>
    <row r="374" ht="100" customHeight="1"/>
    <row r="375" ht="100" customHeight="1"/>
    <row r="376" ht="100" customHeight="1"/>
    <row r="377" ht="100" customHeight="1"/>
    <row r="378" ht="100" customHeight="1"/>
    <row r="379" ht="100" customHeight="1"/>
    <row r="380" ht="100" customHeight="1"/>
    <row r="381" ht="100" customHeight="1"/>
    <row r="382" ht="100" customHeight="1"/>
    <row r="383" ht="100" customHeight="1"/>
    <row r="384" ht="100" customHeight="1"/>
    <row r="385" ht="100" customHeight="1"/>
    <row r="386" ht="100" customHeight="1"/>
    <row r="387" ht="100" customHeight="1"/>
    <row r="388" ht="100" customHeight="1"/>
    <row r="389" ht="100" customHeight="1"/>
    <row r="390" ht="100" customHeight="1"/>
    <row r="391" ht="100" customHeight="1"/>
    <row r="392" ht="100" customHeight="1"/>
    <row r="393" ht="100" customHeight="1"/>
    <row r="394" ht="100" customHeight="1"/>
    <row r="395" ht="100" customHeight="1"/>
    <row r="396" ht="100" customHeight="1"/>
    <row r="397" ht="100" customHeight="1"/>
    <row r="398" ht="100" customHeight="1"/>
    <row r="399" ht="100" customHeight="1"/>
    <row r="400" ht="100" customHeight="1"/>
    <row r="401" ht="100" customHeight="1"/>
    <row r="402" ht="100" customHeight="1"/>
    <row r="403" ht="100" customHeight="1"/>
    <row r="404" ht="100" customHeight="1"/>
    <row r="405" ht="100" customHeight="1"/>
    <row r="406" ht="100" customHeight="1"/>
    <row r="407" ht="100" customHeight="1"/>
    <row r="408" ht="100" customHeight="1"/>
    <row r="409" ht="100" customHeight="1"/>
    <row r="410" ht="100" customHeight="1"/>
    <row r="411" ht="100" customHeight="1"/>
    <row r="412" ht="100" customHeight="1"/>
    <row r="413" ht="100" customHeight="1"/>
    <row r="414" ht="100" customHeight="1"/>
    <row r="415" ht="100" customHeight="1"/>
    <row r="416" ht="100" customHeight="1"/>
    <row r="417" ht="100" customHeight="1"/>
    <row r="418" ht="100" customHeight="1"/>
    <row r="419" ht="100" customHeight="1"/>
    <row r="420" ht="100" customHeight="1"/>
    <row r="421" ht="100" customHeight="1"/>
    <row r="422" ht="100" customHeight="1"/>
    <row r="423" ht="100" customHeight="1"/>
    <row r="424" ht="100" customHeight="1"/>
    <row r="425" ht="100" customHeight="1"/>
    <row r="426" ht="100" customHeight="1"/>
    <row r="427" ht="100" customHeight="1"/>
    <row r="428" ht="100" customHeight="1"/>
    <row r="429" ht="100" customHeight="1"/>
    <row r="430" ht="100" customHeight="1"/>
    <row r="431" ht="100" customHeight="1"/>
    <row r="432" ht="100" customHeight="1"/>
    <row r="433" ht="100" customHeight="1"/>
    <row r="434" ht="100" customHeight="1"/>
    <row r="435" ht="100" customHeight="1"/>
    <row r="436" ht="100" customHeight="1"/>
    <row r="437" ht="100" customHeight="1"/>
    <row r="438" ht="100" customHeight="1"/>
    <row r="439" ht="100" customHeight="1"/>
    <row r="440" ht="100" customHeight="1"/>
    <row r="441" ht="100" customHeight="1"/>
    <row r="442" ht="100" customHeight="1"/>
    <row r="443" ht="100" customHeight="1"/>
    <row r="444" ht="100" customHeight="1"/>
    <row r="445" ht="100" customHeight="1"/>
    <row r="446" ht="100" customHeight="1"/>
    <row r="447" ht="100" customHeight="1"/>
    <row r="448" ht="100" customHeight="1"/>
    <row r="449" ht="100" customHeight="1"/>
    <row r="450" ht="100" customHeight="1"/>
    <row r="451" ht="100" customHeight="1"/>
    <row r="452" ht="100" customHeight="1"/>
    <row r="453" ht="100" customHeight="1"/>
    <row r="454" ht="100" customHeight="1"/>
    <row r="455" ht="100" customHeight="1"/>
    <row r="456" ht="100" customHeight="1"/>
    <row r="457" ht="100" customHeight="1"/>
    <row r="458" ht="100" customHeight="1"/>
    <row r="459" ht="100" customHeight="1"/>
    <row r="460" ht="100" customHeight="1"/>
    <row r="461" ht="100" customHeight="1"/>
    <row r="462" ht="100" customHeight="1"/>
    <row r="463" ht="100" customHeight="1"/>
    <row r="464" ht="100" customHeight="1"/>
    <row r="465" ht="100" customHeight="1"/>
    <row r="466" ht="100" customHeight="1"/>
    <row r="467" ht="100" customHeight="1"/>
    <row r="468" ht="100" customHeight="1"/>
    <row r="469" ht="100" customHeight="1"/>
    <row r="470" ht="100" customHeight="1"/>
    <row r="471" ht="100" customHeight="1"/>
    <row r="472" ht="100" customHeight="1"/>
    <row r="473" ht="100" customHeight="1"/>
    <row r="474" ht="100" customHeight="1"/>
    <row r="475" ht="100" customHeight="1"/>
    <row r="476" ht="100" customHeight="1"/>
    <row r="477" ht="100" customHeight="1"/>
    <row r="478" ht="100" customHeight="1"/>
    <row r="479" ht="100" customHeight="1"/>
    <row r="480" ht="100" customHeight="1"/>
    <row r="481" ht="100" customHeight="1"/>
    <row r="482" ht="100" customHeight="1"/>
    <row r="483" ht="100" customHeight="1"/>
    <row r="484" ht="100" customHeight="1"/>
    <row r="485" ht="100" customHeight="1"/>
    <row r="486" ht="100" customHeight="1"/>
    <row r="487" ht="100" customHeight="1"/>
    <row r="488" ht="100" customHeight="1"/>
    <row r="489" ht="100" customHeight="1"/>
    <row r="490" ht="100" customHeight="1"/>
    <row r="491" ht="100" customHeight="1"/>
    <row r="492" ht="100" customHeight="1"/>
    <row r="493" ht="100" customHeight="1"/>
    <row r="494" ht="100" customHeight="1"/>
    <row r="495" ht="100" customHeight="1"/>
    <row r="496" ht="100" customHeight="1"/>
    <row r="497" ht="100" customHeight="1"/>
    <row r="498" ht="100" customHeight="1"/>
    <row r="499" ht="100" customHeight="1"/>
    <row r="500" ht="100" customHeight="1"/>
    <row r="501" ht="100" customHeight="1"/>
    <row r="502" ht="100" customHeight="1"/>
    <row r="503" ht="100" customHeight="1"/>
    <row r="504" ht="100" customHeight="1"/>
    <row r="505" ht="100" customHeight="1"/>
    <row r="506" ht="100" customHeight="1"/>
    <row r="507" ht="100" customHeight="1"/>
    <row r="508" ht="100" customHeight="1"/>
    <row r="509" ht="100" customHeight="1"/>
    <row r="510" ht="100" customHeight="1"/>
    <row r="511" ht="100" customHeight="1"/>
    <row r="512" ht="100" customHeight="1"/>
    <row r="513" ht="100" customHeight="1"/>
    <row r="514" ht="100" customHeight="1"/>
    <row r="515" ht="100" customHeight="1"/>
    <row r="516" ht="100" customHeight="1"/>
    <row r="517" ht="100" customHeight="1"/>
    <row r="518" ht="100" customHeight="1"/>
    <row r="519" ht="100" customHeight="1"/>
    <row r="520" ht="100" customHeight="1"/>
    <row r="521" ht="100" customHeight="1"/>
    <row r="522" ht="100" customHeight="1"/>
    <row r="523" ht="100" customHeight="1"/>
    <row r="524" ht="100" customHeight="1"/>
    <row r="525" ht="100" customHeight="1"/>
    <row r="526" ht="100" customHeight="1"/>
    <row r="527" ht="100" customHeight="1"/>
    <row r="528" ht="100" customHeight="1"/>
    <row r="529" ht="100" customHeight="1"/>
    <row r="530" ht="100" customHeight="1"/>
    <row r="531" ht="100" customHeight="1"/>
    <row r="532" ht="100" customHeight="1"/>
    <row r="533" ht="100" customHeight="1"/>
    <row r="534" ht="100" customHeight="1"/>
    <row r="535" ht="100" customHeight="1"/>
    <row r="536" ht="100" customHeight="1"/>
    <row r="537" ht="100" customHeight="1"/>
    <row r="538" ht="100" customHeight="1"/>
    <row r="539" ht="100" customHeight="1"/>
    <row r="540" ht="100" customHeight="1"/>
    <row r="541" ht="100" customHeight="1"/>
    <row r="542" ht="100" customHeight="1"/>
    <row r="543" ht="100" customHeight="1"/>
    <row r="544" ht="100" customHeight="1"/>
    <row r="545" ht="100" customHeight="1"/>
    <row r="546" ht="100" customHeight="1"/>
    <row r="547" ht="100" customHeight="1"/>
    <row r="548" ht="100" customHeight="1"/>
    <row r="549" ht="100" customHeight="1"/>
    <row r="550" ht="100" customHeight="1"/>
    <row r="551" ht="100" customHeight="1"/>
    <row r="552" ht="100" customHeight="1"/>
    <row r="553" ht="100" customHeight="1"/>
    <row r="554" ht="100" customHeight="1"/>
    <row r="555" ht="100" customHeight="1"/>
    <row r="556" ht="100" customHeight="1"/>
    <row r="557" ht="100" customHeight="1"/>
    <row r="558" ht="100" customHeight="1"/>
    <row r="559" ht="100" customHeight="1"/>
    <row r="560" ht="100" customHeight="1"/>
    <row r="561" ht="100" customHeight="1"/>
    <row r="562" ht="100" customHeight="1"/>
    <row r="563" ht="100" customHeight="1"/>
    <row r="564" ht="100" customHeight="1"/>
    <row r="565" ht="100" customHeight="1"/>
    <row r="566" ht="100" customHeight="1"/>
    <row r="567" ht="100" customHeight="1"/>
    <row r="568" ht="100" customHeight="1"/>
    <row r="569" ht="100" customHeight="1"/>
    <row r="570" ht="100" customHeight="1"/>
    <row r="571" ht="100" customHeight="1"/>
    <row r="572" ht="100" customHeight="1"/>
    <row r="573" ht="100" customHeight="1"/>
    <row r="574" ht="100" customHeight="1"/>
    <row r="575" ht="100" customHeight="1"/>
    <row r="576" ht="100" customHeight="1"/>
    <row r="577" ht="100" customHeight="1"/>
    <row r="578" ht="100" customHeight="1"/>
    <row r="579" ht="100" customHeight="1"/>
    <row r="580" ht="100" customHeight="1"/>
    <row r="581" ht="100" customHeight="1"/>
    <row r="582" ht="100" customHeight="1"/>
    <row r="583" ht="100" customHeight="1"/>
    <row r="584" ht="100" customHeight="1"/>
    <row r="585" ht="100" customHeight="1"/>
    <row r="586" ht="100" customHeight="1"/>
    <row r="587" ht="100" customHeight="1"/>
    <row r="588" ht="100" customHeight="1"/>
    <row r="589" ht="100" customHeight="1"/>
    <row r="590" ht="100" customHeight="1"/>
    <row r="591" ht="100" customHeight="1"/>
    <row r="592" ht="100" customHeight="1"/>
    <row r="593" ht="100" customHeight="1"/>
    <row r="594" ht="100" customHeight="1"/>
    <row r="595" ht="100" customHeight="1"/>
    <row r="596" ht="100" customHeight="1"/>
    <row r="597" ht="100" customHeight="1"/>
    <row r="598" ht="100" customHeight="1"/>
    <row r="599" ht="100" customHeight="1"/>
    <row r="600" ht="100" customHeight="1"/>
    <row r="601" ht="100" customHeight="1"/>
    <row r="602" ht="100" customHeight="1"/>
    <row r="603" ht="100" customHeight="1"/>
    <row r="604" ht="100" customHeight="1"/>
    <row r="605" ht="100" customHeight="1"/>
    <row r="606" ht="100" customHeight="1"/>
    <row r="607" ht="100" customHeight="1"/>
    <row r="608" ht="100" customHeight="1"/>
    <row r="609" ht="100" customHeight="1"/>
    <row r="610" ht="100" customHeight="1"/>
    <row r="611" ht="100" customHeight="1"/>
    <row r="612" ht="100" customHeight="1"/>
    <row r="613" ht="100" customHeight="1"/>
    <row r="614" ht="100" customHeight="1"/>
    <row r="615" ht="100" customHeight="1"/>
    <row r="616" ht="100" customHeight="1"/>
    <row r="617" ht="100" customHeight="1"/>
    <row r="618" ht="100" customHeight="1"/>
    <row r="619" ht="100" customHeight="1"/>
    <row r="620" ht="100" customHeight="1"/>
    <row r="621" ht="100" customHeight="1"/>
    <row r="622" ht="100" customHeight="1"/>
    <row r="623" ht="100" customHeight="1"/>
    <row r="624" ht="100" customHeight="1"/>
    <row r="625" ht="100" customHeight="1"/>
    <row r="626" ht="100" customHeight="1"/>
    <row r="627" ht="100" customHeight="1"/>
    <row r="628" ht="100" customHeight="1"/>
    <row r="629" ht="100" customHeight="1"/>
    <row r="630" ht="100" customHeight="1"/>
    <row r="631" ht="100" customHeight="1"/>
    <row r="632" ht="100" customHeight="1"/>
    <row r="633" ht="100" customHeight="1"/>
    <row r="634" ht="100" customHeight="1"/>
    <row r="635" ht="100" customHeight="1"/>
    <row r="636" ht="100" customHeight="1"/>
    <row r="637" ht="100" customHeight="1"/>
    <row r="638" ht="100" customHeight="1"/>
    <row r="639" ht="100" customHeight="1"/>
    <row r="640" ht="100" customHeight="1"/>
    <row r="641" ht="100" customHeight="1"/>
    <row r="642" ht="100" customHeight="1"/>
    <row r="643" ht="100" customHeight="1"/>
    <row r="644" ht="100" customHeight="1"/>
    <row r="645" ht="100" customHeight="1"/>
    <row r="646" ht="100" customHeight="1"/>
    <row r="647" ht="100" customHeight="1"/>
    <row r="648" ht="100" customHeight="1"/>
    <row r="649" ht="100" customHeight="1"/>
    <row r="650" ht="100" customHeight="1"/>
    <row r="651" ht="100" customHeight="1"/>
    <row r="652" ht="100" customHeight="1"/>
    <row r="653" ht="100" customHeight="1"/>
    <row r="654" ht="100" customHeight="1"/>
    <row r="655" ht="100" customHeight="1"/>
    <row r="656" ht="100" customHeight="1"/>
    <row r="657" ht="100" customHeight="1"/>
    <row r="658" ht="100" customHeight="1"/>
    <row r="659" ht="100" customHeight="1"/>
    <row r="660" ht="100" customHeight="1"/>
    <row r="661" ht="100" customHeight="1"/>
    <row r="662" ht="100" customHeight="1"/>
    <row r="663" ht="100" customHeight="1"/>
    <row r="664" ht="100" customHeight="1"/>
    <row r="665" ht="100" customHeight="1"/>
    <row r="666" ht="100" customHeight="1"/>
    <row r="667" ht="100" customHeight="1"/>
    <row r="668" ht="100" customHeight="1"/>
    <row r="669" ht="100" customHeight="1"/>
    <row r="670" ht="100" customHeight="1"/>
    <row r="671" ht="100" customHeight="1"/>
    <row r="672" ht="100" customHeight="1"/>
    <row r="673" ht="100" customHeight="1"/>
    <row r="674" ht="100" customHeight="1"/>
    <row r="675" ht="100" customHeight="1"/>
    <row r="676" ht="100" customHeight="1"/>
    <row r="677" ht="100" customHeight="1"/>
    <row r="678" ht="100" customHeight="1"/>
    <row r="679" ht="100" customHeight="1"/>
    <row r="680" ht="100" customHeight="1"/>
    <row r="681" ht="100" customHeight="1"/>
    <row r="682" ht="100" customHeight="1"/>
    <row r="683" ht="100" customHeight="1"/>
    <row r="684" ht="100" customHeight="1"/>
    <row r="685" ht="100" customHeight="1"/>
    <row r="686" ht="100" customHeight="1"/>
    <row r="687" ht="100" customHeight="1"/>
    <row r="688" ht="100" customHeight="1"/>
    <row r="689" ht="100" customHeight="1"/>
    <row r="690" ht="100" customHeight="1"/>
    <row r="691" ht="100" customHeight="1"/>
    <row r="692" ht="100" customHeight="1"/>
    <row r="693" ht="100" customHeight="1"/>
    <row r="694" ht="100" customHeight="1"/>
    <row r="695" ht="100" customHeight="1"/>
    <row r="696" ht="100" customHeight="1"/>
    <row r="697" ht="100" customHeight="1"/>
    <row r="698" ht="100" customHeight="1"/>
    <row r="699" ht="100" customHeight="1"/>
    <row r="700" ht="100" customHeight="1"/>
    <row r="701" ht="100" customHeight="1"/>
    <row r="702" ht="100" customHeight="1"/>
    <row r="703" ht="100" customHeight="1"/>
    <row r="704" ht="100" customHeight="1"/>
    <row r="705" ht="100" customHeight="1"/>
    <row r="706" ht="100" customHeight="1"/>
    <row r="707" ht="100" customHeight="1"/>
    <row r="708" ht="100" customHeight="1"/>
    <row r="709" ht="100" customHeight="1"/>
    <row r="710" ht="100" customHeight="1"/>
    <row r="711" ht="100" customHeight="1"/>
    <row r="712" ht="100" customHeight="1"/>
    <row r="713" ht="100" customHeight="1"/>
    <row r="714" ht="100" customHeight="1"/>
    <row r="715" ht="100" customHeight="1"/>
    <row r="716" ht="100" customHeight="1"/>
    <row r="717" ht="100" customHeight="1"/>
    <row r="718" ht="100" customHeight="1"/>
    <row r="719" ht="100" customHeight="1"/>
    <row r="720" ht="100" customHeight="1"/>
    <row r="721" ht="100" customHeight="1"/>
    <row r="722" ht="100" customHeight="1"/>
    <row r="723" ht="100" customHeight="1"/>
    <row r="724" ht="100" customHeight="1"/>
    <row r="725" ht="100" customHeight="1"/>
    <row r="726" ht="100" customHeight="1"/>
    <row r="727" ht="100" customHeight="1"/>
    <row r="728" ht="100" customHeight="1"/>
    <row r="729" ht="100" customHeight="1"/>
    <row r="730" ht="100" customHeight="1"/>
    <row r="731" ht="100" customHeight="1"/>
    <row r="732" ht="100" customHeight="1"/>
    <row r="733" ht="100" customHeight="1"/>
    <row r="734" ht="100" customHeight="1"/>
    <row r="735" ht="100" customHeight="1"/>
    <row r="736" ht="100" customHeight="1"/>
    <row r="737" ht="100" customHeight="1"/>
    <row r="738" ht="100" customHeight="1"/>
    <row r="739" ht="100" customHeight="1"/>
    <row r="740" ht="100" customHeight="1"/>
    <row r="741" ht="100" customHeight="1"/>
    <row r="742" ht="100" customHeight="1"/>
    <row r="743" ht="100" customHeight="1"/>
    <row r="744" ht="100" customHeight="1"/>
    <row r="745" ht="100" customHeight="1"/>
    <row r="746" ht="100" customHeight="1"/>
    <row r="747" ht="100" customHeight="1"/>
    <row r="748" ht="100" customHeight="1"/>
    <row r="749" ht="100" customHeight="1"/>
    <row r="750" ht="100" customHeight="1"/>
    <row r="751" ht="100" customHeight="1"/>
    <row r="752" ht="100" customHeight="1"/>
    <row r="753" ht="100" customHeight="1"/>
    <row r="754" ht="100" customHeight="1"/>
    <row r="755" ht="100" customHeight="1"/>
    <row r="756" ht="100" customHeight="1"/>
    <row r="757" ht="100" customHeight="1"/>
    <row r="758" ht="100" customHeight="1"/>
    <row r="759" ht="100" customHeight="1"/>
    <row r="760" ht="100" customHeight="1"/>
    <row r="761" ht="100" customHeight="1"/>
    <row r="762" ht="100" customHeight="1"/>
    <row r="763" ht="100" customHeight="1"/>
    <row r="764" ht="100" customHeight="1"/>
    <row r="765" ht="100" customHeight="1"/>
    <row r="766" ht="100" customHeight="1"/>
    <row r="767" ht="100" customHeight="1"/>
    <row r="768" ht="100" customHeight="1"/>
    <row r="769" ht="100" customHeight="1"/>
    <row r="770" ht="100" customHeight="1"/>
    <row r="771" ht="100" customHeight="1"/>
    <row r="772" ht="100" customHeight="1"/>
    <row r="773" ht="100" customHeight="1"/>
    <row r="774" ht="100" customHeight="1"/>
    <row r="775" ht="100" customHeight="1"/>
    <row r="776" ht="100" customHeight="1"/>
    <row r="777" ht="100" customHeight="1"/>
    <row r="778" ht="100" customHeight="1"/>
    <row r="779" ht="100" customHeight="1"/>
    <row r="780" ht="100" customHeight="1"/>
    <row r="781" ht="100" customHeight="1"/>
    <row r="782" ht="100" customHeight="1"/>
    <row r="783" ht="100" customHeight="1"/>
    <row r="784" ht="100" customHeight="1"/>
    <row r="785" ht="100" customHeight="1"/>
    <row r="786" ht="100" customHeight="1"/>
    <row r="787" ht="100" customHeight="1"/>
    <row r="788" ht="100" customHeight="1"/>
    <row r="789" ht="100" customHeight="1"/>
    <row r="790" ht="100" customHeight="1"/>
    <row r="791" ht="100" customHeight="1"/>
    <row r="792" ht="100" customHeight="1"/>
    <row r="793" ht="100" customHeight="1"/>
    <row r="794" ht="100" customHeight="1"/>
    <row r="795" ht="100" customHeight="1"/>
    <row r="796" ht="100" customHeight="1"/>
    <row r="797" ht="100" customHeight="1"/>
    <row r="798" ht="100" customHeight="1"/>
    <row r="799" ht="100" customHeight="1"/>
    <row r="800" ht="100" customHeight="1"/>
    <row r="801" ht="100" customHeight="1"/>
    <row r="802" ht="100" customHeight="1"/>
    <row r="803" ht="100" customHeight="1"/>
    <row r="804" ht="100" customHeight="1"/>
    <row r="805" ht="100" customHeight="1"/>
    <row r="806" ht="100" customHeight="1"/>
    <row r="807" ht="100" customHeight="1"/>
    <row r="808" ht="100" customHeight="1"/>
    <row r="809" ht="100" customHeight="1"/>
    <row r="810" ht="100" customHeight="1"/>
    <row r="811" ht="100" customHeight="1"/>
    <row r="812" ht="100" customHeight="1"/>
    <row r="813" ht="100" customHeight="1"/>
    <row r="814" ht="100" customHeight="1"/>
    <row r="815" ht="100" customHeight="1"/>
    <row r="816" ht="100" customHeight="1"/>
    <row r="817" ht="100" customHeight="1"/>
    <row r="818" ht="100" customHeight="1"/>
    <row r="819" ht="100" customHeight="1"/>
    <row r="820" ht="100" customHeight="1"/>
    <row r="821" ht="100" customHeight="1"/>
    <row r="822" ht="100" customHeight="1"/>
    <row r="823" ht="100" customHeight="1"/>
    <row r="824" ht="100" customHeight="1"/>
    <row r="825" ht="100" customHeight="1"/>
    <row r="826" ht="100" customHeight="1"/>
    <row r="827" ht="100" customHeight="1"/>
    <row r="828" ht="100" customHeight="1"/>
    <row r="829" ht="100" customHeight="1"/>
    <row r="830" ht="100" customHeight="1"/>
    <row r="831" ht="100" customHeight="1"/>
    <row r="832" ht="100" customHeight="1"/>
    <row r="833" ht="100" customHeight="1"/>
    <row r="834" ht="100" customHeight="1"/>
    <row r="835" ht="100" customHeight="1"/>
    <row r="836" ht="100" customHeight="1"/>
    <row r="837" ht="100" customHeight="1"/>
    <row r="838" ht="100" customHeight="1"/>
    <row r="839" ht="100" customHeight="1"/>
    <row r="840" ht="100" customHeight="1"/>
    <row r="841" ht="100" customHeight="1"/>
    <row r="842" ht="100" customHeight="1"/>
    <row r="843" ht="100" customHeight="1"/>
    <row r="844" ht="100" customHeight="1"/>
    <row r="845" ht="100" customHeight="1"/>
    <row r="846" ht="100" customHeight="1"/>
    <row r="847" ht="100" customHeight="1"/>
    <row r="848" ht="100" customHeight="1"/>
    <row r="849" ht="100" customHeight="1"/>
    <row r="850" ht="100" customHeight="1"/>
    <row r="851" ht="100" customHeight="1"/>
    <row r="852" ht="100" customHeight="1"/>
    <row r="853" ht="100" customHeight="1"/>
    <row r="854" ht="100" customHeight="1"/>
    <row r="855" ht="100" customHeight="1"/>
    <row r="856" ht="100" customHeight="1"/>
    <row r="857" ht="100" customHeight="1"/>
    <row r="858" ht="100" customHeight="1"/>
    <row r="859" ht="100" customHeight="1"/>
    <row r="860" ht="100" customHeight="1"/>
    <row r="861" ht="100" customHeight="1"/>
    <row r="862" ht="100" customHeight="1"/>
    <row r="863" ht="100" customHeight="1"/>
    <row r="864" ht="100" customHeight="1"/>
    <row r="865" ht="100" customHeight="1"/>
    <row r="866" ht="100" customHeight="1"/>
    <row r="867" ht="100" customHeight="1"/>
    <row r="868" ht="100" customHeight="1"/>
    <row r="869" ht="100" customHeight="1"/>
    <row r="870" ht="100" customHeight="1"/>
    <row r="871" ht="100" customHeight="1"/>
    <row r="872" ht="100" customHeight="1"/>
    <row r="873" ht="100" customHeight="1"/>
    <row r="874" ht="100" customHeight="1"/>
    <row r="875" ht="100" customHeight="1"/>
    <row r="876" ht="100" customHeight="1"/>
    <row r="877" ht="100" customHeight="1"/>
    <row r="878" ht="100" customHeight="1"/>
    <row r="879" ht="100" customHeight="1"/>
    <row r="880" ht="100" customHeight="1"/>
    <row r="881" ht="100" customHeight="1"/>
    <row r="882" ht="100" customHeight="1"/>
    <row r="883" ht="100" customHeight="1"/>
    <row r="884" ht="100" customHeight="1"/>
    <row r="885" ht="100" customHeight="1"/>
    <row r="886" ht="100" customHeight="1"/>
    <row r="887" ht="100" customHeight="1"/>
    <row r="888" ht="100" customHeight="1"/>
    <row r="889" ht="100" customHeight="1"/>
    <row r="890" ht="100" customHeight="1"/>
    <row r="891" ht="100" customHeight="1"/>
    <row r="892" ht="100" customHeight="1"/>
    <row r="893" ht="100" customHeight="1"/>
    <row r="894" ht="100" customHeight="1"/>
    <row r="895" ht="100" customHeight="1"/>
    <row r="896" ht="100" customHeight="1"/>
    <row r="897" ht="100" customHeight="1"/>
    <row r="898" ht="100" customHeight="1"/>
    <row r="899" ht="100" customHeight="1"/>
    <row r="900" ht="100" customHeight="1"/>
    <row r="901" ht="100" customHeight="1"/>
    <row r="902" ht="100" customHeight="1"/>
    <row r="903" ht="100" customHeight="1"/>
    <row r="904" ht="100" customHeight="1"/>
    <row r="905" ht="100" customHeight="1"/>
    <row r="906" ht="100" customHeight="1"/>
    <row r="907" ht="100" customHeight="1"/>
    <row r="908" ht="100" customHeight="1"/>
    <row r="909" ht="100" customHeight="1"/>
    <row r="910" ht="100" customHeight="1"/>
    <row r="911" ht="100" customHeight="1"/>
    <row r="912" ht="100" customHeight="1"/>
    <row r="913" ht="100" customHeight="1"/>
    <row r="914" ht="100" customHeight="1"/>
    <row r="915" ht="100" customHeight="1"/>
    <row r="916" ht="100" customHeight="1"/>
    <row r="917" ht="100" customHeight="1"/>
    <row r="918" ht="100" customHeight="1"/>
    <row r="919" ht="100" customHeight="1"/>
    <row r="920" ht="100" customHeight="1"/>
    <row r="921" ht="100" customHeight="1"/>
    <row r="922" ht="100" customHeight="1"/>
    <row r="923" ht="100" customHeight="1"/>
    <row r="924" ht="100" customHeight="1"/>
    <row r="925" ht="100" customHeight="1"/>
    <row r="926" ht="100" customHeight="1"/>
    <row r="927" ht="100" customHeight="1"/>
    <row r="928" ht="100" customHeight="1"/>
    <row r="929" ht="100" customHeight="1"/>
    <row r="930" ht="100" customHeight="1"/>
    <row r="931" ht="100" customHeight="1"/>
    <row r="932" ht="100" customHeight="1"/>
    <row r="933" ht="100" customHeight="1"/>
    <row r="934" ht="100" customHeight="1"/>
    <row r="935" ht="100" customHeight="1"/>
    <row r="936" ht="100" customHeight="1"/>
    <row r="937" ht="100" customHeight="1"/>
  </sheetData>
  <mergeCells count="1">
    <mergeCell ref="A1:N1"/>
  </mergeCells>
  <phoneticPr fontId="2" type="noConversion"/>
  <conditionalFormatting sqref="B17:M216">
    <cfRule type="expression" dxfId="0" priority="1">
      <formula>$B17=""</formula>
    </cfRule>
  </conditionalFormatting>
  <dataValidations count="3">
    <dataValidation type="list" allowBlank="1" showInputMessage="1" showErrorMessage="1" sqref="F4" xr:uid="{0CA381D1-F9F5-5D44-AF0B-CED35B07B98D}">
      <formula1>"전체,12대 기인물,해당없음"</formula1>
    </dataValidation>
    <dataValidation type="list" allowBlank="1" showInputMessage="1" showErrorMessage="1" sqref="D3" xr:uid="{EEA08B2A-94B5-E441-9896-372D843046A6}">
      <formula1>"전체,YES"</formula1>
    </dataValidation>
    <dataValidation type="list" allowBlank="1" showInputMessage="1" showErrorMessage="1" sqref="D4" xr:uid="{CEF8B58B-A741-5446-A064-250F715A6E24}">
      <formula1>INDIRECT(S3)</formula1>
    </dataValidation>
  </dataValidation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B831E-F59B-EE4E-8D7F-3B9B8924C6CF}">
  <sheetPr filterMode="1"/>
  <dimension ref="A1:R2575"/>
  <sheetViews>
    <sheetView zoomScale="86" workbookViewId="0">
      <selection activeCell="B73" sqref="B73"/>
    </sheetView>
  </sheetViews>
  <sheetFormatPr baseColWidth="10" defaultRowHeight="18"/>
  <cols>
    <col min="1" max="1" width="10.85546875" bestFit="1" customWidth="1"/>
    <col min="2" max="2" width="18.85546875" bestFit="1" customWidth="1"/>
    <col min="3" max="3" width="36.5703125" bestFit="1" customWidth="1"/>
    <col min="4" max="5" width="26.42578125" customWidth="1"/>
    <col min="8" max="8" width="27.7109375" bestFit="1" customWidth="1"/>
    <col min="9" max="10" width="10.85546875" bestFit="1" customWidth="1"/>
    <col min="12" max="12" width="11.42578125" bestFit="1" customWidth="1"/>
    <col min="13" max="13" width="10.85546875" bestFit="1" customWidth="1"/>
    <col min="16" max="16" width="47.140625" customWidth="1"/>
    <col min="17" max="17" width="34.28515625" customWidth="1"/>
  </cols>
  <sheetData>
    <row r="1" spans="1:18">
      <c r="A1" s="1" t="s">
        <v>0</v>
      </c>
      <c r="B1" s="1" t="s">
        <v>1</v>
      </c>
      <c r="C1" s="1" t="s">
        <v>2</v>
      </c>
      <c r="D1" s="1" t="s">
        <v>3</v>
      </c>
      <c r="E1" s="1" t="s">
        <v>6069</v>
      </c>
      <c r="F1" s="2" t="s">
        <v>4</v>
      </c>
      <c r="G1" s="1" t="s">
        <v>5</v>
      </c>
      <c r="H1" s="1" t="s">
        <v>6095</v>
      </c>
      <c r="I1" s="1" t="s">
        <v>6</v>
      </c>
      <c r="J1" s="1" t="s">
        <v>7</v>
      </c>
      <c r="K1" s="2" t="s">
        <v>8</v>
      </c>
      <c r="L1" s="3" t="s">
        <v>9</v>
      </c>
      <c r="M1" s="3" t="s">
        <v>10</v>
      </c>
      <c r="N1" s="3" t="s">
        <v>11</v>
      </c>
      <c r="O1" s="1" t="s">
        <v>12</v>
      </c>
      <c r="P1" s="1" t="s">
        <v>13</v>
      </c>
      <c r="Q1" s="1" t="s">
        <v>14</v>
      </c>
      <c r="R1" s="1" t="s">
        <v>15</v>
      </c>
    </row>
    <row r="2" spans="1:18" hidden="1">
      <c r="A2">
        <v>11</v>
      </c>
      <c r="B2" s="4" t="s">
        <v>554</v>
      </c>
      <c r="C2" s="4" t="s">
        <v>555</v>
      </c>
      <c r="D2" s="4" t="s">
        <v>556</v>
      </c>
      <c r="E2" s="4" t="s">
        <v>5804</v>
      </c>
      <c r="F2" t="s">
        <v>557</v>
      </c>
      <c r="G2" t="s">
        <v>557</v>
      </c>
      <c r="H2" t="s">
        <v>53</v>
      </c>
      <c r="I2" t="s">
        <v>53</v>
      </c>
      <c r="J2" s="5" t="s">
        <v>53</v>
      </c>
      <c r="K2" t="s">
        <v>558</v>
      </c>
      <c r="L2" s="6">
        <v>42339</v>
      </c>
      <c r="M2">
        <v>12</v>
      </c>
      <c r="N2" s="7" t="s">
        <v>30</v>
      </c>
      <c r="O2" t="s">
        <v>24</v>
      </c>
      <c r="P2" t="s">
        <v>559</v>
      </c>
      <c r="Q2" t="s">
        <v>560</v>
      </c>
      <c r="R2" t="s">
        <v>561</v>
      </c>
    </row>
    <row r="3" spans="1:18" hidden="1">
      <c r="A3">
        <v>11</v>
      </c>
      <c r="B3" s="4" t="s">
        <v>554</v>
      </c>
      <c r="C3" s="4" t="s">
        <v>696</v>
      </c>
      <c r="D3" s="4" t="s">
        <v>697</v>
      </c>
      <c r="E3" s="4" t="s">
        <v>5804</v>
      </c>
      <c r="F3" t="s">
        <v>557</v>
      </c>
      <c r="G3" t="s">
        <v>557</v>
      </c>
      <c r="H3" t="s">
        <v>53</v>
      </c>
      <c r="I3" t="s">
        <v>53</v>
      </c>
      <c r="J3" s="5" t="s">
        <v>53</v>
      </c>
      <c r="K3" t="s">
        <v>255</v>
      </c>
      <c r="L3" s="6">
        <v>43983</v>
      </c>
      <c r="M3">
        <v>6</v>
      </c>
      <c r="N3" s="7" t="s">
        <v>55</v>
      </c>
      <c r="O3" t="s">
        <v>36</v>
      </c>
      <c r="P3" t="s">
        <v>737</v>
      </c>
      <c r="Q3" t="s">
        <v>719</v>
      </c>
      <c r="R3" t="s">
        <v>720</v>
      </c>
    </row>
    <row r="4" spans="1:18" hidden="1">
      <c r="A4">
        <v>11</v>
      </c>
      <c r="B4" s="4" t="s">
        <v>554</v>
      </c>
      <c r="C4" s="4" t="s">
        <v>696</v>
      </c>
      <c r="D4" s="4" t="s">
        <v>759</v>
      </c>
      <c r="E4" s="4" t="s">
        <v>5804</v>
      </c>
      <c r="F4" t="s">
        <v>557</v>
      </c>
      <c r="G4" t="s">
        <v>557</v>
      </c>
      <c r="H4" t="s">
        <v>53</v>
      </c>
      <c r="I4" t="s">
        <v>53</v>
      </c>
      <c r="J4" s="5" t="s">
        <v>53</v>
      </c>
      <c r="K4" t="s">
        <v>102</v>
      </c>
      <c r="L4" s="6">
        <v>44287</v>
      </c>
      <c r="M4">
        <v>4</v>
      </c>
      <c r="N4" s="7" t="s">
        <v>23</v>
      </c>
      <c r="O4" t="s">
        <v>24</v>
      </c>
      <c r="P4" t="s">
        <v>882</v>
      </c>
      <c r="Q4" t="s">
        <v>883</v>
      </c>
      <c r="R4" t="s">
        <v>884</v>
      </c>
    </row>
    <row r="5" spans="1:18" hidden="1">
      <c r="A5">
        <v>12</v>
      </c>
      <c r="B5" s="4" t="s">
        <v>901</v>
      </c>
      <c r="C5" s="4" t="s">
        <v>902</v>
      </c>
      <c r="D5" s="4" t="s">
        <v>903</v>
      </c>
      <c r="E5" s="4" t="s">
        <v>5804</v>
      </c>
      <c r="F5" t="s">
        <v>557</v>
      </c>
      <c r="G5" t="s">
        <v>557</v>
      </c>
      <c r="H5" t="s">
        <v>53</v>
      </c>
      <c r="I5" t="s">
        <v>53</v>
      </c>
      <c r="J5" s="5" t="s">
        <v>53</v>
      </c>
      <c r="K5" t="s">
        <v>124</v>
      </c>
      <c r="L5" s="6">
        <v>42767</v>
      </c>
      <c r="M5">
        <v>2</v>
      </c>
      <c r="N5" s="7" t="s">
        <v>30</v>
      </c>
      <c r="O5" t="s">
        <v>36</v>
      </c>
      <c r="P5" t="s">
        <v>986</v>
      </c>
      <c r="Q5" t="s">
        <v>967</v>
      </c>
      <c r="R5" t="s">
        <v>968</v>
      </c>
    </row>
    <row r="6" spans="1:18" hidden="1">
      <c r="A6">
        <v>12</v>
      </c>
      <c r="B6" s="4" t="s">
        <v>901</v>
      </c>
      <c r="C6" s="4" t="s">
        <v>1161</v>
      </c>
      <c r="D6" s="4" t="s">
        <v>1220</v>
      </c>
      <c r="E6" s="4" t="s">
        <v>5804</v>
      </c>
      <c r="F6" t="s">
        <v>557</v>
      </c>
      <c r="G6" t="s">
        <v>557</v>
      </c>
      <c r="H6" t="s">
        <v>53</v>
      </c>
      <c r="I6" t="s">
        <v>53</v>
      </c>
      <c r="J6" s="5" t="s">
        <v>53</v>
      </c>
      <c r="K6" t="s">
        <v>124</v>
      </c>
      <c r="L6" s="6">
        <v>42767</v>
      </c>
      <c r="M6">
        <v>2</v>
      </c>
      <c r="N6" s="7" t="s">
        <v>30</v>
      </c>
      <c r="O6" t="s">
        <v>31</v>
      </c>
      <c r="P6" t="s">
        <v>1241</v>
      </c>
      <c r="Q6" t="s">
        <v>1242</v>
      </c>
      <c r="R6" t="s">
        <v>1243</v>
      </c>
    </row>
    <row r="7" spans="1:18" hidden="1">
      <c r="A7">
        <v>12</v>
      </c>
      <c r="B7" s="4" t="s">
        <v>901</v>
      </c>
      <c r="C7" s="4" t="s">
        <v>1161</v>
      </c>
      <c r="D7" s="4" t="s">
        <v>1220</v>
      </c>
      <c r="E7" s="4" t="s">
        <v>5804</v>
      </c>
      <c r="F7" t="s">
        <v>557</v>
      </c>
      <c r="G7" t="s">
        <v>557</v>
      </c>
      <c r="H7" t="s">
        <v>53</v>
      </c>
      <c r="I7" t="s">
        <v>53</v>
      </c>
      <c r="J7" s="5" t="s">
        <v>53</v>
      </c>
      <c r="K7" t="s">
        <v>142</v>
      </c>
      <c r="L7" s="6">
        <v>43101</v>
      </c>
      <c r="M7">
        <v>1</v>
      </c>
      <c r="N7" s="7" t="s">
        <v>30</v>
      </c>
      <c r="O7" t="s">
        <v>31</v>
      </c>
      <c r="P7" t="s">
        <v>1270</v>
      </c>
      <c r="Q7" t="s">
        <v>1271</v>
      </c>
      <c r="R7" t="s">
        <v>1272</v>
      </c>
    </row>
    <row r="8" spans="1:18" hidden="1">
      <c r="A8">
        <v>12</v>
      </c>
      <c r="B8" s="4" t="s">
        <v>901</v>
      </c>
      <c r="C8" s="4" t="s">
        <v>1161</v>
      </c>
      <c r="D8" s="4" t="s">
        <v>1220</v>
      </c>
      <c r="E8" s="4" t="s">
        <v>5804</v>
      </c>
      <c r="F8" t="s">
        <v>557</v>
      </c>
      <c r="G8" t="s">
        <v>557</v>
      </c>
      <c r="H8" t="s">
        <v>53</v>
      </c>
      <c r="I8" t="s">
        <v>53</v>
      </c>
      <c r="J8" s="5" t="s">
        <v>53</v>
      </c>
      <c r="K8" t="s">
        <v>146</v>
      </c>
      <c r="L8" s="6">
        <v>43313</v>
      </c>
      <c r="M8">
        <v>8</v>
      </c>
      <c r="N8" s="7" t="s">
        <v>55</v>
      </c>
      <c r="O8" t="s">
        <v>31</v>
      </c>
      <c r="P8" t="s">
        <v>1281</v>
      </c>
      <c r="Q8" t="s">
        <v>1242</v>
      </c>
      <c r="R8" t="s">
        <v>1243</v>
      </c>
    </row>
    <row r="9" spans="1:18" hidden="1">
      <c r="A9">
        <v>12</v>
      </c>
      <c r="B9" s="4" t="s">
        <v>901</v>
      </c>
      <c r="C9" s="4" t="s">
        <v>1161</v>
      </c>
      <c r="D9" s="4" t="s">
        <v>1220</v>
      </c>
      <c r="E9" s="4" t="s">
        <v>5804</v>
      </c>
      <c r="F9" t="s">
        <v>557</v>
      </c>
      <c r="G9" t="s">
        <v>557</v>
      </c>
      <c r="H9" t="s">
        <v>53</v>
      </c>
      <c r="I9" t="s">
        <v>53</v>
      </c>
      <c r="J9" s="5" t="s">
        <v>53</v>
      </c>
      <c r="K9" t="s">
        <v>245</v>
      </c>
      <c r="L9" s="6">
        <v>43466</v>
      </c>
      <c r="M9">
        <v>1</v>
      </c>
      <c r="N9" s="7" t="s">
        <v>30</v>
      </c>
      <c r="O9" t="s">
        <v>24</v>
      </c>
      <c r="P9" t="s">
        <v>1290</v>
      </c>
      <c r="Q9" t="s">
        <v>1291</v>
      </c>
      <c r="R9" t="s">
        <v>1292</v>
      </c>
    </row>
    <row r="10" spans="1:18" hidden="1">
      <c r="A10">
        <v>12</v>
      </c>
      <c r="B10" s="4" t="s">
        <v>901</v>
      </c>
      <c r="C10" s="4" t="s">
        <v>1161</v>
      </c>
      <c r="D10" s="4" t="s">
        <v>1220</v>
      </c>
      <c r="E10" s="4" t="s">
        <v>5804</v>
      </c>
      <c r="F10" t="s">
        <v>557</v>
      </c>
      <c r="G10" t="s">
        <v>557</v>
      </c>
      <c r="H10" t="s">
        <v>53</v>
      </c>
      <c r="I10" t="s">
        <v>53</v>
      </c>
      <c r="J10" s="5" t="s">
        <v>53</v>
      </c>
      <c r="K10" t="s">
        <v>267</v>
      </c>
      <c r="L10" s="6">
        <v>44044</v>
      </c>
      <c r="M10">
        <v>8</v>
      </c>
      <c r="N10" s="7" t="s">
        <v>55</v>
      </c>
      <c r="O10" t="s">
        <v>24</v>
      </c>
      <c r="P10" t="s">
        <v>1319</v>
      </c>
      <c r="Q10" t="s">
        <v>1291</v>
      </c>
      <c r="R10" t="s">
        <v>1292</v>
      </c>
    </row>
    <row r="11" spans="1:18" hidden="1">
      <c r="A11">
        <v>12</v>
      </c>
      <c r="B11" s="4" t="s">
        <v>901</v>
      </c>
      <c r="C11" s="4" t="s">
        <v>1161</v>
      </c>
      <c r="D11" s="4" t="s">
        <v>1220</v>
      </c>
      <c r="E11" s="4" t="s">
        <v>5804</v>
      </c>
      <c r="F11" t="s">
        <v>557</v>
      </c>
      <c r="G11" t="s">
        <v>557</v>
      </c>
      <c r="H11" t="s">
        <v>53</v>
      </c>
      <c r="I11" t="s">
        <v>53</v>
      </c>
      <c r="J11" s="5" t="s">
        <v>53</v>
      </c>
      <c r="K11" t="s">
        <v>1331</v>
      </c>
      <c r="L11" s="6" t="s">
        <v>673</v>
      </c>
      <c r="M11" t="e">
        <v>#VALUE!</v>
      </c>
      <c r="N11" s="7" t="e">
        <v>#VALUE!</v>
      </c>
      <c r="O11" t="s">
        <v>24</v>
      </c>
      <c r="P11" t="s">
        <v>1332</v>
      </c>
      <c r="Q11" t="s">
        <v>1333</v>
      </c>
      <c r="R11" t="s">
        <v>1334</v>
      </c>
    </row>
    <row r="12" spans="1:18" hidden="1">
      <c r="A12">
        <v>12</v>
      </c>
      <c r="B12" s="4" t="s">
        <v>901</v>
      </c>
      <c r="C12" s="4" t="s">
        <v>1463</v>
      </c>
      <c r="D12" s="4" t="s">
        <v>1583</v>
      </c>
      <c r="E12" s="4" t="s">
        <v>5804</v>
      </c>
      <c r="F12" t="s">
        <v>557</v>
      </c>
      <c r="G12" t="s">
        <v>557</v>
      </c>
      <c r="H12" t="s">
        <v>53</v>
      </c>
      <c r="I12" t="s">
        <v>53</v>
      </c>
      <c r="J12" s="5" t="s">
        <v>53</v>
      </c>
      <c r="K12" t="s">
        <v>146</v>
      </c>
      <c r="L12" s="6">
        <v>43313</v>
      </c>
      <c r="M12">
        <v>8</v>
      </c>
      <c r="N12" s="7" t="s">
        <v>55</v>
      </c>
      <c r="O12" t="s">
        <v>24</v>
      </c>
      <c r="P12" t="s">
        <v>1584</v>
      </c>
      <c r="Q12" t="s">
        <v>1585</v>
      </c>
      <c r="R12" t="s">
        <v>1586</v>
      </c>
    </row>
    <row r="13" spans="1:18" hidden="1">
      <c r="A13">
        <v>12</v>
      </c>
      <c r="B13" s="4" t="s">
        <v>901</v>
      </c>
      <c r="C13" s="4" t="s">
        <v>1672</v>
      </c>
      <c r="D13" s="4" t="s">
        <v>1673</v>
      </c>
      <c r="E13" s="4" t="s">
        <v>5804</v>
      </c>
      <c r="F13" t="s">
        <v>557</v>
      </c>
      <c r="G13" t="s">
        <v>557</v>
      </c>
      <c r="H13" t="s">
        <v>53</v>
      </c>
      <c r="I13" t="s">
        <v>53</v>
      </c>
      <c r="J13" s="5" t="s">
        <v>53</v>
      </c>
      <c r="K13" t="s">
        <v>71</v>
      </c>
      <c r="L13" s="6">
        <v>42522</v>
      </c>
      <c r="M13">
        <v>6</v>
      </c>
      <c r="N13" s="7" t="s">
        <v>55</v>
      </c>
      <c r="O13" t="s">
        <v>24</v>
      </c>
      <c r="P13" t="s">
        <v>1708</v>
      </c>
      <c r="Q13" t="s">
        <v>1709</v>
      </c>
      <c r="R13" t="s">
        <v>1710</v>
      </c>
    </row>
    <row r="14" spans="1:18" hidden="1">
      <c r="A14">
        <v>12</v>
      </c>
      <c r="B14" s="4" t="s">
        <v>901</v>
      </c>
      <c r="C14" s="4" t="s">
        <v>1672</v>
      </c>
      <c r="D14" s="4" t="s">
        <v>1673</v>
      </c>
      <c r="E14" s="4" t="s">
        <v>5804</v>
      </c>
      <c r="F14" t="s">
        <v>557</v>
      </c>
      <c r="G14" t="s">
        <v>557</v>
      </c>
      <c r="H14" t="s">
        <v>53</v>
      </c>
      <c r="I14" t="s">
        <v>53</v>
      </c>
      <c r="J14" s="5" t="s">
        <v>53</v>
      </c>
      <c r="K14" t="s">
        <v>164</v>
      </c>
      <c r="L14" s="6">
        <v>43617</v>
      </c>
      <c r="M14">
        <v>6</v>
      </c>
      <c r="N14" s="7" t="s">
        <v>55</v>
      </c>
      <c r="O14" t="s">
        <v>31</v>
      </c>
      <c r="P14" t="s">
        <v>1863</v>
      </c>
      <c r="Q14" t="s">
        <v>1864</v>
      </c>
      <c r="R14" t="s">
        <v>1865</v>
      </c>
    </row>
    <row r="15" spans="1:18" hidden="1">
      <c r="A15">
        <v>2</v>
      </c>
      <c r="B15" s="4" t="s">
        <v>1952</v>
      </c>
      <c r="C15" s="4" t="s">
        <v>1953</v>
      </c>
      <c r="D15" s="4" t="s">
        <v>1954</v>
      </c>
      <c r="E15" s="4" t="s">
        <v>5804</v>
      </c>
      <c r="F15" t="s">
        <v>557</v>
      </c>
      <c r="G15" t="s">
        <v>557</v>
      </c>
      <c r="H15" t="s">
        <v>53</v>
      </c>
      <c r="I15" t="s">
        <v>53</v>
      </c>
      <c r="J15" s="5" t="s">
        <v>53</v>
      </c>
      <c r="K15" t="s">
        <v>115</v>
      </c>
      <c r="L15" s="6">
        <v>42461</v>
      </c>
      <c r="M15">
        <v>4</v>
      </c>
      <c r="N15" s="7" t="s">
        <v>23</v>
      </c>
      <c r="O15" t="s">
        <v>193</v>
      </c>
      <c r="P15" t="s">
        <v>1964</v>
      </c>
      <c r="Q15" t="s">
        <v>1466</v>
      </c>
      <c r="R15" t="s">
        <v>1467</v>
      </c>
    </row>
    <row r="16" spans="1:18" hidden="1">
      <c r="A16">
        <v>2</v>
      </c>
      <c r="B16" s="4" t="s">
        <v>1952</v>
      </c>
      <c r="C16" s="4" t="s">
        <v>1953</v>
      </c>
      <c r="D16" s="4" t="s">
        <v>1954</v>
      </c>
      <c r="E16" s="4" t="s">
        <v>5804</v>
      </c>
      <c r="F16" t="s">
        <v>557</v>
      </c>
      <c r="G16" t="s">
        <v>557</v>
      </c>
      <c r="H16" t="s">
        <v>53</v>
      </c>
      <c r="I16" t="s">
        <v>53</v>
      </c>
      <c r="J16" s="5" t="s">
        <v>53</v>
      </c>
      <c r="K16" t="s">
        <v>29</v>
      </c>
      <c r="L16" s="6">
        <v>43070</v>
      </c>
      <c r="M16">
        <v>12</v>
      </c>
      <c r="N16" s="7" t="s">
        <v>30</v>
      </c>
      <c r="O16" t="s">
        <v>31</v>
      </c>
      <c r="P16" t="s">
        <v>2012</v>
      </c>
      <c r="Q16" t="s">
        <v>2013</v>
      </c>
      <c r="R16" t="s">
        <v>2014</v>
      </c>
    </row>
    <row r="17" spans="1:18" hidden="1">
      <c r="A17">
        <v>2</v>
      </c>
      <c r="B17" s="4" t="s">
        <v>1952</v>
      </c>
      <c r="C17" s="4" t="s">
        <v>1953</v>
      </c>
      <c r="D17" s="4" t="s">
        <v>2224</v>
      </c>
      <c r="E17" s="4" t="s">
        <v>5804</v>
      </c>
      <c r="F17" t="s">
        <v>557</v>
      </c>
      <c r="G17" t="s">
        <v>557</v>
      </c>
      <c r="H17" t="s">
        <v>53</v>
      </c>
      <c r="I17" t="s">
        <v>53</v>
      </c>
      <c r="J17" s="5" t="s">
        <v>53</v>
      </c>
      <c r="K17" t="s">
        <v>115</v>
      </c>
      <c r="L17" s="6">
        <v>42461</v>
      </c>
      <c r="M17">
        <v>4</v>
      </c>
      <c r="N17" s="7" t="s">
        <v>23</v>
      </c>
      <c r="O17" t="s">
        <v>24</v>
      </c>
      <c r="P17" t="s">
        <v>2231</v>
      </c>
      <c r="Q17" t="s">
        <v>2232</v>
      </c>
      <c r="R17" t="s">
        <v>2233</v>
      </c>
    </row>
    <row r="18" spans="1:18" hidden="1">
      <c r="A18">
        <v>2</v>
      </c>
      <c r="B18" s="4" t="s">
        <v>1952</v>
      </c>
      <c r="C18" s="4" t="s">
        <v>1953</v>
      </c>
      <c r="D18" s="4" t="s">
        <v>2326</v>
      </c>
      <c r="E18" s="4" t="s">
        <v>5804</v>
      </c>
      <c r="F18" t="s">
        <v>557</v>
      </c>
      <c r="G18" t="s">
        <v>557</v>
      </c>
      <c r="H18" t="s">
        <v>53</v>
      </c>
      <c r="I18" t="s">
        <v>53</v>
      </c>
      <c r="J18" s="5" t="s">
        <v>53</v>
      </c>
      <c r="K18" t="s">
        <v>119</v>
      </c>
      <c r="L18" s="6">
        <v>42552</v>
      </c>
      <c r="M18">
        <v>7</v>
      </c>
      <c r="N18" s="7" t="s">
        <v>55</v>
      </c>
      <c r="O18" t="s">
        <v>31</v>
      </c>
      <c r="P18" t="s">
        <v>2330</v>
      </c>
      <c r="Q18" t="s">
        <v>2331</v>
      </c>
      <c r="R18" t="s">
        <v>2332</v>
      </c>
    </row>
    <row r="19" spans="1:18" hidden="1">
      <c r="A19">
        <v>2</v>
      </c>
      <c r="B19" s="4" t="s">
        <v>1952</v>
      </c>
      <c r="C19" s="4" t="s">
        <v>2425</v>
      </c>
      <c r="D19" s="4" t="s">
        <v>2446</v>
      </c>
      <c r="E19" s="4" t="s">
        <v>5804</v>
      </c>
      <c r="F19" t="s">
        <v>557</v>
      </c>
      <c r="G19" t="s">
        <v>557</v>
      </c>
      <c r="H19" t="s">
        <v>53</v>
      </c>
      <c r="I19" t="s">
        <v>53</v>
      </c>
      <c r="J19" s="5" t="s">
        <v>53</v>
      </c>
      <c r="K19" t="s">
        <v>65</v>
      </c>
      <c r="L19" s="6">
        <v>42430</v>
      </c>
      <c r="M19">
        <v>3</v>
      </c>
      <c r="N19" s="7" t="s">
        <v>23</v>
      </c>
      <c r="O19" t="s">
        <v>31</v>
      </c>
      <c r="P19" t="s">
        <v>2450</v>
      </c>
      <c r="Q19" t="s">
        <v>2451</v>
      </c>
      <c r="R19" t="s">
        <v>2452</v>
      </c>
    </row>
    <row r="20" spans="1:18" hidden="1">
      <c r="A20">
        <v>2</v>
      </c>
      <c r="B20" s="4" t="s">
        <v>1952</v>
      </c>
      <c r="C20" s="4" t="s">
        <v>2425</v>
      </c>
      <c r="D20" s="4" t="s">
        <v>2446</v>
      </c>
      <c r="E20" s="4" t="s">
        <v>5804</v>
      </c>
      <c r="F20" t="s">
        <v>557</v>
      </c>
      <c r="G20" t="s">
        <v>557</v>
      </c>
      <c r="H20" t="s">
        <v>53</v>
      </c>
      <c r="I20" t="s">
        <v>53</v>
      </c>
      <c r="J20" s="5" t="s">
        <v>53</v>
      </c>
      <c r="K20" t="s">
        <v>319</v>
      </c>
      <c r="L20" s="6">
        <v>42583</v>
      </c>
      <c r="M20">
        <v>8</v>
      </c>
      <c r="N20" s="7" t="s">
        <v>55</v>
      </c>
      <c r="O20" t="s">
        <v>31</v>
      </c>
      <c r="P20" t="s">
        <v>2456</v>
      </c>
      <c r="Q20" t="s">
        <v>2457</v>
      </c>
      <c r="R20" t="s">
        <v>2432</v>
      </c>
    </row>
    <row r="21" spans="1:18" hidden="1">
      <c r="A21">
        <v>2</v>
      </c>
      <c r="B21" s="4" t="s">
        <v>1952</v>
      </c>
      <c r="C21" s="4" t="s">
        <v>2425</v>
      </c>
      <c r="D21" s="4" t="s">
        <v>2446</v>
      </c>
      <c r="E21" s="4" t="s">
        <v>5804</v>
      </c>
      <c r="F21" t="s">
        <v>557</v>
      </c>
      <c r="G21" t="s">
        <v>557</v>
      </c>
      <c r="H21" t="s">
        <v>53</v>
      </c>
      <c r="I21" t="s">
        <v>53</v>
      </c>
      <c r="J21" s="5" t="s">
        <v>53</v>
      </c>
      <c r="K21" t="s">
        <v>76</v>
      </c>
      <c r="L21" s="6">
        <v>42856</v>
      </c>
      <c r="M21">
        <v>5</v>
      </c>
      <c r="N21" s="7" t="s">
        <v>23</v>
      </c>
      <c r="O21" t="s">
        <v>418</v>
      </c>
      <c r="P21" t="s">
        <v>2474</v>
      </c>
      <c r="Q21" t="s">
        <v>2475</v>
      </c>
      <c r="R21" t="s">
        <v>2476</v>
      </c>
    </row>
    <row r="22" spans="1:18" hidden="1">
      <c r="A22">
        <v>2</v>
      </c>
      <c r="B22" s="4" t="s">
        <v>1952</v>
      </c>
      <c r="C22" s="4" t="s">
        <v>2566</v>
      </c>
      <c r="D22" s="4" t="s">
        <v>2620</v>
      </c>
      <c r="E22" s="4" t="s">
        <v>5804</v>
      </c>
      <c r="F22" t="s">
        <v>557</v>
      </c>
      <c r="G22" t="s">
        <v>557</v>
      </c>
      <c r="H22" t="s">
        <v>53</v>
      </c>
      <c r="I22" t="s">
        <v>53</v>
      </c>
      <c r="J22" s="5" t="s">
        <v>53</v>
      </c>
      <c r="K22" t="s">
        <v>43</v>
      </c>
      <c r="L22" s="6">
        <v>43525</v>
      </c>
      <c r="M22">
        <v>3</v>
      </c>
      <c r="N22" s="7" t="s">
        <v>23</v>
      </c>
      <c r="O22" t="s">
        <v>24</v>
      </c>
      <c r="P22" t="s">
        <v>2685</v>
      </c>
      <c r="Q22" t="s">
        <v>2686</v>
      </c>
      <c r="R22" t="s">
        <v>2687</v>
      </c>
    </row>
    <row r="23" spans="1:18" hidden="1">
      <c r="A23">
        <v>2</v>
      </c>
      <c r="B23" s="4" t="s">
        <v>1952</v>
      </c>
      <c r="C23" s="4" t="s">
        <v>2566</v>
      </c>
      <c r="D23" s="4" t="s">
        <v>2735</v>
      </c>
      <c r="E23" s="4" t="s">
        <v>5804</v>
      </c>
      <c r="F23" t="s">
        <v>557</v>
      </c>
      <c r="G23" t="s">
        <v>557</v>
      </c>
      <c r="H23" t="s">
        <v>53</v>
      </c>
      <c r="I23" t="s">
        <v>53</v>
      </c>
      <c r="J23" s="5" t="s">
        <v>53</v>
      </c>
      <c r="K23" t="s">
        <v>29</v>
      </c>
      <c r="L23" s="6">
        <v>43070</v>
      </c>
      <c r="M23">
        <v>12</v>
      </c>
      <c r="N23" s="7" t="s">
        <v>30</v>
      </c>
      <c r="O23" t="s">
        <v>31</v>
      </c>
      <c r="P23" t="s">
        <v>2748</v>
      </c>
      <c r="Q23" t="s">
        <v>2749</v>
      </c>
      <c r="R23" t="s">
        <v>2750</v>
      </c>
    </row>
    <row r="24" spans="1:18">
      <c r="A24">
        <v>3</v>
      </c>
      <c r="B24" s="4" t="s">
        <v>2764</v>
      </c>
      <c r="C24" s="4" t="s">
        <v>2765</v>
      </c>
      <c r="D24" s="4" t="s">
        <v>2816</v>
      </c>
      <c r="E24" s="4" t="s">
        <v>5804</v>
      </c>
      <c r="F24" t="s">
        <v>557</v>
      </c>
      <c r="G24" t="s">
        <v>557</v>
      </c>
      <c r="H24" t="s">
        <v>53</v>
      </c>
      <c r="I24" t="s">
        <v>53</v>
      </c>
      <c r="J24" s="5" t="s">
        <v>53</v>
      </c>
      <c r="K24" t="s">
        <v>128</v>
      </c>
      <c r="L24" s="6">
        <v>42795</v>
      </c>
      <c r="M24">
        <v>3</v>
      </c>
      <c r="N24" s="7" t="s">
        <v>23</v>
      </c>
      <c r="O24" t="s">
        <v>31</v>
      </c>
      <c r="P24" t="s">
        <v>2865</v>
      </c>
      <c r="Q24" t="s">
        <v>2866</v>
      </c>
      <c r="R24" t="s">
        <v>2867</v>
      </c>
    </row>
    <row r="25" spans="1:18">
      <c r="A25">
        <v>3</v>
      </c>
      <c r="B25" s="4" t="s">
        <v>2764</v>
      </c>
      <c r="C25" s="4" t="s">
        <v>2765</v>
      </c>
      <c r="D25" s="4" t="s">
        <v>2816</v>
      </c>
      <c r="E25" s="4" t="s">
        <v>5804</v>
      </c>
      <c r="F25" t="s">
        <v>557</v>
      </c>
      <c r="G25" t="s">
        <v>557</v>
      </c>
      <c r="H25" t="s">
        <v>53</v>
      </c>
      <c r="I25" t="s">
        <v>53</v>
      </c>
      <c r="J25" s="5" t="s">
        <v>53</v>
      </c>
      <c r="K25" t="s">
        <v>152</v>
      </c>
      <c r="L25" s="6">
        <v>43374</v>
      </c>
      <c r="M25">
        <v>10</v>
      </c>
      <c r="N25" s="7" t="s">
        <v>23</v>
      </c>
      <c r="O25" t="s">
        <v>31</v>
      </c>
      <c r="P25" t="s">
        <v>2939</v>
      </c>
      <c r="Q25" t="s">
        <v>2940</v>
      </c>
      <c r="R25" t="s">
        <v>2941</v>
      </c>
    </row>
    <row r="26" spans="1:18">
      <c r="A26">
        <v>3</v>
      </c>
      <c r="B26" s="4" t="s">
        <v>2764</v>
      </c>
      <c r="C26" s="4" t="s">
        <v>2765</v>
      </c>
      <c r="D26" s="4" t="s">
        <v>2816</v>
      </c>
      <c r="E26" s="4" t="s">
        <v>5804</v>
      </c>
      <c r="F26" t="s">
        <v>557</v>
      </c>
      <c r="G26" t="s">
        <v>557</v>
      </c>
      <c r="H26" t="s">
        <v>53</v>
      </c>
      <c r="I26" t="s">
        <v>53</v>
      </c>
      <c r="J26" s="5" t="s">
        <v>53</v>
      </c>
      <c r="K26" t="s">
        <v>489</v>
      </c>
      <c r="L26" s="6">
        <v>44409</v>
      </c>
      <c r="M26">
        <v>8</v>
      </c>
      <c r="N26" s="7" t="s">
        <v>55</v>
      </c>
      <c r="O26" t="s">
        <v>31</v>
      </c>
      <c r="P26" t="s">
        <v>3075</v>
      </c>
      <c r="Q26" t="s">
        <v>3076</v>
      </c>
      <c r="R26" t="s">
        <v>3077</v>
      </c>
    </row>
    <row r="27" spans="1:18">
      <c r="A27">
        <v>3</v>
      </c>
      <c r="B27" s="4" t="s">
        <v>2764</v>
      </c>
      <c r="C27" s="4" t="s">
        <v>2765</v>
      </c>
      <c r="D27" s="4" t="s">
        <v>3092</v>
      </c>
      <c r="E27" s="4" t="s">
        <v>5804</v>
      </c>
      <c r="F27" t="s">
        <v>557</v>
      </c>
      <c r="G27" t="s">
        <v>557</v>
      </c>
      <c r="H27" t="s">
        <v>53</v>
      </c>
      <c r="I27" t="s">
        <v>53</v>
      </c>
      <c r="J27" s="5" t="s">
        <v>53</v>
      </c>
      <c r="K27" t="s">
        <v>93</v>
      </c>
      <c r="L27" s="6">
        <v>43282</v>
      </c>
      <c r="M27">
        <v>7</v>
      </c>
      <c r="N27" s="7" t="s">
        <v>55</v>
      </c>
      <c r="O27" t="s">
        <v>193</v>
      </c>
      <c r="P27" t="s">
        <v>3111</v>
      </c>
      <c r="Q27" t="s">
        <v>3112</v>
      </c>
      <c r="R27" t="s">
        <v>3113</v>
      </c>
    </row>
    <row r="28" spans="1:18" hidden="1">
      <c r="A28">
        <v>4</v>
      </c>
      <c r="B28" s="4" t="s">
        <v>3127</v>
      </c>
      <c r="C28" s="4" t="s">
        <v>3128</v>
      </c>
      <c r="D28" s="4" t="s">
        <v>3247</v>
      </c>
      <c r="E28" s="4" t="s">
        <v>5804</v>
      </c>
      <c r="F28" t="s">
        <v>557</v>
      </c>
      <c r="G28" t="s">
        <v>557</v>
      </c>
      <c r="H28" t="s">
        <v>53</v>
      </c>
      <c r="I28" t="s">
        <v>53</v>
      </c>
      <c r="J28" s="5" t="s">
        <v>53</v>
      </c>
      <c r="K28" t="s">
        <v>43</v>
      </c>
      <c r="L28" s="6">
        <v>43525</v>
      </c>
      <c r="M28">
        <v>3</v>
      </c>
      <c r="N28" s="7" t="s">
        <v>23</v>
      </c>
      <c r="O28" t="s">
        <v>193</v>
      </c>
      <c r="P28" t="s">
        <v>3348</v>
      </c>
      <c r="Q28" t="s">
        <v>3349</v>
      </c>
      <c r="R28" t="s">
        <v>3350</v>
      </c>
    </row>
    <row r="29" spans="1:18" hidden="1">
      <c r="A29">
        <v>4</v>
      </c>
      <c r="B29" s="4" t="s">
        <v>3127</v>
      </c>
      <c r="C29" s="4" t="s">
        <v>3374</v>
      </c>
      <c r="D29" s="4" t="s">
        <v>3375</v>
      </c>
      <c r="E29" s="4" t="s">
        <v>5804</v>
      </c>
      <c r="F29" t="s">
        <v>557</v>
      </c>
      <c r="G29" t="s">
        <v>557</v>
      </c>
      <c r="H29" t="s">
        <v>53</v>
      </c>
      <c r="I29" t="s">
        <v>53</v>
      </c>
      <c r="J29" s="5" t="s">
        <v>53</v>
      </c>
      <c r="K29" t="s">
        <v>399</v>
      </c>
      <c r="L29" s="6">
        <v>43678</v>
      </c>
      <c r="M29">
        <v>8</v>
      </c>
      <c r="N29" s="7" t="s">
        <v>55</v>
      </c>
      <c r="O29" t="s">
        <v>24</v>
      </c>
      <c r="P29" t="s">
        <v>3466</v>
      </c>
      <c r="Q29" t="s">
        <v>3467</v>
      </c>
      <c r="R29" t="s">
        <v>3468</v>
      </c>
    </row>
    <row r="30" spans="1:18" hidden="1">
      <c r="A30">
        <v>4</v>
      </c>
      <c r="B30" s="4" t="s">
        <v>3127</v>
      </c>
      <c r="C30" s="4" t="s">
        <v>3789</v>
      </c>
      <c r="D30" s="4" t="s">
        <v>3790</v>
      </c>
      <c r="E30" s="4" t="s">
        <v>5804</v>
      </c>
      <c r="F30" t="s">
        <v>557</v>
      </c>
      <c r="G30" t="s">
        <v>557</v>
      </c>
      <c r="H30" t="s">
        <v>53</v>
      </c>
      <c r="I30" t="s">
        <v>53</v>
      </c>
      <c r="J30" s="5" t="s">
        <v>53</v>
      </c>
      <c r="K30" t="s">
        <v>128</v>
      </c>
      <c r="L30" s="6">
        <v>42795</v>
      </c>
      <c r="M30">
        <v>3</v>
      </c>
      <c r="N30" s="7" t="s">
        <v>23</v>
      </c>
      <c r="O30" t="s">
        <v>24</v>
      </c>
      <c r="P30" t="s">
        <v>3800</v>
      </c>
      <c r="Q30" t="s">
        <v>3801</v>
      </c>
      <c r="R30" t="s">
        <v>3802</v>
      </c>
    </row>
    <row r="31" spans="1:18" hidden="1">
      <c r="A31">
        <v>4</v>
      </c>
      <c r="B31" s="4" t="s">
        <v>3127</v>
      </c>
      <c r="C31" s="4" t="s">
        <v>3789</v>
      </c>
      <c r="D31" s="4" t="s">
        <v>3815</v>
      </c>
      <c r="E31" s="4" t="s">
        <v>5804</v>
      </c>
      <c r="F31" t="s">
        <v>557</v>
      </c>
      <c r="G31" t="s">
        <v>557</v>
      </c>
      <c r="H31" t="s">
        <v>53</v>
      </c>
      <c r="I31" t="s">
        <v>53</v>
      </c>
      <c r="J31" s="5" t="s">
        <v>53</v>
      </c>
      <c r="K31" t="s">
        <v>1085</v>
      </c>
      <c r="L31" s="6">
        <v>43862</v>
      </c>
      <c r="M31">
        <v>2</v>
      </c>
      <c r="N31" s="7" t="s">
        <v>30</v>
      </c>
      <c r="O31" t="s">
        <v>31</v>
      </c>
      <c r="P31" t="s">
        <v>3898</v>
      </c>
      <c r="Q31" t="s">
        <v>3899</v>
      </c>
      <c r="R31" t="s">
        <v>3900</v>
      </c>
    </row>
    <row r="32" spans="1:18" hidden="1">
      <c r="A32">
        <v>4</v>
      </c>
      <c r="B32" s="4" t="s">
        <v>3127</v>
      </c>
      <c r="C32" s="4" t="s">
        <v>3789</v>
      </c>
      <c r="D32" s="4" t="s">
        <v>3815</v>
      </c>
      <c r="E32" s="4" t="s">
        <v>5804</v>
      </c>
      <c r="F32" t="s">
        <v>557</v>
      </c>
      <c r="G32" t="s">
        <v>557</v>
      </c>
      <c r="H32" t="s">
        <v>53</v>
      </c>
      <c r="I32" t="s">
        <v>53</v>
      </c>
      <c r="J32" s="5" t="s">
        <v>53</v>
      </c>
      <c r="K32" t="s">
        <v>99</v>
      </c>
      <c r="L32" s="6">
        <v>43891</v>
      </c>
      <c r="M32">
        <v>3</v>
      </c>
      <c r="N32" s="7" t="s">
        <v>23</v>
      </c>
      <c r="O32" t="s">
        <v>512</v>
      </c>
      <c r="P32" t="s">
        <v>3901</v>
      </c>
      <c r="Q32" t="s">
        <v>3902</v>
      </c>
      <c r="R32" t="s">
        <v>3903</v>
      </c>
    </row>
    <row r="33" spans="1:18" hidden="1">
      <c r="A33">
        <v>4</v>
      </c>
      <c r="B33" s="4" t="s">
        <v>3127</v>
      </c>
      <c r="C33" s="4" t="s">
        <v>4035</v>
      </c>
      <c r="D33" s="4" t="s">
        <v>4036</v>
      </c>
      <c r="E33" s="4" t="s">
        <v>5804</v>
      </c>
      <c r="F33" t="s">
        <v>557</v>
      </c>
      <c r="G33" t="s">
        <v>557</v>
      </c>
      <c r="H33" t="s">
        <v>53</v>
      </c>
      <c r="I33" t="s">
        <v>53</v>
      </c>
      <c r="J33" s="5" t="s">
        <v>53</v>
      </c>
      <c r="K33" t="s">
        <v>218</v>
      </c>
      <c r="L33" s="6">
        <v>42614</v>
      </c>
      <c r="M33">
        <v>9</v>
      </c>
      <c r="N33" s="7" t="s">
        <v>23</v>
      </c>
      <c r="O33" t="s">
        <v>24</v>
      </c>
      <c r="P33" t="s">
        <v>4040</v>
      </c>
      <c r="Q33" t="s">
        <v>4041</v>
      </c>
      <c r="R33" t="s">
        <v>4042</v>
      </c>
    </row>
    <row r="34" spans="1:18" hidden="1">
      <c r="A34">
        <v>4</v>
      </c>
      <c r="B34" s="4" t="s">
        <v>3127</v>
      </c>
      <c r="C34" s="4" t="s">
        <v>4207</v>
      </c>
      <c r="D34" s="4" t="s">
        <v>4257</v>
      </c>
      <c r="E34" s="4" t="s">
        <v>5804</v>
      </c>
      <c r="F34" t="s">
        <v>557</v>
      </c>
      <c r="G34" t="s">
        <v>557</v>
      </c>
      <c r="H34" t="s">
        <v>53</v>
      </c>
      <c r="I34" t="s">
        <v>53</v>
      </c>
      <c r="J34" s="5" t="s">
        <v>53</v>
      </c>
      <c r="K34" t="s">
        <v>178</v>
      </c>
      <c r="L34" s="6">
        <v>44228</v>
      </c>
      <c r="M34">
        <v>2</v>
      </c>
      <c r="N34" s="7" t="s">
        <v>30</v>
      </c>
      <c r="O34" t="s">
        <v>31</v>
      </c>
      <c r="P34" t="s">
        <v>4569</v>
      </c>
      <c r="Q34" t="s">
        <v>4570</v>
      </c>
      <c r="R34" t="s">
        <v>4571</v>
      </c>
    </row>
    <row r="35" spans="1:18" hidden="1">
      <c r="A35">
        <v>4</v>
      </c>
      <c r="B35" s="4" t="s">
        <v>3127</v>
      </c>
      <c r="C35" s="4" t="s">
        <v>4207</v>
      </c>
      <c r="D35" s="4" t="s">
        <v>4257</v>
      </c>
      <c r="E35" s="4" t="s">
        <v>5804</v>
      </c>
      <c r="F35" t="s">
        <v>557</v>
      </c>
      <c r="G35" t="s">
        <v>557</v>
      </c>
      <c r="H35" t="s">
        <v>53</v>
      </c>
      <c r="I35" t="s">
        <v>53</v>
      </c>
      <c r="J35" s="5" t="s">
        <v>53</v>
      </c>
      <c r="K35" t="s">
        <v>645</v>
      </c>
      <c r="L35" s="6">
        <v>44440</v>
      </c>
      <c r="M35">
        <v>9</v>
      </c>
      <c r="N35" s="7" t="s">
        <v>23</v>
      </c>
      <c r="O35" t="s">
        <v>31</v>
      </c>
      <c r="P35" t="s">
        <v>4586</v>
      </c>
      <c r="Q35" t="s">
        <v>4587</v>
      </c>
      <c r="R35" t="s">
        <v>4588</v>
      </c>
    </row>
    <row r="36" spans="1:18" hidden="1">
      <c r="A36">
        <v>5</v>
      </c>
      <c r="B36" s="4" t="s">
        <v>4600</v>
      </c>
      <c r="C36" s="4" t="s">
        <v>4601</v>
      </c>
      <c r="D36" s="4" t="s">
        <v>4853</v>
      </c>
      <c r="E36" s="4" t="s">
        <v>5804</v>
      </c>
      <c r="F36" t="s">
        <v>557</v>
      </c>
      <c r="G36" t="s">
        <v>557</v>
      </c>
      <c r="H36" t="s">
        <v>53</v>
      </c>
      <c r="I36" t="s">
        <v>53</v>
      </c>
      <c r="J36" s="5" t="s">
        <v>53</v>
      </c>
      <c r="K36" t="s">
        <v>255</v>
      </c>
      <c r="L36" s="6">
        <v>43983</v>
      </c>
      <c r="M36">
        <v>6</v>
      </c>
      <c r="N36" s="7" t="s">
        <v>55</v>
      </c>
      <c r="O36" t="s">
        <v>193</v>
      </c>
      <c r="P36" t="s">
        <v>4924</v>
      </c>
      <c r="Q36" t="s">
        <v>4925</v>
      </c>
      <c r="R36" t="s">
        <v>4926</v>
      </c>
    </row>
    <row r="37" spans="1:18" hidden="1">
      <c r="A37">
        <v>5</v>
      </c>
      <c r="B37" s="4" t="s">
        <v>4600</v>
      </c>
      <c r="C37" s="4" t="s">
        <v>4933</v>
      </c>
      <c r="D37" s="4" t="s">
        <v>4934</v>
      </c>
      <c r="E37" s="4" t="s">
        <v>5804</v>
      </c>
      <c r="F37" t="s">
        <v>557</v>
      </c>
      <c r="G37" t="s">
        <v>557</v>
      </c>
      <c r="H37" t="s">
        <v>53</v>
      </c>
      <c r="I37" t="s">
        <v>53</v>
      </c>
      <c r="J37" s="5" t="s">
        <v>53</v>
      </c>
      <c r="K37" t="s">
        <v>645</v>
      </c>
      <c r="L37" s="6">
        <v>44440</v>
      </c>
      <c r="M37">
        <v>9</v>
      </c>
      <c r="N37" s="7" t="s">
        <v>23</v>
      </c>
      <c r="O37" t="s">
        <v>31</v>
      </c>
      <c r="P37" t="s">
        <v>5010</v>
      </c>
      <c r="Q37" t="s">
        <v>4631</v>
      </c>
      <c r="R37" t="s">
        <v>4632</v>
      </c>
    </row>
    <row r="38" spans="1:18" hidden="1">
      <c r="A38">
        <v>5</v>
      </c>
      <c r="B38" s="4" t="s">
        <v>4600</v>
      </c>
      <c r="C38" s="4" t="s">
        <v>4933</v>
      </c>
      <c r="D38" s="4" t="s">
        <v>5014</v>
      </c>
      <c r="E38" s="4" t="s">
        <v>5804</v>
      </c>
      <c r="F38" t="s">
        <v>557</v>
      </c>
      <c r="G38" t="s">
        <v>557</v>
      </c>
      <c r="H38" t="s">
        <v>53</v>
      </c>
      <c r="I38" t="s">
        <v>53</v>
      </c>
      <c r="J38" s="5" t="s">
        <v>53</v>
      </c>
      <c r="K38" t="s">
        <v>482</v>
      </c>
      <c r="L38" s="6">
        <v>43435</v>
      </c>
      <c r="M38">
        <v>12</v>
      </c>
      <c r="N38" s="7" t="s">
        <v>30</v>
      </c>
      <c r="O38" t="s">
        <v>31</v>
      </c>
      <c r="P38" t="s">
        <v>5224</v>
      </c>
      <c r="Q38" t="s">
        <v>5225</v>
      </c>
      <c r="R38" t="s">
        <v>5226</v>
      </c>
    </row>
    <row r="39" spans="1:18" hidden="1">
      <c r="A39">
        <v>6</v>
      </c>
      <c r="B39" s="4" t="s">
        <v>5462</v>
      </c>
      <c r="C39" s="4" t="s">
        <v>5463</v>
      </c>
      <c r="D39" s="4" t="s">
        <v>5464</v>
      </c>
      <c r="E39" s="4" t="s">
        <v>5804</v>
      </c>
      <c r="F39" t="s">
        <v>557</v>
      </c>
      <c r="G39" t="s">
        <v>557</v>
      </c>
      <c r="H39" t="s">
        <v>53</v>
      </c>
      <c r="I39" t="s">
        <v>53</v>
      </c>
      <c r="J39" s="5" t="s">
        <v>53</v>
      </c>
      <c r="K39" t="s">
        <v>43</v>
      </c>
      <c r="L39" s="6">
        <v>43525</v>
      </c>
      <c r="M39">
        <v>3</v>
      </c>
      <c r="N39" s="7" t="s">
        <v>23</v>
      </c>
      <c r="O39" t="s">
        <v>24</v>
      </c>
      <c r="P39" t="s">
        <v>5478</v>
      </c>
      <c r="Q39" t="s">
        <v>5479</v>
      </c>
      <c r="R39" t="s">
        <v>5480</v>
      </c>
    </row>
    <row r="40" spans="1:18" hidden="1">
      <c r="A40">
        <v>8</v>
      </c>
      <c r="B40" s="4" t="s">
        <v>5679</v>
      </c>
      <c r="C40" s="4" t="s">
        <v>5721</v>
      </c>
      <c r="D40" s="4" t="s">
        <v>5722</v>
      </c>
      <c r="E40" s="4" t="s">
        <v>5805</v>
      </c>
      <c r="F40" t="s">
        <v>557</v>
      </c>
      <c r="G40" t="s">
        <v>557</v>
      </c>
      <c r="H40" t="s">
        <v>53</v>
      </c>
      <c r="I40" t="s">
        <v>53</v>
      </c>
      <c r="J40" s="5" t="s">
        <v>53</v>
      </c>
      <c r="K40" t="s">
        <v>5723</v>
      </c>
      <c r="L40" s="6">
        <v>42736</v>
      </c>
      <c r="M40">
        <v>1</v>
      </c>
      <c r="N40" s="7" t="s">
        <v>30</v>
      </c>
      <c r="O40" t="s">
        <v>36</v>
      </c>
      <c r="P40" t="s">
        <v>5724</v>
      </c>
      <c r="Q40" t="s">
        <v>5725</v>
      </c>
      <c r="R40" t="s">
        <v>5726</v>
      </c>
    </row>
    <row r="41" spans="1:18" hidden="1">
      <c r="A41">
        <v>1</v>
      </c>
      <c r="B41" s="4" t="s">
        <v>16</v>
      </c>
      <c r="C41" s="4" t="s">
        <v>40</v>
      </c>
      <c r="D41" s="4" t="s">
        <v>18</v>
      </c>
      <c r="E41" s="4" t="s">
        <v>5804</v>
      </c>
      <c r="F41" t="s">
        <v>41</v>
      </c>
      <c r="G41" t="s">
        <v>42</v>
      </c>
      <c r="H41" t="s">
        <v>21</v>
      </c>
      <c r="I41">
        <v>1</v>
      </c>
      <c r="J41" s="5">
        <v>0.09</v>
      </c>
      <c r="K41" t="s">
        <v>43</v>
      </c>
      <c r="L41" s="6">
        <v>43525</v>
      </c>
      <c r="M41">
        <v>3</v>
      </c>
      <c r="N41" s="7" t="s">
        <v>23</v>
      </c>
      <c r="O41" t="s">
        <v>31</v>
      </c>
      <c r="P41" t="s">
        <v>44</v>
      </c>
      <c r="Q41" t="s">
        <v>45</v>
      </c>
      <c r="R41" t="s">
        <v>46</v>
      </c>
    </row>
    <row r="42" spans="1:18" hidden="1">
      <c r="A42">
        <v>1</v>
      </c>
      <c r="B42" s="4" t="s">
        <v>16</v>
      </c>
      <c r="C42" s="4" t="s">
        <v>17</v>
      </c>
      <c r="D42" s="4" t="s">
        <v>47</v>
      </c>
      <c r="E42" s="4" t="s">
        <v>5804</v>
      </c>
      <c r="F42" t="s">
        <v>41</v>
      </c>
      <c r="G42" t="s">
        <v>59</v>
      </c>
      <c r="H42" t="s">
        <v>21</v>
      </c>
      <c r="I42">
        <v>1</v>
      </c>
      <c r="J42" s="5">
        <v>0.09</v>
      </c>
      <c r="K42" t="s">
        <v>60</v>
      </c>
      <c r="L42" s="6">
        <v>42370</v>
      </c>
      <c r="M42">
        <v>1</v>
      </c>
      <c r="N42" s="7" t="s">
        <v>30</v>
      </c>
      <c r="O42" t="s">
        <v>31</v>
      </c>
      <c r="P42" t="s">
        <v>61</v>
      </c>
      <c r="Q42" t="s">
        <v>62</v>
      </c>
      <c r="R42" t="s">
        <v>63</v>
      </c>
    </row>
    <row r="43" spans="1:18" hidden="1">
      <c r="A43">
        <v>1</v>
      </c>
      <c r="B43" s="4" t="s">
        <v>16</v>
      </c>
      <c r="C43" s="4" t="s">
        <v>323</v>
      </c>
      <c r="D43" s="4" t="s">
        <v>381</v>
      </c>
      <c r="E43" s="4" t="s">
        <v>5804</v>
      </c>
      <c r="F43" t="s">
        <v>41</v>
      </c>
      <c r="G43" t="s">
        <v>42</v>
      </c>
      <c r="H43" t="s">
        <v>21</v>
      </c>
      <c r="I43">
        <v>1</v>
      </c>
      <c r="J43" s="5">
        <v>0.09</v>
      </c>
      <c r="K43" t="s">
        <v>357</v>
      </c>
      <c r="L43" s="6">
        <v>43739</v>
      </c>
      <c r="M43">
        <v>10</v>
      </c>
      <c r="N43" s="7" t="s">
        <v>23</v>
      </c>
      <c r="O43" t="s">
        <v>31</v>
      </c>
      <c r="P43" t="s">
        <v>404</v>
      </c>
      <c r="Q43" t="s">
        <v>405</v>
      </c>
      <c r="R43" t="s">
        <v>406</v>
      </c>
    </row>
    <row r="44" spans="1:18" hidden="1">
      <c r="A44">
        <v>12</v>
      </c>
      <c r="B44" s="4" t="s">
        <v>901</v>
      </c>
      <c r="C44" s="4" t="s">
        <v>902</v>
      </c>
      <c r="D44" s="4" t="s">
        <v>903</v>
      </c>
      <c r="E44" s="4" t="s">
        <v>5804</v>
      </c>
      <c r="F44" t="s">
        <v>41</v>
      </c>
      <c r="G44" t="s">
        <v>42</v>
      </c>
      <c r="H44" t="s">
        <v>21</v>
      </c>
      <c r="I44">
        <v>1</v>
      </c>
      <c r="J44" s="5">
        <v>0.09</v>
      </c>
      <c r="K44" t="s">
        <v>477</v>
      </c>
      <c r="L44" s="6">
        <v>42705</v>
      </c>
      <c r="M44">
        <v>12</v>
      </c>
      <c r="N44" s="7" t="s">
        <v>30</v>
      </c>
      <c r="O44" t="s">
        <v>31</v>
      </c>
      <c r="P44" t="s">
        <v>975</v>
      </c>
      <c r="Q44" t="s">
        <v>976</v>
      </c>
      <c r="R44" t="s">
        <v>977</v>
      </c>
    </row>
    <row r="45" spans="1:18" hidden="1">
      <c r="A45">
        <v>12</v>
      </c>
      <c r="B45" s="4" t="s">
        <v>901</v>
      </c>
      <c r="C45" s="4" t="s">
        <v>902</v>
      </c>
      <c r="D45" s="4" t="s">
        <v>903</v>
      </c>
      <c r="E45" s="4" t="s">
        <v>5804</v>
      </c>
      <c r="F45" t="s">
        <v>41</v>
      </c>
      <c r="G45" t="s">
        <v>42</v>
      </c>
      <c r="H45" t="s">
        <v>21</v>
      </c>
      <c r="I45">
        <v>1</v>
      </c>
      <c r="J45" s="5">
        <v>0.09</v>
      </c>
      <c r="K45" t="s">
        <v>295</v>
      </c>
      <c r="L45" s="6">
        <v>43221</v>
      </c>
      <c r="M45">
        <v>5</v>
      </c>
      <c r="N45" s="7" t="s">
        <v>23</v>
      </c>
      <c r="O45" t="s">
        <v>31</v>
      </c>
      <c r="P45" t="s">
        <v>1030</v>
      </c>
      <c r="Q45" t="s">
        <v>1031</v>
      </c>
      <c r="R45" t="s">
        <v>926</v>
      </c>
    </row>
    <row r="46" spans="1:18" hidden="1">
      <c r="A46">
        <v>12</v>
      </c>
      <c r="B46" s="4" t="s">
        <v>901</v>
      </c>
      <c r="C46" s="4" t="s">
        <v>902</v>
      </c>
      <c r="D46" s="4" t="s">
        <v>903</v>
      </c>
      <c r="E46" s="4" t="s">
        <v>5804</v>
      </c>
      <c r="F46" t="s">
        <v>41</v>
      </c>
      <c r="G46" t="s">
        <v>59</v>
      </c>
      <c r="H46" t="s">
        <v>21</v>
      </c>
      <c r="I46">
        <v>1</v>
      </c>
      <c r="J46" s="5">
        <v>0.09</v>
      </c>
      <c r="K46" t="s">
        <v>146</v>
      </c>
      <c r="L46" s="6">
        <v>43313</v>
      </c>
      <c r="M46">
        <v>8</v>
      </c>
      <c r="N46" s="7" t="s">
        <v>55</v>
      </c>
      <c r="O46" t="s">
        <v>31</v>
      </c>
      <c r="P46" t="s">
        <v>1041</v>
      </c>
      <c r="Q46" t="s">
        <v>1042</v>
      </c>
      <c r="R46" t="s">
        <v>926</v>
      </c>
    </row>
    <row r="47" spans="1:18" hidden="1">
      <c r="A47">
        <v>12</v>
      </c>
      <c r="B47" s="4" t="s">
        <v>901</v>
      </c>
      <c r="C47" s="4" t="s">
        <v>902</v>
      </c>
      <c r="D47" s="4" t="s">
        <v>903</v>
      </c>
      <c r="E47" s="4" t="s">
        <v>5804</v>
      </c>
      <c r="F47" t="s">
        <v>41</v>
      </c>
      <c r="G47" t="s">
        <v>42</v>
      </c>
      <c r="H47" t="s">
        <v>21</v>
      </c>
      <c r="I47">
        <v>1</v>
      </c>
      <c r="J47" s="5">
        <v>0.09</v>
      </c>
      <c r="K47" t="s">
        <v>654</v>
      </c>
      <c r="L47" s="6">
        <v>43556</v>
      </c>
      <c r="M47">
        <v>4</v>
      </c>
      <c r="N47" s="7" t="s">
        <v>23</v>
      </c>
      <c r="O47" t="s">
        <v>31</v>
      </c>
      <c r="P47" t="s">
        <v>1066</v>
      </c>
      <c r="Q47" t="s">
        <v>1067</v>
      </c>
      <c r="R47" t="s">
        <v>1068</v>
      </c>
    </row>
    <row r="48" spans="1:18" hidden="1">
      <c r="A48">
        <v>12</v>
      </c>
      <c r="B48" s="4" t="s">
        <v>901</v>
      </c>
      <c r="C48" s="4" t="s">
        <v>902</v>
      </c>
      <c r="D48" s="4" t="s">
        <v>903</v>
      </c>
      <c r="E48" s="4" t="s">
        <v>5804</v>
      </c>
      <c r="F48" t="s">
        <v>41</v>
      </c>
      <c r="G48" t="s">
        <v>42</v>
      </c>
      <c r="H48" t="s">
        <v>21</v>
      </c>
      <c r="I48">
        <v>1</v>
      </c>
      <c r="J48" s="5">
        <v>0.09</v>
      </c>
      <c r="K48" t="s">
        <v>251</v>
      </c>
      <c r="L48" s="6">
        <v>43952</v>
      </c>
      <c r="M48">
        <v>5</v>
      </c>
      <c r="N48" s="7" t="s">
        <v>23</v>
      </c>
      <c r="O48" t="s">
        <v>31</v>
      </c>
      <c r="P48" t="s">
        <v>1105</v>
      </c>
      <c r="Q48" t="s">
        <v>1067</v>
      </c>
      <c r="R48" t="s">
        <v>1068</v>
      </c>
    </row>
    <row r="49" spans="1:18" hidden="1">
      <c r="A49">
        <v>12</v>
      </c>
      <c r="B49" s="4" t="s">
        <v>901</v>
      </c>
      <c r="C49" s="4" t="s">
        <v>1161</v>
      </c>
      <c r="D49" s="4" t="s">
        <v>1162</v>
      </c>
      <c r="E49" s="4" t="s">
        <v>5804</v>
      </c>
      <c r="F49" t="s">
        <v>41</v>
      </c>
      <c r="G49" t="s">
        <v>59</v>
      </c>
      <c r="H49" t="s">
        <v>21</v>
      </c>
      <c r="I49">
        <v>1</v>
      </c>
      <c r="J49" s="5">
        <v>0.09</v>
      </c>
      <c r="K49" t="s">
        <v>29</v>
      </c>
      <c r="L49" s="6">
        <v>43070</v>
      </c>
      <c r="M49">
        <v>12</v>
      </c>
      <c r="N49" s="7" t="s">
        <v>30</v>
      </c>
      <c r="O49" t="s">
        <v>31</v>
      </c>
      <c r="P49" t="s">
        <v>1167</v>
      </c>
      <c r="Q49" t="s">
        <v>1168</v>
      </c>
      <c r="R49" t="s">
        <v>1169</v>
      </c>
    </row>
    <row r="50" spans="1:18" hidden="1">
      <c r="A50">
        <v>12</v>
      </c>
      <c r="B50" s="4" t="s">
        <v>901</v>
      </c>
      <c r="C50" s="4" t="s">
        <v>1161</v>
      </c>
      <c r="D50" s="4" t="s">
        <v>1162</v>
      </c>
      <c r="E50" s="4" t="s">
        <v>5804</v>
      </c>
      <c r="F50" t="s">
        <v>41</v>
      </c>
      <c r="G50" t="s">
        <v>42</v>
      </c>
      <c r="H50" t="s">
        <v>21</v>
      </c>
      <c r="I50">
        <v>1</v>
      </c>
      <c r="J50" s="5">
        <v>0.09</v>
      </c>
      <c r="K50" t="s">
        <v>654</v>
      </c>
      <c r="L50" s="6">
        <v>43556</v>
      </c>
      <c r="M50">
        <v>4</v>
      </c>
      <c r="N50" s="7" t="s">
        <v>23</v>
      </c>
      <c r="O50" t="s">
        <v>31</v>
      </c>
      <c r="P50" t="s">
        <v>1170</v>
      </c>
      <c r="Q50" t="s">
        <v>1171</v>
      </c>
      <c r="R50" t="s">
        <v>1172</v>
      </c>
    </row>
    <row r="51" spans="1:18" hidden="1">
      <c r="A51">
        <v>12</v>
      </c>
      <c r="B51" s="4" t="s">
        <v>901</v>
      </c>
      <c r="C51" s="4" t="s">
        <v>1161</v>
      </c>
      <c r="D51" s="4" t="s">
        <v>1162</v>
      </c>
      <c r="E51" s="4" t="s">
        <v>5804</v>
      </c>
      <c r="F51" t="s">
        <v>41</v>
      </c>
      <c r="G51" t="s">
        <v>59</v>
      </c>
      <c r="H51" t="s">
        <v>21</v>
      </c>
      <c r="I51">
        <v>1</v>
      </c>
      <c r="J51" s="5">
        <v>0.09</v>
      </c>
      <c r="K51" t="s">
        <v>168</v>
      </c>
      <c r="L51" s="6">
        <v>43678</v>
      </c>
      <c r="M51">
        <v>8</v>
      </c>
      <c r="N51" s="7" t="s">
        <v>55</v>
      </c>
      <c r="O51" t="s">
        <v>31</v>
      </c>
      <c r="P51" t="s">
        <v>1173</v>
      </c>
      <c r="Q51" t="s">
        <v>1174</v>
      </c>
      <c r="R51" t="s">
        <v>1175</v>
      </c>
    </row>
    <row r="52" spans="1:18" hidden="1">
      <c r="A52">
        <v>12</v>
      </c>
      <c r="B52" s="4" t="s">
        <v>901</v>
      </c>
      <c r="C52" s="4" t="s">
        <v>1161</v>
      </c>
      <c r="D52" s="4" t="s">
        <v>1162</v>
      </c>
      <c r="E52" s="4" t="s">
        <v>5804</v>
      </c>
      <c r="F52" t="s">
        <v>41</v>
      </c>
      <c r="G52" t="s">
        <v>59</v>
      </c>
      <c r="H52" t="s">
        <v>21</v>
      </c>
      <c r="I52">
        <v>1</v>
      </c>
      <c r="J52" s="5">
        <v>0.09</v>
      </c>
      <c r="K52" t="s">
        <v>1085</v>
      </c>
      <c r="L52" s="6">
        <v>43862</v>
      </c>
      <c r="M52">
        <v>2</v>
      </c>
      <c r="N52" s="7" t="s">
        <v>30</v>
      </c>
      <c r="O52" t="s">
        <v>31</v>
      </c>
      <c r="P52" t="s">
        <v>1176</v>
      </c>
      <c r="Q52" t="s">
        <v>1174</v>
      </c>
      <c r="R52" t="s">
        <v>1177</v>
      </c>
    </row>
    <row r="53" spans="1:18" hidden="1">
      <c r="A53">
        <v>12</v>
      </c>
      <c r="B53" s="4" t="s">
        <v>901</v>
      </c>
      <c r="C53" s="4" t="s">
        <v>1161</v>
      </c>
      <c r="D53" s="4" t="s">
        <v>1162</v>
      </c>
      <c r="E53" s="4" t="s">
        <v>5804</v>
      </c>
      <c r="F53" t="s">
        <v>41</v>
      </c>
      <c r="G53" t="s">
        <v>59</v>
      </c>
      <c r="H53" t="s">
        <v>21</v>
      </c>
      <c r="I53">
        <v>1</v>
      </c>
      <c r="J53" s="5">
        <v>0.09</v>
      </c>
      <c r="K53" t="s">
        <v>365</v>
      </c>
      <c r="L53" s="6">
        <v>44105</v>
      </c>
      <c r="M53">
        <v>10</v>
      </c>
      <c r="N53" s="7" t="s">
        <v>23</v>
      </c>
      <c r="O53" t="s">
        <v>31</v>
      </c>
      <c r="P53" t="s">
        <v>1178</v>
      </c>
      <c r="Q53" t="s">
        <v>1165</v>
      </c>
      <c r="R53" t="s">
        <v>1179</v>
      </c>
    </row>
    <row r="54" spans="1:18" hidden="1">
      <c r="A54">
        <v>12</v>
      </c>
      <c r="B54" s="4" t="s">
        <v>901</v>
      </c>
      <c r="C54" s="4" t="s">
        <v>1161</v>
      </c>
      <c r="D54" s="4" t="s">
        <v>1193</v>
      </c>
      <c r="E54" s="4" t="s">
        <v>5804</v>
      </c>
      <c r="F54" t="s">
        <v>41</v>
      </c>
      <c r="G54" t="s">
        <v>59</v>
      </c>
      <c r="H54" t="s">
        <v>21</v>
      </c>
      <c r="I54">
        <v>1</v>
      </c>
      <c r="J54" s="5">
        <v>0.09</v>
      </c>
      <c r="K54" t="s">
        <v>87</v>
      </c>
      <c r="L54" s="6">
        <v>43040</v>
      </c>
      <c r="M54">
        <v>11</v>
      </c>
      <c r="N54" s="7" t="s">
        <v>23</v>
      </c>
      <c r="O54" t="s">
        <v>31</v>
      </c>
      <c r="P54" t="s">
        <v>1208</v>
      </c>
      <c r="Q54" t="s">
        <v>1174</v>
      </c>
      <c r="R54" t="s">
        <v>1209</v>
      </c>
    </row>
    <row r="55" spans="1:18" hidden="1">
      <c r="A55">
        <v>12</v>
      </c>
      <c r="B55" s="4" t="s">
        <v>901</v>
      </c>
      <c r="C55" s="4" t="s">
        <v>1161</v>
      </c>
      <c r="D55" s="4" t="s">
        <v>1220</v>
      </c>
      <c r="E55" s="4" t="s">
        <v>5804</v>
      </c>
      <c r="F55" t="s">
        <v>41</v>
      </c>
      <c r="G55" t="s">
        <v>42</v>
      </c>
      <c r="H55" t="s">
        <v>21</v>
      </c>
      <c r="I55">
        <v>1</v>
      </c>
      <c r="J55" s="5">
        <v>0.09</v>
      </c>
      <c r="K55" t="s">
        <v>124</v>
      </c>
      <c r="L55" s="6">
        <v>42767</v>
      </c>
      <c r="M55">
        <v>2</v>
      </c>
      <c r="N55" s="7" t="s">
        <v>30</v>
      </c>
      <c r="O55" t="s">
        <v>31</v>
      </c>
      <c r="P55" t="s">
        <v>1244</v>
      </c>
      <c r="Q55" t="s">
        <v>1245</v>
      </c>
      <c r="R55" t="s">
        <v>1246</v>
      </c>
    </row>
    <row r="56" spans="1:18" hidden="1">
      <c r="A56">
        <v>12</v>
      </c>
      <c r="B56" s="4" t="s">
        <v>901</v>
      </c>
      <c r="C56" s="4" t="s">
        <v>1161</v>
      </c>
      <c r="D56" s="4" t="s">
        <v>1220</v>
      </c>
      <c r="E56" s="4" t="s">
        <v>5804</v>
      </c>
      <c r="F56" t="s">
        <v>41</v>
      </c>
      <c r="G56" t="s">
        <v>42</v>
      </c>
      <c r="H56" t="s">
        <v>21</v>
      </c>
      <c r="I56">
        <v>1</v>
      </c>
      <c r="J56" s="5">
        <v>0.09</v>
      </c>
      <c r="K56" t="s">
        <v>482</v>
      </c>
      <c r="L56" s="6">
        <v>43435</v>
      </c>
      <c r="M56">
        <v>12</v>
      </c>
      <c r="N56" s="7" t="s">
        <v>30</v>
      </c>
      <c r="O56" t="s">
        <v>31</v>
      </c>
      <c r="P56" t="s">
        <v>1284</v>
      </c>
      <c r="Q56" t="s">
        <v>1245</v>
      </c>
      <c r="R56" t="s">
        <v>1246</v>
      </c>
    </row>
    <row r="57" spans="1:18" hidden="1">
      <c r="A57">
        <v>12</v>
      </c>
      <c r="B57" s="4" t="s">
        <v>901</v>
      </c>
      <c r="C57" s="4" t="s">
        <v>1161</v>
      </c>
      <c r="D57" s="4" t="s">
        <v>1220</v>
      </c>
      <c r="E57" s="4" t="s">
        <v>5804</v>
      </c>
      <c r="F57" t="s">
        <v>41</v>
      </c>
      <c r="G57" t="s">
        <v>42</v>
      </c>
      <c r="H57" t="s">
        <v>21</v>
      </c>
      <c r="I57">
        <v>1</v>
      </c>
      <c r="J57" s="5">
        <v>0.09</v>
      </c>
      <c r="K57" t="s">
        <v>304</v>
      </c>
      <c r="L57" s="6">
        <v>43647</v>
      </c>
      <c r="M57">
        <v>7</v>
      </c>
      <c r="N57" s="7" t="s">
        <v>55</v>
      </c>
      <c r="O57" t="s">
        <v>31</v>
      </c>
      <c r="P57" t="s">
        <v>1297</v>
      </c>
      <c r="Q57" t="s">
        <v>1298</v>
      </c>
      <c r="R57" t="s">
        <v>1246</v>
      </c>
    </row>
    <row r="58" spans="1:18" hidden="1">
      <c r="A58">
        <v>12</v>
      </c>
      <c r="B58" s="4" t="s">
        <v>901</v>
      </c>
      <c r="C58" s="4" t="s">
        <v>1161</v>
      </c>
      <c r="D58" s="4" t="s">
        <v>1374</v>
      </c>
      <c r="E58" s="4" t="s">
        <v>5804</v>
      </c>
      <c r="F58" t="s">
        <v>41</v>
      </c>
      <c r="G58" t="s">
        <v>42</v>
      </c>
      <c r="H58" t="s">
        <v>21</v>
      </c>
      <c r="I58">
        <v>1</v>
      </c>
      <c r="J58" s="5">
        <v>0.09</v>
      </c>
      <c r="K58" t="s">
        <v>295</v>
      </c>
      <c r="L58" s="6">
        <v>43221</v>
      </c>
      <c r="M58">
        <v>5</v>
      </c>
      <c r="N58" s="7" t="s">
        <v>23</v>
      </c>
      <c r="O58" t="s">
        <v>31</v>
      </c>
      <c r="P58" t="s">
        <v>1387</v>
      </c>
      <c r="Q58" t="s">
        <v>1388</v>
      </c>
      <c r="R58" t="s">
        <v>1389</v>
      </c>
    </row>
    <row r="59" spans="1:18" hidden="1">
      <c r="A59">
        <v>12</v>
      </c>
      <c r="B59" s="4" t="s">
        <v>901</v>
      </c>
      <c r="C59" s="4" t="s">
        <v>1161</v>
      </c>
      <c r="D59" s="4" t="s">
        <v>1374</v>
      </c>
      <c r="E59" s="4" t="s">
        <v>5804</v>
      </c>
      <c r="F59" t="s">
        <v>41</v>
      </c>
      <c r="G59" t="s">
        <v>42</v>
      </c>
      <c r="H59" t="s">
        <v>21</v>
      </c>
      <c r="I59">
        <v>1</v>
      </c>
      <c r="J59" s="5">
        <v>0.09</v>
      </c>
      <c r="K59" t="s">
        <v>1403</v>
      </c>
      <c r="L59" s="6">
        <v>44197</v>
      </c>
      <c r="M59">
        <v>1</v>
      </c>
      <c r="N59" s="7" t="s">
        <v>30</v>
      </c>
      <c r="O59" t="s">
        <v>31</v>
      </c>
      <c r="P59" t="s">
        <v>1404</v>
      </c>
      <c r="Q59" t="s">
        <v>1405</v>
      </c>
      <c r="R59" t="s">
        <v>1406</v>
      </c>
    </row>
    <row r="60" spans="1:18" hidden="1">
      <c r="A60">
        <v>12</v>
      </c>
      <c r="B60" s="4" t="s">
        <v>901</v>
      </c>
      <c r="C60" s="4" t="s">
        <v>1463</v>
      </c>
      <c r="D60" s="4" t="s">
        <v>1464</v>
      </c>
      <c r="E60" s="4" t="s">
        <v>5804</v>
      </c>
      <c r="F60" t="s">
        <v>41</v>
      </c>
      <c r="G60" t="s">
        <v>59</v>
      </c>
      <c r="H60" t="s">
        <v>21</v>
      </c>
      <c r="I60">
        <v>1</v>
      </c>
      <c r="J60" s="5">
        <v>0.09</v>
      </c>
      <c r="K60" t="s">
        <v>102</v>
      </c>
      <c r="L60" s="6">
        <v>44287</v>
      </c>
      <c r="M60">
        <v>4</v>
      </c>
      <c r="N60" s="7" t="s">
        <v>23</v>
      </c>
      <c r="O60" t="s">
        <v>31</v>
      </c>
      <c r="P60" t="s">
        <v>1523</v>
      </c>
      <c r="Q60" t="s">
        <v>1524</v>
      </c>
      <c r="R60" t="s">
        <v>1525</v>
      </c>
    </row>
    <row r="61" spans="1:18" hidden="1">
      <c r="A61">
        <v>12</v>
      </c>
      <c r="B61" s="4" t="s">
        <v>901</v>
      </c>
      <c r="C61" s="4" t="s">
        <v>1672</v>
      </c>
      <c r="D61" s="4" t="s">
        <v>1673</v>
      </c>
      <c r="E61" s="4" t="s">
        <v>5804</v>
      </c>
      <c r="F61" t="s">
        <v>41</v>
      </c>
      <c r="G61" t="s">
        <v>42</v>
      </c>
      <c r="H61" t="s">
        <v>21</v>
      </c>
      <c r="I61">
        <v>1</v>
      </c>
      <c r="J61" s="5">
        <v>0.09</v>
      </c>
      <c r="K61" t="s">
        <v>115</v>
      </c>
      <c r="L61" s="6">
        <v>42461</v>
      </c>
      <c r="M61">
        <v>4</v>
      </c>
      <c r="N61" s="7" t="s">
        <v>23</v>
      </c>
      <c r="O61" t="s">
        <v>31</v>
      </c>
      <c r="P61" t="s">
        <v>1693</v>
      </c>
      <c r="Q61" t="s">
        <v>1694</v>
      </c>
      <c r="R61" t="s">
        <v>1695</v>
      </c>
    </row>
    <row r="62" spans="1:18" hidden="1">
      <c r="A62">
        <v>12</v>
      </c>
      <c r="B62" s="4" t="s">
        <v>901</v>
      </c>
      <c r="C62" s="4" t="s">
        <v>1672</v>
      </c>
      <c r="D62" s="4" t="s">
        <v>1673</v>
      </c>
      <c r="E62" s="4" t="s">
        <v>5804</v>
      </c>
      <c r="F62" t="s">
        <v>41</v>
      </c>
      <c r="G62" t="s">
        <v>42</v>
      </c>
      <c r="H62" t="s">
        <v>21</v>
      </c>
      <c r="I62">
        <v>1</v>
      </c>
      <c r="J62" s="5">
        <v>0.09</v>
      </c>
      <c r="K62" t="s">
        <v>278</v>
      </c>
      <c r="L62" s="6">
        <v>42675</v>
      </c>
      <c r="M62">
        <v>11</v>
      </c>
      <c r="N62" s="7" t="s">
        <v>23</v>
      </c>
      <c r="O62" t="s">
        <v>31</v>
      </c>
      <c r="P62" t="s">
        <v>1732</v>
      </c>
      <c r="Q62" t="s">
        <v>1733</v>
      </c>
      <c r="R62" t="s">
        <v>1734</v>
      </c>
    </row>
    <row r="63" spans="1:18" hidden="1">
      <c r="A63">
        <v>12</v>
      </c>
      <c r="B63" s="4" t="s">
        <v>901</v>
      </c>
      <c r="C63" s="4" t="s">
        <v>1672</v>
      </c>
      <c r="D63" s="4" t="s">
        <v>1673</v>
      </c>
      <c r="E63" s="4" t="s">
        <v>5804</v>
      </c>
      <c r="F63" t="s">
        <v>41</v>
      </c>
      <c r="G63" t="s">
        <v>59</v>
      </c>
      <c r="H63" t="s">
        <v>21</v>
      </c>
      <c r="I63">
        <v>1</v>
      </c>
      <c r="J63" s="5">
        <v>0.09</v>
      </c>
      <c r="K63" t="s">
        <v>681</v>
      </c>
      <c r="L63" s="6">
        <v>42887</v>
      </c>
      <c r="M63">
        <v>6</v>
      </c>
      <c r="N63" s="7" t="s">
        <v>55</v>
      </c>
      <c r="O63" t="s">
        <v>31</v>
      </c>
      <c r="P63" t="s">
        <v>1758</v>
      </c>
      <c r="Q63" t="s">
        <v>1759</v>
      </c>
      <c r="R63" t="s">
        <v>1760</v>
      </c>
    </row>
    <row r="64" spans="1:18" hidden="1">
      <c r="A64">
        <v>12</v>
      </c>
      <c r="B64" s="4" t="s">
        <v>901</v>
      </c>
      <c r="C64" s="4" t="s">
        <v>1672</v>
      </c>
      <c r="D64" s="4" t="s">
        <v>1673</v>
      </c>
      <c r="E64" s="4" t="s">
        <v>5804</v>
      </c>
      <c r="F64" t="s">
        <v>41</v>
      </c>
      <c r="G64" t="s">
        <v>42</v>
      </c>
      <c r="H64" t="s">
        <v>21</v>
      </c>
      <c r="I64">
        <v>1</v>
      </c>
      <c r="J64" s="5">
        <v>0.09</v>
      </c>
      <c r="K64" t="s">
        <v>87</v>
      </c>
      <c r="L64" s="6">
        <v>43040</v>
      </c>
      <c r="M64">
        <v>11</v>
      </c>
      <c r="N64" s="7" t="s">
        <v>23</v>
      </c>
      <c r="O64" t="s">
        <v>31</v>
      </c>
      <c r="P64" t="s">
        <v>1786</v>
      </c>
      <c r="Q64" t="s">
        <v>1787</v>
      </c>
      <c r="R64" t="s">
        <v>1788</v>
      </c>
    </row>
    <row r="65" spans="1:18" hidden="1">
      <c r="A65">
        <v>12</v>
      </c>
      <c r="B65" s="4" t="s">
        <v>901</v>
      </c>
      <c r="C65" s="4" t="s">
        <v>1672</v>
      </c>
      <c r="D65" s="4" t="s">
        <v>1673</v>
      </c>
      <c r="E65" s="4" t="s">
        <v>5804</v>
      </c>
      <c r="F65" t="s">
        <v>41</v>
      </c>
      <c r="G65" t="s">
        <v>42</v>
      </c>
      <c r="H65" t="s">
        <v>21</v>
      </c>
      <c r="I65">
        <v>1</v>
      </c>
      <c r="J65" s="5">
        <v>0.09</v>
      </c>
      <c r="K65" t="s">
        <v>29</v>
      </c>
      <c r="L65" s="6">
        <v>43070</v>
      </c>
      <c r="M65">
        <v>12</v>
      </c>
      <c r="N65" s="7" t="s">
        <v>30</v>
      </c>
      <c r="O65" t="s">
        <v>31</v>
      </c>
      <c r="P65" t="s">
        <v>1792</v>
      </c>
      <c r="Q65" t="s">
        <v>1759</v>
      </c>
      <c r="R65" t="s">
        <v>1793</v>
      </c>
    </row>
    <row r="66" spans="1:18" hidden="1">
      <c r="A66">
        <v>12</v>
      </c>
      <c r="B66" s="4" t="s">
        <v>901</v>
      </c>
      <c r="C66" s="4" t="s">
        <v>1672</v>
      </c>
      <c r="D66" s="4" t="s">
        <v>1673</v>
      </c>
      <c r="E66" s="4" t="s">
        <v>5804</v>
      </c>
      <c r="F66" t="s">
        <v>41</v>
      </c>
      <c r="G66" t="s">
        <v>59</v>
      </c>
      <c r="H66" t="s">
        <v>21</v>
      </c>
      <c r="I66">
        <v>1</v>
      </c>
      <c r="J66" s="5">
        <v>0.09</v>
      </c>
      <c r="K66" t="s">
        <v>35</v>
      </c>
      <c r="L66" s="6">
        <v>43160</v>
      </c>
      <c r="M66">
        <v>3</v>
      </c>
      <c r="N66" s="7" t="s">
        <v>23</v>
      </c>
      <c r="O66" t="s">
        <v>31</v>
      </c>
      <c r="P66" t="s">
        <v>1799</v>
      </c>
      <c r="Q66" t="s">
        <v>1759</v>
      </c>
      <c r="R66" t="s">
        <v>1760</v>
      </c>
    </row>
    <row r="67" spans="1:18" hidden="1">
      <c r="A67">
        <v>12</v>
      </c>
      <c r="B67" s="4" t="s">
        <v>901</v>
      </c>
      <c r="C67" s="4" t="s">
        <v>1672</v>
      </c>
      <c r="D67" s="4" t="s">
        <v>1673</v>
      </c>
      <c r="E67" s="4" t="s">
        <v>5804</v>
      </c>
      <c r="F67" t="s">
        <v>41</v>
      </c>
      <c r="G67" t="s">
        <v>42</v>
      </c>
      <c r="H67" t="s">
        <v>21</v>
      </c>
      <c r="I67">
        <v>1</v>
      </c>
      <c r="J67" s="5">
        <v>0.09</v>
      </c>
      <c r="K67" t="s">
        <v>292</v>
      </c>
      <c r="L67" s="6">
        <v>43191</v>
      </c>
      <c r="M67">
        <v>4</v>
      </c>
      <c r="N67" s="7" t="s">
        <v>23</v>
      </c>
      <c r="O67" t="s">
        <v>31</v>
      </c>
      <c r="P67" t="s">
        <v>1802</v>
      </c>
      <c r="Q67" t="s">
        <v>1759</v>
      </c>
      <c r="R67" t="s">
        <v>1793</v>
      </c>
    </row>
    <row r="68" spans="1:18" hidden="1">
      <c r="A68">
        <v>12</v>
      </c>
      <c r="B68" s="4" t="s">
        <v>901</v>
      </c>
      <c r="C68" s="4" t="s">
        <v>1672</v>
      </c>
      <c r="D68" s="4" t="s">
        <v>1673</v>
      </c>
      <c r="E68" s="4" t="s">
        <v>5804</v>
      </c>
      <c r="F68" t="s">
        <v>41</v>
      </c>
      <c r="G68" t="s">
        <v>59</v>
      </c>
      <c r="H68" t="s">
        <v>21</v>
      </c>
      <c r="I68">
        <v>1</v>
      </c>
      <c r="J68" s="5">
        <v>0.09</v>
      </c>
      <c r="K68" t="s">
        <v>146</v>
      </c>
      <c r="L68" s="6">
        <v>43313</v>
      </c>
      <c r="M68">
        <v>8</v>
      </c>
      <c r="N68" s="7" t="s">
        <v>55</v>
      </c>
      <c r="O68" t="s">
        <v>31</v>
      </c>
      <c r="P68" t="s">
        <v>1828</v>
      </c>
      <c r="Q68" t="s">
        <v>1759</v>
      </c>
      <c r="R68" t="s">
        <v>1793</v>
      </c>
    </row>
    <row r="69" spans="1:18" hidden="1">
      <c r="A69">
        <v>12</v>
      </c>
      <c r="B69" s="4" t="s">
        <v>901</v>
      </c>
      <c r="C69" s="4" t="s">
        <v>1672</v>
      </c>
      <c r="D69" s="4" t="s">
        <v>1673</v>
      </c>
      <c r="E69" s="4" t="s">
        <v>5804</v>
      </c>
      <c r="F69" t="s">
        <v>41</v>
      </c>
      <c r="G69" t="s">
        <v>59</v>
      </c>
      <c r="H69" t="s">
        <v>21</v>
      </c>
      <c r="I69">
        <v>1</v>
      </c>
      <c r="J69" s="5">
        <v>0.09</v>
      </c>
      <c r="K69" t="s">
        <v>146</v>
      </c>
      <c r="L69" s="6">
        <v>43313</v>
      </c>
      <c r="M69">
        <v>8</v>
      </c>
      <c r="N69" s="7" t="s">
        <v>55</v>
      </c>
      <c r="O69" t="s">
        <v>31</v>
      </c>
      <c r="P69" t="s">
        <v>1829</v>
      </c>
      <c r="Q69" t="s">
        <v>1759</v>
      </c>
      <c r="R69" t="s">
        <v>1760</v>
      </c>
    </row>
    <row r="70" spans="1:18" hidden="1">
      <c r="A70">
        <v>12</v>
      </c>
      <c r="B70" s="4" t="s">
        <v>901</v>
      </c>
      <c r="C70" s="4" t="s">
        <v>1672</v>
      </c>
      <c r="D70" s="4" t="s">
        <v>1673</v>
      </c>
      <c r="E70" s="4" t="s">
        <v>5804</v>
      </c>
      <c r="F70" t="s">
        <v>41</v>
      </c>
      <c r="G70" t="s">
        <v>42</v>
      </c>
      <c r="H70" t="s">
        <v>21</v>
      </c>
      <c r="I70">
        <v>1</v>
      </c>
      <c r="J70" s="5">
        <v>0.09</v>
      </c>
      <c r="K70" t="s">
        <v>691</v>
      </c>
      <c r="L70" s="6">
        <v>43770</v>
      </c>
      <c r="M70">
        <v>11</v>
      </c>
      <c r="N70" s="7" t="s">
        <v>23</v>
      </c>
      <c r="O70" t="s">
        <v>31</v>
      </c>
      <c r="P70" t="s">
        <v>1872</v>
      </c>
      <c r="Q70" t="s">
        <v>1759</v>
      </c>
      <c r="R70" t="s">
        <v>1793</v>
      </c>
    </row>
    <row r="71" spans="1:18" hidden="1">
      <c r="A71">
        <v>12</v>
      </c>
      <c r="B71" s="4" t="s">
        <v>901</v>
      </c>
      <c r="C71" s="4" t="s">
        <v>1672</v>
      </c>
      <c r="D71" s="4" t="s">
        <v>1673</v>
      </c>
      <c r="E71" s="4" t="s">
        <v>5804</v>
      </c>
      <c r="F71" t="s">
        <v>41</v>
      </c>
      <c r="G71" t="s">
        <v>42</v>
      </c>
      <c r="H71" t="s">
        <v>21</v>
      </c>
      <c r="I71">
        <v>1</v>
      </c>
      <c r="J71" s="5">
        <v>0.09</v>
      </c>
      <c r="K71" t="s">
        <v>365</v>
      </c>
      <c r="L71" s="6">
        <v>44105</v>
      </c>
      <c r="M71">
        <v>10</v>
      </c>
      <c r="N71" s="7" t="s">
        <v>23</v>
      </c>
      <c r="O71" t="s">
        <v>31</v>
      </c>
      <c r="P71" t="s">
        <v>1915</v>
      </c>
      <c r="Q71" t="s">
        <v>1868</v>
      </c>
      <c r="R71" t="s">
        <v>1760</v>
      </c>
    </row>
    <row r="72" spans="1:18" hidden="1">
      <c r="A72">
        <v>12</v>
      </c>
      <c r="B72" s="4" t="s">
        <v>901</v>
      </c>
      <c r="C72" s="4" t="s">
        <v>1672</v>
      </c>
      <c r="D72" s="4" t="s">
        <v>1673</v>
      </c>
      <c r="E72" s="4" t="s">
        <v>5804</v>
      </c>
      <c r="F72" t="s">
        <v>41</v>
      </c>
      <c r="G72" t="s">
        <v>59</v>
      </c>
      <c r="H72" t="s">
        <v>21</v>
      </c>
      <c r="I72">
        <v>1</v>
      </c>
      <c r="J72" s="5">
        <v>0.09</v>
      </c>
      <c r="K72" t="s">
        <v>369</v>
      </c>
      <c r="L72" s="6">
        <v>44197</v>
      </c>
      <c r="M72">
        <v>1</v>
      </c>
      <c r="N72" s="7" t="s">
        <v>30</v>
      </c>
      <c r="O72" t="s">
        <v>31</v>
      </c>
      <c r="P72" t="s">
        <v>1922</v>
      </c>
      <c r="Q72" t="s">
        <v>1759</v>
      </c>
      <c r="R72" t="s">
        <v>1793</v>
      </c>
    </row>
    <row r="73" spans="1:18" hidden="1">
      <c r="A73">
        <v>2</v>
      </c>
      <c r="B73" s="4" t="s">
        <v>1952</v>
      </c>
      <c r="C73" s="4" t="s">
        <v>1953</v>
      </c>
      <c r="D73" s="4" t="s">
        <v>1954</v>
      </c>
      <c r="E73" s="4" t="s">
        <v>5804</v>
      </c>
      <c r="F73" t="s">
        <v>41</v>
      </c>
      <c r="G73" t="s">
        <v>59</v>
      </c>
      <c r="H73" t="s">
        <v>21</v>
      </c>
      <c r="I73">
        <v>1</v>
      </c>
      <c r="J73" s="5">
        <v>0.09</v>
      </c>
      <c r="K73" t="s">
        <v>382</v>
      </c>
      <c r="L73" s="6">
        <v>42401</v>
      </c>
      <c r="M73">
        <v>2</v>
      </c>
      <c r="N73" s="7" t="s">
        <v>30</v>
      </c>
      <c r="O73" t="s">
        <v>31</v>
      </c>
      <c r="P73" t="s">
        <v>1955</v>
      </c>
      <c r="Q73" t="s">
        <v>1956</v>
      </c>
      <c r="R73" t="s">
        <v>1957</v>
      </c>
    </row>
    <row r="74" spans="1:18" hidden="1">
      <c r="A74">
        <v>2</v>
      </c>
      <c r="B74" s="4" t="s">
        <v>1952</v>
      </c>
      <c r="C74" s="4" t="s">
        <v>1953</v>
      </c>
      <c r="D74" s="4" t="s">
        <v>1954</v>
      </c>
      <c r="E74" s="4" t="s">
        <v>5804</v>
      </c>
      <c r="F74" t="s">
        <v>41</v>
      </c>
      <c r="G74" t="s">
        <v>59</v>
      </c>
      <c r="H74" t="s">
        <v>21</v>
      </c>
      <c r="I74">
        <v>1</v>
      </c>
      <c r="J74" s="5">
        <v>0.09</v>
      </c>
      <c r="K74" t="s">
        <v>701</v>
      </c>
      <c r="L74" s="6">
        <v>42491</v>
      </c>
      <c r="M74">
        <v>5</v>
      </c>
      <c r="N74" s="7" t="s">
        <v>23</v>
      </c>
      <c r="O74" t="s">
        <v>31</v>
      </c>
      <c r="P74" t="s">
        <v>1965</v>
      </c>
      <c r="Q74" t="s">
        <v>1966</v>
      </c>
      <c r="R74" t="s">
        <v>1967</v>
      </c>
    </row>
    <row r="75" spans="1:18" hidden="1">
      <c r="A75">
        <v>2</v>
      </c>
      <c r="B75" s="4" t="s">
        <v>1952</v>
      </c>
      <c r="C75" s="4" t="s">
        <v>1953</v>
      </c>
      <c r="D75" s="4" t="s">
        <v>1954</v>
      </c>
      <c r="E75" s="4" t="s">
        <v>5804</v>
      </c>
      <c r="F75" t="s">
        <v>41</v>
      </c>
      <c r="G75" t="s">
        <v>59</v>
      </c>
      <c r="H75" t="s">
        <v>21</v>
      </c>
      <c r="I75">
        <v>1</v>
      </c>
      <c r="J75" s="5">
        <v>0.09</v>
      </c>
      <c r="K75" t="s">
        <v>124</v>
      </c>
      <c r="L75" s="6">
        <v>42767</v>
      </c>
      <c r="M75">
        <v>2</v>
      </c>
      <c r="N75" s="7" t="s">
        <v>30</v>
      </c>
      <c r="O75" t="s">
        <v>31</v>
      </c>
      <c r="P75" t="s">
        <v>1974</v>
      </c>
      <c r="Q75" t="s">
        <v>1975</v>
      </c>
      <c r="R75" t="s">
        <v>1976</v>
      </c>
    </row>
    <row r="76" spans="1:18" hidden="1">
      <c r="A76">
        <v>2</v>
      </c>
      <c r="B76" s="4" t="s">
        <v>1952</v>
      </c>
      <c r="C76" s="4" t="s">
        <v>1953</v>
      </c>
      <c r="D76" s="4" t="s">
        <v>1954</v>
      </c>
      <c r="E76" s="4" t="s">
        <v>5804</v>
      </c>
      <c r="F76" t="s">
        <v>41</v>
      </c>
      <c r="G76" t="s">
        <v>42</v>
      </c>
      <c r="H76" t="s">
        <v>21</v>
      </c>
      <c r="I76">
        <v>1</v>
      </c>
      <c r="J76" s="5">
        <v>0.09</v>
      </c>
      <c r="K76" t="s">
        <v>80</v>
      </c>
      <c r="L76" s="6">
        <v>42917</v>
      </c>
      <c r="M76">
        <v>7</v>
      </c>
      <c r="N76" s="7" t="s">
        <v>55</v>
      </c>
      <c r="O76" t="s">
        <v>31</v>
      </c>
      <c r="P76" t="s">
        <v>1992</v>
      </c>
      <c r="Q76" t="s">
        <v>1993</v>
      </c>
      <c r="R76" t="s">
        <v>1994</v>
      </c>
    </row>
    <row r="77" spans="1:18" hidden="1">
      <c r="A77">
        <v>2</v>
      </c>
      <c r="B77" s="4" t="s">
        <v>1952</v>
      </c>
      <c r="C77" s="4" t="s">
        <v>1953</v>
      </c>
      <c r="D77" s="4" t="s">
        <v>1954</v>
      </c>
      <c r="E77" s="4" t="s">
        <v>5804</v>
      </c>
      <c r="F77" t="s">
        <v>41</v>
      </c>
      <c r="G77" t="s">
        <v>59</v>
      </c>
      <c r="H77" t="s">
        <v>21</v>
      </c>
      <c r="I77">
        <v>1</v>
      </c>
      <c r="J77" s="5">
        <v>0.09</v>
      </c>
      <c r="K77" t="s">
        <v>93</v>
      </c>
      <c r="L77" s="6">
        <v>43282</v>
      </c>
      <c r="M77">
        <v>7</v>
      </c>
      <c r="N77" s="7" t="s">
        <v>55</v>
      </c>
      <c r="O77" t="s">
        <v>31</v>
      </c>
      <c r="P77" t="s">
        <v>2024</v>
      </c>
      <c r="Q77" t="s">
        <v>1975</v>
      </c>
      <c r="R77" t="s">
        <v>1976</v>
      </c>
    </row>
    <row r="78" spans="1:18" hidden="1">
      <c r="A78">
        <v>2</v>
      </c>
      <c r="B78" s="4" t="s">
        <v>1952</v>
      </c>
      <c r="C78" s="4" t="s">
        <v>1953</v>
      </c>
      <c r="D78" s="4" t="s">
        <v>1954</v>
      </c>
      <c r="E78" s="4" t="s">
        <v>5804</v>
      </c>
      <c r="F78" t="s">
        <v>41</v>
      </c>
      <c r="G78" t="s">
        <v>59</v>
      </c>
      <c r="H78" t="s">
        <v>21</v>
      </c>
      <c r="I78">
        <v>1</v>
      </c>
      <c r="J78" s="5">
        <v>0.09</v>
      </c>
      <c r="K78" t="s">
        <v>156</v>
      </c>
      <c r="L78" s="6">
        <v>43405</v>
      </c>
      <c r="M78">
        <v>11</v>
      </c>
      <c r="N78" s="7" t="s">
        <v>23</v>
      </c>
      <c r="O78" t="s">
        <v>31</v>
      </c>
      <c r="P78" t="s">
        <v>2041</v>
      </c>
      <c r="Q78" t="s">
        <v>1966</v>
      </c>
      <c r="R78" t="s">
        <v>1976</v>
      </c>
    </row>
    <row r="79" spans="1:18" hidden="1">
      <c r="A79">
        <v>2</v>
      </c>
      <c r="B79" s="4" t="s">
        <v>1952</v>
      </c>
      <c r="C79" s="4" t="s">
        <v>1953</v>
      </c>
      <c r="D79" s="4" t="s">
        <v>1954</v>
      </c>
      <c r="E79" s="4" t="s">
        <v>5804</v>
      </c>
      <c r="F79" t="s">
        <v>41</v>
      </c>
      <c r="G79" t="s">
        <v>59</v>
      </c>
      <c r="H79" t="s">
        <v>21</v>
      </c>
      <c r="I79">
        <v>1</v>
      </c>
      <c r="J79" s="5">
        <v>0.09</v>
      </c>
      <c r="K79" t="s">
        <v>168</v>
      </c>
      <c r="L79" s="6">
        <v>43678</v>
      </c>
      <c r="M79">
        <v>8</v>
      </c>
      <c r="N79" s="7" t="s">
        <v>55</v>
      </c>
      <c r="O79" t="s">
        <v>31</v>
      </c>
      <c r="P79" t="s">
        <v>2053</v>
      </c>
      <c r="Q79" t="s">
        <v>1966</v>
      </c>
      <c r="R79" t="s">
        <v>1976</v>
      </c>
    </row>
    <row r="80" spans="1:18" hidden="1">
      <c r="A80">
        <v>2</v>
      </c>
      <c r="B80" s="4" t="s">
        <v>1952</v>
      </c>
      <c r="C80" s="4" t="s">
        <v>1953</v>
      </c>
      <c r="D80" s="4" t="s">
        <v>1954</v>
      </c>
      <c r="E80" s="4" t="s">
        <v>5804</v>
      </c>
      <c r="F80" t="s">
        <v>41</v>
      </c>
      <c r="G80" t="s">
        <v>59</v>
      </c>
      <c r="H80" t="s">
        <v>21</v>
      </c>
      <c r="I80">
        <v>1</v>
      </c>
      <c r="J80" s="5">
        <v>0.09</v>
      </c>
      <c r="K80" t="s">
        <v>539</v>
      </c>
      <c r="L80" s="6">
        <v>43922</v>
      </c>
      <c r="M80">
        <v>4</v>
      </c>
      <c r="N80" s="7" t="s">
        <v>23</v>
      </c>
      <c r="O80" t="s">
        <v>31</v>
      </c>
      <c r="P80" t="s">
        <v>2057</v>
      </c>
      <c r="Q80" t="s">
        <v>1975</v>
      </c>
      <c r="R80" t="s">
        <v>1976</v>
      </c>
    </row>
    <row r="81" spans="1:18" hidden="1">
      <c r="A81">
        <v>2</v>
      </c>
      <c r="B81" s="4" t="s">
        <v>1952</v>
      </c>
      <c r="C81" s="4" t="s">
        <v>1953</v>
      </c>
      <c r="D81" s="4" t="s">
        <v>1954</v>
      </c>
      <c r="E81" s="4" t="s">
        <v>5804</v>
      </c>
      <c r="F81" t="s">
        <v>41</v>
      </c>
      <c r="G81" t="s">
        <v>59</v>
      </c>
      <c r="H81" t="s">
        <v>21</v>
      </c>
      <c r="I81">
        <v>1</v>
      </c>
      <c r="J81" s="5">
        <v>0.09</v>
      </c>
      <c r="K81" t="s">
        <v>255</v>
      </c>
      <c r="L81" s="6">
        <v>43983</v>
      </c>
      <c r="M81">
        <v>6</v>
      </c>
      <c r="N81" s="7" t="s">
        <v>55</v>
      </c>
      <c r="O81" t="s">
        <v>31</v>
      </c>
      <c r="P81" t="s">
        <v>2062</v>
      </c>
      <c r="Q81" t="s">
        <v>2063</v>
      </c>
      <c r="R81" t="s">
        <v>2064</v>
      </c>
    </row>
    <row r="82" spans="1:18" hidden="1">
      <c r="A82">
        <v>2</v>
      </c>
      <c r="B82" s="4" t="s">
        <v>1952</v>
      </c>
      <c r="C82" s="4" t="s">
        <v>1953</v>
      </c>
      <c r="D82" s="4" t="s">
        <v>2072</v>
      </c>
      <c r="E82" s="4" t="s">
        <v>5804</v>
      </c>
      <c r="F82" t="s">
        <v>41</v>
      </c>
      <c r="G82" t="s">
        <v>42</v>
      </c>
      <c r="H82" t="s">
        <v>21</v>
      </c>
      <c r="I82">
        <v>1</v>
      </c>
      <c r="J82" s="5">
        <v>0.09</v>
      </c>
      <c r="K82" t="s">
        <v>292</v>
      </c>
      <c r="L82" s="6">
        <v>43191</v>
      </c>
      <c r="M82">
        <v>4</v>
      </c>
      <c r="N82" s="7" t="s">
        <v>23</v>
      </c>
      <c r="O82" t="s">
        <v>31</v>
      </c>
      <c r="P82" t="s">
        <v>2134</v>
      </c>
      <c r="Q82" t="s">
        <v>2081</v>
      </c>
      <c r="R82" t="s">
        <v>2082</v>
      </c>
    </row>
    <row r="83" spans="1:18" hidden="1">
      <c r="A83">
        <v>2</v>
      </c>
      <c r="B83" s="4" t="s">
        <v>1952</v>
      </c>
      <c r="C83" s="4" t="s">
        <v>1953</v>
      </c>
      <c r="D83" s="4" t="s">
        <v>2072</v>
      </c>
      <c r="E83" s="4" t="s">
        <v>5804</v>
      </c>
      <c r="F83" t="s">
        <v>41</v>
      </c>
      <c r="G83" t="s">
        <v>42</v>
      </c>
      <c r="H83" t="s">
        <v>21</v>
      </c>
      <c r="I83">
        <v>1</v>
      </c>
      <c r="J83" s="5">
        <v>0.09</v>
      </c>
      <c r="K83" t="s">
        <v>93</v>
      </c>
      <c r="L83" s="6">
        <v>43282</v>
      </c>
      <c r="M83">
        <v>7</v>
      </c>
      <c r="N83" s="7" t="s">
        <v>55</v>
      </c>
      <c r="O83" t="s">
        <v>31</v>
      </c>
      <c r="P83" t="s">
        <v>2142</v>
      </c>
      <c r="Q83" t="s">
        <v>2081</v>
      </c>
      <c r="R83" t="s">
        <v>2082</v>
      </c>
    </row>
    <row r="84" spans="1:18" hidden="1">
      <c r="A84">
        <v>2</v>
      </c>
      <c r="B84" s="4" t="s">
        <v>1952</v>
      </c>
      <c r="C84" s="4" t="s">
        <v>1953</v>
      </c>
      <c r="D84" s="4" t="s">
        <v>2072</v>
      </c>
      <c r="E84" s="4" t="s">
        <v>5804</v>
      </c>
      <c r="F84" t="s">
        <v>41</v>
      </c>
      <c r="G84" t="s">
        <v>59</v>
      </c>
      <c r="H84" t="s">
        <v>21</v>
      </c>
      <c r="I84">
        <v>1</v>
      </c>
      <c r="J84" s="5">
        <v>0.09</v>
      </c>
      <c r="K84" t="s">
        <v>164</v>
      </c>
      <c r="L84" s="6">
        <v>43617</v>
      </c>
      <c r="M84">
        <v>6</v>
      </c>
      <c r="N84" s="7" t="s">
        <v>55</v>
      </c>
      <c r="O84" t="s">
        <v>31</v>
      </c>
      <c r="P84" t="s">
        <v>2153</v>
      </c>
      <c r="Q84" t="s">
        <v>2154</v>
      </c>
      <c r="R84" t="s">
        <v>2076</v>
      </c>
    </row>
    <row r="85" spans="1:18" hidden="1">
      <c r="A85">
        <v>2</v>
      </c>
      <c r="B85" s="4" t="s">
        <v>1952</v>
      </c>
      <c r="C85" s="4" t="s">
        <v>1953</v>
      </c>
      <c r="D85" s="4" t="s">
        <v>2072</v>
      </c>
      <c r="E85" s="4" t="s">
        <v>5804</v>
      </c>
      <c r="F85" t="s">
        <v>41</v>
      </c>
      <c r="G85" t="s">
        <v>42</v>
      </c>
      <c r="H85" t="s">
        <v>21</v>
      </c>
      <c r="I85">
        <v>1</v>
      </c>
      <c r="J85" s="5">
        <v>0.09</v>
      </c>
      <c r="K85" t="s">
        <v>164</v>
      </c>
      <c r="L85" s="6">
        <v>43617</v>
      </c>
      <c r="M85">
        <v>6</v>
      </c>
      <c r="N85" s="7" t="s">
        <v>55</v>
      </c>
      <c r="O85" t="s">
        <v>31</v>
      </c>
      <c r="P85" t="s">
        <v>2161</v>
      </c>
      <c r="Q85" t="s">
        <v>2081</v>
      </c>
      <c r="R85" t="s">
        <v>2082</v>
      </c>
    </row>
    <row r="86" spans="1:18" hidden="1">
      <c r="A86">
        <v>2</v>
      </c>
      <c r="B86" s="4" t="s">
        <v>1952</v>
      </c>
      <c r="C86" s="4" t="s">
        <v>1953</v>
      </c>
      <c r="D86" s="4" t="s">
        <v>2072</v>
      </c>
      <c r="E86" s="4" t="s">
        <v>5804</v>
      </c>
      <c r="F86" t="s">
        <v>41</v>
      </c>
      <c r="G86" t="s">
        <v>42</v>
      </c>
      <c r="H86" t="s">
        <v>21</v>
      </c>
      <c r="I86">
        <v>1</v>
      </c>
      <c r="J86" s="5">
        <v>0.09</v>
      </c>
      <c r="K86" t="s">
        <v>2168</v>
      </c>
      <c r="L86" s="6">
        <v>43709</v>
      </c>
      <c r="M86">
        <v>9</v>
      </c>
      <c r="N86" s="7" t="s">
        <v>23</v>
      </c>
      <c r="O86" t="s">
        <v>31</v>
      </c>
      <c r="P86" t="s">
        <v>2169</v>
      </c>
      <c r="Q86" t="s">
        <v>2081</v>
      </c>
      <c r="R86" t="s">
        <v>2082</v>
      </c>
    </row>
    <row r="87" spans="1:18" hidden="1">
      <c r="A87">
        <v>2</v>
      </c>
      <c r="B87" s="4" t="s">
        <v>1952</v>
      </c>
      <c r="C87" s="4" t="s">
        <v>1953</v>
      </c>
      <c r="D87" s="4" t="s">
        <v>2072</v>
      </c>
      <c r="E87" s="4" t="s">
        <v>5804</v>
      </c>
      <c r="F87" t="s">
        <v>41</v>
      </c>
      <c r="G87" t="s">
        <v>59</v>
      </c>
      <c r="H87" t="s">
        <v>21</v>
      </c>
      <c r="I87">
        <v>1</v>
      </c>
      <c r="J87" s="5">
        <v>0.09</v>
      </c>
      <c r="K87" t="s">
        <v>839</v>
      </c>
      <c r="L87" s="6">
        <v>43800</v>
      </c>
      <c r="M87">
        <v>12</v>
      </c>
      <c r="N87" s="7" t="s">
        <v>30</v>
      </c>
      <c r="O87" t="s">
        <v>31</v>
      </c>
      <c r="P87" t="s">
        <v>2176</v>
      </c>
      <c r="Q87" t="s">
        <v>2154</v>
      </c>
      <c r="R87" t="s">
        <v>2076</v>
      </c>
    </row>
    <row r="88" spans="1:18" hidden="1">
      <c r="A88">
        <v>2</v>
      </c>
      <c r="B88" s="4" t="s">
        <v>1952</v>
      </c>
      <c r="C88" s="4" t="s">
        <v>1953</v>
      </c>
      <c r="D88" s="4" t="s">
        <v>2072</v>
      </c>
      <c r="E88" s="4" t="s">
        <v>5804</v>
      </c>
      <c r="F88" t="s">
        <v>41</v>
      </c>
      <c r="G88" t="s">
        <v>59</v>
      </c>
      <c r="H88" t="s">
        <v>21</v>
      </c>
      <c r="I88">
        <v>1</v>
      </c>
      <c r="J88" s="5">
        <v>0.09</v>
      </c>
      <c r="K88" t="s">
        <v>311</v>
      </c>
      <c r="L88" s="6">
        <v>44256</v>
      </c>
      <c r="M88">
        <v>3</v>
      </c>
      <c r="N88" s="7" t="s">
        <v>23</v>
      </c>
      <c r="O88" t="s">
        <v>31</v>
      </c>
      <c r="P88" t="s">
        <v>2216</v>
      </c>
      <c r="Q88" t="s">
        <v>2154</v>
      </c>
      <c r="R88" t="s">
        <v>2076</v>
      </c>
    </row>
    <row r="89" spans="1:18" hidden="1">
      <c r="A89">
        <v>2</v>
      </c>
      <c r="B89" s="4" t="s">
        <v>1952</v>
      </c>
      <c r="C89" s="4" t="s">
        <v>1953</v>
      </c>
      <c r="D89" s="4" t="s">
        <v>2072</v>
      </c>
      <c r="E89" s="4" t="s">
        <v>5804</v>
      </c>
      <c r="F89" t="s">
        <v>41</v>
      </c>
      <c r="G89" t="s">
        <v>42</v>
      </c>
      <c r="H89" t="s">
        <v>21</v>
      </c>
      <c r="I89">
        <v>1</v>
      </c>
      <c r="J89" s="5">
        <v>0.09</v>
      </c>
      <c r="K89" t="s">
        <v>102</v>
      </c>
      <c r="L89" s="6">
        <v>44287</v>
      </c>
      <c r="M89">
        <v>4</v>
      </c>
      <c r="N89" s="7" t="s">
        <v>23</v>
      </c>
      <c r="O89" t="s">
        <v>31</v>
      </c>
      <c r="P89" t="s">
        <v>2217</v>
      </c>
      <c r="Q89" t="s">
        <v>2139</v>
      </c>
      <c r="R89" t="s">
        <v>2082</v>
      </c>
    </row>
    <row r="90" spans="1:18" hidden="1">
      <c r="A90">
        <v>2</v>
      </c>
      <c r="B90" s="4" t="s">
        <v>1952</v>
      </c>
      <c r="C90" s="4" t="s">
        <v>1953</v>
      </c>
      <c r="D90" s="4" t="s">
        <v>2224</v>
      </c>
      <c r="E90" s="4" t="s">
        <v>5804</v>
      </c>
      <c r="F90" t="s">
        <v>41</v>
      </c>
      <c r="G90" t="s">
        <v>59</v>
      </c>
      <c r="H90" t="s">
        <v>21</v>
      </c>
      <c r="I90">
        <v>1</v>
      </c>
      <c r="J90" s="5">
        <v>0.09</v>
      </c>
      <c r="K90" t="s">
        <v>156</v>
      </c>
      <c r="L90" s="6">
        <v>43405</v>
      </c>
      <c r="M90">
        <v>11</v>
      </c>
      <c r="N90" s="7" t="s">
        <v>23</v>
      </c>
      <c r="O90" t="s">
        <v>31</v>
      </c>
      <c r="P90" t="s">
        <v>2292</v>
      </c>
      <c r="Q90" t="s">
        <v>2293</v>
      </c>
      <c r="R90" t="s">
        <v>2294</v>
      </c>
    </row>
    <row r="91" spans="1:18" hidden="1">
      <c r="A91">
        <v>2</v>
      </c>
      <c r="B91" s="4" t="s">
        <v>1952</v>
      </c>
      <c r="C91" s="4" t="s">
        <v>2425</v>
      </c>
      <c r="D91" s="4" t="s">
        <v>2446</v>
      </c>
      <c r="E91" s="4" t="s">
        <v>5804</v>
      </c>
      <c r="F91" t="s">
        <v>41</v>
      </c>
      <c r="G91" t="s">
        <v>59</v>
      </c>
      <c r="H91" t="s">
        <v>21</v>
      </c>
      <c r="I91">
        <v>1</v>
      </c>
      <c r="J91" s="5">
        <v>0.09</v>
      </c>
      <c r="K91" t="s">
        <v>2506</v>
      </c>
      <c r="L91" s="6" t="s">
        <v>673</v>
      </c>
      <c r="M91" t="e">
        <v>#VALUE!</v>
      </c>
      <c r="N91" s="7" t="e">
        <v>#VALUE!</v>
      </c>
      <c r="O91" t="s">
        <v>31</v>
      </c>
      <c r="P91" t="s">
        <v>2507</v>
      </c>
      <c r="Q91" t="s">
        <v>2508</v>
      </c>
      <c r="R91" t="s">
        <v>2432</v>
      </c>
    </row>
    <row r="92" spans="1:18" hidden="1">
      <c r="A92">
        <v>2</v>
      </c>
      <c r="B92" s="4" t="s">
        <v>1952</v>
      </c>
      <c r="C92" s="4" t="s">
        <v>2425</v>
      </c>
      <c r="D92" s="4" t="s">
        <v>2509</v>
      </c>
      <c r="E92" s="4" t="s">
        <v>5804</v>
      </c>
      <c r="F92" t="s">
        <v>41</v>
      </c>
      <c r="G92" t="s">
        <v>59</v>
      </c>
      <c r="H92" t="s">
        <v>21</v>
      </c>
      <c r="I92">
        <v>1</v>
      </c>
      <c r="J92" s="5">
        <v>0.09</v>
      </c>
      <c r="K92" t="s">
        <v>119</v>
      </c>
      <c r="L92" s="6">
        <v>42552</v>
      </c>
      <c r="M92">
        <v>7</v>
      </c>
      <c r="N92" s="7" t="s">
        <v>55</v>
      </c>
      <c r="O92" t="s">
        <v>31</v>
      </c>
      <c r="P92" t="s">
        <v>2520</v>
      </c>
      <c r="Q92" t="s">
        <v>2521</v>
      </c>
      <c r="R92" t="s">
        <v>2455</v>
      </c>
    </row>
    <row r="93" spans="1:18" hidden="1">
      <c r="A93">
        <v>2</v>
      </c>
      <c r="B93" s="4" t="s">
        <v>1952</v>
      </c>
      <c r="C93" s="4" t="s">
        <v>2566</v>
      </c>
      <c r="D93" s="4" t="s">
        <v>2567</v>
      </c>
      <c r="E93" s="4" t="s">
        <v>5804</v>
      </c>
      <c r="F93" t="s">
        <v>41</v>
      </c>
      <c r="G93" t="s">
        <v>42</v>
      </c>
      <c r="H93" t="s">
        <v>21</v>
      </c>
      <c r="I93">
        <v>1</v>
      </c>
      <c r="J93" s="5">
        <v>0.09</v>
      </c>
      <c r="K93" t="s">
        <v>477</v>
      </c>
      <c r="L93" s="6">
        <v>42705</v>
      </c>
      <c r="M93">
        <v>12</v>
      </c>
      <c r="N93" s="7" t="s">
        <v>30</v>
      </c>
      <c r="O93" t="s">
        <v>31</v>
      </c>
      <c r="P93" t="s">
        <v>2572</v>
      </c>
      <c r="Q93" t="s">
        <v>2573</v>
      </c>
      <c r="R93" t="s">
        <v>2574</v>
      </c>
    </row>
    <row r="94" spans="1:18" hidden="1">
      <c r="A94">
        <v>2</v>
      </c>
      <c r="B94" s="4" t="s">
        <v>1952</v>
      </c>
      <c r="C94" s="4" t="s">
        <v>2566</v>
      </c>
      <c r="D94" s="4" t="s">
        <v>2620</v>
      </c>
      <c r="E94" s="4" t="s">
        <v>5804</v>
      </c>
      <c r="F94" t="s">
        <v>41</v>
      </c>
      <c r="G94" t="s">
        <v>42</v>
      </c>
      <c r="H94" t="s">
        <v>21</v>
      </c>
      <c r="I94">
        <v>1</v>
      </c>
      <c r="J94" s="5">
        <v>0.09</v>
      </c>
      <c r="K94" t="s">
        <v>65</v>
      </c>
      <c r="L94" s="6">
        <v>42430</v>
      </c>
      <c r="M94">
        <v>3</v>
      </c>
      <c r="N94" s="7" t="s">
        <v>23</v>
      </c>
      <c r="O94" t="s">
        <v>31</v>
      </c>
      <c r="P94" t="s">
        <v>2627</v>
      </c>
      <c r="Q94" t="s">
        <v>2628</v>
      </c>
      <c r="R94" t="s">
        <v>2629</v>
      </c>
    </row>
    <row r="95" spans="1:18" hidden="1">
      <c r="A95">
        <v>2</v>
      </c>
      <c r="B95" s="4" t="s">
        <v>1952</v>
      </c>
      <c r="C95" s="4" t="s">
        <v>2566</v>
      </c>
      <c r="D95" s="4" t="s">
        <v>2620</v>
      </c>
      <c r="E95" s="4" t="s">
        <v>5804</v>
      </c>
      <c r="F95" t="s">
        <v>41</v>
      </c>
      <c r="G95" t="s">
        <v>59</v>
      </c>
      <c r="H95" t="s">
        <v>21</v>
      </c>
      <c r="I95">
        <v>1</v>
      </c>
      <c r="J95" s="5">
        <v>0.09</v>
      </c>
      <c r="K95" t="s">
        <v>295</v>
      </c>
      <c r="L95" s="6">
        <v>43221</v>
      </c>
      <c r="M95">
        <v>5</v>
      </c>
      <c r="N95" s="7" t="s">
        <v>23</v>
      </c>
      <c r="O95" t="s">
        <v>31</v>
      </c>
      <c r="P95" t="s">
        <v>2670</v>
      </c>
      <c r="Q95" t="s">
        <v>2671</v>
      </c>
      <c r="R95" t="s">
        <v>2672</v>
      </c>
    </row>
    <row r="96" spans="1:18" hidden="1">
      <c r="A96">
        <v>2</v>
      </c>
      <c r="B96" s="4" t="s">
        <v>1952</v>
      </c>
      <c r="C96" s="4" t="s">
        <v>2566</v>
      </c>
      <c r="D96" s="4" t="s">
        <v>2620</v>
      </c>
      <c r="E96" s="4" t="s">
        <v>5804</v>
      </c>
      <c r="F96" t="s">
        <v>41</v>
      </c>
      <c r="G96" t="s">
        <v>42</v>
      </c>
      <c r="H96" t="s">
        <v>21</v>
      </c>
      <c r="I96">
        <v>1</v>
      </c>
      <c r="J96" s="5">
        <v>0.09</v>
      </c>
      <c r="K96" t="s">
        <v>251</v>
      </c>
      <c r="L96" s="6">
        <v>43952</v>
      </c>
      <c r="M96">
        <v>5</v>
      </c>
      <c r="N96" s="7" t="s">
        <v>23</v>
      </c>
      <c r="O96" t="s">
        <v>31</v>
      </c>
      <c r="P96" t="s">
        <v>2701</v>
      </c>
      <c r="Q96" t="s">
        <v>2702</v>
      </c>
      <c r="R96" t="s">
        <v>2703</v>
      </c>
    </row>
    <row r="97" spans="1:18" hidden="1">
      <c r="A97">
        <v>2</v>
      </c>
      <c r="B97" s="4" t="s">
        <v>1952</v>
      </c>
      <c r="C97" s="4" t="s">
        <v>2566</v>
      </c>
      <c r="D97" s="4" t="s">
        <v>2620</v>
      </c>
      <c r="E97" s="4" t="s">
        <v>5804</v>
      </c>
      <c r="F97" t="s">
        <v>41</v>
      </c>
      <c r="G97" t="s">
        <v>42</v>
      </c>
      <c r="H97" t="s">
        <v>21</v>
      </c>
      <c r="I97">
        <v>1</v>
      </c>
      <c r="J97" s="5">
        <v>0.09</v>
      </c>
      <c r="K97" t="s">
        <v>489</v>
      </c>
      <c r="L97" s="6">
        <v>44409</v>
      </c>
      <c r="M97">
        <v>8</v>
      </c>
      <c r="N97" s="7" t="s">
        <v>55</v>
      </c>
      <c r="O97" t="s">
        <v>31</v>
      </c>
      <c r="P97" t="s">
        <v>2720</v>
      </c>
      <c r="Q97" t="s">
        <v>2721</v>
      </c>
      <c r="R97" t="s">
        <v>2672</v>
      </c>
    </row>
    <row r="98" spans="1:18" hidden="1">
      <c r="A98">
        <v>2</v>
      </c>
      <c r="B98" s="4" t="s">
        <v>1952</v>
      </c>
      <c r="C98" s="4" t="s">
        <v>2566</v>
      </c>
      <c r="D98" s="4" t="s">
        <v>2735</v>
      </c>
      <c r="E98" s="4" t="s">
        <v>5804</v>
      </c>
      <c r="F98" t="s">
        <v>41</v>
      </c>
      <c r="G98" t="s">
        <v>42</v>
      </c>
      <c r="H98" t="s">
        <v>21</v>
      </c>
      <c r="I98">
        <v>1</v>
      </c>
      <c r="J98" s="5">
        <v>0.09</v>
      </c>
      <c r="K98" t="s">
        <v>245</v>
      </c>
      <c r="L98" s="6">
        <v>43466</v>
      </c>
      <c r="M98">
        <v>1</v>
      </c>
      <c r="N98" s="7" t="s">
        <v>30</v>
      </c>
      <c r="O98" t="s">
        <v>31</v>
      </c>
      <c r="P98" t="s">
        <v>2751</v>
      </c>
      <c r="Q98" t="s">
        <v>2752</v>
      </c>
      <c r="R98" t="s">
        <v>2753</v>
      </c>
    </row>
    <row r="99" spans="1:18" hidden="1">
      <c r="A99">
        <v>2</v>
      </c>
      <c r="B99" s="4" t="s">
        <v>1952</v>
      </c>
      <c r="C99" s="4" t="s">
        <v>2566</v>
      </c>
      <c r="D99" s="4" t="s">
        <v>2735</v>
      </c>
      <c r="E99" s="4" t="s">
        <v>5804</v>
      </c>
      <c r="F99" t="s">
        <v>41</v>
      </c>
      <c r="G99" t="s">
        <v>42</v>
      </c>
      <c r="H99" t="s">
        <v>21</v>
      </c>
      <c r="I99">
        <v>1</v>
      </c>
      <c r="J99" s="5">
        <v>0.09</v>
      </c>
      <c r="K99" t="s">
        <v>104</v>
      </c>
      <c r="L99" s="6">
        <v>44317</v>
      </c>
      <c r="M99">
        <v>5</v>
      </c>
      <c r="N99" s="7" t="s">
        <v>23</v>
      </c>
      <c r="O99" t="s">
        <v>31</v>
      </c>
      <c r="P99" t="s">
        <v>2763</v>
      </c>
      <c r="Q99" t="s">
        <v>2737</v>
      </c>
      <c r="R99" t="s">
        <v>2734</v>
      </c>
    </row>
    <row r="100" spans="1:18">
      <c r="A100">
        <v>3</v>
      </c>
      <c r="B100" s="4" t="s">
        <v>2764</v>
      </c>
      <c r="C100" s="4" t="s">
        <v>2765</v>
      </c>
      <c r="D100" s="4" t="s">
        <v>2766</v>
      </c>
      <c r="E100" s="4" t="s">
        <v>5804</v>
      </c>
      <c r="F100" t="s">
        <v>41</v>
      </c>
      <c r="G100" t="s">
        <v>59</v>
      </c>
      <c r="H100" t="s">
        <v>21</v>
      </c>
      <c r="I100">
        <v>1</v>
      </c>
      <c r="J100" s="5">
        <v>0.09</v>
      </c>
      <c r="K100" t="s">
        <v>797</v>
      </c>
      <c r="L100" s="6">
        <v>43252</v>
      </c>
      <c r="M100">
        <v>6</v>
      </c>
      <c r="N100" s="7" t="s">
        <v>55</v>
      </c>
      <c r="O100" t="s">
        <v>31</v>
      </c>
      <c r="P100" t="s">
        <v>2797</v>
      </c>
      <c r="Q100" t="s">
        <v>2798</v>
      </c>
      <c r="R100" t="s">
        <v>2799</v>
      </c>
    </row>
    <row r="101" spans="1:18">
      <c r="A101">
        <v>3</v>
      </c>
      <c r="B101" s="4" t="s">
        <v>2764</v>
      </c>
      <c r="C101" s="4" t="s">
        <v>2765</v>
      </c>
      <c r="D101" s="4" t="s">
        <v>2766</v>
      </c>
      <c r="E101" s="4" t="s">
        <v>5804</v>
      </c>
      <c r="F101" t="s">
        <v>41</v>
      </c>
      <c r="G101" t="s">
        <v>59</v>
      </c>
      <c r="H101" t="s">
        <v>21</v>
      </c>
      <c r="I101">
        <v>1</v>
      </c>
      <c r="J101" s="5">
        <v>0.09</v>
      </c>
      <c r="K101" t="s">
        <v>99</v>
      </c>
      <c r="L101" s="6">
        <v>43891</v>
      </c>
      <c r="M101">
        <v>3</v>
      </c>
      <c r="N101" s="7" t="s">
        <v>23</v>
      </c>
      <c r="O101" t="s">
        <v>31</v>
      </c>
      <c r="P101" t="s">
        <v>2813</v>
      </c>
      <c r="Q101" t="s">
        <v>2814</v>
      </c>
      <c r="R101" t="s">
        <v>2815</v>
      </c>
    </row>
    <row r="102" spans="1:18">
      <c r="A102">
        <v>3</v>
      </c>
      <c r="B102" s="4" t="s">
        <v>2764</v>
      </c>
      <c r="C102" s="4" t="s">
        <v>2765</v>
      </c>
      <c r="D102" s="4" t="s">
        <v>2816</v>
      </c>
      <c r="E102" s="4" t="s">
        <v>5804</v>
      </c>
      <c r="F102" t="s">
        <v>41</v>
      </c>
      <c r="G102" t="s">
        <v>42</v>
      </c>
      <c r="H102" t="s">
        <v>21</v>
      </c>
      <c r="I102">
        <v>1</v>
      </c>
      <c r="J102" s="5">
        <v>0.09</v>
      </c>
      <c r="K102" t="s">
        <v>124</v>
      </c>
      <c r="L102" s="6">
        <v>42767</v>
      </c>
      <c r="M102">
        <v>2</v>
      </c>
      <c r="N102" s="7" t="s">
        <v>30</v>
      </c>
      <c r="O102" t="s">
        <v>31</v>
      </c>
      <c r="P102" t="s">
        <v>2862</v>
      </c>
      <c r="Q102" t="s">
        <v>2863</v>
      </c>
      <c r="R102" t="s">
        <v>2864</v>
      </c>
    </row>
    <row r="103" spans="1:18">
      <c r="A103">
        <v>3</v>
      </c>
      <c r="B103" s="4" t="s">
        <v>2764</v>
      </c>
      <c r="C103" s="4" t="s">
        <v>2765</v>
      </c>
      <c r="D103" s="4" t="s">
        <v>2816</v>
      </c>
      <c r="E103" s="4" t="s">
        <v>5804</v>
      </c>
      <c r="F103" t="s">
        <v>41</v>
      </c>
      <c r="G103" t="s">
        <v>59</v>
      </c>
      <c r="H103" t="s">
        <v>21</v>
      </c>
      <c r="I103">
        <v>1</v>
      </c>
      <c r="J103" s="5">
        <v>0.09</v>
      </c>
      <c r="K103" t="s">
        <v>168</v>
      </c>
      <c r="L103" s="6">
        <v>43678</v>
      </c>
      <c r="M103">
        <v>8</v>
      </c>
      <c r="N103" s="7" t="s">
        <v>55</v>
      </c>
      <c r="O103" t="s">
        <v>31</v>
      </c>
      <c r="P103" t="s">
        <v>2973</v>
      </c>
      <c r="Q103" t="s">
        <v>2974</v>
      </c>
      <c r="R103" t="s">
        <v>2975</v>
      </c>
    </row>
    <row r="104" spans="1:18">
      <c r="A104">
        <v>3</v>
      </c>
      <c r="B104" s="4" t="s">
        <v>2764</v>
      </c>
      <c r="C104" s="4" t="s">
        <v>2765</v>
      </c>
      <c r="D104" s="4" t="s">
        <v>2816</v>
      </c>
      <c r="E104" s="4" t="s">
        <v>5804</v>
      </c>
      <c r="F104" t="s">
        <v>41</v>
      </c>
      <c r="G104" t="s">
        <v>59</v>
      </c>
      <c r="H104" t="s">
        <v>21</v>
      </c>
      <c r="I104">
        <v>1</v>
      </c>
      <c r="J104" s="5">
        <v>0.09</v>
      </c>
      <c r="K104" t="s">
        <v>539</v>
      </c>
      <c r="L104" s="6">
        <v>43922</v>
      </c>
      <c r="M104">
        <v>4</v>
      </c>
      <c r="N104" s="7" t="s">
        <v>23</v>
      </c>
      <c r="O104" t="s">
        <v>31</v>
      </c>
      <c r="P104" t="s">
        <v>2998</v>
      </c>
      <c r="Q104" t="s">
        <v>2999</v>
      </c>
      <c r="R104" t="s">
        <v>3000</v>
      </c>
    </row>
    <row r="105" spans="1:18">
      <c r="A105">
        <v>3</v>
      </c>
      <c r="B105" s="4" t="s">
        <v>2764</v>
      </c>
      <c r="C105" s="4" t="s">
        <v>2765</v>
      </c>
      <c r="D105" s="4" t="s">
        <v>2816</v>
      </c>
      <c r="E105" s="4" t="s">
        <v>5804</v>
      </c>
      <c r="F105" t="s">
        <v>41</v>
      </c>
      <c r="G105" t="s">
        <v>42</v>
      </c>
      <c r="H105" t="s">
        <v>21</v>
      </c>
      <c r="I105">
        <v>1</v>
      </c>
      <c r="J105" s="5">
        <v>0.09</v>
      </c>
      <c r="K105" t="s">
        <v>255</v>
      </c>
      <c r="L105" s="6">
        <v>43983</v>
      </c>
      <c r="M105">
        <v>6</v>
      </c>
      <c r="N105" s="7" t="s">
        <v>55</v>
      </c>
      <c r="O105" t="s">
        <v>31</v>
      </c>
      <c r="P105" t="s">
        <v>3015</v>
      </c>
      <c r="Q105" t="s">
        <v>3016</v>
      </c>
      <c r="R105" t="s">
        <v>3017</v>
      </c>
    </row>
    <row r="106" spans="1:18">
      <c r="A106">
        <v>3</v>
      </c>
      <c r="B106" s="4" t="s">
        <v>2764</v>
      </c>
      <c r="C106" s="4" t="s">
        <v>2765</v>
      </c>
      <c r="D106" s="4" t="s">
        <v>2816</v>
      </c>
      <c r="E106" s="4" t="s">
        <v>5804</v>
      </c>
      <c r="F106" t="s">
        <v>41</v>
      </c>
      <c r="G106" t="s">
        <v>42</v>
      </c>
      <c r="H106" t="s">
        <v>21</v>
      </c>
      <c r="I106">
        <v>1</v>
      </c>
      <c r="J106" s="5">
        <v>0.09</v>
      </c>
      <c r="K106" t="s">
        <v>365</v>
      </c>
      <c r="L106" s="6">
        <v>44105</v>
      </c>
      <c r="M106">
        <v>10</v>
      </c>
      <c r="N106" s="7" t="s">
        <v>23</v>
      </c>
      <c r="O106" t="s">
        <v>31</v>
      </c>
      <c r="P106" t="s">
        <v>3034</v>
      </c>
      <c r="Q106" t="s">
        <v>3035</v>
      </c>
      <c r="R106" t="s">
        <v>3036</v>
      </c>
    </row>
    <row r="107" spans="1:18">
      <c r="A107">
        <v>3</v>
      </c>
      <c r="B107" s="4" t="s">
        <v>2764</v>
      </c>
      <c r="C107" s="4" t="s">
        <v>2765</v>
      </c>
      <c r="D107" s="4" t="s">
        <v>2816</v>
      </c>
      <c r="E107" s="4" t="s">
        <v>5804</v>
      </c>
      <c r="F107" t="s">
        <v>41</v>
      </c>
      <c r="G107" t="s">
        <v>42</v>
      </c>
      <c r="H107" t="s">
        <v>21</v>
      </c>
      <c r="I107">
        <v>1</v>
      </c>
      <c r="J107" s="5">
        <v>0.09</v>
      </c>
      <c r="K107" t="s">
        <v>104</v>
      </c>
      <c r="L107" s="6">
        <v>44317</v>
      </c>
      <c r="M107">
        <v>5</v>
      </c>
      <c r="N107" s="7" t="s">
        <v>23</v>
      </c>
      <c r="O107" t="s">
        <v>31</v>
      </c>
      <c r="P107" t="s">
        <v>3066</v>
      </c>
      <c r="Q107" t="s">
        <v>3067</v>
      </c>
      <c r="R107" t="s">
        <v>3068</v>
      </c>
    </row>
    <row r="108" spans="1:18">
      <c r="A108">
        <v>3</v>
      </c>
      <c r="B108" s="4" t="s">
        <v>2764</v>
      </c>
      <c r="C108" s="4" t="s">
        <v>2765</v>
      </c>
      <c r="D108" s="4" t="s">
        <v>3092</v>
      </c>
      <c r="E108" s="4" t="s">
        <v>5804</v>
      </c>
      <c r="F108" t="s">
        <v>41</v>
      </c>
      <c r="G108" t="s">
        <v>59</v>
      </c>
      <c r="H108" t="s">
        <v>21</v>
      </c>
      <c r="I108">
        <v>1</v>
      </c>
      <c r="J108" s="5">
        <v>0.09</v>
      </c>
      <c r="K108" t="s">
        <v>558</v>
      </c>
      <c r="L108" s="6">
        <v>42339</v>
      </c>
      <c r="M108">
        <v>12</v>
      </c>
      <c r="N108" s="7" t="s">
        <v>30</v>
      </c>
      <c r="O108" t="s">
        <v>31</v>
      </c>
      <c r="P108" t="s">
        <v>3093</v>
      </c>
      <c r="Q108" t="s">
        <v>2985</v>
      </c>
      <c r="R108" t="s">
        <v>3094</v>
      </c>
    </row>
    <row r="109" spans="1:18">
      <c r="A109">
        <v>3</v>
      </c>
      <c r="B109" s="4" t="s">
        <v>2764</v>
      </c>
      <c r="C109" s="4" t="s">
        <v>2765</v>
      </c>
      <c r="D109" s="4" t="s">
        <v>3092</v>
      </c>
      <c r="E109" s="4" t="s">
        <v>5804</v>
      </c>
      <c r="F109" t="s">
        <v>41</v>
      </c>
      <c r="G109" t="s">
        <v>59</v>
      </c>
      <c r="H109" t="s">
        <v>21</v>
      </c>
      <c r="I109">
        <v>1</v>
      </c>
      <c r="J109" s="5">
        <v>0.09</v>
      </c>
      <c r="K109" t="s">
        <v>422</v>
      </c>
      <c r="L109" s="6">
        <v>42736</v>
      </c>
      <c r="M109">
        <v>1</v>
      </c>
      <c r="N109" s="7" t="s">
        <v>30</v>
      </c>
      <c r="O109" t="s">
        <v>31</v>
      </c>
      <c r="P109" t="s">
        <v>3101</v>
      </c>
      <c r="Q109" t="s">
        <v>2985</v>
      </c>
      <c r="R109" t="s">
        <v>2986</v>
      </c>
    </row>
    <row r="110" spans="1:18">
      <c r="A110">
        <v>3</v>
      </c>
      <c r="B110" s="4" t="s">
        <v>2764</v>
      </c>
      <c r="C110" s="4" t="s">
        <v>2765</v>
      </c>
      <c r="D110" s="4" t="s">
        <v>3092</v>
      </c>
      <c r="E110" s="4" t="s">
        <v>5804</v>
      </c>
      <c r="F110" t="s">
        <v>41</v>
      </c>
      <c r="G110" t="s">
        <v>59</v>
      </c>
      <c r="H110" t="s">
        <v>21</v>
      </c>
      <c r="I110">
        <v>1</v>
      </c>
      <c r="J110" s="5">
        <v>0.09</v>
      </c>
      <c r="K110" t="s">
        <v>124</v>
      </c>
      <c r="L110" s="6">
        <v>42767</v>
      </c>
      <c r="M110">
        <v>2</v>
      </c>
      <c r="N110" s="7" t="s">
        <v>30</v>
      </c>
      <c r="O110" t="s">
        <v>31</v>
      </c>
      <c r="P110" t="s">
        <v>3102</v>
      </c>
      <c r="Q110" t="s">
        <v>2985</v>
      </c>
      <c r="R110" t="s">
        <v>3094</v>
      </c>
    </row>
    <row r="111" spans="1:18">
      <c r="A111">
        <v>3</v>
      </c>
      <c r="B111" s="4" t="s">
        <v>2764</v>
      </c>
      <c r="C111" s="4" t="s">
        <v>2765</v>
      </c>
      <c r="D111" s="4" t="s">
        <v>3092</v>
      </c>
      <c r="E111" s="4" t="s">
        <v>5804</v>
      </c>
      <c r="F111" t="s">
        <v>41</v>
      </c>
      <c r="G111" t="s">
        <v>59</v>
      </c>
      <c r="H111" t="s">
        <v>21</v>
      </c>
      <c r="I111">
        <v>1</v>
      </c>
      <c r="J111" s="5">
        <v>0.09</v>
      </c>
      <c r="K111" t="s">
        <v>1085</v>
      </c>
      <c r="L111" s="6">
        <v>43862</v>
      </c>
      <c r="M111">
        <v>2</v>
      </c>
      <c r="N111" s="7" t="s">
        <v>30</v>
      </c>
      <c r="O111" t="s">
        <v>31</v>
      </c>
      <c r="P111" t="s">
        <v>3125</v>
      </c>
      <c r="Q111" t="s">
        <v>2985</v>
      </c>
      <c r="R111" t="s">
        <v>3094</v>
      </c>
    </row>
    <row r="112" spans="1:18" hidden="1">
      <c r="A112">
        <v>4</v>
      </c>
      <c r="B112" s="4" t="s">
        <v>3127</v>
      </c>
      <c r="C112" s="4" t="s">
        <v>3128</v>
      </c>
      <c r="D112" s="4" t="s">
        <v>3129</v>
      </c>
      <c r="E112" s="4" t="s">
        <v>5804</v>
      </c>
      <c r="F112" t="s">
        <v>41</v>
      </c>
      <c r="G112" t="s">
        <v>59</v>
      </c>
      <c r="H112" t="s">
        <v>21</v>
      </c>
      <c r="I112">
        <v>1</v>
      </c>
      <c r="J112" s="5">
        <v>0.09</v>
      </c>
      <c r="K112" t="s">
        <v>319</v>
      </c>
      <c r="L112" s="6">
        <v>42583</v>
      </c>
      <c r="M112">
        <v>8</v>
      </c>
      <c r="N112" s="7" t="s">
        <v>55</v>
      </c>
      <c r="O112" t="s">
        <v>31</v>
      </c>
      <c r="P112" t="s">
        <v>3136</v>
      </c>
      <c r="Q112" t="s">
        <v>3137</v>
      </c>
      <c r="R112" t="s">
        <v>3138</v>
      </c>
    </row>
    <row r="113" spans="1:18" hidden="1">
      <c r="A113">
        <v>4</v>
      </c>
      <c r="B113" s="4" t="s">
        <v>3127</v>
      </c>
      <c r="C113" s="4" t="s">
        <v>3128</v>
      </c>
      <c r="D113" s="4" t="s">
        <v>3129</v>
      </c>
      <c r="E113" s="4" t="s">
        <v>5804</v>
      </c>
      <c r="F113" t="s">
        <v>41</v>
      </c>
      <c r="G113" t="s">
        <v>42</v>
      </c>
      <c r="H113" t="s">
        <v>21</v>
      </c>
      <c r="I113">
        <v>1</v>
      </c>
      <c r="J113" s="5">
        <v>0.09</v>
      </c>
      <c r="K113" t="s">
        <v>142</v>
      </c>
      <c r="L113" s="6">
        <v>43101</v>
      </c>
      <c r="M113">
        <v>1</v>
      </c>
      <c r="N113" s="7" t="s">
        <v>30</v>
      </c>
      <c r="O113" t="s">
        <v>31</v>
      </c>
      <c r="P113" t="s">
        <v>3158</v>
      </c>
      <c r="Q113" t="s">
        <v>3159</v>
      </c>
      <c r="R113" t="s">
        <v>3160</v>
      </c>
    </row>
    <row r="114" spans="1:18" hidden="1">
      <c r="A114">
        <v>4</v>
      </c>
      <c r="B114" s="4" t="s">
        <v>3127</v>
      </c>
      <c r="C114" s="4" t="s">
        <v>3128</v>
      </c>
      <c r="D114" s="4" t="s">
        <v>3129</v>
      </c>
      <c r="E114" s="4" t="s">
        <v>5804</v>
      </c>
      <c r="F114" t="s">
        <v>41</v>
      </c>
      <c r="G114" t="s">
        <v>59</v>
      </c>
      <c r="H114" t="s">
        <v>21</v>
      </c>
      <c r="I114">
        <v>1</v>
      </c>
      <c r="J114" s="5">
        <v>0.09</v>
      </c>
      <c r="K114" t="s">
        <v>93</v>
      </c>
      <c r="L114" s="6">
        <v>43282</v>
      </c>
      <c r="M114">
        <v>7</v>
      </c>
      <c r="N114" s="7" t="s">
        <v>55</v>
      </c>
      <c r="O114" t="s">
        <v>31</v>
      </c>
      <c r="P114" t="s">
        <v>3161</v>
      </c>
      <c r="Q114" t="s">
        <v>3137</v>
      </c>
      <c r="R114" t="s">
        <v>3138</v>
      </c>
    </row>
    <row r="115" spans="1:18" hidden="1">
      <c r="A115">
        <v>4</v>
      </c>
      <c r="B115" s="4" t="s">
        <v>3127</v>
      </c>
      <c r="C115" s="4" t="s">
        <v>3128</v>
      </c>
      <c r="D115" s="4" t="s">
        <v>3129</v>
      </c>
      <c r="E115" s="4" t="s">
        <v>5804</v>
      </c>
      <c r="F115" t="s">
        <v>41</v>
      </c>
      <c r="G115" t="s">
        <v>59</v>
      </c>
      <c r="H115" t="s">
        <v>21</v>
      </c>
      <c r="I115">
        <v>1</v>
      </c>
      <c r="J115" s="5">
        <v>0.09</v>
      </c>
      <c r="K115" t="s">
        <v>146</v>
      </c>
      <c r="L115" s="6">
        <v>43313</v>
      </c>
      <c r="M115">
        <v>8</v>
      </c>
      <c r="N115" s="7" t="s">
        <v>55</v>
      </c>
      <c r="O115" t="s">
        <v>31</v>
      </c>
      <c r="P115" t="s">
        <v>3162</v>
      </c>
      <c r="Q115" t="s">
        <v>3137</v>
      </c>
      <c r="R115" t="s">
        <v>3138</v>
      </c>
    </row>
    <row r="116" spans="1:18" hidden="1">
      <c r="A116">
        <v>4</v>
      </c>
      <c r="B116" s="4" t="s">
        <v>3127</v>
      </c>
      <c r="C116" s="4" t="s">
        <v>3128</v>
      </c>
      <c r="D116" s="4" t="s">
        <v>3129</v>
      </c>
      <c r="E116" s="4" t="s">
        <v>5804</v>
      </c>
      <c r="F116" t="s">
        <v>41</v>
      </c>
      <c r="G116" t="s">
        <v>42</v>
      </c>
      <c r="H116" t="s">
        <v>21</v>
      </c>
      <c r="I116">
        <v>1</v>
      </c>
      <c r="J116" s="5">
        <v>0.09</v>
      </c>
      <c r="K116" t="s">
        <v>691</v>
      </c>
      <c r="L116" s="6">
        <v>43770</v>
      </c>
      <c r="M116">
        <v>11</v>
      </c>
      <c r="N116" s="7" t="s">
        <v>23</v>
      </c>
      <c r="O116" t="s">
        <v>31</v>
      </c>
      <c r="P116" t="s">
        <v>3177</v>
      </c>
      <c r="Q116" t="s">
        <v>3178</v>
      </c>
      <c r="R116" t="s">
        <v>3179</v>
      </c>
    </row>
    <row r="117" spans="1:18" hidden="1">
      <c r="A117">
        <v>4</v>
      </c>
      <c r="B117" s="4" t="s">
        <v>3127</v>
      </c>
      <c r="C117" s="4" t="s">
        <v>3128</v>
      </c>
      <c r="D117" s="4" t="s">
        <v>3190</v>
      </c>
      <c r="E117" s="4" t="s">
        <v>5804</v>
      </c>
      <c r="F117" t="s">
        <v>41</v>
      </c>
      <c r="G117" t="s">
        <v>59</v>
      </c>
      <c r="H117" t="s">
        <v>21</v>
      </c>
      <c r="I117">
        <v>1</v>
      </c>
      <c r="J117" s="5">
        <v>0.09</v>
      </c>
      <c r="K117" t="s">
        <v>156</v>
      </c>
      <c r="L117" s="6">
        <v>43405</v>
      </c>
      <c r="M117">
        <v>11</v>
      </c>
      <c r="N117" s="7" t="s">
        <v>23</v>
      </c>
      <c r="O117" t="s">
        <v>31</v>
      </c>
      <c r="P117" t="s">
        <v>3222</v>
      </c>
      <c r="Q117" t="s">
        <v>3223</v>
      </c>
      <c r="R117" t="s">
        <v>3138</v>
      </c>
    </row>
    <row r="118" spans="1:18" hidden="1">
      <c r="A118">
        <v>4</v>
      </c>
      <c r="B118" s="4" t="s">
        <v>3127</v>
      </c>
      <c r="C118" s="4" t="s">
        <v>3128</v>
      </c>
      <c r="D118" s="4" t="s">
        <v>3247</v>
      </c>
      <c r="E118" s="4" t="s">
        <v>5804</v>
      </c>
      <c r="F118" t="s">
        <v>41</v>
      </c>
      <c r="G118" t="s">
        <v>42</v>
      </c>
      <c r="H118" t="s">
        <v>21</v>
      </c>
      <c r="I118">
        <v>1</v>
      </c>
      <c r="J118" s="5">
        <v>0.09</v>
      </c>
      <c r="K118" t="s">
        <v>60</v>
      </c>
      <c r="L118" s="6">
        <v>42370</v>
      </c>
      <c r="M118">
        <v>1</v>
      </c>
      <c r="N118" s="7" t="s">
        <v>30</v>
      </c>
      <c r="O118" t="s">
        <v>31</v>
      </c>
      <c r="P118" t="s">
        <v>3248</v>
      </c>
      <c r="Q118" t="s">
        <v>3249</v>
      </c>
      <c r="R118" t="s">
        <v>3160</v>
      </c>
    </row>
    <row r="119" spans="1:18" hidden="1">
      <c r="A119">
        <v>4</v>
      </c>
      <c r="B119" s="4" t="s">
        <v>3127</v>
      </c>
      <c r="C119" s="4" t="s">
        <v>3128</v>
      </c>
      <c r="D119" s="4" t="s">
        <v>3247</v>
      </c>
      <c r="E119" s="4" t="s">
        <v>5804</v>
      </c>
      <c r="F119" t="s">
        <v>41</v>
      </c>
      <c r="G119" t="s">
        <v>59</v>
      </c>
      <c r="H119" t="s">
        <v>21</v>
      </c>
      <c r="I119">
        <v>1</v>
      </c>
      <c r="J119" s="5">
        <v>0.09</v>
      </c>
      <c r="K119" t="s">
        <v>701</v>
      </c>
      <c r="L119" s="6">
        <v>42491</v>
      </c>
      <c r="M119">
        <v>5</v>
      </c>
      <c r="N119" s="7" t="s">
        <v>23</v>
      </c>
      <c r="O119" t="s">
        <v>31</v>
      </c>
      <c r="P119" t="s">
        <v>3258</v>
      </c>
      <c r="Q119" t="s">
        <v>3259</v>
      </c>
      <c r="R119" t="s">
        <v>3260</v>
      </c>
    </row>
    <row r="120" spans="1:18" hidden="1">
      <c r="A120">
        <v>4</v>
      </c>
      <c r="B120" s="4" t="s">
        <v>3127</v>
      </c>
      <c r="C120" s="4" t="s">
        <v>3128</v>
      </c>
      <c r="D120" s="4" t="s">
        <v>3247</v>
      </c>
      <c r="E120" s="4" t="s">
        <v>5804</v>
      </c>
      <c r="F120" t="s">
        <v>41</v>
      </c>
      <c r="G120" t="s">
        <v>59</v>
      </c>
      <c r="H120" t="s">
        <v>21</v>
      </c>
      <c r="I120">
        <v>1</v>
      </c>
      <c r="J120" s="5">
        <v>0.09</v>
      </c>
      <c r="K120" t="s">
        <v>701</v>
      </c>
      <c r="L120" s="6">
        <v>42491</v>
      </c>
      <c r="M120">
        <v>5</v>
      </c>
      <c r="N120" s="7" t="s">
        <v>23</v>
      </c>
      <c r="O120" t="s">
        <v>31</v>
      </c>
      <c r="P120" t="s">
        <v>3261</v>
      </c>
      <c r="Q120" t="s">
        <v>3259</v>
      </c>
      <c r="R120" t="s">
        <v>3260</v>
      </c>
    </row>
    <row r="121" spans="1:18" hidden="1">
      <c r="A121">
        <v>4</v>
      </c>
      <c r="B121" s="4" t="s">
        <v>3127</v>
      </c>
      <c r="C121" s="4" t="s">
        <v>3128</v>
      </c>
      <c r="D121" s="4" t="s">
        <v>3247</v>
      </c>
      <c r="E121" s="4" t="s">
        <v>5804</v>
      </c>
      <c r="F121" t="s">
        <v>41</v>
      </c>
      <c r="G121" t="s">
        <v>59</v>
      </c>
      <c r="H121" t="s">
        <v>21</v>
      </c>
      <c r="I121">
        <v>1</v>
      </c>
      <c r="J121" s="5">
        <v>0.09</v>
      </c>
      <c r="K121" t="s">
        <v>422</v>
      </c>
      <c r="L121" s="6">
        <v>42736</v>
      </c>
      <c r="M121">
        <v>1</v>
      </c>
      <c r="N121" s="7" t="s">
        <v>30</v>
      </c>
      <c r="O121" t="s">
        <v>31</v>
      </c>
      <c r="P121" t="s">
        <v>3294</v>
      </c>
      <c r="Q121" t="s">
        <v>3223</v>
      </c>
      <c r="R121" t="s">
        <v>3138</v>
      </c>
    </row>
    <row r="122" spans="1:18" hidden="1">
      <c r="A122">
        <v>4</v>
      </c>
      <c r="B122" s="4" t="s">
        <v>3127</v>
      </c>
      <c r="C122" s="4" t="s">
        <v>3374</v>
      </c>
      <c r="D122" s="4" t="s">
        <v>3375</v>
      </c>
      <c r="E122" s="4" t="s">
        <v>5804</v>
      </c>
      <c r="F122" t="s">
        <v>41</v>
      </c>
      <c r="G122" t="s">
        <v>59</v>
      </c>
      <c r="H122" t="s">
        <v>21</v>
      </c>
      <c r="I122">
        <v>1</v>
      </c>
      <c r="J122" s="5">
        <v>0.09</v>
      </c>
      <c r="K122" t="s">
        <v>71</v>
      </c>
      <c r="L122" s="6">
        <v>42522</v>
      </c>
      <c r="M122">
        <v>6</v>
      </c>
      <c r="N122" s="7" t="s">
        <v>55</v>
      </c>
      <c r="O122" t="s">
        <v>31</v>
      </c>
      <c r="P122" t="s">
        <v>3388</v>
      </c>
      <c r="Q122" t="s">
        <v>3389</v>
      </c>
      <c r="R122" t="s">
        <v>3390</v>
      </c>
    </row>
    <row r="123" spans="1:18" hidden="1">
      <c r="A123">
        <v>4</v>
      </c>
      <c r="B123" s="4" t="s">
        <v>3127</v>
      </c>
      <c r="C123" s="4" t="s">
        <v>3374</v>
      </c>
      <c r="D123" s="4" t="s">
        <v>3375</v>
      </c>
      <c r="E123" s="4" t="s">
        <v>5804</v>
      </c>
      <c r="F123" t="s">
        <v>41</v>
      </c>
      <c r="G123" t="s">
        <v>59</v>
      </c>
      <c r="H123" t="s">
        <v>21</v>
      </c>
      <c r="I123">
        <v>1</v>
      </c>
      <c r="J123" s="5">
        <v>0.09</v>
      </c>
      <c r="K123" t="s">
        <v>124</v>
      </c>
      <c r="L123" s="6">
        <v>42767</v>
      </c>
      <c r="M123">
        <v>2</v>
      </c>
      <c r="N123" s="7" t="s">
        <v>30</v>
      </c>
      <c r="O123" t="s">
        <v>31</v>
      </c>
      <c r="P123" t="s">
        <v>3407</v>
      </c>
      <c r="Q123" t="s">
        <v>3408</v>
      </c>
      <c r="R123" t="s">
        <v>3390</v>
      </c>
    </row>
    <row r="124" spans="1:18" hidden="1">
      <c r="A124">
        <v>4</v>
      </c>
      <c r="B124" s="4" t="s">
        <v>3127</v>
      </c>
      <c r="C124" s="4" t="s">
        <v>3374</v>
      </c>
      <c r="D124" s="4" t="s">
        <v>3375</v>
      </c>
      <c r="E124" s="4" t="s">
        <v>5804</v>
      </c>
      <c r="F124" t="s">
        <v>41</v>
      </c>
      <c r="G124" t="s">
        <v>59</v>
      </c>
      <c r="H124" t="s">
        <v>21</v>
      </c>
      <c r="I124">
        <v>1</v>
      </c>
      <c r="J124" s="5">
        <v>0.09</v>
      </c>
      <c r="K124" t="s">
        <v>76</v>
      </c>
      <c r="L124" s="6">
        <v>42856</v>
      </c>
      <c r="M124">
        <v>5</v>
      </c>
      <c r="N124" s="7" t="s">
        <v>23</v>
      </c>
      <c r="O124" t="s">
        <v>31</v>
      </c>
      <c r="P124" t="s">
        <v>3413</v>
      </c>
      <c r="Q124" t="s">
        <v>3414</v>
      </c>
      <c r="R124" t="s">
        <v>3390</v>
      </c>
    </row>
    <row r="125" spans="1:18" hidden="1">
      <c r="A125">
        <v>4</v>
      </c>
      <c r="B125" s="4" t="s">
        <v>3127</v>
      </c>
      <c r="C125" s="4" t="s">
        <v>3374</v>
      </c>
      <c r="D125" s="4" t="s">
        <v>3375</v>
      </c>
      <c r="E125" s="4" t="s">
        <v>5804</v>
      </c>
      <c r="F125" t="s">
        <v>41</v>
      </c>
      <c r="G125" t="s">
        <v>42</v>
      </c>
      <c r="H125" t="s">
        <v>21</v>
      </c>
      <c r="I125">
        <v>1</v>
      </c>
      <c r="J125" s="5">
        <v>0.09</v>
      </c>
      <c r="K125" t="s">
        <v>357</v>
      </c>
      <c r="L125" s="6">
        <v>43739</v>
      </c>
      <c r="M125">
        <v>10</v>
      </c>
      <c r="N125" s="7" t="s">
        <v>23</v>
      </c>
      <c r="O125" t="s">
        <v>31</v>
      </c>
      <c r="P125" t="s">
        <v>3469</v>
      </c>
      <c r="Q125" t="s">
        <v>3470</v>
      </c>
      <c r="R125" t="s">
        <v>3471</v>
      </c>
    </row>
    <row r="126" spans="1:18" hidden="1">
      <c r="A126">
        <v>4</v>
      </c>
      <c r="B126" s="4" t="s">
        <v>3127</v>
      </c>
      <c r="C126" s="4" t="s">
        <v>3597</v>
      </c>
      <c r="D126" s="4" t="s">
        <v>3617</v>
      </c>
      <c r="E126" s="4" t="s">
        <v>5804</v>
      </c>
      <c r="F126" t="s">
        <v>41</v>
      </c>
      <c r="G126" t="s">
        <v>59</v>
      </c>
      <c r="H126" t="s">
        <v>21</v>
      </c>
      <c r="I126">
        <v>1</v>
      </c>
      <c r="J126" s="5">
        <v>0.09</v>
      </c>
      <c r="K126" t="s">
        <v>477</v>
      </c>
      <c r="L126" s="6">
        <v>42705</v>
      </c>
      <c r="M126">
        <v>12</v>
      </c>
      <c r="N126" s="7" t="s">
        <v>30</v>
      </c>
      <c r="O126" t="s">
        <v>31</v>
      </c>
      <c r="P126" t="s">
        <v>3622</v>
      </c>
      <c r="Q126" t="s">
        <v>3623</v>
      </c>
      <c r="R126" t="s">
        <v>3138</v>
      </c>
    </row>
    <row r="127" spans="1:18" hidden="1">
      <c r="A127">
        <v>4</v>
      </c>
      <c r="B127" s="4" t="s">
        <v>3127</v>
      </c>
      <c r="C127" s="4" t="s">
        <v>3597</v>
      </c>
      <c r="D127" s="4" t="s">
        <v>3617</v>
      </c>
      <c r="E127" s="4" t="s">
        <v>5804</v>
      </c>
      <c r="F127" t="s">
        <v>41</v>
      </c>
      <c r="G127" t="s">
        <v>59</v>
      </c>
      <c r="H127" t="s">
        <v>21</v>
      </c>
      <c r="I127">
        <v>1</v>
      </c>
      <c r="J127" s="5">
        <v>0.09</v>
      </c>
      <c r="K127" t="s">
        <v>681</v>
      </c>
      <c r="L127" s="6">
        <v>42887</v>
      </c>
      <c r="M127">
        <v>6</v>
      </c>
      <c r="N127" s="7" t="s">
        <v>55</v>
      </c>
      <c r="O127" t="s">
        <v>31</v>
      </c>
      <c r="P127" t="s">
        <v>3629</v>
      </c>
      <c r="Q127" t="s">
        <v>3630</v>
      </c>
      <c r="R127" t="s">
        <v>3138</v>
      </c>
    </row>
    <row r="128" spans="1:18" hidden="1">
      <c r="A128">
        <v>4</v>
      </c>
      <c r="B128" s="4" t="s">
        <v>3127</v>
      </c>
      <c r="C128" s="4" t="s">
        <v>3597</v>
      </c>
      <c r="D128" s="4" t="s">
        <v>3660</v>
      </c>
      <c r="E128" s="4" t="s">
        <v>5804</v>
      </c>
      <c r="F128" t="s">
        <v>41</v>
      </c>
      <c r="G128" t="s">
        <v>59</v>
      </c>
      <c r="H128" t="s">
        <v>21</v>
      </c>
      <c r="I128">
        <v>1</v>
      </c>
      <c r="J128" s="5">
        <v>0.09</v>
      </c>
      <c r="K128" t="s">
        <v>382</v>
      </c>
      <c r="L128" s="6">
        <v>42401</v>
      </c>
      <c r="M128">
        <v>2</v>
      </c>
      <c r="N128" s="7" t="s">
        <v>30</v>
      </c>
      <c r="O128" t="s">
        <v>31</v>
      </c>
      <c r="P128" t="s">
        <v>3662</v>
      </c>
      <c r="Q128" t="s">
        <v>3630</v>
      </c>
      <c r="R128" t="s">
        <v>3138</v>
      </c>
    </row>
    <row r="129" spans="1:18" hidden="1">
      <c r="A129">
        <v>4</v>
      </c>
      <c r="B129" s="4" t="s">
        <v>3127</v>
      </c>
      <c r="C129" s="4" t="s">
        <v>3597</v>
      </c>
      <c r="D129" s="4" t="s">
        <v>3660</v>
      </c>
      <c r="E129" s="4" t="s">
        <v>5804</v>
      </c>
      <c r="F129" t="s">
        <v>41</v>
      </c>
      <c r="G129" t="s">
        <v>42</v>
      </c>
      <c r="H129" t="s">
        <v>21</v>
      </c>
      <c r="I129">
        <v>1</v>
      </c>
      <c r="J129" s="5">
        <v>0.09</v>
      </c>
      <c r="K129" t="s">
        <v>630</v>
      </c>
      <c r="L129" s="6">
        <v>44378</v>
      </c>
      <c r="M129">
        <v>7</v>
      </c>
      <c r="N129" s="7" t="s">
        <v>55</v>
      </c>
      <c r="O129" t="s">
        <v>31</v>
      </c>
      <c r="P129" t="s">
        <v>3784</v>
      </c>
      <c r="Q129" t="s">
        <v>3644</v>
      </c>
      <c r="R129" t="s">
        <v>3645</v>
      </c>
    </row>
    <row r="130" spans="1:18" hidden="1">
      <c r="A130">
        <v>4</v>
      </c>
      <c r="B130" s="4" t="s">
        <v>3127</v>
      </c>
      <c r="C130" s="4" t="s">
        <v>3789</v>
      </c>
      <c r="D130" s="4" t="s">
        <v>3815</v>
      </c>
      <c r="E130" s="4" t="s">
        <v>5804</v>
      </c>
      <c r="F130" t="s">
        <v>41</v>
      </c>
      <c r="G130" t="s">
        <v>59</v>
      </c>
      <c r="H130" t="s">
        <v>21</v>
      </c>
      <c r="I130">
        <v>1</v>
      </c>
      <c r="J130" s="5">
        <v>0.09</v>
      </c>
      <c r="K130" t="s">
        <v>115</v>
      </c>
      <c r="L130" s="6">
        <v>42461</v>
      </c>
      <c r="M130">
        <v>4</v>
      </c>
      <c r="N130" s="7" t="s">
        <v>23</v>
      </c>
      <c r="O130" t="s">
        <v>31</v>
      </c>
      <c r="P130" t="s">
        <v>3829</v>
      </c>
      <c r="Q130" t="s">
        <v>3830</v>
      </c>
      <c r="R130" t="s">
        <v>3160</v>
      </c>
    </row>
    <row r="131" spans="1:18" hidden="1">
      <c r="A131">
        <v>4</v>
      </c>
      <c r="B131" s="4" t="s">
        <v>3127</v>
      </c>
      <c r="C131" s="4" t="s">
        <v>3789</v>
      </c>
      <c r="D131" s="4" t="s">
        <v>3815</v>
      </c>
      <c r="E131" s="4" t="s">
        <v>5804</v>
      </c>
      <c r="F131" t="s">
        <v>41</v>
      </c>
      <c r="G131" t="s">
        <v>59</v>
      </c>
      <c r="H131" t="s">
        <v>21</v>
      </c>
      <c r="I131">
        <v>1</v>
      </c>
      <c r="J131" s="5">
        <v>0.09</v>
      </c>
      <c r="K131" t="s">
        <v>691</v>
      </c>
      <c r="L131" s="6">
        <v>43770</v>
      </c>
      <c r="M131">
        <v>11</v>
      </c>
      <c r="N131" s="7" t="s">
        <v>23</v>
      </c>
      <c r="O131" t="s">
        <v>31</v>
      </c>
      <c r="P131" t="s">
        <v>3894</v>
      </c>
      <c r="Q131" t="s">
        <v>3895</v>
      </c>
      <c r="R131" t="s">
        <v>3160</v>
      </c>
    </row>
    <row r="132" spans="1:18" hidden="1">
      <c r="A132">
        <v>4</v>
      </c>
      <c r="B132" s="4" t="s">
        <v>3127</v>
      </c>
      <c r="C132" s="4" t="s">
        <v>3789</v>
      </c>
      <c r="D132" s="4" t="s">
        <v>3815</v>
      </c>
      <c r="E132" s="4" t="s">
        <v>5804</v>
      </c>
      <c r="F132" t="s">
        <v>41</v>
      </c>
      <c r="G132" t="s">
        <v>42</v>
      </c>
      <c r="H132" t="s">
        <v>21</v>
      </c>
      <c r="I132">
        <v>1</v>
      </c>
      <c r="J132" s="5">
        <v>0.09</v>
      </c>
      <c r="K132" t="s">
        <v>1085</v>
      </c>
      <c r="L132" s="6">
        <v>43862</v>
      </c>
      <c r="M132">
        <v>2</v>
      </c>
      <c r="N132" s="7" t="s">
        <v>30</v>
      </c>
      <c r="O132" t="s">
        <v>31</v>
      </c>
      <c r="P132" t="s">
        <v>3896</v>
      </c>
      <c r="Q132" t="s">
        <v>3897</v>
      </c>
      <c r="R132" t="s">
        <v>3866</v>
      </c>
    </row>
    <row r="133" spans="1:18" hidden="1">
      <c r="A133">
        <v>4</v>
      </c>
      <c r="B133" s="4" t="s">
        <v>3127</v>
      </c>
      <c r="C133" s="4" t="s">
        <v>3789</v>
      </c>
      <c r="D133" s="4" t="s">
        <v>3815</v>
      </c>
      <c r="E133" s="4" t="s">
        <v>5804</v>
      </c>
      <c r="F133" t="s">
        <v>41</v>
      </c>
      <c r="G133" t="s">
        <v>59</v>
      </c>
      <c r="H133" t="s">
        <v>21</v>
      </c>
      <c r="I133">
        <v>1</v>
      </c>
      <c r="J133" s="5">
        <v>0.09</v>
      </c>
      <c r="K133" t="s">
        <v>171</v>
      </c>
      <c r="L133" s="6">
        <v>44013</v>
      </c>
      <c r="M133">
        <v>7</v>
      </c>
      <c r="N133" s="7" t="s">
        <v>55</v>
      </c>
      <c r="O133" t="s">
        <v>31</v>
      </c>
      <c r="P133" t="s">
        <v>3904</v>
      </c>
      <c r="Q133" t="s">
        <v>3905</v>
      </c>
      <c r="R133" t="s">
        <v>3160</v>
      </c>
    </row>
    <row r="134" spans="1:18" hidden="1">
      <c r="A134">
        <v>4</v>
      </c>
      <c r="B134" s="4" t="s">
        <v>3127</v>
      </c>
      <c r="C134" s="4" t="s">
        <v>3789</v>
      </c>
      <c r="D134" s="4" t="s">
        <v>3815</v>
      </c>
      <c r="E134" s="4" t="s">
        <v>5804</v>
      </c>
      <c r="F134" t="s">
        <v>41</v>
      </c>
      <c r="G134" t="s">
        <v>42</v>
      </c>
      <c r="H134" t="s">
        <v>21</v>
      </c>
      <c r="I134">
        <v>1</v>
      </c>
      <c r="J134" s="5">
        <v>0.09</v>
      </c>
      <c r="K134" t="s">
        <v>547</v>
      </c>
      <c r="L134" s="6">
        <v>44075</v>
      </c>
      <c r="M134">
        <v>9</v>
      </c>
      <c r="N134" s="7" t="s">
        <v>23</v>
      </c>
      <c r="O134" t="s">
        <v>31</v>
      </c>
      <c r="P134" t="s">
        <v>3914</v>
      </c>
      <c r="Q134" t="s">
        <v>3915</v>
      </c>
      <c r="R134" t="s">
        <v>3866</v>
      </c>
    </row>
    <row r="135" spans="1:18" hidden="1">
      <c r="A135">
        <v>4</v>
      </c>
      <c r="B135" s="4" t="s">
        <v>3127</v>
      </c>
      <c r="C135" s="4" t="s">
        <v>3939</v>
      </c>
      <c r="D135" s="4" t="s">
        <v>3958</v>
      </c>
      <c r="E135" s="4" t="s">
        <v>5804</v>
      </c>
      <c r="F135" t="s">
        <v>41</v>
      </c>
      <c r="G135" t="s">
        <v>42</v>
      </c>
      <c r="H135" t="s">
        <v>21</v>
      </c>
      <c r="I135">
        <v>1</v>
      </c>
      <c r="J135" s="5">
        <v>0.09</v>
      </c>
      <c r="K135" t="s">
        <v>220</v>
      </c>
      <c r="L135" s="6">
        <v>42644</v>
      </c>
      <c r="M135">
        <v>10</v>
      </c>
      <c r="N135" s="7" t="s">
        <v>23</v>
      </c>
      <c r="O135" t="s">
        <v>31</v>
      </c>
      <c r="P135" t="s">
        <v>3962</v>
      </c>
      <c r="Q135" t="s">
        <v>3963</v>
      </c>
      <c r="R135" t="s">
        <v>3160</v>
      </c>
    </row>
    <row r="136" spans="1:18" hidden="1">
      <c r="A136">
        <v>4</v>
      </c>
      <c r="B136" s="4" t="s">
        <v>3127</v>
      </c>
      <c r="C136" s="4" t="s">
        <v>3939</v>
      </c>
      <c r="D136" s="4" t="s">
        <v>3958</v>
      </c>
      <c r="E136" s="4" t="s">
        <v>5804</v>
      </c>
      <c r="F136" t="s">
        <v>41</v>
      </c>
      <c r="G136" t="s">
        <v>42</v>
      </c>
      <c r="H136" t="s">
        <v>21</v>
      </c>
      <c r="I136">
        <v>1</v>
      </c>
      <c r="J136" s="5">
        <v>0.09</v>
      </c>
      <c r="K136" t="s">
        <v>278</v>
      </c>
      <c r="L136" s="6">
        <v>42675</v>
      </c>
      <c r="M136">
        <v>11</v>
      </c>
      <c r="N136" s="7" t="s">
        <v>23</v>
      </c>
      <c r="O136" t="s">
        <v>31</v>
      </c>
      <c r="P136" t="s">
        <v>3967</v>
      </c>
      <c r="Q136" t="s">
        <v>3968</v>
      </c>
      <c r="R136" t="s">
        <v>3969</v>
      </c>
    </row>
    <row r="137" spans="1:18" hidden="1">
      <c r="A137">
        <v>4</v>
      </c>
      <c r="B137" s="4" t="s">
        <v>3127</v>
      </c>
      <c r="C137" s="4" t="s">
        <v>3939</v>
      </c>
      <c r="D137" s="4" t="s">
        <v>3958</v>
      </c>
      <c r="E137" s="4" t="s">
        <v>5804</v>
      </c>
      <c r="F137" t="s">
        <v>41</v>
      </c>
      <c r="G137" t="s">
        <v>42</v>
      </c>
      <c r="H137" t="s">
        <v>21</v>
      </c>
      <c r="I137">
        <v>1</v>
      </c>
      <c r="J137" s="5">
        <v>0.09</v>
      </c>
      <c r="K137" t="s">
        <v>278</v>
      </c>
      <c r="L137" s="6">
        <v>42675</v>
      </c>
      <c r="M137">
        <v>11</v>
      </c>
      <c r="N137" s="7" t="s">
        <v>23</v>
      </c>
      <c r="O137" t="s">
        <v>31</v>
      </c>
      <c r="P137" t="s">
        <v>3970</v>
      </c>
      <c r="Q137" t="s">
        <v>3971</v>
      </c>
      <c r="R137" t="s">
        <v>3160</v>
      </c>
    </row>
    <row r="138" spans="1:18" hidden="1">
      <c r="A138">
        <v>4</v>
      </c>
      <c r="B138" s="4" t="s">
        <v>3127</v>
      </c>
      <c r="C138" s="4" t="s">
        <v>3939</v>
      </c>
      <c r="D138" s="4" t="s">
        <v>3958</v>
      </c>
      <c r="E138" s="4" t="s">
        <v>5804</v>
      </c>
      <c r="F138" t="s">
        <v>41</v>
      </c>
      <c r="G138" t="s">
        <v>59</v>
      </c>
      <c r="H138" t="s">
        <v>21</v>
      </c>
      <c r="I138">
        <v>1</v>
      </c>
      <c r="J138" s="5">
        <v>0.09</v>
      </c>
      <c r="K138" t="s">
        <v>87</v>
      </c>
      <c r="L138" s="6">
        <v>43040</v>
      </c>
      <c r="M138">
        <v>11</v>
      </c>
      <c r="N138" s="7" t="s">
        <v>23</v>
      </c>
      <c r="O138" t="s">
        <v>31</v>
      </c>
      <c r="P138" t="s">
        <v>3986</v>
      </c>
      <c r="Q138" t="s">
        <v>3987</v>
      </c>
      <c r="R138" t="s">
        <v>3988</v>
      </c>
    </row>
    <row r="139" spans="1:18" hidden="1">
      <c r="A139">
        <v>4</v>
      </c>
      <c r="B139" s="4" t="s">
        <v>3127</v>
      </c>
      <c r="C139" s="4" t="s">
        <v>3939</v>
      </c>
      <c r="D139" s="4" t="s">
        <v>3958</v>
      </c>
      <c r="E139" s="4" t="s">
        <v>5804</v>
      </c>
      <c r="F139" t="s">
        <v>41</v>
      </c>
      <c r="G139" t="s">
        <v>42</v>
      </c>
      <c r="H139" t="s">
        <v>21</v>
      </c>
      <c r="I139">
        <v>1</v>
      </c>
      <c r="J139" s="5">
        <v>0.09</v>
      </c>
      <c r="K139" t="s">
        <v>29</v>
      </c>
      <c r="L139" s="6">
        <v>43070</v>
      </c>
      <c r="M139">
        <v>12</v>
      </c>
      <c r="N139" s="7" t="s">
        <v>30</v>
      </c>
      <c r="O139" t="s">
        <v>31</v>
      </c>
      <c r="P139" t="s">
        <v>3995</v>
      </c>
      <c r="Q139" t="s">
        <v>3996</v>
      </c>
      <c r="R139" t="s">
        <v>3160</v>
      </c>
    </row>
    <row r="140" spans="1:18" hidden="1">
      <c r="A140">
        <v>4</v>
      </c>
      <c r="B140" s="4" t="s">
        <v>3127</v>
      </c>
      <c r="C140" s="4" t="s">
        <v>3939</v>
      </c>
      <c r="D140" s="4" t="s">
        <v>3958</v>
      </c>
      <c r="E140" s="4" t="s">
        <v>5804</v>
      </c>
      <c r="F140" t="s">
        <v>41</v>
      </c>
      <c r="G140" t="s">
        <v>42</v>
      </c>
      <c r="H140" t="s">
        <v>21</v>
      </c>
      <c r="I140">
        <v>1</v>
      </c>
      <c r="J140" s="5">
        <v>0.09</v>
      </c>
      <c r="K140" t="s">
        <v>839</v>
      </c>
      <c r="L140" s="6">
        <v>43800</v>
      </c>
      <c r="M140">
        <v>12</v>
      </c>
      <c r="N140" s="7" t="s">
        <v>30</v>
      </c>
      <c r="O140" t="s">
        <v>31</v>
      </c>
      <c r="P140" t="s">
        <v>4002</v>
      </c>
      <c r="Q140" t="s">
        <v>4003</v>
      </c>
      <c r="R140" t="s">
        <v>3160</v>
      </c>
    </row>
    <row r="141" spans="1:18" hidden="1">
      <c r="A141">
        <v>4</v>
      </c>
      <c r="B141" s="4" t="s">
        <v>3127</v>
      </c>
      <c r="C141" s="4" t="s">
        <v>3939</v>
      </c>
      <c r="D141" s="4" t="s">
        <v>3958</v>
      </c>
      <c r="E141" s="4" t="s">
        <v>5804</v>
      </c>
      <c r="F141" t="s">
        <v>41</v>
      </c>
      <c r="G141" t="s">
        <v>42</v>
      </c>
      <c r="H141" t="s">
        <v>21</v>
      </c>
      <c r="I141">
        <v>1</v>
      </c>
      <c r="J141" s="5">
        <v>0.09</v>
      </c>
      <c r="K141" t="s">
        <v>267</v>
      </c>
      <c r="L141" s="6">
        <v>44044</v>
      </c>
      <c r="M141">
        <v>8</v>
      </c>
      <c r="N141" s="7" t="s">
        <v>55</v>
      </c>
      <c r="O141" t="s">
        <v>31</v>
      </c>
      <c r="P141" t="s">
        <v>4011</v>
      </c>
      <c r="Q141" t="s">
        <v>4012</v>
      </c>
      <c r="R141" t="s">
        <v>3160</v>
      </c>
    </row>
    <row r="142" spans="1:18" hidden="1">
      <c r="A142">
        <v>4</v>
      </c>
      <c r="B142" s="4" t="s">
        <v>3127</v>
      </c>
      <c r="C142" s="4" t="s">
        <v>3939</v>
      </c>
      <c r="D142" s="4" t="s">
        <v>3958</v>
      </c>
      <c r="E142" s="4" t="s">
        <v>5804</v>
      </c>
      <c r="F142" t="s">
        <v>41</v>
      </c>
      <c r="G142" t="s">
        <v>42</v>
      </c>
      <c r="H142" t="s">
        <v>21</v>
      </c>
      <c r="I142">
        <v>1</v>
      </c>
      <c r="J142" s="5">
        <v>0.09</v>
      </c>
      <c r="K142" t="s">
        <v>311</v>
      </c>
      <c r="L142" s="6">
        <v>44256</v>
      </c>
      <c r="M142">
        <v>3</v>
      </c>
      <c r="N142" s="7" t="s">
        <v>23</v>
      </c>
      <c r="O142" t="s">
        <v>31</v>
      </c>
      <c r="P142" t="s">
        <v>4026</v>
      </c>
      <c r="Q142" t="s">
        <v>4027</v>
      </c>
      <c r="R142" t="s">
        <v>3160</v>
      </c>
    </row>
    <row r="143" spans="1:18" hidden="1">
      <c r="A143">
        <v>4</v>
      </c>
      <c r="B143" s="4" t="s">
        <v>3127</v>
      </c>
      <c r="C143" s="4" t="s">
        <v>3939</v>
      </c>
      <c r="D143" s="4" t="s">
        <v>3958</v>
      </c>
      <c r="E143" s="4" t="s">
        <v>5804</v>
      </c>
      <c r="F143" t="s">
        <v>41</v>
      </c>
      <c r="G143" t="s">
        <v>42</v>
      </c>
      <c r="H143" t="s">
        <v>21</v>
      </c>
      <c r="I143">
        <v>1</v>
      </c>
      <c r="J143" s="5">
        <v>0.09</v>
      </c>
      <c r="K143" t="s">
        <v>182</v>
      </c>
      <c r="L143" s="6">
        <v>44501</v>
      </c>
      <c r="M143">
        <v>11</v>
      </c>
      <c r="N143" s="7" t="s">
        <v>23</v>
      </c>
      <c r="O143" t="s">
        <v>31</v>
      </c>
      <c r="P143" t="s">
        <v>4032</v>
      </c>
      <c r="Q143" t="s">
        <v>4033</v>
      </c>
      <c r="R143" t="s">
        <v>3160</v>
      </c>
    </row>
    <row r="144" spans="1:18" hidden="1">
      <c r="A144">
        <v>4</v>
      </c>
      <c r="B144" s="4" t="s">
        <v>3127</v>
      </c>
      <c r="C144" s="4" t="s">
        <v>4035</v>
      </c>
      <c r="D144" s="4" t="s">
        <v>4080</v>
      </c>
      <c r="E144" s="4" t="s">
        <v>5804</v>
      </c>
      <c r="F144" t="s">
        <v>41</v>
      </c>
      <c r="G144" t="s">
        <v>42</v>
      </c>
      <c r="H144" t="s">
        <v>21</v>
      </c>
      <c r="I144">
        <v>1</v>
      </c>
      <c r="J144" s="5">
        <v>0.09</v>
      </c>
      <c r="K144" t="s">
        <v>119</v>
      </c>
      <c r="L144" s="6">
        <v>42552</v>
      </c>
      <c r="M144">
        <v>7</v>
      </c>
      <c r="N144" s="7" t="s">
        <v>55</v>
      </c>
      <c r="O144" t="s">
        <v>31</v>
      </c>
      <c r="P144" t="s">
        <v>4098</v>
      </c>
      <c r="Q144" t="s">
        <v>4099</v>
      </c>
      <c r="R144" t="s">
        <v>1172</v>
      </c>
    </row>
    <row r="145" spans="1:18" hidden="1">
      <c r="A145">
        <v>4</v>
      </c>
      <c r="B145" s="4" t="s">
        <v>3127</v>
      </c>
      <c r="C145" s="4" t="s">
        <v>4035</v>
      </c>
      <c r="D145" s="4" t="s">
        <v>4080</v>
      </c>
      <c r="E145" s="4" t="s">
        <v>5804</v>
      </c>
      <c r="F145" t="s">
        <v>41</v>
      </c>
      <c r="G145" t="s">
        <v>42</v>
      </c>
      <c r="H145" t="s">
        <v>21</v>
      </c>
      <c r="I145">
        <v>1</v>
      </c>
      <c r="J145" s="5">
        <v>0.09</v>
      </c>
      <c r="K145" t="s">
        <v>87</v>
      </c>
      <c r="L145" s="6">
        <v>43040</v>
      </c>
      <c r="M145">
        <v>11</v>
      </c>
      <c r="N145" s="7" t="s">
        <v>23</v>
      </c>
      <c r="O145" t="s">
        <v>31</v>
      </c>
      <c r="P145" t="s">
        <v>4124</v>
      </c>
      <c r="Q145" t="s">
        <v>4125</v>
      </c>
      <c r="R145" t="s">
        <v>1172</v>
      </c>
    </row>
    <row r="146" spans="1:18" hidden="1">
      <c r="A146">
        <v>4</v>
      </c>
      <c r="B146" s="4" t="s">
        <v>3127</v>
      </c>
      <c r="C146" s="4" t="s">
        <v>4035</v>
      </c>
      <c r="D146" s="4" t="s">
        <v>4080</v>
      </c>
      <c r="E146" s="4" t="s">
        <v>5804</v>
      </c>
      <c r="F146" t="s">
        <v>41</v>
      </c>
      <c r="G146" t="s">
        <v>59</v>
      </c>
      <c r="H146" t="s">
        <v>21</v>
      </c>
      <c r="I146">
        <v>1</v>
      </c>
      <c r="J146" s="5">
        <v>0.09</v>
      </c>
      <c r="K146" t="s">
        <v>298</v>
      </c>
      <c r="L146" s="6">
        <v>43344</v>
      </c>
      <c r="M146">
        <v>9</v>
      </c>
      <c r="N146" s="7" t="s">
        <v>23</v>
      </c>
      <c r="O146" t="s">
        <v>31</v>
      </c>
      <c r="P146" t="s">
        <v>4136</v>
      </c>
      <c r="Q146" t="s">
        <v>4090</v>
      </c>
      <c r="R146" t="s">
        <v>4137</v>
      </c>
    </row>
    <row r="147" spans="1:18" hidden="1">
      <c r="A147">
        <v>4</v>
      </c>
      <c r="B147" s="4" t="s">
        <v>3127</v>
      </c>
      <c r="C147" s="4" t="s">
        <v>4035</v>
      </c>
      <c r="D147" s="4" t="s">
        <v>4080</v>
      </c>
      <c r="E147" s="4" t="s">
        <v>5804</v>
      </c>
      <c r="F147" t="s">
        <v>41</v>
      </c>
      <c r="G147" t="s">
        <v>42</v>
      </c>
      <c r="H147" t="s">
        <v>21</v>
      </c>
      <c r="I147">
        <v>1</v>
      </c>
      <c r="J147" s="5">
        <v>0.09</v>
      </c>
      <c r="K147" t="s">
        <v>654</v>
      </c>
      <c r="L147" s="6">
        <v>43556</v>
      </c>
      <c r="M147">
        <v>4</v>
      </c>
      <c r="N147" s="7" t="s">
        <v>23</v>
      </c>
      <c r="O147" t="s">
        <v>31</v>
      </c>
      <c r="P147" t="s">
        <v>4146</v>
      </c>
      <c r="Q147" t="s">
        <v>1171</v>
      </c>
      <c r="R147" t="s">
        <v>1172</v>
      </c>
    </row>
    <row r="148" spans="1:18" hidden="1">
      <c r="A148">
        <v>4</v>
      </c>
      <c r="B148" s="4" t="s">
        <v>3127</v>
      </c>
      <c r="C148" s="4" t="s">
        <v>4035</v>
      </c>
      <c r="D148" s="4" t="s">
        <v>4080</v>
      </c>
      <c r="E148" s="4" t="s">
        <v>5804</v>
      </c>
      <c r="F148" t="s">
        <v>41</v>
      </c>
      <c r="G148" t="s">
        <v>59</v>
      </c>
      <c r="H148" t="s">
        <v>21</v>
      </c>
      <c r="I148">
        <v>1</v>
      </c>
      <c r="J148" s="5">
        <v>0.09</v>
      </c>
      <c r="K148" t="s">
        <v>204</v>
      </c>
      <c r="L148" s="6">
        <v>43831</v>
      </c>
      <c r="M148">
        <v>1</v>
      </c>
      <c r="N148" s="7" t="s">
        <v>30</v>
      </c>
      <c r="O148" t="s">
        <v>31</v>
      </c>
      <c r="P148" t="s">
        <v>4162</v>
      </c>
      <c r="Q148" t="s">
        <v>4163</v>
      </c>
      <c r="R148" t="s">
        <v>4164</v>
      </c>
    </row>
    <row r="149" spans="1:18" hidden="1">
      <c r="A149">
        <v>4</v>
      </c>
      <c r="B149" s="4" t="s">
        <v>3127</v>
      </c>
      <c r="C149" s="4" t="s">
        <v>4207</v>
      </c>
      <c r="D149" s="4" t="s">
        <v>4208</v>
      </c>
      <c r="E149" s="4" t="s">
        <v>5804</v>
      </c>
      <c r="F149" t="s">
        <v>41</v>
      </c>
      <c r="G149" t="s">
        <v>59</v>
      </c>
      <c r="H149" t="s">
        <v>21</v>
      </c>
      <c r="I149">
        <v>1</v>
      </c>
      <c r="J149" s="5">
        <v>0.09</v>
      </c>
      <c r="K149" t="s">
        <v>382</v>
      </c>
      <c r="L149" s="6">
        <v>42401</v>
      </c>
      <c r="M149">
        <v>2</v>
      </c>
      <c r="N149" s="7" t="s">
        <v>30</v>
      </c>
      <c r="O149" t="s">
        <v>31</v>
      </c>
      <c r="P149" t="s">
        <v>4209</v>
      </c>
      <c r="Q149" t="s">
        <v>4210</v>
      </c>
      <c r="R149" t="s">
        <v>4211</v>
      </c>
    </row>
    <row r="150" spans="1:18" hidden="1">
      <c r="A150">
        <v>4</v>
      </c>
      <c r="B150" s="4" t="s">
        <v>3127</v>
      </c>
      <c r="C150" s="4" t="s">
        <v>4207</v>
      </c>
      <c r="D150" s="4" t="s">
        <v>4208</v>
      </c>
      <c r="E150" s="4" t="s">
        <v>5804</v>
      </c>
      <c r="F150" t="s">
        <v>41</v>
      </c>
      <c r="G150" t="s">
        <v>59</v>
      </c>
      <c r="H150" t="s">
        <v>21</v>
      </c>
      <c r="I150">
        <v>1</v>
      </c>
      <c r="J150" s="5">
        <v>0.09</v>
      </c>
      <c r="K150" t="s">
        <v>218</v>
      </c>
      <c r="L150" s="6">
        <v>42614</v>
      </c>
      <c r="M150">
        <v>9</v>
      </c>
      <c r="N150" s="7" t="s">
        <v>23</v>
      </c>
      <c r="O150" t="s">
        <v>31</v>
      </c>
      <c r="P150" t="s">
        <v>4216</v>
      </c>
      <c r="Q150" t="s">
        <v>3895</v>
      </c>
      <c r="R150" t="s">
        <v>4217</v>
      </c>
    </row>
    <row r="151" spans="1:18" hidden="1">
      <c r="A151">
        <v>4</v>
      </c>
      <c r="B151" s="4" t="s">
        <v>3127</v>
      </c>
      <c r="C151" s="4" t="s">
        <v>4207</v>
      </c>
      <c r="D151" s="4" t="s">
        <v>4208</v>
      </c>
      <c r="E151" s="4" t="s">
        <v>5804</v>
      </c>
      <c r="F151" t="s">
        <v>41</v>
      </c>
      <c r="G151" t="s">
        <v>59</v>
      </c>
      <c r="H151" t="s">
        <v>21</v>
      </c>
      <c r="I151">
        <v>1</v>
      </c>
      <c r="J151" s="5">
        <v>0.09</v>
      </c>
      <c r="K151" t="s">
        <v>292</v>
      </c>
      <c r="L151" s="6">
        <v>43191</v>
      </c>
      <c r="M151">
        <v>4</v>
      </c>
      <c r="N151" s="7" t="s">
        <v>23</v>
      </c>
      <c r="O151" t="s">
        <v>31</v>
      </c>
      <c r="P151" t="s">
        <v>4225</v>
      </c>
      <c r="Q151" t="s">
        <v>4213</v>
      </c>
      <c r="R151" t="s">
        <v>4174</v>
      </c>
    </row>
    <row r="152" spans="1:18" hidden="1">
      <c r="A152">
        <v>4</v>
      </c>
      <c r="B152" s="4" t="s">
        <v>3127</v>
      </c>
      <c r="C152" s="4" t="s">
        <v>4207</v>
      </c>
      <c r="D152" s="4" t="s">
        <v>4257</v>
      </c>
      <c r="E152" s="4" t="s">
        <v>5804</v>
      </c>
      <c r="F152" t="s">
        <v>41</v>
      </c>
      <c r="G152" t="s">
        <v>59</v>
      </c>
      <c r="H152" t="s">
        <v>21</v>
      </c>
      <c r="I152">
        <v>1</v>
      </c>
      <c r="J152" s="5">
        <v>0.09</v>
      </c>
      <c r="K152" t="s">
        <v>558</v>
      </c>
      <c r="L152" s="6">
        <v>42339</v>
      </c>
      <c r="M152">
        <v>12</v>
      </c>
      <c r="N152" s="7" t="s">
        <v>30</v>
      </c>
      <c r="O152" t="s">
        <v>31</v>
      </c>
      <c r="P152" t="s">
        <v>4259</v>
      </c>
      <c r="Q152" t="s">
        <v>4260</v>
      </c>
      <c r="R152" t="s">
        <v>4261</v>
      </c>
    </row>
    <row r="153" spans="1:18" hidden="1">
      <c r="A153">
        <v>4</v>
      </c>
      <c r="B153" s="4" t="s">
        <v>3127</v>
      </c>
      <c r="C153" s="4" t="s">
        <v>4207</v>
      </c>
      <c r="D153" s="4" t="s">
        <v>4257</v>
      </c>
      <c r="E153" s="4" t="s">
        <v>5804</v>
      </c>
      <c r="F153" t="s">
        <v>41</v>
      </c>
      <c r="G153" t="s">
        <v>59</v>
      </c>
      <c r="H153" t="s">
        <v>21</v>
      </c>
      <c r="I153">
        <v>1</v>
      </c>
      <c r="J153" s="5">
        <v>0.09</v>
      </c>
      <c r="K153" t="s">
        <v>701</v>
      </c>
      <c r="L153" s="6">
        <v>42491</v>
      </c>
      <c r="M153">
        <v>5</v>
      </c>
      <c r="N153" s="7" t="s">
        <v>23</v>
      </c>
      <c r="O153" t="s">
        <v>31</v>
      </c>
      <c r="P153" t="s">
        <v>4292</v>
      </c>
      <c r="Q153" t="s">
        <v>4291</v>
      </c>
      <c r="R153" t="s">
        <v>4261</v>
      </c>
    </row>
    <row r="154" spans="1:18" hidden="1">
      <c r="A154">
        <v>4</v>
      </c>
      <c r="B154" s="4" t="s">
        <v>3127</v>
      </c>
      <c r="C154" s="4" t="s">
        <v>4207</v>
      </c>
      <c r="D154" s="4" t="s">
        <v>4257</v>
      </c>
      <c r="E154" s="4" t="s">
        <v>5804</v>
      </c>
      <c r="F154" t="s">
        <v>41</v>
      </c>
      <c r="G154" t="s">
        <v>59</v>
      </c>
      <c r="H154" t="s">
        <v>21</v>
      </c>
      <c r="I154">
        <v>1</v>
      </c>
      <c r="J154" s="5">
        <v>0.09</v>
      </c>
      <c r="K154" t="s">
        <v>278</v>
      </c>
      <c r="L154" s="6">
        <v>42675</v>
      </c>
      <c r="M154">
        <v>11</v>
      </c>
      <c r="N154" s="7" t="s">
        <v>23</v>
      </c>
      <c r="O154" t="s">
        <v>31</v>
      </c>
      <c r="P154" t="s">
        <v>4314</v>
      </c>
      <c r="Q154" t="s">
        <v>4291</v>
      </c>
      <c r="R154" t="s">
        <v>4261</v>
      </c>
    </row>
    <row r="155" spans="1:18" hidden="1">
      <c r="A155">
        <v>4</v>
      </c>
      <c r="B155" s="4" t="s">
        <v>3127</v>
      </c>
      <c r="C155" s="4" t="s">
        <v>4207</v>
      </c>
      <c r="D155" s="4" t="s">
        <v>4257</v>
      </c>
      <c r="E155" s="4" t="s">
        <v>5804</v>
      </c>
      <c r="F155" t="s">
        <v>41</v>
      </c>
      <c r="G155" t="s">
        <v>59</v>
      </c>
      <c r="H155" t="s">
        <v>21</v>
      </c>
      <c r="I155">
        <v>1</v>
      </c>
      <c r="J155" s="5">
        <v>0.09</v>
      </c>
      <c r="K155" t="s">
        <v>4372</v>
      </c>
      <c r="L155" s="6">
        <v>43101</v>
      </c>
      <c r="M155">
        <v>1</v>
      </c>
      <c r="N155" s="7" t="s">
        <v>30</v>
      </c>
      <c r="O155" t="s">
        <v>31</v>
      </c>
      <c r="P155" t="s">
        <v>4373</v>
      </c>
      <c r="Q155" t="s">
        <v>4374</v>
      </c>
      <c r="R155" t="s">
        <v>4261</v>
      </c>
    </row>
    <row r="156" spans="1:18" hidden="1">
      <c r="A156">
        <v>4</v>
      </c>
      <c r="B156" s="4" t="s">
        <v>3127</v>
      </c>
      <c r="C156" s="4" t="s">
        <v>4207</v>
      </c>
      <c r="D156" s="4" t="s">
        <v>4257</v>
      </c>
      <c r="E156" s="4" t="s">
        <v>5804</v>
      </c>
      <c r="F156" t="s">
        <v>41</v>
      </c>
      <c r="G156" t="s">
        <v>42</v>
      </c>
      <c r="H156" t="s">
        <v>21</v>
      </c>
      <c r="I156">
        <v>1</v>
      </c>
      <c r="J156" s="5">
        <v>0.09</v>
      </c>
      <c r="K156" t="s">
        <v>304</v>
      </c>
      <c r="L156" s="6">
        <v>43647</v>
      </c>
      <c r="M156">
        <v>7</v>
      </c>
      <c r="N156" s="7" t="s">
        <v>55</v>
      </c>
      <c r="O156" t="s">
        <v>31</v>
      </c>
      <c r="P156" t="s">
        <v>4465</v>
      </c>
      <c r="Q156" t="s">
        <v>4291</v>
      </c>
      <c r="R156" t="s">
        <v>4466</v>
      </c>
    </row>
    <row r="157" spans="1:18" hidden="1">
      <c r="A157">
        <v>4</v>
      </c>
      <c r="B157" s="4" t="s">
        <v>3127</v>
      </c>
      <c r="C157" s="4" t="s">
        <v>4207</v>
      </c>
      <c r="D157" s="4" t="s">
        <v>4257</v>
      </c>
      <c r="E157" s="4" t="s">
        <v>5804</v>
      </c>
      <c r="F157" t="s">
        <v>41</v>
      </c>
      <c r="G157" t="s">
        <v>59</v>
      </c>
      <c r="H157" t="s">
        <v>21</v>
      </c>
      <c r="I157">
        <v>1</v>
      </c>
      <c r="J157" s="5">
        <v>0.09</v>
      </c>
      <c r="K157" t="s">
        <v>2307</v>
      </c>
      <c r="L157" s="6">
        <v>43770</v>
      </c>
      <c r="M157">
        <v>11</v>
      </c>
      <c r="N157" s="7" t="s">
        <v>23</v>
      </c>
      <c r="O157" t="s">
        <v>31</v>
      </c>
      <c r="P157" t="s">
        <v>4492</v>
      </c>
      <c r="Q157" t="s">
        <v>4374</v>
      </c>
      <c r="R157" t="s">
        <v>4261</v>
      </c>
    </row>
    <row r="158" spans="1:18" hidden="1">
      <c r="A158">
        <v>4</v>
      </c>
      <c r="B158" s="4" t="s">
        <v>3127</v>
      </c>
      <c r="C158" s="4" t="s">
        <v>4207</v>
      </c>
      <c r="D158" s="4" t="s">
        <v>4257</v>
      </c>
      <c r="E158" s="4" t="s">
        <v>5804</v>
      </c>
      <c r="F158" t="s">
        <v>41</v>
      </c>
      <c r="G158" t="s">
        <v>42</v>
      </c>
      <c r="H158" t="s">
        <v>21</v>
      </c>
      <c r="I158">
        <v>1</v>
      </c>
      <c r="J158" s="5">
        <v>0.09</v>
      </c>
      <c r="K158" t="s">
        <v>102</v>
      </c>
      <c r="L158" s="6">
        <v>44287</v>
      </c>
      <c r="M158">
        <v>4</v>
      </c>
      <c r="N158" s="7" t="s">
        <v>23</v>
      </c>
      <c r="O158" t="s">
        <v>31</v>
      </c>
      <c r="P158" t="s">
        <v>4574</v>
      </c>
      <c r="Q158" t="s">
        <v>4575</v>
      </c>
      <c r="R158" t="s">
        <v>4576</v>
      </c>
    </row>
    <row r="159" spans="1:18" hidden="1">
      <c r="A159">
        <v>4</v>
      </c>
      <c r="B159" s="4" t="s">
        <v>3127</v>
      </c>
      <c r="C159" s="4" t="s">
        <v>4207</v>
      </c>
      <c r="D159" s="4" t="s">
        <v>4257</v>
      </c>
      <c r="E159" s="4" t="s">
        <v>5804</v>
      </c>
      <c r="F159" t="s">
        <v>41</v>
      </c>
      <c r="G159" t="s">
        <v>42</v>
      </c>
      <c r="H159" t="s">
        <v>21</v>
      </c>
      <c r="I159">
        <v>1</v>
      </c>
      <c r="J159" s="5">
        <v>0.09</v>
      </c>
      <c r="K159" t="s">
        <v>377</v>
      </c>
      <c r="L159" s="6">
        <v>44470</v>
      </c>
      <c r="M159">
        <v>10</v>
      </c>
      <c r="N159" s="7" t="s">
        <v>23</v>
      </c>
      <c r="O159" t="s">
        <v>31</v>
      </c>
      <c r="P159" t="s">
        <v>4591</v>
      </c>
      <c r="Q159" t="s">
        <v>4291</v>
      </c>
      <c r="R159" t="s">
        <v>4466</v>
      </c>
    </row>
    <row r="160" spans="1:18" hidden="1">
      <c r="A160">
        <v>5</v>
      </c>
      <c r="B160" s="4" t="s">
        <v>4600</v>
      </c>
      <c r="C160" s="4" t="s">
        <v>4601</v>
      </c>
      <c r="D160" s="4" t="s">
        <v>4602</v>
      </c>
      <c r="E160" s="4" t="s">
        <v>5804</v>
      </c>
      <c r="F160" t="s">
        <v>41</v>
      </c>
      <c r="G160" t="s">
        <v>59</v>
      </c>
      <c r="H160" t="s">
        <v>21</v>
      </c>
      <c r="I160">
        <v>1</v>
      </c>
      <c r="J160" s="5">
        <v>0.09</v>
      </c>
      <c r="K160" t="s">
        <v>255</v>
      </c>
      <c r="L160" s="6">
        <v>43983</v>
      </c>
      <c r="M160">
        <v>6</v>
      </c>
      <c r="N160" s="7" t="s">
        <v>55</v>
      </c>
      <c r="O160" t="s">
        <v>31</v>
      </c>
      <c r="P160" t="s">
        <v>4630</v>
      </c>
      <c r="Q160" t="s">
        <v>4631</v>
      </c>
      <c r="R160" t="s">
        <v>4632</v>
      </c>
    </row>
    <row r="161" spans="1:18" hidden="1">
      <c r="A161">
        <v>5</v>
      </c>
      <c r="B161" s="4" t="s">
        <v>4600</v>
      </c>
      <c r="C161" s="4" t="s">
        <v>4601</v>
      </c>
      <c r="D161" s="4" t="s">
        <v>4635</v>
      </c>
      <c r="E161" s="4" t="s">
        <v>5804</v>
      </c>
      <c r="F161" t="s">
        <v>41</v>
      </c>
      <c r="G161" t="s">
        <v>59</v>
      </c>
      <c r="H161" t="s">
        <v>21</v>
      </c>
      <c r="I161">
        <v>1</v>
      </c>
      <c r="J161" s="5">
        <v>0.09</v>
      </c>
      <c r="K161" t="s">
        <v>65</v>
      </c>
      <c r="L161" s="6">
        <v>42430</v>
      </c>
      <c r="M161">
        <v>3</v>
      </c>
      <c r="N161" s="7" t="s">
        <v>23</v>
      </c>
      <c r="O161" t="s">
        <v>31</v>
      </c>
      <c r="P161" t="s">
        <v>4639</v>
      </c>
      <c r="Q161" t="s">
        <v>4640</v>
      </c>
      <c r="R161" t="s">
        <v>4641</v>
      </c>
    </row>
    <row r="162" spans="1:18" hidden="1">
      <c r="A162">
        <v>5</v>
      </c>
      <c r="B162" s="4" t="s">
        <v>4600</v>
      </c>
      <c r="C162" s="4" t="s">
        <v>4601</v>
      </c>
      <c r="D162" s="4" t="s">
        <v>4635</v>
      </c>
      <c r="E162" s="4" t="s">
        <v>5804</v>
      </c>
      <c r="F162" t="s">
        <v>41</v>
      </c>
      <c r="G162" t="s">
        <v>59</v>
      </c>
      <c r="H162" t="s">
        <v>21</v>
      </c>
      <c r="I162">
        <v>1</v>
      </c>
      <c r="J162" s="5">
        <v>0.09</v>
      </c>
      <c r="K162" t="s">
        <v>701</v>
      </c>
      <c r="L162" s="6">
        <v>42491</v>
      </c>
      <c r="M162">
        <v>5</v>
      </c>
      <c r="N162" s="7" t="s">
        <v>23</v>
      </c>
      <c r="O162" t="s">
        <v>31</v>
      </c>
      <c r="P162" t="s">
        <v>4642</v>
      </c>
      <c r="Q162" t="s">
        <v>4643</v>
      </c>
      <c r="R162" t="s">
        <v>4644</v>
      </c>
    </row>
    <row r="163" spans="1:18" hidden="1">
      <c r="A163">
        <v>5</v>
      </c>
      <c r="B163" s="4" t="s">
        <v>4600</v>
      </c>
      <c r="C163" s="4" t="s">
        <v>4601</v>
      </c>
      <c r="D163" s="4" t="s">
        <v>4635</v>
      </c>
      <c r="E163" s="4" t="s">
        <v>5804</v>
      </c>
      <c r="F163" t="s">
        <v>41</v>
      </c>
      <c r="G163" t="s">
        <v>59</v>
      </c>
      <c r="H163" t="s">
        <v>21</v>
      </c>
      <c r="I163">
        <v>1</v>
      </c>
      <c r="J163" s="5">
        <v>0.09</v>
      </c>
      <c r="K163" t="s">
        <v>43</v>
      </c>
      <c r="L163" s="6">
        <v>43525</v>
      </c>
      <c r="M163">
        <v>3</v>
      </c>
      <c r="N163" s="7" t="s">
        <v>23</v>
      </c>
      <c r="O163" t="s">
        <v>31</v>
      </c>
      <c r="P163" t="s">
        <v>4693</v>
      </c>
      <c r="Q163" t="s">
        <v>4694</v>
      </c>
      <c r="R163" t="s">
        <v>4641</v>
      </c>
    </row>
    <row r="164" spans="1:18" hidden="1">
      <c r="A164">
        <v>5</v>
      </c>
      <c r="B164" s="4" t="s">
        <v>4600</v>
      </c>
      <c r="C164" s="4" t="s">
        <v>4601</v>
      </c>
      <c r="D164" s="4" t="s">
        <v>4748</v>
      </c>
      <c r="E164" s="4" t="s">
        <v>5804</v>
      </c>
      <c r="F164" t="s">
        <v>41</v>
      </c>
      <c r="G164" t="s">
        <v>59</v>
      </c>
      <c r="H164" t="s">
        <v>21</v>
      </c>
      <c r="I164">
        <v>1</v>
      </c>
      <c r="J164" s="5">
        <v>0.09</v>
      </c>
      <c r="K164" t="s">
        <v>119</v>
      </c>
      <c r="L164" s="6">
        <v>42552</v>
      </c>
      <c r="M164">
        <v>7</v>
      </c>
      <c r="N164" s="7" t="s">
        <v>55</v>
      </c>
      <c r="O164" t="s">
        <v>31</v>
      </c>
      <c r="P164" t="s">
        <v>4773</v>
      </c>
      <c r="Q164" t="s">
        <v>4774</v>
      </c>
      <c r="R164" t="s">
        <v>4641</v>
      </c>
    </row>
    <row r="165" spans="1:18" hidden="1">
      <c r="A165">
        <v>5</v>
      </c>
      <c r="B165" s="4" t="s">
        <v>4600</v>
      </c>
      <c r="C165" s="4" t="s">
        <v>4601</v>
      </c>
      <c r="D165" s="4" t="s">
        <v>4853</v>
      </c>
      <c r="E165" s="4" t="s">
        <v>5804</v>
      </c>
      <c r="F165" t="s">
        <v>41</v>
      </c>
      <c r="G165" t="s">
        <v>42</v>
      </c>
      <c r="H165" t="s">
        <v>21</v>
      </c>
      <c r="I165">
        <v>1</v>
      </c>
      <c r="J165" s="5">
        <v>0.09</v>
      </c>
      <c r="K165" t="s">
        <v>295</v>
      </c>
      <c r="L165" s="6">
        <v>43221</v>
      </c>
      <c r="M165">
        <v>5</v>
      </c>
      <c r="N165" s="7" t="s">
        <v>23</v>
      </c>
      <c r="O165" t="s">
        <v>31</v>
      </c>
      <c r="P165" t="s">
        <v>4906</v>
      </c>
      <c r="Q165" t="s">
        <v>4907</v>
      </c>
      <c r="R165" t="s">
        <v>4644</v>
      </c>
    </row>
    <row r="166" spans="1:18" hidden="1">
      <c r="A166">
        <v>5</v>
      </c>
      <c r="B166" s="4" t="s">
        <v>4600</v>
      </c>
      <c r="C166" s="4" t="s">
        <v>4933</v>
      </c>
      <c r="D166" s="4" t="s">
        <v>4934</v>
      </c>
      <c r="E166" s="4" t="s">
        <v>5804</v>
      </c>
      <c r="F166" t="s">
        <v>41</v>
      </c>
      <c r="G166" t="s">
        <v>42</v>
      </c>
      <c r="H166" t="s">
        <v>21</v>
      </c>
      <c r="I166">
        <v>1</v>
      </c>
      <c r="J166" s="5">
        <v>0.09</v>
      </c>
      <c r="K166" t="s">
        <v>175</v>
      </c>
      <c r="L166" s="6">
        <v>44166</v>
      </c>
      <c r="M166">
        <v>12</v>
      </c>
      <c r="N166" s="7" t="s">
        <v>30</v>
      </c>
      <c r="O166" t="s">
        <v>31</v>
      </c>
      <c r="P166" t="s">
        <v>5003</v>
      </c>
      <c r="Q166" t="s">
        <v>5004</v>
      </c>
      <c r="R166" t="s">
        <v>3160</v>
      </c>
    </row>
    <row r="167" spans="1:18" hidden="1">
      <c r="A167">
        <v>5</v>
      </c>
      <c r="B167" s="4" t="s">
        <v>4600</v>
      </c>
      <c r="C167" s="4" t="s">
        <v>4933</v>
      </c>
      <c r="D167" s="4" t="s">
        <v>4934</v>
      </c>
      <c r="E167" s="4" t="s">
        <v>5804</v>
      </c>
      <c r="F167" t="s">
        <v>41</v>
      </c>
      <c r="G167" t="s">
        <v>42</v>
      </c>
      <c r="H167" t="s">
        <v>21</v>
      </c>
      <c r="I167">
        <v>1</v>
      </c>
      <c r="J167" s="5">
        <v>0.09</v>
      </c>
      <c r="K167" t="s">
        <v>645</v>
      </c>
      <c r="L167" s="6">
        <v>44440</v>
      </c>
      <c r="M167">
        <v>9</v>
      </c>
      <c r="N167" s="7" t="s">
        <v>23</v>
      </c>
      <c r="O167" t="s">
        <v>31</v>
      </c>
      <c r="P167" t="s">
        <v>5008</v>
      </c>
      <c r="Q167" t="s">
        <v>5009</v>
      </c>
      <c r="R167" t="s">
        <v>3160</v>
      </c>
    </row>
    <row r="168" spans="1:18" hidden="1">
      <c r="A168">
        <v>5</v>
      </c>
      <c r="B168" s="4" t="s">
        <v>4600</v>
      </c>
      <c r="C168" s="4" t="s">
        <v>4933</v>
      </c>
      <c r="D168" s="4" t="s">
        <v>5014</v>
      </c>
      <c r="E168" s="4" t="s">
        <v>5804</v>
      </c>
      <c r="F168" t="s">
        <v>41</v>
      </c>
      <c r="G168" t="s">
        <v>59</v>
      </c>
      <c r="H168" t="s">
        <v>21</v>
      </c>
      <c r="I168">
        <v>1</v>
      </c>
      <c r="J168" s="5">
        <v>0.09</v>
      </c>
      <c r="K168" t="s">
        <v>119</v>
      </c>
      <c r="L168" s="6">
        <v>42552</v>
      </c>
      <c r="M168">
        <v>7</v>
      </c>
      <c r="N168" s="7" t="s">
        <v>55</v>
      </c>
      <c r="O168" t="s">
        <v>31</v>
      </c>
      <c r="P168" t="s">
        <v>5057</v>
      </c>
      <c r="Q168" t="s">
        <v>3389</v>
      </c>
      <c r="R168" t="s">
        <v>5058</v>
      </c>
    </row>
    <row r="169" spans="1:18" hidden="1">
      <c r="A169">
        <v>5</v>
      </c>
      <c r="B169" s="4" t="s">
        <v>4600</v>
      </c>
      <c r="C169" s="4" t="s">
        <v>4933</v>
      </c>
      <c r="D169" s="4" t="s">
        <v>5014</v>
      </c>
      <c r="E169" s="4" t="s">
        <v>5804</v>
      </c>
      <c r="F169" t="s">
        <v>41</v>
      </c>
      <c r="G169" t="s">
        <v>59</v>
      </c>
      <c r="H169" t="s">
        <v>21</v>
      </c>
      <c r="I169">
        <v>1</v>
      </c>
      <c r="J169" s="5">
        <v>0.09</v>
      </c>
      <c r="K169" t="s">
        <v>128</v>
      </c>
      <c r="L169" s="6">
        <v>42795</v>
      </c>
      <c r="M169">
        <v>3</v>
      </c>
      <c r="N169" s="7" t="s">
        <v>23</v>
      </c>
      <c r="O169" t="s">
        <v>31</v>
      </c>
      <c r="P169" t="s">
        <v>5092</v>
      </c>
      <c r="Q169" t="s">
        <v>5093</v>
      </c>
      <c r="R169" t="s">
        <v>5094</v>
      </c>
    </row>
    <row r="170" spans="1:18" hidden="1">
      <c r="A170">
        <v>5</v>
      </c>
      <c r="B170" s="4" t="s">
        <v>4600</v>
      </c>
      <c r="C170" s="4" t="s">
        <v>4933</v>
      </c>
      <c r="D170" s="4" t="s">
        <v>5014</v>
      </c>
      <c r="E170" s="4" t="s">
        <v>5804</v>
      </c>
      <c r="F170" t="s">
        <v>41</v>
      </c>
      <c r="G170" t="s">
        <v>59</v>
      </c>
      <c r="H170" t="s">
        <v>21</v>
      </c>
      <c r="I170">
        <v>1</v>
      </c>
      <c r="J170" s="5">
        <v>0.09</v>
      </c>
      <c r="K170" t="s">
        <v>681</v>
      </c>
      <c r="L170" s="6">
        <v>42887</v>
      </c>
      <c r="M170">
        <v>6</v>
      </c>
      <c r="N170" s="7" t="s">
        <v>55</v>
      </c>
      <c r="O170" t="s">
        <v>31</v>
      </c>
      <c r="P170" t="s">
        <v>5116</v>
      </c>
      <c r="Q170" t="s">
        <v>5117</v>
      </c>
      <c r="R170" t="s">
        <v>4641</v>
      </c>
    </row>
    <row r="171" spans="1:18" hidden="1">
      <c r="A171">
        <v>5</v>
      </c>
      <c r="B171" s="4" t="s">
        <v>4600</v>
      </c>
      <c r="C171" s="4" t="s">
        <v>4933</v>
      </c>
      <c r="D171" s="4" t="s">
        <v>5014</v>
      </c>
      <c r="E171" s="4" t="s">
        <v>5804</v>
      </c>
      <c r="F171" t="s">
        <v>41</v>
      </c>
      <c r="G171" t="s">
        <v>59</v>
      </c>
      <c r="H171" t="s">
        <v>21</v>
      </c>
      <c r="I171">
        <v>1</v>
      </c>
      <c r="J171" s="5">
        <v>0.09</v>
      </c>
      <c r="K171" t="s">
        <v>83</v>
      </c>
      <c r="L171" s="6">
        <v>42948</v>
      </c>
      <c r="M171">
        <v>8</v>
      </c>
      <c r="N171" s="7" t="s">
        <v>55</v>
      </c>
      <c r="O171" t="s">
        <v>31</v>
      </c>
      <c r="P171" t="s">
        <v>5134</v>
      </c>
      <c r="Q171" t="s">
        <v>5093</v>
      </c>
      <c r="R171" t="s">
        <v>5094</v>
      </c>
    </row>
    <row r="172" spans="1:18" hidden="1">
      <c r="A172">
        <v>5</v>
      </c>
      <c r="B172" s="4" t="s">
        <v>4600</v>
      </c>
      <c r="C172" s="4" t="s">
        <v>4933</v>
      </c>
      <c r="D172" s="4" t="s">
        <v>5014</v>
      </c>
      <c r="E172" s="4" t="s">
        <v>5804</v>
      </c>
      <c r="F172" t="s">
        <v>41</v>
      </c>
      <c r="G172" t="s">
        <v>59</v>
      </c>
      <c r="H172" t="s">
        <v>21</v>
      </c>
      <c r="I172">
        <v>1</v>
      </c>
      <c r="J172" s="5">
        <v>0.09</v>
      </c>
      <c r="K172" t="s">
        <v>87</v>
      </c>
      <c r="L172" s="6">
        <v>43040</v>
      </c>
      <c r="M172">
        <v>11</v>
      </c>
      <c r="N172" s="7" t="s">
        <v>23</v>
      </c>
      <c r="O172" t="s">
        <v>31</v>
      </c>
      <c r="P172" t="s">
        <v>5157</v>
      </c>
      <c r="Q172" t="s">
        <v>5158</v>
      </c>
      <c r="R172" t="s">
        <v>5159</v>
      </c>
    </row>
    <row r="173" spans="1:18" hidden="1">
      <c r="A173">
        <v>5</v>
      </c>
      <c r="B173" s="4" t="s">
        <v>4600</v>
      </c>
      <c r="C173" s="4" t="s">
        <v>4933</v>
      </c>
      <c r="D173" s="4" t="s">
        <v>5014</v>
      </c>
      <c r="E173" s="4" t="s">
        <v>5804</v>
      </c>
      <c r="F173" t="s">
        <v>41</v>
      </c>
      <c r="G173" t="s">
        <v>59</v>
      </c>
      <c r="H173" t="s">
        <v>21</v>
      </c>
      <c r="I173">
        <v>1</v>
      </c>
      <c r="J173" s="5">
        <v>0.09</v>
      </c>
      <c r="K173" t="s">
        <v>29</v>
      </c>
      <c r="L173" s="6">
        <v>43070</v>
      </c>
      <c r="M173">
        <v>12</v>
      </c>
      <c r="N173" s="7" t="s">
        <v>30</v>
      </c>
      <c r="O173" t="s">
        <v>31</v>
      </c>
      <c r="P173" t="s">
        <v>5164</v>
      </c>
      <c r="Q173" t="s">
        <v>5093</v>
      </c>
      <c r="R173" t="s">
        <v>5094</v>
      </c>
    </row>
    <row r="174" spans="1:18" hidden="1">
      <c r="A174">
        <v>5</v>
      </c>
      <c r="B174" s="4" t="s">
        <v>4600</v>
      </c>
      <c r="C174" s="4" t="s">
        <v>4933</v>
      </c>
      <c r="D174" s="4" t="s">
        <v>5014</v>
      </c>
      <c r="E174" s="4" t="s">
        <v>5804</v>
      </c>
      <c r="F174" t="s">
        <v>41</v>
      </c>
      <c r="G174" t="s">
        <v>59</v>
      </c>
      <c r="H174" t="s">
        <v>21</v>
      </c>
      <c r="I174">
        <v>1</v>
      </c>
      <c r="J174" s="5">
        <v>0.09</v>
      </c>
      <c r="K174" t="s">
        <v>35</v>
      </c>
      <c r="L174" s="6">
        <v>43160</v>
      </c>
      <c r="M174">
        <v>3</v>
      </c>
      <c r="N174" s="7" t="s">
        <v>23</v>
      </c>
      <c r="O174" t="s">
        <v>31</v>
      </c>
      <c r="P174" t="s">
        <v>5171</v>
      </c>
      <c r="Q174" t="s">
        <v>5172</v>
      </c>
      <c r="R174" t="s">
        <v>5094</v>
      </c>
    </row>
    <row r="175" spans="1:18" hidden="1">
      <c r="A175">
        <v>5</v>
      </c>
      <c r="B175" s="4" t="s">
        <v>4600</v>
      </c>
      <c r="C175" s="4" t="s">
        <v>4933</v>
      </c>
      <c r="D175" s="4" t="s">
        <v>5014</v>
      </c>
      <c r="E175" s="4" t="s">
        <v>5804</v>
      </c>
      <c r="F175" t="s">
        <v>41</v>
      </c>
      <c r="G175" t="s">
        <v>59</v>
      </c>
      <c r="H175" t="s">
        <v>21</v>
      </c>
      <c r="I175">
        <v>1</v>
      </c>
      <c r="J175" s="5">
        <v>0.09</v>
      </c>
      <c r="K175" t="s">
        <v>245</v>
      </c>
      <c r="L175" s="6">
        <v>43466</v>
      </c>
      <c r="M175">
        <v>1</v>
      </c>
      <c r="N175" s="7" t="s">
        <v>30</v>
      </c>
      <c r="O175" t="s">
        <v>31</v>
      </c>
      <c r="P175" t="s">
        <v>5234</v>
      </c>
      <c r="Q175" t="s">
        <v>5235</v>
      </c>
      <c r="R175" t="s">
        <v>5094</v>
      </c>
    </row>
    <row r="176" spans="1:18" hidden="1">
      <c r="A176">
        <v>5</v>
      </c>
      <c r="B176" s="4" t="s">
        <v>4600</v>
      </c>
      <c r="C176" s="4" t="s">
        <v>4933</v>
      </c>
      <c r="D176" s="4" t="s">
        <v>5014</v>
      </c>
      <c r="E176" s="4" t="s">
        <v>5804</v>
      </c>
      <c r="F176" t="s">
        <v>41</v>
      </c>
      <c r="G176" t="s">
        <v>42</v>
      </c>
      <c r="H176" t="s">
        <v>21</v>
      </c>
      <c r="I176">
        <v>1</v>
      </c>
      <c r="J176" s="5">
        <v>0.09</v>
      </c>
      <c r="K176" t="s">
        <v>726</v>
      </c>
      <c r="L176" s="6">
        <v>43709</v>
      </c>
      <c r="M176">
        <v>9</v>
      </c>
      <c r="N176" s="7" t="s">
        <v>23</v>
      </c>
      <c r="O176" t="s">
        <v>31</v>
      </c>
      <c r="P176" t="s">
        <v>5286</v>
      </c>
      <c r="Q176" t="s">
        <v>5287</v>
      </c>
      <c r="R176" t="s">
        <v>5288</v>
      </c>
    </row>
    <row r="177" spans="1:18" hidden="1">
      <c r="A177">
        <v>5</v>
      </c>
      <c r="B177" s="4" t="s">
        <v>4600</v>
      </c>
      <c r="C177" s="4" t="s">
        <v>4933</v>
      </c>
      <c r="D177" s="4" t="s">
        <v>5014</v>
      </c>
      <c r="E177" s="4" t="s">
        <v>5804</v>
      </c>
      <c r="F177" t="s">
        <v>41</v>
      </c>
      <c r="G177" t="s">
        <v>59</v>
      </c>
      <c r="H177" t="s">
        <v>21</v>
      </c>
      <c r="I177">
        <v>1</v>
      </c>
      <c r="J177" s="5">
        <v>0.09</v>
      </c>
      <c r="K177" t="s">
        <v>691</v>
      </c>
      <c r="L177" s="6">
        <v>43770</v>
      </c>
      <c r="M177">
        <v>11</v>
      </c>
      <c r="N177" s="7" t="s">
        <v>23</v>
      </c>
      <c r="O177" t="s">
        <v>31</v>
      </c>
      <c r="P177" t="s">
        <v>5302</v>
      </c>
      <c r="Q177" t="s">
        <v>5303</v>
      </c>
      <c r="R177" t="s">
        <v>5094</v>
      </c>
    </row>
    <row r="178" spans="1:18" hidden="1">
      <c r="A178">
        <v>5</v>
      </c>
      <c r="B178" s="4" t="s">
        <v>4600</v>
      </c>
      <c r="C178" s="4" t="s">
        <v>4933</v>
      </c>
      <c r="D178" s="4" t="s">
        <v>5014</v>
      </c>
      <c r="E178" s="4" t="s">
        <v>5804</v>
      </c>
      <c r="F178" t="s">
        <v>41</v>
      </c>
      <c r="G178" t="s">
        <v>42</v>
      </c>
      <c r="H178" t="s">
        <v>21</v>
      </c>
      <c r="I178">
        <v>1</v>
      </c>
      <c r="J178" s="5">
        <v>0.09</v>
      </c>
      <c r="K178" t="s">
        <v>5328</v>
      </c>
      <c r="L178" s="6">
        <v>43891</v>
      </c>
      <c r="M178">
        <v>3</v>
      </c>
      <c r="N178" s="7" t="s">
        <v>23</v>
      </c>
      <c r="O178" t="s">
        <v>31</v>
      </c>
      <c r="P178" t="s">
        <v>5329</v>
      </c>
      <c r="Q178" t="s">
        <v>5287</v>
      </c>
      <c r="R178" t="s">
        <v>5288</v>
      </c>
    </row>
    <row r="179" spans="1:18" hidden="1">
      <c r="A179">
        <v>5</v>
      </c>
      <c r="B179" s="4" t="s">
        <v>4600</v>
      </c>
      <c r="C179" s="4" t="s">
        <v>4933</v>
      </c>
      <c r="D179" s="4" t="s">
        <v>5014</v>
      </c>
      <c r="E179" s="4" t="s">
        <v>5804</v>
      </c>
      <c r="F179" t="s">
        <v>41</v>
      </c>
      <c r="G179" t="s">
        <v>42</v>
      </c>
      <c r="H179" t="s">
        <v>21</v>
      </c>
      <c r="I179">
        <v>1</v>
      </c>
      <c r="J179" s="5">
        <v>0.09</v>
      </c>
      <c r="K179" t="s">
        <v>377</v>
      </c>
      <c r="L179" s="6">
        <v>44470</v>
      </c>
      <c r="M179">
        <v>10</v>
      </c>
      <c r="N179" s="7" t="s">
        <v>23</v>
      </c>
      <c r="O179" t="s">
        <v>31</v>
      </c>
      <c r="P179" t="s">
        <v>5374</v>
      </c>
      <c r="Q179" t="s">
        <v>4631</v>
      </c>
      <c r="R179" t="s">
        <v>4632</v>
      </c>
    </row>
    <row r="180" spans="1:18" hidden="1">
      <c r="A180">
        <v>5</v>
      </c>
      <c r="B180" s="4" t="s">
        <v>4600</v>
      </c>
      <c r="C180" s="4" t="s">
        <v>5385</v>
      </c>
      <c r="D180" s="4" t="s">
        <v>5386</v>
      </c>
      <c r="E180" s="4" t="s">
        <v>5804</v>
      </c>
      <c r="F180" t="s">
        <v>41</v>
      </c>
      <c r="G180" t="s">
        <v>42</v>
      </c>
      <c r="H180" t="s">
        <v>21</v>
      </c>
      <c r="I180">
        <v>1</v>
      </c>
      <c r="J180" s="5">
        <v>0.09</v>
      </c>
      <c r="K180" t="s">
        <v>547</v>
      </c>
      <c r="L180" s="6">
        <v>44075</v>
      </c>
      <c r="M180">
        <v>9</v>
      </c>
      <c r="N180" s="7" t="s">
        <v>23</v>
      </c>
      <c r="O180" t="s">
        <v>31</v>
      </c>
      <c r="P180" t="s">
        <v>5421</v>
      </c>
      <c r="Q180" t="s">
        <v>5422</v>
      </c>
      <c r="R180" t="s">
        <v>5423</v>
      </c>
    </row>
    <row r="181" spans="1:18" hidden="1">
      <c r="A181">
        <v>5</v>
      </c>
      <c r="B181" s="4" t="s">
        <v>4600</v>
      </c>
      <c r="C181" s="4" t="s">
        <v>5385</v>
      </c>
      <c r="D181" s="4" t="s">
        <v>5386</v>
      </c>
      <c r="E181" s="4" t="s">
        <v>5804</v>
      </c>
      <c r="F181" t="s">
        <v>41</v>
      </c>
      <c r="G181" t="s">
        <v>42</v>
      </c>
      <c r="H181" t="s">
        <v>21</v>
      </c>
      <c r="I181">
        <v>1</v>
      </c>
      <c r="J181" s="5">
        <v>0.09</v>
      </c>
      <c r="K181" t="s">
        <v>178</v>
      </c>
      <c r="L181" s="6">
        <v>44228</v>
      </c>
      <c r="M181">
        <v>2</v>
      </c>
      <c r="N181" s="7" t="s">
        <v>30</v>
      </c>
      <c r="O181" t="s">
        <v>31</v>
      </c>
      <c r="P181" t="s">
        <v>5429</v>
      </c>
      <c r="Q181" t="s">
        <v>5430</v>
      </c>
      <c r="R181" t="s">
        <v>5058</v>
      </c>
    </row>
    <row r="182" spans="1:18" hidden="1">
      <c r="A182">
        <v>5</v>
      </c>
      <c r="B182" s="4" t="s">
        <v>4600</v>
      </c>
      <c r="C182" s="4" t="s">
        <v>5385</v>
      </c>
      <c r="D182" s="4" t="s">
        <v>5432</v>
      </c>
      <c r="E182" s="4" t="s">
        <v>5804</v>
      </c>
      <c r="F182" t="s">
        <v>41</v>
      </c>
      <c r="G182" t="s">
        <v>42</v>
      </c>
      <c r="H182" t="s">
        <v>21</v>
      </c>
      <c r="I182">
        <v>1</v>
      </c>
      <c r="J182" s="5">
        <v>0.09</v>
      </c>
      <c r="K182" t="s">
        <v>234</v>
      </c>
      <c r="L182" s="6">
        <v>42826</v>
      </c>
      <c r="M182">
        <v>4</v>
      </c>
      <c r="N182" s="7" t="s">
        <v>23</v>
      </c>
      <c r="O182" t="s">
        <v>31</v>
      </c>
      <c r="P182" t="s">
        <v>5451</v>
      </c>
      <c r="Q182" t="s">
        <v>5452</v>
      </c>
      <c r="R182" t="s">
        <v>5453</v>
      </c>
    </row>
    <row r="183" spans="1:18" hidden="1">
      <c r="A183">
        <v>5</v>
      </c>
      <c r="B183" s="4" t="s">
        <v>4600</v>
      </c>
      <c r="C183" s="4" t="s">
        <v>5385</v>
      </c>
      <c r="D183" s="4" t="s">
        <v>5432</v>
      </c>
      <c r="E183" s="4" t="s">
        <v>5804</v>
      </c>
      <c r="F183" t="s">
        <v>41</v>
      </c>
      <c r="G183" t="s">
        <v>59</v>
      </c>
      <c r="H183" t="s">
        <v>21</v>
      </c>
      <c r="I183">
        <v>1</v>
      </c>
      <c r="J183" s="5">
        <v>0.09</v>
      </c>
      <c r="K183" t="s">
        <v>681</v>
      </c>
      <c r="L183" s="6">
        <v>42887</v>
      </c>
      <c r="M183">
        <v>6</v>
      </c>
      <c r="N183" s="7" t="s">
        <v>55</v>
      </c>
      <c r="O183" t="s">
        <v>31</v>
      </c>
      <c r="P183" t="s">
        <v>5454</v>
      </c>
      <c r="Q183" t="s">
        <v>5455</v>
      </c>
      <c r="R183" t="s">
        <v>5456</v>
      </c>
    </row>
    <row r="184" spans="1:18" hidden="1">
      <c r="A184">
        <v>7</v>
      </c>
      <c r="B184" s="4" t="s">
        <v>5586</v>
      </c>
      <c r="C184" s="4" t="s">
        <v>5587</v>
      </c>
      <c r="D184" s="4" t="s">
        <v>5596</v>
      </c>
      <c r="E184" s="4" t="s">
        <v>5804</v>
      </c>
      <c r="F184" t="s">
        <v>41</v>
      </c>
      <c r="G184" t="s">
        <v>59</v>
      </c>
      <c r="H184" t="s">
        <v>21</v>
      </c>
      <c r="I184">
        <v>1</v>
      </c>
      <c r="J184" s="5">
        <v>0.09</v>
      </c>
      <c r="K184" t="s">
        <v>547</v>
      </c>
      <c r="L184" s="6">
        <v>44075</v>
      </c>
      <c r="M184">
        <v>9</v>
      </c>
      <c r="N184" s="7" t="s">
        <v>23</v>
      </c>
      <c r="O184" t="s">
        <v>31</v>
      </c>
      <c r="P184" t="s">
        <v>5624</v>
      </c>
      <c r="Q184" t="s">
        <v>5625</v>
      </c>
      <c r="R184" t="s">
        <v>5626</v>
      </c>
    </row>
    <row r="185" spans="1:18" hidden="1">
      <c r="A185">
        <v>8</v>
      </c>
      <c r="B185" s="4" t="s">
        <v>5679</v>
      </c>
      <c r="C185" s="4" t="s">
        <v>5680</v>
      </c>
      <c r="D185" s="4" t="s">
        <v>5685</v>
      </c>
      <c r="E185" s="4" t="s">
        <v>5805</v>
      </c>
      <c r="F185" t="s">
        <v>41</v>
      </c>
      <c r="G185" t="s">
        <v>42</v>
      </c>
      <c r="H185" t="s">
        <v>21</v>
      </c>
      <c r="I185">
        <v>1</v>
      </c>
      <c r="J185" s="5">
        <v>0.09</v>
      </c>
      <c r="K185" t="s">
        <v>311</v>
      </c>
      <c r="L185" s="6">
        <v>44256</v>
      </c>
      <c r="M185">
        <v>3</v>
      </c>
      <c r="N185" s="7" t="s">
        <v>23</v>
      </c>
      <c r="O185" t="s">
        <v>31</v>
      </c>
      <c r="P185" t="s">
        <v>5686</v>
      </c>
      <c r="Q185" t="s">
        <v>5687</v>
      </c>
      <c r="R185" t="s">
        <v>5688</v>
      </c>
    </row>
    <row r="186" spans="1:18" hidden="1">
      <c r="A186">
        <v>8</v>
      </c>
      <c r="B186" s="4" t="s">
        <v>5679</v>
      </c>
      <c r="C186" s="4" t="s">
        <v>5689</v>
      </c>
      <c r="D186" s="4" t="s">
        <v>5690</v>
      </c>
      <c r="E186" s="4" t="s">
        <v>5805</v>
      </c>
      <c r="F186" t="s">
        <v>41</v>
      </c>
      <c r="G186" t="s">
        <v>42</v>
      </c>
      <c r="H186" t="s">
        <v>21</v>
      </c>
      <c r="I186">
        <v>1</v>
      </c>
      <c r="J186" s="5">
        <v>0.09</v>
      </c>
      <c r="K186" t="s">
        <v>5708</v>
      </c>
      <c r="L186" s="6">
        <v>43556</v>
      </c>
      <c r="M186">
        <v>4</v>
      </c>
      <c r="N186" s="7" t="s">
        <v>23</v>
      </c>
      <c r="O186" t="s">
        <v>31</v>
      </c>
      <c r="P186" t="s">
        <v>5709</v>
      </c>
      <c r="Q186" t="s">
        <v>5710</v>
      </c>
      <c r="R186" t="s">
        <v>5711</v>
      </c>
    </row>
    <row r="187" spans="1:18" hidden="1">
      <c r="A187">
        <v>12</v>
      </c>
      <c r="B187" s="4" t="s">
        <v>901</v>
      </c>
      <c r="C187" s="4" t="s">
        <v>1161</v>
      </c>
      <c r="D187" s="4" t="s">
        <v>1220</v>
      </c>
      <c r="E187" s="4" t="s">
        <v>5804</v>
      </c>
      <c r="F187" t="s">
        <v>1312</v>
      </c>
      <c r="G187" t="s">
        <v>1312</v>
      </c>
      <c r="H187" t="s">
        <v>21</v>
      </c>
      <c r="I187">
        <v>11</v>
      </c>
      <c r="J187" s="5">
        <v>0.03</v>
      </c>
      <c r="K187" t="s">
        <v>204</v>
      </c>
      <c r="L187" s="6">
        <v>43831</v>
      </c>
      <c r="M187">
        <v>1</v>
      </c>
      <c r="N187" s="7" t="s">
        <v>30</v>
      </c>
      <c r="O187" t="s">
        <v>88</v>
      </c>
      <c r="P187" t="s">
        <v>1313</v>
      </c>
      <c r="Q187" t="s">
        <v>1314</v>
      </c>
      <c r="R187" t="s">
        <v>1315</v>
      </c>
    </row>
    <row r="188" spans="1:18" hidden="1">
      <c r="A188">
        <v>12</v>
      </c>
      <c r="B188" s="4" t="s">
        <v>901</v>
      </c>
      <c r="C188" s="4" t="s">
        <v>1672</v>
      </c>
      <c r="D188" s="4" t="s">
        <v>1673</v>
      </c>
      <c r="E188" s="4" t="s">
        <v>5804</v>
      </c>
      <c r="F188" t="s">
        <v>1312</v>
      </c>
      <c r="G188" t="s">
        <v>1312</v>
      </c>
      <c r="H188" t="s">
        <v>21</v>
      </c>
      <c r="I188">
        <v>11</v>
      </c>
      <c r="J188" s="5">
        <v>0.03</v>
      </c>
      <c r="K188" t="s">
        <v>482</v>
      </c>
      <c r="L188" s="6">
        <v>43435</v>
      </c>
      <c r="M188">
        <v>12</v>
      </c>
      <c r="N188" s="7" t="s">
        <v>30</v>
      </c>
      <c r="O188" t="s">
        <v>36</v>
      </c>
      <c r="P188" t="s">
        <v>1848</v>
      </c>
      <c r="Q188" t="s">
        <v>1849</v>
      </c>
      <c r="R188" t="s">
        <v>1850</v>
      </c>
    </row>
    <row r="189" spans="1:18" hidden="1">
      <c r="A189">
        <v>2</v>
      </c>
      <c r="B189" s="4" t="s">
        <v>1952</v>
      </c>
      <c r="C189" s="4" t="s">
        <v>1953</v>
      </c>
      <c r="D189" s="4" t="s">
        <v>1954</v>
      </c>
      <c r="E189" s="4" t="s">
        <v>5804</v>
      </c>
      <c r="F189" t="s">
        <v>1312</v>
      </c>
      <c r="G189" t="s">
        <v>1312</v>
      </c>
      <c r="H189" t="s">
        <v>21</v>
      </c>
      <c r="I189">
        <v>11</v>
      </c>
      <c r="J189" s="5">
        <v>0.03</v>
      </c>
      <c r="K189" t="s">
        <v>115</v>
      </c>
      <c r="L189" s="6">
        <v>42461</v>
      </c>
      <c r="M189">
        <v>4</v>
      </c>
      <c r="N189" s="7" t="s">
        <v>23</v>
      </c>
      <c r="O189" t="s">
        <v>36</v>
      </c>
      <c r="P189" t="s">
        <v>1961</v>
      </c>
      <c r="Q189" t="s">
        <v>1962</v>
      </c>
      <c r="R189" t="s">
        <v>1963</v>
      </c>
    </row>
    <row r="190" spans="1:18" hidden="1">
      <c r="A190">
        <v>2</v>
      </c>
      <c r="B190" s="4" t="s">
        <v>1952</v>
      </c>
      <c r="C190" s="4" t="s">
        <v>1953</v>
      </c>
      <c r="D190" s="4" t="s">
        <v>1954</v>
      </c>
      <c r="E190" s="4" t="s">
        <v>5804</v>
      </c>
      <c r="F190" t="s">
        <v>1312</v>
      </c>
      <c r="G190" t="s">
        <v>1312</v>
      </c>
      <c r="H190" t="s">
        <v>21</v>
      </c>
      <c r="I190">
        <v>11</v>
      </c>
      <c r="J190" s="5">
        <v>0.03</v>
      </c>
      <c r="K190" t="s">
        <v>128</v>
      </c>
      <c r="L190" s="6">
        <v>42795</v>
      </c>
      <c r="M190">
        <v>3</v>
      </c>
      <c r="N190" s="7" t="s">
        <v>23</v>
      </c>
      <c r="O190" t="s">
        <v>31</v>
      </c>
      <c r="P190" t="s">
        <v>1977</v>
      </c>
      <c r="Q190" t="s">
        <v>1978</v>
      </c>
      <c r="R190" t="s">
        <v>1979</v>
      </c>
    </row>
    <row r="191" spans="1:18" hidden="1">
      <c r="A191">
        <v>2</v>
      </c>
      <c r="B191" s="4" t="s">
        <v>1952</v>
      </c>
      <c r="C191" s="4" t="s">
        <v>1953</v>
      </c>
      <c r="D191" s="4" t="s">
        <v>1954</v>
      </c>
      <c r="E191" s="4" t="s">
        <v>5804</v>
      </c>
      <c r="F191" t="s">
        <v>1312</v>
      </c>
      <c r="G191" t="s">
        <v>1312</v>
      </c>
      <c r="H191" t="s">
        <v>21</v>
      </c>
      <c r="I191">
        <v>11</v>
      </c>
      <c r="J191" s="5">
        <v>0.03</v>
      </c>
      <c r="K191" t="s">
        <v>128</v>
      </c>
      <c r="L191" s="6">
        <v>42795</v>
      </c>
      <c r="M191">
        <v>3</v>
      </c>
      <c r="N191" s="7" t="s">
        <v>23</v>
      </c>
      <c r="O191" t="s">
        <v>31</v>
      </c>
      <c r="P191" t="s">
        <v>1980</v>
      </c>
      <c r="Q191" t="s">
        <v>1981</v>
      </c>
      <c r="R191" t="s">
        <v>1982</v>
      </c>
    </row>
    <row r="192" spans="1:18" hidden="1">
      <c r="A192">
        <v>2</v>
      </c>
      <c r="B192" s="4" t="s">
        <v>1952</v>
      </c>
      <c r="C192" s="4" t="s">
        <v>1953</v>
      </c>
      <c r="D192" s="4" t="s">
        <v>1954</v>
      </c>
      <c r="E192" s="4" t="s">
        <v>5804</v>
      </c>
      <c r="F192" t="s">
        <v>1312</v>
      </c>
      <c r="G192" t="s">
        <v>1312</v>
      </c>
      <c r="H192" t="s">
        <v>21</v>
      </c>
      <c r="I192">
        <v>11</v>
      </c>
      <c r="J192" s="5">
        <v>0.03</v>
      </c>
      <c r="K192" t="s">
        <v>76</v>
      </c>
      <c r="L192" s="6">
        <v>42856</v>
      </c>
      <c r="M192">
        <v>5</v>
      </c>
      <c r="N192" s="7" t="s">
        <v>23</v>
      </c>
      <c r="O192" t="s">
        <v>31</v>
      </c>
      <c r="P192" t="s">
        <v>1986</v>
      </c>
      <c r="Q192" t="s">
        <v>1987</v>
      </c>
      <c r="R192" t="s">
        <v>1988</v>
      </c>
    </row>
    <row r="193" spans="1:18" hidden="1">
      <c r="A193">
        <v>2</v>
      </c>
      <c r="B193" s="4" t="s">
        <v>1952</v>
      </c>
      <c r="C193" s="4" t="s">
        <v>1953</v>
      </c>
      <c r="D193" s="4" t="s">
        <v>1954</v>
      </c>
      <c r="E193" s="4" t="s">
        <v>5804</v>
      </c>
      <c r="F193" t="s">
        <v>1312</v>
      </c>
      <c r="G193" t="s">
        <v>1312</v>
      </c>
      <c r="H193" t="s">
        <v>21</v>
      </c>
      <c r="I193">
        <v>11</v>
      </c>
      <c r="J193" s="5">
        <v>0.03</v>
      </c>
      <c r="K193" t="s">
        <v>85</v>
      </c>
      <c r="L193" s="6">
        <v>43009</v>
      </c>
      <c r="M193">
        <v>10</v>
      </c>
      <c r="N193" s="7" t="s">
        <v>23</v>
      </c>
      <c r="O193" t="s">
        <v>31</v>
      </c>
      <c r="P193" t="s">
        <v>2005</v>
      </c>
      <c r="Q193" t="s">
        <v>2006</v>
      </c>
      <c r="R193" t="s">
        <v>2007</v>
      </c>
    </row>
    <row r="194" spans="1:18" hidden="1">
      <c r="A194">
        <v>2</v>
      </c>
      <c r="B194" s="4" t="s">
        <v>1952</v>
      </c>
      <c r="C194" s="4" t="s">
        <v>1953</v>
      </c>
      <c r="D194" s="4" t="s">
        <v>1954</v>
      </c>
      <c r="E194" s="4" t="s">
        <v>5804</v>
      </c>
      <c r="F194" t="s">
        <v>1312</v>
      </c>
      <c r="G194" t="s">
        <v>1312</v>
      </c>
      <c r="H194" t="s">
        <v>21</v>
      </c>
      <c r="I194">
        <v>11</v>
      </c>
      <c r="J194" s="5">
        <v>0.03</v>
      </c>
      <c r="K194" t="s">
        <v>87</v>
      </c>
      <c r="L194" s="6">
        <v>43040</v>
      </c>
      <c r="M194">
        <v>11</v>
      </c>
      <c r="N194" s="7" t="s">
        <v>23</v>
      </c>
      <c r="O194" t="s">
        <v>36</v>
      </c>
      <c r="P194" t="s">
        <v>2011</v>
      </c>
      <c r="Q194" t="s">
        <v>1962</v>
      </c>
      <c r="R194" t="s">
        <v>1963</v>
      </c>
    </row>
    <row r="195" spans="1:18" hidden="1">
      <c r="A195">
        <v>2</v>
      </c>
      <c r="B195" s="4" t="s">
        <v>1952</v>
      </c>
      <c r="C195" s="4" t="s">
        <v>1953</v>
      </c>
      <c r="D195" s="4" t="s">
        <v>1954</v>
      </c>
      <c r="E195" s="4" t="s">
        <v>5804</v>
      </c>
      <c r="F195" t="s">
        <v>1312</v>
      </c>
      <c r="G195" t="s">
        <v>1312</v>
      </c>
      <c r="H195" t="s">
        <v>21</v>
      </c>
      <c r="I195">
        <v>11</v>
      </c>
      <c r="J195" s="5">
        <v>0.03</v>
      </c>
      <c r="K195" t="s">
        <v>295</v>
      </c>
      <c r="L195" s="6">
        <v>43221</v>
      </c>
      <c r="M195">
        <v>5</v>
      </c>
      <c r="N195" s="7" t="s">
        <v>23</v>
      </c>
      <c r="O195" t="s">
        <v>31</v>
      </c>
      <c r="P195" t="s">
        <v>2017</v>
      </c>
      <c r="Q195" t="s">
        <v>1993</v>
      </c>
      <c r="R195" t="s">
        <v>1994</v>
      </c>
    </row>
    <row r="196" spans="1:18" hidden="1">
      <c r="A196">
        <v>2</v>
      </c>
      <c r="B196" s="4" t="s">
        <v>1952</v>
      </c>
      <c r="C196" s="4" t="s">
        <v>1953</v>
      </c>
      <c r="D196" s="4" t="s">
        <v>1954</v>
      </c>
      <c r="E196" s="4" t="s">
        <v>5804</v>
      </c>
      <c r="F196" t="s">
        <v>1312</v>
      </c>
      <c r="G196" t="s">
        <v>1312</v>
      </c>
      <c r="H196" t="s">
        <v>21</v>
      </c>
      <c r="I196">
        <v>11</v>
      </c>
      <c r="J196" s="5">
        <v>0.03</v>
      </c>
      <c r="K196" t="s">
        <v>146</v>
      </c>
      <c r="L196" s="6">
        <v>43313</v>
      </c>
      <c r="M196">
        <v>8</v>
      </c>
      <c r="N196" s="7" t="s">
        <v>55</v>
      </c>
      <c r="O196" t="s">
        <v>418</v>
      </c>
      <c r="P196" t="s">
        <v>2031</v>
      </c>
      <c r="Q196" t="s">
        <v>2032</v>
      </c>
      <c r="R196" t="s">
        <v>1982</v>
      </c>
    </row>
    <row r="197" spans="1:18" hidden="1">
      <c r="A197">
        <v>2</v>
      </c>
      <c r="B197" s="4" t="s">
        <v>1952</v>
      </c>
      <c r="C197" s="4" t="s">
        <v>1953</v>
      </c>
      <c r="D197" s="4" t="s">
        <v>1954</v>
      </c>
      <c r="E197" s="4" t="s">
        <v>5804</v>
      </c>
      <c r="F197" t="s">
        <v>1312</v>
      </c>
      <c r="G197" t="s">
        <v>1312</v>
      </c>
      <c r="H197" t="s">
        <v>21</v>
      </c>
      <c r="I197">
        <v>11</v>
      </c>
      <c r="J197" s="5">
        <v>0.03</v>
      </c>
      <c r="K197" t="s">
        <v>152</v>
      </c>
      <c r="L197" s="6">
        <v>43374</v>
      </c>
      <c r="M197">
        <v>10</v>
      </c>
      <c r="N197" s="7" t="s">
        <v>23</v>
      </c>
      <c r="O197" t="s">
        <v>418</v>
      </c>
      <c r="P197" t="s">
        <v>2040</v>
      </c>
      <c r="Q197" t="s">
        <v>2032</v>
      </c>
      <c r="R197" t="s">
        <v>1982</v>
      </c>
    </row>
    <row r="198" spans="1:18" hidden="1">
      <c r="A198">
        <v>2</v>
      </c>
      <c r="B198" s="4" t="s">
        <v>1952</v>
      </c>
      <c r="C198" s="4" t="s">
        <v>1953</v>
      </c>
      <c r="D198" s="4" t="s">
        <v>1954</v>
      </c>
      <c r="E198" s="4" t="s">
        <v>5804</v>
      </c>
      <c r="F198" t="s">
        <v>1312</v>
      </c>
      <c r="G198" t="s">
        <v>1312</v>
      </c>
      <c r="H198" t="s">
        <v>21</v>
      </c>
      <c r="I198">
        <v>11</v>
      </c>
      <c r="J198" s="5">
        <v>0.03</v>
      </c>
      <c r="K198" t="s">
        <v>43</v>
      </c>
      <c r="L198" s="6">
        <v>43525</v>
      </c>
      <c r="M198">
        <v>3</v>
      </c>
      <c r="N198" s="7" t="s">
        <v>23</v>
      </c>
      <c r="O198" t="s">
        <v>31</v>
      </c>
      <c r="P198" t="s">
        <v>2052</v>
      </c>
      <c r="Q198" t="s">
        <v>1993</v>
      </c>
      <c r="R198" t="s">
        <v>1994</v>
      </c>
    </row>
    <row r="199" spans="1:18" hidden="1">
      <c r="A199">
        <v>2</v>
      </c>
      <c r="B199" s="4" t="s">
        <v>1952</v>
      </c>
      <c r="C199" s="4" t="s">
        <v>1953</v>
      </c>
      <c r="D199" s="4" t="s">
        <v>1954</v>
      </c>
      <c r="E199" s="4" t="s">
        <v>5804</v>
      </c>
      <c r="F199" t="s">
        <v>1312</v>
      </c>
      <c r="G199" t="s">
        <v>1312</v>
      </c>
      <c r="H199" t="s">
        <v>21</v>
      </c>
      <c r="I199">
        <v>11</v>
      </c>
      <c r="J199" s="5">
        <v>0.03</v>
      </c>
      <c r="K199" t="s">
        <v>749</v>
      </c>
      <c r="L199" s="6">
        <v>44136</v>
      </c>
      <c r="M199">
        <v>11</v>
      </c>
      <c r="N199" s="7" t="s">
        <v>23</v>
      </c>
      <c r="O199" t="s">
        <v>31</v>
      </c>
      <c r="P199" t="s">
        <v>2065</v>
      </c>
      <c r="Q199" t="s">
        <v>2066</v>
      </c>
      <c r="R199" t="s">
        <v>2067</v>
      </c>
    </row>
    <row r="200" spans="1:18" hidden="1">
      <c r="A200">
        <v>2</v>
      </c>
      <c r="B200" s="4" t="s">
        <v>1952</v>
      </c>
      <c r="C200" s="4" t="s">
        <v>1953</v>
      </c>
      <c r="D200" s="4" t="s">
        <v>1954</v>
      </c>
      <c r="E200" s="4" t="s">
        <v>5804</v>
      </c>
      <c r="F200" t="s">
        <v>1312</v>
      </c>
      <c r="G200" t="s">
        <v>1312</v>
      </c>
      <c r="H200" t="s">
        <v>21</v>
      </c>
      <c r="I200">
        <v>11</v>
      </c>
      <c r="J200" s="5">
        <v>0.03</v>
      </c>
      <c r="K200" t="s">
        <v>2068</v>
      </c>
      <c r="L200" s="6" t="s">
        <v>673</v>
      </c>
      <c r="M200" t="e">
        <v>#VALUE!</v>
      </c>
      <c r="N200" s="7" t="e">
        <v>#VALUE!</v>
      </c>
      <c r="O200" t="s">
        <v>418</v>
      </c>
      <c r="P200" t="s">
        <v>2069</v>
      </c>
      <c r="Q200" t="s">
        <v>2032</v>
      </c>
      <c r="R200" t="s">
        <v>1982</v>
      </c>
    </row>
    <row r="201" spans="1:18" hidden="1">
      <c r="A201">
        <v>2</v>
      </c>
      <c r="B201" s="4" t="s">
        <v>1952</v>
      </c>
      <c r="C201" s="4" t="s">
        <v>1953</v>
      </c>
      <c r="D201" s="4" t="s">
        <v>2072</v>
      </c>
      <c r="E201" s="4" t="s">
        <v>5804</v>
      </c>
      <c r="F201" t="s">
        <v>1312</v>
      </c>
      <c r="G201" t="s">
        <v>1312</v>
      </c>
      <c r="H201" t="s">
        <v>21</v>
      </c>
      <c r="I201">
        <v>11</v>
      </c>
      <c r="J201" s="5">
        <v>0.03</v>
      </c>
      <c r="K201" t="s">
        <v>319</v>
      </c>
      <c r="L201" s="6">
        <v>42583</v>
      </c>
      <c r="M201">
        <v>8</v>
      </c>
      <c r="N201" s="7" t="s">
        <v>55</v>
      </c>
      <c r="O201" t="s">
        <v>36</v>
      </c>
      <c r="P201" t="s">
        <v>2088</v>
      </c>
      <c r="Q201" t="s">
        <v>2089</v>
      </c>
      <c r="R201" t="s">
        <v>2090</v>
      </c>
    </row>
    <row r="202" spans="1:18" hidden="1">
      <c r="A202">
        <v>2</v>
      </c>
      <c r="B202" s="4" t="s">
        <v>1952</v>
      </c>
      <c r="C202" s="4" t="s">
        <v>1953</v>
      </c>
      <c r="D202" s="4" t="s">
        <v>2072</v>
      </c>
      <c r="E202" s="4" t="s">
        <v>5804</v>
      </c>
      <c r="F202" t="s">
        <v>1312</v>
      </c>
      <c r="G202" t="s">
        <v>1312</v>
      </c>
      <c r="H202" t="s">
        <v>21</v>
      </c>
      <c r="I202">
        <v>11</v>
      </c>
      <c r="J202" s="5">
        <v>0.03</v>
      </c>
      <c r="K202" t="s">
        <v>220</v>
      </c>
      <c r="L202" s="6">
        <v>42644</v>
      </c>
      <c r="M202">
        <v>10</v>
      </c>
      <c r="N202" s="7" t="s">
        <v>23</v>
      </c>
      <c r="O202" t="s">
        <v>31</v>
      </c>
      <c r="P202" t="s">
        <v>2102</v>
      </c>
      <c r="Q202" t="s">
        <v>2103</v>
      </c>
      <c r="R202" t="s">
        <v>2082</v>
      </c>
    </row>
    <row r="203" spans="1:18" hidden="1">
      <c r="A203">
        <v>2</v>
      </c>
      <c r="B203" s="4" t="s">
        <v>1952</v>
      </c>
      <c r="C203" s="4" t="s">
        <v>1953</v>
      </c>
      <c r="D203" s="4" t="s">
        <v>2072</v>
      </c>
      <c r="E203" s="4" t="s">
        <v>5804</v>
      </c>
      <c r="F203" t="s">
        <v>1312</v>
      </c>
      <c r="G203" t="s">
        <v>1312</v>
      </c>
      <c r="H203" t="s">
        <v>21</v>
      </c>
      <c r="I203">
        <v>11</v>
      </c>
      <c r="J203" s="5">
        <v>0.03</v>
      </c>
      <c r="K203" t="s">
        <v>128</v>
      </c>
      <c r="L203" s="6">
        <v>42795</v>
      </c>
      <c r="M203">
        <v>3</v>
      </c>
      <c r="N203" s="7" t="s">
        <v>23</v>
      </c>
      <c r="O203" t="s">
        <v>24</v>
      </c>
      <c r="P203" t="s">
        <v>2115</v>
      </c>
      <c r="Q203" t="s">
        <v>2116</v>
      </c>
      <c r="R203" t="s">
        <v>2117</v>
      </c>
    </row>
    <row r="204" spans="1:18" hidden="1">
      <c r="A204">
        <v>2</v>
      </c>
      <c r="B204" s="4" t="s">
        <v>1952</v>
      </c>
      <c r="C204" s="4" t="s">
        <v>1953</v>
      </c>
      <c r="D204" s="4" t="s">
        <v>2072</v>
      </c>
      <c r="E204" s="4" t="s">
        <v>5804</v>
      </c>
      <c r="F204" t="s">
        <v>1312</v>
      </c>
      <c r="G204" t="s">
        <v>1312</v>
      </c>
      <c r="H204" t="s">
        <v>21</v>
      </c>
      <c r="I204">
        <v>11</v>
      </c>
      <c r="J204" s="5">
        <v>0.03</v>
      </c>
      <c r="K204" t="s">
        <v>76</v>
      </c>
      <c r="L204" s="6">
        <v>42856</v>
      </c>
      <c r="M204">
        <v>5</v>
      </c>
      <c r="N204" s="7" t="s">
        <v>23</v>
      </c>
      <c r="O204" t="s">
        <v>36</v>
      </c>
      <c r="P204" t="s">
        <v>2126</v>
      </c>
      <c r="Q204" t="s">
        <v>2089</v>
      </c>
      <c r="R204" t="s">
        <v>2090</v>
      </c>
    </row>
    <row r="205" spans="1:18" hidden="1">
      <c r="A205">
        <v>2</v>
      </c>
      <c r="B205" s="4" t="s">
        <v>1952</v>
      </c>
      <c r="C205" s="4" t="s">
        <v>1953</v>
      </c>
      <c r="D205" s="4" t="s">
        <v>2072</v>
      </c>
      <c r="E205" s="4" t="s">
        <v>5804</v>
      </c>
      <c r="F205" t="s">
        <v>1312</v>
      </c>
      <c r="G205" t="s">
        <v>1312</v>
      </c>
      <c r="H205" t="s">
        <v>21</v>
      </c>
      <c r="I205">
        <v>11</v>
      </c>
      <c r="J205" s="5">
        <v>0.03</v>
      </c>
      <c r="K205" t="s">
        <v>35</v>
      </c>
      <c r="L205" s="6">
        <v>43160</v>
      </c>
      <c r="M205">
        <v>3</v>
      </c>
      <c r="N205" s="7" t="s">
        <v>23</v>
      </c>
      <c r="O205" t="s">
        <v>36</v>
      </c>
      <c r="P205" t="s">
        <v>2133</v>
      </c>
      <c r="Q205" t="s">
        <v>2089</v>
      </c>
      <c r="R205" t="s">
        <v>2090</v>
      </c>
    </row>
    <row r="206" spans="1:18" hidden="1">
      <c r="A206">
        <v>2</v>
      </c>
      <c r="B206" s="4" t="s">
        <v>1952</v>
      </c>
      <c r="C206" s="4" t="s">
        <v>1953</v>
      </c>
      <c r="D206" s="4" t="s">
        <v>2072</v>
      </c>
      <c r="E206" s="4" t="s">
        <v>5804</v>
      </c>
      <c r="F206" t="s">
        <v>1312</v>
      </c>
      <c r="G206" t="s">
        <v>1312</v>
      </c>
      <c r="H206" t="s">
        <v>21</v>
      </c>
      <c r="I206">
        <v>11</v>
      </c>
      <c r="J206" s="5">
        <v>0.03</v>
      </c>
      <c r="K206" t="s">
        <v>93</v>
      </c>
      <c r="L206" s="6">
        <v>43282</v>
      </c>
      <c r="M206">
        <v>7</v>
      </c>
      <c r="N206" s="7" t="s">
        <v>55</v>
      </c>
      <c r="O206" t="s">
        <v>31</v>
      </c>
      <c r="P206" t="s">
        <v>2138</v>
      </c>
      <c r="Q206" t="s">
        <v>2139</v>
      </c>
      <c r="R206" t="s">
        <v>2082</v>
      </c>
    </row>
    <row r="207" spans="1:18" hidden="1">
      <c r="A207">
        <v>2</v>
      </c>
      <c r="B207" s="4" t="s">
        <v>1952</v>
      </c>
      <c r="C207" s="4" t="s">
        <v>1953</v>
      </c>
      <c r="D207" s="4" t="s">
        <v>2072</v>
      </c>
      <c r="E207" s="4" t="s">
        <v>5804</v>
      </c>
      <c r="F207" t="s">
        <v>1312</v>
      </c>
      <c r="G207" t="s">
        <v>1312</v>
      </c>
      <c r="H207" t="s">
        <v>21</v>
      </c>
      <c r="I207">
        <v>11</v>
      </c>
      <c r="J207" s="5">
        <v>0.03</v>
      </c>
      <c r="K207" t="s">
        <v>43</v>
      </c>
      <c r="L207" s="6">
        <v>43525</v>
      </c>
      <c r="M207">
        <v>3</v>
      </c>
      <c r="N207" s="7" t="s">
        <v>23</v>
      </c>
      <c r="O207" t="s">
        <v>36</v>
      </c>
      <c r="P207" t="s">
        <v>2146</v>
      </c>
      <c r="Q207" t="s">
        <v>2089</v>
      </c>
      <c r="R207" t="s">
        <v>2090</v>
      </c>
    </row>
    <row r="208" spans="1:18" hidden="1">
      <c r="A208">
        <v>2</v>
      </c>
      <c r="B208" s="4" t="s">
        <v>1952</v>
      </c>
      <c r="C208" s="4" t="s">
        <v>1953</v>
      </c>
      <c r="D208" s="4" t="s">
        <v>2072</v>
      </c>
      <c r="E208" s="4" t="s">
        <v>5804</v>
      </c>
      <c r="F208" t="s">
        <v>1312</v>
      </c>
      <c r="G208" t="s">
        <v>1312</v>
      </c>
      <c r="H208" t="s">
        <v>21</v>
      </c>
      <c r="I208">
        <v>11</v>
      </c>
      <c r="J208" s="5">
        <v>0.03</v>
      </c>
      <c r="K208" t="s">
        <v>2147</v>
      </c>
      <c r="L208" s="6">
        <v>43525</v>
      </c>
      <c r="M208">
        <v>3</v>
      </c>
      <c r="N208" s="7" t="s">
        <v>23</v>
      </c>
      <c r="O208" t="s">
        <v>31</v>
      </c>
      <c r="P208" t="s">
        <v>2148</v>
      </c>
      <c r="Q208" t="s">
        <v>2149</v>
      </c>
      <c r="R208" t="s">
        <v>1272</v>
      </c>
    </row>
    <row r="209" spans="1:18" hidden="1">
      <c r="A209">
        <v>2</v>
      </c>
      <c r="B209" s="4" t="s">
        <v>1952</v>
      </c>
      <c r="C209" s="4" t="s">
        <v>1953</v>
      </c>
      <c r="D209" s="4" t="s">
        <v>2072</v>
      </c>
      <c r="E209" s="4" t="s">
        <v>5804</v>
      </c>
      <c r="F209" t="s">
        <v>1312</v>
      </c>
      <c r="G209" t="s">
        <v>1312</v>
      </c>
      <c r="H209" t="s">
        <v>21</v>
      </c>
      <c r="I209">
        <v>11</v>
      </c>
      <c r="J209" s="5">
        <v>0.03</v>
      </c>
      <c r="K209" t="s">
        <v>159</v>
      </c>
      <c r="L209" s="6">
        <v>43586</v>
      </c>
      <c r="M209">
        <v>5</v>
      </c>
      <c r="N209" s="7" t="s">
        <v>23</v>
      </c>
      <c r="O209" t="s">
        <v>31</v>
      </c>
      <c r="P209" t="s">
        <v>2150</v>
      </c>
      <c r="Q209" t="s">
        <v>2151</v>
      </c>
      <c r="R209" t="s">
        <v>2152</v>
      </c>
    </row>
    <row r="210" spans="1:18" hidden="1">
      <c r="A210">
        <v>2</v>
      </c>
      <c r="B210" s="4" t="s">
        <v>1952</v>
      </c>
      <c r="C210" s="4" t="s">
        <v>1953</v>
      </c>
      <c r="D210" s="4" t="s">
        <v>2072</v>
      </c>
      <c r="E210" s="4" t="s">
        <v>5804</v>
      </c>
      <c r="F210" t="s">
        <v>1312</v>
      </c>
      <c r="G210" t="s">
        <v>1312</v>
      </c>
      <c r="H210" t="s">
        <v>21</v>
      </c>
      <c r="I210">
        <v>11</v>
      </c>
      <c r="J210" s="5">
        <v>0.03</v>
      </c>
      <c r="K210" t="s">
        <v>164</v>
      </c>
      <c r="L210" s="6">
        <v>43617</v>
      </c>
      <c r="M210">
        <v>6</v>
      </c>
      <c r="N210" s="7" t="s">
        <v>55</v>
      </c>
      <c r="O210" t="s">
        <v>31</v>
      </c>
      <c r="P210" t="s">
        <v>2158</v>
      </c>
      <c r="Q210" t="s">
        <v>2159</v>
      </c>
      <c r="R210" t="s">
        <v>2160</v>
      </c>
    </row>
    <row r="211" spans="1:18" hidden="1">
      <c r="A211">
        <v>2</v>
      </c>
      <c r="B211" s="4" t="s">
        <v>1952</v>
      </c>
      <c r="C211" s="4" t="s">
        <v>1953</v>
      </c>
      <c r="D211" s="4" t="s">
        <v>2072</v>
      </c>
      <c r="E211" s="4" t="s">
        <v>5804</v>
      </c>
      <c r="F211" t="s">
        <v>1312</v>
      </c>
      <c r="G211" t="s">
        <v>1312</v>
      </c>
      <c r="H211" t="s">
        <v>21</v>
      </c>
      <c r="I211">
        <v>11</v>
      </c>
      <c r="J211" s="5">
        <v>0.03</v>
      </c>
      <c r="K211" t="s">
        <v>304</v>
      </c>
      <c r="L211" s="6">
        <v>43647</v>
      </c>
      <c r="M211">
        <v>7</v>
      </c>
      <c r="N211" s="7" t="s">
        <v>55</v>
      </c>
      <c r="O211" t="s">
        <v>31</v>
      </c>
      <c r="P211" t="s">
        <v>2165</v>
      </c>
      <c r="Q211" t="s">
        <v>2151</v>
      </c>
      <c r="R211" t="s">
        <v>2152</v>
      </c>
    </row>
    <row r="212" spans="1:18" hidden="1">
      <c r="A212">
        <v>2</v>
      </c>
      <c r="B212" s="4" t="s">
        <v>1952</v>
      </c>
      <c r="C212" s="4" t="s">
        <v>1953</v>
      </c>
      <c r="D212" s="4" t="s">
        <v>2072</v>
      </c>
      <c r="E212" s="4" t="s">
        <v>5804</v>
      </c>
      <c r="F212" t="s">
        <v>1312</v>
      </c>
      <c r="G212" t="s">
        <v>1312</v>
      </c>
      <c r="H212" t="s">
        <v>21</v>
      </c>
      <c r="I212">
        <v>11</v>
      </c>
      <c r="J212" s="5">
        <v>0.03</v>
      </c>
      <c r="K212" t="s">
        <v>357</v>
      </c>
      <c r="L212" s="6">
        <v>43739</v>
      </c>
      <c r="M212">
        <v>10</v>
      </c>
      <c r="N212" s="7" t="s">
        <v>23</v>
      </c>
      <c r="O212" t="s">
        <v>31</v>
      </c>
      <c r="P212" t="s">
        <v>2171</v>
      </c>
      <c r="Q212" t="s">
        <v>2139</v>
      </c>
      <c r="R212" t="s">
        <v>2082</v>
      </c>
    </row>
    <row r="213" spans="1:18" hidden="1">
      <c r="A213">
        <v>2</v>
      </c>
      <c r="B213" s="4" t="s">
        <v>1952</v>
      </c>
      <c r="C213" s="4" t="s">
        <v>1953</v>
      </c>
      <c r="D213" s="4" t="s">
        <v>2072</v>
      </c>
      <c r="E213" s="4" t="s">
        <v>5804</v>
      </c>
      <c r="F213" t="s">
        <v>1312</v>
      </c>
      <c r="G213" t="s">
        <v>1312</v>
      </c>
      <c r="H213" t="s">
        <v>21</v>
      </c>
      <c r="I213">
        <v>11</v>
      </c>
      <c r="J213" s="5">
        <v>0.03</v>
      </c>
      <c r="K213" t="s">
        <v>691</v>
      </c>
      <c r="L213" s="6">
        <v>43770</v>
      </c>
      <c r="M213">
        <v>11</v>
      </c>
      <c r="N213" s="7" t="s">
        <v>23</v>
      </c>
      <c r="O213" t="s">
        <v>31</v>
      </c>
      <c r="P213" t="s">
        <v>2175</v>
      </c>
      <c r="Q213" t="s">
        <v>2139</v>
      </c>
      <c r="R213" t="s">
        <v>2082</v>
      </c>
    </row>
    <row r="214" spans="1:18" hidden="1">
      <c r="A214">
        <v>2</v>
      </c>
      <c r="B214" s="4" t="s">
        <v>1952</v>
      </c>
      <c r="C214" s="4" t="s">
        <v>1953</v>
      </c>
      <c r="D214" s="4" t="s">
        <v>2072</v>
      </c>
      <c r="E214" s="4" t="s">
        <v>5804</v>
      </c>
      <c r="F214" t="s">
        <v>1312</v>
      </c>
      <c r="G214" t="s">
        <v>1312</v>
      </c>
      <c r="H214" t="s">
        <v>21</v>
      </c>
      <c r="I214">
        <v>11</v>
      </c>
      <c r="J214" s="5">
        <v>0.03</v>
      </c>
      <c r="K214" t="s">
        <v>99</v>
      </c>
      <c r="L214" s="6">
        <v>43891</v>
      </c>
      <c r="M214">
        <v>3</v>
      </c>
      <c r="N214" s="7" t="s">
        <v>23</v>
      </c>
      <c r="O214" t="s">
        <v>36</v>
      </c>
      <c r="P214" t="s">
        <v>2187</v>
      </c>
      <c r="Q214" t="s">
        <v>2089</v>
      </c>
      <c r="R214" t="s">
        <v>2090</v>
      </c>
    </row>
    <row r="215" spans="1:18" hidden="1">
      <c r="A215">
        <v>2</v>
      </c>
      <c r="B215" s="4" t="s">
        <v>1952</v>
      </c>
      <c r="C215" s="4" t="s">
        <v>1953</v>
      </c>
      <c r="D215" s="4" t="s">
        <v>2072</v>
      </c>
      <c r="E215" s="4" t="s">
        <v>5804</v>
      </c>
      <c r="F215" t="s">
        <v>1312</v>
      </c>
      <c r="G215" t="s">
        <v>1312</v>
      </c>
      <c r="H215" t="s">
        <v>21</v>
      </c>
      <c r="I215">
        <v>11</v>
      </c>
      <c r="J215" s="5">
        <v>0.03</v>
      </c>
      <c r="K215" t="s">
        <v>99</v>
      </c>
      <c r="L215" s="6">
        <v>43891</v>
      </c>
      <c r="M215">
        <v>3</v>
      </c>
      <c r="N215" s="7" t="s">
        <v>23</v>
      </c>
      <c r="O215" t="s">
        <v>31</v>
      </c>
      <c r="P215" t="s">
        <v>2188</v>
      </c>
      <c r="Q215" t="s">
        <v>2189</v>
      </c>
      <c r="R215" t="s">
        <v>2190</v>
      </c>
    </row>
    <row r="216" spans="1:18" hidden="1">
      <c r="A216">
        <v>2</v>
      </c>
      <c r="B216" s="4" t="s">
        <v>1952</v>
      </c>
      <c r="C216" s="4" t="s">
        <v>1953</v>
      </c>
      <c r="D216" s="4" t="s">
        <v>2072</v>
      </c>
      <c r="E216" s="4" t="s">
        <v>5804</v>
      </c>
      <c r="F216" t="s">
        <v>1312</v>
      </c>
      <c r="G216" t="s">
        <v>1312</v>
      </c>
      <c r="H216" t="s">
        <v>21</v>
      </c>
      <c r="I216">
        <v>11</v>
      </c>
      <c r="J216" s="5">
        <v>0.03</v>
      </c>
      <c r="K216" t="s">
        <v>539</v>
      </c>
      <c r="L216" s="6">
        <v>43922</v>
      </c>
      <c r="M216">
        <v>4</v>
      </c>
      <c r="N216" s="7" t="s">
        <v>23</v>
      </c>
      <c r="O216" t="s">
        <v>36</v>
      </c>
      <c r="P216" t="s">
        <v>2191</v>
      </c>
      <c r="Q216" t="s">
        <v>2089</v>
      </c>
      <c r="R216" t="s">
        <v>2090</v>
      </c>
    </row>
    <row r="217" spans="1:18" hidden="1">
      <c r="A217">
        <v>2</v>
      </c>
      <c r="B217" s="4" t="s">
        <v>1952</v>
      </c>
      <c r="C217" s="4" t="s">
        <v>1953</v>
      </c>
      <c r="D217" s="4" t="s">
        <v>2072</v>
      </c>
      <c r="E217" s="4" t="s">
        <v>5804</v>
      </c>
      <c r="F217" t="s">
        <v>1312</v>
      </c>
      <c r="G217" t="s">
        <v>1312</v>
      </c>
      <c r="H217" t="s">
        <v>21</v>
      </c>
      <c r="I217">
        <v>11</v>
      </c>
      <c r="J217" s="5">
        <v>0.03</v>
      </c>
      <c r="K217" t="s">
        <v>2194</v>
      </c>
      <c r="L217" s="6">
        <v>43952</v>
      </c>
      <c r="M217">
        <v>5</v>
      </c>
      <c r="N217" s="7" t="s">
        <v>23</v>
      </c>
      <c r="O217" t="s">
        <v>31</v>
      </c>
      <c r="P217" t="s">
        <v>2195</v>
      </c>
      <c r="Q217" t="s">
        <v>2081</v>
      </c>
      <c r="R217" t="s">
        <v>2082</v>
      </c>
    </row>
    <row r="218" spans="1:18" hidden="1">
      <c r="A218">
        <v>2</v>
      </c>
      <c r="B218" s="4" t="s">
        <v>1952</v>
      </c>
      <c r="C218" s="4" t="s">
        <v>1953</v>
      </c>
      <c r="D218" s="4" t="s">
        <v>2072</v>
      </c>
      <c r="E218" s="4" t="s">
        <v>5804</v>
      </c>
      <c r="F218" t="s">
        <v>1312</v>
      </c>
      <c r="G218" t="s">
        <v>1312</v>
      </c>
      <c r="H218" t="s">
        <v>21</v>
      </c>
      <c r="I218">
        <v>11</v>
      </c>
      <c r="J218" s="5">
        <v>0.03</v>
      </c>
      <c r="K218" t="s">
        <v>547</v>
      </c>
      <c r="L218" s="6">
        <v>44075</v>
      </c>
      <c r="M218">
        <v>9</v>
      </c>
      <c r="N218" s="7" t="s">
        <v>23</v>
      </c>
      <c r="O218" t="s">
        <v>36</v>
      </c>
      <c r="P218" t="s">
        <v>2197</v>
      </c>
      <c r="Q218" t="s">
        <v>2089</v>
      </c>
      <c r="R218" t="s">
        <v>2090</v>
      </c>
    </row>
    <row r="219" spans="1:18" hidden="1">
      <c r="A219">
        <v>2</v>
      </c>
      <c r="B219" s="4" t="s">
        <v>1952</v>
      </c>
      <c r="C219" s="4" t="s">
        <v>1953</v>
      </c>
      <c r="D219" s="4" t="s">
        <v>2072</v>
      </c>
      <c r="E219" s="4" t="s">
        <v>5804</v>
      </c>
      <c r="F219" t="s">
        <v>1312</v>
      </c>
      <c r="G219" t="s">
        <v>1312</v>
      </c>
      <c r="H219" t="s">
        <v>21</v>
      </c>
      <c r="I219">
        <v>11</v>
      </c>
      <c r="J219" s="5">
        <v>0.03</v>
      </c>
      <c r="K219" t="s">
        <v>365</v>
      </c>
      <c r="L219" s="6">
        <v>44105</v>
      </c>
      <c r="M219">
        <v>10</v>
      </c>
      <c r="N219" s="7" t="s">
        <v>23</v>
      </c>
      <c r="O219" t="s">
        <v>31</v>
      </c>
      <c r="P219" t="s">
        <v>2198</v>
      </c>
      <c r="Q219" t="s">
        <v>2199</v>
      </c>
      <c r="R219" t="s">
        <v>2090</v>
      </c>
    </row>
    <row r="220" spans="1:18" hidden="1">
      <c r="A220">
        <v>2</v>
      </c>
      <c r="B220" s="4" t="s">
        <v>1952</v>
      </c>
      <c r="C220" s="4" t="s">
        <v>1953</v>
      </c>
      <c r="D220" s="4" t="s">
        <v>2072</v>
      </c>
      <c r="E220" s="4" t="s">
        <v>5804</v>
      </c>
      <c r="F220" t="s">
        <v>1312</v>
      </c>
      <c r="G220" t="s">
        <v>1312</v>
      </c>
      <c r="H220" t="s">
        <v>21</v>
      </c>
      <c r="I220">
        <v>11</v>
      </c>
      <c r="J220" s="5">
        <v>0.03</v>
      </c>
      <c r="K220" t="s">
        <v>749</v>
      </c>
      <c r="L220" s="6">
        <v>44136</v>
      </c>
      <c r="M220">
        <v>11</v>
      </c>
      <c r="N220" s="7" t="s">
        <v>23</v>
      </c>
      <c r="O220" t="s">
        <v>31</v>
      </c>
      <c r="P220" t="s">
        <v>2205</v>
      </c>
      <c r="Q220" t="s">
        <v>2103</v>
      </c>
      <c r="R220" t="s">
        <v>2082</v>
      </c>
    </row>
    <row r="221" spans="1:18" hidden="1">
      <c r="A221">
        <v>2</v>
      </c>
      <c r="B221" s="4" t="s">
        <v>1952</v>
      </c>
      <c r="C221" s="4" t="s">
        <v>1953</v>
      </c>
      <c r="D221" s="4" t="s">
        <v>2072</v>
      </c>
      <c r="E221" s="4" t="s">
        <v>5804</v>
      </c>
      <c r="F221" t="s">
        <v>1312</v>
      </c>
      <c r="G221" t="s">
        <v>1312</v>
      </c>
      <c r="H221" t="s">
        <v>21</v>
      </c>
      <c r="I221">
        <v>11</v>
      </c>
      <c r="J221" s="5">
        <v>0.03</v>
      </c>
      <c r="K221" t="s">
        <v>175</v>
      </c>
      <c r="L221" s="6">
        <v>44166</v>
      </c>
      <c r="M221">
        <v>12</v>
      </c>
      <c r="N221" s="7" t="s">
        <v>30</v>
      </c>
      <c r="O221" t="s">
        <v>31</v>
      </c>
      <c r="P221" t="s">
        <v>2209</v>
      </c>
      <c r="Q221" t="s">
        <v>2103</v>
      </c>
      <c r="R221" t="s">
        <v>2082</v>
      </c>
    </row>
    <row r="222" spans="1:18" hidden="1">
      <c r="A222">
        <v>2</v>
      </c>
      <c r="B222" s="4" t="s">
        <v>1952</v>
      </c>
      <c r="C222" s="4" t="s">
        <v>1953</v>
      </c>
      <c r="D222" s="4" t="s">
        <v>2072</v>
      </c>
      <c r="E222" s="4" t="s">
        <v>5804</v>
      </c>
      <c r="F222" t="s">
        <v>1312</v>
      </c>
      <c r="G222" t="s">
        <v>1312</v>
      </c>
      <c r="H222" t="s">
        <v>21</v>
      </c>
      <c r="I222">
        <v>11</v>
      </c>
      <c r="J222" s="5">
        <v>0.03</v>
      </c>
      <c r="K222" t="s">
        <v>104</v>
      </c>
      <c r="L222" s="6">
        <v>44317</v>
      </c>
      <c r="M222">
        <v>5</v>
      </c>
      <c r="N222" s="7" t="s">
        <v>23</v>
      </c>
      <c r="O222" t="s">
        <v>31</v>
      </c>
      <c r="P222" t="s">
        <v>2220</v>
      </c>
      <c r="Q222" t="s">
        <v>2103</v>
      </c>
      <c r="R222" t="s">
        <v>2082</v>
      </c>
    </row>
    <row r="223" spans="1:18" hidden="1">
      <c r="A223">
        <v>2</v>
      </c>
      <c r="B223" s="4" t="s">
        <v>1952</v>
      </c>
      <c r="C223" s="4" t="s">
        <v>1953</v>
      </c>
      <c r="D223" s="4" t="s">
        <v>2072</v>
      </c>
      <c r="E223" s="4" t="s">
        <v>5804</v>
      </c>
      <c r="F223" t="s">
        <v>1312</v>
      </c>
      <c r="G223" t="s">
        <v>1312</v>
      </c>
      <c r="H223" t="s">
        <v>21</v>
      </c>
      <c r="I223">
        <v>11</v>
      </c>
      <c r="J223" s="5">
        <v>0.03</v>
      </c>
      <c r="K223" t="s">
        <v>645</v>
      </c>
      <c r="L223" s="6">
        <v>44440</v>
      </c>
      <c r="M223">
        <v>9</v>
      </c>
      <c r="N223" s="7" t="s">
        <v>23</v>
      </c>
      <c r="O223" t="s">
        <v>31</v>
      </c>
      <c r="P223" t="s">
        <v>2222</v>
      </c>
      <c r="Q223" t="s">
        <v>2103</v>
      </c>
      <c r="R223" t="s">
        <v>2082</v>
      </c>
    </row>
    <row r="224" spans="1:18" hidden="1">
      <c r="A224">
        <v>2</v>
      </c>
      <c r="B224" s="4" t="s">
        <v>1952</v>
      </c>
      <c r="C224" s="4" t="s">
        <v>1953</v>
      </c>
      <c r="D224" s="4" t="s">
        <v>2072</v>
      </c>
      <c r="E224" s="4" t="s">
        <v>5804</v>
      </c>
      <c r="F224" t="s">
        <v>1312</v>
      </c>
      <c r="G224" t="s">
        <v>1312</v>
      </c>
      <c r="H224" t="s">
        <v>21</v>
      </c>
      <c r="I224">
        <v>11</v>
      </c>
      <c r="J224" s="5">
        <v>0.03</v>
      </c>
      <c r="K224" t="s">
        <v>182</v>
      </c>
      <c r="L224" s="6">
        <v>44501</v>
      </c>
      <c r="M224">
        <v>11</v>
      </c>
      <c r="N224" s="7" t="s">
        <v>23</v>
      </c>
      <c r="O224" t="s">
        <v>31</v>
      </c>
      <c r="P224" t="s">
        <v>2223</v>
      </c>
      <c r="Q224" t="s">
        <v>2103</v>
      </c>
      <c r="R224" t="s">
        <v>2082</v>
      </c>
    </row>
    <row r="225" spans="1:18" hidden="1">
      <c r="A225">
        <v>2</v>
      </c>
      <c r="B225" s="4" t="s">
        <v>1952</v>
      </c>
      <c r="C225" s="4" t="s">
        <v>1953</v>
      </c>
      <c r="D225" s="4" t="s">
        <v>2224</v>
      </c>
      <c r="E225" s="4" t="s">
        <v>5804</v>
      </c>
      <c r="F225" t="s">
        <v>1312</v>
      </c>
      <c r="G225" t="s">
        <v>1312</v>
      </c>
      <c r="H225" t="s">
        <v>21</v>
      </c>
      <c r="I225">
        <v>11</v>
      </c>
      <c r="J225" s="5">
        <v>0.03</v>
      </c>
      <c r="K225" t="s">
        <v>115</v>
      </c>
      <c r="L225" s="6">
        <v>42461</v>
      </c>
      <c r="M225">
        <v>4</v>
      </c>
      <c r="N225" s="7" t="s">
        <v>23</v>
      </c>
      <c r="O225" t="s">
        <v>31</v>
      </c>
      <c r="P225" t="s">
        <v>2228</v>
      </c>
      <c r="Q225" t="s">
        <v>2229</v>
      </c>
      <c r="R225" t="s">
        <v>2230</v>
      </c>
    </row>
    <row r="226" spans="1:18" hidden="1">
      <c r="A226">
        <v>2</v>
      </c>
      <c r="B226" s="4" t="s">
        <v>1952</v>
      </c>
      <c r="C226" s="4" t="s">
        <v>1953</v>
      </c>
      <c r="D226" s="4" t="s">
        <v>2224</v>
      </c>
      <c r="E226" s="4" t="s">
        <v>5804</v>
      </c>
      <c r="F226" t="s">
        <v>1312</v>
      </c>
      <c r="G226" t="s">
        <v>1312</v>
      </c>
      <c r="H226" t="s">
        <v>21</v>
      </c>
      <c r="I226">
        <v>11</v>
      </c>
      <c r="J226" s="5">
        <v>0.03</v>
      </c>
      <c r="K226" t="s">
        <v>119</v>
      </c>
      <c r="L226" s="6">
        <v>42552</v>
      </c>
      <c r="M226">
        <v>7</v>
      </c>
      <c r="N226" s="7" t="s">
        <v>55</v>
      </c>
      <c r="O226" t="s">
        <v>31</v>
      </c>
      <c r="P226" t="s">
        <v>2234</v>
      </c>
      <c r="Q226" t="s">
        <v>2235</v>
      </c>
      <c r="R226" t="s">
        <v>2236</v>
      </c>
    </row>
    <row r="227" spans="1:18" hidden="1">
      <c r="A227">
        <v>2</v>
      </c>
      <c r="B227" s="4" t="s">
        <v>1952</v>
      </c>
      <c r="C227" s="4" t="s">
        <v>1953</v>
      </c>
      <c r="D227" s="4" t="s">
        <v>2224</v>
      </c>
      <c r="E227" s="4" t="s">
        <v>5804</v>
      </c>
      <c r="F227" t="s">
        <v>1312</v>
      </c>
      <c r="G227" t="s">
        <v>1312</v>
      </c>
      <c r="H227" t="s">
        <v>21</v>
      </c>
      <c r="I227">
        <v>11</v>
      </c>
      <c r="J227" s="5">
        <v>0.03</v>
      </c>
      <c r="K227" t="s">
        <v>319</v>
      </c>
      <c r="L227" s="6">
        <v>42583</v>
      </c>
      <c r="M227">
        <v>8</v>
      </c>
      <c r="N227" s="7" t="s">
        <v>55</v>
      </c>
      <c r="O227" t="s">
        <v>24</v>
      </c>
      <c r="P227" t="s">
        <v>2237</v>
      </c>
      <c r="Q227" t="s">
        <v>2238</v>
      </c>
      <c r="R227" t="s">
        <v>2239</v>
      </c>
    </row>
    <row r="228" spans="1:18" hidden="1">
      <c r="A228">
        <v>2</v>
      </c>
      <c r="B228" s="4" t="s">
        <v>1952</v>
      </c>
      <c r="C228" s="4" t="s">
        <v>1953</v>
      </c>
      <c r="D228" s="4" t="s">
        <v>2224</v>
      </c>
      <c r="E228" s="4" t="s">
        <v>5804</v>
      </c>
      <c r="F228" t="s">
        <v>1312</v>
      </c>
      <c r="G228" t="s">
        <v>1312</v>
      </c>
      <c r="H228" t="s">
        <v>21</v>
      </c>
      <c r="I228">
        <v>11</v>
      </c>
      <c r="J228" s="5">
        <v>0.03</v>
      </c>
      <c r="K228" t="s">
        <v>220</v>
      </c>
      <c r="L228" s="6">
        <v>42644</v>
      </c>
      <c r="M228">
        <v>10</v>
      </c>
      <c r="N228" s="7" t="s">
        <v>23</v>
      </c>
      <c r="O228" t="s">
        <v>31</v>
      </c>
      <c r="P228" t="s">
        <v>2249</v>
      </c>
      <c r="Q228" t="s">
        <v>2235</v>
      </c>
      <c r="R228" t="s">
        <v>2236</v>
      </c>
    </row>
    <row r="229" spans="1:18" hidden="1">
      <c r="A229">
        <v>2</v>
      </c>
      <c r="B229" s="4" t="s">
        <v>1952</v>
      </c>
      <c r="C229" s="4" t="s">
        <v>1953</v>
      </c>
      <c r="D229" s="4" t="s">
        <v>2224</v>
      </c>
      <c r="E229" s="4" t="s">
        <v>5804</v>
      </c>
      <c r="F229" t="s">
        <v>1312</v>
      </c>
      <c r="G229" t="s">
        <v>1312</v>
      </c>
      <c r="H229" t="s">
        <v>21</v>
      </c>
      <c r="I229">
        <v>11</v>
      </c>
      <c r="J229" s="5">
        <v>0.03</v>
      </c>
      <c r="K229" t="s">
        <v>220</v>
      </c>
      <c r="L229" s="6">
        <v>42644</v>
      </c>
      <c r="M229">
        <v>10</v>
      </c>
      <c r="N229" s="7" t="s">
        <v>23</v>
      </c>
      <c r="O229" t="s">
        <v>88</v>
      </c>
      <c r="P229" t="s">
        <v>2250</v>
      </c>
      <c r="Q229" t="s">
        <v>2251</v>
      </c>
      <c r="R229" t="s">
        <v>2252</v>
      </c>
    </row>
    <row r="230" spans="1:18" hidden="1">
      <c r="A230">
        <v>2</v>
      </c>
      <c r="B230" s="4" t="s">
        <v>1952</v>
      </c>
      <c r="C230" s="4" t="s">
        <v>1953</v>
      </c>
      <c r="D230" s="4" t="s">
        <v>2224</v>
      </c>
      <c r="E230" s="4" t="s">
        <v>5804</v>
      </c>
      <c r="F230" t="s">
        <v>1312</v>
      </c>
      <c r="G230" t="s">
        <v>1312</v>
      </c>
      <c r="H230" t="s">
        <v>21</v>
      </c>
      <c r="I230">
        <v>11</v>
      </c>
      <c r="J230" s="5">
        <v>0.03</v>
      </c>
      <c r="K230" t="s">
        <v>80</v>
      </c>
      <c r="L230" s="6">
        <v>42917</v>
      </c>
      <c r="M230">
        <v>7</v>
      </c>
      <c r="N230" s="7" t="s">
        <v>55</v>
      </c>
      <c r="O230" t="s">
        <v>31</v>
      </c>
      <c r="P230" t="s">
        <v>2271</v>
      </c>
      <c r="Q230" t="s">
        <v>2229</v>
      </c>
      <c r="R230" t="s">
        <v>2230</v>
      </c>
    </row>
    <row r="231" spans="1:18" hidden="1">
      <c r="A231">
        <v>2</v>
      </c>
      <c r="B231" s="4" t="s">
        <v>1952</v>
      </c>
      <c r="C231" s="4" t="s">
        <v>1953</v>
      </c>
      <c r="D231" s="4" t="s">
        <v>2224</v>
      </c>
      <c r="E231" s="4" t="s">
        <v>5804</v>
      </c>
      <c r="F231" t="s">
        <v>1312</v>
      </c>
      <c r="G231" t="s">
        <v>1312</v>
      </c>
      <c r="H231" t="s">
        <v>21</v>
      </c>
      <c r="I231">
        <v>11</v>
      </c>
      <c r="J231" s="5">
        <v>0.03</v>
      </c>
      <c r="K231" t="s">
        <v>80</v>
      </c>
      <c r="L231" s="6">
        <v>42917</v>
      </c>
      <c r="M231">
        <v>7</v>
      </c>
      <c r="N231" s="7" t="s">
        <v>55</v>
      </c>
      <c r="O231" t="s">
        <v>31</v>
      </c>
      <c r="P231" t="s">
        <v>2272</v>
      </c>
      <c r="Q231" t="s">
        <v>2270</v>
      </c>
      <c r="R231" t="s">
        <v>2242</v>
      </c>
    </row>
    <row r="232" spans="1:18" hidden="1">
      <c r="A232">
        <v>2</v>
      </c>
      <c r="B232" s="4" t="s">
        <v>1952</v>
      </c>
      <c r="C232" s="4" t="s">
        <v>1953</v>
      </c>
      <c r="D232" s="4" t="s">
        <v>2224</v>
      </c>
      <c r="E232" s="4" t="s">
        <v>5804</v>
      </c>
      <c r="F232" t="s">
        <v>1312</v>
      </c>
      <c r="G232" t="s">
        <v>1312</v>
      </c>
      <c r="H232" t="s">
        <v>21</v>
      </c>
      <c r="I232">
        <v>11</v>
      </c>
      <c r="J232" s="5">
        <v>0.03</v>
      </c>
      <c r="K232" t="s">
        <v>35</v>
      </c>
      <c r="L232" s="6">
        <v>43160</v>
      </c>
      <c r="M232">
        <v>3</v>
      </c>
      <c r="N232" s="7" t="s">
        <v>23</v>
      </c>
      <c r="O232" t="s">
        <v>31</v>
      </c>
      <c r="P232" t="s">
        <v>2282</v>
      </c>
      <c r="Q232" t="s">
        <v>2235</v>
      </c>
      <c r="R232" t="s">
        <v>2236</v>
      </c>
    </row>
    <row r="233" spans="1:18" hidden="1">
      <c r="A233">
        <v>2</v>
      </c>
      <c r="B233" s="4" t="s">
        <v>1952</v>
      </c>
      <c r="C233" s="4" t="s">
        <v>1953</v>
      </c>
      <c r="D233" s="4" t="s">
        <v>2224</v>
      </c>
      <c r="E233" s="4" t="s">
        <v>5804</v>
      </c>
      <c r="F233" t="s">
        <v>1312</v>
      </c>
      <c r="G233" t="s">
        <v>1312</v>
      </c>
      <c r="H233" t="s">
        <v>21</v>
      </c>
      <c r="I233">
        <v>11</v>
      </c>
      <c r="J233" s="5">
        <v>0.03</v>
      </c>
      <c r="K233" t="s">
        <v>93</v>
      </c>
      <c r="L233" s="6">
        <v>43282</v>
      </c>
      <c r="M233">
        <v>7</v>
      </c>
      <c r="N233" s="7" t="s">
        <v>55</v>
      </c>
      <c r="O233" t="s">
        <v>31</v>
      </c>
      <c r="P233" t="s">
        <v>2289</v>
      </c>
      <c r="Q233" t="s">
        <v>2290</v>
      </c>
      <c r="R233" t="s">
        <v>2291</v>
      </c>
    </row>
    <row r="234" spans="1:18" hidden="1">
      <c r="A234">
        <v>2</v>
      </c>
      <c r="B234" s="4" t="s">
        <v>1952</v>
      </c>
      <c r="C234" s="4" t="s">
        <v>1953</v>
      </c>
      <c r="D234" s="4" t="s">
        <v>2224</v>
      </c>
      <c r="E234" s="4" t="s">
        <v>5804</v>
      </c>
      <c r="F234" t="s">
        <v>1312</v>
      </c>
      <c r="G234" t="s">
        <v>1312</v>
      </c>
      <c r="H234" t="s">
        <v>21</v>
      </c>
      <c r="I234">
        <v>11</v>
      </c>
      <c r="J234" s="5">
        <v>0.03</v>
      </c>
      <c r="K234" t="s">
        <v>654</v>
      </c>
      <c r="L234" s="6">
        <v>43556</v>
      </c>
      <c r="M234">
        <v>4</v>
      </c>
      <c r="N234" s="7" t="s">
        <v>23</v>
      </c>
      <c r="O234" t="s">
        <v>31</v>
      </c>
      <c r="P234" t="s">
        <v>2299</v>
      </c>
      <c r="Q234" t="s">
        <v>2229</v>
      </c>
      <c r="R234" t="s">
        <v>2230</v>
      </c>
    </row>
    <row r="235" spans="1:18" hidden="1">
      <c r="A235">
        <v>2</v>
      </c>
      <c r="B235" s="4" t="s">
        <v>1952</v>
      </c>
      <c r="C235" s="4" t="s">
        <v>1953</v>
      </c>
      <c r="D235" s="4" t="s">
        <v>2224</v>
      </c>
      <c r="E235" s="4" t="s">
        <v>5804</v>
      </c>
      <c r="F235" t="s">
        <v>1312</v>
      </c>
      <c r="G235" t="s">
        <v>1312</v>
      </c>
      <c r="H235" t="s">
        <v>21</v>
      </c>
      <c r="I235">
        <v>11</v>
      </c>
      <c r="J235" s="5">
        <v>0.03</v>
      </c>
      <c r="K235" t="s">
        <v>164</v>
      </c>
      <c r="L235" s="6">
        <v>43617</v>
      </c>
      <c r="M235">
        <v>6</v>
      </c>
      <c r="N235" s="7" t="s">
        <v>55</v>
      </c>
      <c r="O235" t="s">
        <v>24</v>
      </c>
      <c r="P235" t="s">
        <v>2300</v>
      </c>
      <c r="Q235" t="s">
        <v>2301</v>
      </c>
      <c r="R235" t="s">
        <v>2239</v>
      </c>
    </row>
    <row r="236" spans="1:18" hidden="1">
      <c r="A236">
        <v>2</v>
      </c>
      <c r="B236" s="4" t="s">
        <v>1952</v>
      </c>
      <c r="C236" s="4" t="s">
        <v>1953</v>
      </c>
      <c r="D236" s="4" t="s">
        <v>2224</v>
      </c>
      <c r="E236" s="4" t="s">
        <v>5804</v>
      </c>
      <c r="F236" t="s">
        <v>1312</v>
      </c>
      <c r="G236" t="s">
        <v>1312</v>
      </c>
      <c r="H236" t="s">
        <v>21</v>
      </c>
      <c r="I236">
        <v>11</v>
      </c>
      <c r="J236" s="5">
        <v>0.03</v>
      </c>
      <c r="K236" t="s">
        <v>164</v>
      </c>
      <c r="L236" s="6">
        <v>43617</v>
      </c>
      <c r="M236">
        <v>6</v>
      </c>
      <c r="N236" s="7" t="s">
        <v>55</v>
      </c>
      <c r="O236" t="s">
        <v>24</v>
      </c>
      <c r="P236" t="s">
        <v>2302</v>
      </c>
      <c r="Q236" t="s">
        <v>2301</v>
      </c>
      <c r="R236" t="s">
        <v>2239</v>
      </c>
    </row>
    <row r="237" spans="1:18" hidden="1">
      <c r="A237">
        <v>2</v>
      </c>
      <c r="B237" s="4" t="s">
        <v>1952</v>
      </c>
      <c r="C237" s="4" t="s">
        <v>1953</v>
      </c>
      <c r="D237" s="4" t="s">
        <v>2224</v>
      </c>
      <c r="E237" s="4" t="s">
        <v>5804</v>
      </c>
      <c r="F237" t="s">
        <v>1312</v>
      </c>
      <c r="G237" t="s">
        <v>1312</v>
      </c>
      <c r="H237" t="s">
        <v>21</v>
      </c>
      <c r="I237">
        <v>11</v>
      </c>
      <c r="J237" s="5">
        <v>0.03</v>
      </c>
      <c r="K237" t="s">
        <v>839</v>
      </c>
      <c r="L237" s="6">
        <v>43800</v>
      </c>
      <c r="M237">
        <v>12</v>
      </c>
      <c r="N237" s="7" t="s">
        <v>30</v>
      </c>
      <c r="O237" t="s">
        <v>24</v>
      </c>
      <c r="P237" t="s">
        <v>2311</v>
      </c>
      <c r="Q237" t="s">
        <v>2301</v>
      </c>
      <c r="R237" t="s">
        <v>2239</v>
      </c>
    </row>
    <row r="238" spans="1:18" hidden="1">
      <c r="A238">
        <v>2</v>
      </c>
      <c r="B238" s="4" t="s">
        <v>1952</v>
      </c>
      <c r="C238" s="4" t="s">
        <v>1953</v>
      </c>
      <c r="D238" s="4" t="s">
        <v>2224</v>
      </c>
      <c r="E238" s="4" t="s">
        <v>5804</v>
      </c>
      <c r="F238" t="s">
        <v>1312</v>
      </c>
      <c r="G238" t="s">
        <v>1312</v>
      </c>
      <c r="H238" t="s">
        <v>21</v>
      </c>
      <c r="I238">
        <v>11</v>
      </c>
      <c r="J238" s="5">
        <v>0.03</v>
      </c>
      <c r="K238" t="s">
        <v>204</v>
      </c>
      <c r="L238" s="6">
        <v>43831</v>
      </c>
      <c r="M238">
        <v>1</v>
      </c>
      <c r="N238" s="7" t="s">
        <v>30</v>
      </c>
      <c r="O238" t="s">
        <v>31</v>
      </c>
      <c r="P238" t="s">
        <v>2312</v>
      </c>
      <c r="Q238" t="s">
        <v>2229</v>
      </c>
      <c r="R238" t="s">
        <v>2230</v>
      </c>
    </row>
    <row r="239" spans="1:18" hidden="1">
      <c r="A239">
        <v>2</v>
      </c>
      <c r="B239" s="4" t="s">
        <v>1952</v>
      </c>
      <c r="C239" s="4" t="s">
        <v>1953</v>
      </c>
      <c r="D239" s="4" t="s">
        <v>2224</v>
      </c>
      <c r="E239" s="4" t="s">
        <v>5804</v>
      </c>
      <c r="F239" t="s">
        <v>1312</v>
      </c>
      <c r="G239" t="s">
        <v>1312</v>
      </c>
      <c r="H239" t="s">
        <v>21</v>
      </c>
      <c r="I239">
        <v>11</v>
      </c>
      <c r="J239" s="5">
        <v>0.03</v>
      </c>
      <c r="K239" t="s">
        <v>1085</v>
      </c>
      <c r="L239" s="6">
        <v>43862</v>
      </c>
      <c r="M239">
        <v>2</v>
      </c>
      <c r="N239" s="7" t="s">
        <v>30</v>
      </c>
      <c r="O239" t="s">
        <v>24</v>
      </c>
      <c r="P239" t="s">
        <v>2313</v>
      </c>
      <c r="Q239" t="s">
        <v>2301</v>
      </c>
      <c r="R239" t="s">
        <v>2239</v>
      </c>
    </row>
    <row r="240" spans="1:18" hidden="1">
      <c r="A240">
        <v>2</v>
      </c>
      <c r="B240" s="4" t="s">
        <v>1952</v>
      </c>
      <c r="C240" s="4" t="s">
        <v>1953</v>
      </c>
      <c r="D240" s="4" t="s">
        <v>2224</v>
      </c>
      <c r="E240" s="4" t="s">
        <v>5804</v>
      </c>
      <c r="F240" t="s">
        <v>1312</v>
      </c>
      <c r="G240" t="s">
        <v>1312</v>
      </c>
      <c r="H240" t="s">
        <v>21</v>
      </c>
      <c r="I240">
        <v>11</v>
      </c>
      <c r="J240" s="5">
        <v>0.03</v>
      </c>
      <c r="K240" t="s">
        <v>99</v>
      </c>
      <c r="L240" s="6">
        <v>43891</v>
      </c>
      <c r="M240">
        <v>3</v>
      </c>
      <c r="N240" s="7" t="s">
        <v>23</v>
      </c>
      <c r="O240" t="s">
        <v>31</v>
      </c>
      <c r="P240" t="s">
        <v>2314</v>
      </c>
      <c r="Q240" t="s">
        <v>2235</v>
      </c>
      <c r="R240" t="s">
        <v>2236</v>
      </c>
    </row>
    <row r="241" spans="1:18" hidden="1">
      <c r="A241">
        <v>2</v>
      </c>
      <c r="B241" s="4" t="s">
        <v>1952</v>
      </c>
      <c r="C241" s="4" t="s">
        <v>1953</v>
      </c>
      <c r="D241" s="4" t="s">
        <v>2224</v>
      </c>
      <c r="E241" s="4" t="s">
        <v>5804</v>
      </c>
      <c r="F241" t="s">
        <v>1312</v>
      </c>
      <c r="G241" t="s">
        <v>1312</v>
      </c>
      <c r="H241" t="s">
        <v>21</v>
      </c>
      <c r="I241">
        <v>11</v>
      </c>
      <c r="J241" s="5">
        <v>0.03</v>
      </c>
      <c r="K241" t="s">
        <v>255</v>
      </c>
      <c r="L241" s="6">
        <v>43983</v>
      </c>
      <c r="M241">
        <v>6</v>
      </c>
      <c r="N241" s="7" t="s">
        <v>55</v>
      </c>
      <c r="O241" t="s">
        <v>31</v>
      </c>
      <c r="P241" t="s">
        <v>2318</v>
      </c>
      <c r="Q241" t="s">
        <v>2229</v>
      </c>
      <c r="R241" t="s">
        <v>2230</v>
      </c>
    </row>
    <row r="242" spans="1:18" hidden="1">
      <c r="A242">
        <v>2</v>
      </c>
      <c r="B242" s="4" t="s">
        <v>1952</v>
      </c>
      <c r="C242" s="4" t="s">
        <v>1953</v>
      </c>
      <c r="D242" s="4" t="s">
        <v>2224</v>
      </c>
      <c r="E242" s="4" t="s">
        <v>5804</v>
      </c>
      <c r="F242" t="s">
        <v>1312</v>
      </c>
      <c r="G242" t="s">
        <v>1312</v>
      </c>
      <c r="H242" t="s">
        <v>21</v>
      </c>
      <c r="I242">
        <v>11</v>
      </c>
      <c r="J242" s="5">
        <v>0.03</v>
      </c>
      <c r="K242" t="s">
        <v>267</v>
      </c>
      <c r="L242" s="6">
        <v>44044</v>
      </c>
      <c r="M242">
        <v>8</v>
      </c>
      <c r="N242" s="7" t="s">
        <v>55</v>
      </c>
      <c r="O242" t="s">
        <v>31</v>
      </c>
      <c r="P242" t="s">
        <v>2319</v>
      </c>
      <c r="Q242" t="s">
        <v>2229</v>
      </c>
      <c r="R242" t="s">
        <v>2230</v>
      </c>
    </row>
    <row r="243" spans="1:18" hidden="1">
      <c r="A243">
        <v>2</v>
      </c>
      <c r="B243" s="4" t="s">
        <v>1952</v>
      </c>
      <c r="C243" s="4" t="s">
        <v>1953</v>
      </c>
      <c r="D243" s="4" t="s">
        <v>2224</v>
      </c>
      <c r="E243" s="4" t="s">
        <v>5804</v>
      </c>
      <c r="F243" t="s">
        <v>1312</v>
      </c>
      <c r="G243" t="s">
        <v>1312</v>
      </c>
      <c r="H243" t="s">
        <v>21</v>
      </c>
      <c r="I243">
        <v>11</v>
      </c>
      <c r="J243" s="5">
        <v>0.03</v>
      </c>
      <c r="K243" t="s">
        <v>547</v>
      </c>
      <c r="L243" s="6">
        <v>44075</v>
      </c>
      <c r="M243">
        <v>9</v>
      </c>
      <c r="N243" s="7" t="s">
        <v>23</v>
      </c>
      <c r="O243" t="s">
        <v>31</v>
      </c>
      <c r="P243" t="s">
        <v>2324</v>
      </c>
      <c r="Q243" t="s">
        <v>2235</v>
      </c>
      <c r="R243" t="s">
        <v>2236</v>
      </c>
    </row>
    <row r="244" spans="1:18" hidden="1">
      <c r="A244">
        <v>2</v>
      </c>
      <c r="B244" s="4" t="s">
        <v>1952</v>
      </c>
      <c r="C244" s="4" t="s">
        <v>1953</v>
      </c>
      <c r="D244" s="4" t="s">
        <v>2326</v>
      </c>
      <c r="E244" s="4" t="s">
        <v>5804</v>
      </c>
      <c r="F244" t="s">
        <v>1312</v>
      </c>
      <c r="G244" t="s">
        <v>1312</v>
      </c>
      <c r="H244" t="s">
        <v>21</v>
      </c>
      <c r="I244">
        <v>11</v>
      </c>
      <c r="J244" s="5">
        <v>0.03</v>
      </c>
      <c r="K244" t="s">
        <v>701</v>
      </c>
      <c r="L244" s="6">
        <v>42491</v>
      </c>
      <c r="M244">
        <v>5</v>
      </c>
      <c r="N244" s="7" t="s">
        <v>23</v>
      </c>
      <c r="O244" t="s">
        <v>418</v>
      </c>
      <c r="P244" t="s">
        <v>2327</v>
      </c>
      <c r="Q244" t="s">
        <v>2328</v>
      </c>
      <c r="R244" t="s">
        <v>2329</v>
      </c>
    </row>
    <row r="245" spans="1:18" hidden="1">
      <c r="A245">
        <v>2</v>
      </c>
      <c r="B245" s="4" t="s">
        <v>1952</v>
      </c>
      <c r="C245" s="4" t="s">
        <v>1953</v>
      </c>
      <c r="D245" s="4" t="s">
        <v>2326</v>
      </c>
      <c r="E245" s="4" t="s">
        <v>5804</v>
      </c>
      <c r="F245" t="s">
        <v>1312</v>
      </c>
      <c r="G245" t="s">
        <v>1312</v>
      </c>
      <c r="H245" t="s">
        <v>21</v>
      </c>
      <c r="I245">
        <v>11</v>
      </c>
      <c r="J245" s="5">
        <v>0.03</v>
      </c>
      <c r="K245" t="s">
        <v>278</v>
      </c>
      <c r="L245" s="6">
        <v>42675</v>
      </c>
      <c r="M245">
        <v>11</v>
      </c>
      <c r="N245" s="7" t="s">
        <v>23</v>
      </c>
      <c r="O245" t="s">
        <v>24</v>
      </c>
      <c r="P245" t="s">
        <v>2336</v>
      </c>
      <c r="Q245" t="s">
        <v>2337</v>
      </c>
      <c r="R245" t="s">
        <v>2338</v>
      </c>
    </row>
    <row r="246" spans="1:18" hidden="1">
      <c r="A246">
        <v>2</v>
      </c>
      <c r="B246" s="4" t="s">
        <v>1952</v>
      </c>
      <c r="C246" s="4" t="s">
        <v>1953</v>
      </c>
      <c r="D246" s="4" t="s">
        <v>2326</v>
      </c>
      <c r="E246" s="4" t="s">
        <v>5804</v>
      </c>
      <c r="F246" t="s">
        <v>1312</v>
      </c>
      <c r="G246" t="s">
        <v>1312</v>
      </c>
      <c r="H246" t="s">
        <v>21</v>
      </c>
      <c r="I246">
        <v>11</v>
      </c>
      <c r="J246" s="5">
        <v>0.03</v>
      </c>
      <c r="K246" t="s">
        <v>681</v>
      </c>
      <c r="L246" s="6">
        <v>42887</v>
      </c>
      <c r="M246">
        <v>6</v>
      </c>
      <c r="N246" s="7" t="s">
        <v>55</v>
      </c>
      <c r="O246" t="s">
        <v>36</v>
      </c>
      <c r="P246" t="s">
        <v>2339</v>
      </c>
      <c r="Q246" t="s">
        <v>2340</v>
      </c>
      <c r="R246" t="s">
        <v>2341</v>
      </c>
    </row>
    <row r="247" spans="1:18" hidden="1">
      <c r="A247">
        <v>2</v>
      </c>
      <c r="B247" s="4" t="s">
        <v>1952</v>
      </c>
      <c r="C247" s="4" t="s">
        <v>1953</v>
      </c>
      <c r="D247" s="4" t="s">
        <v>2326</v>
      </c>
      <c r="E247" s="4" t="s">
        <v>5804</v>
      </c>
      <c r="F247" t="s">
        <v>1312</v>
      </c>
      <c r="G247" t="s">
        <v>1312</v>
      </c>
      <c r="H247" t="s">
        <v>21</v>
      </c>
      <c r="I247">
        <v>11</v>
      </c>
      <c r="J247" s="5">
        <v>0.03</v>
      </c>
      <c r="K247" t="s">
        <v>726</v>
      </c>
      <c r="L247" s="6">
        <v>43709</v>
      </c>
      <c r="M247">
        <v>9</v>
      </c>
      <c r="N247" s="7" t="s">
        <v>23</v>
      </c>
      <c r="O247" t="s">
        <v>31</v>
      </c>
      <c r="P247" t="s">
        <v>2344</v>
      </c>
      <c r="Q247" t="s">
        <v>2345</v>
      </c>
      <c r="R247" t="s">
        <v>2346</v>
      </c>
    </row>
    <row r="248" spans="1:18" hidden="1">
      <c r="A248">
        <v>2</v>
      </c>
      <c r="B248" s="4" t="s">
        <v>1952</v>
      </c>
      <c r="C248" s="4" t="s">
        <v>1953</v>
      </c>
      <c r="D248" s="4" t="s">
        <v>2326</v>
      </c>
      <c r="E248" s="4" t="s">
        <v>5804</v>
      </c>
      <c r="F248" t="s">
        <v>1312</v>
      </c>
      <c r="G248" t="s">
        <v>1312</v>
      </c>
      <c r="H248" t="s">
        <v>21</v>
      </c>
      <c r="I248">
        <v>11</v>
      </c>
      <c r="J248" s="5">
        <v>0.03</v>
      </c>
      <c r="K248" t="s">
        <v>539</v>
      </c>
      <c r="L248" s="6">
        <v>43922</v>
      </c>
      <c r="M248">
        <v>4</v>
      </c>
      <c r="N248" s="7" t="s">
        <v>23</v>
      </c>
      <c r="O248" t="s">
        <v>31</v>
      </c>
      <c r="P248" t="s">
        <v>2347</v>
      </c>
      <c r="Q248" t="s">
        <v>2348</v>
      </c>
      <c r="R248" t="s">
        <v>2067</v>
      </c>
    </row>
    <row r="249" spans="1:18" hidden="1">
      <c r="A249">
        <v>2</v>
      </c>
      <c r="B249" s="4" t="s">
        <v>1952</v>
      </c>
      <c r="C249" s="4" t="s">
        <v>2349</v>
      </c>
      <c r="D249" s="4" t="s">
        <v>2364</v>
      </c>
      <c r="E249" s="4" t="s">
        <v>5804</v>
      </c>
      <c r="F249" t="s">
        <v>1312</v>
      </c>
      <c r="G249" t="s">
        <v>1312</v>
      </c>
      <c r="H249" t="s">
        <v>21</v>
      </c>
      <c r="I249">
        <v>11</v>
      </c>
      <c r="J249" s="5">
        <v>0.03</v>
      </c>
      <c r="K249" t="s">
        <v>128</v>
      </c>
      <c r="L249" s="6">
        <v>42795</v>
      </c>
      <c r="M249">
        <v>3</v>
      </c>
      <c r="N249" s="7" t="s">
        <v>23</v>
      </c>
      <c r="O249" t="s">
        <v>31</v>
      </c>
      <c r="P249" t="s">
        <v>2377</v>
      </c>
      <c r="Q249" t="s">
        <v>2378</v>
      </c>
      <c r="R249" t="s">
        <v>2379</v>
      </c>
    </row>
    <row r="250" spans="1:18" hidden="1">
      <c r="A250">
        <v>2</v>
      </c>
      <c r="B250" s="4" t="s">
        <v>1952</v>
      </c>
      <c r="C250" s="4" t="s">
        <v>2349</v>
      </c>
      <c r="D250" s="4" t="s">
        <v>2364</v>
      </c>
      <c r="E250" s="4" t="s">
        <v>5804</v>
      </c>
      <c r="F250" t="s">
        <v>1312</v>
      </c>
      <c r="G250" t="s">
        <v>1312</v>
      </c>
      <c r="H250" t="s">
        <v>21</v>
      </c>
      <c r="I250">
        <v>11</v>
      </c>
      <c r="J250" s="5">
        <v>0.03</v>
      </c>
      <c r="K250" t="s">
        <v>76</v>
      </c>
      <c r="L250" s="6">
        <v>42856</v>
      </c>
      <c r="M250">
        <v>5</v>
      </c>
      <c r="N250" s="7" t="s">
        <v>23</v>
      </c>
      <c r="O250" t="s">
        <v>24</v>
      </c>
      <c r="P250" t="s">
        <v>2380</v>
      </c>
      <c r="Q250" t="s">
        <v>2381</v>
      </c>
      <c r="R250" t="s">
        <v>2382</v>
      </c>
    </row>
    <row r="251" spans="1:18" hidden="1">
      <c r="A251">
        <v>2</v>
      </c>
      <c r="B251" s="4" t="s">
        <v>1952</v>
      </c>
      <c r="C251" s="4" t="s">
        <v>2349</v>
      </c>
      <c r="D251" s="4" t="s">
        <v>2364</v>
      </c>
      <c r="E251" s="4" t="s">
        <v>5804</v>
      </c>
      <c r="F251" t="s">
        <v>1312</v>
      </c>
      <c r="G251" t="s">
        <v>1312</v>
      </c>
      <c r="H251" t="s">
        <v>21</v>
      </c>
      <c r="I251">
        <v>11</v>
      </c>
      <c r="J251" s="5">
        <v>0.03</v>
      </c>
      <c r="K251" t="s">
        <v>142</v>
      </c>
      <c r="L251" s="6">
        <v>43101</v>
      </c>
      <c r="M251">
        <v>1</v>
      </c>
      <c r="N251" s="7" t="s">
        <v>30</v>
      </c>
      <c r="O251" t="s">
        <v>31</v>
      </c>
      <c r="P251" t="s">
        <v>2390</v>
      </c>
      <c r="Q251" t="s">
        <v>2391</v>
      </c>
      <c r="R251" t="s">
        <v>2392</v>
      </c>
    </row>
    <row r="252" spans="1:18" hidden="1">
      <c r="A252">
        <v>2</v>
      </c>
      <c r="B252" s="4" t="s">
        <v>1952</v>
      </c>
      <c r="C252" s="4" t="s">
        <v>2349</v>
      </c>
      <c r="D252" s="4" t="s">
        <v>2364</v>
      </c>
      <c r="E252" s="4" t="s">
        <v>5804</v>
      </c>
      <c r="F252" t="s">
        <v>1312</v>
      </c>
      <c r="G252" t="s">
        <v>1312</v>
      </c>
      <c r="H252" t="s">
        <v>21</v>
      </c>
      <c r="I252">
        <v>11</v>
      </c>
      <c r="J252" s="5">
        <v>0.03</v>
      </c>
      <c r="K252" t="s">
        <v>142</v>
      </c>
      <c r="L252" s="6">
        <v>43101</v>
      </c>
      <c r="M252">
        <v>1</v>
      </c>
      <c r="N252" s="7" t="s">
        <v>30</v>
      </c>
      <c r="O252" t="s">
        <v>31</v>
      </c>
      <c r="P252" t="s">
        <v>2393</v>
      </c>
      <c r="Q252" t="s">
        <v>2394</v>
      </c>
      <c r="R252" t="s">
        <v>2395</v>
      </c>
    </row>
    <row r="253" spans="1:18" hidden="1">
      <c r="A253">
        <v>2</v>
      </c>
      <c r="B253" s="4" t="s">
        <v>1952</v>
      </c>
      <c r="C253" s="4" t="s">
        <v>2349</v>
      </c>
      <c r="D253" s="4" t="s">
        <v>2364</v>
      </c>
      <c r="E253" s="4" t="s">
        <v>5804</v>
      </c>
      <c r="F253" t="s">
        <v>1312</v>
      </c>
      <c r="G253" t="s">
        <v>1312</v>
      </c>
      <c r="H253" t="s">
        <v>21</v>
      </c>
      <c r="I253">
        <v>11</v>
      </c>
      <c r="J253" s="5">
        <v>0.03</v>
      </c>
      <c r="K253" t="s">
        <v>35</v>
      </c>
      <c r="L253" s="6">
        <v>43160</v>
      </c>
      <c r="M253">
        <v>3</v>
      </c>
      <c r="N253" s="7" t="s">
        <v>23</v>
      </c>
      <c r="O253" t="s">
        <v>31</v>
      </c>
      <c r="P253" t="s">
        <v>2399</v>
      </c>
      <c r="Q253" t="s">
        <v>2394</v>
      </c>
      <c r="R253" t="s">
        <v>2395</v>
      </c>
    </row>
    <row r="254" spans="1:18" hidden="1">
      <c r="A254">
        <v>2</v>
      </c>
      <c r="B254" s="4" t="s">
        <v>1952</v>
      </c>
      <c r="C254" s="4" t="s">
        <v>2349</v>
      </c>
      <c r="D254" s="4" t="s">
        <v>2364</v>
      </c>
      <c r="E254" s="4" t="s">
        <v>5804</v>
      </c>
      <c r="F254" t="s">
        <v>1312</v>
      </c>
      <c r="G254" t="s">
        <v>1312</v>
      </c>
      <c r="H254" t="s">
        <v>21</v>
      </c>
      <c r="I254">
        <v>11</v>
      </c>
      <c r="J254" s="5">
        <v>0.03</v>
      </c>
      <c r="K254" t="s">
        <v>797</v>
      </c>
      <c r="L254" s="6">
        <v>43252</v>
      </c>
      <c r="M254">
        <v>6</v>
      </c>
      <c r="N254" s="7" t="s">
        <v>55</v>
      </c>
      <c r="O254" t="s">
        <v>31</v>
      </c>
      <c r="P254" t="s">
        <v>2400</v>
      </c>
      <c r="Q254" t="s">
        <v>2401</v>
      </c>
      <c r="R254" t="s">
        <v>2402</v>
      </c>
    </row>
    <row r="255" spans="1:18" hidden="1">
      <c r="A255">
        <v>2</v>
      </c>
      <c r="B255" s="4" t="s">
        <v>1952</v>
      </c>
      <c r="C255" s="4" t="s">
        <v>2349</v>
      </c>
      <c r="D255" s="4" t="s">
        <v>2364</v>
      </c>
      <c r="E255" s="4" t="s">
        <v>5804</v>
      </c>
      <c r="F255" t="s">
        <v>1312</v>
      </c>
      <c r="G255" t="s">
        <v>1312</v>
      </c>
      <c r="H255" t="s">
        <v>21</v>
      </c>
      <c r="I255">
        <v>11</v>
      </c>
      <c r="J255" s="5">
        <v>0.03</v>
      </c>
      <c r="K255" t="s">
        <v>654</v>
      </c>
      <c r="L255" s="6">
        <v>43556</v>
      </c>
      <c r="M255">
        <v>4</v>
      </c>
      <c r="N255" s="7" t="s">
        <v>23</v>
      </c>
      <c r="O255" t="s">
        <v>88</v>
      </c>
      <c r="P255" t="s">
        <v>2403</v>
      </c>
      <c r="Q255" t="s">
        <v>2404</v>
      </c>
      <c r="R255" t="s">
        <v>2405</v>
      </c>
    </row>
    <row r="256" spans="1:18" hidden="1">
      <c r="A256">
        <v>2</v>
      </c>
      <c r="B256" s="4" t="s">
        <v>1952</v>
      </c>
      <c r="C256" s="4" t="s">
        <v>2349</v>
      </c>
      <c r="D256" s="4" t="s">
        <v>2364</v>
      </c>
      <c r="E256" s="4" t="s">
        <v>5804</v>
      </c>
      <c r="F256" t="s">
        <v>1312</v>
      </c>
      <c r="G256" t="s">
        <v>1312</v>
      </c>
      <c r="H256" t="s">
        <v>21</v>
      </c>
      <c r="I256">
        <v>11</v>
      </c>
      <c r="J256" s="5">
        <v>0.03</v>
      </c>
      <c r="K256" t="s">
        <v>654</v>
      </c>
      <c r="L256" s="6">
        <v>43556</v>
      </c>
      <c r="M256">
        <v>4</v>
      </c>
      <c r="N256" s="7" t="s">
        <v>23</v>
      </c>
      <c r="O256" t="s">
        <v>31</v>
      </c>
      <c r="P256" t="s">
        <v>2406</v>
      </c>
      <c r="Q256" t="s">
        <v>2407</v>
      </c>
      <c r="R256" t="s">
        <v>2346</v>
      </c>
    </row>
    <row r="257" spans="1:18" hidden="1">
      <c r="A257">
        <v>2</v>
      </c>
      <c r="B257" s="4" t="s">
        <v>1952</v>
      </c>
      <c r="C257" s="4" t="s">
        <v>2349</v>
      </c>
      <c r="D257" s="4" t="s">
        <v>2364</v>
      </c>
      <c r="E257" s="4" t="s">
        <v>5804</v>
      </c>
      <c r="F257" t="s">
        <v>1312</v>
      </c>
      <c r="G257" t="s">
        <v>1312</v>
      </c>
      <c r="H257" t="s">
        <v>21</v>
      </c>
      <c r="I257">
        <v>11</v>
      </c>
      <c r="J257" s="5">
        <v>0.03</v>
      </c>
      <c r="K257" t="s">
        <v>164</v>
      </c>
      <c r="L257" s="6">
        <v>43617</v>
      </c>
      <c r="M257">
        <v>6</v>
      </c>
      <c r="N257" s="7" t="s">
        <v>55</v>
      </c>
      <c r="O257" t="s">
        <v>31</v>
      </c>
      <c r="P257" t="s">
        <v>2408</v>
      </c>
      <c r="Q257" t="s">
        <v>2409</v>
      </c>
      <c r="R257" t="s">
        <v>2410</v>
      </c>
    </row>
    <row r="258" spans="1:18" hidden="1">
      <c r="A258">
        <v>2</v>
      </c>
      <c r="B258" s="4" t="s">
        <v>1952</v>
      </c>
      <c r="C258" s="4" t="s">
        <v>2566</v>
      </c>
      <c r="D258" s="4" t="s">
        <v>2620</v>
      </c>
      <c r="E258" s="4" t="s">
        <v>5804</v>
      </c>
      <c r="F258" t="s">
        <v>1312</v>
      </c>
      <c r="G258" t="s">
        <v>1312</v>
      </c>
      <c r="H258" t="s">
        <v>21</v>
      </c>
      <c r="I258">
        <v>11</v>
      </c>
      <c r="J258" s="5">
        <v>0.03</v>
      </c>
      <c r="K258" t="s">
        <v>701</v>
      </c>
      <c r="L258" s="6">
        <v>42491</v>
      </c>
      <c r="M258">
        <v>5</v>
      </c>
      <c r="N258" s="7" t="s">
        <v>23</v>
      </c>
      <c r="O258" t="s">
        <v>31</v>
      </c>
      <c r="P258" t="s">
        <v>2636</v>
      </c>
      <c r="Q258" t="s">
        <v>2637</v>
      </c>
      <c r="R258" t="s">
        <v>2638</v>
      </c>
    </row>
    <row r="259" spans="1:18" hidden="1">
      <c r="A259">
        <v>2</v>
      </c>
      <c r="B259" s="4" t="s">
        <v>1952</v>
      </c>
      <c r="C259" s="4" t="s">
        <v>2566</v>
      </c>
      <c r="D259" s="4" t="s">
        <v>2620</v>
      </c>
      <c r="E259" s="4" t="s">
        <v>5804</v>
      </c>
      <c r="F259" t="s">
        <v>1312</v>
      </c>
      <c r="G259" t="s">
        <v>1312</v>
      </c>
      <c r="H259" t="s">
        <v>21</v>
      </c>
      <c r="I259">
        <v>11</v>
      </c>
      <c r="J259" s="5">
        <v>0.03</v>
      </c>
      <c r="K259" t="s">
        <v>477</v>
      </c>
      <c r="L259" s="6">
        <v>42705</v>
      </c>
      <c r="M259">
        <v>12</v>
      </c>
      <c r="N259" s="7" t="s">
        <v>30</v>
      </c>
      <c r="O259" t="s">
        <v>31</v>
      </c>
      <c r="P259" t="s">
        <v>2641</v>
      </c>
      <c r="Q259" t="s">
        <v>2642</v>
      </c>
      <c r="R259" t="s">
        <v>2643</v>
      </c>
    </row>
    <row r="260" spans="1:18" hidden="1">
      <c r="A260">
        <v>2</v>
      </c>
      <c r="B260" s="4" t="s">
        <v>1952</v>
      </c>
      <c r="C260" s="4" t="s">
        <v>2566</v>
      </c>
      <c r="D260" s="4" t="s">
        <v>2620</v>
      </c>
      <c r="E260" s="4" t="s">
        <v>5804</v>
      </c>
      <c r="F260" t="s">
        <v>1312</v>
      </c>
      <c r="G260" t="s">
        <v>1312</v>
      </c>
      <c r="H260" t="s">
        <v>21</v>
      </c>
      <c r="I260">
        <v>11</v>
      </c>
      <c r="J260" s="5">
        <v>0.03</v>
      </c>
      <c r="K260" t="s">
        <v>85</v>
      </c>
      <c r="L260" s="6">
        <v>43009</v>
      </c>
      <c r="M260">
        <v>10</v>
      </c>
      <c r="N260" s="7" t="s">
        <v>23</v>
      </c>
      <c r="O260" t="s">
        <v>36</v>
      </c>
      <c r="P260" t="s">
        <v>2658</v>
      </c>
      <c r="Q260" t="s">
        <v>2659</v>
      </c>
      <c r="R260" t="s">
        <v>2660</v>
      </c>
    </row>
    <row r="261" spans="1:18" hidden="1">
      <c r="A261">
        <v>2</v>
      </c>
      <c r="B261" s="4" t="s">
        <v>1952</v>
      </c>
      <c r="C261" s="4" t="s">
        <v>2566</v>
      </c>
      <c r="D261" s="4" t="s">
        <v>2620</v>
      </c>
      <c r="E261" s="4" t="s">
        <v>5804</v>
      </c>
      <c r="F261" t="s">
        <v>1312</v>
      </c>
      <c r="G261" t="s">
        <v>1312</v>
      </c>
      <c r="H261" t="s">
        <v>21</v>
      </c>
      <c r="I261">
        <v>11</v>
      </c>
      <c r="J261" s="5">
        <v>0.03</v>
      </c>
      <c r="K261" t="s">
        <v>2168</v>
      </c>
      <c r="L261" s="6">
        <v>43709</v>
      </c>
      <c r="M261">
        <v>9</v>
      </c>
      <c r="N261" s="7" t="s">
        <v>23</v>
      </c>
      <c r="O261" t="s">
        <v>31</v>
      </c>
      <c r="P261" t="s">
        <v>2692</v>
      </c>
      <c r="Q261" t="s">
        <v>2693</v>
      </c>
      <c r="R261" t="s">
        <v>2694</v>
      </c>
    </row>
    <row r="262" spans="1:18" hidden="1">
      <c r="A262">
        <v>2</v>
      </c>
      <c r="B262" s="4" t="s">
        <v>1952</v>
      </c>
      <c r="C262" s="4" t="s">
        <v>2566</v>
      </c>
      <c r="D262" s="4" t="s">
        <v>2620</v>
      </c>
      <c r="E262" s="4" t="s">
        <v>5804</v>
      </c>
      <c r="F262" t="s">
        <v>1312</v>
      </c>
      <c r="G262" t="s">
        <v>1312</v>
      </c>
      <c r="H262" t="s">
        <v>21</v>
      </c>
      <c r="I262">
        <v>11</v>
      </c>
      <c r="J262" s="5">
        <v>0.03</v>
      </c>
      <c r="K262" t="s">
        <v>369</v>
      </c>
      <c r="L262" s="6">
        <v>44197</v>
      </c>
      <c r="M262">
        <v>1</v>
      </c>
      <c r="N262" s="7" t="s">
        <v>30</v>
      </c>
      <c r="O262" t="s">
        <v>66</v>
      </c>
      <c r="P262" t="s">
        <v>2712</v>
      </c>
      <c r="Q262" t="s">
        <v>2713</v>
      </c>
      <c r="R262" t="s">
        <v>2714</v>
      </c>
    </row>
    <row r="263" spans="1:18" hidden="1">
      <c r="A263">
        <v>4</v>
      </c>
      <c r="B263" s="4" t="s">
        <v>3127</v>
      </c>
      <c r="C263" s="4" t="s">
        <v>3128</v>
      </c>
      <c r="D263" s="4" t="s">
        <v>3247</v>
      </c>
      <c r="E263" s="4" t="s">
        <v>5804</v>
      </c>
      <c r="F263" t="s">
        <v>1312</v>
      </c>
      <c r="G263" t="s">
        <v>1312</v>
      </c>
      <c r="H263" t="s">
        <v>21</v>
      </c>
      <c r="I263">
        <v>11</v>
      </c>
      <c r="J263" s="5">
        <v>0.03</v>
      </c>
      <c r="K263" t="s">
        <v>369</v>
      </c>
      <c r="L263" s="6">
        <v>44197</v>
      </c>
      <c r="M263">
        <v>1</v>
      </c>
      <c r="N263" s="7" t="s">
        <v>30</v>
      </c>
      <c r="O263" t="s">
        <v>31</v>
      </c>
      <c r="P263" t="s">
        <v>3364</v>
      </c>
      <c r="Q263" t="s">
        <v>3259</v>
      </c>
      <c r="R263" t="s">
        <v>3260</v>
      </c>
    </row>
    <row r="264" spans="1:18" hidden="1">
      <c r="A264">
        <v>5</v>
      </c>
      <c r="B264" s="4" t="s">
        <v>4600</v>
      </c>
      <c r="C264" s="4" t="s">
        <v>4601</v>
      </c>
      <c r="D264" s="4" t="s">
        <v>4635</v>
      </c>
      <c r="E264" s="4" t="s">
        <v>5804</v>
      </c>
      <c r="F264" t="s">
        <v>1312</v>
      </c>
      <c r="G264" t="s">
        <v>1312</v>
      </c>
      <c r="H264" t="s">
        <v>21</v>
      </c>
      <c r="I264">
        <v>11</v>
      </c>
      <c r="J264" s="5">
        <v>0.03</v>
      </c>
      <c r="K264" t="s">
        <v>76</v>
      </c>
      <c r="L264" s="6">
        <v>42856</v>
      </c>
      <c r="M264">
        <v>5</v>
      </c>
      <c r="N264" s="7" t="s">
        <v>23</v>
      </c>
      <c r="O264" t="s">
        <v>24</v>
      </c>
      <c r="P264" t="s">
        <v>4660</v>
      </c>
      <c r="Q264" t="s">
        <v>4661</v>
      </c>
      <c r="R264" t="s">
        <v>4662</v>
      </c>
    </row>
    <row r="265" spans="1:18" hidden="1">
      <c r="A265">
        <v>8</v>
      </c>
      <c r="B265" s="4" t="s">
        <v>5679</v>
      </c>
      <c r="C265" s="4" t="s">
        <v>5680</v>
      </c>
      <c r="D265" s="4" t="s">
        <v>5681</v>
      </c>
      <c r="E265" s="4" t="s">
        <v>5805</v>
      </c>
      <c r="F265" t="s">
        <v>1312</v>
      </c>
      <c r="G265" t="s">
        <v>1312</v>
      </c>
      <c r="H265" t="s">
        <v>21</v>
      </c>
      <c r="I265">
        <v>11</v>
      </c>
      <c r="J265" s="5">
        <v>0.03</v>
      </c>
      <c r="K265" t="s">
        <v>753</v>
      </c>
      <c r="L265" s="6">
        <v>44348</v>
      </c>
      <c r="M265">
        <v>6</v>
      </c>
      <c r="N265" s="7" t="s">
        <v>55</v>
      </c>
      <c r="O265" t="s">
        <v>36</v>
      </c>
      <c r="P265" t="s">
        <v>5682</v>
      </c>
      <c r="Q265" t="s">
        <v>5683</v>
      </c>
      <c r="R265" t="s">
        <v>5684</v>
      </c>
    </row>
    <row r="266" spans="1:18" hidden="1">
      <c r="A266">
        <v>8</v>
      </c>
      <c r="B266" s="4" t="s">
        <v>5679</v>
      </c>
      <c r="C266" s="4" t="s">
        <v>5689</v>
      </c>
      <c r="D266" s="4" t="s">
        <v>5690</v>
      </c>
      <c r="E266" s="4" t="s">
        <v>5805</v>
      </c>
      <c r="F266" t="s">
        <v>1312</v>
      </c>
      <c r="G266" t="s">
        <v>1312</v>
      </c>
      <c r="H266" t="s">
        <v>21</v>
      </c>
      <c r="I266">
        <v>11</v>
      </c>
      <c r="J266" s="5">
        <v>0.03</v>
      </c>
      <c r="K266" t="s">
        <v>142</v>
      </c>
      <c r="L266" s="6">
        <v>43101</v>
      </c>
      <c r="M266">
        <v>1</v>
      </c>
      <c r="N266" s="7" t="s">
        <v>30</v>
      </c>
      <c r="O266" t="s">
        <v>31</v>
      </c>
      <c r="P266" t="s">
        <v>5697</v>
      </c>
      <c r="Q266" t="s">
        <v>5698</v>
      </c>
      <c r="R266" t="s">
        <v>5699</v>
      </c>
    </row>
    <row r="267" spans="1:18" hidden="1">
      <c r="A267">
        <v>1</v>
      </c>
      <c r="B267" s="4" t="s">
        <v>16</v>
      </c>
      <c r="C267" s="4" t="s">
        <v>17</v>
      </c>
      <c r="D267" s="4" t="s">
        <v>18</v>
      </c>
      <c r="E267" s="4" t="s">
        <v>5804</v>
      </c>
      <c r="F267" t="s">
        <v>19</v>
      </c>
      <c r="G267" t="s">
        <v>20</v>
      </c>
      <c r="H267" t="s">
        <v>21</v>
      </c>
      <c r="I267">
        <v>5</v>
      </c>
      <c r="J267" s="5">
        <v>4.9000000000000002E-2</v>
      </c>
      <c r="K267" t="s">
        <v>22</v>
      </c>
      <c r="L267" s="6">
        <v>42979</v>
      </c>
      <c r="M267">
        <v>9</v>
      </c>
      <c r="N267" s="7" t="s">
        <v>23</v>
      </c>
      <c r="O267" t="s">
        <v>24</v>
      </c>
      <c r="P267" t="s">
        <v>25</v>
      </c>
      <c r="Q267" t="s">
        <v>26</v>
      </c>
      <c r="R267" t="s">
        <v>27</v>
      </c>
    </row>
    <row r="268" spans="1:18" hidden="1">
      <c r="A268">
        <v>1</v>
      </c>
      <c r="B268" s="4" t="s">
        <v>16</v>
      </c>
      <c r="C268" s="4" t="s">
        <v>17</v>
      </c>
      <c r="D268" s="4" t="s">
        <v>18</v>
      </c>
      <c r="E268" s="4" t="s">
        <v>5804</v>
      </c>
      <c r="F268" t="s">
        <v>19</v>
      </c>
      <c r="G268" t="s">
        <v>28</v>
      </c>
      <c r="H268" t="s">
        <v>21</v>
      </c>
      <c r="I268">
        <v>12</v>
      </c>
      <c r="J268" s="5">
        <v>2.3E-2</v>
      </c>
      <c r="K268" t="s">
        <v>29</v>
      </c>
      <c r="L268" s="6">
        <v>43070</v>
      </c>
      <c r="M268">
        <v>12</v>
      </c>
      <c r="N268" s="7" t="s">
        <v>30</v>
      </c>
      <c r="O268" t="s">
        <v>31</v>
      </c>
      <c r="P268" t="s">
        <v>32</v>
      </c>
      <c r="Q268" t="s">
        <v>33</v>
      </c>
      <c r="R268" t="s">
        <v>34</v>
      </c>
    </row>
    <row r="269" spans="1:18" hidden="1">
      <c r="A269">
        <v>1</v>
      </c>
      <c r="B269" s="4" t="s">
        <v>16</v>
      </c>
      <c r="C269" s="4" t="s">
        <v>17</v>
      </c>
      <c r="D269" s="4" t="s">
        <v>18</v>
      </c>
      <c r="E269" s="4" t="s">
        <v>5804</v>
      </c>
      <c r="F269" t="s">
        <v>19</v>
      </c>
      <c r="G269" t="s">
        <v>20</v>
      </c>
      <c r="H269" t="s">
        <v>21</v>
      </c>
      <c r="I269">
        <v>5</v>
      </c>
      <c r="J269" s="5">
        <v>4.9000000000000002E-2</v>
      </c>
      <c r="K269" t="s">
        <v>35</v>
      </c>
      <c r="L269" s="6">
        <v>43160</v>
      </c>
      <c r="M269">
        <v>3</v>
      </c>
      <c r="N269" s="7" t="s">
        <v>23</v>
      </c>
      <c r="O269" t="s">
        <v>36</v>
      </c>
      <c r="P269" t="s">
        <v>37</v>
      </c>
      <c r="Q269" t="s">
        <v>38</v>
      </c>
      <c r="R269" t="s">
        <v>39</v>
      </c>
    </row>
    <row r="270" spans="1:18" hidden="1">
      <c r="A270">
        <v>1</v>
      </c>
      <c r="B270" s="4" t="s">
        <v>16</v>
      </c>
      <c r="C270" s="4" t="s">
        <v>17</v>
      </c>
      <c r="D270" s="4" t="s">
        <v>47</v>
      </c>
      <c r="E270" s="4" t="s">
        <v>5804</v>
      </c>
      <c r="F270" t="s">
        <v>19</v>
      </c>
      <c r="G270" t="s">
        <v>20</v>
      </c>
      <c r="H270" t="s">
        <v>21</v>
      </c>
      <c r="I270">
        <v>5</v>
      </c>
      <c r="J270" s="5">
        <v>4.9000000000000002E-2</v>
      </c>
      <c r="K270" t="s">
        <v>48</v>
      </c>
      <c r="L270" s="6">
        <v>41609</v>
      </c>
      <c r="M270">
        <v>12</v>
      </c>
      <c r="N270" s="7" t="s">
        <v>30</v>
      </c>
      <c r="O270" t="s">
        <v>31</v>
      </c>
      <c r="P270" t="s">
        <v>49</v>
      </c>
      <c r="Q270" t="s">
        <v>50</v>
      </c>
      <c r="R270" t="s">
        <v>51</v>
      </c>
    </row>
    <row r="271" spans="1:18" hidden="1">
      <c r="A271">
        <v>1</v>
      </c>
      <c r="B271" s="4" t="s">
        <v>16</v>
      </c>
      <c r="C271" s="4" t="s">
        <v>17</v>
      </c>
      <c r="D271" s="4" t="s">
        <v>47</v>
      </c>
      <c r="E271" s="4" t="s">
        <v>5804</v>
      </c>
      <c r="F271" t="s">
        <v>19</v>
      </c>
      <c r="G271" t="s">
        <v>20</v>
      </c>
      <c r="H271" t="s">
        <v>21</v>
      </c>
      <c r="I271">
        <v>5</v>
      </c>
      <c r="J271" s="5">
        <v>4.9000000000000002E-2</v>
      </c>
      <c r="K271" t="s">
        <v>76</v>
      </c>
      <c r="L271" s="6">
        <v>42856</v>
      </c>
      <c r="M271">
        <v>5</v>
      </c>
      <c r="N271" s="7" t="s">
        <v>23</v>
      </c>
      <c r="O271" t="s">
        <v>24</v>
      </c>
      <c r="P271" t="s">
        <v>77</v>
      </c>
      <c r="Q271" t="s">
        <v>78</v>
      </c>
      <c r="R271" t="s">
        <v>51</v>
      </c>
    </row>
    <row r="272" spans="1:18" hidden="1">
      <c r="A272">
        <v>1</v>
      </c>
      <c r="B272" s="4" t="s">
        <v>16</v>
      </c>
      <c r="C272" s="4" t="s">
        <v>17</v>
      </c>
      <c r="D272" s="4" t="s">
        <v>47</v>
      </c>
      <c r="E272" s="4" t="s">
        <v>5804</v>
      </c>
      <c r="F272" t="s">
        <v>19</v>
      </c>
      <c r="G272" t="s">
        <v>20</v>
      </c>
      <c r="H272" t="s">
        <v>21</v>
      </c>
      <c r="I272">
        <v>5</v>
      </c>
      <c r="J272" s="5">
        <v>4.9000000000000002E-2</v>
      </c>
      <c r="K272" t="s">
        <v>87</v>
      </c>
      <c r="L272" s="6">
        <v>43040</v>
      </c>
      <c r="M272">
        <v>11</v>
      </c>
      <c r="N272" s="7" t="s">
        <v>23</v>
      </c>
      <c r="O272" t="s">
        <v>88</v>
      </c>
      <c r="P272" t="s">
        <v>89</v>
      </c>
      <c r="Q272" t="s">
        <v>90</v>
      </c>
      <c r="R272" t="s">
        <v>91</v>
      </c>
    </row>
    <row r="273" spans="1:18" hidden="1">
      <c r="A273">
        <v>1</v>
      </c>
      <c r="B273" s="4" t="s">
        <v>16</v>
      </c>
      <c r="C273" s="4" t="s">
        <v>17</v>
      </c>
      <c r="D273" s="4" t="s">
        <v>47</v>
      </c>
      <c r="E273" s="4" t="s">
        <v>5804</v>
      </c>
      <c r="F273" t="s">
        <v>19</v>
      </c>
      <c r="G273" t="s">
        <v>20</v>
      </c>
      <c r="H273" t="s">
        <v>21</v>
      </c>
      <c r="I273">
        <v>5</v>
      </c>
      <c r="J273" s="5">
        <v>4.9000000000000002E-2</v>
      </c>
      <c r="K273" t="s">
        <v>43</v>
      </c>
      <c r="L273" s="6">
        <v>43525</v>
      </c>
      <c r="M273">
        <v>3</v>
      </c>
      <c r="N273" s="7" t="s">
        <v>23</v>
      </c>
      <c r="O273" t="s">
        <v>36</v>
      </c>
      <c r="P273" t="s">
        <v>97</v>
      </c>
      <c r="Q273" t="s">
        <v>98</v>
      </c>
      <c r="R273" t="s">
        <v>51</v>
      </c>
    </row>
    <row r="274" spans="1:18" hidden="1">
      <c r="A274">
        <v>1</v>
      </c>
      <c r="B274" s="4" t="s">
        <v>16</v>
      </c>
      <c r="C274" s="4" t="s">
        <v>17</v>
      </c>
      <c r="D274" s="4" t="s">
        <v>47</v>
      </c>
      <c r="E274" s="4" t="s">
        <v>5804</v>
      </c>
      <c r="F274" t="s">
        <v>19</v>
      </c>
      <c r="G274" t="s">
        <v>20</v>
      </c>
      <c r="H274" t="s">
        <v>21</v>
      </c>
      <c r="I274">
        <v>5</v>
      </c>
      <c r="J274" s="5">
        <v>4.9000000000000002E-2</v>
      </c>
      <c r="K274" t="s">
        <v>99</v>
      </c>
      <c r="L274" s="6">
        <v>43891</v>
      </c>
      <c r="M274">
        <v>3</v>
      </c>
      <c r="N274" s="7" t="s">
        <v>23</v>
      </c>
      <c r="O274" t="s">
        <v>88</v>
      </c>
      <c r="P274" t="s">
        <v>100</v>
      </c>
      <c r="Q274" t="s">
        <v>101</v>
      </c>
      <c r="R274" t="s">
        <v>91</v>
      </c>
    </row>
    <row r="275" spans="1:18" hidden="1">
      <c r="A275">
        <v>1</v>
      </c>
      <c r="B275" s="4" t="s">
        <v>16</v>
      </c>
      <c r="C275" s="4" t="s">
        <v>17</v>
      </c>
      <c r="D275" s="4" t="s">
        <v>47</v>
      </c>
      <c r="E275" s="4" t="s">
        <v>5804</v>
      </c>
      <c r="F275" t="s">
        <v>19</v>
      </c>
      <c r="G275" t="s">
        <v>20</v>
      </c>
      <c r="H275" t="s">
        <v>21</v>
      </c>
      <c r="I275">
        <v>5</v>
      </c>
      <c r="J275" s="5">
        <v>4.9000000000000002E-2</v>
      </c>
      <c r="K275" t="s">
        <v>102</v>
      </c>
      <c r="L275" s="6">
        <v>44287</v>
      </c>
      <c r="M275">
        <v>4</v>
      </c>
      <c r="N275" s="7" t="s">
        <v>23</v>
      </c>
      <c r="O275" t="s">
        <v>36</v>
      </c>
      <c r="P275" t="s">
        <v>103</v>
      </c>
      <c r="Q275" t="s">
        <v>98</v>
      </c>
      <c r="R275" t="s">
        <v>51</v>
      </c>
    </row>
    <row r="276" spans="1:18" hidden="1">
      <c r="A276">
        <v>1</v>
      </c>
      <c r="B276" s="4" t="s">
        <v>16</v>
      </c>
      <c r="C276" s="4" t="s">
        <v>17</v>
      </c>
      <c r="D276" s="4" t="s">
        <v>47</v>
      </c>
      <c r="E276" s="4" t="s">
        <v>5804</v>
      </c>
      <c r="F276" t="s">
        <v>19</v>
      </c>
      <c r="G276" t="s">
        <v>20</v>
      </c>
      <c r="H276" t="s">
        <v>21</v>
      </c>
      <c r="I276">
        <v>5</v>
      </c>
      <c r="J276" s="5">
        <v>4.9000000000000002E-2</v>
      </c>
      <c r="K276" t="s">
        <v>104</v>
      </c>
      <c r="L276" s="6">
        <v>44317</v>
      </c>
      <c r="M276">
        <v>5</v>
      </c>
      <c r="N276" s="7" t="s">
        <v>23</v>
      </c>
      <c r="O276" t="s">
        <v>36</v>
      </c>
      <c r="P276" t="s">
        <v>105</v>
      </c>
      <c r="Q276" t="s">
        <v>106</v>
      </c>
      <c r="R276" t="s">
        <v>107</v>
      </c>
    </row>
    <row r="277" spans="1:18" hidden="1">
      <c r="A277">
        <v>1</v>
      </c>
      <c r="B277" s="4" t="s">
        <v>16</v>
      </c>
      <c r="C277" s="4" t="s">
        <v>17</v>
      </c>
      <c r="D277" s="4" t="s">
        <v>113</v>
      </c>
      <c r="E277" s="4" t="s">
        <v>5804</v>
      </c>
      <c r="F277" t="s">
        <v>19</v>
      </c>
      <c r="G277" t="s">
        <v>114</v>
      </c>
      <c r="H277" t="s">
        <v>21</v>
      </c>
      <c r="I277">
        <v>9</v>
      </c>
      <c r="J277" s="5">
        <v>3.4000000000000002E-2</v>
      </c>
      <c r="K277" t="s">
        <v>115</v>
      </c>
      <c r="L277" s="6">
        <v>42461</v>
      </c>
      <c r="M277">
        <v>4</v>
      </c>
      <c r="N277" s="7" t="s">
        <v>23</v>
      </c>
      <c r="O277" t="s">
        <v>36</v>
      </c>
      <c r="P277" t="s">
        <v>116</v>
      </c>
      <c r="Q277" t="s">
        <v>117</v>
      </c>
      <c r="R277" t="s">
        <v>118</v>
      </c>
    </row>
    <row r="278" spans="1:18" hidden="1">
      <c r="A278">
        <v>1</v>
      </c>
      <c r="B278" s="4" t="s">
        <v>16</v>
      </c>
      <c r="C278" s="4" t="s">
        <v>17</v>
      </c>
      <c r="D278" s="4" t="s">
        <v>113</v>
      </c>
      <c r="E278" s="4" t="s">
        <v>5804</v>
      </c>
      <c r="F278" t="s">
        <v>19</v>
      </c>
      <c r="G278" t="s">
        <v>20</v>
      </c>
      <c r="H278" t="s">
        <v>21</v>
      </c>
      <c r="I278">
        <v>5</v>
      </c>
      <c r="J278" s="5">
        <v>4.9000000000000002E-2</v>
      </c>
      <c r="K278" t="s">
        <v>119</v>
      </c>
      <c r="L278" s="6">
        <v>42552</v>
      </c>
      <c r="M278">
        <v>7</v>
      </c>
      <c r="N278" s="7" t="s">
        <v>55</v>
      </c>
      <c r="O278" t="s">
        <v>36</v>
      </c>
      <c r="P278" t="s">
        <v>120</v>
      </c>
      <c r="Q278" t="s">
        <v>121</v>
      </c>
      <c r="R278" t="s">
        <v>122</v>
      </c>
    </row>
    <row r="279" spans="1:18" hidden="1">
      <c r="A279">
        <v>1</v>
      </c>
      <c r="B279" s="4" t="s">
        <v>16</v>
      </c>
      <c r="C279" s="4" t="s">
        <v>17</v>
      </c>
      <c r="D279" s="4" t="s">
        <v>113</v>
      </c>
      <c r="E279" s="4" t="s">
        <v>5804</v>
      </c>
      <c r="F279" t="s">
        <v>19</v>
      </c>
      <c r="G279" t="s">
        <v>123</v>
      </c>
      <c r="H279" t="s">
        <v>53</v>
      </c>
      <c r="I279" t="s">
        <v>53</v>
      </c>
      <c r="J279" s="5" t="s">
        <v>53</v>
      </c>
      <c r="K279" t="s">
        <v>124</v>
      </c>
      <c r="L279" s="6">
        <v>42767</v>
      </c>
      <c r="M279">
        <v>2</v>
      </c>
      <c r="N279" s="7" t="s">
        <v>30</v>
      </c>
      <c r="O279" t="s">
        <v>24</v>
      </c>
      <c r="P279" t="s">
        <v>125</v>
      </c>
      <c r="Q279" t="s">
        <v>126</v>
      </c>
      <c r="R279" t="s">
        <v>127</v>
      </c>
    </row>
    <row r="280" spans="1:18" hidden="1">
      <c r="A280">
        <v>1</v>
      </c>
      <c r="B280" s="4" t="s">
        <v>16</v>
      </c>
      <c r="C280" s="4" t="s">
        <v>17</v>
      </c>
      <c r="D280" s="4" t="s">
        <v>113</v>
      </c>
      <c r="E280" s="4" t="s">
        <v>5804</v>
      </c>
      <c r="F280" t="s">
        <v>19</v>
      </c>
      <c r="G280" t="s">
        <v>28</v>
      </c>
      <c r="H280" t="s">
        <v>21</v>
      </c>
      <c r="I280">
        <v>12</v>
      </c>
      <c r="J280" s="5">
        <v>2.3E-2</v>
      </c>
      <c r="K280" t="s">
        <v>128</v>
      </c>
      <c r="L280" s="6">
        <v>42795</v>
      </c>
      <c r="M280">
        <v>3</v>
      </c>
      <c r="N280" s="7" t="s">
        <v>23</v>
      </c>
      <c r="O280" t="s">
        <v>36</v>
      </c>
      <c r="P280" t="s">
        <v>129</v>
      </c>
      <c r="Q280" t="s">
        <v>130</v>
      </c>
      <c r="R280" t="s">
        <v>131</v>
      </c>
    </row>
    <row r="281" spans="1:18" hidden="1">
      <c r="A281">
        <v>1</v>
      </c>
      <c r="B281" s="4" t="s">
        <v>16</v>
      </c>
      <c r="C281" s="4" t="s">
        <v>17</v>
      </c>
      <c r="D281" s="4" t="s">
        <v>113</v>
      </c>
      <c r="E281" s="4" t="s">
        <v>5804</v>
      </c>
      <c r="F281" t="s">
        <v>19</v>
      </c>
      <c r="G281" t="s">
        <v>123</v>
      </c>
      <c r="H281" t="s">
        <v>53</v>
      </c>
      <c r="I281" t="s">
        <v>53</v>
      </c>
      <c r="J281" s="5" t="s">
        <v>53</v>
      </c>
      <c r="K281" t="s">
        <v>83</v>
      </c>
      <c r="L281" s="6">
        <v>42948</v>
      </c>
      <c r="M281">
        <v>8</v>
      </c>
      <c r="N281" s="7" t="s">
        <v>55</v>
      </c>
      <c r="O281" t="s">
        <v>36</v>
      </c>
      <c r="P281" t="s">
        <v>136</v>
      </c>
      <c r="Q281" t="s">
        <v>130</v>
      </c>
      <c r="R281" t="s">
        <v>131</v>
      </c>
    </row>
    <row r="282" spans="1:18" hidden="1">
      <c r="A282">
        <v>1</v>
      </c>
      <c r="B282" s="4" t="s">
        <v>16</v>
      </c>
      <c r="C282" s="4" t="s">
        <v>17</v>
      </c>
      <c r="D282" s="4" t="s">
        <v>113</v>
      </c>
      <c r="E282" s="4" t="s">
        <v>5804</v>
      </c>
      <c r="F282" t="s">
        <v>19</v>
      </c>
      <c r="G282" t="s">
        <v>114</v>
      </c>
      <c r="H282" t="s">
        <v>21</v>
      </c>
      <c r="I282">
        <v>9</v>
      </c>
      <c r="J282" s="5">
        <v>3.4000000000000002E-2</v>
      </c>
      <c r="K282" t="s">
        <v>85</v>
      </c>
      <c r="L282" s="6">
        <v>43009</v>
      </c>
      <c r="M282">
        <v>10</v>
      </c>
      <c r="N282" s="7" t="s">
        <v>23</v>
      </c>
      <c r="O282" t="s">
        <v>36</v>
      </c>
      <c r="P282" t="s">
        <v>137</v>
      </c>
      <c r="Q282" t="s">
        <v>138</v>
      </c>
      <c r="R282" t="s">
        <v>118</v>
      </c>
    </row>
    <row r="283" spans="1:18" hidden="1">
      <c r="A283">
        <v>1</v>
      </c>
      <c r="B283" s="4" t="s">
        <v>16</v>
      </c>
      <c r="C283" s="4" t="s">
        <v>17</v>
      </c>
      <c r="D283" s="4" t="s">
        <v>113</v>
      </c>
      <c r="E283" s="4" t="s">
        <v>5804</v>
      </c>
      <c r="F283" t="s">
        <v>19</v>
      </c>
      <c r="G283" t="s">
        <v>114</v>
      </c>
      <c r="H283" t="s">
        <v>21</v>
      </c>
      <c r="I283">
        <v>9</v>
      </c>
      <c r="J283" s="5">
        <v>3.4000000000000002E-2</v>
      </c>
      <c r="K283" t="s">
        <v>87</v>
      </c>
      <c r="L283" s="6">
        <v>43040</v>
      </c>
      <c r="M283">
        <v>11</v>
      </c>
      <c r="N283" s="7" t="s">
        <v>23</v>
      </c>
      <c r="O283" t="s">
        <v>36</v>
      </c>
      <c r="P283" t="s">
        <v>139</v>
      </c>
      <c r="Q283" t="s">
        <v>117</v>
      </c>
      <c r="R283" t="s">
        <v>118</v>
      </c>
    </row>
    <row r="284" spans="1:18" hidden="1">
      <c r="A284">
        <v>1</v>
      </c>
      <c r="B284" s="4" t="s">
        <v>16</v>
      </c>
      <c r="C284" s="4" t="s">
        <v>17</v>
      </c>
      <c r="D284" s="4" t="s">
        <v>113</v>
      </c>
      <c r="E284" s="4" t="s">
        <v>5804</v>
      </c>
      <c r="F284" t="s">
        <v>19</v>
      </c>
      <c r="G284" t="s">
        <v>20</v>
      </c>
      <c r="H284" t="s">
        <v>21</v>
      </c>
      <c r="I284">
        <v>5</v>
      </c>
      <c r="J284" s="5">
        <v>4.9000000000000002E-2</v>
      </c>
      <c r="K284" t="s">
        <v>29</v>
      </c>
      <c r="L284" s="6">
        <v>43070</v>
      </c>
      <c r="M284">
        <v>12</v>
      </c>
      <c r="N284" s="7" t="s">
        <v>30</v>
      </c>
      <c r="O284" t="s">
        <v>31</v>
      </c>
      <c r="P284" t="s">
        <v>140</v>
      </c>
      <c r="Q284" t="s">
        <v>141</v>
      </c>
      <c r="R284" t="s">
        <v>122</v>
      </c>
    </row>
    <row r="285" spans="1:18" hidden="1">
      <c r="A285">
        <v>1</v>
      </c>
      <c r="B285" s="4" t="s">
        <v>16</v>
      </c>
      <c r="C285" s="4" t="s">
        <v>17</v>
      </c>
      <c r="D285" s="4" t="s">
        <v>113</v>
      </c>
      <c r="E285" s="4" t="s">
        <v>5804</v>
      </c>
      <c r="F285" t="s">
        <v>19</v>
      </c>
      <c r="G285" t="s">
        <v>114</v>
      </c>
      <c r="H285" t="s">
        <v>21</v>
      </c>
      <c r="I285">
        <v>9</v>
      </c>
      <c r="J285" s="5">
        <v>3.4000000000000002E-2</v>
      </c>
      <c r="K285" t="s">
        <v>142</v>
      </c>
      <c r="L285" s="6">
        <v>43101</v>
      </c>
      <c r="M285">
        <v>1</v>
      </c>
      <c r="N285" s="7" t="s">
        <v>30</v>
      </c>
      <c r="O285" t="s">
        <v>31</v>
      </c>
      <c r="P285" t="s">
        <v>143</v>
      </c>
      <c r="Q285" t="s">
        <v>144</v>
      </c>
      <c r="R285" t="s">
        <v>145</v>
      </c>
    </row>
    <row r="286" spans="1:18" hidden="1">
      <c r="A286">
        <v>1</v>
      </c>
      <c r="B286" s="4" t="s">
        <v>16</v>
      </c>
      <c r="C286" s="4" t="s">
        <v>17</v>
      </c>
      <c r="D286" s="4" t="s">
        <v>113</v>
      </c>
      <c r="E286" s="4" t="s">
        <v>5804</v>
      </c>
      <c r="F286" t="s">
        <v>19</v>
      </c>
      <c r="G286" t="s">
        <v>114</v>
      </c>
      <c r="H286" t="s">
        <v>21</v>
      </c>
      <c r="I286">
        <v>9</v>
      </c>
      <c r="J286" s="5">
        <v>3.4000000000000002E-2</v>
      </c>
      <c r="K286" t="s">
        <v>146</v>
      </c>
      <c r="L286" s="6">
        <v>43313</v>
      </c>
      <c r="M286">
        <v>8</v>
      </c>
      <c r="N286" s="7" t="s">
        <v>55</v>
      </c>
      <c r="O286" t="s">
        <v>31</v>
      </c>
      <c r="P286" t="s">
        <v>147</v>
      </c>
      <c r="Q286" t="s">
        <v>148</v>
      </c>
      <c r="R286" t="s">
        <v>149</v>
      </c>
    </row>
    <row r="287" spans="1:18" hidden="1">
      <c r="A287">
        <v>1</v>
      </c>
      <c r="B287" s="4" t="s">
        <v>16</v>
      </c>
      <c r="C287" s="4" t="s">
        <v>17</v>
      </c>
      <c r="D287" s="4" t="s">
        <v>113</v>
      </c>
      <c r="E287" s="4" t="s">
        <v>5804</v>
      </c>
      <c r="F287" t="s">
        <v>19</v>
      </c>
      <c r="G287" t="s">
        <v>114</v>
      </c>
      <c r="H287" t="s">
        <v>21</v>
      </c>
      <c r="I287">
        <v>9</v>
      </c>
      <c r="J287" s="5">
        <v>3.4000000000000002E-2</v>
      </c>
      <c r="K287" t="s">
        <v>146</v>
      </c>
      <c r="L287" s="6">
        <v>43313</v>
      </c>
      <c r="M287">
        <v>8</v>
      </c>
      <c r="N287" s="7" t="s">
        <v>55</v>
      </c>
      <c r="O287" t="s">
        <v>36</v>
      </c>
      <c r="P287" t="s">
        <v>150</v>
      </c>
      <c r="Q287" t="s">
        <v>151</v>
      </c>
      <c r="R287" t="s">
        <v>118</v>
      </c>
    </row>
    <row r="288" spans="1:18" hidden="1">
      <c r="A288">
        <v>1</v>
      </c>
      <c r="B288" s="4" t="s">
        <v>16</v>
      </c>
      <c r="C288" s="4" t="s">
        <v>17</v>
      </c>
      <c r="D288" s="4" t="s">
        <v>113</v>
      </c>
      <c r="E288" s="4" t="s">
        <v>5804</v>
      </c>
      <c r="F288" t="s">
        <v>19</v>
      </c>
      <c r="G288" t="s">
        <v>114</v>
      </c>
      <c r="H288" t="s">
        <v>21</v>
      </c>
      <c r="I288">
        <v>9</v>
      </c>
      <c r="J288" s="5">
        <v>3.4000000000000002E-2</v>
      </c>
      <c r="K288" t="s">
        <v>152</v>
      </c>
      <c r="L288" s="6">
        <v>43374</v>
      </c>
      <c r="M288">
        <v>10</v>
      </c>
      <c r="N288" s="7" t="s">
        <v>23</v>
      </c>
      <c r="O288" t="s">
        <v>88</v>
      </c>
      <c r="P288" t="s">
        <v>153</v>
      </c>
      <c r="Q288" t="s">
        <v>154</v>
      </c>
      <c r="R288" t="s">
        <v>155</v>
      </c>
    </row>
    <row r="289" spans="1:18" hidden="1">
      <c r="A289">
        <v>1</v>
      </c>
      <c r="B289" s="4" t="s">
        <v>16</v>
      </c>
      <c r="C289" s="4" t="s">
        <v>17</v>
      </c>
      <c r="D289" s="4" t="s">
        <v>113</v>
      </c>
      <c r="E289" s="4" t="s">
        <v>5804</v>
      </c>
      <c r="F289" t="s">
        <v>19</v>
      </c>
      <c r="G289" t="s">
        <v>114</v>
      </c>
      <c r="H289" t="s">
        <v>21</v>
      </c>
      <c r="I289">
        <v>9</v>
      </c>
      <c r="J289" s="5">
        <v>3.4000000000000002E-2</v>
      </c>
      <c r="K289" t="s">
        <v>156</v>
      </c>
      <c r="L289" s="6">
        <v>43405</v>
      </c>
      <c r="M289">
        <v>11</v>
      </c>
      <c r="N289" s="7" t="s">
        <v>23</v>
      </c>
      <c r="O289" t="s">
        <v>36</v>
      </c>
      <c r="P289" t="s">
        <v>157</v>
      </c>
      <c r="Q289" t="s">
        <v>158</v>
      </c>
      <c r="R289" t="s">
        <v>118</v>
      </c>
    </row>
    <row r="290" spans="1:18" hidden="1">
      <c r="A290">
        <v>1</v>
      </c>
      <c r="B290" s="4" t="s">
        <v>16</v>
      </c>
      <c r="C290" s="4" t="s">
        <v>17</v>
      </c>
      <c r="D290" s="4" t="s">
        <v>113</v>
      </c>
      <c r="E290" s="4" t="s">
        <v>5804</v>
      </c>
      <c r="F290" t="s">
        <v>19</v>
      </c>
      <c r="G290" t="s">
        <v>20</v>
      </c>
      <c r="H290" t="s">
        <v>21</v>
      </c>
      <c r="I290">
        <v>5</v>
      </c>
      <c r="J290" s="5">
        <v>4.9000000000000002E-2</v>
      </c>
      <c r="K290" t="s">
        <v>159</v>
      </c>
      <c r="L290" s="6">
        <v>43586</v>
      </c>
      <c r="M290">
        <v>5</v>
      </c>
      <c r="N290" s="7" t="s">
        <v>23</v>
      </c>
      <c r="O290" t="s">
        <v>88</v>
      </c>
      <c r="P290" t="s">
        <v>160</v>
      </c>
      <c r="Q290" t="s">
        <v>161</v>
      </c>
      <c r="R290" t="s">
        <v>122</v>
      </c>
    </row>
    <row r="291" spans="1:18" hidden="1">
      <c r="A291">
        <v>1</v>
      </c>
      <c r="B291" s="4" t="s">
        <v>16</v>
      </c>
      <c r="C291" s="4" t="s">
        <v>17</v>
      </c>
      <c r="D291" s="4" t="s">
        <v>113</v>
      </c>
      <c r="E291" s="4" t="s">
        <v>5804</v>
      </c>
      <c r="F291" t="s">
        <v>19</v>
      </c>
      <c r="G291" t="s">
        <v>114</v>
      </c>
      <c r="H291" t="s">
        <v>21</v>
      </c>
      <c r="I291">
        <v>9</v>
      </c>
      <c r="J291" s="5">
        <v>3.4000000000000002E-2</v>
      </c>
      <c r="K291" t="s">
        <v>171</v>
      </c>
      <c r="L291" s="6">
        <v>44013</v>
      </c>
      <c r="M291">
        <v>7</v>
      </c>
      <c r="N291" s="7" t="s">
        <v>55</v>
      </c>
      <c r="O291" t="s">
        <v>88</v>
      </c>
      <c r="P291" t="s">
        <v>172</v>
      </c>
      <c r="Q291" t="s">
        <v>173</v>
      </c>
      <c r="R291" t="s">
        <v>174</v>
      </c>
    </row>
    <row r="292" spans="1:18" hidden="1">
      <c r="A292">
        <v>1</v>
      </c>
      <c r="B292" s="4" t="s">
        <v>16</v>
      </c>
      <c r="C292" s="4" t="s">
        <v>17</v>
      </c>
      <c r="D292" s="4" t="s">
        <v>113</v>
      </c>
      <c r="E292" s="4" t="s">
        <v>5804</v>
      </c>
      <c r="F292" t="s">
        <v>19</v>
      </c>
      <c r="G292" t="s">
        <v>20</v>
      </c>
      <c r="H292" t="s">
        <v>21</v>
      </c>
      <c r="I292">
        <v>5</v>
      </c>
      <c r="J292" s="5">
        <v>4.9000000000000002E-2</v>
      </c>
      <c r="K292" t="s">
        <v>175</v>
      </c>
      <c r="L292" s="6">
        <v>44166</v>
      </c>
      <c r="M292">
        <v>12</v>
      </c>
      <c r="N292" s="7" t="s">
        <v>30</v>
      </c>
      <c r="O292" t="s">
        <v>36</v>
      </c>
      <c r="P292" t="s">
        <v>176</v>
      </c>
      <c r="Q292" t="s">
        <v>177</v>
      </c>
      <c r="R292" t="s">
        <v>122</v>
      </c>
    </row>
    <row r="293" spans="1:18" hidden="1">
      <c r="A293">
        <v>1</v>
      </c>
      <c r="B293" s="4" t="s">
        <v>16</v>
      </c>
      <c r="C293" s="4" t="s">
        <v>17</v>
      </c>
      <c r="D293" s="4" t="s">
        <v>113</v>
      </c>
      <c r="E293" s="4" t="s">
        <v>5804</v>
      </c>
      <c r="F293" t="s">
        <v>19</v>
      </c>
      <c r="G293" t="s">
        <v>114</v>
      </c>
      <c r="H293" t="s">
        <v>21</v>
      </c>
      <c r="I293">
        <v>9</v>
      </c>
      <c r="J293" s="5">
        <v>3.4000000000000002E-2</v>
      </c>
      <c r="K293" t="s">
        <v>178</v>
      </c>
      <c r="L293" s="6">
        <v>44228</v>
      </c>
      <c r="M293">
        <v>2</v>
      </c>
      <c r="N293" s="7" t="s">
        <v>30</v>
      </c>
      <c r="O293" t="s">
        <v>88</v>
      </c>
      <c r="P293" t="s">
        <v>179</v>
      </c>
      <c r="Q293" t="s">
        <v>180</v>
      </c>
      <c r="R293" t="s">
        <v>118</v>
      </c>
    </row>
    <row r="294" spans="1:18" hidden="1">
      <c r="A294">
        <v>1</v>
      </c>
      <c r="B294" s="4" t="s">
        <v>16</v>
      </c>
      <c r="C294" s="4" t="s">
        <v>17</v>
      </c>
      <c r="D294" s="4" t="s">
        <v>113</v>
      </c>
      <c r="E294" s="4" t="s">
        <v>5804</v>
      </c>
      <c r="F294" t="s">
        <v>19</v>
      </c>
      <c r="G294" t="s">
        <v>114</v>
      </c>
      <c r="H294" t="s">
        <v>21</v>
      </c>
      <c r="I294">
        <v>9</v>
      </c>
      <c r="J294" s="5">
        <v>3.4000000000000002E-2</v>
      </c>
      <c r="K294" t="s">
        <v>102</v>
      </c>
      <c r="L294" s="6">
        <v>44287</v>
      </c>
      <c r="M294">
        <v>4</v>
      </c>
      <c r="N294" s="7" t="s">
        <v>23</v>
      </c>
      <c r="O294" t="s">
        <v>36</v>
      </c>
      <c r="P294" t="s">
        <v>181</v>
      </c>
      <c r="Q294" t="s">
        <v>138</v>
      </c>
      <c r="R294" t="s">
        <v>118</v>
      </c>
    </row>
    <row r="295" spans="1:18" hidden="1">
      <c r="A295">
        <v>1</v>
      </c>
      <c r="B295" s="4" t="s">
        <v>16</v>
      </c>
      <c r="C295" s="4" t="s">
        <v>17</v>
      </c>
      <c r="D295" s="4" t="s">
        <v>113</v>
      </c>
      <c r="E295" s="4" t="s">
        <v>5804</v>
      </c>
      <c r="F295" t="s">
        <v>19</v>
      </c>
      <c r="G295" t="s">
        <v>114</v>
      </c>
      <c r="H295" t="s">
        <v>21</v>
      </c>
      <c r="I295">
        <v>9</v>
      </c>
      <c r="J295" s="5">
        <v>3.4000000000000002E-2</v>
      </c>
      <c r="K295" t="s">
        <v>182</v>
      </c>
      <c r="L295" s="6">
        <v>44501</v>
      </c>
      <c r="M295">
        <v>11</v>
      </c>
      <c r="N295" s="7" t="s">
        <v>23</v>
      </c>
      <c r="O295" t="s">
        <v>88</v>
      </c>
      <c r="P295" t="s">
        <v>183</v>
      </c>
      <c r="Q295" t="s">
        <v>184</v>
      </c>
      <c r="R295" t="s">
        <v>185</v>
      </c>
    </row>
    <row r="296" spans="1:18" hidden="1">
      <c r="A296">
        <v>1</v>
      </c>
      <c r="B296" s="4" t="s">
        <v>16</v>
      </c>
      <c r="C296" s="4" t="s">
        <v>17</v>
      </c>
      <c r="D296" s="4" t="s">
        <v>113</v>
      </c>
      <c r="E296" s="4" t="s">
        <v>5804</v>
      </c>
      <c r="F296" t="s">
        <v>19</v>
      </c>
      <c r="G296" t="s">
        <v>114</v>
      </c>
      <c r="H296" t="s">
        <v>21</v>
      </c>
      <c r="I296">
        <v>9</v>
      </c>
      <c r="J296" s="5">
        <v>3.4000000000000002E-2</v>
      </c>
      <c r="K296" t="s">
        <v>182</v>
      </c>
      <c r="L296" s="6">
        <v>44501</v>
      </c>
      <c r="M296">
        <v>11</v>
      </c>
      <c r="N296" s="7" t="s">
        <v>23</v>
      </c>
      <c r="O296" t="s">
        <v>31</v>
      </c>
      <c r="P296" t="s">
        <v>186</v>
      </c>
      <c r="Q296" t="s">
        <v>187</v>
      </c>
      <c r="R296" t="s">
        <v>145</v>
      </c>
    </row>
    <row r="297" spans="1:18" hidden="1">
      <c r="A297">
        <v>1</v>
      </c>
      <c r="B297" s="4" t="s">
        <v>16</v>
      </c>
      <c r="C297" s="4" t="s">
        <v>188</v>
      </c>
      <c r="D297" s="4" t="s">
        <v>189</v>
      </c>
      <c r="E297" s="4" t="s">
        <v>5804</v>
      </c>
      <c r="F297" t="s">
        <v>19</v>
      </c>
      <c r="G297" t="s">
        <v>20</v>
      </c>
      <c r="H297" t="s">
        <v>21</v>
      </c>
      <c r="I297">
        <v>5</v>
      </c>
      <c r="J297" s="5">
        <v>4.9000000000000002E-2</v>
      </c>
      <c r="K297" t="s">
        <v>60</v>
      </c>
      <c r="L297" s="6">
        <v>42370</v>
      </c>
      <c r="M297">
        <v>1</v>
      </c>
      <c r="N297" s="7" t="s">
        <v>30</v>
      </c>
      <c r="O297" t="s">
        <v>36</v>
      </c>
      <c r="P297" t="s">
        <v>190</v>
      </c>
      <c r="Q297" t="s">
        <v>191</v>
      </c>
      <c r="R297" t="s">
        <v>192</v>
      </c>
    </row>
    <row r="298" spans="1:18" hidden="1">
      <c r="A298">
        <v>1</v>
      </c>
      <c r="B298" s="4" t="s">
        <v>16</v>
      </c>
      <c r="C298" s="4" t="s">
        <v>188</v>
      </c>
      <c r="D298" s="4" t="s">
        <v>189</v>
      </c>
      <c r="E298" s="4" t="s">
        <v>5804</v>
      </c>
      <c r="F298" t="s">
        <v>19</v>
      </c>
      <c r="G298" t="s">
        <v>20</v>
      </c>
      <c r="H298" t="s">
        <v>21</v>
      </c>
      <c r="I298">
        <v>5</v>
      </c>
      <c r="J298" s="5">
        <v>4.9000000000000002E-2</v>
      </c>
      <c r="K298" t="s">
        <v>119</v>
      </c>
      <c r="L298" s="6">
        <v>42552</v>
      </c>
      <c r="M298">
        <v>7</v>
      </c>
      <c r="N298" s="7" t="s">
        <v>55</v>
      </c>
      <c r="O298" t="s">
        <v>193</v>
      </c>
      <c r="P298" t="s">
        <v>194</v>
      </c>
      <c r="Q298" t="s">
        <v>195</v>
      </c>
      <c r="R298" t="s">
        <v>34</v>
      </c>
    </row>
    <row r="299" spans="1:18" hidden="1">
      <c r="A299">
        <v>1</v>
      </c>
      <c r="B299" s="4" t="s">
        <v>16</v>
      </c>
      <c r="C299" s="4" t="s">
        <v>188</v>
      </c>
      <c r="D299" s="4" t="s">
        <v>189</v>
      </c>
      <c r="E299" s="4" t="s">
        <v>5804</v>
      </c>
      <c r="F299" t="s">
        <v>19</v>
      </c>
      <c r="G299" t="s">
        <v>28</v>
      </c>
      <c r="H299" t="s">
        <v>21</v>
      </c>
      <c r="I299">
        <v>12</v>
      </c>
      <c r="J299" s="5">
        <v>2.3E-2</v>
      </c>
      <c r="K299" t="s">
        <v>204</v>
      </c>
      <c r="L299" s="6">
        <v>43831</v>
      </c>
      <c r="M299">
        <v>1</v>
      </c>
      <c r="N299" s="7" t="s">
        <v>30</v>
      </c>
      <c r="O299" t="s">
        <v>193</v>
      </c>
      <c r="P299" t="s">
        <v>205</v>
      </c>
      <c r="Q299" t="s">
        <v>195</v>
      </c>
      <c r="R299" t="s">
        <v>206</v>
      </c>
    </row>
    <row r="300" spans="1:18" hidden="1">
      <c r="A300">
        <v>1</v>
      </c>
      <c r="B300" s="4" t="s">
        <v>16</v>
      </c>
      <c r="C300" s="4" t="s">
        <v>188</v>
      </c>
      <c r="D300" s="4" t="s">
        <v>207</v>
      </c>
      <c r="E300" s="4" t="s">
        <v>5804</v>
      </c>
      <c r="F300" t="s">
        <v>19</v>
      </c>
      <c r="G300" t="s">
        <v>20</v>
      </c>
      <c r="H300" t="s">
        <v>21</v>
      </c>
      <c r="I300">
        <v>5</v>
      </c>
      <c r="J300" s="5">
        <v>4.9000000000000002E-2</v>
      </c>
      <c r="K300" t="s">
        <v>220</v>
      </c>
      <c r="L300" s="6">
        <v>42644</v>
      </c>
      <c r="M300">
        <v>10</v>
      </c>
      <c r="N300" s="7" t="s">
        <v>23</v>
      </c>
      <c r="O300" t="s">
        <v>193</v>
      </c>
      <c r="P300" t="s">
        <v>221</v>
      </c>
      <c r="Q300" t="s">
        <v>195</v>
      </c>
      <c r="R300" t="s">
        <v>222</v>
      </c>
    </row>
    <row r="301" spans="1:18" hidden="1">
      <c r="A301">
        <v>1</v>
      </c>
      <c r="B301" s="4" t="s">
        <v>16</v>
      </c>
      <c r="C301" s="4" t="s">
        <v>188</v>
      </c>
      <c r="D301" s="4" t="s">
        <v>207</v>
      </c>
      <c r="E301" s="4" t="s">
        <v>5804</v>
      </c>
      <c r="F301" t="s">
        <v>19</v>
      </c>
      <c r="G301" t="s">
        <v>28</v>
      </c>
      <c r="H301" t="s">
        <v>21</v>
      </c>
      <c r="I301">
        <v>12</v>
      </c>
      <c r="J301" s="5">
        <v>2.3E-2</v>
      </c>
      <c r="K301" t="s">
        <v>124</v>
      </c>
      <c r="L301" s="6">
        <v>42767</v>
      </c>
      <c r="M301">
        <v>2</v>
      </c>
      <c r="N301" s="7" t="s">
        <v>30</v>
      </c>
      <c r="O301" t="s">
        <v>223</v>
      </c>
      <c r="P301" t="s">
        <v>224</v>
      </c>
      <c r="Q301" t="s">
        <v>225</v>
      </c>
      <c r="R301" t="s">
        <v>226</v>
      </c>
    </row>
    <row r="302" spans="1:18" hidden="1">
      <c r="A302">
        <v>1</v>
      </c>
      <c r="B302" s="4" t="s">
        <v>16</v>
      </c>
      <c r="C302" s="4" t="s">
        <v>188</v>
      </c>
      <c r="D302" s="4" t="s">
        <v>207</v>
      </c>
      <c r="E302" s="4" t="s">
        <v>5804</v>
      </c>
      <c r="F302" t="s">
        <v>19</v>
      </c>
      <c r="G302" t="s">
        <v>227</v>
      </c>
      <c r="H302" t="s">
        <v>53</v>
      </c>
      <c r="I302" t="s">
        <v>53</v>
      </c>
      <c r="J302" s="5" t="s">
        <v>53</v>
      </c>
      <c r="K302" t="s">
        <v>124</v>
      </c>
      <c r="L302" s="6">
        <v>42767</v>
      </c>
      <c r="M302">
        <v>2</v>
      </c>
      <c r="N302" s="7" t="s">
        <v>30</v>
      </c>
      <c r="O302" t="s">
        <v>24</v>
      </c>
      <c r="P302" t="s">
        <v>228</v>
      </c>
      <c r="Q302" t="s">
        <v>229</v>
      </c>
      <c r="R302" t="s">
        <v>230</v>
      </c>
    </row>
    <row r="303" spans="1:18" hidden="1">
      <c r="A303">
        <v>1</v>
      </c>
      <c r="B303" s="4" t="s">
        <v>16</v>
      </c>
      <c r="C303" s="4" t="s">
        <v>188</v>
      </c>
      <c r="D303" s="4" t="s">
        <v>207</v>
      </c>
      <c r="E303" s="4" t="s">
        <v>5804</v>
      </c>
      <c r="F303" t="s">
        <v>19</v>
      </c>
      <c r="G303" t="s">
        <v>227</v>
      </c>
      <c r="H303" t="s">
        <v>53</v>
      </c>
      <c r="I303" t="s">
        <v>53</v>
      </c>
      <c r="J303" s="5" t="s">
        <v>53</v>
      </c>
      <c r="K303" t="s">
        <v>124</v>
      </c>
      <c r="L303" s="6">
        <v>42767</v>
      </c>
      <c r="M303">
        <v>2</v>
      </c>
      <c r="N303" s="7" t="s">
        <v>30</v>
      </c>
      <c r="O303" t="s">
        <v>193</v>
      </c>
      <c r="P303" t="s">
        <v>231</v>
      </c>
      <c r="Q303" t="s">
        <v>232</v>
      </c>
      <c r="R303" t="s">
        <v>222</v>
      </c>
    </row>
    <row r="304" spans="1:18" hidden="1">
      <c r="A304">
        <v>1</v>
      </c>
      <c r="B304" s="4" t="s">
        <v>16</v>
      </c>
      <c r="C304" s="4" t="s">
        <v>188</v>
      </c>
      <c r="D304" s="4" t="s">
        <v>207</v>
      </c>
      <c r="E304" s="4" t="s">
        <v>5804</v>
      </c>
      <c r="F304" t="s">
        <v>19</v>
      </c>
      <c r="G304" t="s">
        <v>20</v>
      </c>
      <c r="H304" t="s">
        <v>21</v>
      </c>
      <c r="I304">
        <v>5</v>
      </c>
      <c r="J304" s="5">
        <v>4.9000000000000002E-2</v>
      </c>
      <c r="K304" t="s">
        <v>43</v>
      </c>
      <c r="L304" s="6">
        <v>43525</v>
      </c>
      <c r="M304">
        <v>3</v>
      </c>
      <c r="N304" s="7" t="s">
        <v>23</v>
      </c>
      <c r="O304" t="s">
        <v>223</v>
      </c>
      <c r="P304" t="s">
        <v>250</v>
      </c>
      <c r="Q304" t="s">
        <v>225</v>
      </c>
      <c r="R304" t="s">
        <v>226</v>
      </c>
    </row>
    <row r="305" spans="1:18" hidden="1">
      <c r="A305">
        <v>1</v>
      </c>
      <c r="B305" s="4" t="s">
        <v>16</v>
      </c>
      <c r="C305" s="4" t="s">
        <v>188</v>
      </c>
      <c r="D305" s="4" t="s">
        <v>207</v>
      </c>
      <c r="E305" s="4" t="s">
        <v>5804</v>
      </c>
      <c r="F305" t="s">
        <v>19</v>
      </c>
      <c r="G305" t="s">
        <v>20</v>
      </c>
      <c r="H305" t="s">
        <v>21</v>
      </c>
      <c r="I305">
        <v>5</v>
      </c>
      <c r="J305" s="5">
        <v>4.9000000000000002E-2</v>
      </c>
      <c r="K305" t="s">
        <v>171</v>
      </c>
      <c r="L305" s="6">
        <v>44013</v>
      </c>
      <c r="M305">
        <v>7</v>
      </c>
      <c r="N305" s="7" t="s">
        <v>55</v>
      </c>
      <c r="O305" t="s">
        <v>24</v>
      </c>
      <c r="P305" t="s">
        <v>259</v>
      </c>
      <c r="Q305" t="s">
        <v>260</v>
      </c>
      <c r="R305" t="s">
        <v>261</v>
      </c>
    </row>
    <row r="306" spans="1:18" hidden="1">
      <c r="A306">
        <v>1</v>
      </c>
      <c r="B306" s="4" t="s">
        <v>16</v>
      </c>
      <c r="C306" s="4" t="s">
        <v>188</v>
      </c>
      <c r="D306" s="4" t="s">
        <v>272</v>
      </c>
      <c r="E306" s="4" t="s">
        <v>5804</v>
      </c>
      <c r="F306" t="s">
        <v>19</v>
      </c>
      <c r="G306" t="s">
        <v>28</v>
      </c>
      <c r="H306" t="s">
        <v>21</v>
      </c>
      <c r="I306">
        <v>12</v>
      </c>
      <c r="J306" s="5">
        <v>2.3E-2</v>
      </c>
      <c r="K306" t="s">
        <v>76</v>
      </c>
      <c r="L306" s="6">
        <v>42856</v>
      </c>
      <c r="M306">
        <v>5</v>
      </c>
      <c r="N306" s="7" t="s">
        <v>23</v>
      </c>
      <c r="O306" t="s">
        <v>31</v>
      </c>
      <c r="P306" t="s">
        <v>283</v>
      </c>
      <c r="Q306" t="s">
        <v>216</v>
      </c>
      <c r="R306" t="s">
        <v>284</v>
      </c>
    </row>
    <row r="307" spans="1:18" hidden="1">
      <c r="A307">
        <v>1</v>
      </c>
      <c r="B307" s="4" t="s">
        <v>16</v>
      </c>
      <c r="C307" s="4" t="s">
        <v>188</v>
      </c>
      <c r="D307" s="4" t="s">
        <v>272</v>
      </c>
      <c r="E307" s="4" t="s">
        <v>5804</v>
      </c>
      <c r="F307" t="s">
        <v>19</v>
      </c>
      <c r="G307" t="s">
        <v>20</v>
      </c>
      <c r="H307" t="s">
        <v>21</v>
      </c>
      <c r="I307">
        <v>5</v>
      </c>
      <c r="J307" s="5">
        <v>4.9000000000000002E-2</v>
      </c>
      <c r="K307" t="s">
        <v>304</v>
      </c>
      <c r="L307" s="6">
        <v>43647</v>
      </c>
      <c r="M307">
        <v>7</v>
      </c>
      <c r="N307" s="7" t="s">
        <v>55</v>
      </c>
      <c r="O307" t="s">
        <v>223</v>
      </c>
      <c r="P307" t="s">
        <v>305</v>
      </c>
      <c r="Q307" t="s">
        <v>306</v>
      </c>
      <c r="R307" t="s">
        <v>307</v>
      </c>
    </row>
    <row r="308" spans="1:18" hidden="1">
      <c r="A308">
        <v>1</v>
      </c>
      <c r="B308" s="4" t="s">
        <v>16</v>
      </c>
      <c r="C308" s="4" t="s">
        <v>323</v>
      </c>
      <c r="D308" s="4" t="s">
        <v>324</v>
      </c>
      <c r="E308" s="4" t="s">
        <v>5804</v>
      </c>
      <c r="F308" t="s">
        <v>19</v>
      </c>
      <c r="G308" t="s">
        <v>20</v>
      </c>
      <c r="H308" t="s">
        <v>21</v>
      </c>
      <c r="I308">
        <v>5</v>
      </c>
      <c r="J308" s="5">
        <v>4.9000000000000002E-2</v>
      </c>
      <c r="K308" t="s">
        <v>325</v>
      </c>
      <c r="L308" s="6">
        <v>42095</v>
      </c>
      <c r="M308">
        <v>4</v>
      </c>
      <c r="N308" s="7" t="s">
        <v>23</v>
      </c>
      <c r="O308" t="s">
        <v>24</v>
      </c>
      <c r="P308" t="s">
        <v>326</v>
      </c>
      <c r="Q308" t="s">
        <v>327</v>
      </c>
      <c r="R308" t="s">
        <v>328</v>
      </c>
    </row>
    <row r="309" spans="1:18" hidden="1">
      <c r="A309">
        <v>1</v>
      </c>
      <c r="B309" s="4" t="s">
        <v>16</v>
      </c>
      <c r="C309" s="4" t="s">
        <v>323</v>
      </c>
      <c r="D309" s="4" t="s">
        <v>324</v>
      </c>
      <c r="E309" s="4" t="s">
        <v>5804</v>
      </c>
      <c r="F309" t="s">
        <v>19</v>
      </c>
      <c r="G309" t="s">
        <v>28</v>
      </c>
      <c r="H309" t="s">
        <v>21</v>
      </c>
      <c r="I309">
        <v>12</v>
      </c>
      <c r="J309" s="5">
        <v>2.3E-2</v>
      </c>
      <c r="K309" t="s">
        <v>65</v>
      </c>
      <c r="L309" s="6">
        <v>42430</v>
      </c>
      <c r="M309">
        <v>3</v>
      </c>
      <c r="N309" s="7" t="s">
        <v>23</v>
      </c>
      <c r="O309" t="s">
        <v>193</v>
      </c>
      <c r="P309" t="s">
        <v>329</v>
      </c>
      <c r="Q309" t="s">
        <v>330</v>
      </c>
      <c r="R309" t="s">
        <v>331</v>
      </c>
    </row>
    <row r="310" spans="1:18" hidden="1">
      <c r="A310">
        <v>1</v>
      </c>
      <c r="B310" s="4" t="s">
        <v>16</v>
      </c>
      <c r="C310" s="4" t="s">
        <v>323</v>
      </c>
      <c r="D310" s="4" t="s">
        <v>324</v>
      </c>
      <c r="E310" s="4" t="s">
        <v>5804</v>
      </c>
      <c r="F310" t="s">
        <v>19</v>
      </c>
      <c r="G310" t="s">
        <v>20</v>
      </c>
      <c r="H310" t="s">
        <v>21</v>
      </c>
      <c r="I310">
        <v>5</v>
      </c>
      <c r="J310" s="5">
        <v>4.9000000000000002E-2</v>
      </c>
      <c r="K310" t="s">
        <v>115</v>
      </c>
      <c r="L310" s="6">
        <v>42461</v>
      </c>
      <c r="M310">
        <v>4</v>
      </c>
      <c r="N310" s="7" t="s">
        <v>23</v>
      </c>
      <c r="O310" t="s">
        <v>36</v>
      </c>
      <c r="P310" t="s">
        <v>335</v>
      </c>
      <c r="Q310" t="s">
        <v>336</v>
      </c>
      <c r="R310" t="s">
        <v>337</v>
      </c>
    </row>
    <row r="311" spans="1:18" hidden="1">
      <c r="A311">
        <v>1</v>
      </c>
      <c r="B311" s="4" t="s">
        <v>16</v>
      </c>
      <c r="C311" s="4" t="s">
        <v>323</v>
      </c>
      <c r="D311" s="4" t="s">
        <v>324</v>
      </c>
      <c r="E311" s="4" t="s">
        <v>5804</v>
      </c>
      <c r="F311" t="s">
        <v>19</v>
      </c>
      <c r="G311" t="s">
        <v>20</v>
      </c>
      <c r="H311" t="s">
        <v>21</v>
      </c>
      <c r="I311">
        <v>5</v>
      </c>
      <c r="J311" s="5">
        <v>4.9000000000000002E-2</v>
      </c>
      <c r="K311" t="s">
        <v>115</v>
      </c>
      <c r="L311" s="6">
        <v>42461</v>
      </c>
      <c r="M311">
        <v>4</v>
      </c>
      <c r="N311" s="7" t="s">
        <v>23</v>
      </c>
      <c r="O311" t="s">
        <v>24</v>
      </c>
      <c r="P311" t="s">
        <v>338</v>
      </c>
      <c r="Q311" t="s">
        <v>327</v>
      </c>
      <c r="R311" t="s">
        <v>328</v>
      </c>
    </row>
    <row r="312" spans="1:18" hidden="1">
      <c r="A312">
        <v>1</v>
      </c>
      <c r="B312" s="4" t="s">
        <v>16</v>
      </c>
      <c r="C312" s="4" t="s">
        <v>323</v>
      </c>
      <c r="D312" s="4" t="s">
        <v>324</v>
      </c>
      <c r="E312" s="4" t="s">
        <v>5804</v>
      </c>
      <c r="F312" t="s">
        <v>19</v>
      </c>
      <c r="G312" t="s">
        <v>28</v>
      </c>
      <c r="H312" t="s">
        <v>21</v>
      </c>
      <c r="I312">
        <v>12</v>
      </c>
      <c r="J312" s="5">
        <v>2.3E-2</v>
      </c>
      <c r="K312" t="s">
        <v>115</v>
      </c>
      <c r="L312" s="6">
        <v>42461</v>
      </c>
      <c r="M312">
        <v>4</v>
      </c>
      <c r="N312" s="7" t="s">
        <v>23</v>
      </c>
      <c r="O312" t="s">
        <v>31</v>
      </c>
      <c r="P312" t="s">
        <v>339</v>
      </c>
      <c r="Q312" t="s">
        <v>340</v>
      </c>
      <c r="R312" t="s">
        <v>341</v>
      </c>
    </row>
    <row r="313" spans="1:18" hidden="1">
      <c r="A313">
        <v>1</v>
      </c>
      <c r="B313" s="4" t="s">
        <v>16</v>
      </c>
      <c r="C313" s="4" t="s">
        <v>323</v>
      </c>
      <c r="D313" s="4" t="s">
        <v>324</v>
      </c>
      <c r="E313" s="4" t="s">
        <v>5804</v>
      </c>
      <c r="F313" t="s">
        <v>19</v>
      </c>
      <c r="G313" t="s">
        <v>227</v>
      </c>
      <c r="H313" t="s">
        <v>53</v>
      </c>
      <c r="I313" t="s">
        <v>53</v>
      </c>
      <c r="J313" s="5" t="s">
        <v>53</v>
      </c>
      <c r="K313" t="s">
        <v>119</v>
      </c>
      <c r="L313" s="6">
        <v>42552</v>
      </c>
      <c r="M313">
        <v>7</v>
      </c>
      <c r="N313" s="7" t="s">
        <v>55</v>
      </c>
      <c r="O313" t="s">
        <v>88</v>
      </c>
      <c r="P313" t="s">
        <v>342</v>
      </c>
      <c r="Q313" t="s">
        <v>343</v>
      </c>
      <c r="R313" t="s">
        <v>328</v>
      </c>
    </row>
    <row r="314" spans="1:18" hidden="1">
      <c r="A314">
        <v>1</v>
      </c>
      <c r="B314" s="4" t="s">
        <v>16</v>
      </c>
      <c r="C314" s="4" t="s">
        <v>323</v>
      </c>
      <c r="D314" s="4" t="s">
        <v>324</v>
      </c>
      <c r="E314" s="4" t="s">
        <v>5804</v>
      </c>
      <c r="F314" t="s">
        <v>19</v>
      </c>
      <c r="G314" t="s">
        <v>227</v>
      </c>
      <c r="H314" t="s">
        <v>53</v>
      </c>
      <c r="I314" t="s">
        <v>53</v>
      </c>
      <c r="J314" s="5" t="s">
        <v>53</v>
      </c>
      <c r="K314" t="s">
        <v>22</v>
      </c>
      <c r="L314" s="6">
        <v>42979</v>
      </c>
      <c r="M314">
        <v>9</v>
      </c>
      <c r="N314" s="7" t="s">
        <v>23</v>
      </c>
      <c r="O314" t="s">
        <v>36</v>
      </c>
      <c r="P314" t="s">
        <v>344</v>
      </c>
      <c r="Q314" t="s">
        <v>345</v>
      </c>
      <c r="R314" t="s">
        <v>328</v>
      </c>
    </row>
    <row r="315" spans="1:18" hidden="1">
      <c r="A315">
        <v>1</v>
      </c>
      <c r="B315" s="4" t="s">
        <v>16</v>
      </c>
      <c r="C315" s="4" t="s">
        <v>323</v>
      </c>
      <c r="D315" s="4" t="s">
        <v>324</v>
      </c>
      <c r="E315" s="4" t="s">
        <v>5804</v>
      </c>
      <c r="F315" t="s">
        <v>19</v>
      </c>
      <c r="G315" t="s">
        <v>20</v>
      </c>
      <c r="H315" t="s">
        <v>21</v>
      </c>
      <c r="I315">
        <v>5</v>
      </c>
      <c r="J315" s="5">
        <v>4.9000000000000002E-2</v>
      </c>
      <c r="K315" t="s">
        <v>85</v>
      </c>
      <c r="L315" s="6">
        <v>43009</v>
      </c>
      <c r="M315">
        <v>10</v>
      </c>
      <c r="N315" s="7" t="s">
        <v>23</v>
      </c>
      <c r="O315" t="s">
        <v>223</v>
      </c>
      <c r="P315" t="s">
        <v>346</v>
      </c>
      <c r="Q315" t="s">
        <v>347</v>
      </c>
      <c r="R315" t="s">
        <v>328</v>
      </c>
    </row>
    <row r="316" spans="1:18" hidden="1">
      <c r="A316">
        <v>1</v>
      </c>
      <c r="B316" s="4" t="s">
        <v>16</v>
      </c>
      <c r="C316" s="4" t="s">
        <v>323</v>
      </c>
      <c r="D316" s="4" t="s">
        <v>324</v>
      </c>
      <c r="E316" s="4" t="s">
        <v>5804</v>
      </c>
      <c r="F316" t="s">
        <v>19</v>
      </c>
      <c r="G316" t="s">
        <v>227</v>
      </c>
      <c r="H316" t="s">
        <v>53</v>
      </c>
      <c r="I316" t="s">
        <v>53</v>
      </c>
      <c r="J316" s="5" t="s">
        <v>53</v>
      </c>
      <c r="K316" t="s">
        <v>298</v>
      </c>
      <c r="L316" s="6">
        <v>43344</v>
      </c>
      <c r="M316">
        <v>9</v>
      </c>
      <c r="N316" s="7" t="s">
        <v>23</v>
      </c>
      <c r="O316" t="s">
        <v>36</v>
      </c>
      <c r="P316" t="s">
        <v>351</v>
      </c>
      <c r="Q316" t="s">
        <v>352</v>
      </c>
      <c r="R316" t="s">
        <v>353</v>
      </c>
    </row>
    <row r="317" spans="1:18" hidden="1">
      <c r="A317">
        <v>1</v>
      </c>
      <c r="B317" s="4" t="s">
        <v>16</v>
      </c>
      <c r="C317" s="4" t="s">
        <v>323</v>
      </c>
      <c r="D317" s="4" t="s">
        <v>324</v>
      </c>
      <c r="E317" s="4" t="s">
        <v>5804</v>
      </c>
      <c r="F317" t="s">
        <v>19</v>
      </c>
      <c r="G317" t="s">
        <v>227</v>
      </c>
      <c r="H317" t="s">
        <v>53</v>
      </c>
      <c r="I317" t="s">
        <v>53</v>
      </c>
      <c r="J317" s="5" t="s">
        <v>53</v>
      </c>
      <c r="K317" t="s">
        <v>164</v>
      </c>
      <c r="L317" s="6">
        <v>43617</v>
      </c>
      <c r="M317">
        <v>6</v>
      </c>
      <c r="N317" s="7" t="s">
        <v>55</v>
      </c>
      <c r="O317" t="s">
        <v>24</v>
      </c>
      <c r="P317" t="s">
        <v>354</v>
      </c>
      <c r="Q317" t="s">
        <v>355</v>
      </c>
      <c r="R317" t="s">
        <v>356</v>
      </c>
    </row>
    <row r="318" spans="1:18" hidden="1">
      <c r="A318">
        <v>1</v>
      </c>
      <c r="B318" s="4" t="s">
        <v>16</v>
      </c>
      <c r="C318" s="4" t="s">
        <v>323</v>
      </c>
      <c r="D318" s="4" t="s">
        <v>324</v>
      </c>
      <c r="E318" s="4" t="s">
        <v>5804</v>
      </c>
      <c r="F318" t="s">
        <v>19</v>
      </c>
      <c r="G318" t="s">
        <v>20</v>
      </c>
      <c r="H318" t="s">
        <v>21</v>
      </c>
      <c r="I318">
        <v>5</v>
      </c>
      <c r="J318" s="5">
        <v>4.9000000000000002E-2</v>
      </c>
      <c r="K318" t="s">
        <v>357</v>
      </c>
      <c r="L318" s="6">
        <v>43739</v>
      </c>
      <c r="M318">
        <v>10</v>
      </c>
      <c r="N318" s="7" t="s">
        <v>23</v>
      </c>
      <c r="O318" t="s">
        <v>24</v>
      </c>
      <c r="P318" t="s">
        <v>358</v>
      </c>
      <c r="Q318" t="s">
        <v>327</v>
      </c>
      <c r="R318" t="s">
        <v>328</v>
      </c>
    </row>
    <row r="319" spans="1:18" hidden="1">
      <c r="A319">
        <v>1</v>
      </c>
      <c r="B319" s="4" t="s">
        <v>16</v>
      </c>
      <c r="C319" s="4" t="s">
        <v>323</v>
      </c>
      <c r="D319" s="4" t="s">
        <v>324</v>
      </c>
      <c r="E319" s="4" t="s">
        <v>5804</v>
      </c>
      <c r="F319" t="s">
        <v>19</v>
      </c>
      <c r="G319" t="s">
        <v>28</v>
      </c>
      <c r="H319" t="s">
        <v>21</v>
      </c>
      <c r="I319">
        <v>12</v>
      </c>
      <c r="J319" s="5">
        <v>2.3E-2</v>
      </c>
      <c r="K319" t="s">
        <v>357</v>
      </c>
      <c r="L319" s="6">
        <v>43739</v>
      </c>
      <c r="M319">
        <v>10</v>
      </c>
      <c r="N319" s="7" t="s">
        <v>23</v>
      </c>
      <c r="O319" t="s">
        <v>36</v>
      </c>
      <c r="P319" t="s">
        <v>359</v>
      </c>
      <c r="Q319" t="s">
        <v>360</v>
      </c>
      <c r="R319" t="s">
        <v>361</v>
      </c>
    </row>
    <row r="320" spans="1:18" hidden="1">
      <c r="A320">
        <v>1</v>
      </c>
      <c r="B320" s="4" t="s">
        <v>16</v>
      </c>
      <c r="C320" s="4" t="s">
        <v>323</v>
      </c>
      <c r="D320" s="4" t="s">
        <v>324</v>
      </c>
      <c r="E320" s="4" t="s">
        <v>5804</v>
      </c>
      <c r="F320" t="s">
        <v>19</v>
      </c>
      <c r="G320" t="s">
        <v>28</v>
      </c>
      <c r="H320" t="s">
        <v>21</v>
      </c>
      <c r="I320">
        <v>12</v>
      </c>
      <c r="J320" s="5">
        <v>2.3E-2</v>
      </c>
      <c r="K320" t="s">
        <v>362</v>
      </c>
      <c r="L320" s="6">
        <v>44044</v>
      </c>
      <c r="M320">
        <v>8</v>
      </c>
      <c r="N320" s="7" t="s">
        <v>55</v>
      </c>
      <c r="O320" t="s">
        <v>24</v>
      </c>
      <c r="P320" t="s">
        <v>363</v>
      </c>
      <c r="Q320" t="s">
        <v>364</v>
      </c>
      <c r="R320" t="s">
        <v>328</v>
      </c>
    </row>
    <row r="321" spans="1:18" hidden="1">
      <c r="A321">
        <v>1</v>
      </c>
      <c r="B321" s="4" t="s">
        <v>16</v>
      </c>
      <c r="C321" s="4" t="s">
        <v>323</v>
      </c>
      <c r="D321" s="4" t="s">
        <v>324</v>
      </c>
      <c r="E321" s="4" t="s">
        <v>5804</v>
      </c>
      <c r="F321" t="s">
        <v>19</v>
      </c>
      <c r="G321" t="s">
        <v>227</v>
      </c>
      <c r="H321" t="s">
        <v>53</v>
      </c>
      <c r="I321" t="s">
        <v>53</v>
      </c>
      <c r="J321" s="5" t="s">
        <v>53</v>
      </c>
      <c r="K321" t="s">
        <v>365</v>
      </c>
      <c r="L321" s="6">
        <v>44105</v>
      </c>
      <c r="M321">
        <v>10</v>
      </c>
      <c r="N321" s="7" t="s">
        <v>23</v>
      </c>
      <c r="O321" t="s">
        <v>36</v>
      </c>
      <c r="P321" t="s">
        <v>366</v>
      </c>
      <c r="Q321" t="s">
        <v>367</v>
      </c>
      <c r="R321" t="s">
        <v>368</v>
      </c>
    </row>
    <row r="322" spans="1:18" hidden="1">
      <c r="A322">
        <v>1</v>
      </c>
      <c r="B322" s="4" t="s">
        <v>16</v>
      </c>
      <c r="C322" s="4" t="s">
        <v>323</v>
      </c>
      <c r="D322" s="4" t="s">
        <v>324</v>
      </c>
      <c r="E322" s="4" t="s">
        <v>5804</v>
      </c>
      <c r="F322" t="s">
        <v>19</v>
      </c>
      <c r="G322" t="s">
        <v>227</v>
      </c>
      <c r="H322" t="s">
        <v>53</v>
      </c>
      <c r="I322" t="s">
        <v>53</v>
      </c>
      <c r="J322" s="5" t="s">
        <v>53</v>
      </c>
      <c r="K322" t="s">
        <v>178</v>
      </c>
      <c r="L322" s="6">
        <v>44228</v>
      </c>
      <c r="M322">
        <v>2</v>
      </c>
      <c r="N322" s="7" t="s">
        <v>30</v>
      </c>
      <c r="O322" t="s">
        <v>88</v>
      </c>
      <c r="P322" t="s">
        <v>371</v>
      </c>
      <c r="Q322" t="s">
        <v>372</v>
      </c>
      <c r="R322" t="s">
        <v>373</v>
      </c>
    </row>
    <row r="323" spans="1:18" hidden="1">
      <c r="A323">
        <v>1</v>
      </c>
      <c r="B323" s="4" t="s">
        <v>16</v>
      </c>
      <c r="C323" s="4" t="s">
        <v>323</v>
      </c>
      <c r="D323" s="4" t="s">
        <v>324</v>
      </c>
      <c r="E323" s="4" t="s">
        <v>5804</v>
      </c>
      <c r="F323" t="s">
        <v>19</v>
      </c>
      <c r="G323" t="s">
        <v>227</v>
      </c>
      <c r="H323" t="s">
        <v>53</v>
      </c>
      <c r="I323" t="s">
        <v>53</v>
      </c>
      <c r="J323" s="5" t="s">
        <v>53</v>
      </c>
      <c r="K323" t="s">
        <v>311</v>
      </c>
      <c r="L323" s="6">
        <v>44256</v>
      </c>
      <c r="M323">
        <v>3</v>
      </c>
      <c r="N323" s="7" t="s">
        <v>23</v>
      </c>
      <c r="O323" t="s">
        <v>36</v>
      </c>
      <c r="P323" t="s">
        <v>374</v>
      </c>
      <c r="Q323" t="s">
        <v>375</v>
      </c>
      <c r="R323" t="s">
        <v>376</v>
      </c>
    </row>
    <row r="324" spans="1:18" hidden="1">
      <c r="A324">
        <v>1</v>
      </c>
      <c r="B324" s="4" t="s">
        <v>16</v>
      </c>
      <c r="C324" s="4" t="s">
        <v>323</v>
      </c>
      <c r="D324" s="4" t="s">
        <v>324</v>
      </c>
      <c r="E324" s="4" t="s">
        <v>5804</v>
      </c>
      <c r="F324" t="s">
        <v>19</v>
      </c>
      <c r="G324" t="s">
        <v>20</v>
      </c>
      <c r="H324" t="s">
        <v>21</v>
      </c>
      <c r="I324">
        <v>5</v>
      </c>
      <c r="J324" s="5">
        <v>4.9000000000000002E-2</v>
      </c>
      <c r="K324" t="s">
        <v>377</v>
      </c>
      <c r="L324" s="6">
        <v>44470</v>
      </c>
      <c r="M324">
        <v>10</v>
      </c>
      <c r="N324" s="7" t="s">
        <v>23</v>
      </c>
      <c r="O324" t="s">
        <v>31</v>
      </c>
      <c r="P324" t="s">
        <v>378</v>
      </c>
      <c r="Q324" t="s">
        <v>379</v>
      </c>
      <c r="R324" t="s">
        <v>380</v>
      </c>
    </row>
    <row r="325" spans="1:18" hidden="1">
      <c r="A325">
        <v>1</v>
      </c>
      <c r="B325" s="4" t="s">
        <v>16</v>
      </c>
      <c r="C325" s="4" t="s">
        <v>323</v>
      </c>
      <c r="D325" s="4" t="s">
        <v>381</v>
      </c>
      <c r="E325" s="4" t="s">
        <v>5804</v>
      </c>
      <c r="F325" t="s">
        <v>19</v>
      </c>
      <c r="G325" t="s">
        <v>227</v>
      </c>
      <c r="H325" t="s">
        <v>53</v>
      </c>
      <c r="I325" t="s">
        <v>53</v>
      </c>
      <c r="J325" s="5" t="s">
        <v>53</v>
      </c>
      <c r="K325" t="s">
        <v>382</v>
      </c>
      <c r="L325" s="6">
        <v>42401</v>
      </c>
      <c r="M325">
        <v>2</v>
      </c>
      <c r="N325" s="7" t="s">
        <v>30</v>
      </c>
      <c r="O325" t="s">
        <v>24</v>
      </c>
      <c r="P325" t="s">
        <v>383</v>
      </c>
      <c r="Q325" t="s">
        <v>384</v>
      </c>
      <c r="R325" t="s">
        <v>385</v>
      </c>
    </row>
    <row r="326" spans="1:18" hidden="1">
      <c r="A326">
        <v>1</v>
      </c>
      <c r="B326" s="4" t="s">
        <v>16</v>
      </c>
      <c r="C326" s="4" t="s">
        <v>323</v>
      </c>
      <c r="D326" s="4" t="s">
        <v>381</v>
      </c>
      <c r="E326" s="4" t="s">
        <v>5804</v>
      </c>
      <c r="F326" t="s">
        <v>19</v>
      </c>
      <c r="G326" t="s">
        <v>28</v>
      </c>
      <c r="H326" t="s">
        <v>21</v>
      </c>
      <c r="I326">
        <v>12</v>
      </c>
      <c r="J326" s="5">
        <v>2.3E-2</v>
      </c>
      <c r="K326" t="s">
        <v>124</v>
      </c>
      <c r="L326" s="6">
        <v>42767</v>
      </c>
      <c r="M326">
        <v>2</v>
      </c>
      <c r="N326" s="7" t="s">
        <v>30</v>
      </c>
      <c r="O326" t="s">
        <v>88</v>
      </c>
      <c r="P326" t="s">
        <v>389</v>
      </c>
      <c r="Q326" t="s">
        <v>390</v>
      </c>
      <c r="R326" t="s">
        <v>391</v>
      </c>
    </row>
    <row r="327" spans="1:18" hidden="1">
      <c r="A327">
        <v>1</v>
      </c>
      <c r="B327" s="4" t="s">
        <v>16</v>
      </c>
      <c r="C327" s="4" t="s">
        <v>323</v>
      </c>
      <c r="D327" s="4" t="s">
        <v>381</v>
      </c>
      <c r="E327" s="4" t="s">
        <v>5804</v>
      </c>
      <c r="F327" t="s">
        <v>19</v>
      </c>
      <c r="G327" t="s">
        <v>20</v>
      </c>
      <c r="H327" t="s">
        <v>21</v>
      </c>
      <c r="I327">
        <v>5</v>
      </c>
      <c r="J327" s="5">
        <v>4.9000000000000002E-2</v>
      </c>
      <c r="K327" t="s">
        <v>22</v>
      </c>
      <c r="L327" s="6">
        <v>42979</v>
      </c>
      <c r="M327">
        <v>9</v>
      </c>
      <c r="N327" s="7" t="s">
        <v>23</v>
      </c>
      <c r="O327" t="s">
        <v>36</v>
      </c>
      <c r="P327" t="s">
        <v>392</v>
      </c>
      <c r="Q327" t="s">
        <v>393</v>
      </c>
      <c r="R327" t="s">
        <v>394</v>
      </c>
    </row>
    <row r="328" spans="1:18" hidden="1">
      <c r="A328">
        <v>1</v>
      </c>
      <c r="B328" s="4" t="s">
        <v>16</v>
      </c>
      <c r="C328" s="4" t="s">
        <v>323</v>
      </c>
      <c r="D328" s="4" t="s">
        <v>381</v>
      </c>
      <c r="E328" s="4" t="s">
        <v>5804</v>
      </c>
      <c r="F328" t="s">
        <v>19</v>
      </c>
      <c r="G328" t="s">
        <v>227</v>
      </c>
      <c r="H328" t="s">
        <v>53</v>
      </c>
      <c r="I328" t="s">
        <v>53</v>
      </c>
      <c r="J328" s="5" t="s">
        <v>53</v>
      </c>
      <c r="K328" t="s">
        <v>395</v>
      </c>
      <c r="L328" s="6">
        <v>43497</v>
      </c>
      <c r="M328">
        <v>2</v>
      </c>
      <c r="N328" s="7" t="s">
        <v>30</v>
      </c>
      <c r="O328" t="s">
        <v>24</v>
      </c>
      <c r="P328" t="s">
        <v>396</v>
      </c>
      <c r="Q328" t="s">
        <v>397</v>
      </c>
      <c r="R328" t="s">
        <v>398</v>
      </c>
    </row>
    <row r="329" spans="1:18" hidden="1">
      <c r="A329">
        <v>1</v>
      </c>
      <c r="B329" s="4" t="s">
        <v>16</v>
      </c>
      <c r="C329" s="4" t="s">
        <v>323</v>
      </c>
      <c r="D329" s="4" t="s">
        <v>381</v>
      </c>
      <c r="E329" s="4" t="s">
        <v>5804</v>
      </c>
      <c r="F329" t="s">
        <v>19</v>
      </c>
      <c r="G329" t="s">
        <v>227</v>
      </c>
      <c r="H329" t="s">
        <v>53</v>
      </c>
      <c r="I329" t="s">
        <v>53</v>
      </c>
      <c r="J329" s="5" t="s">
        <v>53</v>
      </c>
      <c r="K329" t="s">
        <v>399</v>
      </c>
      <c r="L329" s="6">
        <v>43678</v>
      </c>
      <c r="M329">
        <v>8</v>
      </c>
      <c r="N329" s="7" t="s">
        <v>55</v>
      </c>
      <c r="O329" t="s">
        <v>24</v>
      </c>
      <c r="P329" t="s">
        <v>400</v>
      </c>
      <c r="Q329" t="s">
        <v>401</v>
      </c>
      <c r="R329" t="s">
        <v>402</v>
      </c>
    </row>
    <row r="330" spans="1:18" hidden="1">
      <c r="A330">
        <v>1</v>
      </c>
      <c r="B330" s="4" t="s">
        <v>16</v>
      </c>
      <c r="C330" s="4" t="s">
        <v>323</v>
      </c>
      <c r="D330" s="4" t="s">
        <v>381</v>
      </c>
      <c r="E330" s="4" t="s">
        <v>5804</v>
      </c>
      <c r="F330" t="s">
        <v>19</v>
      </c>
      <c r="G330" t="s">
        <v>227</v>
      </c>
      <c r="H330" t="s">
        <v>53</v>
      </c>
      <c r="I330" t="s">
        <v>53</v>
      </c>
      <c r="J330" s="5" t="s">
        <v>53</v>
      </c>
      <c r="K330" t="s">
        <v>357</v>
      </c>
      <c r="L330" s="6">
        <v>43739</v>
      </c>
      <c r="M330">
        <v>10</v>
      </c>
      <c r="N330" s="7" t="s">
        <v>23</v>
      </c>
      <c r="O330" t="s">
        <v>24</v>
      </c>
      <c r="P330" t="s">
        <v>403</v>
      </c>
      <c r="Q330" t="s">
        <v>384</v>
      </c>
      <c r="R330" t="s">
        <v>385</v>
      </c>
    </row>
    <row r="331" spans="1:18" hidden="1">
      <c r="A331">
        <v>1</v>
      </c>
      <c r="B331" s="4" t="s">
        <v>16</v>
      </c>
      <c r="C331" s="4" t="s">
        <v>323</v>
      </c>
      <c r="D331" s="4" t="s">
        <v>381</v>
      </c>
      <c r="E331" s="4" t="s">
        <v>5804</v>
      </c>
      <c r="F331" t="s">
        <v>19</v>
      </c>
      <c r="G331" t="s">
        <v>227</v>
      </c>
      <c r="H331" t="s">
        <v>53</v>
      </c>
      <c r="I331" t="s">
        <v>53</v>
      </c>
      <c r="J331" s="5" t="s">
        <v>53</v>
      </c>
      <c r="K331" t="s">
        <v>255</v>
      </c>
      <c r="L331" s="6">
        <v>43983</v>
      </c>
      <c r="M331">
        <v>6</v>
      </c>
      <c r="N331" s="7" t="s">
        <v>55</v>
      </c>
      <c r="O331" t="s">
        <v>24</v>
      </c>
      <c r="P331" t="s">
        <v>407</v>
      </c>
      <c r="Q331" t="s">
        <v>397</v>
      </c>
      <c r="R331" t="s">
        <v>398</v>
      </c>
    </row>
    <row r="332" spans="1:18" hidden="1">
      <c r="A332">
        <v>1</v>
      </c>
      <c r="B332" s="4" t="s">
        <v>16</v>
      </c>
      <c r="C332" s="4" t="s">
        <v>323</v>
      </c>
      <c r="D332" s="4" t="s">
        <v>408</v>
      </c>
      <c r="E332" s="4" t="s">
        <v>5804</v>
      </c>
      <c r="F332" t="s">
        <v>19</v>
      </c>
      <c r="G332" t="s">
        <v>227</v>
      </c>
      <c r="H332" t="s">
        <v>53</v>
      </c>
      <c r="I332" t="s">
        <v>53</v>
      </c>
      <c r="J332" s="5" t="s">
        <v>53</v>
      </c>
      <c r="K332" t="s">
        <v>382</v>
      </c>
      <c r="L332" s="6">
        <v>42401</v>
      </c>
      <c r="M332">
        <v>2</v>
      </c>
      <c r="N332" s="7" t="s">
        <v>30</v>
      </c>
      <c r="O332" t="s">
        <v>88</v>
      </c>
      <c r="P332" t="s">
        <v>409</v>
      </c>
      <c r="Q332" t="s">
        <v>410</v>
      </c>
      <c r="R332" t="s">
        <v>411</v>
      </c>
    </row>
    <row r="333" spans="1:18" hidden="1">
      <c r="A333">
        <v>1</v>
      </c>
      <c r="B333" s="4" t="s">
        <v>16</v>
      </c>
      <c r="C333" s="4" t="s">
        <v>323</v>
      </c>
      <c r="D333" s="4" t="s">
        <v>408</v>
      </c>
      <c r="E333" s="4" t="s">
        <v>5804</v>
      </c>
      <c r="F333" t="s">
        <v>19</v>
      </c>
      <c r="G333" t="s">
        <v>227</v>
      </c>
      <c r="H333" t="s">
        <v>53</v>
      </c>
      <c r="I333" t="s">
        <v>53</v>
      </c>
      <c r="J333" s="5" t="s">
        <v>53</v>
      </c>
      <c r="K333" t="s">
        <v>65</v>
      </c>
      <c r="L333" s="6">
        <v>42430</v>
      </c>
      <c r="M333">
        <v>3</v>
      </c>
      <c r="N333" s="7" t="s">
        <v>23</v>
      </c>
      <c r="O333" t="s">
        <v>88</v>
      </c>
      <c r="P333" t="s">
        <v>412</v>
      </c>
      <c r="Q333" t="s">
        <v>413</v>
      </c>
      <c r="R333" t="s">
        <v>414</v>
      </c>
    </row>
    <row r="334" spans="1:18" hidden="1">
      <c r="A334">
        <v>1</v>
      </c>
      <c r="B334" s="4" t="s">
        <v>16</v>
      </c>
      <c r="C334" s="4" t="s">
        <v>323</v>
      </c>
      <c r="D334" s="4" t="s">
        <v>408</v>
      </c>
      <c r="E334" s="4" t="s">
        <v>5804</v>
      </c>
      <c r="F334" t="s">
        <v>19</v>
      </c>
      <c r="G334" t="s">
        <v>227</v>
      </c>
      <c r="H334" t="s">
        <v>53</v>
      </c>
      <c r="I334" t="s">
        <v>53</v>
      </c>
      <c r="J334" s="5" t="s">
        <v>53</v>
      </c>
      <c r="K334" t="s">
        <v>71</v>
      </c>
      <c r="L334" s="6">
        <v>42522</v>
      </c>
      <c r="M334">
        <v>6</v>
      </c>
      <c r="N334" s="7" t="s">
        <v>55</v>
      </c>
      <c r="O334" t="s">
        <v>24</v>
      </c>
      <c r="P334" t="s">
        <v>415</v>
      </c>
      <c r="Q334" t="s">
        <v>416</v>
      </c>
      <c r="R334" t="s">
        <v>417</v>
      </c>
    </row>
    <row r="335" spans="1:18" hidden="1">
      <c r="A335">
        <v>1</v>
      </c>
      <c r="B335" s="4" t="s">
        <v>16</v>
      </c>
      <c r="C335" s="4" t="s">
        <v>323</v>
      </c>
      <c r="D335" s="4" t="s">
        <v>408</v>
      </c>
      <c r="E335" s="4" t="s">
        <v>5804</v>
      </c>
      <c r="F335" t="s">
        <v>19</v>
      </c>
      <c r="G335" t="s">
        <v>227</v>
      </c>
      <c r="H335" t="s">
        <v>53</v>
      </c>
      <c r="I335" t="s">
        <v>53</v>
      </c>
      <c r="J335" s="5" t="s">
        <v>53</v>
      </c>
      <c r="K335" t="s">
        <v>278</v>
      </c>
      <c r="L335" s="6">
        <v>42675</v>
      </c>
      <c r="M335">
        <v>11</v>
      </c>
      <c r="N335" s="7" t="s">
        <v>23</v>
      </c>
      <c r="O335" t="s">
        <v>418</v>
      </c>
      <c r="P335" t="s">
        <v>419</v>
      </c>
      <c r="Q335" t="s">
        <v>420</v>
      </c>
      <c r="R335" t="s">
        <v>421</v>
      </c>
    </row>
    <row r="336" spans="1:18" hidden="1">
      <c r="A336">
        <v>1</v>
      </c>
      <c r="B336" s="4" t="s">
        <v>16</v>
      </c>
      <c r="C336" s="4" t="s">
        <v>323</v>
      </c>
      <c r="D336" s="4" t="s">
        <v>408</v>
      </c>
      <c r="E336" s="4" t="s">
        <v>5804</v>
      </c>
      <c r="F336" t="s">
        <v>19</v>
      </c>
      <c r="G336" t="s">
        <v>227</v>
      </c>
      <c r="H336" t="s">
        <v>53</v>
      </c>
      <c r="I336" t="s">
        <v>53</v>
      </c>
      <c r="J336" s="5" t="s">
        <v>53</v>
      </c>
      <c r="K336" t="s">
        <v>422</v>
      </c>
      <c r="L336" s="6">
        <v>42736</v>
      </c>
      <c r="M336">
        <v>1</v>
      </c>
      <c r="N336" s="7" t="s">
        <v>30</v>
      </c>
      <c r="O336" t="s">
        <v>24</v>
      </c>
      <c r="P336" t="s">
        <v>423</v>
      </c>
      <c r="Q336" t="s">
        <v>424</v>
      </c>
      <c r="R336" t="s">
        <v>425</v>
      </c>
    </row>
    <row r="337" spans="1:18" hidden="1">
      <c r="A337">
        <v>1</v>
      </c>
      <c r="B337" s="4" t="s">
        <v>16</v>
      </c>
      <c r="C337" s="4" t="s">
        <v>323</v>
      </c>
      <c r="D337" s="4" t="s">
        <v>408</v>
      </c>
      <c r="E337" s="4" t="s">
        <v>5804</v>
      </c>
      <c r="F337" t="s">
        <v>19</v>
      </c>
      <c r="G337" t="s">
        <v>227</v>
      </c>
      <c r="H337" t="s">
        <v>53</v>
      </c>
      <c r="I337" t="s">
        <v>53</v>
      </c>
      <c r="J337" s="5" t="s">
        <v>53</v>
      </c>
      <c r="K337" t="s">
        <v>128</v>
      </c>
      <c r="L337" s="6">
        <v>42795</v>
      </c>
      <c r="M337">
        <v>3</v>
      </c>
      <c r="N337" s="7" t="s">
        <v>23</v>
      </c>
      <c r="O337" t="s">
        <v>31</v>
      </c>
      <c r="P337" t="s">
        <v>426</v>
      </c>
      <c r="Q337" t="s">
        <v>427</v>
      </c>
      <c r="R337" t="s">
        <v>428</v>
      </c>
    </row>
    <row r="338" spans="1:18" hidden="1">
      <c r="A338">
        <v>1</v>
      </c>
      <c r="B338" s="4" t="s">
        <v>16</v>
      </c>
      <c r="C338" s="4" t="s">
        <v>323</v>
      </c>
      <c r="D338" s="4" t="s">
        <v>408</v>
      </c>
      <c r="E338" s="4" t="s">
        <v>5804</v>
      </c>
      <c r="F338" t="s">
        <v>19</v>
      </c>
      <c r="G338" t="s">
        <v>227</v>
      </c>
      <c r="H338" t="s">
        <v>53</v>
      </c>
      <c r="I338" t="s">
        <v>53</v>
      </c>
      <c r="J338" s="5" t="s">
        <v>53</v>
      </c>
      <c r="K338" t="s">
        <v>80</v>
      </c>
      <c r="L338" s="6">
        <v>42917</v>
      </c>
      <c r="M338">
        <v>7</v>
      </c>
      <c r="N338" s="7" t="s">
        <v>55</v>
      </c>
      <c r="O338" t="s">
        <v>24</v>
      </c>
      <c r="P338" t="s">
        <v>429</v>
      </c>
      <c r="Q338" t="s">
        <v>430</v>
      </c>
      <c r="R338" t="s">
        <v>421</v>
      </c>
    </row>
    <row r="339" spans="1:18" hidden="1">
      <c r="A339">
        <v>1</v>
      </c>
      <c r="B339" s="4" t="s">
        <v>16</v>
      </c>
      <c r="C339" s="4" t="s">
        <v>323</v>
      </c>
      <c r="D339" s="4" t="s">
        <v>408</v>
      </c>
      <c r="E339" s="4" t="s">
        <v>5804</v>
      </c>
      <c r="F339" t="s">
        <v>19</v>
      </c>
      <c r="G339" t="s">
        <v>227</v>
      </c>
      <c r="H339" t="s">
        <v>53</v>
      </c>
      <c r="I339" t="s">
        <v>53</v>
      </c>
      <c r="J339" s="5" t="s">
        <v>53</v>
      </c>
      <c r="K339" t="s">
        <v>22</v>
      </c>
      <c r="L339" s="6">
        <v>42979</v>
      </c>
      <c r="M339">
        <v>9</v>
      </c>
      <c r="N339" s="7" t="s">
        <v>23</v>
      </c>
      <c r="O339" t="s">
        <v>36</v>
      </c>
      <c r="P339" t="s">
        <v>431</v>
      </c>
      <c r="Q339" t="s">
        <v>432</v>
      </c>
      <c r="R339" t="s">
        <v>433</v>
      </c>
    </row>
    <row r="340" spans="1:18" hidden="1">
      <c r="A340">
        <v>1</v>
      </c>
      <c r="B340" s="4" t="s">
        <v>16</v>
      </c>
      <c r="C340" s="4" t="s">
        <v>323</v>
      </c>
      <c r="D340" s="4" t="s">
        <v>408</v>
      </c>
      <c r="E340" s="4" t="s">
        <v>5804</v>
      </c>
      <c r="F340" t="s">
        <v>19</v>
      </c>
      <c r="G340" t="s">
        <v>227</v>
      </c>
      <c r="H340" t="s">
        <v>53</v>
      </c>
      <c r="I340" t="s">
        <v>53</v>
      </c>
      <c r="J340" s="5" t="s">
        <v>53</v>
      </c>
      <c r="K340" t="s">
        <v>142</v>
      </c>
      <c r="L340" s="6">
        <v>43101</v>
      </c>
      <c r="M340">
        <v>1</v>
      </c>
      <c r="N340" s="7" t="s">
        <v>30</v>
      </c>
      <c r="O340" t="s">
        <v>24</v>
      </c>
      <c r="P340" t="s">
        <v>434</v>
      </c>
      <c r="Q340" t="s">
        <v>435</v>
      </c>
      <c r="R340" t="s">
        <v>436</v>
      </c>
    </row>
    <row r="341" spans="1:18" hidden="1">
      <c r="A341">
        <v>1</v>
      </c>
      <c r="B341" s="4" t="s">
        <v>16</v>
      </c>
      <c r="C341" s="4" t="s">
        <v>323</v>
      </c>
      <c r="D341" s="4" t="s">
        <v>408</v>
      </c>
      <c r="E341" s="4" t="s">
        <v>5804</v>
      </c>
      <c r="F341" t="s">
        <v>19</v>
      </c>
      <c r="G341" t="s">
        <v>227</v>
      </c>
      <c r="H341" t="s">
        <v>53</v>
      </c>
      <c r="I341" t="s">
        <v>53</v>
      </c>
      <c r="J341" s="5" t="s">
        <v>53</v>
      </c>
      <c r="K341" t="s">
        <v>295</v>
      </c>
      <c r="L341" s="6">
        <v>43221</v>
      </c>
      <c r="M341">
        <v>5</v>
      </c>
      <c r="N341" s="7" t="s">
        <v>23</v>
      </c>
      <c r="O341" t="s">
        <v>88</v>
      </c>
      <c r="P341" t="s">
        <v>437</v>
      </c>
      <c r="Q341" t="s">
        <v>438</v>
      </c>
      <c r="R341" t="s">
        <v>439</v>
      </c>
    </row>
    <row r="342" spans="1:18" hidden="1">
      <c r="A342">
        <v>1</v>
      </c>
      <c r="B342" s="4" t="s">
        <v>16</v>
      </c>
      <c r="C342" s="4" t="s">
        <v>323</v>
      </c>
      <c r="D342" s="4" t="s">
        <v>408</v>
      </c>
      <c r="E342" s="4" t="s">
        <v>5804</v>
      </c>
      <c r="F342" t="s">
        <v>19</v>
      </c>
      <c r="G342" t="s">
        <v>227</v>
      </c>
      <c r="H342" t="s">
        <v>53</v>
      </c>
      <c r="I342" t="s">
        <v>53</v>
      </c>
      <c r="J342" s="5" t="s">
        <v>53</v>
      </c>
      <c r="K342" t="s">
        <v>146</v>
      </c>
      <c r="L342" s="6">
        <v>43313</v>
      </c>
      <c r="M342">
        <v>8</v>
      </c>
      <c r="N342" s="7" t="s">
        <v>55</v>
      </c>
      <c r="O342" t="s">
        <v>31</v>
      </c>
      <c r="P342" t="s">
        <v>440</v>
      </c>
      <c r="Q342" t="s">
        <v>441</v>
      </c>
      <c r="R342" t="s">
        <v>442</v>
      </c>
    </row>
    <row r="343" spans="1:18" hidden="1">
      <c r="A343">
        <v>1</v>
      </c>
      <c r="B343" s="4" t="s">
        <v>16</v>
      </c>
      <c r="C343" s="4" t="s">
        <v>323</v>
      </c>
      <c r="D343" s="4" t="s">
        <v>408</v>
      </c>
      <c r="E343" s="4" t="s">
        <v>5804</v>
      </c>
      <c r="F343" t="s">
        <v>19</v>
      </c>
      <c r="G343" t="s">
        <v>227</v>
      </c>
      <c r="H343" t="s">
        <v>53</v>
      </c>
      <c r="I343" t="s">
        <v>53</v>
      </c>
      <c r="J343" s="5" t="s">
        <v>53</v>
      </c>
      <c r="K343" t="s">
        <v>298</v>
      </c>
      <c r="L343" s="6">
        <v>43344</v>
      </c>
      <c r="M343">
        <v>9</v>
      </c>
      <c r="N343" s="7" t="s">
        <v>23</v>
      </c>
      <c r="O343" t="s">
        <v>36</v>
      </c>
      <c r="P343" t="s">
        <v>447</v>
      </c>
      <c r="Q343" t="s">
        <v>352</v>
      </c>
      <c r="R343" t="s">
        <v>353</v>
      </c>
    </row>
    <row r="344" spans="1:18" hidden="1">
      <c r="A344">
        <v>1</v>
      </c>
      <c r="B344" s="4" t="s">
        <v>16</v>
      </c>
      <c r="C344" s="4" t="s">
        <v>323</v>
      </c>
      <c r="D344" s="4" t="s">
        <v>408</v>
      </c>
      <c r="E344" s="4" t="s">
        <v>5804</v>
      </c>
      <c r="F344" t="s">
        <v>19</v>
      </c>
      <c r="G344" t="s">
        <v>227</v>
      </c>
      <c r="H344" t="s">
        <v>53</v>
      </c>
      <c r="I344" t="s">
        <v>53</v>
      </c>
      <c r="J344" s="5" t="s">
        <v>53</v>
      </c>
      <c r="K344" t="s">
        <v>156</v>
      </c>
      <c r="L344" s="6">
        <v>43405</v>
      </c>
      <c r="M344">
        <v>11</v>
      </c>
      <c r="N344" s="7" t="s">
        <v>23</v>
      </c>
      <c r="O344" t="s">
        <v>31</v>
      </c>
      <c r="P344" t="s">
        <v>448</v>
      </c>
      <c r="Q344" t="s">
        <v>441</v>
      </c>
      <c r="R344" t="s">
        <v>442</v>
      </c>
    </row>
    <row r="345" spans="1:18" hidden="1">
      <c r="A345">
        <v>1</v>
      </c>
      <c r="B345" s="4" t="s">
        <v>16</v>
      </c>
      <c r="C345" s="4" t="s">
        <v>323</v>
      </c>
      <c r="D345" s="4" t="s">
        <v>408</v>
      </c>
      <c r="E345" s="4" t="s">
        <v>5804</v>
      </c>
      <c r="F345" t="s">
        <v>19</v>
      </c>
      <c r="G345" t="s">
        <v>28</v>
      </c>
      <c r="H345" t="s">
        <v>21</v>
      </c>
      <c r="I345">
        <v>12</v>
      </c>
      <c r="J345" s="5">
        <v>2.3E-2</v>
      </c>
      <c r="K345" t="s">
        <v>43</v>
      </c>
      <c r="L345" s="6">
        <v>43525</v>
      </c>
      <c r="M345">
        <v>3</v>
      </c>
      <c r="N345" s="7" t="s">
        <v>23</v>
      </c>
      <c r="O345" t="s">
        <v>24</v>
      </c>
      <c r="P345" t="s">
        <v>449</v>
      </c>
      <c r="Q345" t="s">
        <v>450</v>
      </c>
      <c r="R345" t="s">
        <v>328</v>
      </c>
    </row>
    <row r="346" spans="1:18" hidden="1">
      <c r="A346">
        <v>1</v>
      </c>
      <c r="B346" s="4" t="s">
        <v>16</v>
      </c>
      <c r="C346" s="4" t="s">
        <v>323</v>
      </c>
      <c r="D346" s="4" t="s">
        <v>408</v>
      </c>
      <c r="E346" s="4" t="s">
        <v>5804</v>
      </c>
      <c r="F346" t="s">
        <v>19</v>
      </c>
      <c r="G346" t="s">
        <v>227</v>
      </c>
      <c r="H346" t="s">
        <v>53</v>
      </c>
      <c r="I346" t="s">
        <v>53</v>
      </c>
      <c r="J346" s="5" t="s">
        <v>53</v>
      </c>
      <c r="K346" t="s">
        <v>43</v>
      </c>
      <c r="L346" s="6">
        <v>43525</v>
      </c>
      <c r="M346">
        <v>3</v>
      </c>
      <c r="N346" s="7" t="s">
        <v>23</v>
      </c>
      <c r="O346" t="s">
        <v>88</v>
      </c>
      <c r="P346" t="s">
        <v>451</v>
      </c>
      <c r="Q346" t="s">
        <v>372</v>
      </c>
      <c r="R346" t="s">
        <v>373</v>
      </c>
    </row>
    <row r="347" spans="1:18" hidden="1">
      <c r="A347">
        <v>1</v>
      </c>
      <c r="B347" s="4" t="s">
        <v>16</v>
      </c>
      <c r="C347" s="4" t="s">
        <v>323</v>
      </c>
      <c r="D347" s="4" t="s">
        <v>408</v>
      </c>
      <c r="E347" s="4" t="s">
        <v>5804</v>
      </c>
      <c r="F347" t="s">
        <v>19</v>
      </c>
      <c r="G347" t="s">
        <v>28</v>
      </c>
      <c r="H347" t="s">
        <v>21</v>
      </c>
      <c r="I347">
        <v>12</v>
      </c>
      <c r="J347" s="5">
        <v>2.3E-2</v>
      </c>
      <c r="K347" t="s">
        <v>159</v>
      </c>
      <c r="L347" s="6">
        <v>43586</v>
      </c>
      <c r="M347">
        <v>5</v>
      </c>
      <c r="N347" s="7" t="s">
        <v>23</v>
      </c>
      <c r="O347" t="s">
        <v>193</v>
      </c>
      <c r="P347" t="s">
        <v>452</v>
      </c>
      <c r="Q347" t="s">
        <v>453</v>
      </c>
      <c r="R347" t="s">
        <v>454</v>
      </c>
    </row>
    <row r="348" spans="1:18" hidden="1">
      <c r="A348">
        <v>1</v>
      </c>
      <c r="B348" s="4" t="s">
        <v>16</v>
      </c>
      <c r="C348" s="4" t="s">
        <v>323</v>
      </c>
      <c r="D348" s="4" t="s">
        <v>408</v>
      </c>
      <c r="E348" s="4" t="s">
        <v>5804</v>
      </c>
      <c r="F348" t="s">
        <v>19</v>
      </c>
      <c r="G348" t="s">
        <v>227</v>
      </c>
      <c r="H348" t="s">
        <v>53</v>
      </c>
      <c r="I348" t="s">
        <v>53</v>
      </c>
      <c r="J348" s="5" t="s">
        <v>53</v>
      </c>
      <c r="K348" t="s">
        <v>365</v>
      </c>
      <c r="L348" s="6">
        <v>44105</v>
      </c>
      <c r="M348">
        <v>10</v>
      </c>
      <c r="N348" s="7" t="s">
        <v>23</v>
      </c>
      <c r="O348" t="s">
        <v>24</v>
      </c>
      <c r="P348" t="s">
        <v>455</v>
      </c>
      <c r="Q348" t="s">
        <v>456</v>
      </c>
      <c r="R348" t="s">
        <v>457</v>
      </c>
    </row>
    <row r="349" spans="1:18" hidden="1">
      <c r="A349">
        <v>1</v>
      </c>
      <c r="B349" s="4" t="s">
        <v>16</v>
      </c>
      <c r="C349" s="4" t="s">
        <v>323</v>
      </c>
      <c r="D349" s="4" t="s">
        <v>408</v>
      </c>
      <c r="E349" s="4" t="s">
        <v>5804</v>
      </c>
      <c r="F349" t="s">
        <v>19</v>
      </c>
      <c r="G349" t="s">
        <v>227</v>
      </c>
      <c r="H349" t="s">
        <v>53</v>
      </c>
      <c r="I349" t="s">
        <v>53</v>
      </c>
      <c r="J349" s="5" t="s">
        <v>53</v>
      </c>
      <c r="K349" t="s">
        <v>458</v>
      </c>
      <c r="L349" s="6">
        <v>44228</v>
      </c>
      <c r="M349">
        <v>2</v>
      </c>
      <c r="N349" s="7" t="s">
        <v>30</v>
      </c>
      <c r="O349" t="s">
        <v>24</v>
      </c>
      <c r="P349" t="s">
        <v>459</v>
      </c>
      <c r="Q349" t="s">
        <v>460</v>
      </c>
      <c r="R349" t="s">
        <v>461</v>
      </c>
    </row>
    <row r="350" spans="1:18" hidden="1">
      <c r="A350">
        <v>1</v>
      </c>
      <c r="B350" s="4" t="s">
        <v>16</v>
      </c>
      <c r="C350" s="4" t="s">
        <v>462</v>
      </c>
      <c r="D350" s="4" t="s">
        <v>463</v>
      </c>
      <c r="E350" s="4" t="s">
        <v>5804</v>
      </c>
      <c r="F350" t="s">
        <v>19</v>
      </c>
      <c r="G350" t="s">
        <v>114</v>
      </c>
      <c r="H350" t="s">
        <v>21</v>
      </c>
      <c r="I350">
        <v>9</v>
      </c>
      <c r="J350" s="5">
        <v>3.4000000000000002E-2</v>
      </c>
      <c r="K350" t="s">
        <v>218</v>
      </c>
      <c r="L350" s="6">
        <v>42614</v>
      </c>
      <c r="M350">
        <v>9</v>
      </c>
      <c r="N350" s="7" t="s">
        <v>23</v>
      </c>
      <c r="O350" t="s">
        <v>36</v>
      </c>
      <c r="P350" t="s">
        <v>464</v>
      </c>
      <c r="Q350" t="s">
        <v>465</v>
      </c>
      <c r="R350" t="s">
        <v>466</v>
      </c>
    </row>
    <row r="351" spans="1:18" hidden="1">
      <c r="A351">
        <v>1</v>
      </c>
      <c r="B351" s="4" t="s">
        <v>16</v>
      </c>
      <c r="C351" s="4" t="s">
        <v>462</v>
      </c>
      <c r="D351" s="4" t="s">
        <v>463</v>
      </c>
      <c r="E351" s="4" t="s">
        <v>5804</v>
      </c>
      <c r="F351" t="s">
        <v>19</v>
      </c>
      <c r="G351" t="s">
        <v>20</v>
      </c>
      <c r="H351" t="s">
        <v>21</v>
      </c>
      <c r="I351">
        <v>5</v>
      </c>
      <c r="J351" s="5">
        <v>4.9000000000000002E-2</v>
      </c>
      <c r="K351" t="s">
        <v>85</v>
      </c>
      <c r="L351" s="6">
        <v>43009</v>
      </c>
      <c r="M351">
        <v>10</v>
      </c>
      <c r="N351" s="7" t="s">
        <v>23</v>
      </c>
      <c r="O351" t="s">
        <v>223</v>
      </c>
      <c r="P351" t="s">
        <v>467</v>
      </c>
      <c r="Q351" t="s">
        <v>468</v>
      </c>
      <c r="R351" t="s">
        <v>469</v>
      </c>
    </row>
    <row r="352" spans="1:18" hidden="1">
      <c r="A352">
        <v>1</v>
      </c>
      <c r="B352" s="4" t="s">
        <v>16</v>
      </c>
      <c r="C352" s="4" t="s">
        <v>462</v>
      </c>
      <c r="D352" s="4" t="s">
        <v>463</v>
      </c>
      <c r="E352" s="4" t="s">
        <v>5804</v>
      </c>
      <c r="F352" t="s">
        <v>19</v>
      </c>
      <c r="G352" t="s">
        <v>114</v>
      </c>
      <c r="H352" t="s">
        <v>21</v>
      </c>
      <c r="I352">
        <v>9</v>
      </c>
      <c r="J352" s="5">
        <v>3.4000000000000002E-2</v>
      </c>
      <c r="K352" t="s">
        <v>29</v>
      </c>
      <c r="L352" s="6">
        <v>43070</v>
      </c>
      <c r="M352">
        <v>12</v>
      </c>
      <c r="N352" s="7" t="s">
        <v>30</v>
      </c>
      <c r="O352" t="s">
        <v>36</v>
      </c>
      <c r="P352" t="s">
        <v>471</v>
      </c>
      <c r="Q352" t="s">
        <v>191</v>
      </c>
      <c r="R352" t="s">
        <v>469</v>
      </c>
    </row>
    <row r="353" spans="1:18" hidden="1">
      <c r="A353">
        <v>1</v>
      </c>
      <c r="B353" s="4" t="s">
        <v>16</v>
      </c>
      <c r="C353" s="4" t="s">
        <v>462</v>
      </c>
      <c r="D353" s="4" t="s">
        <v>463</v>
      </c>
      <c r="E353" s="4" t="s">
        <v>5804</v>
      </c>
      <c r="F353" t="s">
        <v>19</v>
      </c>
      <c r="G353" t="s">
        <v>114</v>
      </c>
      <c r="H353" t="s">
        <v>21</v>
      </c>
      <c r="I353">
        <v>9</v>
      </c>
      <c r="J353" s="5">
        <v>3.4000000000000002E-2</v>
      </c>
      <c r="K353" t="s">
        <v>311</v>
      </c>
      <c r="L353" s="6">
        <v>44256</v>
      </c>
      <c r="M353">
        <v>3</v>
      </c>
      <c r="N353" s="7" t="s">
        <v>23</v>
      </c>
      <c r="O353" t="s">
        <v>36</v>
      </c>
      <c r="P353" t="s">
        <v>472</v>
      </c>
      <c r="Q353" t="s">
        <v>465</v>
      </c>
      <c r="R353" t="s">
        <v>466</v>
      </c>
    </row>
    <row r="354" spans="1:18" hidden="1">
      <c r="A354">
        <v>1</v>
      </c>
      <c r="B354" s="4" t="s">
        <v>16</v>
      </c>
      <c r="C354" s="4" t="s">
        <v>462</v>
      </c>
      <c r="D354" s="4" t="s">
        <v>476</v>
      </c>
      <c r="E354" s="4" t="s">
        <v>5804</v>
      </c>
      <c r="F354" t="s">
        <v>19</v>
      </c>
      <c r="G354" t="s">
        <v>20</v>
      </c>
      <c r="H354" t="s">
        <v>21</v>
      </c>
      <c r="I354">
        <v>5</v>
      </c>
      <c r="J354" s="5">
        <v>4.9000000000000002E-2</v>
      </c>
      <c r="K354" t="s">
        <v>477</v>
      </c>
      <c r="L354" s="6">
        <v>42705</v>
      </c>
      <c r="M354">
        <v>12</v>
      </c>
      <c r="N354" s="7" t="s">
        <v>30</v>
      </c>
      <c r="O354" t="s">
        <v>36</v>
      </c>
      <c r="P354" t="s">
        <v>481</v>
      </c>
      <c r="Q354" t="s">
        <v>191</v>
      </c>
      <c r="R354" t="s">
        <v>469</v>
      </c>
    </row>
    <row r="355" spans="1:18" hidden="1">
      <c r="A355">
        <v>1</v>
      </c>
      <c r="B355" s="4" t="s">
        <v>16</v>
      </c>
      <c r="C355" s="4" t="s">
        <v>462</v>
      </c>
      <c r="D355" s="4" t="s">
        <v>476</v>
      </c>
      <c r="E355" s="4" t="s">
        <v>5804</v>
      </c>
      <c r="F355" t="s">
        <v>19</v>
      </c>
      <c r="G355" t="s">
        <v>114</v>
      </c>
      <c r="H355" t="s">
        <v>21</v>
      </c>
      <c r="I355">
        <v>9</v>
      </c>
      <c r="J355" s="5">
        <v>3.4000000000000002E-2</v>
      </c>
      <c r="K355" t="s">
        <v>489</v>
      </c>
      <c r="L355" s="6">
        <v>44409</v>
      </c>
      <c r="M355">
        <v>8</v>
      </c>
      <c r="N355" s="7" t="s">
        <v>55</v>
      </c>
      <c r="O355" t="s">
        <v>36</v>
      </c>
      <c r="P355" t="s">
        <v>490</v>
      </c>
      <c r="Q355" t="s">
        <v>465</v>
      </c>
      <c r="R355" t="s">
        <v>466</v>
      </c>
    </row>
    <row r="356" spans="1:18" hidden="1">
      <c r="A356">
        <v>1</v>
      </c>
      <c r="B356" s="4" t="s">
        <v>16</v>
      </c>
      <c r="C356" s="4" t="s">
        <v>496</v>
      </c>
      <c r="D356" s="4" t="s">
        <v>497</v>
      </c>
      <c r="E356" s="4" t="s">
        <v>5804</v>
      </c>
      <c r="F356" t="s">
        <v>19</v>
      </c>
      <c r="G356" t="s">
        <v>123</v>
      </c>
      <c r="H356" t="s">
        <v>53</v>
      </c>
      <c r="I356" t="s">
        <v>53</v>
      </c>
      <c r="J356" s="5" t="s">
        <v>53</v>
      </c>
      <c r="K356" t="s">
        <v>251</v>
      </c>
      <c r="L356" s="6">
        <v>43952</v>
      </c>
      <c r="M356">
        <v>5</v>
      </c>
      <c r="N356" s="7" t="s">
        <v>23</v>
      </c>
      <c r="O356" t="s">
        <v>193</v>
      </c>
      <c r="P356" t="s">
        <v>498</v>
      </c>
      <c r="Q356" t="s">
        <v>499</v>
      </c>
      <c r="R356" t="s">
        <v>500</v>
      </c>
    </row>
    <row r="357" spans="1:18" hidden="1">
      <c r="A357">
        <v>1</v>
      </c>
      <c r="B357" s="4" t="s">
        <v>16</v>
      </c>
      <c r="C357" s="4" t="s">
        <v>496</v>
      </c>
      <c r="D357" s="4" t="s">
        <v>501</v>
      </c>
      <c r="E357" s="4" t="s">
        <v>5804</v>
      </c>
      <c r="F357" t="s">
        <v>19</v>
      </c>
      <c r="G357" t="s">
        <v>123</v>
      </c>
      <c r="H357" t="s">
        <v>53</v>
      </c>
      <c r="I357" t="s">
        <v>53</v>
      </c>
      <c r="J357" s="5" t="s">
        <v>53</v>
      </c>
      <c r="K357" t="s">
        <v>377</v>
      </c>
      <c r="L357" s="6">
        <v>44470</v>
      </c>
      <c r="M357">
        <v>10</v>
      </c>
      <c r="N357" s="7" t="s">
        <v>23</v>
      </c>
      <c r="O357" t="s">
        <v>31</v>
      </c>
      <c r="P357" t="s">
        <v>502</v>
      </c>
      <c r="Q357" t="s">
        <v>503</v>
      </c>
      <c r="R357" t="s">
        <v>504</v>
      </c>
    </row>
    <row r="358" spans="1:18" hidden="1">
      <c r="A358">
        <v>10</v>
      </c>
      <c r="B358" s="4" t="s">
        <v>505</v>
      </c>
      <c r="C358" s="4" t="s">
        <v>506</v>
      </c>
      <c r="D358" s="4" t="s">
        <v>507</v>
      </c>
      <c r="E358" s="4" t="s">
        <v>5805</v>
      </c>
      <c r="F358" t="s">
        <v>19</v>
      </c>
      <c r="G358" t="s">
        <v>114</v>
      </c>
      <c r="H358" t="s">
        <v>21</v>
      </c>
      <c r="I358">
        <v>9</v>
      </c>
      <c r="J358" s="5">
        <v>3.4000000000000002E-2</v>
      </c>
      <c r="K358" t="s">
        <v>168</v>
      </c>
      <c r="L358" s="6">
        <v>43678</v>
      </c>
      <c r="M358">
        <v>8</v>
      </c>
      <c r="N358" s="7" t="s">
        <v>55</v>
      </c>
      <c r="O358" t="s">
        <v>88</v>
      </c>
      <c r="P358" t="s">
        <v>516</v>
      </c>
      <c r="Q358" t="s">
        <v>517</v>
      </c>
      <c r="R358" t="s">
        <v>518</v>
      </c>
    </row>
    <row r="359" spans="1:18" hidden="1">
      <c r="A359">
        <v>10</v>
      </c>
      <c r="B359" s="4" t="s">
        <v>505</v>
      </c>
      <c r="C359" s="4" t="s">
        <v>523</v>
      </c>
      <c r="D359" s="4" t="s">
        <v>524</v>
      </c>
      <c r="E359" s="4" t="s">
        <v>5805</v>
      </c>
      <c r="F359" t="s">
        <v>19</v>
      </c>
      <c r="G359" t="s">
        <v>20</v>
      </c>
      <c r="H359" t="s">
        <v>21</v>
      </c>
      <c r="I359">
        <v>5</v>
      </c>
      <c r="J359" s="5">
        <v>4.9000000000000002E-2</v>
      </c>
      <c r="K359" t="s">
        <v>539</v>
      </c>
      <c r="L359" s="6">
        <v>43922</v>
      </c>
      <c r="M359">
        <v>4</v>
      </c>
      <c r="N359" s="7" t="s">
        <v>23</v>
      </c>
      <c r="O359" t="s">
        <v>36</v>
      </c>
      <c r="P359" t="s">
        <v>540</v>
      </c>
      <c r="Q359" t="s">
        <v>541</v>
      </c>
      <c r="R359" t="s">
        <v>542</v>
      </c>
    </row>
    <row r="360" spans="1:18" hidden="1">
      <c r="A360">
        <v>10</v>
      </c>
      <c r="B360" s="4" t="s">
        <v>505</v>
      </c>
      <c r="C360" s="4" t="s">
        <v>523</v>
      </c>
      <c r="D360" s="4" t="s">
        <v>524</v>
      </c>
      <c r="E360" s="4" t="s">
        <v>5805</v>
      </c>
      <c r="F360" t="s">
        <v>19</v>
      </c>
      <c r="G360" t="s">
        <v>28</v>
      </c>
      <c r="H360" t="s">
        <v>21</v>
      </c>
      <c r="I360">
        <v>12</v>
      </c>
      <c r="J360" s="5">
        <v>2.3E-2</v>
      </c>
      <c r="K360" t="s">
        <v>547</v>
      </c>
      <c r="L360" s="6">
        <v>44075</v>
      </c>
      <c r="M360">
        <v>9</v>
      </c>
      <c r="N360" s="7" t="s">
        <v>23</v>
      </c>
      <c r="O360" t="s">
        <v>24</v>
      </c>
      <c r="P360" t="s">
        <v>548</v>
      </c>
      <c r="Q360" t="s">
        <v>549</v>
      </c>
      <c r="R360" t="s">
        <v>550</v>
      </c>
    </row>
    <row r="361" spans="1:18" hidden="1">
      <c r="A361">
        <v>10</v>
      </c>
      <c r="B361" s="4" t="s">
        <v>505</v>
      </c>
      <c r="C361" s="4" t="s">
        <v>523</v>
      </c>
      <c r="D361" s="4" t="s">
        <v>524</v>
      </c>
      <c r="E361" s="4" t="s">
        <v>5805</v>
      </c>
      <c r="F361" t="s">
        <v>19</v>
      </c>
      <c r="G361" t="s">
        <v>123</v>
      </c>
      <c r="H361" t="s">
        <v>53</v>
      </c>
      <c r="I361" t="s">
        <v>53</v>
      </c>
      <c r="J361" s="5" t="s">
        <v>53</v>
      </c>
      <c r="K361" t="s">
        <v>175</v>
      </c>
      <c r="L361" s="6">
        <v>44166</v>
      </c>
      <c r="M361">
        <v>12</v>
      </c>
      <c r="N361" s="7" t="s">
        <v>30</v>
      </c>
      <c r="O361" t="s">
        <v>31</v>
      </c>
      <c r="P361" t="s">
        <v>551</v>
      </c>
      <c r="Q361" t="s">
        <v>552</v>
      </c>
      <c r="R361" t="s">
        <v>553</v>
      </c>
    </row>
    <row r="362" spans="1:18" hidden="1">
      <c r="A362">
        <v>11</v>
      </c>
      <c r="B362" s="4" t="s">
        <v>554</v>
      </c>
      <c r="C362" s="4" t="s">
        <v>555</v>
      </c>
      <c r="D362" s="4" t="s">
        <v>556</v>
      </c>
      <c r="E362" s="4" t="s">
        <v>5804</v>
      </c>
      <c r="F362" t="s">
        <v>19</v>
      </c>
      <c r="G362" t="s">
        <v>20</v>
      </c>
      <c r="H362" t="s">
        <v>21</v>
      </c>
      <c r="I362">
        <v>5</v>
      </c>
      <c r="J362" s="5">
        <v>4.9000000000000002E-2</v>
      </c>
      <c r="K362" t="s">
        <v>71</v>
      </c>
      <c r="L362" s="6">
        <v>42522</v>
      </c>
      <c r="M362">
        <v>6</v>
      </c>
      <c r="N362" s="7" t="s">
        <v>55</v>
      </c>
      <c r="O362" t="s">
        <v>223</v>
      </c>
      <c r="P362" t="s">
        <v>575</v>
      </c>
      <c r="Q362" t="s">
        <v>576</v>
      </c>
      <c r="R362" t="s">
        <v>577</v>
      </c>
    </row>
    <row r="363" spans="1:18" hidden="1">
      <c r="A363">
        <v>11</v>
      </c>
      <c r="B363" s="4" t="s">
        <v>554</v>
      </c>
      <c r="C363" s="4" t="s">
        <v>555</v>
      </c>
      <c r="D363" s="4" t="s">
        <v>556</v>
      </c>
      <c r="E363" s="4" t="s">
        <v>5804</v>
      </c>
      <c r="F363" t="s">
        <v>19</v>
      </c>
      <c r="G363" t="s">
        <v>580</v>
      </c>
      <c r="H363" t="s">
        <v>53</v>
      </c>
      <c r="I363" t="s">
        <v>53</v>
      </c>
      <c r="J363" s="5" t="s">
        <v>53</v>
      </c>
      <c r="K363" t="s">
        <v>87</v>
      </c>
      <c r="L363" s="6">
        <v>43040</v>
      </c>
      <c r="M363">
        <v>11</v>
      </c>
      <c r="N363" s="7" t="s">
        <v>23</v>
      </c>
      <c r="O363" t="s">
        <v>24</v>
      </c>
      <c r="P363" t="s">
        <v>581</v>
      </c>
      <c r="Q363" t="s">
        <v>582</v>
      </c>
      <c r="R363" t="s">
        <v>583</v>
      </c>
    </row>
    <row r="364" spans="1:18" hidden="1">
      <c r="A364">
        <v>11</v>
      </c>
      <c r="B364" s="4" t="s">
        <v>554</v>
      </c>
      <c r="C364" s="4" t="s">
        <v>555</v>
      </c>
      <c r="D364" s="4" t="s">
        <v>556</v>
      </c>
      <c r="E364" s="4" t="s">
        <v>5804</v>
      </c>
      <c r="F364" t="s">
        <v>19</v>
      </c>
      <c r="G364" t="s">
        <v>28</v>
      </c>
      <c r="H364" t="s">
        <v>21</v>
      </c>
      <c r="I364">
        <v>12</v>
      </c>
      <c r="J364" s="5">
        <v>2.3E-2</v>
      </c>
      <c r="K364" t="s">
        <v>482</v>
      </c>
      <c r="L364" s="6">
        <v>43435</v>
      </c>
      <c r="M364">
        <v>12</v>
      </c>
      <c r="N364" s="7" t="s">
        <v>30</v>
      </c>
      <c r="O364" t="s">
        <v>31</v>
      </c>
      <c r="P364" t="s">
        <v>602</v>
      </c>
      <c r="Q364" t="s">
        <v>603</v>
      </c>
      <c r="R364" t="s">
        <v>604</v>
      </c>
    </row>
    <row r="365" spans="1:18" hidden="1">
      <c r="A365">
        <v>11</v>
      </c>
      <c r="B365" s="4" t="s">
        <v>554</v>
      </c>
      <c r="C365" s="4" t="s">
        <v>555</v>
      </c>
      <c r="D365" s="4" t="s">
        <v>556</v>
      </c>
      <c r="E365" s="4" t="s">
        <v>5804</v>
      </c>
      <c r="F365" t="s">
        <v>19</v>
      </c>
      <c r="G365" t="s">
        <v>20</v>
      </c>
      <c r="H365" t="s">
        <v>21</v>
      </c>
      <c r="I365">
        <v>5</v>
      </c>
      <c r="J365" s="5">
        <v>4.9000000000000002E-2</v>
      </c>
      <c r="K365" t="s">
        <v>395</v>
      </c>
      <c r="L365" s="6">
        <v>43497</v>
      </c>
      <c r="M365">
        <v>2</v>
      </c>
      <c r="N365" s="7" t="s">
        <v>30</v>
      </c>
      <c r="O365" t="s">
        <v>24</v>
      </c>
      <c r="P365" t="s">
        <v>605</v>
      </c>
      <c r="Q365" t="s">
        <v>606</v>
      </c>
      <c r="R365" t="s">
        <v>607</v>
      </c>
    </row>
    <row r="366" spans="1:18" hidden="1">
      <c r="A366">
        <v>11</v>
      </c>
      <c r="B366" s="4" t="s">
        <v>554</v>
      </c>
      <c r="C366" s="4" t="s">
        <v>555</v>
      </c>
      <c r="D366" s="4" t="s">
        <v>556</v>
      </c>
      <c r="E366" s="4" t="s">
        <v>5804</v>
      </c>
      <c r="F366" t="s">
        <v>6070</v>
      </c>
      <c r="G366" t="s">
        <v>612</v>
      </c>
      <c r="H366" t="s">
        <v>53</v>
      </c>
      <c r="I366" t="s">
        <v>53</v>
      </c>
      <c r="J366" s="5" t="s">
        <v>53</v>
      </c>
      <c r="K366" t="s">
        <v>304</v>
      </c>
      <c r="L366" s="6">
        <v>43647</v>
      </c>
      <c r="M366">
        <v>7</v>
      </c>
      <c r="N366" s="7" t="s">
        <v>55</v>
      </c>
      <c r="O366" t="s">
        <v>31</v>
      </c>
      <c r="P366" t="s">
        <v>613</v>
      </c>
      <c r="Q366" t="s">
        <v>614</v>
      </c>
      <c r="R366" t="s">
        <v>615</v>
      </c>
    </row>
    <row r="367" spans="1:18" hidden="1">
      <c r="A367">
        <v>11</v>
      </c>
      <c r="B367" s="4" t="s">
        <v>554</v>
      </c>
      <c r="C367" s="4" t="s">
        <v>555</v>
      </c>
      <c r="D367" s="4" t="s">
        <v>556</v>
      </c>
      <c r="E367" s="4" t="s">
        <v>5804</v>
      </c>
      <c r="F367" t="s">
        <v>19</v>
      </c>
      <c r="G367" t="s">
        <v>20</v>
      </c>
      <c r="H367" t="s">
        <v>21</v>
      </c>
      <c r="I367">
        <v>5</v>
      </c>
      <c r="J367" s="5">
        <v>4.9000000000000002E-2</v>
      </c>
      <c r="K367" t="s">
        <v>304</v>
      </c>
      <c r="L367" s="6">
        <v>43647</v>
      </c>
      <c r="M367">
        <v>7</v>
      </c>
      <c r="N367" s="7" t="s">
        <v>55</v>
      </c>
      <c r="O367" t="s">
        <v>223</v>
      </c>
      <c r="P367" t="s">
        <v>616</v>
      </c>
      <c r="Q367" t="s">
        <v>306</v>
      </c>
      <c r="R367" t="s">
        <v>617</v>
      </c>
    </row>
    <row r="368" spans="1:18" hidden="1">
      <c r="A368">
        <v>11</v>
      </c>
      <c r="B368" s="4" t="s">
        <v>554</v>
      </c>
      <c r="C368" s="4" t="s">
        <v>555</v>
      </c>
      <c r="D368" s="4" t="s">
        <v>556</v>
      </c>
      <c r="E368" s="4" t="s">
        <v>5804</v>
      </c>
      <c r="F368" t="s">
        <v>19</v>
      </c>
      <c r="G368" t="s">
        <v>20</v>
      </c>
      <c r="H368" t="s">
        <v>21</v>
      </c>
      <c r="I368">
        <v>5</v>
      </c>
      <c r="J368" s="5">
        <v>4.9000000000000002E-2</v>
      </c>
      <c r="K368" t="s">
        <v>168</v>
      </c>
      <c r="L368" s="6">
        <v>43678</v>
      </c>
      <c r="M368">
        <v>8</v>
      </c>
      <c r="N368" s="7" t="s">
        <v>55</v>
      </c>
      <c r="O368" t="s">
        <v>193</v>
      </c>
      <c r="P368" t="s">
        <v>618</v>
      </c>
      <c r="Q368" t="s">
        <v>619</v>
      </c>
      <c r="R368" t="s">
        <v>607</v>
      </c>
    </row>
    <row r="369" spans="1:18" hidden="1">
      <c r="A369">
        <v>11</v>
      </c>
      <c r="B369" s="4" t="s">
        <v>554</v>
      </c>
      <c r="C369" s="4" t="s">
        <v>555</v>
      </c>
      <c r="D369" s="4" t="s">
        <v>556</v>
      </c>
      <c r="E369" s="4" t="s">
        <v>5804</v>
      </c>
      <c r="F369" t="s">
        <v>19</v>
      </c>
      <c r="G369" t="s">
        <v>20</v>
      </c>
      <c r="H369" t="s">
        <v>21</v>
      </c>
      <c r="I369">
        <v>5</v>
      </c>
      <c r="J369" s="5">
        <v>4.9000000000000002E-2</v>
      </c>
      <c r="K369" t="s">
        <v>365</v>
      </c>
      <c r="L369" s="6">
        <v>44105</v>
      </c>
      <c r="M369">
        <v>10</v>
      </c>
      <c r="N369" s="7" t="s">
        <v>23</v>
      </c>
      <c r="O369" t="s">
        <v>24</v>
      </c>
      <c r="P369" t="s">
        <v>623</v>
      </c>
      <c r="Q369" t="s">
        <v>606</v>
      </c>
      <c r="R369" t="s">
        <v>607</v>
      </c>
    </row>
    <row r="370" spans="1:18" hidden="1">
      <c r="A370">
        <v>11</v>
      </c>
      <c r="B370" s="4" t="s">
        <v>554</v>
      </c>
      <c r="C370" s="4" t="s">
        <v>555</v>
      </c>
      <c r="D370" s="4" t="s">
        <v>556</v>
      </c>
      <c r="E370" s="4" t="s">
        <v>5804</v>
      </c>
      <c r="F370" t="s">
        <v>19</v>
      </c>
      <c r="G370" t="s">
        <v>114</v>
      </c>
      <c r="H370" t="s">
        <v>21</v>
      </c>
      <c r="I370">
        <v>9</v>
      </c>
      <c r="J370" s="5">
        <v>3.4000000000000002E-2</v>
      </c>
      <c r="K370" t="s">
        <v>311</v>
      </c>
      <c r="L370" s="6">
        <v>44256</v>
      </c>
      <c r="M370">
        <v>3</v>
      </c>
      <c r="N370" s="7" t="s">
        <v>23</v>
      </c>
      <c r="O370" t="s">
        <v>31</v>
      </c>
      <c r="P370" t="s">
        <v>625</v>
      </c>
      <c r="Q370" t="s">
        <v>626</v>
      </c>
      <c r="R370" t="s">
        <v>627</v>
      </c>
    </row>
    <row r="371" spans="1:18" hidden="1">
      <c r="A371">
        <v>11</v>
      </c>
      <c r="B371" s="4" t="s">
        <v>554</v>
      </c>
      <c r="C371" s="4" t="s">
        <v>555</v>
      </c>
      <c r="D371" s="4" t="s">
        <v>556</v>
      </c>
      <c r="E371" s="4" t="s">
        <v>5804</v>
      </c>
      <c r="F371" t="s">
        <v>19</v>
      </c>
      <c r="G371" t="s">
        <v>20</v>
      </c>
      <c r="H371" t="s">
        <v>21</v>
      </c>
      <c r="I371">
        <v>5</v>
      </c>
      <c r="J371" s="5">
        <v>4.9000000000000002E-2</v>
      </c>
      <c r="K371" t="s">
        <v>104</v>
      </c>
      <c r="L371" s="6">
        <v>44317</v>
      </c>
      <c r="M371">
        <v>5</v>
      </c>
      <c r="N371" s="7" t="s">
        <v>23</v>
      </c>
      <c r="O371" t="s">
        <v>223</v>
      </c>
      <c r="P371" t="s">
        <v>629</v>
      </c>
      <c r="Q371" t="s">
        <v>576</v>
      </c>
      <c r="R371" t="s">
        <v>577</v>
      </c>
    </row>
    <row r="372" spans="1:18" hidden="1">
      <c r="A372">
        <v>11</v>
      </c>
      <c r="B372" s="4" t="s">
        <v>554</v>
      </c>
      <c r="C372" s="4" t="s">
        <v>555</v>
      </c>
      <c r="D372" s="4" t="s">
        <v>633</v>
      </c>
      <c r="E372" s="4" t="s">
        <v>5804</v>
      </c>
      <c r="F372" t="s">
        <v>19</v>
      </c>
      <c r="G372" t="s">
        <v>20</v>
      </c>
      <c r="H372" t="s">
        <v>21</v>
      </c>
      <c r="I372">
        <v>5</v>
      </c>
      <c r="J372" s="5">
        <v>4.9000000000000002E-2</v>
      </c>
      <c r="K372" t="s">
        <v>477</v>
      </c>
      <c r="L372" s="6">
        <v>42705</v>
      </c>
      <c r="M372">
        <v>12</v>
      </c>
      <c r="N372" s="7" t="s">
        <v>30</v>
      </c>
      <c r="O372" t="s">
        <v>36</v>
      </c>
      <c r="P372" t="s">
        <v>636</v>
      </c>
      <c r="Q372" t="s">
        <v>637</v>
      </c>
      <c r="R372" t="s">
        <v>638</v>
      </c>
    </row>
    <row r="373" spans="1:18" hidden="1">
      <c r="A373">
        <v>11</v>
      </c>
      <c r="B373" s="4" t="s">
        <v>554</v>
      </c>
      <c r="C373" s="4" t="s">
        <v>555</v>
      </c>
      <c r="D373" s="4" t="s">
        <v>633</v>
      </c>
      <c r="E373" s="4" t="s">
        <v>5804</v>
      </c>
      <c r="F373" t="s">
        <v>19</v>
      </c>
      <c r="G373" t="s">
        <v>114</v>
      </c>
      <c r="H373" t="s">
        <v>21</v>
      </c>
      <c r="I373">
        <v>9</v>
      </c>
      <c r="J373" s="5">
        <v>3.4000000000000002E-2</v>
      </c>
      <c r="K373" t="s">
        <v>142</v>
      </c>
      <c r="L373" s="6">
        <v>43101</v>
      </c>
      <c r="M373">
        <v>1</v>
      </c>
      <c r="N373" s="7" t="s">
        <v>30</v>
      </c>
      <c r="O373" t="s">
        <v>36</v>
      </c>
      <c r="P373" t="s">
        <v>639</v>
      </c>
      <c r="Q373" t="s">
        <v>640</v>
      </c>
      <c r="R373" t="s">
        <v>641</v>
      </c>
    </row>
    <row r="374" spans="1:18" hidden="1">
      <c r="A374">
        <v>11</v>
      </c>
      <c r="B374" s="4" t="s">
        <v>554</v>
      </c>
      <c r="C374" s="4" t="s">
        <v>555</v>
      </c>
      <c r="D374" s="4" t="s">
        <v>633</v>
      </c>
      <c r="E374" s="4" t="s">
        <v>5804</v>
      </c>
      <c r="F374" t="s">
        <v>19</v>
      </c>
      <c r="G374" t="s">
        <v>123</v>
      </c>
      <c r="H374" t="s">
        <v>53</v>
      </c>
      <c r="I374" t="s">
        <v>53</v>
      </c>
      <c r="J374" s="5" t="s">
        <v>53</v>
      </c>
      <c r="K374" t="s">
        <v>298</v>
      </c>
      <c r="L374" s="6">
        <v>43344</v>
      </c>
      <c r="M374">
        <v>9</v>
      </c>
      <c r="N374" s="7" t="s">
        <v>23</v>
      </c>
      <c r="O374" t="s">
        <v>36</v>
      </c>
      <c r="P374" t="s">
        <v>642</v>
      </c>
      <c r="Q374" t="s">
        <v>643</v>
      </c>
      <c r="R374" t="s">
        <v>641</v>
      </c>
    </row>
    <row r="375" spans="1:18" hidden="1">
      <c r="A375">
        <v>11</v>
      </c>
      <c r="B375" s="4" t="s">
        <v>554</v>
      </c>
      <c r="C375" s="4" t="s">
        <v>555</v>
      </c>
      <c r="D375" s="4" t="s">
        <v>633</v>
      </c>
      <c r="E375" s="4" t="s">
        <v>5804</v>
      </c>
      <c r="F375" t="s">
        <v>19</v>
      </c>
      <c r="G375" t="s">
        <v>20</v>
      </c>
      <c r="H375" t="s">
        <v>21</v>
      </c>
      <c r="I375">
        <v>5</v>
      </c>
      <c r="J375" s="5">
        <v>4.9000000000000002E-2</v>
      </c>
      <c r="K375" t="s">
        <v>311</v>
      </c>
      <c r="L375" s="6">
        <v>44256</v>
      </c>
      <c r="M375">
        <v>3</v>
      </c>
      <c r="N375" s="7" t="s">
        <v>23</v>
      </c>
      <c r="O375" t="s">
        <v>36</v>
      </c>
      <c r="P375" t="s">
        <v>644</v>
      </c>
      <c r="Q375" t="s">
        <v>643</v>
      </c>
      <c r="R375" t="s">
        <v>641</v>
      </c>
    </row>
    <row r="376" spans="1:18" hidden="1">
      <c r="A376">
        <v>11</v>
      </c>
      <c r="B376" s="4" t="s">
        <v>554</v>
      </c>
      <c r="C376" s="4" t="s">
        <v>555</v>
      </c>
      <c r="D376" s="4" t="s">
        <v>633</v>
      </c>
      <c r="E376" s="4" t="s">
        <v>5804</v>
      </c>
      <c r="F376" t="s">
        <v>19</v>
      </c>
      <c r="G376" t="s">
        <v>20</v>
      </c>
      <c r="H376" t="s">
        <v>21</v>
      </c>
      <c r="I376">
        <v>5</v>
      </c>
      <c r="J376" s="5">
        <v>4.9000000000000002E-2</v>
      </c>
      <c r="K376" t="s">
        <v>645</v>
      </c>
      <c r="L376" s="6">
        <v>44440</v>
      </c>
      <c r="M376">
        <v>9</v>
      </c>
      <c r="N376" s="7" t="s">
        <v>23</v>
      </c>
      <c r="O376" t="s">
        <v>88</v>
      </c>
      <c r="P376" t="s">
        <v>646</v>
      </c>
      <c r="Q376" t="s">
        <v>647</v>
      </c>
      <c r="R376" t="s">
        <v>641</v>
      </c>
    </row>
    <row r="377" spans="1:18" hidden="1">
      <c r="A377">
        <v>11</v>
      </c>
      <c r="B377" s="4" t="s">
        <v>554</v>
      </c>
      <c r="C377" s="4" t="s">
        <v>648</v>
      </c>
      <c r="D377" s="4" t="s">
        <v>649</v>
      </c>
      <c r="E377" s="4" t="s">
        <v>5804</v>
      </c>
      <c r="F377" t="s">
        <v>19</v>
      </c>
      <c r="G377" t="s">
        <v>114</v>
      </c>
      <c r="H377" t="s">
        <v>21</v>
      </c>
      <c r="I377">
        <v>9</v>
      </c>
      <c r="J377" s="5">
        <v>3.4000000000000002E-2</v>
      </c>
      <c r="K377" t="s">
        <v>168</v>
      </c>
      <c r="L377" s="6">
        <v>43678</v>
      </c>
      <c r="M377">
        <v>8</v>
      </c>
      <c r="N377" s="7" t="s">
        <v>55</v>
      </c>
      <c r="O377" t="s">
        <v>223</v>
      </c>
      <c r="P377" t="s">
        <v>657</v>
      </c>
      <c r="Q377" t="s">
        <v>658</v>
      </c>
      <c r="R377" t="s">
        <v>659</v>
      </c>
    </row>
    <row r="378" spans="1:18" hidden="1">
      <c r="A378">
        <v>11</v>
      </c>
      <c r="B378" s="4" t="s">
        <v>554</v>
      </c>
      <c r="C378" s="4" t="s">
        <v>648</v>
      </c>
      <c r="D378" s="4" t="s">
        <v>663</v>
      </c>
      <c r="E378" s="4" t="s">
        <v>5804</v>
      </c>
      <c r="F378" t="s">
        <v>6070</v>
      </c>
      <c r="G378" t="s">
        <v>612</v>
      </c>
      <c r="H378" t="s">
        <v>53</v>
      </c>
      <c r="I378" t="s">
        <v>53</v>
      </c>
      <c r="J378" s="5" t="s">
        <v>53</v>
      </c>
      <c r="K378" t="s">
        <v>80</v>
      </c>
      <c r="L378" s="6">
        <v>42917</v>
      </c>
      <c r="M378">
        <v>7</v>
      </c>
      <c r="N378" s="7" t="s">
        <v>55</v>
      </c>
      <c r="O378" t="s">
        <v>31</v>
      </c>
      <c r="P378" t="s">
        <v>664</v>
      </c>
      <c r="Q378" t="s">
        <v>665</v>
      </c>
      <c r="R378" t="s">
        <v>666</v>
      </c>
    </row>
    <row r="379" spans="1:18" hidden="1">
      <c r="A379">
        <v>11</v>
      </c>
      <c r="B379" s="4" t="s">
        <v>554</v>
      </c>
      <c r="C379" s="4" t="s">
        <v>670</v>
      </c>
      <c r="D379" s="4" t="s">
        <v>671</v>
      </c>
      <c r="E379" s="4" t="s">
        <v>5804</v>
      </c>
      <c r="F379" t="s">
        <v>19</v>
      </c>
      <c r="G379" t="s">
        <v>20</v>
      </c>
      <c r="H379" t="s">
        <v>21</v>
      </c>
      <c r="I379">
        <v>5</v>
      </c>
      <c r="J379" s="5">
        <v>4.9000000000000002E-2</v>
      </c>
      <c r="K379" t="s">
        <v>672</v>
      </c>
      <c r="L379" s="6" t="s">
        <v>673</v>
      </c>
      <c r="M379" t="e">
        <v>#VALUE!</v>
      </c>
      <c r="N379" s="7" t="e">
        <v>#VALUE!</v>
      </c>
      <c r="O379" t="s">
        <v>24</v>
      </c>
      <c r="P379" t="s">
        <v>674</v>
      </c>
      <c r="Q379" t="s">
        <v>675</v>
      </c>
      <c r="R379" t="s">
        <v>676</v>
      </c>
    </row>
    <row r="380" spans="1:18" hidden="1">
      <c r="A380">
        <v>11</v>
      </c>
      <c r="B380" s="4" t="s">
        <v>554</v>
      </c>
      <c r="C380" s="4" t="s">
        <v>670</v>
      </c>
      <c r="D380" s="4" t="s">
        <v>677</v>
      </c>
      <c r="E380" s="4" t="s">
        <v>5804</v>
      </c>
      <c r="F380" t="s">
        <v>19</v>
      </c>
      <c r="G380" t="s">
        <v>20</v>
      </c>
      <c r="H380" t="s">
        <v>21</v>
      </c>
      <c r="I380">
        <v>5</v>
      </c>
      <c r="J380" s="5">
        <v>4.9000000000000002E-2</v>
      </c>
      <c r="K380" t="s">
        <v>681</v>
      </c>
      <c r="L380" s="6">
        <v>42887</v>
      </c>
      <c r="M380">
        <v>6</v>
      </c>
      <c r="N380" s="7" t="s">
        <v>55</v>
      </c>
      <c r="O380" t="s">
        <v>88</v>
      </c>
      <c r="P380" t="s">
        <v>682</v>
      </c>
      <c r="Q380" t="s">
        <v>683</v>
      </c>
      <c r="R380" t="s">
        <v>684</v>
      </c>
    </row>
    <row r="381" spans="1:18" hidden="1">
      <c r="A381">
        <v>11</v>
      </c>
      <c r="B381" s="4" t="s">
        <v>554</v>
      </c>
      <c r="C381" s="4" t="s">
        <v>670</v>
      </c>
      <c r="D381" s="4" t="s">
        <v>677</v>
      </c>
      <c r="E381" s="4" t="s">
        <v>5804</v>
      </c>
      <c r="F381" t="s">
        <v>19</v>
      </c>
      <c r="G381" t="s">
        <v>20</v>
      </c>
      <c r="H381" t="s">
        <v>21</v>
      </c>
      <c r="I381">
        <v>5</v>
      </c>
      <c r="J381" s="5">
        <v>4.9000000000000002E-2</v>
      </c>
      <c r="K381" t="s">
        <v>152</v>
      </c>
      <c r="L381" s="6">
        <v>43374</v>
      </c>
      <c r="M381">
        <v>10</v>
      </c>
      <c r="N381" s="7" t="s">
        <v>23</v>
      </c>
      <c r="O381" t="s">
        <v>223</v>
      </c>
      <c r="P381" t="s">
        <v>689</v>
      </c>
      <c r="Q381" t="s">
        <v>690</v>
      </c>
      <c r="R381" t="s">
        <v>641</v>
      </c>
    </row>
    <row r="382" spans="1:18" hidden="1">
      <c r="A382">
        <v>11</v>
      </c>
      <c r="B382" s="4" t="s">
        <v>554</v>
      </c>
      <c r="C382" s="4" t="s">
        <v>696</v>
      </c>
      <c r="D382" s="4" t="s">
        <v>697</v>
      </c>
      <c r="E382" s="4" t="s">
        <v>5804</v>
      </c>
      <c r="F382" t="s">
        <v>19</v>
      </c>
      <c r="G382" t="s">
        <v>114</v>
      </c>
      <c r="H382" t="s">
        <v>21</v>
      </c>
      <c r="I382">
        <v>9</v>
      </c>
      <c r="J382" s="5">
        <v>3.4000000000000002E-2</v>
      </c>
      <c r="K382" t="s">
        <v>204</v>
      </c>
      <c r="L382" s="6">
        <v>43831</v>
      </c>
      <c r="M382">
        <v>1</v>
      </c>
      <c r="N382" s="7" t="s">
        <v>30</v>
      </c>
      <c r="O382" t="s">
        <v>88</v>
      </c>
      <c r="P382" t="s">
        <v>728</v>
      </c>
      <c r="Q382" t="s">
        <v>729</v>
      </c>
      <c r="R382" t="s">
        <v>730</v>
      </c>
    </row>
    <row r="383" spans="1:18" hidden="1">
      <c r="A383">
        <v>11</v>
      </c>
      <c r="B383" s="4" t="s">
        <v>554</v>
      </c>
      <c r="C383" s="4" t="s">
        <v>696</v>
      </c>
      <c r="D383" s="4" t="s">
        <v>697</v>
      </c>
      <c r="E383" s="4" t="s">
        <v>5804</v>
      </c>
      <c r="F383" t="s">
        <v>19</v>
      </c>
      <c r="G383" t="s">
        <v>20</v>
      </c>
      <c r="H383" t="s">
        <v>21</v>
      </c>
      <c r="I383">
        <v>5</v>
      </c>
      <c r="J383" s="5">
        <v>4.9000000000000002E-2</v>
      </c>
      <c r="K383" t="s">
        <v>99</v>
      </c>
      <c r="L383" s="6">
        <v>43891</v>
      </c>
      <c r="M383">
        <v>3</v>
      </c>
      <c r="N383" s="7" t="s">
        <v>23</v>
      </c>
      <c r="O383" t="s">
        <v>223</v>
      </c>
      <c r="P383" t="s">
        <v>731</v>
      </c>
      <c r="Q383" t="s">
        <v>732</v>
      </c>
      <c r="R383" t="s">
        <v>733</v>
      </c>
    </row>
    <row r="384" spans="1:18" hidden="1">
      <c r="A384">
        <v>11</v>
      </c>
      <c r="B384" s="4" t="s">
        <v>554</v>
      </c>
      <c r="C384" s="4" t="s">
        <v>696</v>
      </c>
      <c r="D384" s="4" t="s">
        <v>697</v>
      </c>
      <c r="E384" s="4" t="s">
        <v>5804</v>
      </c>
      <c r="F384" t="s">
        <v>19</v>
      </c>
      <c r="G384" t="s">
        <v>20</v>
      </c>
      <c r="H384" t="s">
        <v>21</v>
      </c>
      <c r="I384">
        <v>5</v>
      </c>
      <c r="J384" s="5">
        <v>4.9000000000000002E-2</v>
      </c>
      <c r="K384" t="s">
        <v>547</v>
      </c>
      <c r="L384" s="6">
        <v>44075</v>
      </c>
      <c r="M384">
        <v>9</v>
      </c>
      <c r="N384" s="7" t="s">
        <v>23</v>
      </c>
      <c r="O384" t="s">
        <v>36</v>
      </c>
      <c r="P384" t="s">
        <v>744</v>
      </c>
      <c r="Q384" t="s">
        <v>745</v>
      </c>
      <c r="R384" t="s">
        <v>746</v>
      </c>
    </row>
    <row r="385" spans="1:18" hidden="1">
      <c r="A385">
        <v>11</v>
      </c>
      <c r="B385" s="4" t="s">
        <v>554</v>
      </c>
      <c r="C385" s="4" t="s">
        <v>696</v>
      </c>
      <c r="D385" s="4" t="s">
        <v>697</v>
      </c>
      <c r="E385" s="4" t="s">
        <v>5804</v>
      </c>
      <c r="F385" t="s">
        <v>19</v>
      </c>
      <c r="G385" t="s">
        <v>114</v>
      </c>
      <c r="H385" t="s">
        <v>21</v>
      </c>
      <c r="I385">
        <v>9</v>
      </c>
      <c r="J385" s="5">
        <v>3.4000000000000002E-2</v>
      </c>
      <c r="K385" t="s">
        <v>757</v>
      </c>
      <c r="L385" s="6" t="s">
        <v>673</v>
      </c>
      <c r="M385" t="e">
        <v>#VALUE!</v>
      </c>
      <c r="N385" s="7" t="e">
        <v>#VALUE!</v>
      </c>
      <c r="O385" t="s">
        <v>88</v>
      </c>
      <c r="P385" t="s">
        <v>758</v>
      </c>
      <c r="Q385" t="s">
        <v>729</v>
      </c>
      <c r="R385" t="s">
        <v>730</v>
      </c>
    </row>
    <row r="386" spans="1:18" hidden="1">
      <c r="A386">
        <v>11</v>
      </c>
      <c r="B386" s="4" t="s">
        <v>554</v>
      </c>
      <c r="C386" s="4" t="s">
        <v>696</v>
      </c>
      <c r="D386" s="4" t="s">
        <v>759</v>
      </c>
      <c r="E386" s="4" t="s">
        <v>5804</v>
      </c>
      <c r="F386" t="s">
        <v>19</v>
      </c>
      <c r="G386" t="s">
        <v>20</v>
      </c>
      <c r="H386" t="s">
        <v>21</v>
      </c>
      <c r="I386">
        <v>5</v>
      </c>
      <c r="J386" s="5">
        <v>4.9000000000000002E-2</v>
      </c>
      <c r="K386" t="s">
        <v>382</v>
      </c>
      <c r="L386" s="6">
        <v>42401</v>
      </c>
      <c r="M386">
        <v>2</v>
      </c>
      <c r="N386" s="7" t="s">
        <v>30</v>
      </c>
      <c r="O386" t="s">
        <v>223</v>
      </c>
      <c r="P386" t="s">
        <v>762</v>
      </c>
      <c r="Q386" t="s">
        <v>763</v>
      </c>
      <c r="R386" t="s">
        <v>764</v>
      </c>
    </row>
    <row r="387" spans="1:18" hidden="1">
      <c r="A387">
        <v>11</v>
      </c>
      <c r="B387" s="4" t="s">
        <v>554</v>
      </c>
      <c r="C387" s="4" t="s">
        <v>696</v>
      </c>
      <c r="D387" s="4" t="s">
        <v>759</v>
      </c>
      <c r="E387" s="4" t="s">
        <v>5804</v>
      </c>
      <c r="F387" t="s">
        <v>19</v>
      </c>
      <c r="G387" t="s">
        <v>20</v>
      </c>
      <c r="H387" t="s">
        <v>21</v>
      </c>
      <c r="I387">
        <v>5</v>
      </c>
      <c r="J387" s="5">
        <v>4.9000000000000002E-2</v>
      </c>
      <c r="K387" t="s">
        <v>701</v>
      </c>
      <c r="L387" s="6">
        <v>42491</v>
      </c>
      <c r="M387">
        <v>5</v>
      </c>
      <c r="N387" s="7" t="s">
        <v>23</v>
      </c>
      <c r="O387" t="s">
        <v>223</v>
      </c>
      <c r="P387" t="s">
        <v>771</v>
      </c>
      <c r="Q387" t="s">
        <v>763</v>
      </c>
      <c r="R387" t="s">
        <v>764</v>
      </c>
    </row>
    <row r="388" spans="1:18" hidden="1">
      <c r="A388">
        <v>11</v>
      </c>
      <c r="B388" s="4" t="s">
        <v>554</v>
      </c>
      <c r="C388" s="4" t="s">
        <v>696</v>
      </c>
      <c r="D388" s="4" t="s">
        <v>759</v>
      </c>
      <c r="E388" s="4" t="s">
        <v>5804</v>
      </c>
      <c r="F388" t="s">
        <v>19</v>
      </c>
      <c r="G388" t="s">
        <v>20</v>
      </c>
      <c r="H388" t="s">
        <v>21</v>
      </c>
      <c r="I388">
        <v>5</v>
      </c>
      <c r="J388" s="5">
        <v>4.9000000000000002E-2</v>
      </c>
      <c r="K388" t="s">
        <v>119</v>
      </c>
      <c r="L388" s="6">
        <v>42552</v>
      </c>
      <c r="M388">
        <v>7</v>
      </c>
      <c r="N388" s="7" t="s">
        <v>55</v>
      </c>
      <c r="O388" t="s">
        <v>88</v>
      </c>
      <c r="P388" t="s">
        <v>775</v>
      </c>
      <c r="Q388" t="s">
        <v>776</v>
      </c>
      <c r="R388" t="s">
        <v>777</v>
      </c>
    </row>
    <row r="389" spans="1:18" hidden="1">
      <c r="A389">
        <v>11</v>
      </c>
      <c r="B389" s="4" t="s">
        <v>554</v>
      </c>
      <c r="C389" s="4" t="s">
        <v>696</v>
      </c>
      <c r="D389" s="4" t="s">
        <v>759</v>
      </c>
      <c r="E389" s="4" t="s">
        <v>5804</v>
      </c>
      <c r="F389" t="s">
        <v>19</v>
      </c>
      <c r="G389" t="s">
        <v>114</v>
      </c>
      <c r="H389" t="s">
        <v>21</v>
      </c>
      <c r="I389">
        <v>9</v>
      </c>
      <c r="J389" s="5">
        <v>3.4000000000000002E-2</v>
      </c>
      <c r="K389" t="s">
        <v>477</v>
      </c>
      <c r="L389" s="6">
        <v>42705</v>
      </c>
      <c r="M389">
        <v>12</v>
      </c>
      <c r="N389" s="7" t="s">
        <v>30</v>
      </c>
      <c r="O389" t="s">
        <v>36</v>
      </c>
      <c r="P389" t="s">
        <v>779</v>
      </c>
      <c r="Q389" t="s">
        <v>780</v>
      </c>
      <c r="R389" t="s">
        <v>730</v>
      </c>
    </row>
    <row r="390" spans="1:18" hidden="1">
      <c r="A390">
        <v>11</v>
      </c>
      <c r="B390" s="4" t="s">
        <v>554</v>
      </c>
      <c r="C390" s="4" t="s">
        <v>696</v>
      </c>
      <c r="D390" s="4" t="s">
        <v>759</v>
      </c>
      <c r="E390" s="4" t="s">
        <v>5804</v>
      </c>
      <c r="F390" t="s">
        <v>19</v>
      </c>
      <c r="G390" t="s">
        <v>20</v>
      </c>
      <c r="H390" t="s">
        <v>21</v>
      </c>
      <c r="I390">
        <v>5</v>
      </c>
      <c r="J390" s="5">
        <v>4.9000000000000002E-2</v>
      </c>
      <c r="K390" t="s">
        <v>76</v>
      </c>
      <c r="L390" s="6">
        <v>42856</v>
      </c>
      <c r="M390">
        <v>5</v>
      </c>
      <c r="N390" s="7" t="s">
        <v>23</v>
      </c>
      <c r="O390" t="s">
        <v>193</v>
      </c>
      <c r="P390" t="s">
        <v>781</v>
      </c>
      <c r="Q390" t="s">
        <v>782</v>
      </c>
      <c r="R390" t="s">
        <v>777</v>
      </c>
    </row>
    <row r="391" spans="1:18" hidden="1">
      <c r="A391">
        <v>11</v>
      </c>
      <c r="B391" s="4" t="s">
        <v>554</v>
      </c>
      <c r="C391" s="4" t="s">
        <v>696</v>
      </c>
      <c r="D391" s="4" t="s">
        <v>759</v>
      </c>
      <c r="E391" s="4" t="s">
        <v>5804</v>
      </c>
      <c r="F391" t="s">
        <v>19</v>
      </c>
      <c r="G391" t="s">
        <v>20</v>
      </c>
      <c r="H391" t="s">
        <v>21</v>
      </c>
      <c r="I391">
        <v>5</v>
      </c>
      <c r="J391" s="5">
        <v>4.9000000000000002E-2</v>
      </c>
      <c r="K391" t="s">
        <v>80</v>
      </c>
      <c r="L391" s="6">
        <v>42917</v>
      </c>
      <c r="M391">
        <v>7</v>
      </c>
      <c r="N391" s="7" t="s">
        <v>55</v>
      </c>
      <c r="O391" t="s">
        <v>223</v>
      </c>
      <c r="P391" t="s">
        <v>790</v>
      </c>
      <c r="Q391" t="s">
        <v>763</v>
      </c>
      <c r="R391" t="s">
        <v>764</v>
      </c>
    </row>
    <row r="392" spans="1:18" hidden="1">
      <c r="A392">
        <v>11</v>
      </c>
      <c r="B392" s="4" t="s">
        <v>554</v>
      </c>
      <c r="C392" s="4" t="s">
        <v>696</v>
      </c>
      <c r="D392" s="4" t="s">
        <v>759</v>
      </c>
      <c r="E392" s="4" t="s">
        <v>5804</v>
      </c>
      <c r="F392" t="s">
        <v>19</v>
      </c>
      <c r="G392" t="s">
        <v>20</v>
      </c>
      <c r="H392" t="s">
        <v>21</v>
      </c>
      <c r="I392">
        <v>5</v>
      </c>
      <c r="J392" s="5">
        <v>4.9000000000000002E-2</v>
      </c>
      <c r="K392" t="s">
        <v>142</v>
      </c>
      <c r="L392" s="6">
        <v>43101</v>
      </c>
      <c r="M392">
        <v>1</v>
      </c>
      <c r="N392" s="7" t="s">
        <v>30</v>
      </c>
      <c r="O392" t="s">
        <v>223</v>
      </c>
      <c r="P392" t="s">
        <v>791</v>
      </c>
      <c r="Q392" t="s">
        <v>763</v>
      </c>
      <c r="R392" t="s">
        <v>764</v>
      </c>
    </row>
    <row r="393" spans="1:18" hidden="1">
      <c r="A393">
        <v>11</v>
      </c>
      <c r="B393" s="4" t="s">
        <v>554</v>
      </c>
      <c r="C393" s="4" t="s">
        <v>696</v>
      </c>
      <c r="D393" s="4" t="s">
        <v>759</v>
      </c>
      <c r="E393" s="4" t="s">
        <v>5804</v>
      </c>
      <c r="F393" t="s">
        <v>19</v>
      </c>
      <c r="G393" t="s">
        <v>20</v>
      </c>
      <c r="H393" t="s">
        <v>21</v>
      </c>
      <c r="I393">
        <v>5</v>
      </c>
      <c r="J393" s="5">
        <v>4.9000000000000002E-2</v>
      </c>
      <c r="K393" t="s">
        <v>797</v>
      </c>
      <c r="L393" s="6">
        <v>43252</v>
      </c>
      <c r="M393">
        <v>6</v>
      </c>
      <c r="N393" s="7" t="s">
        <v>55</v>
      </c>
      <c r="O393" t="s">
        <v>223</v>
      </c>
      <c r="P393" t="s">
        <v>801</v>
      </c>
      <c r="Q393" t="s">
        <v>763</v>
      </c>
      <c r="R393" t="s">
        <v>764</v>
      </c>
    </row>
    <row r="394" spans="1:18" hidden="1">
      <c r="A394">
        <v>11</v>
      </c>
      <c r="B394" s="4" t="s">
        <v>554</v>
      </c>
      <c r="C394" s="4" t="s">
        <v>696</v>
      </c>
      <c r="D394" s="4" t="s">
        <v>759</v>
      </c>
      <c r="E394" s="4" t="s">
        <v>5804</v>
      </c>
      <c r="F394" t="s">
        <v>19</v>
      </c>
      <c r="G394" t="s">
        <v>114</v>
      </c>
      <c r="H394" t="s">
        <v>21</v>
      </c>
      <c r="I394">
        <v>9</v>
      </c>
      <c r="J394" s="5">
        <v>3.4000000000000002E-2</v>
      </c>
      <c r="K394" t="s">
        <v>298</v>
      </c>
      <c r="L394" s="6">
        <v>43344</v>
      </c>
      <c r="M394">
        <v>9</v>
      </c>
      <c r="N394" s="7" t="s">
        <v>23</v>
      </c>
      <c r="O394" t="s">
        <v>36</v>
      </c>
      <c r="P394" t="s">
        <v>806</v>
      </c>
      <c r="Q394" t="s">
        <v>807</v>
      </c>
      <c r="R394" t="s">
        <v>808</v>
      </c>
    </row>
    <row r="395" spans="1:18" hidden="1">
      <c r="A395">
        <v>11</v>
      </c>
      <c r="B395" s="4" t="s">
        <v>554</v>
      </c>
      <c r="C395" s="4" t="s">
        <v>696</v>
      </c>
      <c r="D395" s="4" t="s">
        <v>759</v>
      </c>
      <c r="E395" s="4" t="s">
        <v>5804</v>
      </c>
      <c r="F395" t="s">
        <v>19</v>
      </c>
      <c r="G395" t="s">
        <v>20</v>
      </c>
      <c r="H395" t="s">
        <v>21</v>
      </c>
      <c r="I395">
        <v>5</v>
      </c>
      <c r="J395" s="5">
        <v>4.9000000000000002E-2</v>
      </c>
      <c r="K395" t="s">
        <v>298</v>
      </c>
      <c r="L395" s="6">
        <v>43344</v>
      </c>
      <c r="M395">
        <v>9</v>
      </c>
      <c r="N395" s="7" t="s">
        <v>23</v>
      </c>
      <c r="O395" t="s">
        <v>223</v>
      </c>
      <c r="P395" t="s">
        <v>809</v>
      </c>
      <c r="Q395" t="s">
        <v>763</v>
      </c>
      <c r="R395" t="s">
        <v>764</v>
      </c>
    </row>
    <row r="396" spans="1:18" hidden="1">
      <c r="A396">
        <v>11</v>
      </c>
      <c r="B396" s="4" t="s">
        <v>554</v>
      </c>
      <c r="C396" s="4" t="s">
        <v>696</v>
      </c>
      <c r="D396" s="4" t="s">
        <v>759</v>
      </c>
      <c r="E396" s="4" t="s">
        <v>5804</v>
      </c>
      <c r="F396" t="s">
        <v>19</v>
      </c>
      <c r="G396" t="s">
        <v>114</v>
      </c>
      <c r="H396" t="s">
        <v>21</v>
      </c>
      <c r="I396">
        <v>9</v>
      </c>
      <c r="J396" s="5">
        <v>3.4000000000000002E-2</v>
      </c>
      <c r="K396" t="s">
        <v>654</v>
      </c>
      <c r="L396" s="6">
        <v>43556</v>
      </c>
      <c r="M396">
        <v>4</v>
      </c>
      <c r="N396" s="7" t="s">
        <v>23</v>
      </c>
      <c r="O396" t="s">
        <v>36</v>
      </c>
      <c r="P396" t="s">
        <v>822</v>
      </c>
      <c r="Q396" t="s">
        <v>807</v>
      </c>
      <c r="R396" t="s">
        <v>808</v>
      </c>
    </row>
    <row r="397" spans="1:18" hidden="1">
      <c r="A397">
        <v>11</v>
      </c>
      <c r="B397" s="4" t="s">
        <v>554</v>
      </c>
      <c r="C397" s="4" t="s">
        <v>696</v>
      </c>
      <c r="D397" s="4" t="s">
        <v>759</v>
      </c>
      <c r="E397" s="4" t="s">
        <v>5804</v>
      </c>
      <c r="F397" t="s">
        <v>19</v>
      </c>
      <c r="G397" t="s">
        <v>114</v>
      </c>
      <c r="H397" t="s">
        <v>21</v>
      </c>
      <c r="I397">
        <v>9</v>
      </c>
      <c r="J397" s="5">
        <v>3.4000000000000002E-2</v>
      </c>
      <c r="K397" t="s">
        <v>654</v>
      </c>
      <c r="L397" s="6">
        <v>43556</v>
      </c>
      <c r="M397">
        <v>4</v>
      </c>
      <c r="N397" s="7" t="s">
        <v>23</v>
      </c>
      <c r="O397" t="s">
        <v>36</v>
      </c>
      <c r="P397" t="s">
        <v>823</v>
      </c>
      <c r="Q397" t="s">
        <v>807</v>
      </c>
      <c r="R397" t="s">
        <v>808</v>
      </c>
    </row>
    <row r="398" spans="1:18" hidden="1">
      <c r="A398">
        <v>11</v>
      </c>
      <c r="B398" s="4" t="s">
        <v>554</v>
      </c>
      <c r="C398" s="4" t="s">
        <v>696</v>
      </c>
      <c r="D398" s="4" t="s">
        <v>759</v>
      </c>
      <c r="E398" s="4" t="s">
        <v>5804</v>
      </c>
      <c r="F398" t="s">
        <v>19</v>
      </c>
      <c r="G398" t="s">
        <v>20</v>
      </c>
      <c r="H398" t="s">
        <v>21</v>
      </c>
      <c r="I398">
        <v>5</v>
      </c>
      <c r="J398" s="5">
        <v>4.9000000000000002E-2</v>
      </c>
      <c r="K398" t="s">
        <v>159</v>
      </c>
      <c r="L398" s="6">
        <v>43586</v>
      </c>
      <c r="M398">
        <v>5</v>
      </c>
      <c r="N398" s="7" t="s">
        <v>23</v>
      </c>
      <c r="O398" t="s">
        <v>193</v>
      </c>
      <c r="P398" t="s">
        <v>826</v>
      </c>
      <c r="Q398" t="s">
        <v>782</v>
      </c>
      <c r="R398" t="s">
        <v>777</v>
      </c>
    </row>
    <row r="399" spans="1:18" hidden="1">
      <c r="A399">
        <v>11</v>
      </c>
      <c r="B399" s="4" t="s">
        <v>554</v>
      </c>
      <c r="C399" s="4" t="s">
        <v>696</v>
      </c>
      <c r="D399" s="4" t="s">
        <v>759</v>
      </c>
      <c r="E399" s="4" t="s">
        <v>5804</v>
      </c>
      <c r="F399" t="s">
        <v>19</v>
      </c>
      <c r="G399" t="s">
        <v>20</v>
      </c>
      <c r="H399" t="s">
        <v>21</v>
      </c>
      <c r="I399">
        <v>5</v>
      </c>
      <c r="J399" s="5">
        <v>4.9000000000000002E-2</v>
      </c>
      <c r="K399" t="s">
        <v>839</v>
      </c>
      <c r="L399" s="6">
        <v>43800</v>
      </c>
      <c r="M399">
        <v>12</v>
      </c>
      <c r="N399" s="7" t="s">
        <v>30</v>
      </c>
      <c r="O399" t="s">
        <v>36</v>
      </c>
      <c r="P399" t="s">
        <v>840</v>
      </c>
      <c r="Q399" t="s">
        <v>841</v>
      </c>
      <c r="R399" t="s">
        <v>821</v>
      </c>
    </row>
    <row r="400" spans="1:18" hidden="1">
      <c r="A400">
        <v>11</v>
      </c>
      <c r="B400" s="4" t="s">
        <v>554</v>
      </c>
      <c r="C400" s="4" t="s">
        <v>696</v>
      </c>
      <c r="D400" s="4" t="s">
        <v>759</v>
      </c>
      <c r="E400" s="4" t="s">
        <v>5804</v>
      </c>
      <c r="F400" t="s">
        <v>19</v>
      </c>
      <c r="G400" t="s">
        <v>20</v>
      </c>
      <c r="H400" t="s">
        <v>21</v>
      </c>
      <c r="I400">
        <v>5</v>
      </c>
      <c r="J400" s="5">
        <v>4.9000000000000002E-2</v>
      </c>
      <c r="K400" t="s">
        <v>204</v>
      </c>
      <c r="L400" s="6">
        <v>43831</v>
      </c>
      <c r="M400">
        <v>1</v>
      </c>
      <c r="N400" s="7" t="s">
        <v>30</v>
      </c>
      <c r="O400" t="s">
        <v>36</v>
      </c>
      <c r="P400" t="s">
        <v>842</v>
      </c>
      <c r="Q400" t="s">
        <v>843</v>
      </c>
      <c r="R400" t="s">
        <v>821</v>
      </c>
    </row>
    <row r="401" spans="1:18" hidden="1">
      <c r="A401">
        <v>11</v>
      </c>
      <c r="B401" s="4" t="s">
        <v>554</v>
      </c>
      <c r="C401" s="4" t="s">
        <v>696</v>
      </c>
      <c r="D401" s="4" t="s">
        <v>759</v>
      </c>
      <c r="E401" s="4" t="s">
        <v>5804</v>
      </c>
      <c r="F401" t="s">
        <v>19</v>
      </c>
      <c r="G401" t="s">
        <v>20</v>
      </c>
      <c r="H401" t="s">
        <v>21</v>
      </c>
      <c r="I401">
        <v>5</v>
      </c>
      <c r="J401" s="5">
        <v>4.9000000000000002E-2</v>
      </c>
      <c r="K401" t="s">
        <v>99</v>
      </c>
      <c r="L401" s="6">
        <v>43891</v>
      </c>
      <c r="M401">
        <v>3</v>
      </c>
      <c r="N401" s="7" t="s">
        <v>23</v>
      </c>
      <c r="O401" t="s">
        <v>193</v>
      </c>
      <c r="P401" t="s">
        <v>844</v>
      </c>
      <c r="Q401" t="s">
        <v>782</v>
      </c>
      <c r="R401" t="s">
        <v>777</v>
      </c>
    </row>
    <row r="402" spans="1:18" hidden="1">
      <c r="A402">
        <v>11</v>
      </c>
      <c r="B402" s="4" t="s">
        <v>554</v>
      </c>
      <c r="C402" s="4" t="s">
        <v>696</v>
      </c>
      <c r="D402" s="4" t="s">
        <v>759</v>
      </c>
      <c r="E402" s="4" t="s">
        <v>5804</v>
      </c>
      <c r="F402" t="s">
        <v>19</v>
      </c>
      <c r="G402" t="s">
        <v>20</v>
      </c>
      <c r="H402" t="s">
        <v>21</v>
      </c>
      <c r="I402">
        <v>5</v>
      </c>
      <c r="J402" s="5">
        <v>4.9000000000000002E-2</v>
      </c>
      <c r="K402" t="s">
        <v>539</v>
      </c>
      <c r="L402" s="6">
        <v>43922</v>
      </c>
      <c r="M402">
        <v>4</v>
      </c>
      <c r="N402" s="7" t="s">
        <v>23</v>
      </c>
      <c r="O402" t="s">
        <v>223</v>
      </c>
      <c r="P402" t="s">
        <v>846</v>
      </c>
      <c r="Q402" t="s">
        <v>763</v>
      </c>
      <c r="R402" t="s">
        <v>764</v>
      </c>
    </row>
    <row r="403" spans="1:18" hidden="1">
      <c r="A403">
        <v>11</v>
      </c>
      <c r="B403" s="4" t="s">
        <v>554</v>
      </c>
      <c r="C403" s="4" t="s">
        <v>696</v>
      </c>
      <c r="D403" s="4" t="s">
        <v>759</v>
      </c>
      <c r="E403" s="4" t="s">
        <v>5804</v>
      </c>
      <c r="F403" t="s">
        <v>19</v>
      </c>
      <c r="G403" t="s">
        <v>20</v>
      </c>
      <c r="H403" t="s">
        <v>21</v>
      </c>
      <c r="I403">
        <v>5</v>
      </c>
      <c r="J403" s="5">
        <v>4.9000000000000002E-2</v>
      </c>
      <c r="K403" t="s">
        <v>171</v>
      </c>
      <c r="L403" s="6">
        <v>44013</v>
      </c>
      <c r="M403">
        <v>7</v>
      </c>
      <c r="N403" s="7" t="s">
        <v>55</v>
      </c>
      <c r="O403" t="s">
        <v>223</v>
      </c>
      <c r="P403" t="s">
        <v>862</v>
      </c>
      <c r="Q403" t="s">
        <v>763</v>
      </c>
      <c r="R403" t="s">
        <v>764</v>
      </c>
    </row>
    <row r="404" spans="1:18" hidden="1">
      <c r="A404">
        <v>11</v>
      </c>
      <c r="B404" s="4" t="s">
        <v>554</v>
      </c>
      <c r="C404" s="4" t="s">
        <v>696</v>
      </c>
      <c r="D404" s="4" t="s">
        <v>759</v>
      </c>
      <c r="E404" s="4" t="s">
        <v>5804</v>
      </c>
      <c r="F404" t="s">
        <v>19</v>
      </c>
      <c r="G404" t="s">
        <v>114</v>
      </c>
      <c r="H404" t="s">
        <v>21</v>
      </c>
      <c r="I404">
        <v>9</v>
      </c>
      <c r="J404" s="5">
        <v>3.4000000000000002E-2</v>
      </c>
      <c r="K404" t="s">
        <v>365</v>
      </c>
      <c r="L404" s="6">
        <v>44105</v>
      </c>
      <c r="M404">
        <v>10</v>
      </c>
      <c r="N404" s="7" t="s">
        <v>23</v>
      </c>
      <c r="O404" t="s">
        <v>31</v>
      </c>
      <c r="P404" t="s">
        <v>869</v>
      </c>
      <c r="Q404" t="s">
        <v>870</v>
      </c>
      <c r="R404" t="s">
        <v>871</v>
      </c>
    </row>
    <row r="405" spans="1:18" hidden="1">
      <c r="A405">
        <v>11</v>
      </c>
      <c r="B405" s="4" t="s">
        <v>554</v>
      </c>
      <c r="C405" s="4" t="s">
        <v>696</v>
      </c>
      <c r="D405" s="4" t="s">
        <v>759</v>
      </c>
      <c r="E405" s="4" t="s">
        <v>5804</v>
      </c>
      <c r="F405" t="s">
        <v>19</v>
      </c>
      <c r="G405" t="s">
        <v>873</v>
      </c>
      <c r="H405" t="s">
        <v>53</v>
      </c>
      <c r="I405" t="s">
        <v>53</v>
      </c>
      <c r="J405" s="5" t="s">
        <v>53</v>
      </c>
      <c r="K405" t="s">
        <v>175</v>
      </c>
      <c r="L405" s="6">
        <v>44166</v>
      </c>
      <c r="M405">
        <v>12</v>
      </c>
      <c r="N405" s="7" t="s">
        <v>30</v>
      </c>
      <c r="O405" t="s">
        <v>223</v>
      </c>
      <c r="P405" t="s">
        <v>874</v>
      </c>
      <c r="Q405" t="s">
        <v>875</v>
      </c>
      <c r="R405" t="s">
        <v>876</v>
      </c>
    </row>
    <row r="406" spans="1:18" hidden="1">
      <c r="A406">
        <v>11</v>
      </c>
      <c r="B406" s="4" t="s">
        <v>554</v>
      </c>
      <c r="C406" s="4" t="s">
        <v>696</v>
      </c>
      <c r="D406" s="4" t="s">
        <v>759</v>
      </c>
      <c r="E406" s="4" t="s">
        <v>5804</v>
      </c>
      <c r="F406" t="s">
        <v>19</v>
      </c>
      <c r="G406" t="s">
        <v>114</v>
      </c>
      <c r="H406" t="s">
        <v>21</v>
      </c>
      <c r="I406">
        <v>9</v>
      </c>
      <c r="J406" s="5">
        <v>3.4000000000000002E-2</v>
      </c>
      <c r="K406" t="s">
        <v>175</v>
      </c>
      <c r="L406" s="6">
        <v>44166</v>
      </c>
      <c r="M406">
        <v>12</v>
      </c>
      <c r="N406" s="7" t="s">
        <v>30</v>
      </c>
      <c r="O406" t="s">
        <v>36</v>
      </c>
      <c r="P406" t="s">
        <v>877</v>
      </c>
      <c r="Q406" t="s">
        <v>878</v>
      </c>
      <c r="R406" t="s">
        <v>641</v>
      </c>
    </row>
    <row r="407" spans="1:18" hidden="1">
      <c r="A407">
        <v>11</v>
      </c>
      <c r="B407" s="4" t="s">
        <v>554</v>
      </c>
      <c r="C407" s="4" t="s">
        <v>696</v>
      </c>
      <c r="D407" s="4" t="s">
        <v>759</v>
      </c>
      <c r="E407" s="4" t="s">
        <v>5804</v>
      </c>
      <c r="F407" t="s">
        <v>19</v>
      </c>
      <c r="G407" t="s">
        <v>20</v>
      </c>
      <c r="H407" t="s">
        <v>21</v>
      </c>
      <c r="I407">
        <v>5</v>
      </c>
      <c r="J407" s="5">
        <v>4.9000000000000002E-2</v>
      </c>
      <c r="K407" t="s">
        <v>178</v>
      </c>
      <c r="L407" s="6">
        <v>44228</v>
      </c>
      <c r="M407">
        <v>2</v>
      </c>
      <c r="N407" s="7" t="s">
        <v>30</v>
      </c>
      <c r="O407" t="s">
        <v>223</v>
      </c>
      <c r="P407" t="s">
        <v>881</v>
      </c>
      <c r="Q407" t="s">
        <v>763</v>
      </c>
      <c r="R407" t="s">
        <v>764</v>
      </c>
    </row>
    <row r="408" spans="1:18" hidden="1">
      <c r="A408">
        <v>11</v>
      </c>
      <c r="B408" s="4" t="s">
        <v>554</v>
      </c>
      <c r="C408" s="4" t="s">
        <v>696</v>
      </c>
      <c r="D408" s="4" t="s">
        <v>759</v>
      </c>
      <c r="E408" s="4" t="s">
        <v>5804</v>
      </c>
      <c r="F408" t="s">
        <v>19</v>
      </c>
      <c r="G408" t="s">
        <v>20</v>
      </c>
      <c r="H408" t="s">
        <v>21</v>
      </c>
      <c r="I408">
        <v>5</v>
      </c>
      <c r="J408" s="5">
        <v>4.9000000000000002E-2</v>
      </c>
      <c r="K408" t="s">
        <v>489</v>
      </c>
      <c r="L408" s="6">
        <v>44409</v>
      </c>
      <c r="M408">
        <v>8</v>
      </c>
      <c r="N408" s="7" t="s">
        <v>55</v>
      </c>
      <c r="O408" t="s">
        <v>223</v>
      </c>
      <c r="P408" t="s">
        <v>890</v>
      </c>
      <c r="Q408" t="s">
        <v>763</v>
      </c>
      <c r="R408" t="s">
        <v>764</v>
      </c>
    </row>
    <row r="409" spans="1:18" hidden="1">
      <c r="A409">
        <v>11</v>
      </c>
      <c r="B409" s="4" t="s">
        <v>554</v>
      </c>
      <c r="C409" s="4" t="s">
        <v>696</v>
      </c>
      <c r="D409" s="4" t="s">
        <v>759</v>
      </c>
      <c r="E409" s="4" t="s">
        <v>5804</v>
      </c>
      <c r="F409" t="s">
        <v>19</v>
      </c>
      <c r="G409" t="s">
        <v>20</v>
      </c>
      <c r="H409" t="s">
        <v>21</v>
      </c>
      <c r="I409">
        <v>5</v>
      </c>
      <c r="J409" s="5">
        <v>4.9000000000000002E-2</v>
      </c>
      <c r="K409" t="s">
        <v>182</v>
      </c>
      <c r="L409" s="6">
        <v>44501</v>
      </c>
      <c r="M409">
        <v>11</v>
      </c>
      <c r="N409" s="7" t="s">
        <v>23</v>
      </c>
      <c r="O409" t="s">
        <v>223</v>
      </c>
      <c r="P409" t="s">
        <v>895</v>
      </c>
      <c r="Q409" t="s">
        <v>763</v>
      </c>
      <c r="R409" t="s">
        <v>764</v>
      </c>
    </row>
    <row r="410" spans="1:18" hidden="1">
      <c r="A410">
        <v>12</v>
      </c>
      <c r="B410" s="4" t="s">
        <v>901</v>
      </c>
      <c r="C410" s="4" t="s">
        <v>902</v>
      </c>
      <c r="D410" s="4" t="s">
        <v>903</v>
      </c>
      <c r="E410" s="4" t="s">
        <v>5804</v>
      </c>
      <c r="F410" t="s">
        <v>19</v>
      </c>
      <c r="G410" t="s">
        <v>20</v>
      </c>
      <c r="H410" t="s">
        <v>21</v>
      </c>
      <c r="I410">
        <v>5</v>
      </c>
      <c r="J410" s="5">
        <v>4.9000000000000002E-2</v>
      </c>
      <c r="K410" t="s">
        <v>65</v>
      </c>
      <c r="L410" s="6">
        <v>42430</v>
      </c>
      <c r="M410">
        <v>3</v>
      </c>
      <c r="N410" s="7" t="s">
        <v>23</v>
      </c>
      <c r="O410" t="s">
        <v>88</v>
      </c>
      <c r="P410" t="s">
        <v>927</v>
      </c>
      <c r="Q410" t="s">
        <v>928</v>
      </c>
      <c r="R410" t="s">
        <v>929</v>
      </c>
    </row>
    <row r="411" spans="1:18" hidden="1">
      <c r="A411">
        <v>12</v>
      </c>
      <c r="B411" s="4" t="s">
        <v>901</v>
      </c>
      <c r="C411" s="4" t="s">
        <v>902</v>
      </c>
      <c r="D411" s="4" t="s">
        <v>903</v>
      </c>
      <c r="E411" s="4" t="s">
        <v>5804</v>
      </c>
      <c r="F411" t="s">
        <v>19</v>
      </c>
      <c r="G411" t="s">
        <v>20</v>
      </c>
      <c r="H411" t="s">
        <v>21</v>
      </c>
      <c r="I411">
        <v>5</v>
      </c>
      <c r="J411" s="5">
        <v>4.9000000000000002E-2</v>
      </c>
      <c r="K411" t="s">
        <v>701</v>
      </c>
      <c r="L411" s="6">
        <v>42491</v>
      </c>
      <c r="M411">
        <v>5</v>
      </c>
      <c r="N411" s="7" t="s">
        <v>23</v>
      </c>
      <c r="O411" t="s">
        <v>36</v>
      </c>
      <c r="P411" t="s">
        <v>931</v>
      </c>
      <c r="Q411" t="s">
        <v>932</v>
      </c>
      <c r="R411" t="s">
        <v>933</v>
      </c>
    </row>
    <row r="412" spans="1:18" hidden="1">
      <c r="A412">
        <v>12</v>
      </c>
      <c r="B412" s="4" t="s">
        <v>901</v>
      </c>
      <c r="C412" s="4" t="s">
        <v>902</v>
      </c>
      <c r="D412" s="4" t="s">
        <v>903</v>
      </c>
      <c r="E412" s="4" t="s">
        <v>5804</v>
      </c>
      <c r="F412" t="s">
        <v>19</v>
      </c>
      <c r="G412" t="s">
        <v>20</v>
      </c>
      <c r="H412" t="s">
        <v>21</v>
      </c>
      <c r="I412">
        <v>5</v>
      </c>
      <c r="J412" s="5">
        <v>4.9000000000000002E-2</v>
      </c>
      <c r="K412" t="s">
        <v>218</v>
      </c>
      <c r="L412" s="6">
        <v>42614</v>
      </c>
      <c r="M412">
        <v>9</v>
      </c>
      <c r="N412" s="7" t="s">
        <v>23</v>
      </c>
      <c r="O412" t="s">
        <v>31</v>
      </c>
      <c r="P412" t="s">
        <v>950</v>
      </c>
      <c r="Q412" t="s">
        <v>951</v>
      </c>
      <c r="R412" t="s">
        <v>952</v>
      </c>
    </row>
    <row r="413" spans="1:18" hidden="1">
      <c r="A413">
        <v>12</v>
      </c>
      <c r="B413" s="4" t="s">
        <v>901</v>
      </c>
      <c r="C413" s="4" t="s">
        <v>902</v>
      </c>
      <c r="D413" s="4" t="s">
        <v>903</v>
      </c>
      <c r="E413" s="4" t="s">
        <v>5804</v>
      </c>
      <c r="F413" t="s">
        <v>19</v>
      </c>
      <c r="G413" t="s">
        <v>20</v>
      </c>
      <c r="H413" t="s">
        <v>21</v>
      </c>
      <c r="I413">
        <v>5</v>
      </c>
      <c r="J413" s="5">
        <v>4.9000000000000002E-2</v>
      </c>
      <c r="K413" t="s">
        <v>220</v>
      </c>
      <c r="L413" s="6">
        <v>42644</v>
      </c>
      <c r="M413">
        <v>10</v>
      </c>
      <c r="N413" s="7" t="s">
        <v>23</v>
      </c>
      <c r="O413" t="s">
        <v>223</v>
      </c>
      <c r="P413" t="s">
        <v>963</v>
      </c>
      <c r="Q413" t="s">
        <v>964</v>
      </c>
      <c r="R413" t="s">
        <v>965</v>
      </c>
    </row>
    <row r="414" spans="1:18" hidden="1">
      <c r="A414">
        <v>12</v>
      </c>
      <c r="B414" s="4" t="s">
        <v>901</v>
      </c>
      <c r="C414" s="4" t="s">
        <v>902</v>
      </c>
      <c r="D414" s="4" t="s">
        <v>903</v>
      </c>
      <c r="E414" s="4" t="s">
        <v>5804</v>
      </c>
      <c r="F414" t="s">
        <v>19</v>
      </c>
      <c r="G414" t="s">
        <v>20</v>
      </c>
      <c r="H414" t="s">
        <v>21</v>
      </c>
      <c r="I414">
        <v>5</v>
      </c>
      <c r="J414" s="5">
        <v>4.9000000000000002E-2</v>
      </c>
      <c r="K414" t="s">
        <v>681</v>
      </c>
      <c r="L414" s="6">
        <v>42887</v>
      </c>
      <c r="M414">
        <v>6</v>
      </c>
      <c r="N414" s="7" t="s">
        <v>55</v>
      </c>
      <c r="O414" t="s">
        <v>31</v>
      </c>
      <c r="P414" t="s">
        <v>995</v>
      </c>
      <c r="Q414" t="s">
        <v>951</v>
      </c>
      <c r="R414" t="s">
        <v>952</v>
      </c>
    </row>
    <row r="415" spans="1:18" hidden="1">
      <c r="A415">
        <v>12</v>
      </c>
      <c r="B415" s="4" t="s">
        <v>901</v>
      </c>
      <c r="C415" s="4" t="s">
        <v>902</v>
      </c>
      <c r="D415" s="4" t="s">
        <v>903</v>
      </c>
      <c r="E415" s="4" t="s">
        <v>5804</v>
      </c>
      <c r="F415" t="s">
        <v>19</v>
      </c>
      <c r="G415" t="s">
        <v>28</v>
      </c>
      <c r="H415" t="s">
        <v>21</v>
      </c>
      <c r="I415">
        <v>12</v>
      </c>
      <c r="J415" s="5">
        <v>2.3E-2</v>
      </c>
      <c r="K415" t="s">
        <v>87</v>
      </c>
      <c r="L415" s="6">
        <v>43040</v>
      </c>
      <c r="M415">
        <v>11</v>
      </c>
      <c r="N415" s="7" t="s">
        <v>23</v>
      </c>
      <c r="O415" t="s">
        <v>193</v>
      </c>
      <c r="P415" t="s">
        <v>1001</v>
      </c>
      <c r="Q415" t="s">
        <v>1002</v>
      </c>
      <c r="R415" t="s">
        <v>1003</v>
      </c>
    </row>
    <row r="416" spans="1:18" hidden="1">
      <c r="A416">
        <v>12</v>
      </c>
      <c r="B416" s="4" t="s">
        <v>901</v>
      </c>
      <c r="C416" s="4" t="s">
        <v>902</v>
      </c>
      <c r="D416" s="4" t="s">
        <v>903</v>
      </c>
      <c r="E416" s="4" t="s">
        <v>5804</v>
      </c>
      <c r="F416" t="s">
        <v>19</v>
      </c>
      <c r="G416" t="s">
        <v>28</v>
      </c>
      <c r="H416" t="s">
        <v>21</v>
      </c>
      <c r="I416">
        <v>12</v>
      </c>
      <c r="J416" s="5">
        <v>2.3E-2</v>
      </c>
      <c r="K416" t="s">
        <v>797</v>
      </c>
      <c r="L416" s="6">
        <v>43252</v>
      </c>
      <c r="M416">
        <v>6</v>
      </c>
      <c r="N416" s="7" t="s">
        <v>55</v>
      </c>
      <c r="O416" t="s">
        <v>31</v>
      </c>
      <c r="P416" t="s">
        <v>1034</v>
      </c>
      <c r="Q416" t="s">
        <v>1035</v>
      </c>
      <c r="R416" t="s">
        <v>1036</v>
      </c>
    </row>
    <row r="417" spans="1:18" hidden="1">
      <c r="A417">
        <v>12</v>
      </c>
      <c r="B417" s="4" t="s">
        <v>901</v>
      </c>
      <c r="C417" s="4" t="s">
        <v>902</v>
      </c>
      <c r="D417" s="4" t="s">
        <v>903</v>
      </c>
      <c r="E417" s="4" t="s">
        <v>5804</v>
      </c>
      <c r="F417" t="s">
        <v>19</v>
      </c>
      <c r="G417" t="s">
        <v>20</v>
      </c>
      <c r="H417" t="s">
        <v>21</v>
      </c>
      <c r="I417">
        <v>5</v>
      </c>
      <c r="J417" s="5">
        <v>4.9000000000000002E-2</v>
      </c>
      <c r="K417" t="s">
        <v>146</v>
      </c>
      <c r="L417" s="6">
        <v>43313</v>
      </c>
      <c r="M417">
        <v>8</v>
      </c>
      <c r="N417" s="7" t="s">
        <v>55</v>
      </c>
      <c r="O417" t="s">
        <v>88</v>
      </c>
      <c r="P417" t="s">
        <v>1052</v>
      </c>
      <c r="Q417" t="s">
        <v>928</v>
      </c>
      <c r="R417" t="s">
        <v>929</v>
      </c>
    </row>
    <row r="418" spans="1:18" hidden="1">
      <c r="A418">
        <v>12</v>
      </c>
      <c r="B418" s="4" t="s">
        <v>901</v>
      </c>
      <c r="C418" s="4" t="s">
        <v>902</v>
      </c>
      <c r="D418" s="4" t="s">
        <v>903</v>
      </c>
      <c r="E418" s="4" t="s">
        <v>5804</v>
      </c>
      <c r="F418" t="s">
        <v>19</v>
      </c>
      <c r="G418" t="s">
        <v>1056</v>
      </c>
      <c r="H418" t="s">
        <v>53</v>
      </c>
      <c r="I418" t="s">
        <v>53</v>
      </c>
      <c r="J418" s="5" t="s">
        <v>53</v>
      </c>
      <c r="K418" t="s">
        <v>152</v>
      </c>
      <c r="L418" s="6">
        <v>43374</v>
      </c>
      <c r="M418">
        <v>10</v>
      </c>
      <c r="N418" s="7" t="s">
        <v>23</v>
      </c>
      <c r="O418" t="s">
        <v>31</v>
      </c>
      <c r="P418" t="s">
        <v>1057</v>
      </c>
      <c r="Q418" t="s">
        <v>1058</v>
      </c>
      <c r="R418" t="s">
        <v>1059</v>
      </c>
    </row>
    <row r="419" spans="1:18" hidden="1">
      <c r="A419">
        <v>12</v>
      </c>
      <c r="B419" s="4" t="s">
        <v>901</v>
      </c>
      <c r="C419" s="4" t="s">
        <v>902</v>
      </c>
      <c r="D419" s="4" t="s">
        <v>903</v>
      </c>
      <c r="E419" s="4" t="s">
        <v>5804</v>
      </c>
      <c r="F419" t="s">
        <v>19</v>
      </c>
      <c r="G419" t="s">
        <v>20</v>
      </c>
      <c r="H419" t="s">
        <v>21</v>
      </c>
      <c r="I419">
        <v>5</v>
      </c>
      <c r="J419" s="5">
        <v>4.9000000000000002E-2</v>
      </c>
      <c r="K419" t="s">
        <v>365</v>
      </c>
      <c r="L419" s="6">
        <v>44105</v>
      </c>
      <c r="M419">
        <v>10</v>
      </c>
      <c r="N419" s="7" t="s">
        <v>23</v>
      </c>
      <c r="O419" t="s">
        <v>24</v>
      </c>
      <c r="P419" t="s">
        <v>1124</v>
      </c>
      <c r="Q419" t="s">
        <v>1125</v>
      </c>
      <c r="R419" t="s">
        <v>1126</v>
      </c>
    </row>
    <row r="420" spans="1:18" hidden="1">
      <c r="A420">
        <v>12</v>
      </c>
      <c r="B420" s="4" t="s">
        <v>901</v>
      </c>
      <c r="C420" s="4" t="s">
        <v>902</v>
      </c>
      <c r="D420" s="4" t="s">
        <v>903</v>
      </c>
      <c r="E420" s="4" t="s">
        <v>5804</v>
      </c>
      <c r="F420" t="s">
        <v>19</v>
      </c>
      <c r="G420" t="s">
        <v>20</v>
      </c>
      <c r="H420" t="s">
        <v>21</v>
      </c>
      <c r="I420">
        <v>5</v>
      </c>
      <c r="J420" s="5">
        <v>4.9000000000000002E-2</v>
      </c>
      <c r="K420" t="s">
        <v>749</v>
      </c>
      <c r="L420" s="6">
        <v>44136</v>
      </c>
      <c r="M420">
        <v>11</v>
      </c>
      <c r="N420" s="7" t="s">
        <v>23</v>
      </c>
      <c r="O420" t="s">
        <v>31</v>
      </c>
      <c r="P420" t="s">
        <v>1130</v>
      </c>
      <c r="Q420" t="s">
        <v>951</v>
      </c>
      <c r="R420" t="s">
        <v>952</v>
      </c>
    </row>
    <row r="421" spans="1:18" hidden="1">
      <c r="A421">
        <v>12</v>
      </c>
      <c r="B421" s="4" t="s">
        <v>901</v>
      </c>
      <c r="C421" s="4" t="s">
        <v>902</v>
      </c>
      <c r="D421" s="4" t="s">
        <v>903</v>
      </c>
      <c r="E421" s="4" t="s">
        <v>5804</v>
      </c>
      <c r="F421" t="s">
        <v>19</v>
      </c>
      <c r="G421" t="s">
        <v>20</v>
      </c>
      <c r="H421" t="s">
        <v>21</v>
      </c>
      <c r="I421">
        <v>5</v>
      </c>
      <c r="J421" s="5">
        <v>4.9000000000000002E-2</v>
      </c>
      <c r="K421" t="s">
        <v>489</v>
      </c>
      <c r="L421" s="6">
        <v>44409</v>
      </c>
      <c r="M421">
        <v>8</v>
      </c>
      <c r="N421" s="7" t="s">
        <v>55</v>
      </c>
      <c r="O421" t="s">
        <v>36</v>
      </c>
      <c r="P421" t="s">
        <v>1143</v>
      </c>
      <c r="Q421" t="s">
        <v>1144</v>
      </c>
      <c r="R421" t="s">
        <v>1145</v>
      </c>
    </row>
    <row r="422" spans="1:18" hidden="1">
      <c r="A422">
        <v>12</v>
      </c>
      <c r="B422" s="4" t="s">
        <v>901</v>
      </c>
      <c r="C422" s="4" t="s">
        <v>902</v>
      </c>
      <c r="D422" s="4" t="s">
        <v>903</v>
      </c>
      <c r="E422" s="4" t="s">
        <v>5804</v>
      </c>
      <c r="F422" t="s">
        <v>19</v>
      </c>
      <c r="G422" t="s">
        <v>28</v>
      </c>
      <c r="H422" t="s">
        <v>21</v>
      </c>
      <c r="I422">
        <v>12</v>
      </c>
      <c r="J422" s="5">
        <v>2.3E-2</v>
      </c>
      <c r="K422" t="s">
        <v>1157</v>
      </c>
      <c r="L422" s="6" t="s">
        <v>673</v>
      </c>
      <c r="M422" t="e">
        <v>#VALUE!</v>
      </c>
      <c r="N422" s="7" t="e">
        <v>#VALUE!</v>
      </c>
      <c r="O422" t="s">
        <v>36</v>
      </c>
      <c r="P422" t="s">
        <v>1158</v>
      </c>
      <c r="Q422" t="s">
        <v>1159</v>
      </c>
      <c r="R422" t="s">
        <v>1160</v>
      </c>
    </row>
    <row r="423" spans="1:18" hidden="1">
      <c r="A423">
        <v>12</v>
      </c>
      <c r="B423" s="4" t="s">
        <v>901</v>
      </c>
      <c r="C423" s="4" t="s">
        <v>1161</v>
      </c>
      <c r="D423" s="4" t="s">
        <v>1220</v>
      </c>
      <c r="E423" s="4" t="s">
        <v>5804</v>
      </c>
      <c r="F423" t="s">
        <v>19</v>
      </c>
      <c r="G423" t="s">
        <v>28</v>
      </c>
      <c r="H423" t="s">
        <v>21</v>
      </c>
      <c r="I423">
        <v>12</v>
      </c>
      <c r="J423" s="5">
        <v>2.3E-2</v>
      </c>
      <c r="K423" t="s">
        <v>60</v>
      </c>
      <c r="L423" s="6">
        <v>42370</v>
      </c>
      <c r="M423">
        <v>1</v>
      </c>
      <c r="N423" s="7" t="s">
        <v>30</v>
      </c>
      <c r="O423" t="s">
        <v>193</v>
      </c>
      <c r="P423" t="s">
        <v>1224</v>
      </c>
      <c r="Q423" t="s">
        <v>1002</v>
      </c>
      <c r="R423" t="s">
        <v>1003</v>
      </c>
    </row>
    <row r="424" spans="1:18" hidden="1">
      <c r="A424">
        <v>12</v>
      </c>
      <c r="B424" s="4" t="s">
        <v>901</v>
      </c>
      <c r="C424" s="4" t="s">
        <v>1161</v>
      </c>
      <c r="D424" s="4" t="s">
        <v>1220</v>
      </c>
      <c r="E424" s="4" t="s">
        <v>5804</v>
      </c>
      <c r="F424" t="s">
        <v>19</v>
      </c>
      <c r="G424" t="s">
        <v>1232</v>
      </c>
      <c r="H424" t="s">
        <v>53</v>
      </c>
      <c r="I424" t="s">
        <v>53</v>
      </c>
      <c r="J424" s="5" t="s">
        <v>53</v>
      </c>
      <c r="K424" t="s">
        <v>319</v>
      </c>
      <c r="L424" s="6">
        <v>42583</v>
      </c>
      <c r="M424">
        <v>8</v>
      </c>
      <c r="N424" s="7" t="s">
        <v>55</v>
      </c>
      <c r="O424" t="s">
        <v>88</v>
      </c>
      <c r="P424" t="s">
        <v>1233</v>
      </c>
      <c r="Q424" t="s">
        <v>1234</v>
      </c>
      <c r="R424" t="s">
        <v>1235</v>
      </c>
    </row>
    <row r="425" spans="1:18" hidden="1">
      <c r="A425">
        <v>12</v>
      </c>
      <c r="B425" s="4" t="s">
        <v>901</v>
      </c>
      <c r="C425" s="4" t="s">
        <v>1161</v>
      </c>
      <c r="D425" s="4" t="s">
        <v>1220</v>
      </c>
      <c r="E425" s="4" t="s">
        <v>5804</v>
      </c>
      <c r="F425" t="s">
        <v>19</v>
      </c>
      <c r="G425" t="s">
        <v>28</v>
      </c>
      <c r="H425" t="s">
        <v>21</v>
      </c>
      <c r="I425">
        <v>12</v>
      </c>
      <c r="J425" s="5">
        <v>2.3E-2</v>
      </c>
      <c r="K425" t="s">
        <v>29</v>
      </c>
      <c r="L425" s="6">
        <v>43070</v>
      </c>
      <c r="M425">
        <v>12</v>
      </c>
      <c r="N425" s="7" t="s">
        <v>30</v>
      </c>
      <c r="O425" t="s">
        <v>88</v>
      </c>
      <c r="P425" t="s">
        <v>1265</v>
      </c>
      <c r="Q425" t="s">
        <v>1266</v>
      </c>
      <c r="R425" t="s">
        <v>1267</v>
      </c>
    </row>
    <row r="426" spans="1:18" hidden="1">
      <c r="A426">
        <v>12</v>
      </c>
      <c r="B426" s="4" t="s">
        <v>901</v>
      </c>
      <c r="C426" s="4" t="s">
        <v>1161</v>
      </c>
      <c r="D426" s="4" t="s">
        <v>1220</v>
      </c>
      <c r="E426" s="4" t="s">
        <v>5804</v>
      </c>
      <c r="F426" t="s">
        <v>19</v>
      </c>
      <c r="G426" t="s">
        <v>28</v>
      </c>
      <c r="H426" t="s">
        <v>21</v>
      </c>
      <c r="I426">
        <v>12</v>
      </c>
      <c r="J426" s="5">
        <v>2.3E-2</v>
      </c>
      <c r="K426" t="s">
        <v>156</v>
      </c>
      <c r="L426" s="6">
        <v>43405</v>
      </c>
      <c r="M426">
        <v>11</v>
      </c>
      <c r="N426" s="7" t="s">
        <v>23</v>
      </c>
      <c r="O426" t="s">
        <v>193</v>
      </c>
      <c r="P426" t="s">
        <v>1283</v>
      </c>
      <c r="Q426" t="s">
        <v>1002</v>
      </c>
      <c r="R426" t="s">
        <v>1003</v>
      </c>
    </row>
    <row r="427" spans="1:18" hidden="1">
      <c r="A427">
        <v>12</v>
      </c>
      <c r="B427" s="4" t="s">
        <v>901</v>
      </c>
      <c r="C427" s="4" t="s">
        <v>1161</v>
      </c>
      <c r="D427" s="4" t="s">
        <v>1220</v>
      </c>
      <c r="E427" s="4" t="s">
        <v>5804</v>
      </c>
      <c r="F427" t="s">
        <v>19</v>
      </c>
      <c r="G427" t="s">
        <v>28</v>
      </c>
      <c r="H427" t="s">
        <v>21</v>
      </c>
      <c r="I427">
        <v>12</v>
      </c>
      <c r="J427" s="5">
        <v>2.3E-2</v>
      </c>
      <c r="K427" t="s">
        <v>749</v>
      </c>
      <c r="L427" s="6">
        <v>44136</v>
      </c>
      <c r="M427">
        <v>11</v>
      </c>
      <c r="N427" s="7" t="s">
        <v>23</v>
      </c>
      <c r="O427" t="s">
        <v>193</v>
      </c>
      <c r="P427" t="s">
        <v>1320</v>
      </c>
      <c r="Q427" t="s">
        <v>1002</v>
      </c>
      <c r="R427" t="s">
        <v>1003</v>
      </c>
    </row>
    <row r="428" spans="1:18" hidden="1">
      <c r="A428">
        <v>12</v>
      </c>
      <c r="B428" s="4" t="s">
        <v>901</v>
      </c>
      <c r="C428" s="4" t="s">
        <v>1161</v>
      </c>
      <c r="D428" s="4" t="s">
        <v>1337</v>
      </c>
      <c r="E428" s="4" t="s">
        <v>5804</v>
      </c>
      <c r="F428" t="s">
        <v>6070</v>
      </c>
      <c r="G428" t="s">
        <v>612</v>
      </c>
      <c r="H428" t="s">
        <v>53</v>
      </c>
      <c r="I428" t="s">
        <v>53</v>
      </c>
      <c r="J428" s="5" t="s">
        <v>53</v>
      </c>
      <c r="K428" t="s">
        <v>319</v>
      </c>
      <c r="L428" s="6">
        <v>42583</v>
      </c>
      <c r="M428">
        <v>8</v>
      </c>
      <c r="N428" s="7" t="s">
        <v>55</v>
      </c>
      <c r="O428" t="s">
        <v>36</v>
      </c>
      <c r="P428" t="s">
        <v>1338</v>
      </c>
      <c r="Q428" t="s">
        <v>191</v>
      </c>
      <c r="R428" t="s">
        <v>730</v>
      </c>
    </row>
    <row r="429" spans="1:18" hidden="1">
      <c r="A429">
        <v>12</v>
      </c>
      <c r="B429" s="4" t="s">
        <v>901</v>
      </c>
      <c r="C429" s="4" t="s">
        <v>1414</v>
      </c>
      <c r="D429" s="4" t="s">
        <v>1415</v>
      </c>
      <c r="E429" s="4" t="s">
        <v>5804</v>
      </c>
      <c r="F429" t="s">
        <v>19</v>
      </c>
      <c r="G429" t="s">
        <v>20</v>
      </c>
      <c r="H429" t="s">
        <v>21</v>
      </c>
      <c r="I429">
        <v>5</v>
      </c>
      <c r="J429" s="5">
        <v>4.9000000000000002E-2</v>
      </c>
      <c r="K429" t="s">
        <v>1416</v>
      </c>
      <c r="L429" s="6" t="s">
        <v>673</v>
      </c>
      <c r="M429" t="e">
        <v>#VALUE!</v>
      </c>
      <c r="N429" s="7" t="e">
        <v>#VALUE!</v>
      </c>
      <c r="O429" t="s">
        <v>36</v>
      </c>
      <c r="P429" t="s">
        <v>1417</v>
      </c>
      <c r="Q429" t="s">
        <v>1418</v>
      </c>
      <c r="R429" t="s">
        <v>1419</v>
      </c>
    </row>
    <row r="430" spans="1:18" hidden="1">
      <c r="A430">
        <v>12</v>
      </c>
      <c r="B430" s="4" t="s">
        <v>901</v>
      </c>
      <c r="C430" s="4" t="s">
        <v>1455</v>
      </c>
      <c r="D430" s="4" t="s">
        <v>1456</v>
      </c>
      <c r="E430" s="4" t="s">
        <v>5804</v>
      </c>
      <c r="F430" t="s">
        <v>19</v>
      </c>
      <c r="G430" t="s">
        <v>123</v>
      </c>
      <c r="H430" t="s">
        <v>53</v>
      </c>
      <c r="I430" t="s">
        <v>53</v>
      </c>
      <c r="J430" s="5" t="s">
        <v>53</v>
      </c>
      <c r="K430" t="s">
        <v>267</v>
      </c>
      <c r="L430" s="6">
        <v>44044</v>
      </c>
      <c r="M430">
        <v>8</v>
      </c>
      <c r="N430" s="7" t="s">
        <v>55</v>
      </c>
      <c r="O430" t="s">
        <v>88</v>
      </c>
      <c r="P430" t="s">
        <v>1460</v>
      </c>
      <c r="Q430" t="s">
        <v>1461</v>
      </c>
      <c r="R430" t="s">
        <v>1462</v>
      </c>
    </row>
    <row r="431" spans="1:18" hidden="1">
      <c r="A431">
        <v>12</v>
      </c>
      <c r="B431" s="4" t="s">
        <v>901</v>
      </c>
      <c r="C431" s="4" t="s">
        <v>1463</v>
      </c>
      <c r="D431" s="4" t="s">
        <v>1464</v>
      </c>
      <c r="E431" s="4" t="s">
        <v>5804</v>
      </c>
      <c r="F431" t="s">
        <v>19</v>
      </c>
      <c r="G431" t="s">
        <v>1056</v>
      </c>
      <c r="H431" t="s">
        <v>53</v>
      </c>
      <c r="I431" t="s">
        <v>53</v>
      </c>
      <c r="J431" s="5" t="s">
        <v>53</v>
      </c>
      <c r="K431" t="s">
        <v>382</v>
      </c>
      <c r="L431" s="6">
        <v>42401</v>
      </c>
      <c r="M431">
        <v>2</v>
      </c>
      <c r="N431" s="7" t="s">
        <v>30</v>
      </c>
      <c r="O431" t="s">
        <v>193</v>
      </c>
      <c r="P431" t="s">
        <v>1465</v>
      </c>
      <c r="Q431" t="s">
        <v>1466</v>
      </c>
      <c r="R431" t="s">
        <v>1467</v>
      </c>
    </row>
    <row r="432" spans="1:18" hidden="1">
      <c r="A432">
        <v>12</v>
      </c>
      <c r="B432" s="4" t="s">
        <v>901</v>
      </c>
      <c r="C432" s="4" t="s">
        <v>1463</v>
      </c>
      <c r="D432" s="4" t="s">
        <v>1464</v>
      </c>
      <c r="E432" s="4" t="s">
        <v>5804</v>
      </c>
      <c r="F432" t="s">
        <v>19</v>
      </c>
      <c r="G432" t="s">
        <v>1056</v>
      </c>
      <c r="H432" t="s">
        <v>53</v>
      </c>
      <c r="I432" t="s">
        <v>53</v>
      </c>
      <c r="J432" s="5" t="s">
        <v>53</v>
      </c>
      <c r="K432" t="s">
        <v>115</v>
      </c>
      <c r="L432" s="6">
        <v>42461</v>
      </c>
      <c r="M432">
        <v>4</v>
      </c>
      <c r="N432" s="7" t="s">
        <v>23</v>
      </c>
      <c r="O432" t="s">
        <v>31</v>
      </c>
      <c r="P432" t="s">
        <v>1468</v>
      </c>
      <c r="Q432" t="s">
        <v>1469</v>
      </c>
      <c r="R432" t="s">
        <v>1470</v>
      </c>
    </row>
    <row r="433" spans="1:18" hidden="1">
      <c r="A433">
        <v>12</v>
      </c>
      <c r="B433" s="4" t="s">
        <v>901</v>
      </c>
      <c r="C433" s="4" t="s">
        <v>1463</v>
      </c>
      <c r="D433" s="4" t="s">
        <v>1464</v>
      </c>
      <c r="E433" s="4" t="s">
        <v>5804</v>
      </c>
      <c r="F433" t="s">
        <v>19</v>
      </c>
      <c r="G433" t="s">
        <v>1056</v>
      </c>
      <c r="H433" t="s">
        <v>53</v>
      </c>
      <c r="I433" t="s">
        <v>53</v>
      </c>
      <c r="J433" s="5" t="s">
        <v>53</v>
      </c>
      <c r="K433" t="s">
        <v>115</v>
      </c>
      <c r="L433" s="6">
        <v>42461</v>
      </c>
      <c r="M433">
        <v>4</v>
      </c>
      <c r="N433" s="7" t="s">
        <v>23</v>
      </c>
      <c r="O433" t="s">
        <v>31</v>
      </c>
      <c r="P433" t="s">
        <v>1471</v>
      </c>
      <c r="Q433" t="s">
        <v>1472</v>
      </c>
      <c r="R433" t="s">
        <v>1473</v>
      </c>
    </row>
    <row r="434" spans="1:18" hidden="1">
      <c r="A434">
        <v>12</v>
      </c>
      <c r="B434" s="4" t="s">
        <v>901</v>
      </c>
      <c r="C434" s="4" t="s">
        <v>1463</v>
      </c>
      <c r="D434" s="4" t="s">
        <v>1464</v>
      </c>
      <c r="E434" s="4" t="s">
        <v>5804</v>
      </c>
      <c r="F434" t="s">
        <v>19</v>
      </c>
      <c r="G434" t="s">
        <v>1056</v>
      </c>
      <c r="H434" t="s">
        <v>53</v>
      </c>
      <c r="I434" t="s">
        <v>53</v>
      </c>
      <c r="J434" s="5" t="s">
        <v>53</v>
      </c>
      <c r="K434" t="s">
        <v>115</v>
      </c>
      <c r="L434" s="6">
        <v>42461</v>
      </c>
      <c r="M434">
        <v>4</v>
      </c>
      <c r="N434" s="7" t="s">
        <v>23</v>
      </c>
      <c r="O434" t="s">
        <v>31</v>
      </c>
      <c r="P434" t="s">
        <v>1474</v>
      </c>
      <c r="Q434" t="s">
        <v>1475</v>
      </c>
      <c r="R434" t="s">
        <v>1476</v>
      </c>
    </row>
    <row r="435" spans="1:18" hidden="1">
      <c r="A435">
        <v>12</v>
      </c>
      <c r="B435" s="4" t="s">
        <v>901</v>
      </c>
      <c r="C435" s="4" t="s">
        <v>1463</v>
      </c>
      <c r="D435" s="4" t="s">
        <v>1464</v>
      </c>
      <c r="E435" s="4" t="s">
        <v>5804</v>
      </c>
      <c r="F435" t="s">
        <v>19</v>
      </c>
      <c r="G435" t="s">
        <v>1056</v>
      </c>
      <c r="H435" t="s">
        <v>53</v>
      </c>
      <c r="I435" t="s">
        <v>53</v>
      </c>
      <c r="J435" s="5" t="s">
        <v>53</v>
      </c>
      <c r="K435" t="s">
        <v>218</v>
      </c>
      <c r="L435" s="6">
        <v>42614</v>
      </c>
      <c r="M435">
        <v>9</v>
      </c>
      <c r="N435" s="7" t="s">
        <v>23</v>
      </c>
      <c r="O435" t="s">
        <v>31</v>
      </c>
      <c r="P435" t="s">
        <v>1477</v>
      </c>
      <c r="Q435" t="s">
        <v>1472</v>
      </c>
      <c r="R435" t="s">
        <v>1473</v>
      </c>
    </row>
    <row r="436" spans="1:18" hidden="1">
      <c r="A436">
        <v>12</v>
      </c>
      <c r="B436" s="4" t="s">
        <v>901</v>
      </c>
      <c r="C436" s="4" t="s">
        <v>1463</v>
      </c>
      <c r="D436" s="4" t="s">
        <v>1464</v>
      </c>
      <c r="E436" s="4" t="s">
        <v>5804</v>
      </c>
      <c r="F436" t="s">
        <v>19</v>
      </c>
      <c r="G436" t="s">
        <v>1056</v>
      </c>
      <c r="H436" t="s">
        <v>53</v>
      </c>
      <c r="I436" t="s">
        <v>53</v>
      </c>
      <c r="J436" s="5" t="s">
        <v>53</v>
      </c>
      <c r="K436" t="s">
        <v>218</v>
      </c>
      <c r="L436" s="6">
        <v>42614</v>
      </c>
      <c r="M436">
        <v>9</v>
      </c>
      <c r="N436" s="7" t="s">
        <v>23</v>
      </c>
      <c r="O436" t="s">
        <v>88</v>
      </c>
      <c r="P436" t="s">
        <v>1478</v>
      </c>
      <c r="Q436" t="s">
        <v>1479</v>
      </c>
      <c r="R436" t="s">
        <v>1480</v>
      </c>
    </row>
    <row r="437" spans="1:18" hidden="1">
      <c r="A437">
        <v>12</v>
      </c>
      <c r="B437" s="4" t="s">
        <v>901</v>
      </c>
      <c r="C437" s="4" t="s">
        <v>1463</v>
      </c>
      <c r="D437" s="4" t="s">
        <v>1464</v>
      </c>
      <c r="E437" s="4" t="s">
        <v>5804</v>
      </c>
      <c r="F437" t="s">
        <v>19</v>
      </c>
      <c r="G437" t="s">
        <v>1056</v>
      </c>
      <c r="H437" t="s">
        <v>53</v>
      </c>
      <c r="I437" t="s">
        <v>53</v>
      </c>
      <c r="J437" s="5" t="s">
        <v>53</v>
      </c>
      <c r="K437" t="s">
        <v>220</v>
      </c>
      <c r="L437" s="6">
        <v>42644</v>
      </c>
      <c r="M437">
        <v>10</v>
      </c>
      <c r="N437" s="7" t="s">
        <v>23</v>
      </c>
      <c r="O437" t="s">
        <v>36</v>
      </c>
      <c r="P437" t="s">
        <v>1481</v>
      </c>
      <c r="Q437" t="s">
        <v>1482</v>
      </c>
      <c r="R437" t="s">
        <v>1483</v>
      </c>
    </row>
    <row r="438" spans="1:18" hidden="1">
      <c r="A438">
        <v>12</v>
      </c>
      <c r="B438" s="4" t="s">
        <v>901</v>
      </c>
      <c r="C438" s="4" t="s">
        <v>1463</v>
      </c>
      <c r="D438" s="4" t="s">
        <v>1464</v>
      </c>
      <c r="E438" s="4" t="s">
        <v>5804</v>
      </c>
      <c r="F438" t="s">
        <v>19</v>
      </c>
      <c r="G438" t="s">
        <v>1056</v>
      </c>
      <c r="H438" t="s">
        <v>53</v>
      </c>
      <c r="I438" t="s">
        <v>53</v>
      </c>
      <c r="J438" s="5" t="s">
        <v>53</v>
      </c>
      <c r="K438" t="s">
        <v>278</v>
      </c>
      <c r="L438" s="6">
        <v>42675</v>
      </c>
      <c r="M438">
        <v>11</v>
      </c>
      <c r="N438" s="7" t="s">
        <v>23</v>
      </c>
      <c r="O438" t="s">
        <v>31</v>
      </c>
      <c r="P438" t="s">
        <v>1484</v>
      </c>
      <c r="Q438" t="s">
        <v>1485</v>
      </c>
      <c r="R438" t="s">
        <v>1486</v>
      </c>
    </row>
    <row r="439" spans="1:18" hidden="1">
      <c r="A439">
        <v>12</v>
      </c>
      <c r="B439" s="4" t="s">
        <v>901</v>
      </c>
      <c r="C439" s="4" t="s">
        <v>1463</v>
      </c>
      <c r="D439" s="4" t="s">
        <v>1464</v>
      </c>
      <c r="E439" s="4" t="s">
        <v>5804</v>
      </c>
      <c r="F439" t="s">
        <v>19</v>
      </c>
      <c r="G439" t="s">
        <v>1056</v>
      </c>
      <c r="H439" t="s">
        <v>53</v>
      </c>
      <c r="I439" t="s">
        <v>53</v>
      </c>
      <c r="J439" s="5" t="s">
        <v>53</v>
      </c>
      <c r="K439" t="s">
        <v>278</v>
      </c>
      <c r="L439" s="6">
        <v>42675</v>
      </c>
      <c r="M439">
        <v>11</v>
      </c>
      <c r="N439" s="7" t="s">
        <v>23</v>
      </c>
      <c r="O439" t="s">
        <v>31</v>
      </c>
      <c r="P439" t="s">
        <v>1487</v>
      </c>
      <c r="Q439" t="s">
        <v>1488</v>
      </c>
      <c r="R439" t="s">
        <v>1489</v>
      </c>
    </row>
    <row r="440" spans="1:18" hidden="1">
      <c r="A440">
        <v>12</v>
      </c>
      <c r="B440" s="4" t="s">
        <v>901</v>
      </c>
      <c r="C440" s="4" t="s">
        <v>1463</v>
      </c>
      <c r="D440" s="4" t="s">
        <v>1464</v>
      </c>
      <c r="E440" s="4" t="s">
        <v>5804</v>
      </c>
      <c r="F440" t="s">
        <v>19</v>
      </c>
      <c r="G440" t="s">
        <v>28</v>
      </c>
      <c r="H440" t="s">
        <v>21</v>
      </c>
      <c r="I440">
        <v>12</v>
      </c>
      <c r="J440" s="5">
        <v>2.3E-2</v>
      </c>
      <c r="K440" t="s">
        <v>278</v>
      </c>
      <c r="L440" s="6">
        <v>42675</v>
      </c>
      <c r="M440">
        <v>11</v>
      </c>
      <c r="N440" s="7" t="s">
        <v>23</v>
      </c>
      <c r="O440" t="s">
        <v>88</v>
      </c>
      <c r="P440" t="s">
        <v>1490</v>
      </c>
      <c r="Q440" t="s">
        <v>1479</v>
      </c>
      <c r="R440" t="s">
        <v>1480</v>
      </c>
    </row>
    <row r="441" spans="1:18" hidden="1">
      <c r="A441">
        <v>12</v>
      </c>
      <c r="B441" s="4" t="s">
        <v>901</v>
      </c>
      <c r="C441" s="4" t="s">
        <v>1463</v>
      </c>
      <c r="D441" s="4" t="s">
        <v>1464</v>
      </c>
      <c r="E441" s="4" t="s">
        <v>5804</v>
      </c>
      <c r="F441" t="s">
        <v>19</v>
      </c>
      <c r="G441" t="s">
        <v>1056</v>
      </c>
      <c r="H441" t="s">
        <v>53</v>
      </c>
      <c r="I441" t="s">
        <v>53</v>
      </c>
      <c r="J441" s="5" t="s">
        <v>53</v>
      </c>
      <c r="K441" t="s">
        <v>477</v>
      </c>
      <c r="L441" s="6">
        <v>42705</v>
      </c>
      <c r="M441">
        <v>12</v>
      </c>
      <c r="N441" s="7" t="s">
        <v>30</v>
      </c>
      <c r="O441" t="s">
        <v>31</v>
      </c>
      <c r="P441" t="s">
        <v>1491</v>
      </c>
      <c r="Q441" t="s">
        <v>1492</v>
      </c>
      <c r="R441" t="s">
        <v>1493</v>
      </c>
    </row>
    <row r="442" spans="1:18" hidden="1">
      <c r="A442">
        <v>12</v>
      </c>
      <c r="B442" s="4" t="s">
        <v>901</v>
      </c>
      <c r="C442" s="4" t="s">
        <v>1463</v>
      </c>
      <c r="D442" s="4" t="s">
        <v>1464</v>
      </c>
      <c r="E442" s="4" t="s">
        <v>5804</v>
      </c>
      <c r="F442" t="s">
        <v>19</v>
      </c>
      <c r="G442" t="s">
        <v>1056</v>
      </c>
      <c r="H442" t="s">
        <v>53</v>
      </c>
      <c r="I442" t="s">
        <v>53</v>
      </c>
      <c r="J442" s="5" t="s">
        <v>53</v>
      </c>
      <c r="K442" t="s">
        <v>76</v>
      </c>
      <c r="L442" s="6">
        <v>42856</v>
      </c>
      <c r="M442">
        <v>5</v>
      </c>
      <c r="N442" s="7" t="s">
        <v>23</v>
      </c>
      <c r="O442" t="s">
        <v>31</v>
      </c>
      <c r="P442" t="s">
        <v>1497</v>
      </c>
      <c r="Q442" t="s">
        <v>1498</v>
      </c>
      <c r="R442" t="s">
        <v>1499</v>
      </c>
    </row>
    <row r="443" spans="1:18" hidden="1">
      <c r="A443">
        <v>12</v>
      </c>
      <c r="B443" s="4" t="s">
        <v>901</v>
      </c>
      <c r="C443" s="4" t="s">
        <v>1463</v>
      </c>
      <c r="D443" s="4" t="s">
        <v>1464</v>
      </c>
      <c r="E443" s="4" t="s">
        <v>5804</v>
      </c>
      <c r="F443" t="s">
        <v>19</v>
      </c>
      <c r="G443" t="s">
        <v>1056</v>
      </c>
      <c r="H443" t="s">
        <v>53</v>
      </c>
      <c r="I443" t="s">
        <v>53</v>
      </c>
      <c r="J443" s="5" t="s">
        <v>53</v>
      </c>
      <c r="K443" t="s">
        <v>85</v>
      </c>
      <c r="L443" s="6">
        <v>43009</v>
      </c>
      <c r="M443">
        <v>10</v>
      </c>
      <c r="N443" s="7" t="s">
        <v>23</v>
      </c>
      <c r="O443" t="s">
        <v>66</v>
      </c>
      <c r="P443" t="s">
        <v>1500</v>
      </c>
      <c r="Q443" t="s">
        <v>1501</v>
      </c>
      <c r="R443" t="s">
        <v>1502</v>
      </c>
    </row>
    <row r="444" spans="1:18" hidden="1">
      <c r="A444">
        <v>12</v>
      </c>
      <c r="B444" s="4" t="s">
        <v>901</v>
      </c>
      <c r="C444" s="4" t="s">
        <v>1463</v>
      </c>
      <c r="D444" s="4" t="s">
        <v>1464</v>
      </c>
      <c r="E444" s="4" t="s">
        <v>5804</v>
      </c>
      <c r="F444" t="s">
        <v>19</v>
      </c>
      <c r="G444" t="s">
        <v>1056</v>
      </c>
      <c r="H444" t="s">
        <v>53</v>
      </c>
      <c r="I444" t="s">
        <v>53</v>
      </c>
      <c r="J444" s="5" t="s">
        <v>53</v>
      </c>
      <c r="K444" t="s">
        <v>29</v>
      </c>
      <c r="L444" s="6">
        <v>43070</v>
      </c>
      <c r="M444">
        <v>12</v>
      </c>
      <c r="N444" s="7" t="s">
        <v>30</v>
      </c>
      <c r="O444" t="s">
        <v>31</v>
      </c>
      <c r="P444" t="s">
        <v>1503</v>
      </c>
      <c r="Q444" t="s">
        <v>1504</v>
      </c>
      <c r="R444" t="s">
        <v>1505</v>
      </c>
    </row>
    <row r="445" spans="1:18" hidden="1">
      <c r="A445">
        <v>12</v>
      </c>
      <c r="B445" s="4" t="s">
        <v>901</v>
      </c>
      <c r="C445" s="4" t="s">
        <v>1463</v>
      </c>
      <c r="D445" s="4" t="s">
        <v>1464</v>
      </c>
      <c r="E445" s="4" t="s">
        <v>5804</v>
      </c>
      <c r="F445" t="s">
        <v>19</v>
      </c>
      <c r="G445" t="s">
        <v>1056</v>
      </c>
      <c r="H445" t="s">
        <v>53</v>
      </c>
      <c r="I445" t="s">
        <v>53</v>
      </c>
      <c r="J445" s="5" t="s">
        <v>53</v>
      </c>
      <c r="K445" t="s">
        <v>29</v>
      </c>
      <c r="L445" s="6">
        <v>43070</v>
      </c>
      <c r="M445">
        <v>12</v>
      </c>
      <c r="N445" s="7" t="s">
        <v>30</v>
      </c>
      <c r="O445" t="s">
        <v>31</v>
      </c>
      <c r="P445" t="s">
        <v>1506</v>
      </c>
      <c r="Q445" t="s">
        <v>1475</v>
      </c>
      <c r="R445" t="s">
        <v>1476</v>
      </c>
    </row>
    <row r="446" spans="1:18" hidden="1">
      <c r="A446">
        <v>12</v>
      </c>
      <c r="B446" s="4" t="s">
        <v>901</v>
      </c>
      <c r="C446" s="4" t="s">
        <v>1463</v>
      </c>
      <c r="D446" s="4" t="s">
        <v>1464</v>
      </c>
      <c r="E446" s="4" t="s">
        <v>5804</v>
      </c>
      <c r="F446" t="s">
        <v>19</v>
      </c>
      <c r="G446" t="s">
        <v>1056</v>
      </c>
      <c r="H446" t="s">
        <v>53</v>
      </c>
      <c r="I446" t="s">
        <v>53</v>
      </c>
      <c r="J446" s="5" t="s">
        <v>53</v>
      </c>
      <c r="K446" t="s">
        <v>298</v>
      </c>
      <c r="L446" s="6">
        <v>43344</v>
      </c>
      <c r="M446">
        <v>9</v>
      </c>
      <c r="N446" s="7" t="s">
        <v>23</v>
      </c>
      <c r="O446" t="s">
        <v>31</v>
      </c>
      <c r="P446" t="s">
        <v>1510</v>
      </c>
      <c r="Q446" t="s">
        <v>1472</v>
      </c>
      <c r="R446" t="s">
        <v>1473</v>
      </c>
    </row>
    <row r="447" spans="1:18" hidden="1">
      <c r="A447">
        <v>12</v>
      </c>
      <c r="B447" s="4" t="s">
        <v>901</v>
      </c>
      <c r="C447" s="4" t="s">
        <v>1463</v>
      </c>
      <c r="D447" s="4" t="s">
        <v>1464</v>
      </c>
      <c r="E447" s="4" t="s">
        <v>5804</v>
      </c>
      <c r="F447" t="s">
        <v>19</v>
      </c>
      <c r="G447" t="s">
        <v>1056</v>
      </c>
      <c r="H447" t="s">
        <v>53</v>
      </c>
      <c r="I447" t="s">
        <v>53</v>
      </c>
      <c r="J447" s="5" t="s">
        <v>53</v>
      </c>
      <c r="K447" t="s">
        <v>245</v>
      </c>
      <c r="L447" s="6">
        <v>43466</v>
      </c>
      <c r="M447">
        <v>1</v>
      </c>
      <c r="N447" s="7" t="s">
        <v>30</v>
      </c>
      <c r="O447" t="s">
        <v>24</v>
      </c>
      <c r="P447" t="s">
        <v>1511</v>
      </c>
      <c r="Q447" t="s">
        <v>1512</v>
      </c>
      <c r="R447" t="s">
        <v>1513</v>
      </c>
    </row>
    <row r="448" spans="1:18" hidden="1">
      <c r="A448">
        <v>12</v>
      </c>
      <c r="B448" s="4" t="s">
        <v>901</v>
      </c>
      <c r="C448" s="4" t="s">
        <v>1463</v>
      </c>
      <c r="D448" s="4" t="s">
        <v>1464</v>
      </c>
      <c r="E448" s="4" t="s">
        <v>5804</v>
      </c>
      <c r="F448" t="s">
        <v>19</v>
      </c>
      <c r="G448" t="s">
        <v>1056</v>
      </c>
      <c r="H448" t="s">
        <v>53</v>
      </c>
      <c r="I448" t="s">
        <v>53</v>
      </c>
      <c r="J448" s="5" t="s">
        <v>53</v>
      </c>
      <c r="K448" t="s">
        <v>204</v>
      </c>
      <c r="L448" s="6">
        <v>43831</v>
      </c>
      <c r="M448">
        <v>1</v>
      </c>
      <c r="N448" s="7" t="s">
        <v>30</v>
      </c>
      <c r="O448" t="s">
        <v>31</v>
      </c>
      <c r="P448" t="s">
        <v>1514</v>
      </c>
      <c r="Q448" t="s">
        <v>1515</v>
      </c>
      <c r="R448" t="s">
        <v>1516</v>
      </c>
    </row>
    <row r="449" spans="1:18" hidden="1">
      <c r="A449">
        <v>12</v>
      </c>
      <c r="B449" s="4" t="s">
        <v>901</v>
      </c>
      <c r="C449" s="4" t="s">
        <v>1463</v>
      </c>
      <c r="D449" s="4" t="s">
        <v>1464</v>
      </c>
      <c r="E449" s="4" t="s">
        <v>5804</v>
      </c>
      <c r="F449" t="s">
        <v>19</v>
      </c>
      <c r="G449" t="s">
        <v>1056</v>
      </c>
      <c r="H449" t="s">
        <v>53</v>
      </c>
      <c r="I449" t="s">
        <v>53</v>
      </c>
      <c r="J449" s="5" t="s">
        <v>53</v>
      </c>
      <c r="K449" t="s">
        <v>255</v>
      </c>
      <c r="L449" s="6">
        <v>43983</v>
      </c>
      <c r="M449">
        <v>6</v>
      </c>
      <c r="N449" s="7" t="s">
        <v>55</v>
      </c>
      <c r="O449" t="s">
        <v>36</v>
      </c>
      <c r="P449" t="s">
        <v>1517</v>
      </c>
      <c r="Q449" t="s">
        <v>1518</v>
      </c>
      <c r="R449" t="s">
        <v>1519</v>
      </c>
    </row>
    <row r="450" spans="1:18" hidden="1">
      <c r="A450">
        <v>12</v>
      </c>
      <c r="B450" s="4" t="s">
        <v>901</v>
      </c>
      <c r="C450" s="4" t="s">
        <v>1463</v>
      </c>
      <c r="D450" s="4" t="s">
        <v>1464</v>
      </c>
      <c r="E450" s="4" t="s">
        <v>5804</v>
      </c>
      <c r="F450" t="s">
        <v>19</v>
      </c>
      <c r="G450" t="s">
        <v>1056</v>
      </c>
      <c r="H450" t="s">
        <v>53</v>
      </c>
      <c r="I450" t="s">
        <v>53</v>
      </c>
      <c r="J450" s="5" t="s">
        <v>53</v>
      </c>
      <c r="K450" t="s">
        <v>311</v>
      </c>
      <c r="L450" s="6">
        <v>44256</v>
      </c>
      <c r="M450">
        <v>3</v>
      </c>
      <c r="N450" s="7" t="s">
        <v>23</v>
      </c>
      <c r="O450" t="s">
        <v>31</v>
      </c>
      <c r="P450" t="s">
        <v>1520</v>
      </c>
      <c r="Q450" t="s">
        <v>1521</v>
      </c>
      <c r="R450" t="s">
        <v>1522</v>
      </c>
    </row>
    <row r="451" spans="1:18" hidden="1">
      <c r="A451">
        <v>12</v>
      </c>
      <c r="B451" s="4" t="s">
        <v>901</v>
      </c>
      <c r="C451" s="4" t="s">
        <v>1463</v>
      </c>
      <c r="D451" s="4" t="s">
        <v>1464</v>
      </c>
      <c r="E451" s="4" t="s">
        <v>5804</v>
      </c>
      <c r="F451" t="s">
        <v>19</v>
      </c>
      <c r="G451" t="s">
        <v>1056</v>
      </c>
      <c r="H451" t="s">
        <v>53</v>
      </c>
      <c r="I451" t="s">
        <v>53</v>
      </c>
      <c r="J451" s="5" t="s">
        <v>53</v>
      </c>
      <c r="K451" t="s">
        <v>753</v>
      </c>
      <c r="L451" s="6">
        <v>44348</v>
      </c>
      <c r="M451">
        <v>6</v>
      </c>
      <c r="N451" s="7" t="s">
        <v>55</v>
      </c>
      <c r="O451" t="s">
        <v>36</v>
      </c>
      <c r="P451" t="s">
        <v>1526</v>
      </c>
      <c r="Q451" t="s">
        <v>1518</v>
      </c>
      <c r="R451" t="s">
        <v>1519</v>
      </c>
    </row>
    <row r="452" spans="1:18" hidden="1">
      <c r="A452">
        <v>12</v>
      </c>
      <c r="B452" s="4" t="s">
        <v>901</v>
      </c>
      <c r="C452" s="4" t="s">
        <v>1463</v>
      </c>
      <c r="D452" s="4" t="s">
        <v>1464</v>
      </c>
      <c r="E452" s="4" t="s">
        <v>5804</v>
      </c>
      <c r="F452" t="s">
        <v>19</v>
      </c>
      <c r="G452" t="s">
        <v>1056</v>
      </c>
      <c r="H452" t="s">
        <v>53</v>
      </c>
      <c r="I452" t="s">
        <v>53</v>
      </c>
      <c r="J452" s="5" t="s">
        <v>53</v>
      </c>
      <c r="K452" t="s">
        <v>753</v>
      </c>
      <c r="L452" s="6">
        <v>44348</v>
      </c>
      <c r="M452">
        <v>6</v>
      </c>
      <c r="N452" s="7" t="s">
        <v>55</v>
      </c>
      <c r="O452" t="s">
        <v>31</v>
      </c>
      <c r="P452" t="s">
        <v>1527</v>
      </c>
      <c r="Q452" t="s">
        <v>1528</v>
      </c>
      <c r="R452" t="s">
        <v>1529</v>
      </c>
    </row>
    <row r="453" spans="1:18" hidden="1">
      <c r="A453">
        <v>12</v>
      </c>
      <c r="B453" s="4" t="s">
        <v>901</v>
      </c>
      <c r="C453" s="4" t="s">
        <v>1463</v>
      </c>
      <c r="D453" s="4" t="s">
        <v>1464</v>
      </c>
      <c r="E453" s="4" t="s">
        <v>5804</v>
      </c>
      <c r="F453" t="s">
        <v>19</v>
      </c>
      <c r="G453" t="s">
        <v>1056</v>
      </c>
      <c r="H453" t="s">
        <v>53</v>
      </c>
      <c r="I453" t="s">
        <v>53</v>
      </c>
      <c r="J453" s="5" t="s">
        <v>53</v>
      </c>
      <c r="K453" t="s">
        <v>489</v>
      </c>
      <c r="L453" s="6">
        <v>44409</v>
      </c>
      <c r="M453">
        <v>8</v>
      </c>
      <c r="N453" s="7" t="s">
        <v>55</v>
      </c>
      <c r="O453" t="s">
        <v>31</v>
      </c>
      <c r="P453" t="s">
        <v>1530</v>
      </c>
      <c r="Q453" t="s">
        <v>1531</v>
      </c>
      <c r="R453" t="s">
        <v>1532</v>
      </c>
    </row>
    <row r="454" spans="1:18" hidden="1">
      <c r="A454">
        <v>12</v>
      </c>
      <c r="B454" s="4" t="s">
        <v>901</v>
      </c>
      <c r="C454" s="4" t="s">
        <v>1463</v>
      </c>
      <c r="D454" s="4" t="s">
        <v>1557</v>
      </c>
      <c r="E454" s="4" t="s">
        <v>5804</v>
      </c>
      <c r="F454" t="s">
        <v>19</v>
      </c>
      <c r="G454" t="s">
        <v>28</v>
      </c>
      <c r="H454" t="s">
        <v>21</v>
      </c>
      <c r="I454">
        <v>12</v>
      </c>
      <c r="J454" s="5">
        <v>2.3E-2</v>
      </c>
      <c r="K454" t="s">
        <v>60</v>
      </c>
      <c r="L454" s="6">
        <v>42370</v>
      </c>
      <c r="M454">
        <v>1</v>
      </c>
      <c r="N454" s="7" t="s">
        <v>30</v>
      </c>
      <c r="O454" t="s">
        <v>193</v>
      </c>
      <c r="P454" t="s">
        <v>1558</v>
      </c>
      <c r="Q454" t="s">
        <v>1559</v>
      </c>
      <c r="R454" t="s">
        <v>1560</v>
      </c>
    </row>
    <row r="455" spans="1:18" hidden="1">
      <c r="A455">
        <v>12</v>
      </c>
      <c r="B455" s="4" t="s">
        <v>901</v>
      </c>
      <c r="C455" s="4" t="s">
        <v>1463</v>
      </c>
      <c r="D455" s="4" t="s">
        <v>1557</v>
      </c>
      <c r="E455" s="4" t="s">
        <v>5804</v>
      </c>
      <c r="F455" t="s">
        <v>19</v>
      </c>
      <c r="G455" t="s">
        <v>28</v>
      </c>
      <c r="H455" t="s">
        <v>21</v>
      </c>
      <c r="I455">
        <v>12</v>
      </c>
      <c r="J455" s="5">
        <v>2.3E-2</v>
      </c>
      <c r="K455" t="s">
        <v>22</v>
      </c>
      <c r="L455" s="6">
        <v>42979</v>
      </c>
      <c r="M455">
        <v>9</v>
      </c>
      <c r="N455" s="7" t="s">
        <v>23</v>
      </c>
      <c r="O455" t="s">
        <v>223</v>
      </c>
      <c r="P455" t="s">
        <v>1561</v>
      </c>
      <c r="Q455" t="s">
        <v>1310</v>
      </c>
      <c r="R455" t="s">
        <v>1311</v>
      </c>
    </row>
    <row r="456" spans="1:18" hidden="1">
      <c r="A456">
        <v>12</v>
      </c>
      <c r="B456" s="4" t="s">
        <v>901</v>
      </c>
      <c r="C456" s="4" t="s">
        <v>1463</v>
      </c>
      <c r="D456" s="4" t="s">
        <v>1557</v>
      </c>
      <c r="E456" s="4" t="s">
        <v>5804</v>
      </c>
      <c r="F456" t="s">
        <v>19</v>
      </c>
      <c r="G456" t="s">
        <v>28</v>
      </c>
      <c r="H456" t="s">
        <v>21</v>
      </c>
      <c r="I456">
        <v>12</v>
      </c>
      <c r="J456" s="5">
        <v>2.3E-2</v>
      </c>
      <c r="K456" t="s">
        <v>654</v>
      </c>
      <c r="L456" s="6">
        <v>43556</v>
      </c>
      <c r="M456">
        <v>4</v>
      </c>
      <c r="N456" s="7" t="s">
        <v>23</v>
      </c>
      <c r="O456" t="s">
        <v>31</v>
      </c>
      <c r="P456" t="s">
        <v>1565</v>
      </c>
      <c r="Q456" t="s">
        <v>1566</v>
      </c>
      <c r="R456" t="s">
        <v>1567</v>
      </c>
    </row>
    <row r="457" spans="1:18" hidden="1">
      <c r="A457">
        <v>12</v>
      </c>
      <c r="B457" s="4" t="s">
        <v>901</v>
      </c>
      <c r="C457" s="4" t="s">
        <v>1463</v>
      </c>
      <c r="D457" s="4" t="s">
        <v>1557</v>
      </c>
      <c r="E457" s="4" t="s">
        <v>5804</v>
      </c>
      <c r="F457" t="s">
        <v>19</v>
      </c>
      <c r="G457" t="s">
        <v>28</v>
      </c>
      <c r="H457" t="s">
        <v>21</v>
      </c>
      <c r="I457">
        <v>12</v>
      </c>
      <c r="J457" s="5">
        <v>2.3E-2</v>
      </c>
      <c r="K457" t="s">
        <v>726</v>
      </c>
      <c r="L457" s="6">
        <v>43709</v>
      </c>
      <c r="M457">
        <v>9</v>
      </c>
      <c r="N457" s="7" t="s">
        <v>23</v>
      </c>
      <c r="O457" t="s">
        <v>36</v>
      </c>
      <c r="P457" t="s">
        <v>1568</v>
      </c>
      <c r="Q457" t="s">
        <v>1569</v>
      </c>
      <c r="R457" t="s">
        <v>1570</v>
      </c>
    </row>
    <row r="458" spans="1:18" hidden="1">
      <c r="A458">
        <v>12</v>
      </c>
      <c r="B458" s="4" t="s">
        <v>901</v>
      </c>
      <c r="C458" s="4" t="s">
        <v>1463</v>
      </c>
      <c r="D458" s="4" t="s">
        <v>1557</v>
      </c>
      <c r="E458" s="4" t="s">
        <v>5804</v>
      </c>
      <c r="F458" t="s">
        <v>19</v>
      </c>
      <c r="G458" t="s">
        <v>28</v>
      </c>
      <c r="H458" t="s">
        <v>21</v>
      </c>
      <c r="I458">
        <v>12</v>
      </c>
      <c r="J458" s="5">
        <v>2.3E-2</v>
      </c>
      <c r="K458" t="s">
        <v>357</v>
      </c>
      <c r="L458" s="6">
        <v>43739</v>
      </c>
      <c r="M458">
        <v>10</v>
      </c>
      <c r="N458" s="7" t="s">
        <v>23</v>
      </c>
      <c r="O458" t="s">
        <v>24</v>
      </c>
      <c r="P458" t="s">
        <v>1571</v>
      </c>
      <c r="Q458" t="s">
        <v>1572</v>
      </c>
      <c r="R458" t="s">
        <v>1573</v>
      </c>
    </row>
    <row r="459" spans="1:18" hidden="1">
      <c r="A459">
        <v>12</v>
      </c>
      <c r="B459" s="4" t="s">
        <v>901</v>
      </c>
      <c r="C459" s="4" t="s">
        <v>1463</v>
      </c>
      <c r="D459" s="4" t="s">
        <v>1557</v>
      </c>
      <c r="E459" s="4" t="s">
        <v>5804</v>
      </c>
      <c r="F459" t="s">
        <v>19</v>
      </c>
      <c r="G459" t="s">
        <v>28</v>
      </c>
      <c r="H459" t="s">
        <v>21</v>
      </c>
      <c r="I459">
        <v>12</v>
      </c>
      <c r="J459" s="5">
        <v>2.3E-2</v>
      </c>
      <c r="K459" t="s">
        <v>839</v>
      </c>
      <c r="L459" s="6">
        <v>43800</v>
      </c>
      <c r="M459">
        <v>12</v>
      </c>
      <c r="N459" s="7" t="s">
        <v>30</v>
      </c>
      <c r="O459" t="s">
        <v>24</v>
      </c>
      <c r="P459" t="s">
        <v>1574</v>
      </c>
      <c r="Q459" t="s">
        <v>1575</v>
      </c>
      <c r="R459" t="s">
        <v>1576</v>
      </c>
    </row>
    <row r="460" spans="1:18" hidden="1">
      <c r="A460">
        <v>12</v>
      </c>
      <c r="B460" s="4" t="s">
        <v>901</v>
      </c>
      <c r="C460" s="4" t="s">
        <v>1463</v>
      </c>
      <c r="D460" s="4" t="s">
        <v>1557</v>
      </c>
      <c r="E460" s="4" t="s">
        <v>5804</v>
      </c>
      <c r="F460" t="s">
        <v>19</v>
      </c>
      <c r="G460" t="s">
        <v>28</v>
      </c>
      <c r="H460" t="s">
        <v>21</v>
      </c>
      <c r="I460">
        <v>12</v>
      </c>
      <c r="J460" s="5">
        <v>2.3E-2</v>
      </c>
      <c r="K460" t="s">
        <v>171</v>
      </c>
      <c r="L460" s="6">
        <v>44013</v>
      </c>
      <c r="M460">
        <v>7</v>
      </c>
      <c r="N460" s="7" t="s">
        <v>55</v>
      </c>
      <c r="O460" t="s">
        <v>88</v>
      </c>
      <c r="P460" t="s">
        <v>1577</v>
      </c>
      <c r="Q460" t="s">
        <v>1578</v>
      </c>
      <c r="R460" t="s">
        <v>1579</v>
      </c>
    </row>
    <row r="461" spans="1:18" hidden="1">
      <c r="A461">
        <v>12</v>
      </c>
      <c r="B461" s="4" t="s">
        <v>901</v>
      </c>
      <c r="C461" s="4" t="s">
        <v>1463</v>
      </c>
      <c r="D461" s="4" t="s">
        <v>1557</v>
      </c>
      <c r="E461" s="4" t="s">
        <v>5804</v>
      </c>
      <c r="F461" t="s">
        <v>19</v>
      </c>
      <c r="G461" t="s">
        <v>28</v>
      </c>
      <c r="H461" t="s">
        <v>21</v>
      </c>
      <c r="I461">
        <v>12</v>
      </c>
      <c r="J461" s="5">
        <v>2.3E-2</v>
      </c>
      <c r="K461" t="s">
        <v>171</v>
      </c>
      <c r="L461" s="6">
        <v>44013</v>
      </c>
      <c r="M461">
        <v>7</v>
      </c>
      <c r="N461" s="7" t="s">
        <v>55</v>
      </c>
      <c r="O461" t="s">
        <v>88</v>
      </c>
      <c r="P461" t="s">
        <v>1580</v>
      </c>
      <c r="Q461" t="s">
        <v>1581</v>
      </c>
      <c r="R461" t="s">
        <v>1582</v>
      </c>
    </row>
    <row r="462" spans="1:18" hidden="1">
      <c r="A462">
        <v>12</v>
      </c>
      <c r="B462" s="4" t="s">
        <v>901</v>
      </c>
      <c r="C462" s="4" t="s">
        <v>1600</v>
      </c>
      <c r="D462" s="4" t="s">
        <v>1601</v>
      </c>
      <c r="E462" s="4" t="s">
        <v>5804</v>
      </c>
      <c r="F462" t="s">
        <v>19</v>
      </c>
      <c r="G462" t="s">
        <v>1232</v>
      </c>
      <c r="H462" t="s">
        <v>53</v>
      </c>
      <c r="I462" t="s">
        <v>53</v>
      </c>
      <c r="J462" s="5" t="s">
        <v>53</v>
      </c>
      <c r="K462" t="s">
        <v>71</v>
      </c>
      <c r="L462" s="6">
        <v>42522</v>
      </c>
      <c r="M462">
        <v>6</v>
      </c>
      <c r="N462" s="7" t="s">
        <v>55</v>
      </c>
      <c r="O462" t="s">
        <v>88</v>
      </c>
      <c r="P462" t="s">
        <v>1608</v>
      </c>
      <c r="Q462" t="s">
        <v>1606</v>
      </c>
      <c r="R462" t="s">
        <v>1607</v>
      </c>
    </row>
    <row r="463" spans="1:18" hidden="1">
      <c r="A463">
        <v>12</v>
      </c>
      <c r="B463" s="4" t="s">
        <v>901</v>
      </c>
      <c r="C463" s="4" t="s">
        <v>1600</v>
      </c>
      <c r="D463" s="4" t="s">
        <v>1601</v>
      </c>
      <c r="E463" s="4" t="s">
        <v>5804</v>
      </c>
      <c r="F463" t="s">
        <v>19</v>
      </c>
      <c r="G463" t="s">
        <v>1232</v>
      </c>
      <c r="H463" t="s">
        <v>53</v>
      </c>
      <c r="I463" t="s">
        <v>53</v>
      </c>
      <c r="J463" s="5" t="s">
        <v>53</v>
      </c>
      <c r="K463" t="s">
        <v>119</v>
      </c>
      <c r="L463" s="6">
        <v>42552</v>
      </c>
      <c r="M463">
        <v>7</v>
      </c>
      <c r="N463" s="7" t="s">
        <v>55</v>
      </c>
      <c r="O463" t="s">
        <v>223</v>
      </c>
      <c r="P463" t="s">
        <v>1609</v>
      </c>
      <c r="Q463" t="s">
        <v>1610</v>
      </c>
      <c r="R463" t="s">
        <v>1611</v>
      </c>
    </row>
    <row r="464" spans="1:18" hidden="1">
      <c r="A464">
        <v>12</v>
      </c>
      <c r="B464" s="4" t="s">
        <v>901</v>
      </c>
      <c r="C464" s="4" t="s">
        <v>1600</v>
      </c>
      <c r="D464" s="4" t="s">
        <v>1601</v>
      </c>
      <c r="E464" s="4" t="s">
        <v>5804</v>
      </c>
      <c r="F464" t="s">
        <v>19</v>
      </c>
      <c r="G464" t="s">
        <v>1232</v>
      </c>
      <c r="H464" t="s">
        <v>53</v>
      </c>
      <c r="I464" t="s">
        <v>53</v>
      </c>
      <c r="J464" s="5" t="s">
        <v>53</v>
      </c>
      <c r="K464" t="s">
        <v>319</v>
      </c>
      <c r="L464" s="6">
        <v>42583</v>
      </c>
      <c r="M464">
        <v>8</v>
      </c>
      <c r="N464" s="7" t="s">
        <v>55</v>
      </c>
      <c r="O464" t="s">
        <v>223</v>
      </c>
      <c r="P464" t="s">
        <v>1612</v>
      </c>
      <c r="Q464" t="s">
        <v>1613</v>
      </c>
      <c r="R464" t="s">
        <v>1614</v>
      </c>
    </row>
    <row r="465" spans="1:18" hidden="1">
      <c r="A465">
        <v>12</v>
      </c>
      <c r="B465" s="4" t="s">
        <v>901</v>
      </c>
      <c r="C465" s="4" t="s">
        <v>1600</v>
      </c>
      <c r="D465" s="4" t="s">
        <v>1601</v>
      </c>
      <c r="E465" s="4" t="s">
        <v>5804</v>
      </c>
      <c r="F465" t="s">
        <v>19</v>
      </c>
      <c r="G465" t="s">
        <v>114</v>
      </c>
      <c r="H465" t="s">
        <v>21</v>
      </c>
      <c r="I465">
        <v>9</v>
      </c>
      <c r="J465" s="5">
        <v>3.4000000000000002E-2</v>
      </c>
      <c r="K465" t="s">
        <v>220</v>
      </c>
      <c r="L465" s="6">
        <v>42644</v>
      </c>
      <c r="M465">
        <v>10</v>
      </c>
      <c r="N465" s="7" t="s">
        <v>23</v>
      </c>
      <c r="O465" t="s">
        <v>24</v>
      </c>
      <c r="P465" t="s">
        <v>1615</v>
      </c>
      <c r="Q465" t="s">
        <v>1616</v>
      </c>
      <c r="R465" t="s">
        <v>1617</v>
      </c>
    </row>
    <row r="466" spans="1:18" hidden="1">
      <c r="A466">
        <v>12</v>
      </c>
      <c r="B466" s="4" t="s">
        <v>901</v>
      </c>
      <c r="C466" s="4" t="s">
        <v>1600</v>
      </c>
      <c r="D466" s="4" t="s">
        <v>1601</v>
      </c>
      <c r="E466" s="4" t="s">
        <v>5804</v>
      </c>
      <c r="F466" t="s">
        <v>19</v>
      </c>
      <c r="G466" t="s">
        <v>1232</v>
      </c>
      <c r="H466" t="s">
        <v>53</v>
      </c>
      <c r="I466" t="s">
        <v>53</v>
      </c>
      <c r="J466" s="5" t="s">
        <v>53</v>
      </c>
      <c r="K466" t="s">
        <v>76</v>
      </c>
      <c r="L466" s="6">
        <v>42856</v>
      </c>
      <c r="M466">
        <v>5</v>
      </c>
      <c r="N466" s="7" t="s">
        <v>23</v>
      </c>
      <c r="O466" t="s">
        <v>223</v>
      </c>
      <c r="P466" t="s">
        <v>1618</v>
      </c>
      <c r="Q466" t="s">
        <v>1619</v>
      </c>
      <c r="R466" t="s">
        <v>1620</v>
      </c>
    </row>
    <row r="467" spans="1:18" hidden="1">
      <c r="A467">
        <v>12</v>
      </c>
      <c r="B467" s="4" t="s">
        <v>901</v>
      </c>
      <c r="C467" s="4" t="s">
        <v>1600</v>
      </c>
      <c r="D467" s="4" t="s">
        <v>1601</v>
      </c>
      <c r="E467" s="4" t="s">
        <v>5804</v>
      </c>
      <c r="F467" t="s">
        <v>19</v>
      </c>
      <c r="G467" t="s">
        <v>114</v>
      </c>
      <c r="H467" t="s">
        <v>21</v>
      </c>
      <c r="I467">
        <v>9</v>
      </c>
      <c r="J467" s="5">
        <v>3.4000000000000002E-2</v>
      </c>
      <c r="K467" t="s">
        <v>85</v>
      </c>
      <c r="L467" s="6">
        <v>43009</v>
      </c>
      <c r="M467">
        <v>10</v>
      </c>
      <c r="N467" s="7" t="s">
        <v>23</v>
      </c>
      <c r="O467" t="s">
        <v>223</v>
      </c>
      <c r="P467" t="s">
        <v>1621</v>
      </c>
      <c r="Q467" t="s">
        <v>1622</v>
      </c>
      <c r="R467" t="s">
        <v>1623</v>
      </c>
    </row>
    <row r="468" spans="1:18" hidden="1">
      <c r="A468">
        <v>12</v>
      </c>
      <c r="B468" s="4" t="s">
        <v>901</v>
      </c>
      <c r="C468" s="4" t="s">
        <v>1600</v>
      </c>
      <c r="D468" s="4" t="s">
        <v>1601</v>
      </c>
      <c r="E468" s="4" t="s">
        <v>5804</v>
      </c>
      <c r="F468" t="s">
        <v>19</v>
      </c>
      <c r="G468" t="s">
        <v>114</v>
      </c>
      <c r="H468" t="s">
        <v>21</v>
      </c>
      <c r="I468">
        <v>9</v>
      </c>
      <c r="J468" s="5">
        <v>3.4000000000000002E-2</v>
      </c>
      <c r="K468" t="s">
        <v>85</v>
      </c>
      <c r="L468" s="6">
        <v>43009</v>
      </c>
      <c r="M468">
        <v>10</v>
      </c>
      <c r="N468" s="7" t="s">
        <v>23</v>
      </c>
      <c r="O468" t="s">
        <v>31</v>
      </c>
      <c r="P468" t="s">
        <v>1624</v>
      </c>
      <c r="Q468" t="s">
        <v>1625</v>
      </c>
      <c r="R468" t="s">
        <v>1604</v>
      </c>
    </row>
    <row r="469" spans="1:18" hidden="1">
      <c r="A469">
        <v>12</v>
      </c>
      <c r="B469" s="4" t="s">
        <v>901</v>
      </c>
      <c r="C469" s="4" t="s">
        <v>1600</v>
      </c>
      <c r="D469" s="4" t="s">
        <v>1601</v>
      </c>
      <c r="E469" s="4" t="s">
        <v>5804</v>
      </c>
      <c r="F469" t="s">
        <v>19</v>
      </c>
      <c r="G469" t="s">
        <v>20</v>
      </c>
      <c r="H469" t="s">
        <v>21</v>
      </c>
      <c r="I469">
        <v>5</v>
      </c>
      <c r="J469" s="5">
        <v>4.9000000000000002E-2</v>
      </c>
      <c r="K469" t="s">
        <v>85</v>
      </c>
      <c r="L469" s="6">
        <v>43009</v>
      </c>
      <c r="M469">
        <v>10</v>
      </c>
      <c r="N469" s="7" t="s">
        <v>23</v>
      </c>
      <c r="O469" t="s">
        <v>36</v>
      </c>
      <c r="P469" t="s">
        <v>1626</v>
      </c>
      <c r="Q469" t="s">
        <v>1627</v>
      </c>
      <c r="R469" t="s">
        <v>1628</v>
      </c>
    </row>
    <row r="470" spans="1:18" hidden="1">
      <c r="A470">
        <v>12</v>
      </c>
      <c r="B470" s="4" t="s">
        <v>901</v>
      </c>
      <c r="C470" s="4" t="s">
        <v>1600</v>
      </c>
      <c r="D470" s="4" t="s">
        <v>1601</v>
      </c>
      <c r="E470" s="4" t="s">
        <v>5804</v>
      </c>
      <c r="F470" t="s">
        <v>19</v>
      </c>
      <c r="G470" t="s">
        <v>28</v>
      </c>
      <c r="H470" t="s">
        <v>21</v>
      </c>
      <c r="I470">
        <v>12</v>
      </c>
      <c r="J470" s="5">
        <v>2.3E-2</v>
      </c>
      <c r="K470" t="s">
        <v>85</v>
      </c>
      <c r="L470" s="6">
        <v>43009</v>
      </c>
      <c r="M470">
        <v>10</v>
      </c>
      <c r="N470" s="7" t="s">
        <v>23</v>
      </c>
      <c r="O470" t="s">
        <v>88</v>
      </c>
      <c r="P470" t="s">
        <v>1629</v>
      </c>
      <c r="Q470" t="s">
        <v>1630</v>
      </c>
      <c r="R470" t="s">
        <v>1631</v>
      </c>
    </row>
    <row r="471" spans="1:18" hidden="1">
      <c r="A471">
        <v>12</v>
      </c>
      <c r="B471" s="4" t="s">
        <v>901</v>
      </c>
      <c r="C471" s="4" t="s">
        <v>1600</v>
      </c>
      <c r="D471" s="4" t="s">
        <v>1601</v>
      </c>
      <c r="E471" s="4" t="s">
        <v>5804</v>
      </c>
      <c r="F471" t="s">
        <v>19</v>
      </c>
      <c r="G471" t="s">
        <v>20</v>
      </c>
      <c r="H471" t="s">
        <v>21</v>
      </c>
      <c r="I471">
        <v>5</v>
      </c>
      <c r="J471" s="5">
        <v>4.9000000000000002E-2</v>
      </c>
      <c r="K471" t="s">
        <v>29</v>
      </c>
      <c r="L471" s="6">
        <v>43070</v>
      </c>
      <c r="M471">
        <v>12</v>
      </c>
      <c r="N471" s="7" t="s">
        <v>30</v>
      </c>
      <c r="O471" t="s">
        <v>223</v>
      </c>
      <c r="P471" t="s">
        <v>1632</v>
      </c>
      <c r="Q471" t="s">
        <v>1613</v>
      </c>
      <c r="R471" t="s">
        <v>1614</v>
      </c>
    </row>
    <row r="472" spans="1:18" hidden="1">
      <c r="A472">
        <v>12</v>
      </c>
      <c r="B472" s="4" t="s">
        <v>901</v>
      </c>
      <c r="C472" s="4" t="s">
        <v>1600</v>
      </c>
      <c r="D472" s="4" t="s">
        <v>1601</v>
      </c>
      <c r="E472" s="4" t="s">
        <v>5804</v>
      </c>
      <c r="F472" t="s">
        <v>19</v>
      </c>
      <c r="G472" t="s">
        <v>28</v>
      </c>
      <c r="H472" t="s">
        <v>21</v>
      </c>
      <c r="I472">
        <v>12</v>
      </c>
      <c r="J472" s="5">
        <v>2.3E-2</v>
      </c>
      <c r="K472" t="s">
        <v>797</v>
      </c>
      <c r="L472" s="6">
        <v>43252</v>
      </c>
      <c r="M472">
        <v>6</v>
      </c>
      <c r="N472" s="7" t="s">
        <v>55</v>
      </c>
      <c r="O472" t="s">
        <v>88</v>
      </c>
      <c r="P472" t="s">
        <v>1633</v>
      </c>
      <c r="Q472" t="s">
        <v>1634</v>
      </c>
      <c r="R472" t="s">
        <v>1635</v>
      </c>
    </row>
    <row r="473" spans="1:18" hidden="1">
      <c r="A473">
        <v>12</v>
      </c>
      <c r="B473" s="4" t="s">
        <v>901</v>
      </c>
      <c r="C473" s="4" t="s">
        <v>1600</v>
      </c>
      <c r="D473" s="4" t="s">
        <v>1601</v>
      </c>
      <c r="E473" s="4" t="s">
        <v>5804</v>
      </c>
      <c r="F473" t="s">
        <v>19</v>
      </c>
      <c r="G473" t="s">
        <v>114</v>
      </c>
      <c r="H473" t="s">
        <v>21</v>
      </c>
      <c r="I473">
        <v>9</v>
      </c>
      <c r="J473" s="5">
        <v>3.4000000000000002E-2</v>
      </c>
      <c r="K473" t="s">
        <v>298</v>
      </c>
      <c r="L473" s="6">
        <v>43344</v>
      </c>
      <c r="M473">
        <v>9</v>
      </c>
      <c r="N473" s="7" t="s">
        <v>23</v>
      </c>
      <c r="O473" t="s">
        <v>88</v>
      </c>
      <c r="P473" t="s">
        <v>1639</v>
      </c>
      <c r="Q473" t="s">
        <v>1640</v>
      </c>
      <c r="R473" t="s">
        <v>1641</v>
      </c>
    </row>
    <row r="474" spans="1:18" hidden="1">
      <c r="A474">
        <v>12</v>
      </c>
      <c r="B474" s="4" t="s">
        <v>901</v>
      </c>
      <c r="C474" s="4" t="s">
        <v>1600</v>
      </c>
      <c r="D474" s="4" t="s">
        <v>1601</v>
      </c>
      <c r="E474" s="4" t="s">
        <v>5804</v>
      </c>
      <c r="F474" t="s">
        <v>19</v>
      </c>
      <c r="G474" t="s">
        <v>20</v>
      </c>
      <c r="H474" t="s">
        <v>21</v>
      </c>
      <c r="I474">
        <v>5</v>
      </c>
      <c r="J474" s="5">
        <v>4.9000000000000002E-2</v>
      </c>
      <c r="K474" t="s">
        <v>304</v>
      </c>
      <c r="L474" s="6">
        <v>43647</v>
      </c>
      <c r="M474">
        <v>7</v>
      </c>
      <c r="N474" s="7" t="s">
        <v>55</v>
      </c>
      <c r="O474" t="s">
        <v>88</v>
      </c>
      <c r="P474" t="s">
        <v>1642</v>
      </c>
      <c r="Q474" t="s">
        <v>1643</v>
      </c>
      <c r="R474" t="s">
        <v>1644</v>
      </c>
    </row>
    <row r="475" spans="1:18" hidden="1">
      <c r="A475">
        <v>12</v>
      </c>
      <c r="B475" s="4" t="s">
        <v>901</v>
      </c>
      <c r="C475" s="4" t="s">
        <v>1600</v>
      </c>
      <c r="D475" s="4" t="s">
        <v>1601</v>
      </c>
      <c r="E475" s="4" t="s">
        <v>5804</v>
      </c>
      <c r="F475" t="s">
        <v>19</v>
      </c>
      <c r="G475" t="s">
        <v>1232</v>
      </c>
      <c r="H475" t="s">
        <v>53</v>
      </c>
      <c r="I475" t="s">
        <v>53</v>
      </c>
      <c r="J475" s="5" t="s">
        <v>53</v>
      </c>
      <c r="K475" t="s">
        <v>726</v>
      </c>
      <c r="L475" s="6">
        <v>43709</v>
      </c>
      <c r="M475">
        <v>9</v>
      </c>
      <c r="N475" s="7" t="s">
        <v>23</v>
      </c>
      <c r="O475" t="s">
        <v>31</v>
      </c>
      <c r="P475" t="s">
        <v>1645</v>
      </c>
      <c r="Q475" t="s">
        <v>1646</v>
      </c>
      <c r="R475" t="s">
        <v>1647</v>
      </c>
    </row>
    <row r="476" spans="1:18" hidden="1">
      <c r="A476">
        <v>12</v>
      </c>
      <c r="B476" s="4" t="s">
        <v>901</v>
      </c>
      <c r="C476" s="4" t="s">
        <v>1600</v>
      </c>
      <c r="D476" s="4" t="s">
        <v>1601</v>
      </c>
      <c r="E476" s="4" t="s">
        <v>5804</v>
      </c>
      <c r="F476" t="s">
        <v>19</v>
      </c>
      <c r="G476" t="s">
        <v>28</v>
      </c>
      <c r="H476" t="s">
        <v>21</v>
      </c>
      <c r="I476">
        <v>12</v>
      </c>
      <c r="J476" s="5">
        <v>2.3E-2</v>
      </c>
      <c r="K476" t="s">
        <v>357</v>
      </c>
      <c r="L476" s="6">
        <v>43739</v>
      </c>
      <c r="M476">
        <v>10</v>
      </c>
      <c r="N476" s="7" t="s">
        <v>23</v>
      </c>
      <c r="O476" t="s">
        <v>24</v>
      </c>
      <c r="P476" t="s">
        <v>1648</v>
      </c>
      <c r="Q476" t="s">
        <v>1649</v>
      </c>
      <c r="R476" t="s">
        <v>1650</v>
      </c>
    </row>
    <row r="477" spans="1:18" hidden="1">
      <c r="A477">
        <v>12</v>
      </c>
      <c r="B477" s="4" t="s">
        <v>901</v>
      </c>
      <c r="C477" s="4" t="s">
        <v>1600</v>
      </c>
      <c r="D477" s="4" t="s">
        <v>1601</v>
      </c>
      <c r="E477" s="4" t="s">
        <v>5804</v>
      </c>
      <c r="F477" t="s">
        <v>19</v>
      </c>
      <c r="G477" t="s">
        <v>873</v>
      </c>
      <c r="H477" t="s">
        <v>53</v>
      </c>
      <c r="I477" t="s">
        <v>53</v>
      </c>
      <c r="J477" s="5" t="s">
        <v>53</v>
      </c>
      <c r="K477" t="s">
        <v>204</v>
      </c>
      <c r="L477" s="6">
        <v>43831</v>
      </c>
      <c r="M477">
        <v>1</v>
      </c>
      <c r="N477" s="7" t="s">
        <v>30</v>
      </c>
      <c r="O477" t="s">
        <v>36</v>
      </c>
      <c r="P477" t="s">
        <v>1651</v>
      </c>
      <c r="Q477" t="s">
        <v>1652</v>
      </c>
      <c r="R477" t="s">
        <v>1653</v>
      </c>
    </row>
    <row r="478" spans="1:18" hidden="1">
      <c r="A478">
        <v>12</v>
      </c>
      <c r="B478" s="4" t="s">
        <v>901</v>
      </c>
      <c r="C478" s="4" t="s">
        <v>1600</v>
      </c>
      <c r="D478" s="4" t="s">
        <v>1601</v>
      </c>
      <c r="E478" s="4" t="s">
        <v>5804</v>
      </c>
      <c r="F478" t="s">
        <v>19</v>
      </c>
      <c r="G478" t="s">
        <v>28</v>
      </c>
      <c r="H478" t="s">
        <v>21</v>
      </c>
      <c r="I478">
        <v>12</v>
      </c>
      <c r="J478" s="5">
        <v>2.3E-2</v>
      </c>
      <c r="K478" t="s">
        <v>255</v>
      </c>
      <c r="L478" s="6">
        <v>43983</v>
      </c>
      <c r="M478">
        <v>6</v>
      </c>
      <c r="N478" s="7" t="s">
        <v>55</v>
      </c>
      <c r="O478" t="s">
        <v>36</v>
      </c>
      <c r="P478" t="s">
        <v>1654</v>
      </c>
      <c r="Q478" t="s">
        <v>1655</v>
      </c>
      <c r="R478" t="s">
        <v>1656</v>
      </c>
    </row>
    <row r="479" spans="1:18" hidden="1">
      <c r="A479">
        <v>12</v>
      </c>
      <c r="B479" s="4" t="s">
        <v>901</v>
      </c>
      <c r="C479" s="4" t="s">
        <v>1600</v>
      </c>
      <c r="D479" s="4" t="s">
        <v>1601</v>
      </c>
      <c r="E479" s="4" t="s">
        <v>5804</v>
      </c>
      <c r="F479" t="s">
        <v>19</v>
      </c>
      <c r="G479" t="s">
        <v>1232</v>
      </c>
      <c r="H479" t="s">
        <v>53</v>
      </c>
      <c r="I479" t="s">
        <v>53</v>
      </c>
      <c r="J479" s="5" t="s">
        <v>53</v>
      </c>
      <c r="K479" t="s">
        <v>171</v>
      </c>
      <c r="L479" s="6">
        <v>44013</v>
      </c>
      <c r="M479">
        <v>7</v>
      </c>
      <c r="N479" s="7" t="s">
        <v>55</v>
      </c>
      <c r="O479" t="s">
        <v>36</v>
      </c>
      <c r="P479" t="s">
        <v>1657</v>
      </c>
      <c r="Q479" t="s">
        <v>1658</v>
      </c>
      <c r="R479" t="s">
        <v>1659</v>
      </c>
    </row>
    <row r="480" spans="1:18" hidden="1">
      <c r="A480">
        <v>12</v>
      </c>
      <c r="B480" s="4" t="s">
        <v>901</v>
      </c>
      <c r="C480" s="4" t="s">
        <v>1600</v>
      </c>
      <c r="D480" s="4" t="s">
        <v>1601</v>
      </c>
      <c r="E480" s="4" t="s">
        <v>5804</v>
      </c>
      <c r="F480" t="s">
        <v>19</v>
      </c>
      <c r="G480" t="s">
        <v>114</v>
      </c>
      <c r="H480" t="s">
        <v>21</v>
      </c>
      <c r="I480">
        <v>9</v>
      </c>
      <c r="J480" s="5">
        <v>3.4000000000000002E-2</v>
      </c>
      <c r="K480" t="s">
        <v>547</v>
      </c>
      <c r="L480" s="6">
        <v>44075</v>
      </c>
      <c r="M480">
        <v>9</v>
      </c>
      <c r="N480" s="7" t="s">
        <v>23</v>
      </c>
      <c r="O480" t="s">
        <v>36</v>
      </c>
      <c r="P480" t="s">
        <v>1660</v>
      </c>
      <c r="Q480" t="s">
        <v>1661</v>
      </c>
      <c r="R480" t="s">
        <v>1662</v>
      </c>
    </row>
    <row r="481" spans="1:18" hidden="1">
      <c r="A481">
        <v>12</v>
      </c>
      <c r="B481" s="4" t="s">
        <v>901</v>
      </c>
      <c r="C481" s="4" t="s">
        <v>1600</v>
      </c>
      <c r="D481" s="4" t="s">
        <v>1601</v>
      </c>
      <c r="E481" s="4" t="s">
        <v>5804</v>
      </c>
      <c r="F481" t="s">
        <v>19</v>
      </c>
      <c r="G481" t="s">
        <v>28</v>
      </c>
      <c r="H481" t="s">
        <v>21</v>
      </c>
      <c r="I481">
        <v>12</v>
      </c>
      <c r="J481" s="5">
        <v>2.3E-2</v>
      </c>
      <c r="K481" t="s">
        <v>365</v>
      </c>
      <c r="L481" s="6">
        <v>44105</v>
      </c>
      <c r="M481">
        <v>10</v>
      </c>
      <c r="N481" s="7" t="s">
        <v>23</v>
      </c>
      <c r="O481" t="s">
        <v>36</v>
      </c>
      <c r="P481" t="s">
        <v>1663</v>
      </c>
      <c r="Q481" t="s">
        <v>1664</v>
      </c>
      <c r="R481" t="s">
        <v>1656</v>
      </c>
    </row>
    <row r="482" spans="1:18" hidden="1">
      <c r="A482">
        <v>12</v>
      </c>
      <c r="B482" s="4" t="s">
        <v>901</v>
      </c>
      <c r="C482" s="4" t="s">
        <v>1600</v>
      </c>
      <c r="D482" s="4" t="s">
        <v>1601</v>
      </c>
      <c r="E482" s="4" t="s">
        <v>5804</v>
      </c>
      <c r="F482" t="s">
        <v>19</v>
      </c>
      <c r="G482" t="s">
        <v>873</v>
      </c>
      <c r="H482" t="s">
        <v>53</v>
      </c>
      <c r="I482" t="s">
        <v>53</v>
      </c>
      <c r="J482" s="5" t="s">
        <v>53</v>
      </c>
      <c r="K482" t="s">
        <v>749</v>
      </c>
      <c r="L482" s="6">
        <v>44136</v>
      </c>
      <c r="M482">
        <v>11</v>
      </c>
      <c r="N482" s="7" t="s">
        <v>23</v>
      </c>
      <c r="O482" t="s">
        <v>223</v>
      </c>
      <c r="P482" t="s">
        <v>1665</v>
      </c>
      <c r="Q482" t="s">
        <v>1666</v>
      </c>
      <c r="R482" t="s">
        <v>1667</v>
      </c>
    </row>
    <row r="483" spans="1:18" hidden="1">
      <c r="A483">
        <v>12</v>
      </c>
      <c r="B483" s="4" t="s">
        <v>901</v>
      </c>
      <c r="C483" s="4" t="s">
        <v>1600</v>
      </c>
      <c r="D483" s="4" t="s">
        <v>1601</v>
      </c>
      <c r="E483" s="4" t="s">
        <v>5804</v>
      </c>
      <c r="F483" t="s">
        <v>19</v>
      </c>
      <c r="G483" t="s">
        <v>114</v>
      </c>
      <c r="H483" t="s">
        <v>21</v>
      </c>
      <c r="I483">
        <v>9</v>
      </c>
      <c r="J483" s="5">
        <v>3.4000000000000002E-2</v>
      </c>
      <c r="K483" t="s">
        <v>1668</v>
      </c>
      <c r="L483" s="6" t="s">
        <v>673</v>
      </c>
      <c r="M483" t="e">
        <v>#VALUE!</v>
      </c>
      <c r="N483" s="7" t="e">
        <v>#VALUE!</v>
      </c>
      <c r="O483" t="s">
        <v>223</v>
      </c>
      <c r="P483" t="s">
        <v>1669</v>
      </c>
      <c r="Q483" t="s">
        <v>1670</v>
      </c>
      <c r="R483" t="s">
        <v>1671</v>
      </c>
    </row>
    <row r="484" spans="1:18" hidden="1">
      <c r="A484">
        <v>12</v>
      </c>
      <c r="B484" s="4" t="s">
        <v>901</v>
      </c>
      <c r="C484" s="4" t="s">
        <v>1672</v>
      </c>
      <c r="D484" s="4" t="s">
        <v>1673</v>
      </c>
      <c r="E484" s="4" t="s">
        <v>5804</v>
      </c>
      <c r="F484" t="s">
        <v>19</v>
      </c>
      <c r="G484" t="s">
        <v>114</v>
      </c>
      <c r="H484" t="s">
        <v>21</v>
      </c>
      <c r="I484">
        <v>9</v>
      </c>
      <c r="J484" s="5">
        <v>3.4000000000000002E-2</v>
      </c>
      <c r="K484" t="s">
        <v>65</v>
      </c>
      <c r="L484" s="6">
        <v>42430</v>
      </c>
      <c r="M484">
        <v>3</v>
      </c>
      <c r="N484" s="7" t="s">
        <v>23</v>
      </c>
      <c r="O484" t="s">
        <v>31</v>
      </c>
      <c r="P484" t="s">
        <v>1687</v>
      </c>
      <c r="Q484" t="s">
        <v>1688</v>
      </c>
      <c r="R484" t="s">
        <v>1689</v>
      </c>
    </row>
    <row r="485" spans="1:18" hidden="1">
      <c r="A485">
        <v>12</v>
      </c>
      <c r="B485" s="4" t="s">
        <v>901</v>
      </c>
      <c r="C485" s="4" t="s">
        <v>1672</v>
      </c>
      <c r="D485" s="4" t="s">
        <v>1673</v>
      </c>
      <c r="E485" s="4" t="s">
        <v>5804</v>
      </c>
      <c r="F485" t="s">
        <v>19</v>
      </c>
      <c r="G485" t="s">
        <v>123</v>
      </c>
      <c r="H485" t="s">
        <v>53</v>
      </c>
      <c r="I485" t="s">
        <v>53</v>
      </c>
      <c r="J485" s="5" t="s">
        <v>53</v>
      </c>
      <c r="K485" t="s">
        <v>701</v>
      </c>
      <c r="L485" s="6">
        <v>42491</v>
      </c>
      <c r="M485">
        <v>5</v>
      </c>
      <c r="N485" s="7" t="s">
        <v>23</v>
      </c>
      <c r="O485" t="s">
        <v>223</v>
      </c>
      <c r="P485" t="s">
        <v>1699</v>
      </c>
      <c r="Q485" t="s">
        <v>1700</v>
      </c>
      <c r="R485" t="s">
        <v>1701</v>
      </c>
    </row>
    <row r="486" spans="1:18" hidden="1">
      <c r="A486">
        <v>12</v>
      </c>
      <c r="B486" s="4" t="s">
        <v>901</v>
      </c>
      <c r="C486" s="4" t="s">
        <v>1672</v>
      </c>
      <c r="D486" s="4" t="s">
        <v>1673</v>
      </c>
      <c r="E486" s="4" t="s">
        <v>5804</v>
      </c>
      <c r="F486" t="s">
        <v>19</v>
      </c>
      <c r="G486" t="s">
        <v>114</v>
      </c>
      <c r="H486" t="s">
        <v>21</v>
      </c>
      <c r="I486">
        <v>9</v>
      </c>
      <c r="J486" s="5">
        <v>3.4000000000000002E-2</v>
      </c>
      <c r="K486" t="s">
        <v>319</v>
      </c>
      <c r="L486" s="6">
        <v>42583</v>
      </c>
      <c r="M486">
        <v>8</v>
      </c>
      <c r="N486" s="7" t="s">
        <v>55</v>
      </c>
      <c r="O486" t="s">
        <v>31</v>
      </c>
      <c r="P486" t="s">
        <v>1717</v>
      </c>
      <c r="Q486" t="s">
        <v>1718</v>
      </c>
      <c r="R486" t="s">
        <v>1662</v>
      </c>
    </row>
    <row r="487" spans="1:18" hidden="1">
      <c r="A487">
        <v>12</v>
      </c>
      <c r="B487" s="4" t="s">
        <v>901</v>
      </c>
      <c r="C487" s="4" t="s">
        <v>1672</v>
      </c>
      <c r="D487" s="4" t="s">
        <v>1673</v>
      </c>
      <c r="E487" s="4" t="s">
        <v>5804</v>
      </c>
      <c r="F487" t="s">
        <v>19</v>
      </c>
      <c r="G487" t="s">
        <v>114</v>
      </c>
      <c r="H487" t="s">
        <v>21</v>
      </c>
      <c r="I487">
        <v>9</v>
      </c>
      <c r="J487" s="5">
        <v>3.4000000000000002E-2</v>
      </c>
      <c r="K487" t="s">
        <v>477</v>
      </c>
      <c r="L487" s="6">
        <v>42705</v>
      </c>
      <c r="M487">
        <v>12</v>
      </c>
      <c r="N487" s="7" t="s">
        <v>30</v>
      </c>
      <c r="O487" t="s">
        <v>223</v>
      </c>
      <c r="P487" t="s">
        <v>1735</v>
      </c>
      <c r="Q487" t="s">
        <v>1736</v>
      </c>
      <c r="R487" t="s">
        <v>1737</v>
      </c>
    </row>
    <row r="488" spans="1:18" hidden="1">
      <c r="A488">
        <v>12</v>
      </c>
      <c r="B488" s="4" t="s">
        <v>901</v>
      </c>
      <c r="C488" s="4" t="s">
        <v>1672</v>
      </c>
      <c r="D488" s="4" t="s">
        <v>1673</v>
      </c>
      <c r="E488" s="4" t="s">
        <v>5804</v>
      </c>
      <c r="F488" t="s">
        <v>19</v>
      </c>
      <c r="G488" t="s">
        <v>114</v>
      </c>
      <c r="H488" t="s">
        <v>21</v>
      </c>
      <c r="I488">
        <v>9</v>
      </c>
      <c r="J488" s="5">
        <v>3.4000000000000002E-2</v>
      </c>
      <c r="K488" t="s">
        <v>681</v>
      </c>
      <c r="L488" s="6">
        <v>42887</v>
      </c>
      <c r="M488">
        <v>6</v>
      </c>
      <c r="N488" s="7" t="s">
        <v>55</v>
      </c>
      <c r="O488" t="s">
        <v>223</v>
      </c>
      <c r="P488" t="s">
        <v>1756</v>
      </c>
      <c r="Q488" t="s">
        <v>1736</v>
      </c>
      <c r="R488" t="s">
        <v>1737</v>
      </c>
    </row>
    <row r="489" spans="1:18" hidden="1">
      <c r="A489">
        <v>12</v>
      </c>
      <c r="B489" s="4" t="s">
        <v>901</v>
      </c>
      <c r="C489" s="4" t="s">
        <v>1672</v>
      </c>
      <c r="D489" s="4" t="s">
        <v>1673</v>
      </c>
      <c r="E489" s="4" t="s">
        <v>5804</v>
      </c>
      <c r="F489" t="s">
        <v>19</v>
      </c>
      <c r="G489" t="s">
        <v>873</v>
      </c>
      <c r="H489" t="s">
        <v>53</v>
      </c>
      <c r="I489" t="s">
        <v>53</v>
      </c>
      <c r="J489" s="5" t="s">
        <v>53</v>
      </c>
      <c r="K489" t="s">
        <v>681</v>
      </c>
      <c r="L489" s="6">
        <v>42887</v>
      </c>
      <c r="M489">
        <v>6</v>
      </c>
      <c r="N489" s="7" t="s">
        <v>55</v>
      </c>
      <c r="O489" t="s">
        <v>223</v>
      </c>
      <c r="P489" t="s">
        <v>1757</v>
      </c>
      <c r="Q489" t="s">
        <v>1736</v>
      </c>
      <c r="R489" t="s">
        <v>1737</v>
      </c>
    </row>
    <row r="490" spans="1:18" hidden="1">
      <c r="A490">
        <v>12</v>
      </c>
      <c r="B490" s="4" t="s">
        <v>901</v>
      </c>
      <c r="C490" s="4" t="s">
        <v>1672</v>
      </c>
      <c r="D490" s="4" t="s">
        <v>1673</v>
      </c>
      <c r="E490" s="4" t="s">
        <v>5804</v>
      </c>
      <c r="F490" t="s">
        <v>19</v>
      </c>
      <c r="G490" t="s">
        <v>20</v>
      </c>
      <c r="H490" t="s">
        <v>21</v>
      </c>
      <c r="I490">
        <v>5</v>
      </c>
      <c r="J490" s="5">
        <v>4.9000000000000002E-2</v>
      </c>
      <c r="K490" t="s">
        <v>80</v>
      </c>
      <c r="L490" s="6">
        <v>42917</v>
      </c>
      <c r="M490">
        <v>7</v>
      </c>
      <c r="N490" s="7" t="s">
        <v>55</v>
      </c>
      <c r="O490" t="s">
        <v>223</v>
      </c>
      <c r="P490" t="s">
        <v>1764</v>
      </c>
      <c r="Q490" t="s">
        <v>1765</v>
      </c>
      <c r="R490" t="s">
        <v>1766</v>
      </c>
    </row>
    <row r="491" spans="1:18" hidden="1">
      <c r="A491">
        <v>12</v>
      </c>
      <c r="B491" s="4" t="s">
        <v>901</v>
      </c>
      <c r="C491" s="4" t="s">
        <v>1672</v>
      </c>
      <c r="D491" s="4" t="s">
        <v>1673</v>
      </c>
      <c r="E491" s="4" t="s">
        <v>5804</v>
      </c>
      <c r="F491" t="s">
        <v>19</v>
      </c>
      <c r="G491" t="s">
        <v>873</v>
      </c>
      <c r="H491" t="s">
        <v>53</v>
      </c>
      <c r="I491" t="s">
        <v>53</v>
      </c>
      <c r="J491" s="5" t="s">
        <v>53</v>
      </c>
      <c r="K491" t="s">
        <v>85</v>
      </c>
      <c r="L491" s="6">
        <v>43009</v>
      </c>
      <c r="M491">
        <v>10</v>
      </c>
      <c r="N491" s="7" t="s">
        <v>23</v>
      </c>
      <c r="O491" t="s">
        <v>223</v>
      </c>
      <c r="P491" t="s">
        <v>1782</v>
      </c>
      <c r="Q491" t="s">
        <v>1783</v>
      </c>
      <c r="R491" t="s">
        <v>1784</v>
      </c>
    </row>
    <row r="492" spans="1:18" hidden="1">
      <c r="A492">
        <v>12</v>
      </c>
      <c r="B492" s="4" t="s">
        <v>901</v>
      </c>
      <c r="C492" s="4" t="s">
        <v>1672</v>
      </c>
      <c r="D492" s="4" t="s">
        <v>1673</v>
      </c>
      <c r="E492" s="4" t="s">
        <v>5804</v>
      </c>
      <c r="F492" t="s">
        <v>19</v>
      </c>
      <c r="G492" t="s">
        <v>873</v>
      </c>
      <c r="H492" t="s">
        <v>53</v>
      </c>
      <c r="I492" t="s">
        <v>53</v>
      </c>
      <c r="J492" s="5" t="s">
        <v>53</v>
      </c>
      <c r="K492" t="s">
        <v>85</v>
      </c>
      <c r="L492" s="6">
        <v>43009</v>
      </c>
      <c r="M492">
        <v>10</v>
      </c>
      <c r="N492" s="7" t="s">
        <v>23</v>
      </c>
      <c r="O492" t="s">
        <v>223</v>
      </c>
      <c r="P492" t="s">
        <v>1785</v>
      </c>
      <c r="Q492" t="s">
        <v>1736</v>
      </c>
      <c r="R492" t="s">
        <v>1737</v>
      </c>
    </row>
    <row r="493" spans="1:18" hidden="1">
      <c r="A493">
        <v>12</v>
      </c>
      <c r="B493" s="4" t="s">
        <v>901</v>
      </c>
      <c r="C493" s="4" t="s">
        <v>1672</v>
      </c>
      <c r="D493" s="4" t="s">
        <v>1673</v>
      </c>
      <c r="E493" s="4" t="s">
        <v>5804</v>
      </c>
      <c r="F493" t="s">
        <v>19</v>
      </c>
      <c r="G493" t="s">
        <v>1232</v>
      </c>
      <c r="H493" t="s">
        <v>53</v>
      </c>
      <c r="I493" t="s">
        <v>53</v>
      </c>
      <c r="J493" s="5" t="s">
        <v>53</v>
      </c>
      <c r="K493" t="s">
        <v>295</v>
      </c>
      <c r="L493" s="6">
        <v>43221</v>
      </c>
      <c r="M493">
        <v>5</v>
      </c>
      <c r="N493" s="7" t="s">
        <v>23</v>
      </c>
      <c r="O493" t="s">
        <v>223</v>
      </c>
      <c r="P493" t="s">
        <v>1806</v>
      </c>
      <c r="Q493" t="s">
        <v>1807</v>
      </c>
      <c r="R493" t="s">
        <v>1631</v>
      </c>
    </row>
    <row r="494" spans="1:18" hidden="1">
      <c r="A494">
        <v>12</v>
      </c>
      <c r="B494" s="4" t="s">
        <v>901</v>
      </c>
      <c r="C494" s="4" t="s">
        <v>1672</v>
      </c>
      <c r="D494" s="4" t="s">
        <v>1673</v>
      </c>
      <c r="E494" s="4" t="s">
        <v>5804</v>
      </c>
      <c r="F494" t="s">
        <v>19</v>
      </c>
      <c r="G494" t="s">
        <v>873</v>
      </c>
      <c r="H494" t="s">
        <v>53</v>
      </c>
      <c r="I494" t="s">
        <v>53</v>
      </c>
      <c r="J494" s="5" t="s">
        <v>53</v>
      </c>
      <c r="K494" t="s">
        <v>482</v>
      </c>
      <c r="L494" s="6">
        <v>43435</v>
      </c>
      <c r="M494">
        <v>12</v>
      </c>
      <c r="N494" s="7" t="s">
        <v>30</v>
      </c>
      <c r="O494" t="s">
        <v>223</v>
      </c>
      <c r="P494" t="s">
        <v>1851</v>
      </c>
      <c r="Q494" t="s">
        <v>1736</v>
      </c>
      <c r="R494" t="s">
        <v>1737</v>
      </c>
    </row>
    <row r="495" spans="1:18" hidden="1">
      <c r="A495">
        <v>12</v>
      </c>
      <c r="B495" s="4" t="s">
        <v>901</v>
      </c>
      <c r="C495" s="4" t="s">
        <v>1672</v>
      </c>
      <c r="D495" s="4" t="s">
        <v>1673</v>
      </c>
      <c r="E495" s="4" t="s">
        <v>5804</v>
      </c>
      <c r="F495" t="s">
        <v>19</v>
      </c>
      <c r="G495" t="s">
        <v>20</v>
      </c>
      <c r="H495" t="s">
        <v>21</v>
      </c>
      <c r="I495">
        <v>5</v>
      </c>
      <c r="J495" s="5">
        <v>4.9000000000000002E-2</v>
      </c>
      <c r="K495" t="s">
        <v>839</v>
      </c>
      <c r="L495" s="6">
        <v>43800</v>
      </c>
      <c r="M495">
        <v>12</v>
      </c>
      <c r="N495" s="7" t="s">
        <v>30</v>
      </c>
      <c r="O495" t="s">
        <v>418</v>
      </c>
      <c r="P495" t="s">
        <v>1875</v>
      </c>
      <c r="Q495" t="s">
        <v>1876</v>
      </c>
      <c r="R495" t="s">
        <v>1877</v>
      </c>
    </row>
    <row r="496" spans="1:18" hidden="1">
      <c r="A496">
        <v>12</v>
      </c>
      <c r="B496" s="4" t="s">
        <v>901</v>
      </c>
      <c r="C496" s="4" t="s">
        <v>1672</v>
      </c>
      <c r="D496" s="4" t="s">
        <v>1673</v>
      </c>
      <c r="E496" s="4" t="s">
        <v>5804</v>
      </c>
      <c r="F496" t="s">
        <v>19</v>
      </c>
      <c r="G496" t="s">
        <v>114</v>
      </c>
      <c r="H496" t="s">
        <v>21</v>
      </c>
      <c r="I496">
        <v>9</v>
      </c>
      <c r="J496" s="5">
        <v>3.4000000000000002E-2</v>
      </c>
      <c r="K496" t="s">
        <v>1085</v>
      </c>
      <c r="L496" s="6">
        <v>43862</v>
      </c>
      <c r="M496">
        <v>2</v>
      </c>
      <c r="N496" s="7" t="s">
        <v>30</v>
      </c>
      <c r="O496" t="s">
        <v>223</v>
      </c>
      <c r="P496" t="s">
        <v>1883</v>
      </c>
      <c r="Q496" t="s">
        <v>1736</v>
      </c>
      <c r="R496" t="s">
        <v>1737</v>
      </c>
    </row>
    <row r="497" spans="1:18" hidden="1">
      <c r="A497">
        <v>12</v>
      </c>
      <c r="B497" s="4" t="s">
        <v>901</v>
      </c>
      <c r="C497" s="4" t="s">
        <v>1672</v>
      </c>
      <c r="D497" s="4" t="s">
        <v>1673</v>
      </c>
      <c r="E497" s="4" t="s">
        <v>5804</v>
      </c>
      <c r="F497" t="s">
        <v>19</v>
      </c>
      <c r="G497" t="s">
        <v>20</v>
      </c>
      <c r="H497" t="s">
        <v>21</v>
      </c>
      <c r="I497">
        <v>5</v>
      </c>
      <c r="J497" s="5">
        <v>4.9000000000000002E-2</v>
      </c>
      <c r="K497" t="s">
        <v>539</v>
      </c>
      <c r="L497" s="6">
        <v>43922</v>
      </c>
      <c r="M497">
        <v>4</v>
      </c>
      <c r="N497" s="7" t="s">
        <v>23</v>
      </c>
      <c r="O497" t="s">
        <v>36</v>
      </c>
      <c r="P497" t="s">
        <v>1884</v>
      </c>
      <c r="Q497" t="s">
        <v>1885</v>
      </c>
      <c r="R497" t="s">
        <v>1886</v>
      </c>
    </row>
    <row r="498" spans="1:18" hidden="1">
      <c r="A498">
        <v>12</v>
      </c>
      <c r="B498" s="4" t="s">
        <v>901</v>
      </c>
      <c r="C498" s="4" t="s">
        <v>1672</v>
      </c>
      <c r="D498" s="4" t="s">
        <v>1673</v>
      </c>
      <c r="E498" s="4" t="s">
        <v>5804</v>
      </c>
      <c r="F498" t="s">
        <v>19</v>
      </c>
      <c r="G498" t="s">
        <v>114</v>
      </c>
      <c r="H498" t="s">
        <v>21</v>
      </c>
      <c r="I498">
        <v>9</v>
      </c>
      <c r="J498" s="5">
        <v>3.4000000000000002E-2</v>
      </c>
      <c r="K498" t="s">
        <v>255</v>
      </c>
      <c r="L498" s="6">
        <v>43983</v>
      </c>
      <c r="M498">
        <v>6</v>
      </c>
      <c r="N498" s="7" t="s">
        <v>55</v>
      </c>
      <c r="O498" t="s">
        <v>223</v>
      </c>
      <c r="P498" t="s">
        <v>1893</v>
      </c>
      <c r="Q498" t="s">
        <v>1736</v>
      </c>
      <c r="R498" t="s">
        <v>1737</v>
      </c>
    </row>
    <row r="499" spans="1:18" hidden="1">
      <c r="A499">
        <v>12</v>
      </c>
      <c r="B499" s="4" t="s">
        <v>901</v>
      </c>
      <c r="C499" s="4" t="s">
        <v>1672</v>
      </c>
      <c r="D499" s="4" t="s">
        <v>1673</v>
      </c>
      <c r="E499" s="4" t="s">
        <v>5804</v>
      </c>
      <c r="F499" t="s">
        <v>19</v>
      </c>
      <c r="G499" t="s">
        <v>873</v>
      </c>
      <c r="H499" t="s">
        <v>53</v>
      </c>
      <c r="I499" t="s">
        <v>53</v>
      </c>
      <c r="J499" s="5" t="s">
        <v>53</v>
      </c>
      <c r="K499" t="s">
        <v>255</v>
      </c>
      <c r="L499" s="6">
        <v>43983</v>
      </c>
      <c r="M499">
        <v>6</v>
      </c>
      <c r="N499" s="7" t="s">
        <v>55</v>
      </c>
      <c r="O499" t="s">
        <v>223</v>
      </c>
      <c r="P499" t="s">
        <v>1894</v>
      </c>
      <c r="Q499" t="s">
        <v>1736</v>
      </c>
      <c r="R499" t="s">
        <v>1737</v>
      </c>
    </row>
    <row r="500" spans="1:18" hidden="1">
      <c r="A500">
        <v>12</v>
      </c>
      <c r="B500" s="4" t="s">
        <v>901</v>
      </c>
      <c r="C500" s="4" t="s">
        <v>1672</v>
      </c>
      <c r="D500" s="4" t="s">
        <v>1673</v>
      </c>
      <c r="E500" s="4" t="s">
        <v>5804</v>
      </c>
      <c r="F500" t="s">
        <v>19</v>
      </c>
      <c r="G500" t="s">
        <v>114</v>
      </c>
      <c r="H500" t="s">
        <v>21</v>
      </c>
      <c r="I500">
        <v>9</v>
      </c>
      <c r="J500" s="5">
        <v>3.4000000000000002E-2</v>
      </c>
      <c r="K500" t="s">
        <v>267</v>
      </c>
      <c r="L500" s="6">
        <v>44044</v>
      </c>
      <c r="M500">
        <v>8</v>
      </c>
      <c r="N500" s="7" t="s">
        <v>55</v>
      </c>
      <c r="O500" t="s">
        <v>31</v>
      </c>
      <c r="P500" t="s">
        <v>1895</v>
      </c>
      <c r="Q500" t="s">
        <v>1896</v>
      </c>
      <c r="R500" t="s">
        <v>1897</v>
      </c>
    </row>
    <row r="501" spans="1:18" hidden="1">
      <c r="A501">
        <v>12</v>
      </c>
      <c r="B501" s="4" t="s">
        <v>901</v>
      </c>
      <c r="C501" s="4" t="s">
        <v>1672</v>
      </c>
      <c r="D501" s="4" t="s">
        <v>1673</v>
      </c>
      <c r="E501" s="4" t="s">
        <v>5804</v>
      </c>
      <c r="F501" t="s">
        <v>19</v>
      </c>
      <c r="G501" t="s">
        <v>873</v>
      </c>
      <c r="H501" t="s">
        <v>53</v>
      </c>
      <c r="I501" t="s">
        <v>53</v>
      </c>
      <c r="J501" s="5" t="s">
        <v>53</v>
      </c>
      <c r="K501" t="s">
        <v>267</v>
      </c>
      <c r="L501" s="6">
        <v>44044</v>
      </c>
      <c r="M501">
        <v>8</v>
      </c>
      <c r="N501" s="7" t="s">
        <v>55</v>
      </c>
      <c r="O501" t="s">
        <v>223</v>
      </c>
      <c r="P501" t="s">
        <v>1900</v>
      </c>
      <c r="Q501" t="s">
        <v>1783</v>
      </c>
      <c r="R501" t="s">
        <v>1784</v>
      </c>
    </row>
    <row r="502" spans="1:18" hidden="1">
      <c r="A502">
        <v>12</v>
      </c>
      <c r="B502" s="4" t="s">
        <v>901</v>
      </c>
      <c r="C502" s="4" t="s">
        <v>1672</v>
      </c>
      <c r="D502" s="4" t="s">
        <v>1673</v>
      </c>
      <c r="E502" s="4" t="s">
        <v>5804</v>
      </c>
      <c r="F502" t="s">
        <v>19</v>
      </c>
      <c r="G502" t="s">
        <v>1232</v>
      </c>
      <c r="H502" t="s">
        <v>53</v>
      </c>
      <c r="I502" t="s">
        <v>53</v>
      </c>
      <c r="J502" s="5" t="s">
        <v>53</v>
      </c>
      <c r="K502" t="s">
        <v>365</v>
      </c>
      <c r="L502" s="6">
        <v>44105</v>
      </c>
      <c r="M502">
        <v>10</v>
      </c>
      <c r="N502" s="7" t="s">
        <v>23</v>
      </c>
      <c r="O502" t="s">
        <v>88</v>
      </c>
      <c r="P502" t="s">
        <v>1913</v>
      </c>
      <c r="Q502" t="s">
        <v>1914</v>
      </c>
      <c r="R502" t="s">
        <v>1631</v>
      </c>
    </row>
    <row r="503" spans="1:18" hidden="1">
      <c r="A503">
        <v>12</v>
      </c>
      <c r="B503" s="4" t="s">
        <v>901</v>
      </c>
      <c r="C503" s="4" t="s">
        <v>1672</v>
      </c>
      <c r="D503" s="4" t="s">
        <v>1673</v>
      </c>
      <c r="E503" s="4" t="s">
        <v>5804</v>
      </c>
      <c r="F503" t="s">
        <v>19</v>
      </c>
      <c r="G503" t="s">
        <v>114</v>
      </c>
      <c r="H503" t="s">
        <v>21</v>
      </c>
      <c r="I503">
        <v>9</v>
      </c>
      <c r="J503" s="5">
        <v>3.4000000000000002E-2</v>
      </c>
      <c r="K503" t="s">
        <v>102</v>
      </c>
      <c r="L503" s="6">
        <v>44287</v>
      </c>
      <c r="M503">
        <v>4</v>
      </c>
      <c r="N503" s="7" t="s">
        <v>23</v>
      </c>
      <c r="O503" t="s">
        <v>223</v>
      </c>
      <c r="P503" t="s">
        <v>1930</v>
      </c>
      <c r="Q503" t="s">
        <v>1736</v>
      </c>
      <c r="R503" t="s">
        <v>1737</v>
      </c>
    </row>
    <row r="504" spans="1:18" hidden="1">
      <c r="A504">
        <v>12</v>
      </c>
      <c r="B504" s="4" t="s">
        <v>901</v>
      </c>
      <c r="C504" s="4" t="s">
        <v>1672</v>
      </c>
      <c r="D504" s="4" t="s">
        <v>1673</v>
      </c>
      <c r="E504" s="4" t="s">
        <v>5804</v>
      </c>
      <c r="F504" t="s">
        <v>19</v>
      </c>
      <c r="G504" t="s">
        <v>123</v>
      </c>
      <c r="H504" t="s">
        <v>53</v>
      </c>
      <c r="I504" t="s">
        <v>53</v>
      </c>
      <c r="J504" s="5" t="s">
        <v>53</v>
      </c>
      <c r="K504" t="s">
        <v>104</v>
      </c>
      <c r="L504" s="6">
        <v>44317</v>
      </c>
      <c r="M504">
        <v>5</v>
      </c>
      <c r="N504" s="7" t="s">
        <v>23</v>
      </c>
      <c r="O504" t="s">
        <v>31</v>
      </c>
      <c r="P504" t="s">
        <v>1931</v>
      </c>
      <c r="Q504" t="s">
        <v>1932</v>
      </c>
      <c r="R504" t="s">
        <v>1933</v>
      </c>
    </row>
    <row r="505" spans="1:18" hidden="1">
      <c r="A505">
        <v>12</v>
      </c>
      <c r="B505" s="4" t="s">
        <v>901</v>
      </c>
      <c r="C505" s="4" t="s">
        <v>1672</v>
      </c>
      <c r="D505" s="4" t="s">
        <v>1673</v>
      </c>
      <c r="E505" s="4" t="s">
        <v>5804</v>
      </c>
      <c r="F505" t="s">
        <v>19</v>
      </c>
      <c r="G505" t="s">
        <v>114</v>
      </c>
      <c r="H505" t="s">
        <v>21</v>
      </c>
      <c r="I505">
        <v>9</v>
      </c>
      <c r="J505" s="5">
        <v>3.4000000000000002E-2</v>
      </c>
      <c r="K505" t="s">
        <v>645</v>
      </c>
      <c r="L505" s="6">
        <v>44440</v>
      </c>
      <c r="M505">
        <v>9</v>
      </c>
      <c r="N505" s="7" t="s">
        <v>23</v>
      </c>
      <c r="O505" t="s">
        <v>36</v>
      </c>
      <c r="P505" t="s">
        <v>1939</v>
      </c>
      <c r="Q505" t="s">
        <v>1661</v>
      </c>
      <c r="R505" t="s">
        <v>1662</v>
      </c>
    </row>
    <row r="506" spans="1:18" hidden="1">
      <c r="A506">
        <v>12</v>
      </c>
      <c r="B506" s="4" t="s">
        <v>901</v>
      </c>
      <c r="C506" s="4" t="s">
        <v>1672</v>
      </c>
      <c r="D506" s="4" t="s">
        <v>1673</v>
      </c>
      <c r="E506" s="4" t="s">
        <v>5804</v>
      </c>
      <c r="F506" t="s">
        <v>19</v>
      </c>
      <c r="G506" t="s">
        <v>123</v>
      </c>
      <c r="H506" t="s">
        <v>53</v>
      </c>
      <c r="I506" t="s">
        <v>53</v>
      </c>
      <c r="J506" s="5" t="s">
        <v>53</v>
      </c>
      <c r="K506" t="s">
        <v>1944</v>
      </c>
      <c r="L506" s="6" t="s">
        <v>673</v>
      </c>
      <c r="M506" t="e">
        <v>#VALUE!</v>
      </c>
      <c r="N506" s="7" t="e">
        <v>#VALUE!</v>
      </c>
      <c r="O506" t="s">
        <v>36</v>
      </c>
      <c r="P506" t="s">
        <v>1945</v>
      </c>
      <c r="Q506" t="s">
        <v>1946</v>
      </c>
      <c r="R506" t="s">
        <v>1947</v>
      </c>
    </row>
    <row r="507" spans="1:18" hidden="1">
      <c r="A507">
        <v>2</v>
      </c>
      <c r="B507" s="4" t="s">
        <v>1952</v>
      </c>
      <c r="C507" s="4" t="s">
        <v>1953</v>
      </c>
      <c r="D507" s="4" t="s">
        <v>1954</v>
      </c>
      <c r="E507" s="4" t="s">
        <v>5804</v>
      </c>
      <c r="F507" t="s">
        <v>19</v>
      </c>
      <c r="G507" t="s">
        <v>1232</v>
      </c>
      <c r="H507" t="s">
        <v>53</v>
      </c>
      <c r="I507" t="s">
        <v>53</v>
      </c>
      <c r="J507" s="5" t="s">
        <v>53</v>
      </c>
      <c r="K507" t="s">
        <v>65</v>
      </c>
      <c r="L507" s="6">
        <v>42430</v>
      </c>
      <c r="M507">
        <v>3</v>
      </c>
      <c r="N507" s="7" t="s">
        <v>23</v>
      </c>
      <c r="O507" t="s">
        <v>36</v>
      </c>
      <c r="P507" t="s">
        <v>1958</v>
      </c>
      <c r="Q507" t="s">
        <v>1959</v>
      </c>
      <c r="R507" t="s">
        <v>1960</v>
      </c>
    </row>
    <row r="508" spans="1:18" hidden="1">
      <c r="A508">
        <v>2</v>
      </c>
      <c r="B508" s="4" t="s">
        <v>1952</v>
      </c>
      <c r="C508" s="4" t="s">
        <v>1953</v>
      </c>
      <c r="D508" s="4" t="s">
        <v>1954</v>
      </c>
      <c r="E508" s="4" t="s">
        <v>5804</v>
      </c>
      <c r="F508" t="s">
        <v>19</v>
      </c>
      <c r="G508" t="s">
        <v>1056</v>
      </c>
      <c r="H508" t="s">
        <v>53</v>
      </c>
      <c r="I508" t="s">
        <v>53</v>
      </c>
      <c r="J508" s="5" t="s">
        <v>53</v>
      </c>
      <c r="K508" t="s">
        <v>422</v>
      </c>
      <c r="L508" s="6">
        <v>42736</v>
      </c>
      <c r="M508">
        <v>1</v>
      </c>
      <c r="N508" s="7" t="s">
        <v>30</v>
      </c>
      <c r="O508" t="s">
        <v>24</v>
      </c>
      <c r="P508" t="s">
        <v>1971</v>
      </c>
      <c r="Q508" t="s">
        <v>1972</v>
      </c>
      <c r="R508" t="s">
        <v>1973</v>
      </c>
    </row>
    <row r="509" spans="1:18" hidden="1">
      <c r="A509">
        <v>2</v>
      </c>
      <c r="B509" s="4" t="s">
        <v>1952</v>
      </c>
      <c r="C509" s="4" t="s">
        <v>1953</v>
      </c>
      <c r="D509" s="4" t="s">
        <v>1954</v>
      </c>
      <c r="E509" s="4" t="s">
        <v>5804</v>
      </c>
      <c r="F509" t="s">
        <v>19</v>
      </c>
      <c r="G509" t="s">
        <v>1056</v>
      </c>
      <c r="H509" t="s">
        <v>53</v>
      </c>
      <c r="I509" t="s">
        <v>53</v>
      </c>
      <c r="J509" s="5" t="s">
        <v>53</v>
      </c>
      <c r="K509" t="s">
        <v>76</v>
      </c>
      <c r="L509" s="6">
        <v>42856</v>
      </c>
      <c r="M509">
        <v>5</v>
      </c>
      <c r="N509" s="7" t="s">
        <v>23</v>
      </c>
      <c r="O509" t="s">
        <v>31</v>
      </c>
      <c r="P509" t="s">
        <v>1983</v>
      </c>
      <c r="Q509" t="s">
        <v>1984</v>
      </c>
      <c r="R509" t="s">
        <v>1985</v>
      </c>
    </row>
    <row r="510" spans="1:18" hidden="1">
      <c r="A510">
        <v>2</v>
      </c>
      <c r="B510" s="4" t="s">
        <v>1952</v>
      </c>
      <c r="C510" s="4" t="s">
        <v>1953</v>
      </c>
      <c r="D510" s="4" t="s">
        <v>1954</v>
      </c>
      <c r="E510" s="4" t="s">
        <v>5804</v>
      </c>
      <c r="F510" t="s">
        <v>19</v>
      </c>
      <c r="G510" t="s">
        <v>123</v>
      </c>
      <c r="H510" t="s">
        <v>53</v>
      </c>
      <c r="I510" t="s">
        <v>53</v>
      </c>
      <c r="J510" s="5" t="s">
        <v>53</v>
      </c>
      <c r="K510" t="s">
        <v>85</v>
      </c>
      <c r="L510" s="6">
        <v>43009</v>
      </c>
      <c r="M510">
        <v>10</v>
      </c>
      <c r="N510" s="7" t="s">
        <v>23</v>
      </c>
      <c r="O510" t="s">
        <v>36</v>
      </c>
      <c r="P510" t="s">
        <v>2002</v>
      </c>
      <c r="Q510" t="s">
        <v>2003</v>
      </c>
      <c r="R510" t="s">
        <v>2004</v>
      </c>
    </row>
    <row r="511" spans="1:18" hidden="1">
      <c r="A511">
        <v>2</v>
      </c>
      <c r="B511" s="4" t="s">
        <v>1952</v>
      </c>
      <c r="C511" s="4" t="s">
        <v>1953</v>
      </c>
      <c r="D511" s="4" t="s">
        <v>1954</v>
      </c>
      <c r="E511" s="4" t="s">
        <v>5804</v>
      </c>
      <c r="F511" t="s">
        <v>19</v>
      </c>
      <c r="G511" t="s">
        <v>28</v>
      </c>
      <c r="H511" t="s">
        <v>21</v>
      </c>
      <c r="I511">
        <v>12</v>
      </c>
      <c r="J511" s="5">
        <v>2.3E-2</v>
      </c>
      <c r="K511" t="s">
        <v>152</v>
      </c>
      <c r="L511" s="6">
        <v>43374</v>
      </c>
      <c r="M511">
        <v>10</v>
      </c>
      <c r="N511" s="7" t="s">
        <v>23</v>
      </c>
      <c r="O511" t="s">
        <v>24</v>
      </c>
      <c r="P511" t="s">
        <v>2037</v>
      </c>
      <c r="Q511" t="s">
        <v>2038</v>
      </c>
      <c r="R511" t="s">
        <v>2039</v>
      </c>
    </row>
    <row r="512" spans="1:18" hidden="1">
      <c r="A512">
        <v>2</v>
      </c>
      <c r="B512" s="4" t="s">
        <v>1952</v>
      </c>
      <c r="C512" s="4" t="s">
        <v>1953</v>
      </c>
      <c r="D512" s="4" t="s">
        <v>1954</v>
      </c>
      <c r="E512" s="4" t="s">
        <v>5804</v>
      </c>
      <c r="F512" t="s">
        <v>19</v>
      </c>
      <c r="G512" t="s">
        <v>123</v>
      </c>
      <c r="H512" t="s">
        <v>53</v>
      </c>
      <c r="I512" t="s">
        <v>53</v>
      </c>
      <c r="J512" s="5" t="s">
        <v>53</v>
      </c>
      <c r="K512" t="s">
        <v>482</v>
      </c>
      <c r="L512" s="6">
        <v>43435</v>
      </c>
      <c r="M512">
        <v>12</v>
      </c>
      <c r="N512" s="7" t="s">
        <v>30</v>
      </c>
      <c r="O512" t="s">
        <v>223</v>
      </c>
      <c r="P512" t="s">
        <v>2042</v>
      </c>
      <c r="Q512" t="s">
        <v>2043</v>
      </c>
      <c r="R512" t="s">
        <v>2044</v>
      </c>
    </row>
    <row r="513" spans="1:18" hidden="1">
      <c r="A513">
        <v>2</v>
      </c>
      <c r="B513" s="4" t="s">
        <v>1952</v>
      </c>
      <c r="C513" s="4" t="s">
        <v>1953</v>
      </c>
      <c r="D513" s="4" t="s">
        <v>1954</v>
      </c>
      <c r="E513" s="4" t="s">
        <v>5804</v>
      </c>
      <c r="F513" t="s">
        <v>19</v>
      </c>
      <c r="G513" t="s">
        <v>1056</v>
      </c>
      <c r="H513" t="s">
        <v>53</v>
      </c>
      <c r="I513" t="s">
        <v>53</v>
      </c>
      <c r="J513" s="5" t="s">
        <v>53</v>
      </c>
      <c r="K513" t="s">
        <v>204</v>
      </c>
      <c r="L513" s="6">
        <v>43831</v>
      </c>
      <c r="M513">
        <v>1</v>
      </c>
      <c r="N513" s="7" t="s">
        <v>30</v>
      </c>
      <c r="O513" t="s">
        <v>24</v>
      </c>
      <c r="P513" t="s">
        <v>2054</v>
      </c>
      <c r="Q513" t="s">
        <v>2055</v>
      </c>
      <c r="R513" t="s">
        <v>2056</v>
      </c>
    </row>
    <row r="514" spans="1:18" hidden="1">
      <c r="A514">
        <v>2</v>
      </c>
      <c r="B514" s="4" t="s">
        <v>1952</v>
      </c>
      <c r="C514" s="4" t="s">
        <v>1953</v>
      </c>
      <c r="D514" s="4" t="s">
        <v>1954</v>
      </c>
      <c r="E514" s="4" t="s">
        <v>5804</v>
      </c>
      <c r="F514" t="s">
        <v>19</v>
      </c>
      <c r="G514" t="s">
        <v>114</v>
      </c>
      <c r="H514" t="s">
        <v>21</v>
      </c>
      <c r="I514">
        <v>9</v>
      </c>
      <c r="J514" s="5">
        <v>3.4000000000000002E-2</v>
      </c>
      <c r="K514" t="s">
        <v>539</v>
      </c>
      <c r="L514" s="6">
        <v>43922</v>
      </c>
      <c r="M514">
        <v>4</v>
      </c>
      <c r="N514" s="7" t="s">
        <v>23</v>
      </c>
      <c r="O514" t="s">
        <v>36</v>
      </c>
      <c r="P514" t="s">
        <v>2059</v>
      </c>
      <c r="Q514" t="s">
        <v>2060</v>
      </c>
      <c r="R514" t="s">
        <v>2061</v>
      </c>
    </row>
    <row r="515" spans="1:18" hidden="1">
      <c r="A515">
        <v>2</v>
      </c>
      <c r="B515" s="4" t="s">
        <v>1952</v>
      </c>
      <c r="C515" s="4" t="s">
        <v>1953</v>
      </c>
      <c r="D515" s="4" t="s">
        <v>2072</v>
      </c>
      <c r="E515" s="4" t="s">
        <v>5804</v>
      </c>
      <c r="F515" t="s">
        <v>19</v>
      </c>
      <c r="G515" t="s">
        <v>28</v>
      </c>
      <c r="H515" t="s">
        <v>21</v>
      </c>
      <c r="I515">
        <v>12</v>
      </c>
      <c r="J515" s="5">
        <v>2.3E-2</v>
      </c>
      <c r="K515" t="s">
        <v>726</v>
      </c>
      <c r="L515" s="6">
        <v>43709</v>
      </c>
      <c r="M515">
        <v>9</v>
      </c>
      <c r="N515" s="7" t="s">
        <v>23</v>
      </c>
      <c r="O515" t="s">
        <v>31</v>
      </c>
      <c r="P515" t="s">
        <v>2166</v>
      </c>
      <c r="Q515" t="s">
        <v>2167</v>
      </c>
      <c r="R515" t="s">
        <v>328</v>
      </c>
    </row>
    <row r="516" spans="1:18" hidden="1">
      <c r="A516">
        <v>2</v>
      </c>
      <c r="B516" s="4" t="s">
        <v>1952</v>
      </c>
      <c r="C516" s="4" t="s">
        <v>2349</v>
      </c>
      <c r="D516" s="4" t="s">
        <v>2350</v>
      </c>
      <c r="E516" s="4" t="s">
        <v>5804</v>
      </c>
      <c r="F516" t="s">
        <v>19</v>
      </c>
      <c r="G516" t="s">
        <v>1056</v>
      </c>
      <c r="H516" t="s">
        <v>53</v>
      </c>
      <c r="I516" t="s">
        <v>53</v>
      </c>
      <c r="J516" s="5" t="s">
        <v>53</v>
      </c>
      <c r="K516" t="s">
        <v>701</v>
      </c>
      <c r="L516" s="6">
        <v>42491</v>
      </c>
      <c r="M516">
        <v>5</v>
      </c>
      <c r="N516" s="7" t="s">
        <v>23</v>
      </c>
      <c r="O516" t="s">
        <v>24</v>
      </c>
      <c r="P516" t="s">
        <v>2351</v>
      </c>
      <c r="Q516" t="s">
        <v>2352</v>
      </c>
      <c r="R516" t="s">
        <v>2353</v>
      </c>
    </row>
    <row r="517" spans="1:18" hidden="1">
      <c r="A517">
        <v>2</v>
      </c>
      <c r="B517" s="4" t="s">
        <v>1952</v>
      </c>
      <c r="C517" s="4" t="s">
        <v>2349</v>
      </c>
      <c r="D517" s="4" t="s">
        <v>2364</v>
      </c>
      <c r="E517" s="4" t="s">
        <v>5804</v>
      </c>
      <c r="F517" t="s">
        <v>19</v>
      </c>
      <c r="G517" t="s">
        <v>1056</v>
      </c>
      <c r="H517" t="s">
        <v>53</v>
      </c>
      <c r="I517" t="s">
        <v>53</v>
      </c>
      <c r="J517" s="5" t="s">
        <v>53</v>
      </c>
      <c r="K517" t="s">
        <v>220</v>
      </c>
      <c r="L517" s="6">
        <v>42644</v>
      </c>
      <c r="M517">
        <v>10</v>
      </c>
      <c r="N517" s="7" t="s">
        <v>23</v>
      </c>
      <c r="O517" t="s">
        <v>31</v>
      </c>
      <c r="P517" t="s">
        <v>2365</v>
      </c>
      <c r="Q517" t="s">
        <v>2366</v>
      </c>
      <c r="R517" t="s">
        <v>2367</v>
      </c>
    </row>
    <row r="518" spans="1:18" hidden="1">
      <c r="A518">
        <v>2</v>
      </c>
      <c r="B518" s="4" t="s">
        <v>1952</v>
      </c>
      <c r="C518" s="4" t="s">
        <v>2349</v>
      </c>
      <c r="D518" s="4" t="s">
        <v>2364</v>
      </c>
      <c r="E518" s="4" t="s">
        <v>5804</v>
      </c>
      <c r="F518" t="s">
        <v>19</v>
      </c>
      <c r="G518" t="s">
        <v>1056</v>
      </c>
      <c r="H518" t="s">
        <v>53</v>
      </c>
      <c r="I518" t="s">
        <v>53</v>
      </c>
      <c r="J518" s="5" t="s">
        <v>53</v>
      </c>
      <c r="K518" t="s">
        <v>85</v>
      </c>
      <c r="L518" s="6">
        <v>43009</v>
      </c>
      <c r="M518">
        <v>10</v>
      </c>
      <c r="N518" s="7" t="s">
        <v>23</v>
      </c>
      <c r="O518" t="s">
        <v>31</v>
      </c>
      <c r="P518" t="s">
        <v>2387</v>
      </c>
      <c r="Q518" t="s">
        <v>2388</v>
      </c>
      <c r="R518" t="s">
        <v>2389</v>
      </c>
    </row>
    <row r="519" spans="1:18" hidden="1">
      <c r="A519">
        <v>2</v>
      </c>
      <c r="B519" s="4" t="s">
        <v>1952</v>
      </c>
      <c r="C519" s="4" t="s">
        <v>2425</v>
      </c>
      <c r="D519" s="4" t="s">
        <v>2426</v>
      </c>
      <c r="E519" s="4" t="s">
        <v>5804</v>
      </c>
      <c r="F519" t="s">
        <v>19</v>
      </c>
      <c r="G519" t="s">
        <v>20</v>
      </c>
      <c r="H519" t="s">
        <v>21</v>
      </c>
      <c r="I519">
        <v>5</v>
      </c>
      <c r="J519" s="5">
        <v>4.9000000000000002E-2</v>
      </c>
      <c r="K519" t="s">
        <v>83</v>
      </c>
      <c r="L519" s="6">
        <v>42948</v>
      </c>
      <c r="M519">
        <v>8</v>
      </c>
      <c r="N519" s="7" t="s">
        <v>55</v>
      </c>
      <c r="O519" t="s">
        <v>24</v>
      </c>
      <c r="P519" t="s">
        <v>2433</v>
      </c>
      <c r="Q519" t="s">
        <v>2434</v>
      </c>
      <c r="R519" t="s">
        <v>2435</v>
      </c>
    </row>
    <row r="520" spans="1:18" hidden="1">
      <c r="A520">
        <v>2</v>
      </c>
      <c r="B520" s="4" t="s">
        <v>1952</v>
      </c>
      <c r="C520" s="4" t="s">
        <v>2425</v>
      </c>
      <c r="D520" s="4" t="s">
        <v>2426</v>
      </c>
      <c r="E520" s="4" t="s">
        <v>5804</v>
      </c>
      <c r="F520" t="s">
        <v>19</v>
      </c>
      <c r="G520" t="s">
        <v>1232</v>
      </c>
      <c r="H520" t="s">
        <v>53</v>
      </c>
      <c r="I520" t="s">
        <v>53</v>
      </c>
      <c r="J520" s="5" t="s">
        <v>53</v>
      </c>
      <c r="K520" t="s">
        <v>292</v>
      </c>
      <c r="L520" s="6">
        <v>43191</v>
      </c>
      <c r="M520">
        <v>4</v>
      </c>
      <c r="N520" s="7" t="s">
        <v>23</v>
      </c>
      <c r="O520" t="s">
        <v>193</v>
      </c>
      <c r="P520" t="s">
        <v>2436</v>
      </c>
      <c r="Q520" t="s">
        <v>2437</v>
      </c>
      <c r="R520" t="s">
        <v>2438</v>
      </c>
    </row>
    <row r="521" spans="1:18" hidden="1">
      <c r="A521">
        <v>2</v>
      </c>
      <c r="B521" s="4" t="s">
        <v>1952</v>
      </c>
      <c r="C521" s="4" t="s">
        <v>2425</v>
      </c>
      <c r="D521" s="4" t="s">
        <v>2426</v>
      </c>
      <c r="E521" s="4" t="s">
        <v>5804</v>
      </c>
      <c r="F521" t="s">
        <v>19</v>
      </c>
      <c r="G521" t="s">
        <v>20</v>
      </c>
      <c r="H521" t="s">
        <v>21</v>
      </c>
      <c r="I521">
        <v>5</v>
      </c>
      <c r="J521" s="5">
        <v>4.9000000000000002E-2</v>
      </c>
      <c r="K521" t="s">
        <v>146</v>
      </c>
      <c r="L521" s="6">
        <v>43313</v>
      </c>
      <c r="M521">
        <v>8</v>
      </c>
      <c r="N521" s="7" t="s">
        <v>55</v>
      </c>
      <c r="O521" t="s">
        <v>24</v>
      </c>
      <c r="P521" t="s">
        <v>2439</v>
      </c>
      <c r="Q521" t="s">
        <v>2434</v>
      </c>
      <c r="R521" t="s">
        <v>2435</v>
      </c>
    </row>
    <row r="522" spans="1:18" hidden="1">
      <c r="A522">
        <v>2</v>
      </c>
      <c r="B522" s="4" t="s">
        <v>1952</v>
      </c>
      <c r="C522" s="4" t="s">
        <v>2425</v>
      </c>
      <c r="D522" s="4" t="s">
        <v>2426</v>
      </c>
      <c r="E522" s="4" t="s">
        <v>5804</v>
      </c>
      <c r="F522" t="s">
        <v>19</v>
      </c>
      <c r="G522" t="s">
        <v>20</v>
      </c>
      <c r="H522" t="s">
        <v>21</v>
      </c>
      <c r="I522">
        <v>5</v>
      </c>
      <c r="J522" s="5">
        <v>4.9000000000000002E-2</v>
      </c>
      <c r="K522" t="s">
        <v>159</v>
      </c>
      <c r="L522" s="6">
        <v>43586</v>
      </c>
      <c r="M522">
        <v>5</v>
      </c>
      <c r="N522" s="7" t="s">
        <v>23</v>
      </c>
      <c r="O522" t="s">
        <v>31</v>
      </c>
      <c r="P522" t="s">
        <v>2440</v>
      </c>
      <c r="Q522" t="s">
        <v>2441</v>
      </c>
      <c r="R522" t="s">
        <v>2442</v>
      </c>
    </row>
    <row r="523" spans="1:18" hidden="1">
      <c r="A523">
        <v>2</v>
      </c>
      <c r="B523" s="4" t="s">
        <v>1952</v>
      </c>
      <c r="C523" s="4" t="s">
        <v>2425</v>
      </c>
      <c r="D523" s="4" t="s">
        <v>2426</v>
      </c>
      <c r="E523" s="4" t="s">
        <v>5804</v>
      </c>
      <c r="F523" t="s">
        <v>19</v>
      </c>
      <c r="G523" t="s">
        <v>1232</v>
      </c>
      <c r="H523" t="s">
        <v>53</v>
      </c>
      <c r="I523" t="s">
        <v>53</v>
      </c>
      <c r="J523" s="5" t="s">
        <v>53</v>
      </c>
      <c r="K523" t="s">
        <v>304</v>
      </c>
      <c r="L523" s="6">
        <v>43647</v>
      </c>
      <c r="M523">
        <v>7</v>
      </c>
      <c r="N523" s="7" t="s">
        <v>55</v>
      </c>
      <c r="O523" t="s">
        <v>24</v>
      </c>
      <c r="P523" t="s">
        <v>2443</v>
      </c>
      <c r="Q523" t="s">
        <v>2444</v>
      </c>
      <c r="R523" t="s">
        <v>2445</v>
      </c>
    </row>
    <row r="524" spans="1:18" hidden="1">
      <c r="A524">
        <v>2</v>
      </c>
      <c r="B524" s="4" t="s">
        <v>1952</v>
      </c>
      <c r="C524" s="4" t="s">
        <v>2425</v>
      </c>
      <c r="D524" s="4" t="s">
        <v>2446</v>
      </c>
      <c r="E524" s="4" t="s">
        <v>5804</v>
      </c>
      <c r="F524" t="s">
        <v>19</v>
      </c>
      <c r="G524" t="s">
        <v>28</v>
      </c>
      <c r="H524" t="s">
        <v>21</v>
      </c>
      <c r="I524">
        <v>12</v>
      </c>
      <c r="J524" s="5">
        <v>2.3E-2</v>
      </c>
      <c r="K524" t="s">
        <v>80</v>
      </c>
      <c r="L524" s="6">
        <v>42917</v>
      </c>
      <c r="M524">
        <v>7</v>
      </c>
      <c r="N524" s="7" t="s">
        <v>55</v>
      </c>
      <c r="O524" t="s">
        <v>24</v>
      </c>
      <c r="P524" t="s">
        <v>2477</v>
      </c>
      <c r="Q524" t="s">
        <v>2478</v>
      </c>
      <c r="R524" t="s">
        <v>2479</v>
      </c>
    </row>
    <row r="525" spans="1:18" hidden="1">
      <c r="A525">
        <v>2</v>
      </c>
      <c r="B525" s="4" t="s">
        <v>1952</v>
      </c>
      <c r="C525" s="4" t="s">
        <v>2425</v>
      </c>
      <c r="D525" s="4" t="s">
        <v>2446</v>
      </c>
      <c r="E525" s="4" t="s">
        <v>5804</v>
      </c>
      <c r="F525" t="s">
        <v>19</v>
      </c>
      <c r="G525" t="s">
        <v>28</v>
      </c>
      <c r="H525" t="s">
        <v>21</v>
      </c>
      <c r="I525">
        <v>12</v>
      </c>
      <c r="J525" s="5">
        <v>2.3E-2</v>
      </c>
      <c r="K525" t="s">
        <v>22</v>
      </c>
      <c r="L525" s="6">
        <v>42979</v>
      </c>
      <c r="M525">
        <v>9</v>
      </c>
      <c r="N525" s="7" t="s">
        <v>23</v>
      </c>
      <c r="O525" t="s">
        <v>24</v>
      </c>
      <c r="P525" t="s">
        <v>2480</v>
      </c>
      <c r="Q525" t="s">
        <v>2478</v>
      </c>
      <c r="R525" t="s">
        <v>2479</v>
      </c>
    </row>
    <row r="526" spans="1:18" hidden="1">
      <c r="A526">
        <v>2</v>
      </c>
      <c r="B526" s="4" t="s">
        <v>1952</v>
      </c>
      <c r="C526" s="4" t="s">
        <v>2425</v>
      </c>
      <c r="D526" s="4" t="s">
        <v>2446</v>
      </c>
      <c r="E526" s="4" t="s">
        <v>5804</v>
      </c>
      <c r="F526" t="s">
        <v>19</v>
      </c>
      <c r="G526" t="s">
        <v>1056</v>
      </c>
      <c r="H526" t="s">
        <v>53</v>
      </c>
      <c r="I526" t="s">
        <v>53</v>
      </c>
      <c r="J526" s="5" t="s">
        <v>53</v>
      </c>
      <c r="K526" t="s">
        <v>1085</v>
      </c>
      <c r="L526" s="6">
        <v>43862</v>
      </c>
      <c r="M526">
        <v>2</v>
      </c>
      <c r="N526" s="7" t="s">
        <v>30</v>
      </c>
      <c r="O526" t="s">
        <v>193</v>
      </c>
      <c r="P526" t="s">
        <v>2487</v>
      </c>
      <c r="Q526" t="s">
        <v>2488</v>
      </c>
      <c r="R526" t="s">
        <v>2489</v>
      </c>
    </row>
    <row r="527" spans="1:18" hidden="1">
      <c r="A527">
        <v>2</v>
      </c>
      <c r="B527" s="4" t="s">
        <v>1952</v>
      </c>
      <c r="C527" s="4" t="s">
        <v>2425</v>
      </c>
      <c r="D527" s="4" t="s">
        <v>2446</v>
      </c>
      <c r="E527" s="4" t="s">
        <v>5804</v>
      </c>
      <c r="F527" t="s">
        <v>19</v>
      </c>
      <c r="G527" t="s">
        <v>28</v>
      </c>
      <c r="H527" t="s">
        <v>21</v>
      </c>
      <c r="I527">
        <v>12</v>
      </c>
      <c r="J527" s="5">
        <v>2.3E-2</v>
      </c>
      <c r="K527" t="s">
        <v>539</v>
      </c>
      <c r="L527" s="6">
        <v>43922</v>
      </c>
      <c r="M527">
        <v>4</v>
      </c>
      <c r="N527" s="7" t="s">
        <v>23</v>
      </c>
      <c r="O527" t="s">
        <v>24</v>
      </c>
      <c r="P527" t="s">
        <v>2490</v>
      </c>
      <c r="Q527" t="s">
        <v>2491</v>
      </c>
      <c r="R527" t="s">
        <v>2492</v>
      </c>
    </row>
    <row r="528" spans="1:18" hidden="1">
      <c r="A528">
        <v>2</v>
      </c>
      <c r="B528" s="4" t="s">
        <v>1952</v>
      </c>
      <c r="C528" s="4" t="s">
        <v>2425</v>
      </c>
      <c r="D528" s="4" t="s">
        <v>2446</v>
      </c>
      <c r="E528" s="4" t="s">
        <v>5804</v>
      </c>
      <c r="F528" t="s">
        <v>19</v>
      </c>
      <c r="G528" t="s">
        <v>28</v>
      </c>
      <c r="H528" t="s">
        <v>21</v>
      </c>
      <c r="I528">
        <v>12</v>
      </c>
      <c r="J528" s="5">
        <v>2.3E-2</v>
      </c>
      <c r="K528" t="s">
        <v>251</v>
      </c>
      <c r="L528" s="6">
        <v>43952</v>
      </c>
      <c r="M528">
        <v>5</v>
      </c>
      <c r="N528" s="7" t="s">
        <v>23</v>
      </c>
      <c r="O528" t="s">
        <v>24</v>
      </c>
      <c r="P528" t="s">
        <v>2493</v>
      </c>
      <c r="Q528" t="s">
        <v>2494</v>
      </c>
      <c r="R528" t="s">
        <v>2495</v>
      </c>
    </row>
    <row r="529" spans="1:18" hidden="1">
      <c r="A529">
        <v>2</v>
      </c>
      <c r="B529" s="4" t="s">
        <v>1952</v>
      </c>
      <c r="C529" s="4" t="s">
        <v>2425</v>
      </c>
      <c r="D529" s="4" t="s">
        <v>2446</v>
      </c>
      <c r="E529" s="4" t="s">
        <v>5804</v>
      </c>
      <c r="F529" t="s">
        <v>19</v>
      </c>
      <c r="G529" t="s">
        <v>20</v>
      </c>
      <c r="H529" t="s">
        <v>21</v>
      </c>
      <c r="I529">
        <v>5</v>
      </c>
      <c r="J529" s="5">
        <v>4.9000000000000002E-2</v>
      </c>
      <c r="K529" t="s">
        <v>171</v>
      </c>
      <c r="L529" s="6">
        <v>44013</v>
      </c>
      <c r="M529">
        <v>7</v>
      </c>
      <c r="N529" s="7" t="s">
        <v>55</v>
      </c>
      <c r="O529" t="s">
        <v>24</v>
      </c>
      <c r="P529" t="s">
        <v>2496</v>
      </c>
      <c r="Q529" t="s">
        <v>2497</v>
      </c>
      <c r="R529" t="s">
        <v>2498</v>
      </c>
    </row>
    <row r="530" spans="1:18" hidden="1">
      <c r="A530">
        <v>2</v>
      </c>
      <c r="B530" s="4" t="s">
        <v>1952</v>
      </c>
      <c r="C530" s="4" t="s">
        <v>2425</v>
      </c>
      <c r="D530" s="4" t="s">
        <v>2446</v>
      </c>
      <c r="E530" s="4" t="s">
        <v>5804</v>
      </c>
      <c r="F530" t="s">
        <v>19</v>
      </c>
      <c r="G530" t="s">
        <v>28</v>
      </c>
      <c r="H530" t="s">
        <v>21</v>
      </c>
      <c r="I530">
        <v>12</v>
      </c>
      <c r="J530" s="5">
        <v>2.3E-2</v>
      </c>
      <c r="K530" t="s">
        <v>489</v>
      </c>
      <c r="L530" s="6">
        <v>44409</v>
      </c>
      <c r="M530">
        <v>8</v>
      </c>
      <c r="N530" s="7" t="s">
        <v>55</v>
      </c>
      <c r="O530" t="s">
        <v>24</v>
      </c>
      <c r="P530" t="s">
        <v>2503</v>
      </c>
      <c r="Q530" t="s">
        <v>2504</v>
      </c>
      <c r="R530" t="s">
        <v>2505</v>
      </c>
    </row>
    <row r="531" spans="1:18" hidden="1">
      <c r="A531">
        <v>2</v>
      </c>
      <c r="B531" s="4" t="s">
        <v>1952</v>
      </c>
      <c r="C531" s="4" t="s">
        <v>2566</v>
      </c>
      <c r="D531" s="4" t="s">
        <v>2567</v>
      </c>
      <c r="E531" s="4" t="s">
        <v>5804</v>
      </c>
      <c r="F531" t="s">
        <v>19</v>
      </c>
      <c r="G531" t="s">
        <v>2568</v>
      </c>
      <c r="H531" t="s">
        <v>53</v>
      </c>
      <c r="I531" t="s">
        <v>53</v>
      </c>
      <c r="J531" s="5" t="s">
        <v>53</v>
      </c>
      <c r="K531" t="s">
        <v>60</v>
      </c>
      <c r="L531" s="6">
        <v>42370</v>
      </c>
      <c r="M531">
        <v>1</v>
      </c>
      <c r="N531" s="7" t="s">
        <v>30</v>
      </c>
      <c r="O531" t="s">
        <v>88</v>
      </c>
      <c r="P531" t="s">
        <v>2569</v>
      </c>
      <c r="Q531" t="s">
        <v>2570</v>
      </c>
      <c r="R531" t="s">
        <v>2571</v>
      </c>
    </row>
    <row r="532" spans="1:18" hidden="1">
      <c r="A532">
        <v>2</v>
      </c>
      <c r="B532" s="4" t="s">
        <v>1952</v>
      </c>
      <c r="C532" s="4" t="s">
        <v>2566</v>
      </c>
      <c r="D532" s="4" t="s">
        <v>2567</v>
      </c>
      <c r="E532" s="4" t="s">
        <v>5804</v>
      </c>
      <c r="F532" t="s">
        <v>19</v>
      </c>
      <c r="G532" t="s">
        <v>580</v>
      </c>
      <c r="H532" t="s">
        <v>53</v>
      </c>
      <c r="I532" t="s">
        <v>53</v>
      </c>
      <c r="J532" s="5" t="s">
        <v>53</v>
      </c>
      <c r="K532" t="s">
        <v>2578</v>
      </c>
      <c r="L532" s="6">
        <v>42887</v>
      </c>
      <c r="M532">
        <v>6</v>
      </c>
      <c r="N532" s="7" t="s">
        <v>55</v>
      </c>
      <c r="O532" t="s">
        <v>31</v>
      </c>
      <c r="P532" t="s">
        <v>2579</v>
      </c>
      <c r="Q532" t="s">
        <v>2580</v>
      </c>
      <c r="R532" t="s">
        <v>2581</v>
      </c>
    </row>
    <row r="533" spans="1:18" hidden="1">
      <c r="A533">
        <v>2</v>
      </c>
      <c r="B533" s="4" t="s">
        <v>1952</v>
      </c>
      <c r="C533" s="4" t="s">
        <v>2566</v>
      </c>
      <c r="D533" s="4" t="s">
        <v>2567</v>
      </c>
      <c r="E533" s="4" t="s">
        <v>5804</v>
      </c>
      <c r="F533" t="s">
        <v>19</v>
      </c>
      <c r="G533" t="s">
        <v>2568</v>
      </c>
      <c r="H533" t="s">
        <v>53</v>
      </c>
      <c r="I533" t="s">
        <v>53</v>
      </c>
      <c r="J533" s="5" t="s">
        <v>53</v>
      </c>
      <c r="K533" t="s">
        <v>80</v>
      </c>
      <c r="L533" s="6">
        <v>42917</v>
      </c>
      <c r="M533">
        <v>7</v>
      </c>
      <c r="N533" s="7" t="s">
        <v>55</v>
      </c>
      <c r="O533" t="s">
        <v>88</v>
      </c>
      <c r="P533" t="s">
        <v>2582</v>
      </c>
      <c r="Q533" t="s">
        <v>2583</v>
      </c>
      <c r="R533" t="s">
        <v>2584</v>
      </c>
    </row>
    <row r="534" spans="1:18" hidden="1">
      <c r="A534">
        <v>2</v>
      </c>
      <c r="B534" s="4" t="s">
        <v>1952</v>
      </c>
      <c r="C534" s="4" t="s">
        <v>2566</v>
      </c>
      <c r="D534" s="4" t="s">
        <v>2567</v>
      </c>
      <c r="E534" s="4" t="s">
        <v>5804</v>
      </c>
      <c r="F534" t="s">
        <v>19</v>
      </c>
      <c r="G534" t="s">
        <v>580</v>
      </c>
      <c r="H534" t="s">
        <v>53</v>
      </c>
      <c r="I534" t="s">
        <v>53</v>
      </c>
      <c r="J534" s="5" t="s">
        <v>53</v>
      </c>
      <c r="K534" t="s">
        <v>85</v>
      </c>
      <c r="L534" s="6">
        <v>43009</v>
      </c>
      <c r="M534">
        <v>10</v>
      </c>
      <c r="N534" s="7" t="s">
        <v>23</v>
      </c>
      <c r="O534" t="s">
        <v>88</v>
      </c>
      <c r="P534" t="s">
        <v>2585</v>
      </c>
      <c r="Q534" t="s">
        <v>2586</v>
      </c>
      <c r="R534" t="s">
        <v>2587</v>
      </c>
    </row>
    <row r="535" spans="1:18" hidden="1">
      <c r="A535">
        <v>2</v>
      </c>
      <c r="B535" s="4" t="s">
        <v>1952</v>
      </c>
      <c r="C535" s="4" t="s">
        <v>2566</v>
      </c>
      <c r="D535" s="4" t="s">
        <v>2567</v>
      </c>
      <c r="E535" s="4" t="s">
        <v>5804</v>
      </c>
      <c r="F535" t="s">
        <v>19</v>
      </c>
      <c r="G535" t="s">
        <v>580</v>
      </c>
      <c r="H535" t="s">
        <v>53</v>
      </c>
      <c r="I535" t="s">
        <v>53</v>
      </c>
      <c r="J535" s="5" t="s">
        <v>53</v>
      </c>
      <c r="K535" t="s">
        <v>29</v>
      </c>
      <c r="L535" s="6">
        <v>43070</v>
      </c>
      <c r="M535">
        <v>12</v>
      </c>
      <c r="N535" s="7" t="s">
        <v>30</v>
      </c>
      <c r="O535" t="s">
        <v>88</v>
      </c>
      <c r="P535" t="s">
        <v>2588</v>
      </c>
      <c r="Q535" t="s">
        <v>2589</v>
      </c>
      <c r="R535" t="s">
        <v>2590</v>
      </c>
    </row>
    <row r="536" spans="1:18" hidden="1">
      <c r="A536">
        <v>2</v>
      </c>
      <c r="B536" s="4" t="s">
        <v>1952</v>
      </c>
      <c r="C536" s="4" t="s">
        <v>2566</v>
      </c>
      <c r="D536" s="4" t="s">
        <v>2567</v>
      </c>
      <c r="E536" s="4" t="s">
        <v>5804</v>
      </c>
      <c r="F536" t="s">
        <v>19</v>
      </c>
      <c r="G536" t="s">
        <v>580</v>
      </c>
      <c r="H536" t="s">
        <v>53</v>
      </c>
      <c r="I536" t="s">
        <v>53</v>
      </c>
      <c r="J536" s="5" t="s">
        <v>53</v>
      </c>
      <c r="K536" t="s">
        <v>298</v>
      </c>
      <c r="L536" s="6">
        <v>43344</v>
      </c>
      <c r="M536">
        <v>9</v>
      </c>
      <c r="N536" s="7" t="s">
        <v>23</v>
      </c>
      <c r="O536" t="s">
        <v>223</v>
      </c>
      <c r="P536" t="s">
        <v>2591</v>
      </c>
      <c r="Q536" t="s">
        <v>2592</v>
      </c>
      <c r="R536" t="s">
        <v>2593</v>
      </c>
    </row>
    <row r="537" spans="1:18" hidden="1">
      <c r="A537">
        <v>2</v>
      </c>
      <c r="B537" s="4" t="s">
        <v>1952</v>
      </c>
      <c r="C537" s="4" t="s">
        <v>2566</v>
      </c>
      <c r="D537" s="4" t="s">
        <v>2567</v>
      </c>
      <c r="E537" s="4" t="s">
        <v>5804</v>
      </c>
      <c r="F537" t="s">
        <v>19</v>
      </c>
      <c r="G537" t="s">
        <v>2568</v>
      </c>
      <c r="H537" t="s">
        <v>53</v>
      </c>
      <c r="I537" t="s">
        <v>53</v>
      </c>
      <c r="J537" s="5" t="s">
        <v>53</v>
      </c>
      <c r="K537" t="s">
        <v>152</v>
      </c>
      <c r="L537" s="6">
        <v>43374</v>
      </c>
      <c r="M537">
        <v>10</v>
      </c>
      <c r="N537" s="7" t="s">
        <v>23</v>
      </c>
      <c r="O537" t="s">
        <v>36</v>
      </c>
      <c r="P537" t="s">
        <v>2594</v>
      </c>
      <c r="Q537" t="s">
        <v>2595</v>
      </c>
      <c r="R537" t="s">
        <v>2596</v>
      </c>
    </row>
    <row r="538" spans="1:18" hidden="1">
      <c r="A538">
        <v>2</v>
      </c>
      <c r="B538" s="4" t="s">
        <v>1952</v>
      </c>
      <c r="C538" s="4" t="s">
        <v>2566</v>
      </c>
      <c r="D538" s="4" t="s">
        <v>2567</v>
      </c>
      <c r="E538" s="4" t="s">
        <v>5804</v>
      </c>
      <c r="F538" t="s">
        <v>19</v>
      </c>
      <c r="G538" t="s">
        <v>580</v>
      </c>
      <c r="H538" t="s">
        <v>53</v>
      </c>
      <c r="I538" t="s">
        <v>53</v>
      </c>
      <c r="J538" s="5" t="s">
        <v>53</v>
      </c>
      <c r="K538" t="s">
        <v>156</v>
      </c>
      <c r="L538" s="6">
        <v>43405</v>
      </c>
      <c r="M538">
        <v>11</v>
      </c>
      <c r="N538" s="7" t="s">
        <v>23</v>
      </c>
      <c r="O538" t="s">
        <v>88</v>
      </c>
      <c r="P538" t="s">
        <v>2597</v>
      </c>
      <c r="Q538" t="s">
        <v>2598</v>
      </c>
      <c r="R538" t="s">
        <v>2599</v>
      </c>
    </row>
    <row r="539" spans="1:18" hidden="1">
      <c r="A539">
        <v>2</v>
      </c>
      <c r="B539" s="4" t="s">
        <v>1952</v>
      </c>
      <c r="C539" s="4" t="s">
        <v>2566</v>
      </c>
      <c r="D539" s="4" t="s">
        <v>2567</v>
      </c>
      <c r="E539" s="4" t="s">
        <v>5804</v>
      </c>
      <c r="F539" t="s">
        <v>19</v>
      </c>
      <c r="G539" t="s">
        <v>2568</v>
      </c>
      <c r="H539" t="s">
        <v>53</v>
      </c>
      <c r="I539" t="s">
        <v>53</v>
      </c>
      <c r="J539" s="5" t="s">
        <v>53</v>
      </c>
      <c r="K539" t="s">
        <v>2600</v>
      </c>
      <c r="L539" s="6">
        <v>43466</v>
      </c>
      <c r="M539">
        <v>1</v>
      </c>
      <c r="N539" s="7" t="s">
        <v>30</v>
      </c>
      <c r="O539" t="s">
        <v>36</v>
      </c>
      <c r="P539" t="s">
        <v>2601</v>
      </c>
      <c r="Q539" t="s">
        <v>2602</v>
      </c>
      <c r="R539" t="s">
        <v>2603</v>
      </c>
    </row>
    <row r="540" spans="1:18" hidden="1">
      <c r="A540">
        <v>2</v>
      </c>
      <c r="B540" s="4" t="s">
        <v>1952</v>
      </c>
      <c r="C540" s="4" t="s">
        <v>2566</v>
      </c>
      <c r="D540" s="4" t="s">
        <v>2567</v>
      </c>
      <c r="E540" s="4" t="s">
        <v>5804</v>
      </c>
      <c r="F540" t="s">
        <v>19</v>
      </c>
      <c r="G540" t="s">
        <v>123</v>
      </c>
      <c r="H540" t="s">
        <v>53</v>
      </c>
      <c r="I540" t="s">
        <v>53</v>
      </c>
      <c r="J540" s="5" t="s">
        <v>53</v>
      </c>
      <c r="K540" t="s">
        <v>204</v>
      </c>
      <c r="L540" s="6">
        <v>43831</v>
      </c>
      <c r="M540">
        <v>1</v>
      </c>
      <c r="N540" s="7" t="s">
        <v>30</v>
      </c>
      <c r="O540" t="s">
        <v>31</v>
      </c>
      <c r="P540" t="s">
        <v>2604</v>
      </c>
      <c r="Q540" t="s">
        <v>2605</v>
      </c>
      <c r="R540" t="s">
        <v>2606</v>
      </c>
    </row>
    <row r="541" spans="1:18" hidden="1">
      <c r="A541">
        <v>2</v>
      </c>
      <c r="B541" s="4" t="s">
        <v>1952</v>
      </c>
      <c r="C541" s="4" t="s">
        <v>2566</v>
      </c>
      <c r="D541" s="4" t="s">
        <v>2567</v>
      </c>
      <c r="E541" s="4" t="s">
        <v>5804</v>
      </c>
      <c r="F541" t="s">
        <v>19</v>
      </c>
      <c r="G541" t="s">
        <v>2568</v>
      </c>
      <c r="H541" t="s">
        <v>53</v>
      </c>
      <c r="I541" t="s">
        <v>53</v>
      </c>
      <c r="J541" s="5" t="s">
        <v>53</v>
      </c>
      <c r="K541" t="s">
        <v>749</v>
      </c>
      <c r="L541" s="6">
        <v>44136</v>
      </c>
      <c r="M541">
        <v>11</v>
      </c>
      <c r="N541" s="7" t="s">
        <v>23</v>
      </c>
      <c r="O541" t="s">
        <v>36</v>
      </c>
      <c r="P541" t="s">
        <v>2607</v>
      </c>
      <c r="Q541" t="s">
        <v>2595</v>
      </c>
      <c r="R541" t="s">
        <v>2596</v>
      </c>
    </row>
    <row r="542" spans="1:18" hidden="1">
      <c r="A542">
        <v>2</v>
      </c>
      <c r="B542" s="4" t="s">
        <v>1952</v>
      </c>
      <c r="C542" s="4" t="s">
        <v>2566</v>
      </c>
      <c r="D542" s="4" t="s">
        <v>2567</v>
      </c>
      <c r="E542" s="4" t="s">
        <v>5804</v>
      </c>
      <c r="F542" t="s">
        <v>19</v>
      </c>
      <c r="G542" t="s">
        <v>114</v>
      </c>
      <c r="H542" t="s">
        <v>21</v>
      </c>
      <c r="I542">
        <v>9</v>
      </c>
      <c r="J542" s="5">
        <v>3.4000000000000002E-2</v>
      </c>
      <c r="K542" t="s">
        <v>749</v>
      </c>
      <c r="L542" s="6">
        <v>44136</v>
      </c>
      <c r="M542">
        <v>11</v>
      </c>
      <c r="N542" s="7" t="s">
        <v>23</v>
      </c>
      <c r="O542" t="s">
        <v>31</v>
      </c>
      <c r="P542" t="s">
        <v>2608</v>
      </c>
      <c r="Q542" t="s">
        <v>2609</v>
      </c>
      <c r="R542" t="s">
        <v>2610</v>
      </c>
    </row>
    <row r="543" spans="1:18" hidden="1">
      <c r="A543">
        <v>2</v>
      </c>
      <c r="B543" s="4" t="s">
        <v>1952</v>
      </c>
      <c r="C543" s="4" t="s">
        <v>2566</v>
      </c>
      <c r="D543" s="4" t="s">
        <v>2567</v>
      </c>
      <c r="E543" s="4" t="s">
        <v>5804</v>
      </c>
      <c r="F543" t="s">
        <v>19</v>
      </c>
      <c r="G543" t="s">
        <v>123</v>
      </c>
      <c r="H543" t="s">
        <v>53</v>
      </c>
      <c r="I543" t="s">
        <v>53</v>
      </c>
      <c r="J543" s="5" t="s">
        <v>53</v>
      </c>
      <c r="K543" t="s">
        <v>2616</v>
      </c>
      <c r="L543" s="6" t="s">
        <v>673</v>
      </c>
      <c r="M543" t="e">
        <v>#VALUE!</v>
      </c>
      <c r="N543" s="7" t="e">
        <v>#VALUE!</v>
      </c>
      <c r="O543" t="s">
        <v>193</v>
      </c>
      <c r="P543" t="s">
        <v>2617</v>
      </c>
      <c r="Q543" t="s">
        <v>2618</v>
      </c>
      <c r="R543" t="s">
        <v>2619</v>
      </c>
    </row>
    <row r="544" spans="1:18" hidden="1">
      <c r="A544">
        <v>2</v>
      </c>
      <c r="B544" s="4" t="s">
        <v>1952</v>
      </c>
      <c r="C544" s="4" t="s">
        <v>2566</v>
      </c>
      <c r="D544" s="4" t="s">
        <v>2620</v>
      </c>
      <c r="E544" s="4" t="s">
        <v>5804</v>
      </c>
      <c r="F544" t="s">
        <v>19</v>
      </c>
      <c r="G544" t="s">
        <v>580</v>
      </c>
      <c r="H544" t="s">
        <v>53</v>
      </c>
      <c r="I544" t="s">
        <v>53</v>
      </c>
      <c r="J544" s="5" t="s">
        <v>53</v>
      </c>
      <c r="K544" t="s">
        <v>65</v>
      </c>
      <c r="L544" s="6">
        <v>42430</v>
      </c>
      <c r="M544">
        <v>3</v>
      </c>
      <c r="N544" s="7" t="s">
        <v>23</v>
      </c>
      <c r="O544" t="s">
        <v>24</v>
      </c>
      <c r="P544" t="s">
        <v>2630</v>
      </c>
      <c r="Q544" t="s">
        <v>2631</v>
      </c>
      <c r="R544" t="s">
        <v>2632</v>
      </c>
    </row>
    <row r="545" spans="1:18" hidden="1">
      <c r="A545">
        <v>2</v>
      </c>
      <c r="B545" s="4" t="s">
        <v>1952</v>
      </c>
      <c r="C545" s="4" t="s">
        <v>2566</v>
      </c>
      <c r="D545" s="4" t="s">
        <v>2620</v>
      </c>
      <c r="E545" s="4" t="s">
        <v>5804</v>
      </c>
      <c r="F545" t="s">
        <v>19</v>
      </c>
      <c r="G545" t="s">
        <v>2568</v>
      </c>
      <c r="H545" t="s">
        <v>53</v>
      </c>
      <c r="I545" t="s">
        <v>53</v>
      </c>
      <c r="J545" s="5" t="s">
        <v>53</v>
      </c>
      <c r="K545" t="s">
        <v>319</v>
      </c>
      <c r="L545" s="6">
        <v>42583</v>
      </c>
      <c r="M545">
        <v>8</v>
      </c>
      <c r="N545" s="7" t="s">
        <v>55</v>
      </c>
      <c r="O545" t="s">
        <v>88</v>
      </c>
      <c r="P545" t="s">
        <v>2639</v>
      </c>
      <c r="Q545" t="s">
        <v>2640</v>
      </c>
      <c r="R545" t="s">
        <v>2571</v>
      </c>
    </row>
    <row r="546" spans="1:18" hidden="1">
      <c r="A546">
        <v>2</v>
      </c>
      <c r="B546" s="4" t="s">
        <v>1952</v>
      </c>
      <c r="C546" s="4" t="s">
        <v>2566</v>
      </c>
      <c r="D546" s="4" t="s">
        <v>2620</v>
      </c>
      <c r="E546" s="4" t="s">
        <v>5804</v>
      </c>
      <c r="F546" t="s">
        <v>19</v>
      </c>
      <c r="G546" t="s">
        <v>580</v>
      </c>
      <c r="H546" t="s">
        <v>53</v>
      </c>
      <c r="I546" t="s">
        <v>53</v>
      </c>
      <c r="J546" s="5" t="s">
        <v>53</v>
      </c>
      <c r="K546" t="s">
        <v>422</v>
      </c>
      <c r="L546" s="6">
        <v>42736</v>
      </c>
      <c r="M546">
        <v>1</v>
      </c>
      <c r="N546" s="7" t="s">
        <v>30</v>
      </c>
      <c r="O546" t="s">
        <v>88</v>
      </c>
      <c r="P546" t="s">
        <v>2644</v>
      </c>
      <c r="Q546" t="s">
        <v>2645</v>
      </c>
      <c r="R546" t="s">
        <v>2646</v>
      </c>
    </row>
    <row r="547" spans="1:18" hidden="1">
      <c r="A547">
        <v>2</v>
      </c>
      <c r="B547" s="4" t="s">
        <v>1952</v>
      </c>
      <c r="C547" s="4" t="s">
        <v>2566</v>
      </c>
      <c r="D547" s="4" t="s">
        <v>2620</v>
      </c>
      <c r="E547" s="4" t="s">
        <v>5804</v>
      </c>
      <c r="F547" t="s">
        <v>19</v>
      </c>
      <c r="G547" t="s">
        <v>580</v>
      </c>
      <c r="H547" t="s">
        <v>53</v>
      </c>
      <c r="I547" t="s">
        <v>53</v>
      </c>
      <c r="J547" s="5" t="s">
        <v>53</v>
      </c>
      <c r="K547" t="s">
        <v>422</v>
      </c>
      <c r="L547" s="6">
        <v>42736</v>
      </c>
      <c r="M547">
        <v>1</v>
      </c>
      <c r="N547" s="7" t="s">
        <v>30</v>
      </c>
      <c r="O547" t="s">
        <v>24</v>
      </c>
      <c r="P547" t="s">
        <v>2647</v>
      </c>
      <c r="Q547" t="s">
        <v>2631</v>
      </c>
      <c r="R547" t="s">
        <v>2632</v>
      </c>
    </row>
    <row r="548" spans="1:18" hidden="1">
      <c r="A548">
        <v>2</v>
      </c>
      <c r="B548" s="4" t="s">
        <v>1952</v>
      </c>
      <c r="C548" s="4" t="s">
        <v>2566</v>
      </c>
      <c r="D548" s="4" t="s">
        <v>2620</v>
      </c>
      <c r="E548" s="4" t="s">
        <v>5804</v>
      </c>
      <c r="F548" t="s">
        <v>19</v>
      </c>
      <c r="G548" t="s">
        <v>580</v>
      </c>
      <c r="H548" t="s">
        <v>53</v>
      </c>
      <c r="I548" t="s">
        <v>53</v>
      </c>
      <c r="J548" s="5" t="s">
        <v>53</v>
      </c>
      <c r="K548" t="s">
        <v>234</v>
      </c>
      <c r="L548" s="6">
        <v>42826</v>
      </c>
      <c r="M548">
        <v>4</v>
      </c>
      <c r="N548" s="7" t="s">
        <v>23</v>
      </c>
      <c r="O548" t="s">
        <v>24</v>
      </c>
      <c r="P548" t="s">
        <v>2651</v>
      </c>
      <c r="Q548" t="s">
        <v>2631</v>
      </c>
      <c r="R548" t="s">
        <v>2632</v>
      </c>
    </row>
    <row r="549" spans="1:18" hidden="1">
      <c r="A549">
        <v>2</v>
      </c>
      <c r="B549" s="4" t="s">
        <v>1952</v>
      </c>
      <c r="C549" s="4" t="s">
        <v>2566</v>
      </c>
      <c r="D549" s="4" t="s">
        <v>2620</v>
      </c>
      <c r="E549" s="4" t="s">
        <v>5804</v>
      </c>
      <c r="F549" t="s">
        <v>19</v>
      </c>
      <c r="G549" t="s">
        <v>580</v>
      </c>
      <c r="H549" t="s">
        <v>53</v>
      </c>
      <c r="I549" t="s">
        <v>53</v>
      </c>
      <c r="J549" s="5" t="s">
        <v>53</v>
      </c>
      <c r="K549" t="s">
        <v>29</v>
      </c>
      <c r="L549" s="6">
        <v>43070</v>
      </c>
      <c r="M549">
        <v>12</v>
      </c>
      <c r="N549" s="7" t="s">
        <v>30</v>
      </c>
      <c r="O549" t="s">
        <v>24</v>
      </c>
      <c r="P549" t="s">
        <v>2667</v>
      </c>
      <c r="Q549" t="s">
        <v>2631</v>
      </c>
      <c r="R549" t="s">
        <v>2632</v>
      </c>
    </row>
    <row r="550" spans="1:18" hidden="1">
      <c r="A550">
        <v>2</v>
      </c>
      <c r="B550" s="4" t="s">
        <v>1952</v>
      </c>
      <c r="C550" s="4" t="s">
        <v>2566</v>
      </c>
      <c r="D550" s="4" t="s">
        <v>2620</v>
      </c>
      <c r="E550" s="4" t="s">
        <v>5804</v>
      </c>
      <c r="F550" t="s">
        <v>19</v>
      </c>
      <c r="G550" t="s">
        <v>580</v>
      </c>
      <c r="H550" t="s">
        <v>53</v>
      </c>
      <c r="I550" t="s">
        <v>53</v>
      </c>
      <c r="J550" s="5" t="s">
        <v>53</v>
      </c>
      <c r="K550" t="s">
        <v>35</v>
      </c>
      <c r="L550" s="6">
        <v>43160</v>
      </c>
      <c r="M550">
        <v>3</v>
      </c>
      <c r="N550" s="7" t="s">
        <v>23</v>
      </c>
      <c r="O550" t="s">
        <v>24</v>
      </c>
      <c r="P550" t="s">
        <v>2668</v>
      </c>
      <c r="Q550" t="s">
        <v>2631</v>
      </c>
      <c r="R550" t="s">
        <v>2632</v>
      </c>
    </row>
    <row r="551" spans="1:18" hidden="1">
      <c r="A551">
        <v>2</v>
      </c>
      <c r="B551" s="4" t="s">
        <v>1952</v>
      </c>
      <c r="C551" s="4" t="s">
        <v>2566</v>
      </c>
      <c r="D551" s="4" t="s">
        <v>2620</v>
      </c>
      <c r="E551" s="4" t="s">
        <v>5804</v>
      </c>
      <c r="F551" t="s">
        <v>19</v>
      </c>
      <c r="G551" t="s">
        <v>580</v>
      </c>
      <c r="H551" t="s">
        <v>53</v>
      </c>
      <c r="I551" t="s">
        <v>53</v>
      </c>
      <c r="J551" s="5" t="s">
        <v>53</v>
      </c>
      <c r="K551" t="s">
        <v>35</v>
      </c>
      <c r="L551" s="6">
        <v>43160</v>
      </c>
      <c r="M551">
        <v>3</v>
      </c>
      <c r="N551" s="7" t="s">
        <v>23</v>
      </c>
      <c r="O551" t="s">
        <v>24</v>
      </c>
      <c r="P551" t="s">
        <v>2669</v>
      </c>
      <c r="Q551" t="s">
        <v>2631</v>
      </c>
      <c r="R551" t="s">
        <v>2632</v>
      </c>
    </row>
    <row r="552" spans="1:18" hidden="1">
      <c r="A552">
        <v>2</v>
      </c>
      <c r="B552" s="4" t="s">
        <v>1952</v>
      </c>
      <c r="C552" s="4" t="s">
        <v>2566</v>
      </c>
      <c r="D552" s="4" t="s">
        <v>2620</v>
      </c>
      <c r="E552" s="4" t="s">
        <v>5804</v>
      </c>
      <c r="F552" t="s">
        <v>19</v>
      </c>
      <c r="G552" t="s">
        <v>580</v>
      </c>
      <c r="H552" t="s">
        <v>53</v>
      </c>
      <c r="I552" t="s">
        <v>53</v>
      </c>
      <c r="J552" s="5" t="s">
        <v>53</v>
      </c>
      <c r="K552" t="s">
        <v>156</v>
      </c>
      <c r="L552" s="6">
        <v>43405</v>
      </c>
      <c r="M552">
        <v>11</v>
      </c>
      <c r="N552" s="7" t="s">
        <v>23</v>
      </c>
      <c r="O552" t="s">
        <v>36</v>
      </c>
      <c r="P552" t="s">
        <v>2676</v>
      </c>
      <c r="Q552" t="s">
        <v>2677</v>
      </c>
      <c r="R552" t="s">
        <v>2599</v>
      </c>
    </row>
    <row r="553" spans="1:18" hidden="1">
      <c r="A553">
        <v>2</v>
      </c>
      <c r="B553" s="4" t="s">
        <v>1952</v>
      </c>
      <c r="C553" s="4" t="s">
        <v>2566</v>
      </c>
      <c r="D553" s="4" t="s">
        <v>2620</v>
      </c>
      <c r="E553" s="4" t="s">
        <v>5804</v>
      </c>
      <c r="F553" t="s">
        <v>19</v>
      </c>
      <c r="G553" t="s">
        <v>580</v>
      </c>
      <c r="H553" t="s">
        <v>53</v>
      </c>
      <c r="I553" t="s">
        <v>53</v>
      </c>
      <c r="J553" s="5" t="s">
        <v>53</v>
      </c>
      <c r="K553" t="s">
        <v>482</v>
      </c>
      <c r="L553" s="6">
        <v>43435</v>
      </c>
      <c r="M553">
        <v>12</v>
      </c>
      <c r="N553" s="7" t="s">
        <v>30</v>
      </c>
      <c r="O553" t="s">
        <v>24</v>
      </c>
      <c r="P553" t="s">
        <v>2678</v>
      </c>
      <c r="Q553" t="s">
        <v>2679</v>
      </c>
      <c r="R553" t="s">
        <v>2680</v>
      </c>
    </row>
    <row r="554" spans="1:18" hidden="1">
      <c r="A554">
        <v>2</v>
      </c>
      <c r="B554" s="4" t="s">
        <v>1952</v>
      </c>
      <c r="C554" s="4" t="s">
        <v>2566</v>
      </c>
      <c r="D554" s="4" t="s">
        <v>2620</v>
      </c>
      <c r="E554" s="4" t="s">
        <v>5804</v>
      </c>
      <c r="F554" t="s">
        <v>19</v>
      </c>
      <c r="G554" t="s">
        <v>580</v>
      </c>
      <c r="H554" t="s">
        <v>53</v>
      </c>
      <c r="I554" t="s">
        <v>53</v>
      </c>
      <c r="J554" s="5" t="s">
        <v>53</v>
      </c>
      <c r="K554" t="s">
        <v>482</v>
      </c>
      <c r="L554" s="6">
        <v>43435</v>
      </c>
      <c r="M554">
        <v>12</v>
      </c>
      <c r="N554" s="7" t="s">
        <v>30</v>
      </c>
      <c r="O554" t="s">
        <v>36</v>
      </c>
      <c r="P554" t="s">
        <v>2681</v>
      </c>
      <c r="Q554" t="s">
        <v>2677</v>
      </c>
      <c r="R554" t="s">
        <v>2599</v>
      </c>
    </row>
    <row r="555" spans="1:18" hidden="1">
      <c r="A555">
        <v>2</v>
      </c>
      <c r="B555" s="4" t="s">
        <v>1952</v>
      </c>
      <c r="C555" s="4" t="s">
        <v>2566</v>
      </c>
      <c r="D555" s="4" t="s">
        <v>2620</v>
      </c>
      <c r="E555" s="4" t="s">
        <v>5804</v>
      </c>
      <c r="F555" t="s">
        <v>19</v>
      </c>
      <c r="G555" t="s">
        <v>580</v>
      </c>
      <c r="H555" t="s">
        <v>53</v>
      </c>
      <c r="I555" t="s">
        <v>53</v>
      </c>
      <c r="J555" s="5" t="s">
        <v>53</v>
      </c>
      <c r="K555" t="s">
        <v>159</v>
      </c>
      <c r="L555" s="6">
        <v>43586</v>
      </c>
      <c r="M555">
        <v>5</v>
      </c>
      <c r="N555" s="7" t="s">
        <v>23</v>
      </c>
      <c r="O555" t="s">
        <v>24</v>
      </c>
      <c r="P555" t="s">
        <v>2691</v>
      </c>
      <c r="Q555" t="s">
        <v>2631</v>
      </c>
      <c r="R555" t="s">
        <v>2632</v>
      </c>
    </row>
    <row r="556" spans="1:18" hidden="1">
      <c r="A556">
        <v>2</v>
      </c>
      <c r="B556" s="4" t="s">
        <v>1952</v>
      </c>
      <c r="C556" s="4" t="s">
        <v>2566</v>
      </c>
      <c r="D556" s="4" t="s">
        <v>2620</v>
      </c>
      <c r="E556" s="4" t="s">
        <v>5804</v>
      </c>
      <c r="F556" t="s">
        <v>19</v>
      </c>
      <c r="G556" t="s">
        <v>580</v>
      </c>
      <c r="H556" t="s">
        <v>53</v>
      </c>
      <c r="I556" t="s">
        <v>53</v>
      </c>
      <c r="J556" s="5" t="s">
        <v>53</v>
      </c>
      <c r="K556" t="s">
        <v>357</v>
      </c>
      <c r="L556" s="6">
        <v>43739</v>
      </c>
      <c r="M556">
        <v>10</v>
      </c>
      <c r="N556" s="7" t="s">
        <v>23</v>
      </c>
      <c r="O556" t="s">
        <v>24</v>
      </c>
      <c r="P556" t="s">
        <v>2695</v>
      </c>
      <c r="Q556" t="s">
        <v>2631</v>
      </c>
      <c r="R556" t="s">
        <v>2632</v>
      </c>
    </row>
    <row r="557" spans="1:18" hidden="1">
      <c r="A557">
        <v>2</v>
      </c>
      <c r="B557" s="4" t="s">
        <v>1952</v>
      </c>
      <c r="C557" s="4" t="s">
        <v>2566</v>
      </c>
      <c r="D557" s="4" t="s">
        <v>2620</v>
      </c>
      <c r="E557" s="4" t="s">
        <v>5804</v>
      </c>
      <c r="F557" t="s">
        <v>19</v>
      </c>
      <c r="G557" t="s">
        <v>580</v>
      </c>
      <c r="H557" t="s">
        <v>53</v>
      </c>
      <c r="I557" t="s">
        <v>53</v>
      </c>
      <c r="J557" s="5" t="s">
        <v>53</v>
      </c>
      <c r="K557" t="s">
        <v>255</v>
      </c>
      <c r="L557" s="6">
        <v>43983</v>
      </c>
      <c r="M557">
        <v>6</v>
      </c>
      <c r="N557" s="7" t="s">
        <v>55</v>
      </c>
      <c r="O557" t="s">
        <v>24</v>
      </c>
      <c r="P557" t="s">
        <v>2704</v>
      </c>
      <c r="Q557" t="s">
        <v>2705</v>
      </c>
      <c r="R557" t="s">
        <v>2706</v>
      </c>
    </row>
    <row r="558" spans="1:18" hidden="1">
      <c r="A558">
        <v>2</v>
      </c>
      <c r="B558" s="4" t="s">
        <v>1952</v>
      </c>
      <c r="C558" s="4" t="s">
        <v>2566</v>
      </c>
      <c r="D558" s="4" t="s">
        <v>2620</v>
      </c>
      <c r="E558" s="4" t="s">
        <v>5804</v>
      </c>
      <c r="F558" t="s">
        <v>19</v>
      </c>
      <c r="G558" t="s">
        <v>580</v>
      </c>
      <c r="H558" t="s">
        <v>53</v>
      </c>
      <c r="I558" t="s">
        <v>53</v>
      </c>
      <c r="J558" s="5" t="s">
        <v>53</v>
      </c>
      <c r="K558" t="s">
        <v>749</v>
      </c>
      <c r="L558" s="6">
        <v>44136</v>
      </c>
      <c r="M558">
        <v>11</v>
      </c>
      <c r="N558" s="7" t="s">
        <v>23</v>
      </c>
      <c r="O558" t="s">
        <v>24</v>
      </c>
      <c r="P558" t="s">
        <v>2711</v>
      </c>
      <c r="Q558" t="s">
        <v>2631</v>
      </c>
      <c r="R558" t="s">
        <v>2632</v>
      </c>
    </row>
    <row r="559" spans="1:18" hidden="1">
      <c r="A559">
        <v>2</v>
      </c>
      <c r="B559" s="4" t="s">
        <v>1952</v>
      </c>
      <c r="C559" s="4" t="s">
        <v>2566</v>
      </c>
      <c r="D559" s="4" t="s">
        <v>2620</v>
      </c>
      <c r="E559" s="4" t="s">
        <v>5804</v>
      </c>
      <c r="F559" t="s">
        <v>19</v>
      </c>
      <c r="G559" t="s">
        <v>580</v>
      </c>
      <c r="H559" t="s">
        <v>53</v>
      </c>
      <c r="I559" t="s">
        <v>53</v>
      </c>
      <c r="J559" s="5" t="s">
        <v>53</v>
      </c>
      <c r="K559" t="s">
        <v>311</v>
      </c>
      <c r="L559" s="6">
        <v>44256</v>
      </c>
      <c r="M559">
        <v>3</v>
      </c>
      <c r="N559" s="7" t="s">
        <v>23</v>
      </c>
      <c r="O559" t="s">
        <v>24</v>
      </c>
      <c r="P559" t="s">
        <v>2717</v>
      </c>
      <c r="Q559" t="s">
        <v>2718</v>
      </c>
      <c r="R559" t="s">
        <v>2719</v>
      </c>
    </row>
    <row r="560" spans="1:18" hidden="1">
      <c r="A560">
        <v>2</v>
      </c>
      <c r="B560" s="4" t="s">
        <v>1952</v>
      </c>
      <c r="C560" s="4" t="s">
        <v>2566</v>
      </c>
      <c r="D560" s="4" t="s">
        <v>2620</v>
      </c>
      <c r="E560" s="4" t="s">
        <v>5804</v>
      </c>
      <c r="F560" t="s">
        <v>19</v>
      </c>
      <c r="G560" t="s">
        <v>2568</v>
      </c>
      <c r="H560" t="s">
        <v>53</v>
      </c>
      <c r="I560" t="s">
        <v>53</v>
      </c>
      <c r="J560" s="5" t="s">
        <v>53</v>
      </c>
      <c r="K560" t="s">
        <v>377</v>
      </c>
      <c r="L560" s="6">
        <v>44470</v>
      </c>
      <c r="M560">
        <v>10</v>
      </c>
      <c r="N560" s="7" t="s">
        <v>23</v>
      </c>
      <c r="O560" t="s">
        <v>36</v>
      </c>
      <c r="P560" t="s">
        <v>2725</v>
      </c>
      <c r="Q560" t="s">
        <v>2595</v>
      </c>
      <c r="R560" t="s">
        <v>2596</v>
      </c>
    </row>
    <row r="561" spans="1:18" hidden="1">
      <c r="A561">
        <v>2</v>
      </c>
      <c r="B561" s="4" t="s">
        <v>1952</v>
      </c>
      <c r="C561" s="4" t="s">
        <v>2566</v>
      </c>
      <c r="D561" s="4" t="s">
        <v>2620</v>
      </c>
      <c r="E561" s="4" t="s">
        <v>5804</v>
      </c>
      <c r="F561" t="s">
        <v>19</v>
      </c>
      <c r="G561" t="s">
        <v>580</v>
      </c>
      <c r="H561" t="s">
        <v>53</v>
      </c>
      <c r="I561" t="s">
        <v>53</v>
      </c>
      <c r="J561" s="5" t="s">
        <v>53</v>
      </c>
      <c r="K561" t="s">
        <v>377</v>
      </c>
      <c r="L561" s="6">
        <v>44470</v>
      </c>
      <c r="M561">
        <v>10</v>
      </c>
      <c r="N561" s="7" t="s">
        <v>23</v>
      </c>
      <c r="O561" t="s">
        <v>31</v>
      </c>
      <c r="P561" t="s">
        <v>2726</v>
      </c>
      <c r="Q561" t="s">
        <v>2727</v>
      </c>
      <c r="R561" t="s">
        <v>2728</v>
      </c>
    </row>
    <row r="562" spans="1:18">
      <c r="A562">
        <v>3</v>
      </c>
      <c r="B562" s="4" t="s">
        <v>2764</v>
      </c>
      <c r="C562" s="4" t="s">
        <v>2765</v>
      </c>
      <c r="D562" s="4" t="s">
        <v>2766</v>
      </c>
      <c r="E562" s="4" t="s">
        <v>5804</v>
      </c>
      <c r="F562" t="s">
        <v>19</v>
      </c>
      <c r="G562" t="s">
        <v>28</v>
      </c>
      <c r="H562" t="s">
        <v>21</v>
      </c>
      <c r="I562">
        <v>12</v>
      </c>
      <c r="J562" s="5">
        <v>2.3E-2</v>
      </c>
      <c r="K562" t="s">
        <v>65</v>
      </c>
      <c r="L562" s="6">
        <v>42430</v>
      </c>
      <c r="M562">
        <v>3</v>
      </c>
      <c r="N562" s="7" t="s">
        <v>23</v>
      </c>
      <c r="O562" t="s">
        <v>24</v>
      </c>
      <c r="P562" t="s">
        <v>2773</v>
      </c>
      <c r="Q562" t="s">
        <v>2774</v>
      </c>
      <c r="R562" t="s">
        <v>2775</v>
      </c>
    </row>
    <row r="563" spans="1:18">
      <c r="A563">
        <v>3</v>
      </c>
      <c r="B563" s="4" t="s">
        <v>2764</v>
      </c>
      <c r="C563" s="4" t="s">
        <v>2765</v>
      </c>
      <c r="D563" s="4" t="s">
        <v>2766</v>
      </c>
      <c r="E563" s="4" t="s">
        <v>5804</v>
      </c>
      <c r="F563" t="s">
        <v>19</v>
      </c>
      <c r="G563" t="s">
        <v>114</v>
      </c>
      <c r="H563" t="s">
        <v>21</v>
      </c>
      <c r="I563">
        <v>9</v>
      </c>
      <c r="J563" s="5">
        <v>3.4000000000000002E-2</v>
      </c>
      <c r="K563" t="s">
        <v>292</v>
      </c>
      <c r="L563" s="6">
        <v>43191</v>
      </c>
      <c r="M563">
        <v>4</v>
      </c>
      <c r="N563" s="7" t="s">
        <v>23</v>
      </c>
      <c r="O563" t="s">
        <v>193</v>
      </c>
      <c r="P563" t="s">
        <v>2794</v>
      </c>
      <c r="Q563" t="s">
        <v>2795</v>
      </c>
      <c r="R563" t="s">
        <v>2796</v>
      </c>
    </row>
    <row r="564" spans="1:18">
      <c r="A564">
        <v>3</v>
      </c>
      <c r="B564" s="4" t="s">
        <v>2764</v>
      </c>
      <c r="C564" s="4" t="s">
        <v>2765</v>
      </c>
      <c r="D564" s="4" t="s">
        <v>2816</v>
      </c>
      <c r="E564" s="4" t="s">
        <v>5804</v>
      </c>
      <c r="F564" t="s">
        <v>19</v>
      </c>
      <c r="G564" t="s">
        <v>123</v>
      </c>
      <c r="H564" t="s">
        <v>53</v>
      </c>
      <c r="I564" t="s">
        <v>53</v>
      </c>
      <c r="J564" s="5" t="s">
        <v>53</v>
      </c>
      <c r="K564" t="s">
        <v>319</v>
      </c>
      <c r="L564" s="6">
        <v>42583</v>
      </c>
      <c r="M564">
        <v>8</v>
      </c>
      <c r="N564" s="7" t="s">
        <v>55</v>
      </c>
      <c r="O564" t="s">
        <v>24</v>
      </c>
      <c r="P564" t="s">
        <v>2836</v>
      </c>
      <c r="Q564" t="s">
        <v>2837</v>
      </c>
      <c r="R564" t="s">
        <v>2838</v>
      </c>
    </row>
    <row r="565" spans="1:18">
      <c r="A565">
        <v>3</v>
      </c>
      <c r="B565" s="4" t="s">
        <v>2764</v>
      </c>
      <c r="C565" s="4" t="s">
        <v>2765</v>
      </c>
      <c r="D565" s="4" t="s">
        <v>2816</v>
      </c>
      <c r="E565" s="4" t="s">
        <v>5804</v>
      </c>
      <c r="F565" t="s">
        <v>19</v>
      </c>
      <c r="G565" t="s">
        <v>28</v>
      </c>
      <c r="H565" t="s">
        <v>21</v>
      </c>
      <c r="I565">
        <v>12</v>
      </c>
      <c r="J565" s="5">
        <v>2.3E-2</v>
      </c>
      <c r="K565" t="s">
        <v>168</v>
      </c>
      <c r="L565" s="6">
        <v>43678</v>
      </c>
      <c r="M565">
        <v>8</v>
      </c>
      <c r="N565" s="7" t="s">
        <v>55</v>
      </c>
      <c r="O565" t="s">
        <v>193</v>
      </c>
      <c r="P565" t="s">
        <v>2976</v>
      </c>
      <c r="Q565" t="s">
        <v>2977</v>
      </c>
      <c r="R565" t="s">
        <v>2978</v>
      </c>
    </row>
    <row r="566" spans="1:18">
      <c r="A566">
        <v>3</v>
      </c>
      <c r="B566" s="4" t="s">
        <v>2764</v>
      </c>
      <c r="C566" s="4" t="s">
        <v>2765</v>
      </c>
      <c r="D566" s="4" t="s">
        <v>2816</v>
      </c>
      <c r="E566" s="4" t="s">
        <v>5804</v>
      </c>
      <c r="F566" t="s">
        <v>19</v>
      </c>
      <c r="G566" t="s">
        <v>28</v>
      </c>
      <c r="H566" t="s">
        <v>21</v>
      </c>
      <c r="I566">
        <v>12</v>
      </c>
      <c r="J566" s="5">
        <v>2.3E-2</v>
      </c>
      <c r="K566" t="s">
        <v>251</v>
      </c>
      <c r="L566" s="6">
        <v>43952</v>
      </c>
      <c r="M566">
        <v>5</v>
      </c>
      <c r="N566" s="7" t="s">
        <v>23</v>
      </c>
      <c r="O566" t="s">
        <v>31</v>
      </c>
      <c r="P566" t="s">
        <v>3007</v>
      </c>
      <c r="Q566" t="s">
        <v>3008</v>
      </c>
      <c r="R566" t="s">
        <v>3009</v>
      </c>
    </row>
    <row r="567" spans="1:18" hidden="1">
      <c r="A567">
        <v>4</v>
      </c>
      <c r="B567" s="4" t="s">
        <v>3127</v>
      </c>
      <c r="C567" s="4" t="s">
        <v>3128</v>
      </c>
      <c r="D567" s="4" t="s">
        <v>3129</v>
      </c>
      <c r="E567" s="4" t="s">
        <v>5804</v>
      </c>
      <c r="F567" t="s">
        <v>19</v>
      </c>
      <c r="G567" t="s">
        <v>1232</v>
      </c>
      <c r="H567" t="s">
        <v>53</v>
      </c>
      <c r="I567" t="s">
        <v>53</v>
      </c>
      <c r="J567" s="5" t="s">
        <v>53</v>
      </c>
      <c r="K567" t="s">
        <v>124</v>
      </c>
      <c r="L567" s="6">
        <v>42767</v>
      </c>
      <c r="M567">
        <v>2</v>
      </c>
      <c r="N567" s="7" t="s">
        <v>30</v>
      </c>
      <c r="O567" t="s">
        <v>88</v>
      </c>
      <c r="P567" t="s">
        <v>3146</v>
      </c>
      <c r="Q567" t="s">
        <v>3147</v>
      </c>
      <c r="R567" t="s">
        <v>3148</v>
      </c>
    </row>
    <row r="568" spans="1:18" hidden="1">
      <c r="A568">
        <v>4</v>
      </c>
      <c r="B568" s="4" t="s">
        <v>3127</v>
      </c>
      <c r="C568" s="4" t="s">
        <v>3128</v>
      </c>
      <c r="D568" s="4" t="s">
        <v>3129</v>
      </c>
      <c r="E568" s="4" t="s">
        <v>5804</v>
      </c>
      <c r="F568" t="s">
        <v>19</v>
      </c>
      <c r="G568" t="s">
        <v>1232</v>
      </c>
      <c r="H568" t="s">
        <v>53</v>
      </c>
      <c r="I568" t="s">
        <v>53</v>
      </c>
      <c r="J568" s="5" t="s">
        <v>53</v>
      </c>
      <c r="K568" t="s">
        <v>164</v>
      </c>
      <c r="L568" s="6">
        <v>43617</v>
      </c>
      <c r="M568">
        <v>6</v>
      </c>
      <c r="N568" s="7" t="s">
        <v>55</v>
      </c>
      <c r="O568" t="s">
        <v>88</v>
      </c>
      <c r="P568" t="s">
        <v>3168</v>
      </c>
      <c r="Q568" t="s">
        <v>3169</v>
      </c>
      <c r="R568" t="s">
        <v>3170</v>
      </c>
    </row>
    <row r="569" spans="1:18" hidden="1">
      <c r="A569">
        <v>4</v>
      </c>
      <c r="B569" s="4" t="s">
        <v>3127</v>
      </c>
      <c r="C569" s="4" t="s">
        <v>3128</v>
      </c>
      <c r="D569" s="4" t="s">
        <v>3129</v>
      </c>
      <c r="E569" s="4" t="s">
        <v>5804</v>
      </c>
      <c r="F569" t="s">
        <v>19</v>
      </c>
      <c r="G569" t="s">
        <v>28</v>
      </c>
      <c r="H569" t="s">
        <v>21</v>
      </c>
      <c r="I569">
        <v>12</v>
      </c>
      <c r="J569" s="5">
        <v>2.3E-2</v>
      </c>
      <c r="K569" t="s">
        <v>365</v>
      </c>
      <c r="L569" s="6">
        <v>44105</v>
      </c>
      <c r="M569">
        <v>10</v>
      </c>
      <c r="N569" s="7" t="s">
        <v>23</v>
      </c>
      <c r="O569" t="s">
        <v>223</v>
      </c>
      <c r="P569" t="s">
        <v>3180</v>
      </c>
      <c r="Q569" t="s">
        <v>3181</v>
      </c>
      <c r="R569" t="s">
        <v>3182</v>
      </c>
    </row>
    <row r="570" spans="1:18" hidden="1">
      <c r="A570">
        <v>4</v>
      </c>
      <c r="B570" s="4" t="s">
        <v>3127</v>
      </c>
      <c r="C570" s="4" t="s">
        <v>3128</v>
      </c>
      <c r="D570" s="4" t="s">
        <v>3190</v>
      </c>
      <c r="E570" s="4" t="s">
        <v>5804</v>
      </c>
      <c r="F570" t="s">
        <v>19</v>
      </c>
      <c r="G570" t="s">
        <v>20</v>
      </c>
      <c r="H570" t="s">
        <v>21</v>
      </c>
      <c r="I570">
        <v>5</v>
      </c>
      <c r="J570" s="5">
        <v>4.9000000000000002E-2</v>
      </c>
      <c r="K570" t="s">
        <v>220</v>
      </c>
      <c r="L570" s="6">
        <v>42644</v>
      </c>
      <c r="M570">
        <v>10</v>
      </c>
      <c r="N570" s="7" t="s">
        <v>23</v>
      </c>
      <c r="O570" t="s">
        <v>31</v>
      </c>
      <c r="P570" t="s">
        <v>3197</v>
      </c>
      <c r="Q570" t="s">
        <v>3198</v>
      </c>
      <c r="R570" t="s">
        <v>3199</v>
      </c>
    </row>
    <row r="571" spans="1:18" hidden="1">
      <c r="A571">
        <v>4</v>
      </c>
      <c r="B571" s="4" t="s">
        <v>3127</v>
      </c>
      <c r="C571" s="4" t="s">
        <v>3128</v>
      </c>
      <c r="D571" s="4" t="s">
        <v>3190</v>
      </c>
      <c r="E571" s="4" t="s">
        <v>5804</v>
      </c>
      <c r="F571" t="s">
        <v>19</v>
      </c>
      <c r="G571" t="s">
        <v>1232</v>
      </c>
      <c r="H571" t="s">
        <v>53</v>
      </c>
      <c r="I571" t="s">
        <v>53</v>
      </c>
      <c r="J571" s="5" t="s">
        <v>53</v>
      </c>
      <c r="K571" t="s">
        <v>749</v>
      </c>
      <c r="L571" s="6">
        <v>44136</v>
      </c>
      <c r="M571">
        <v>11</v>
      </c>
      <c r="N571" s="7" t="s">
        <v>23</v>
      </c>
      <c r="O571" t="s">
        <v>31</v>
      </c>
      <c r="P571" t="s">
        <v>3238</v>
      </c>
      <c r="Q571" t="s">
        <v>3159</v>
      </c>
      <c r="R571" t="s">
        <v>3160</v>
      </c>
    </row>
    <row r="572" spans="1:18" hidden="1">
      <c r="A572">
        <v>4</v>
      </c>
      <c r="B572" s="4" t="s">
        <v>3127</v>
      </c>
      <c r="C572" s="4" t="s">
        <v>3128</v>
      </c>
      <c r="D572" s="4" t="s">
        <v>3190</v>
      </c>
      <c r="E572" s="4" t="s">
        <v>5804</v>
      </c>
      <c r="F572" t="s">
        <v>19</v>
      </c>
      <c r="G572" t="s">
        <v>873</v>
      </c>
      <c r="H572" t="s">
        <v>53</v>
      </c>
      <c r="I572" t="s">
        <v>53</v>
      </c>
      <c r="J572" s="5" t="s">
        <v>53</v>
      </c>
      <c r="K572" t="s">
        <v>102</v>
      </c>
      <c r="L572" s="6">
        <v>44287</v>
      </c>
      <c r="M572">
        <v>4</v>
      </c>
      <c r="N572" s="7" t="s">
        <v>23</v>
      </c>
      <c r="O572" t="s">
        <v>88</v>
      </c>
      <c r="P572" t="s">
        <v>3242</v>
      </c>
      <c r="Q572" t="s">
        <v>3243</v>
      </c>
      <c r="R572" t="s">
        <v>3244</v>
      </c>
    </row>
    <row r="573" spans="1:18" hidden="1">
      <c r="A573">
        <v>4</v>
      </c>
      <c r="B573" s="4" t="s">
        <v>3127</v>
      </c>
      <c r="C573" s="4" t="s">
        <v>3128</v>
      </c>
      <c r="D573" s="4" t="s">
        <v>3247</v>
      </c>
      <c r="E573" s="4" t="s">
        <v>5804</v>
      </c>
      <c r="F573" t="s">
        <v>19</v>
      </c>
      <c r="G573" t="s">
        <v>123</v>
      </c>
      <c r="H573" t="s">
        <v>53</v>
      </c>
      <c r="I573" t="s">
        <v>53</v>
      </c>
      <c r="J573" s="5" t="s">
        <v>53</v>
      </c>
      <c r="K573" t="s">
        <v>124</v>
      </c>
      <c r="L573" s="6">
        <v>42767</v>
      </c>
      <c r="M573">
        <v>2</v>
      </c>
      <c r="N573" s="7" t="s">
        <v>30</v>
      </c>
      <c r="O573" t="s">
        <v>31</v>
      </c>
      <c r="P573" t="s">
        <v>3297</v>
      </c>
      <c r="Q573" t="s">
        <v>3298</v>
      </c>
      <c r="R573" t="s">
        <v>3299</v>
      </c>
    </row>
    <row r="574" spans="1:18" hidden="1">
      <c r="A574">
        <v>4</v>
      </c>
      <c r="B574" s="4" t="s">
        <v>3127</v>
      </c>
      <c r="C574" s="4" t="s">
        <v>3374</v>
      </c>
      <c r="D574" s="4" t="s">
        <v>3375</v>
      </c>
      <c r="E574" s="4" t="s">
        <v>5804</v>
      </c>
      <c r="F574" t="s">
        <v>19</v>
      </c>
      <c r="G574" t="s">
        <v>28</v>
      </c>
      <c r="H574" t="s">
        <v>21</v>
      </c>
      <c r="I574">
        <v>12</v>
      </c>
      <c r="J574" s="5">
        <v>2.3E-2</v>
      </c>
      <c r="K574" t="s">
        <v>35</v>
      </c>
      <c r="L574" s="6">
        <v>43160</v>
      </c>
      <c r="M574">
        <v>3</v>
      </c>
      <c r="N574" s="7" t="s">
        <v>23</v>
      </c>
      <c r="O574" t="s">
        <v>31</v>
      </c>
      <c r="P574" t="s">
        <v>3432</v>
      </c>
      <c r="Q574" t="s">
        <v>3433</v>
      </c>
      <c r="R574" t="s">
        <v>3434</v>
      </c>
    </row>
    <row r="575" spans="1:18" hidden="1">
      <c r="A575">
        <v>4</v>
      </c>
      <c r="B575" s="4" t="s">
        <v>3127</v>
      </c>
      <c r="C575" s="4" t="s">
        <v>3506</v>
      </c>
      <c r="D575" s="4" t="s">
        <v>3507</v>
      </c>
      <c r="E575" s="4" t="s">
        <v>5804</v>
      </c>
      <c r="F575" t="s">
        <v>19</v>
      </c>
      <c r="G575" t="s">
        <v>123</v>
      </c>
      <c r="H575" t="s">
        <v>53</v>
      </c>
      <c r="I575" t="s">
        <v>53</v>
      </c>
      <c r="J575" s="5" t="s">
        <v>53</v>
      </c>
      <c r="K575" t="s">
        <v>115</v>
      </c>
      <c r="L575" s="6">
        <v>42461</v>
      </c>
      <c r="M575">
        <v>4</v>
      </c>
      <c r="N575" s="7" t="s">
        <v>23</v>
      </c>
      <c r="O575" t="s">
        <v>24</v>
      </c>
      <c r="P575" t="s">
        <v>3515</v>
      </c>
      <c r="Q575" t="s">
        <v>3516</v>
      </c>
      <c r="R575" t="s">
        <v>3517</v>
      </c>
    </row>
    <row r="576" spans="1:18" hidden="1">
      <c r="A576">
        <v>4</v>
      </c>
      <c r="B576" s="4" t="s">
        <v>3127</v>
      </c>
      <c r="C576" s="4" t="s">
        <v>3506</v>
      </c>
      <c r="D576" s="4" t="s">
        <v>3507</v>
      </c>
      <c r="E576" s="4" t="s">
        <v>5804</v>
      </c>
      <c r="F576" t="s">
        <v>19</v>
      </c>
      <c r="G576" t="s">
        <v>1232</v>
      </c>
      <c r="H576" t="s">
        <v>53</v>
      </c>
      <c r="I576" t="s">
        <v>53</v>
      </c>
      <c r="J576" s="5" t="s">
        <v>53</v>
      </c>
      <c r="K576" t="s">
        <v>115</v>
      </c>
      <c r="L576" s="6">
        <v>42461</v>
      </c>
      <c r="M576">
        <v>4</v>
      </c>
      <c r="N576" s="7" t="s">
        <v>23</v>
      </c>
      <c r="O576" t="s">
        <v>36</v>
      </c>
      <c r="P576" t="s">
        <v>3518</v>
      </c>
      <c r="Q576" t="s">
        <v>3519</v>
      </c>
      <c r="R576" t="s">
        <v>3520</v>
      </c>
    </row>
    <row r="577" spans="1:18" hidden="1">
      <c r="A577">
        <v>4</v>
      </c>
      <c r="B577" s="4" t="s">
        <v>3127</v>
      </c>
      <c r="C577" s="4" t="s">
        <v>3597</v>
      </c>
      <c r="D577" s="4" t="s">
        <v>3660</v>
      </c>
      <c r="E577" s="4" t="s">
        <v>5804</v>
      </c>
      <c r="F577" t="s">
        <v>19</v>
      </c>
      <c r="G577" t="s">
        <v>28</v>
      </c>
      <c r="H577" t="s">
        <v>21</v>
      </c>
      <c r="I577">
        <v>12</v>
      </c>
      <c r="J577" s="5">
        <v>2.3E-2</v>
      </c>
      <c r="K577" t="s">
        <v>119</v>
      </c>
      <c r="L577" s="6">
        <v>42552</v>
      </c>
      <c r="M577">
        <v>7</v>
      </c>
      <c r="N577" s="7" t="s">
        <v>55</v>
      </c>
      <c r="O577" t="s">
        <v>31</v>
      </c>
      <c r="P577" t="s">
        <v>3676</v>
      </c>
      <c r="Q577" t="s">
        <v>3677</v>
      </c>
      <c r="R577" t="s">
        <v>3678</v>
      </c>
    </row>
    <row r="578" spans="1:18" hidden="1">
      <c r="A578">
        <v>4</v>
      </c>
      <c r="B578" s="4" t="s">
        <v>3127</v>
      </c>
      <c r="C578" s="4" t="s">
        <v>3789</v>
      </c>
      <c r="D578" s="4" t="s">
        <v>3815</v>
      </c>
      <c r="E578" s="4" t="s">
        <v>5804</v>
      </c>
      <c r="F578" t="s">
        <v>19</v>
      </c>
      <c r="G578" t="s">
        <v>873</v>
      </c>
      <c r="H578" t="s">
        <v>53</v>
      </c>
      <c r="I578" t="s">
        <v>53</v>
      </c>
      <c r="J578" s="5" t="s">
        <v>53</v>
      </c>
      <c r="K578" t="s">
        <v>29</v>
      </c>
      <c r="L578" s="6">
        <v>43070</v>
      </c>
      <c r="M578">
        <v>12</v>
      </c>
      <c r="N578" s="7" t="s">
        <v>30</v>
      </c>
      <c r="O578" t="s">
        <v>223</v>
      </c>
      <c r="P578" t="s">
        <v>3872</v>
      </c>
      <c r="Q578" t="s">
        <v>3873</v>
      </c>
      <c r="R578" t="s">
        <v>3874</v>
      </c>
    </row>
    <row r="579" spans="1:18" hidden="1">
      <c r="A579">
        <v>4</v>
      </c>
      <c r="B579" s="4" t="s">
        <v>3127</v>
      </c>
      <c r="C579" s="4" t="s">
        <v>4035</v>
      </c>
      <c r="D579" s="4" t="s">
        <v>4036</v>
      </c>
      <c r="E579" s="4" t="s">
        <v>5804</v>
      </c>
      <c r="F579" t="s">
        <v>19</v>
      </c>
      <c r="G579" t="s">
        <v>1232</v>
      </c>
      <c r="H579" t="s">
        <v>53</v>
      </c>
      <c r="I579" t="s">
        <v>53</v>
      </c>
      <c r="J579" s="5" t="s">
        <v>53</v>
      </c>
      <c r="K579" t="s">
        <v>119</v>
      </c>
      <c r="L579" s="6">
        <v>42552</v>
      </c>
      <c r="M579">
        <v>7</v>
      </c>
      <c r="N579" s="7" t="s">
        <v>55</v>
      </c>
      <c r="O579" t="s">
        <v>24</v>
      </c>
      <c r="P579" t="s">
        <v>4037</v>
      </c>
      <c r="Q579" t="s">
        <v>4038</v>
      </c>
      <c r="R579" t="s">
        <v>4039</v>
      </c>
    </row>
    <row r="580" spans="1:18" hidden="1">
      <c r="A580">
        <v>4</v>
      </c>
      <c r="B580" s="4" t="s">
        <v>3127</v>
      </c>
      <c r="C580" s="4" t="s">
        <v>4035</v>
      </c>
      <c r="D580" s="4" t="s">
        <v>4036</v>
      </c>
      <c r="E580" s="4" t="s">
        <v>5804</v>
      </c>
      <c r="F580" t="s">
        <v>19</v>
      </c>
      <c r="G580" t="s">
        <v>1232</v>
      </c>
      <c r="H580" t="s">
        <v>53</v>
      </c>
      <c r="I580" t="s">
        <v>53</v>
      </c>
      <c r="J580" s="5" t="s">
        <v>53</v>
      </c>
      <c r="K580" t="s">
        <v>220</v>
      </c>
      <c r="L580" s="6">
        <v>42644</v>
      </c>
      <c r="M580">
        <v>10</v>
      </c>
      <c r="N580" s="7" t="s">
        <v>23</v>
      </c>
      <c r="O580" t="s">
        <v>88</v>
      </c>
      <c r="P580" t="s">
        <v>4043</v>
      </c>
      <c r="Q580" t="s">
        <v>4044</v>
      </c>
      <c r="R580" t="s">
        <v>4045</v>
      </c>
    </row>
    <row r="581" spans="1:18" hidden="1">
      <c r="A581">
        <v>4</v>
      </c>
      <c r="B581" s="4" t="s">
        <v>3127</v>
      </c>
      <c r="C581" s="4" t="s">
        <v>4035</v>
      </c>
      <c r="D581" s="4" t="s">
        <v>4036</v>
      </c>
      <c r="E581" s="4" t="s">
        <v>5804</v>
      </c>
      <c r="F581" t="s">
        <v>19</v>
      </c>
      <c r="G581" t="s">
        <v>123</v>
      </c>
      <c r="H581" t="s">
        <v>53</v>
      </c>
      <c r="I581" t="s">
        <v>53</v>
      </c>
      <c r="J581" s="5" t="s">
        <v>53</v>
      </c>
      <c r="K581" t="s">
        <v>93</v>
      </c>
      <c r="L581" s="6">
        <v>43282</v>
      </c>
      <c r="M581">
        <v>7</v>
      </c>
      <c r="N581" s="7" t="s">
        <v>55</v>
      </c>
      <c r="O581" t="s">
        <v>31</v>
      </c>
      <c r="P581" t="s">
        <v>4057</v>
      </c>
      <c r="Q581" t="s">
        <v>4058</v>
      </c>
      <c r="R581" t="s">
        <v>4059</v>
      </c>
    </row>
    <row r="582" spans="1:18" hidden="1">
      <c r="A582">
        <v>4</v>
      </c>
      <c r="B582" s="4" t="s">
        <v>3127</v>
      </c>
      <c r="C582" s="4" t="s">
        <v>4035</v>
      </c>
      <c r="D582" s="4" t="s">
        <v>4080</v>
      </c>
      <c r="E582" s="4" t="s">
        <v>5804</v>
      </c>
      <c r="F582" t="s">
        <v>19</v>
      </c>
      <c r="G582" t="s">
        <v>28</v>
      </c>
      <c r="H582" t="s">
        <v>21</v>
      </c>
      <c r="I582">
        <v>12</v>
      </c>
      <c r="J582" s="5">
        <v>2.3E-2</v>
      </c>
      <c r="K582" t="s">
        <v>146</v>
      </c>
      <c r="L582" s="6">
        <v>43313</v>
      </c>
      <c r="M582">
        <v>8</v>
      </c>
      <c r="N582" s="7" t="s">
        <v>55</v>
      </c>
      <c r="O582" t="s">
        <v>24</v>
      </c>
      <c r="P582" t="s">
        <v>4134</v>
      </c>
      <c r="Q582" t="s">
        <v>4135</v>
      </c>
      <c r="R582" t="s">
        <v>4071</v>
      </c>
    </row>
    <row r="583" spans="1:18" hidden="1">
      <c r="A583">
        <v>4</v>
      </c>
      <c r="B583" s="4" t="s">
        <v>3127</v>
      </c>
      <c r="C583" s="4" t="s">
        <v>4035</v>
      </c>
      <c r="D583" s="4" t="s">
        <v>4080</v>
      </c>
      <c r="E583" s="4" t="s">
        <v>5804</v>
      </c>
      <c r="F583" t="s">
        <v>19</v>
      </c>
      <c r="G583" t="s">
        <v>114</v>
      </c>
      <c r="H583" t="s">
        <v>21</v>
      </c>
      <c r="I583">
        <v>9</v>
      </c>
      <c r="J583" s="5">
        <v>3.4000000000000002E-2</v>
      </c>
      <c r="K583" t="s">
        <v>539</v>
      </c>
      <c r="L583" s="6">
        <v>43922</v>
      </c>
      <c r="M583">
        <v>4</v>
      </c>
      <c r="N583" s="7" t="s">
        <v>23</v>
      </c>
      <c r="O583" t="s">
        <v>31</v>
      </c>
      <c r="P583" t="s">
        <v>4178</v>
      </c>
      <c r="Q583" t="s">
        <v>4179</v>
      </c>
      <c r="R583" t="s">
        <v>4180</v>
      </c>
    </row>
    <row r="584" spans="1:18" hidden="1">
      <c r="A584">
        <v>4</v>
      </c>
      <c r="B584" s="4" t="s">
        <v>3127</v>
      </c>
      <c r="C584" s="4" t="s">
        <v>4207</v>
      </c>
      <c r="D584" s="4" t="s">
        <v>4208</v>
      </c>
      <c r="E584" s="4" t="s">
        <v>5804</v>
      </c>
      <c r="F584" t="s">
        <v>19</v>
      </c>
      <c r="G584" t="s">
        <v>114</v>
      </c>
      <c r="H584" t="s">
        <v>21</v>
      </c>
      <c r="I584">
        <v>9</v>
      </c>
      <c r="J584" s="5">
        <v>3.4000000000000002E-2</v>
      </c>
      <c r="K584" t="s">
        <v>159</v>
      </c>
      <c r="L584" s="6">
        <v>43586</v>
      </c>
      <c r="M584">
        <v>5</v>
      </c>
      <c r="N584" s="7" t="s">
        <v>23</v>
      </c>
      <c r="O584" t="s">
        <v>31</v>
      </c>
      <c r="P584" t="s">
        <v>4239</v>
      </c>
      <c r="Q584" t="s">
        <v>4240</v>
      </c>
      <c r="R584" t="s">
        <v>4180</v>
      </c>
    </row>
    <row r="585" spans="1:18" hidden="1">
      <c r="A585">
        <v>4</v>
      </c>
      <c r="B585" s="4" t="s">
        <v>3127</v>
      </c>
      <c r="C585" s="4" t="s">
        <v>4207</v>
      </c>
      <c r="D585" s="4" t="s">
        <v>4257</v>
      </c>
      <c r="E585" s="4" t="s">
        <v>5804</v>
      </c>
      <c r="F585" t="s">
        <v>19</v>
      </c>
      <c r="G585" t="s">
        <v>28</v>
      </c>
      <c r="H585" t="s">
        <v>21</v>
      </c>
      <c r="I585">
        <v>12</v>
      </c>
      <c r="J585" s="5">
        <v>2.3E-2</v>
      </c>
      <c r="K585" t="s">
        <v>558</v>
      </c>
      <c r="L585" s="6">
        <v>42339</v>
      </c>
      <c r="M585">
        <v>12</v>
      </c>
      <c r="N585" s="7" t="s">
        <v>30</v>
      </c>
      <c r="O585" t="s">
        <v>31</v>
      </c>
      <c r="P585" t="s">
        <v>4264</v>
      </c>
      <c r="Q585" t="s">
        <v>4265</v>
      </c>
      <c r="R585" t="s">
        <v>4266</v>
      </c>
    </row>
    <row r="586" spans="1:18" hidden="1">
      <c r="A586">
        <v>4</v>
      </c>
      <c r="B586" s="4" t="s">
        <v>3127</v>
      </c>
      <c r="C586" s="4" t="s">
        <v>4207</v>
      </c>
      <c r="D586" s="4" t="s">
        <v>4257</v>
      </c>
      <c r="E586" s="4" t="s">
        <v>5804</v>
      </c>
      <c r="F586" t="s">
        <v>19</v>
      </c>
      <c r="G586" t="s">
        <v>28</v>
      </c>
      <c r="H586" t="s">
        <v>21</v>
      </c>
      <c r="I586">
        <v>12</v>
      </c>
      <c r="J586" s="5">
        <v>2.3E-2</v>
      </c>
      <c r="K586" t="s">
        <v>4267</v>
      </c>
      <c r="L586" s="6">
        <v>42370</v>
      </c>
      <c r="M586">
        <v>1</v>
      </c>
      <c r="N586" s="7" t="s">
        <v>30</v>
      </c>
      <c r="O586" t="s">
        <v>31</v>
      </c>
      <c r="P586" t="s">
        <v>4268</v>
      </c>
      <c r="Q586" t="s">
        <v>4269</v>
      </c>
      <c r="R586" t="s">
        <v>4270</v>
      </c>
    </row>
    <row r="587" spans="1:18" hidden="1">
      <c r="A587">
        <v>4</v>
      </c>
      <c r="B587" s="4" t="s">
        <v>3127</v>
      </c>
      <c r="C587" s="4" t="s">
        <v>4207</v>
      </c>
      <c r="D587" s="4" t="s">
        <v>4257</v>
      </c>
      <c r="E587" s="4" t="s">
        <v>5804</v>
      </c>
      <c r="F587" t="s">
        <v>19</v>
      </c>
      <c r="G587" t="s">
        <v>28</v>
      </c>
      <c r="H587" t="s">
        <v>21</v>
      </c>
      <c r="I587">
        <v>12</v>
      </c>
      <c r="J587" s="5">
        <v>2.3E-2</v>
      </c>
      <c r="K587" t="s">
        <v>701</v>
      </c>
      <c r="L587" s="6">
        <v>42491</v>
      </c>
      <c r="M587">
        <v>5</v>
      </c>
      <c r="N587" s="7" t="s">
        <v>23</v>
      </c>
      <c r="O587" t="s">
        <v>31</v>
      </c>
      <c r="P587" t="s">
        <v>4280</v>
      </c>
      <c r="Q587" t="s">
        <v>4281</v>
      </c>
      <c r="R587" t="s">
        <v>4282</v>
      </c>
    </row>
    <row r="588" spans="1:18" hidden="1">
      <c r="A588">
        <v>4</v>
      </c>
      <c r="B588" s="4" t="s">
        <v>3127</v>
      </c>
      <c r="C588" s="4" t="s">
        <v>4207</v>
      </c>
      <c r="D588" s="4" t="s">
        <v>4257</v>
      </c>
      <c r="E588" s="4" t="s">
        <v>5804</v>
      </c>
      <c r="F588" t="s">
        <v>19</v>
      </c>
      <c r="G588" t="s">
        <v>28</v>
      </c>
      <c r="H588" t="s">
        <v>21</v>
      </c>
      <c r="I588">
        <v>12</v>
      </c>
      <c r="J588" s="5">
        <v>2.3E-2</v>
      </c>
      <c r="K588" t="s">
        <v>278</v>
      </c>
      <c r="L588" s="6">
        <v>42675</v>
      </c>
      <c r="M588">
        <v>11</v>
      </c>
      <c r="N588" s="7" t="s">
        <v>23</v>
      </c>
      <c r="O588" t="s">
        <v>31</v>
      </c>
      <c r="P588" t="s">
        <v>4316</v>
      </c>
      <c r="Q588" t="s">
        <v>1080</v>
      </c>
      <c r="R588" t="s">
        <v>1081</v>
      </c>
    </row>
    <row r="589" spans="1:18" hidden="1">
      <c r="A589">
        <v>4</v>
      </c>
      <c r="B589" s="4" t="s">
        <v>3127</v>
      </c>
      <c r="C589" s="4" t="s">
        <v>4207</v>
      </c>
      <c r="D589" s="4" t="s">
        <v>4257</v>
      </c>
      <c r="E589" s="4" t="s">
        <v>5804</v>
      </c>
      <c r="F589" t="s">
        <v>19</v>
      </c>
      <c r="G589" t="s">
        <v>20</v>
      </c>
      <c r="H589" t="s">
        <v>21</v>
      </c>
      <c r="I589">
        <v>5</v>
      </c>
      <c r="J589" s="5">
        <v>4.9000000000000002E-2</v>
      </c>
      <c r="K589" t="s">
        <v>477</v>
      </c>
      <c r="L589" s="6">
        <v>42705</v>
      </c>
      <c r="M589">
        <v>12</v>
      </c>
      <c r="N589" s="7" t="s">
        <v>30</v>
      </c>
      <c r="O589" t="s">
        <v>31</v>
      </c>
      <c r="P589" t="s">
        <v>4317</v>
      </c>
      <c r="Q589" t="s">
        <v>4318</v>
      </c>
      <c r="R589" t="s">
        <v>4319</v>
      </c>
    </row>
    <row r="590" spans="1:18" hidden="1">
      <c r="A590">
        <v>4</v>
      </c>
      <c r="B590" s="4" t="s">
        <v>3127</v>
      </c>
      <c r="C590" s="4" t="s">
        <v>4207</v>
      </c>
      <c r="D590" s="4" t="s">
        <v>4257</v>
      </c>
      <c r="E590" s="4" t="s">
        <v>5804</v>
      </c>
      <c r="F590" t="s">
        <v>19</v>
      </c>
      <c r="G590" t="s">
        <v>28</v>
      </c>
      <c r="H590" t="s">
        <v>21</v>
      </c>
      <c r="I590">
        <v>12</v>
      </c>
      <c r="J590" s="5">
        <v>2.3E-2</v>
      </c>
      <c r="K590" t="s">
        <v>477</v>
      </c>
      <c r="L590" s="6">
        <v>42705</v>
      </c>
      <c r="M590">
        <v>12</v>
      </c>
      <c r="N590" s="7" t="s">
        <v>30</v>
      </c>
      <c r="O590" t="s">
        <v>31</v>
      </c>
      <c r="P590" t="s">
        <v>4325</v>
      </c>
      <c r="Q590" t="s">
        <v>4269</v>
      </c>
      <c r="R590" t="s">
        <v>4270</v>
      </c>
    </row>
    <row r="591" spans="1:18" hidden="1">
      <c r="A591">
        <v>5</v>
      </c>
      <c r="B591" s="4" t="s">
        <v>4600</v>
      </c>
      <c r="C591" s="4" t="s">
        <v>4601</v>
      </c>
      <c r="D591" s="4" t="s">
        <v>4602</v>
      </c>
      <c r="E591" s="4" t="s">
        <v>5804</v>
      </c>
      <c r="F591" t="s">
        <v>19</v>
      </c>
      <c r="G591" t="s">
        <v>28</v>
      </c>
      <c r="H591" t="s">
        <v>21</v>
      </c>
      <c r="I591">
        <v>12</v>
      </c>
      <c r="J591" s="5">
        <v>2.3E-2</v>
      </c>
      <c r="K591" t="s">
        <v>115</v>
      </c>
      <c r="L591" s="6">
        <v>42461</v>
      </c>
      <c r="M591">
        <v>4</v>
      </c>
      <c r="N591" s="7" t="s">
        <v>23</v>
      </c>
      <c r="O591" t="s">
        <v>24</v>
      </c>
      <c r="P591" t="s">
        <v>4606</v>
      </c>
      <c r="Q591" t="s">
        <v>4607</v>
      </c>
      <c r="R591" t="s">
        <v>4608</v>
      </c>
    </row>
    <row r="592" spans="1:18" hidden="1">
      <c r="A592">
        <v>5</v>
      </c>
      <c r="B592" s="4" t="s">
        <v>4600</v>
      </c>
      <c r="C592" s="4" t="s">
        <v>4601</v>
      </c>
      <c r="D592" s="4" t="s">
        <v>4602</v>
      </c>
      <c r="E592" s="4" t="s">
        <v>5804</v>
      </c>
      <c r="F592" t="s">
        <v>19</v>
      </c>
      <c r="G592" t="s">
        <v>20</v>
      </c>
      <c r="H592" t="s">
        <v>21</v>
      </c>
      <c r="I592">
        <v>5</v>
      </c>
      <c r="J592" s="5">
        <v>4.9000000000000002E-2</v>
      </c>
      <c r="K592" t="s">
        <v>128</v>
      </c>
      <c r="L592" s="6">
        <v>42795</v>
      </c>
      <c r="M592">
        <v>3</v>
      </c>
      <c r="N592" s="7" t="s">
        <v>23</v>
      </c>
      <c r="O592" t="s">
        <v>36</v>
      </c>
      <c r="P592" t="s">
        <v>4615</v>
      </c>
      <c r="Q592" t="s">
        <v>843</v>
      </c>
      <c r="R592" t="s">
        <v>4616</v>
      </c>
    </row>
    <row r="593" spans="1:18" hidden="1">
      <c r="A593">
        <v>5</v>
      </c>
      <c r="B593" s="4" t="s">
        <v>4600</v>
      </c>
      <c r="C593" s="4" t="s">
        <v>4601</v>
      </c>
      <c r="D593" s="4" t="s">
        <v>4602</v>
      </c>
      <c r="E593" s="4" t="s">
        <v>5804</v>
      </c>
      <c r="F593" t="s">
        <v>19</v>
      </c>
      <c r="G593" t="s">
        <v>28</v>
      </c>
      <c r="H593" t="s">
        <v>21</v>
      </c>
      <c r="I593">
        <v>12</v>
      </c>
      <c r="J593" s="5">
        <v>2.3E-2</v>
      </c>
      <c r="K593" t="s">
        <v>76</v>
      </c>
      <c r="L593" s="6">
        <v>42856</v>
      </c>
      <c r="M593">
        <v>5</v>
      </c>
      <c r="N593" s="7" t="s">
        <v>23</v>
      </c>
      <c r="O593" t="s">
        <v>223</v>
      </c>
      <c r="P593" t="s">
        <v>4620</v>
      </c>
      <c r="Q593" t="s">
        <v>1310</v>
      </c>
      <c r="R593" t="s">
        <v>1311</v>
      </c>
    </row>
    <row r="594" spans="1:18" hidden="1">
      <c r="A594">
        <v>5</v>
      </c>
      <c r="B594" s="4" t="s">
        <v>4600</v>
      </c>
      <c r="C594" s="4" t="s">
        <v>4601</v>
      </c>
      <c r="D594" s="4" t="s">
        <v>4602</v>
      </c>
      <c r="E594" s="4" t="s">
        <v>5804</v>
      </c>
      <c r="F594" t="s">
        <v>19</v>
      </c>
      <c r="G594" t="s">
        <v>20</v>
      </c>
      <c r="H594" t="s">
        <v>21</v>
      </c>
      <c r="I594">
        <v>5</v>
      </c>
      <c r="J594" s="5">
        <v>4.9000000000000002E-2</v>
      </c>
      <c r="K594" t="s">
        <v>29</v>
      </c>
      <c r="L594" s="6">
        <v>43070</v>
      </c>
      <c r="M594">
        <v>12</v>
      </c>
      <c r="N594" s="7" t="s">
        <v>30</v>
      </c>
      <c r="O594" t="s">
        <v>88</v>
      </c>
      <c r="P594" t="s">
        <v>4627</v>
      </c>
      <c r="Q594" t="s">
        <v>4628</v>
      </c>
      <c r="R594" t="s">
        <v>4629</v>
      </c>
    </row>
    <row r="595" spans="1:18" hidden="1">
      <c r="A595">
        <v>5</v>
      </c>
      <c r="B595" s="4" t="s">
        <v>4600</v>
      </c>
      <c r="C595" s="4" t="s">
        <v>4601</v>
      </c>
      <c r="D595" s="4" t="s">
        <v>4635</v>
      </c>
      <c r="E595" s="4" t="s">
        <v>5804</v>
      </c>
      <c r="F595" t="s">
        <v>19</v>
      </c>
      <c r="G595" t="s">
        <v>114</v>
      </c>
      <c r="H595" t="s">
        <v>21</v>
      </c>
      <c r="I595">
        <v>9</v>
      </c>
      <c r="J595" s="5">
        <v>3.4000000000000002E-2</v>
      </c>
      <c r="K595" t="s">
        <v>278</v>
      </c>
      <c r="L595" s="6">
        <v>42675</v>
      </c>
      <c r="M595">
        <v>11</v>
      </c>
      <c r="N595" s="7" t="s">
        <v>23</v>
      </c>
      <c r="O595" t="s">
        <v>223</v>
      </c>
      <c r="P595" t="s">
        <v>4655</v>
      </c>
      <c r="Q595" t="s">
        <v>4656</v>
      </c>
      <c r="R595" t="s">
        <v>4657</v>
      </c>
    </row>
    <row r="596" spans="1:18" hidden="1">
      <c r="A596">
        <v>5</v>
      </c>
      <c r="B596" s="4" t="s">
        <v>4600</v>
      </c>
      <c r="C596" s="4" t="s">
        <v>4601</v>
      </c>
      <c r="D596" s="4" t="s">
        <v>4635</v>
      </c>
      <c r="E596" s="4" t="s">
        <v>5804</v>
      </c>
      <c r="F596" t="s">
        <v>19</v>
      </c>
      <c r="G596" t="s">
        <v>20</v>
      </c>
      <c r="H596" t="s">
        <v>21</v>
      </c>
      <c r="I596">
        <v>5</v>
      </c>
      <c r="J596" s="5">
        <v>4.9000000000000002E-2</v>
      </c>
      <c r="K596" t="s">
        <v>245</v>
      </c>
      <c r="L596" s="6">
        <v>43466</v>
      </c>
      <c r="M596">
        <v>1</v>
      </c>
      <c r="N596" s="7" t="s">
        <v>30</v>
      </c>
      <c r="O596" t="s">
        <v>31</v>
      </c>
      <c r="P596" t="s">
        <v>4684</v>
      </c>
      <c r="Q596" t="s">
        <v>4685</v>
      </c>
      <c r="R596" t="s">
        <v>4686</v>
      </c>
    </row>
    <row r="597" spans="1:18" hidden="1">
      <c r="A597">
        <v>5</v>
      </c>
      <c r="B597" s="4" t="s">
        <v>4600</v>
      </c>
      <c r="C597" s="4" t="s">
        <v>4601</v>
      </c>
      <c r="D597" s="4" t="s">
        <v>4635</v>
      </c>
      <c r="E597" s="4" t="s">
        <v>5804</v>
      </c>
      <c r="F597" t="s">
        <v>19</v>
      </c>
      <c r="G597" t="s">
        <v>873</v>
      </c>
      <c r="H597" t="s">
        <v>53</v>
      </c>
      <c r="I597" t="s">
        <v>53</v>
      </c>
      <c r="J597" s="5" t="s">
        <v>53</v>
      </c>
      <c r="K597" t="s">
        <v>726</v>
      </c>
      <c r="L597" s="6">
        <v>43709</v>
      </c>
      <c r="M597">
        <v>9</v>
      </c>
      <c r="N597" s="7" t="s">
        <v>23</v>
      </c>
      <c r="O597" t="s">
        <v>223</v>
      </c>
      <c r="P597" t="s">
        <v>4704</v>
      </c>
      <c r="Q597" t="s">
        <v>4705</v>
      </c>
      <c r="R597" t="s">
        <v>4706</v>
      </c>
    </row>
    <row r="598" spans="1:18" hidden="1">
      <c r="A598">
        <v>5</v>
      </c>
      <c r="B598" s="4" t="s">
        <v>4600</v>
      </c>
      <c r="C598" s="4" t="s">
        <v>4601</v>
      </c>
      <c r="D598" s="4" t="s">
        <v>4635</v>
      </c>
      <c r="E598" s="4" t="s">
        <v>5804</v>
      </c>
      <c r="F598" t="s">
        <v>19</v>
      </c>
      <c r="G598" t="s">
        <v>28</v>
      </c>
      <c r="H598" t="s">
        <v>21</v>
      </c>
      <c r="I598">
        <v>12</v>
      </c>
      <c r="J598" s="5">
        <v>2.3E-2</v>
      </c>
      <c r="K598" t="s">
        <v>178</v>
      </c>
      <c r="L598" s="6">
        <v>44228</v>
      </c>
      <c r="M598">
        <v>2</v>
      </c>
      <c r="N598" s="7" t="s">
        <v>30</v>
      </c>
      <c r="O598" t="s">
        <v>24</v>
      </c>
      <c r="P598" t="s">
        <v>4741</v>
      </c>
      <c r="Q598" t="s">
        <v>4742</v>
      </c>
      <c r="R598" t="s">
        <v>4743</v>
      </c>
    </row>
    <row r="599" spans="1:18" hidden="1">
      <c r="A599">
        <v>5</v>
      </c>
      <c r="B599" s="4" t="s">
        <v>4600</v>
      </c>
      <c r="C599" s="4" t="s">
        <v>4601</v>
      </c>
      <c r="D599" s="4" t="s">
        <v>4853</v>
      </c>
      <c r="E599" s="4" t="s">
        <v>5804</v>
      </c>
      <c r="F599" t="s">
        <v>19</v>
      </c>
      <c r="G599" t="s">
        <v>20</v>
      </c>
      <c r="H599" t="s">
        <v>21</v>
      </c>
      <c r="I599">
        <v>5</v>
      </c>
      <c r="J599" s="5">
        <v>4.9000000000000002E-2</v>
      </c>
      <c r="K599" t="s">
        <v>22</v>
      </c>
      <c r="L599" s="6">
        <v>42979</v>
      </c>
      <c r="M599">
        <v>9</v>
      </c>
      <c r="N599" s="7" t="s">
        <v>23</v>
      </c>
      <c r="O599" t="s">
        <v>193</v>
      </c>
      <c r="P599" t="s">
        <v>4894</v>
      </c>
      <c r="Q599" t="s">
        <v>4895</v>
      </c>
      <c r="R599" t="s">
        <v>4896</v>
      </c>
    </row>
    <row r="600" spans="1:18" hidden="1">
      <c r="A600">
        <v>5</v>
      </c>
      <c r="B600" s="4" t="s">
        <v>4600</v>
      </c>
      <c r="C600" s="4" t="s">
        <v>4933</v>
      </c>
      <c r="D600" s="4" t="s">
        <v>4934</v>
      </c>
      <c r="E600" s="4" t="s">
        <v>5804</v>
      </c>
      <c r="F600" t="s">
        <v>19</v>
      </c>
      <c r="G600" t="s">
        <v>28</v>
      </c>
      <c r="H600" t="s">
        <v>21</v>
      </c>
      <c r="I600">
        <v>12</v>
      </c>
      <c r="J600" s="5">
        <v>2.3E-2</v>
      </c>
      <c r="K600" t="s">
        <v>146</v>
      </c>
      <c r="L600" s="6">
        <v>43313</v>
      </c>
      <c r="M600">
        <v>8</v>
      </c>
      <c r="N600" s="7" t="s">
        <v>55</v>
      </c>
      <c r="O600" t="s">
        <v>31</v>
      </c>
      <c r="P600" t="s">
        <v>4966</v>
      </c>
      <c r="Q600" t="s">
        <v>4967</v>
      </c>
      <c r="R600" t="s">
        <v>4968</v>
      </c>
    </row>
    <row r="601" spans="1:18" hidden="1">
      <c r="A601">
        <v>5</v>
      </c>
      <c r="B601" s="4" t="s">
        <v>4600</v>
      </c>
      <c r="C601" s="4" t="s">
        <v>4933</v>
      </c>
      <c r="D601" s="4" t="s">
        <v>4934</v>
      </c>
      <c r="E601" s="4" t="s">
        <v>5804</v>
      </c>
      <c r="F601" t="s">
        <v>19</v>
      </c>
      <c r="G601" t="s">
        <v>123</v>
      </c>
      <c r="H601" t="s">
        <v>53</v>
      </c>
      <c r="I601" t="s">
        <v>53</v>
      </c>
      <c r="J601" s="5" t="s">
        <v>53</v>
      </c>
      <c r="K601" t="s">
        <v>43</v>
      </c>
      <c r="L601" s="6">
        <v>43525</v>
      </c>
      <c r="M601">
        <v>3</v>
      </c>
      <c r="N601" s="7" t="s">
        <v>23</v>
      </c>
      <c r="O601" t="s">
        <v>31</v>
      </c>
      <c r="P601" t="s">
        <v>4973</v>
      </c>
      <c r="Q601" t="s">
        <v>4974</v>
      </c>
      <c r="R601" t="s">
        <v>4975</v>
      </c>
    </row>
    <row r="602" spans="1:18" hidden="1">
      <c r="A602">
        <v>5</v>
      </c>
      <c r="B602" s="4" t="s">
        <v>4600</v>
      </c>
      <c r="C602" s="4" t="s">
        <v>4933</v>
      </c>
      <c r="D602" s="4" t="s">
        <v>4934</v>
      </c>
      <c r="E602" s="4" t="s">
        <v>5804</v>
      </c>
      <c r="F602" t="s">
        <v>19</v>
      </c>
      <c r="G602" t="s">
        <v>114</v>
      </c>
      <c r="H602" t="s">
        <v>21</v>
      </c>
      <c r="I602">
        <v>9</v>
      </c>
      <c r="J602" s="5">
        <v>3.4000000000000002E-2</v>
      </c>
      <c r="K602" t="s">
        <v>43</v>
      </c>
      <c r="L602" s="6">
        <v>43525</v>
      </c>
      <c r="M602">
        <v>3</v>
      </c>
      <c r="N602" s="7" t="s">
        <v>23</v>
      </c>
      <c r="O602" t="s">
        <v>223</v>
      </c>
      <c r="P602" t="s">
        <v>4984</v>
      </c>
      <c r="Q602" t="s">
        <v>4985</v>
      </c>
      <c r="R602" t="s">
        <v>4986</v>
      </c>
    </row>
    <row r="603" spans="1:18" hidden="1">
      <c r="A603">
        <v>5</v>
      </c>
      <c r="B603" s="4" t="s">
        <v>4600</v>
      </c>
      <c r="C603" s="4" t="s">
        <v>4933</v>
      </c>
      <c r="D603" s="4" t="s">
        <v>4934</v>
      </c>
      <c r="E603" s="4" t="s">
        <v>5804</v>
      </c>
      <c r="F603" t="s">
        <v>19</v>
      </c>
      <c r="G603" t="s">
        <v>114</v>
      </c>
      <c r="H603" t="s">
        <v>21</v>
      </c>
      <c r="I603">
        <v>9</v>
      </c>
      <c r="J603" s="5">
        <v>3.4000000000000002E-2</v>
      </c>
      <c r="K603" t="s">
        <v>304</v>
      </c>
      <c r="L603" s="6">
        <v>43647</v>
      </c>
      <c r="M603">
        <v>7</v>
      </c>
      <c r="N603" s="7" t="s">
        <v>55</v>
      </c>
      <c r="O603" t="s">
        <v>223</v>
      </c>
      <c r="P603" t="s">
        <v>4991</v>
      </c>
      <c r="Q603" t="s">
        <v>4985</v>
      </c>
      <c r="R603" t="s">
        <v>4986</v>
      </c>
    </row>
    <row r="604" spans="1:18" hidden="1">
      <c r="A604">
        <v>5</v>
      </c>
      <c r="B604" s="4" t="s">
        <v>4600</v>
      </c>
      <c r="C604" s="4" t="s">
        <v>4933</v>
      </c>
      <c r="D604" s="4" t="s">
        <v>4934</v>
      </c>
      <c r="E604" s="4" t="s">
        <v>5804</v>
      </c>
      <c r="F604" t="s">
        <v>19</v>
      </c>
      <c r="G604" t="s">
        <v>20</v>
      </c>
      <c r="H604" t="s">
        <v>21</v>
      </c>
      <c r="I604">
        <v>5</v>
      </c>
      <c r="J604" s="5">
        <v>4.9000000000000002E-2</v>
      </c>
      <c r="K604" t="s">
        <v>749</v>
      </c>
      <c r="L604" s="6">
        <v>44136</v>
      </c>
      <c r="M604">
        <v>11</v>
      </c>
      <c r="N604" s="7" t="s">
        <v>23</v>
      </c>
      <c r="O604" t="s">
        <v>88</v>
      </c>
      <c r="P604" t="s">
        <v>5001</v>
      </c>
      <c r="Q604" t="s">
        <v>5002</v>
      </c>
      <c r="R604" t="s">
        <v>469</v>
      </c>
    </row>
    <row r="605" spans="1:18" hidden="1">
      <c r="A605">
        <v>5</v>
      </c>
      <c r="B605" s="4" t="s">
        <v>4600</v>
      </c>
      <c r="C605" s="4" t="s">
        <v>4933</v>
      </c>
      <c r="D605" s="4" t="s">
        <v>5014</v>
      </c>
      <c r="E605" s="4" t="s">
        <v>5804</v>
      </c>
      <c r="F605" t="s">
        <v>19</v>
      </c>
      <c r="G605" t="s">
        <v>1232</v>
      </c>
      <c r="H605" t="s">
        <v>53</v>
      </c>
      <c r="I605" t="s">
        <v>53</v>
      </c>
      <c r="J605" s="5" t="s">
        <v>53</v>
      </c>
      <c r="K605" t="s">
        <v>382</v>
      </c>
      <c r="L605" s="6">
        <v>42401</v>
      </c>
      <c r="M605">
        <v>2</v>
      </c>
      <c r="N605" s="7" t="s">
        <v>30</v>
      </c>
      <c r="O605" t="s">
        <v>36</v>
      </c>
      <c r="P605" t="s">
        <v>5030</v>
      </c>
      <c r="Q605" t="s">
        <v>5031</v>
      </c>
      <c r="R605" t="s">
        <v>5032</v>
      </c>
    </row>
    <row r="606" spans="1:18" hidden="1">
      <c r="A606">
        <v>5</v>
      </c>
      <c r="B606" s="4" t="s">
        <v>4600</v>
      </c>
      <c r="C606" s="4" t="s">
        <v>4933</v>
      </c>
      <c r="D606" s="4" t="s">
        <v>5014</v>
      </c>
      <c r="E606" s="4" t="s">
        <v>5804</v>
      </c>
      <c r="F606" t="s">
        <v>19</v>
      </c>
      <c r="G606" t="s">
        <v>1232</v>
      </c>
      <c r="H606" t="s">
        <v>53</v>
      </c>
      <c r="I606" t="s">
        <v>53</v>
      </c>
      <c r="J606" s="5" t="s">
        <v>53</v>
      </c>
      <c r="K606" t="s">
        <v>701</v>
      </c>
      <c r="L606" s="6">
        <v>42491</v>
      </c>
      <c r="M606">
        <v>5</v>
      </c>
      <c r="N606" s="7" t="s">
        <v>23</v>
      </c>
      <c r="O606" t="s">
        <v>36</v>
      </c>
      <c r="P606" t="s">
        <v>5042</v>
      </c>
      <c r="Q606" t="s">
        <v>5043</v>
      </c>
      <c r="R606" t="s">
        <v>5032</v>
      </c>
    </row>
    <row r="607" spans="1:18" hidden="1">
      <c r="A607">
        <v>5</v>
      </c>
      <c r="B607" s="4" t="s">
        <v>4600</v>
      </c>
      <c r="C607" s="4" t="s">
        <v>4933</v>
      </c>
      <c r="D607" s="4" t="s">
        <v>5014</v>
      </c>
      <c r="E607" s="4" t="s">
        <v>5804</v>
      </c>
      <c r="F607" t="s">
        <v>19</v>
      </c>
      <c r="G607" t="s">
        <v>1056</v>
      </c>
      <c r="H607" t="s">
        <v>53</v>
      </c>
      <c r="I607" t="s">
        <v>53</v>
      </c>
      <c r="J607" s="5" t="s">
        <v>53</v>
      </c>
      <c r="K607" t="s">
        <v>5101</v>
      </c>
      <c r="L607" s="6">
        <v>42826</v>
      </c>
      <c r="M607">
        <v>4</v>
      </c>
      <c r="N607" s="7" t="s">
        <v>23</v>
      </c>
      <c r="O607" t="s">
        <v>223</v>
      </c>
      <c r="P607" t="s">
        <v>5102</v>
      </c>
      <c r="Q607" t="s">
        <v>5103</v>
      </c>
      <c r="R607" t="s">
        <v>5104</v>
      </c>
    </row>
    <row r="608" spans="1:18" hidden="1">
      <c r="A608">
        <v>5</v>
      </c>
      <c r="B608" s="4" t="s">
        <v>4600</v>
      </c>
      <c r="C608" s="4" t="s">
        <v>4933</v>
      </c>
      <c r="D608" s="4" t="s">
        <v>5014</v>
      </c>
      <c r="E608" s="4" t="s">
        <v>5804</v>
      </c>
      <c r="F608" t="s">
        <v>19</v>
      </c>
      <c r="G608" t="s">
        <v>28</v>
      </c>
      <c r="H608" t="s">
        <v>21</v>
      </c>
      <c r="I608">
        <v>12</v>
      </c>
      <c r="J608" s="5">
        <v>2.3E-2</v>
      </c>
      <c r="K608" t="s">
        <v>22</v>
      </c>
      <c r="L608" s="6">
        <v>42979</v>
      </c>
      <c r="M608">
        <v>9</v>
      </c>
      <c r="N608" s="7" t="s">
        <v>23</v>
      </c>
      <c r="O608" t="s">
        <v>31</v>
      </c>
      <c r="P608" t="s">
        <v>5142</v>
      </c>
      <c r="Q608" t="s">
        <v>5143</v>
      </c>
      <c r="R608" t="s">
        <v>5144</v>
      </c>
    </row>
    <row r="609" spans="1:18" hidden="1">
      <c r="A609">
        <v>5</v>
      </c>
      <c r="B609" s="4" t="s">
        <v>4600</v>
      </c>
      <c r="C609" s="4" t="s">
        <v>4933</v>
      </c>
      <c r="D609" s="4" t="s">
        <v>5014</v>
      </c>
      <c r="E609" s="4" t="s">
        <v>5804</v>
      </c>
      <c r="F609" t="s">
        <v>19</v>
      </c>
      <c r="G609" t="s">
        <v>28</v>
      </c>
      <c r="H609" t="s">
        <v>21</v>
      </c>
      <c r="I609">
        <v>12</v>
      </c>
      <c r="J609" s="5">
        <v>2.3E-2</v>
      </c>
      <c r="K609" t="s">
        <v>159</v>
      </c>
      <c r="L609" s="6">
        <v>43586</v>
      </c>
      <c r="M609">
        <v>5</v>
      </c>
      <c r="N609" s="7" t="s">
        <v>23</v>
      </c>
      <c r="O609" t="s">
        <v>31</v>
      </c>
      <c r="P609" t="s">
        <v>5263</v>
      </c>
      <c r="Q609" t="s">
        <v>5264</v>
      </c>
      <c r="R609" t="s">
        <v>5265</v>
      </c>
    </row>
    <row r="610" spans="1:18" hidden="1">
      <c r="A610">
        <v>5</v>
      </c>
      <c r="B610" s="4" t="s">
        <v>4600</v>
      </c>
      <c r="C610" s="4" t="s">
        <v>5385</v>
      </c>
      <c r="D610" s="4" t="s">
        <v>5432</v>
      </c>
      <c r="E610" s="4" t="s">
        <v>5804</v>
      </c>
      <c r="F610" t="s">
        <v>19</v>
      </c>
      <c r="G610" t="s">
        <v>20</v>
      </c>
      <c r="H610" t="s">
        <v>21</v>
      </c>
      <c r="I610">
        <v>5</v>
      </c>
      <c r="J610" s="5">
        <v>4.9000000000000002E-2</v>
      </c>
      <c r="K610" t="s">
        <v>220</v>
      </c>
      <c r="L610" s="6">
        <v>42644</v>
      </c>
      <c r="M610">
        <v>10</v>
      </c>
      <c r="N610" s="7" t="s">
        <v>23</v>
      </c>
      <c r="O610" t="s">
        <v>223</v>
      </c>
      <c r="P610" t="s">
        <v>5445</v>
      </c>
      <c r="Q610" t="s">
        <v>5446</v>
      </c>
      <c r="R610" t="s">
        <v>5447</v>
      </c>
    </row>
    <row r="611" spans="1:18" hidden="1">
      <c r="A611">
        <v>6</v>
      </c>
      <c r="B611" s="4" t="s">
        <v>5462</v>
      </c>
      <c r="C611" s="4" t="s">
        <v>5463</v>
      </c>
      <c r="D611" s="4" t="s">
        <v>5464</v>
      </c>
      <c r="E611" s="4" t="s">
        <v>5804</v>
      </c>
      <c r="F611" t="s">
        <v>19</v>
      </c>
      <c r="G611" t="s">
        <v>114</v>
      </c>
      <c r="H611" t="s">
        <v>21</v>
      </c>
      <c r="I611">
        <v>9</v>
      </c>
      <c r="J611" s="5">
        <v>3.4000000000000002E-2</v>
      </c>
      <c r="K611" t="s">
        <v>119</v>
      </c>
      <c r="L611" s="6">
        <v>42552</v>
      </c>
      <c r="M611">
        <v>7</v>
      </c>
      <c r="N611" s="7" t="s">
        <v>55</v>
      </c>
      <c r="O611" t="s">
        <v>223</v>
      </c>
      <c r="P611" t="s">
        <v>5468</v>
      </c>
      <c r="Q611" t="s">
        <v>5469</v>
      </c>
      <c r="R611" t="s">
        <v>641</v>
      </c>
    </row>
    <row r="612" spans="1:18" hidden="1">
      <c r="A612">
        <v>6</v>
      </c>
      <c r="B612" s="4" t="s">
        <v>5462</v>
      </c>
      <c r="C612" s="4" t="s">
        <v>5463</v>
      </c>
      <c r="D612" s="4" t="s">
        <v>5464</v>
      </c>
      <c r="E612" s="4" t="s">
        <v>5804</v>
      </c>
      <c r="F612" t="s">
        <v>19</v>
      </c>
      <c r="G612" t="s">
        <v>123</v>
      </c>
      <c r="H612" t="s">
        <v>53</v>
      </c>
      <c r="I612" t="s">
        <v>53</v>
      </c>
      <c r="J612" s="5" t="s">
        <v>53</v>
      </c>
      <c r="K612" t="s">
        <v>319</v>
      </c>
      <c r="L612" s="6">
        <v>42583</v>
      </c>
      <c r="M612">
        <v>8</v>
      </c>
      <c r="N612" s="7" t="s">
        <v>55</v>
      </c>
      <c r="O612" t="s">
        <v>36</v>
      </c>
      <c r="P612" t="s">
        <v>5470</v>
      </c>
      <c r="Q612" t="s">
        <v>5471</v>
      </c>
      <c r="R612" t="s">
        <v>641</v>
      </c>
    </row>
    <row r="613" spans="1:18" hidden="1">
      <c r="A613">
        <v>6</v>
      </c>
      <c r="B613" s="4" t="s">
        <v>5462</v>
      </c>
      <c r="C613" s="4" t="s">
        <v>5463</v>
      </c>
      <c r="D613" s="4" t="s">
        <v>5464</v>
      </c>
      <c r="E613" s="4" t="s">
        <v>5804</v>
      </c>
      <c r="F613" t="s">
        <v>19</v>
      </c>
      <c r="G613" t="s">
        <v>123</v>
      </c>
      <c r="H613" t="s">
        <v>53</v>
      </c>
      <c r="I613" t="s">
        <v>53</v>
      </c>
      <c r="J613" s="5" t="s">
        <v>53</v>
      </c>
      <c r="K613" t="s">
        <v>35</v>
      </c>
      <c r="L613" s="6">
        <v>43160</v>
      </c>
      <c r="M613">
        <v>3</v>
      </c>
      <c r="N613" s="7" t="s">
        <v>23</v>
      </c>
      <c r="O613" t="s">
        <v>24</v>
      </c>
      <c r="P613" t="s">
        <v>5472</v>
      </c>
      <c r="Q613" t="s">
        <v>5473</v>
      </c>
      <c r="R613" t="s">
        <v>5474</v>
      </c>
    </row>
    <row r="614" spans="1:18" hidden="1">
      <c r="A614">
        <v>6</v>
      </c>
      <c r="B614" s="4" t="s">
        <v>5462</v>
      </c>
      <c r="C614" s="4" t="s">
        <v>5463</v>
      </c>
      <c r="D614" s="4" t="s">
        <v>5464</v>
      </c>
      <c r="E614" s="4" t="s">
        <v>5804</v>
      </c>
      <c r="F614" t="s">
        <v>19</v>
      </c>
      <c r="G614" t="s">
        <v>20</v>
      </c>
      <c r="H614" t="s">
        <v>21</v>
      </c>
      <c r="I614">
        <v>5</v>
      </c>
      <c r="J614" s="5">
        <v>4.9000000000000002E-2</v>
      </c>
      <c r="K614" t="s">
        <v>99</v>
      </c>
      <c r="L614" s="6">
        <v>43891</v>
      </c>
      <c r="M614">
        <v>3</v>
      </c>
      <c r="N614" s="7" t="s">
        <v>23</v>
      </c>
      <c r="O614" t="s">
        <v>36</v>
      </c>
      <c r="P614" t="s">
        <v>5485</v>
      </c>
      <c r="Q614" t="s">
        <v>5486</v>
      </c>
      <c r="R614" t="s">
        <v>641</v>
      </c>
    </row>
    <row r="615" spans="1:18" hidden="1">
      <c r="A615">
        <v>6</v>
      </c>
      <c r="B615" s="4" t="s">
        <v>5462</v>
      </c>
      <c r="C615" s="4" t="s">
        <v>5463</v>
      </c>
      <c r="D615" s="4" t="s">
        <v>5497</v>
      </c>
      <c r="E615" s="4" t="s">
        <v>5804</v>
      </c>
      <c r="F615" t="s">
        <v>19</v>
      </c>
      <c r="G615" t="s">
        <v>1232</v>
      </c>
      <c r="H615" t="s">
        <v>53</v>
      </c>
      <c r="I615" t="s">
        <v>53</v>
      </c>
      <c r="J615" s="5" t="s">
        <v>53</v>
      </c>
      <c r="K615" t="s">
        <v>119</v>
      </c>
      <c r="L615" s="6">
        <v>42552</v>
      </c>
      <c r="M615">
        <v>7</v>
      </c>
      <c r="N615" s="7" t="s">
        <v>55</v>
      </c>
      <c r="O615" t="s">
        <v>223</v>
      </c>
      <c r="P615" t="s">
        <v>5508</v>
      </c>
      <c r="Q615" t="s">
        <v>5509</v>
      </c>
      <c r="R615" t="s">
        <v>5510</v>
      </c>
    </row>
    <row r="616" spans="1:18" hidden="1">
      <c r="A616">
        <v>6</v>
      </c>
      <c r="B616" s="4" t="s">
        <v>5462</v>
      </c>
      <c r="C616" s="4" t="s">
        <v>5463</v>
      </c>
      <c r="D616" s="4" t="s">
        <v>5497</v>
      </c>
      <c r="E616" s="4" t="s">
        <v>5804</v>
      </c>
      <c r="F616" t="s">
        <v>19</v>
      </c>
      <c r="G616" t="s">
        <v>20</v>
      </c>
      <c r="H616" t="s">
        <v>21</v>
      </c>
      <c r="I616">
        <v>5</v>
      </c>
      <c r="J616" s="5">
        <v>4.9000000000000002E-2</v>
      </c>
      <c r="K616" t="s">
        <v>218</v>
      </c>
      <c r="L616" s="6">
        <v>42614</v>
      </c>
      <c r="M616">
        <v>9</v>
      </c>
      <c r="N616" s="7" t="s">
        <v>23</v>
      </c>
      <c r="O616" t="s">
        <v>36</v>
      </c>
      <c r="P616" t="s">
        <v>5511</v>
      </c>
      <c r="Q616" t="s">
        <v>5512</v>
      </c>
      <c r="R616" t="s">
        <v>777</v>
      </c>
    </row>
    <row r="617" spans="1:18" hidden="1">
      <c r="A617">
        <v>6</v>
      </c>
      <c r="B617" s="4" t="s">
        <v>5462</v>
      </c>
      <c r="C617" s="4" t="s">
        <v>5463</v>
      </c>
      <c r="D617" s="4" t="s">
        <v>5497</v>
      </c>
      <c r="E617" s="4" t="s">
        <v>5804</v>
      </c>
      <c r="F617" t="s">
        <v>19</v>
      </c>
      <c r="G617" t="s">
        <v>20</v>
      </c>
      <c r="H617" t="s">
        <v>21</v>
      </c>
      <c r="I617">
        <v>5</v>
      </c>
      <c r="J617" s="5">
        <v>4.9000000000000002E-2</v>
      </c>
      <c r="K617" t="s">
        <v>76</v>
      </c>
      <c r="L617" s="6">
        <v>42856</v>
      </c>
      <c r="M617">
        <v>5</v>
      </c>
      <c r="N617" s="7" t="s">
        <v>23</v>
      </c>
      <c r="O617" t="s">
        <v>193</v>
      </c>
      <c r="P617" t="s">
        <v>5517</v>
      </c>
      <c r="Q617" t="s">
        <v>5518</v>
      </c>
      <c r="R617" t="s">
        <v>5519</v>
      </c>
    </row>
    <row r="618" spans="1:18" hidden="1">
      <c r="A618">
        <v>6</v>
      </c>
      <c r="B618" s="4" t="s">
        <v>5462</v>
      </c>
      <c r="C618" s="4" t="s">
        <v>5463</v>
      </c>
      <c r="D618" s="4" t="s">
        <v>5497</v>
      </c>
      <c r="E618" s="4" t="s">
        <v>5804</v>
      </c>
      <c r="F618" t="s">
        <v>19</v>
      </c>
      <c r="G618" t="s">
        <v>114</v>
      </c>
      <c r="H618" t="s">
        <v>21</v>
      </c>
      <c r="I618">
        <v>9</v>
      </c>
      <c r="J618" s="5">
        <v>3.4000000000000002E-2</v>
      </c>
      <c r="K618" t="s">
        <v>1012</v>
      </c>
      <c r="L618" s="6">
        <v>43132</v>
      </c>
      <c r="M618">
        <v>2</v>
      </c>
      <c r="N618" s="7" t="s">
        <v>30</v>
      </c>
      <c r="O618" t="s">
        <v>223</v>
      </c>
      <c r="P618" t="s">
        <v>5535</v>
      </c>
      <c r="Q618" t="s">
        <v>5536</v>
      </c>
      <c r="R618" t="s">
        <v>659</v>
      </c>
    </row>
    <row r="619" spans="1:18" hidden="1">
      <c r="A619">
        <v>6</v>
      </c>
      <c r="B619" s="4" t="s">
        <v>5462</v>
      </c>
      <c r="C619" s="4" t="s">
        <v>5463</v>
      </c>
      <c r="D619" s="4" t="s">
        <v>5497</v>
      </c>
      <c r="E619" s="4" t="s">
        <v>5804</v>
      </c>
      <c r="F619" t="s">
        <v>19</v>
      </c>
      <c r="G619" t="s">
        <v>20</v>
      </c>
      <c r="H619" t="s">
        <v>21</v>
      </c>
      <c r="I619">
        <v>5</v>
      </c>
      <c r="J619" s="5">
        <v>4.9000000000000002E-2</v>
      </c>
      <c r="K619" t="s">
        <v>292</v>
      </c>
      <c r="L619" s="6">
        <v>43191</v>
      </c>
      <c r="M619">
        <v>4</v>
      </c>
      <c r="N619" s="7" t="s">
        <v>23</v>
      </c>
      <c r="O619" t="s">
        <v>36</v>
      </c>
      <c r="P619" t="s">
        <v>5541</v>
      </c>
      <c r="Q619" t="s">
        <v>843</v>
      </c>
      <c r="R619" t="s">
        <v>5542</v>
      </c>
    </row>
    <row r="620" spans="1:18" hidden="1">
      <c r="A620">
        <v>6</v>
      </c>
      <c r="B620" s="4" t="s">
        <v>5462</v>
      </c>
      <c r="C620" s="4" t="s">
        <v>5463</v>
      </c>
      <c r="D620" s="4" t="s">
        <v>5497</v>
      </c>
      <c r="E620" s="4" t="s">
        <v>5804</v>
      </c>
      <c r="F620" t="s">
        <v>19</v>
      </c>
      <c r="G620" t="s">
        <v>20</v>
      </c>
      <c r="H620" t="s">
        <v>21</v>
      </c>
      <c r="I620">
        <v>5</v>
      </c>
      <c r="J620" s="5">
        <v>4.9000000000000002E-2</v>
      </c>
      <c r="K620" t="s">
        <v>295</v>
      </c>
      <c r="L620" s="6">
        <v>43221</v>
      </c>
      <c r="M620">
        <v>5</v>
      </c>
      <c r="N620" s="7" t="s">
        <v>23</v>
      </c>
      <c r="O620" t="s">
        <v>36</v>
      </c>
      <c r="P620" t="s">
        <v>5550</v>
      </c>
      <c r="Q620" t="s">
        <v>5486</v>
      </c>
      <c r="R620" t="s">
        <v>641</v>
      </c>
    </row>
    <row r="621" spans="1:18" hidden="1">
      <c r="A621">
        <v>6</v>
      </c>
      <c r="B621" s="4" t="s">
        <v>5462</v>
      </c>
      <c r="C621" s="4" t="s">
        <v>5463</v>
      </c>
      <c r="D621" s="4" t="s">
        <v>5497</v>
      </c>
      <c r="E621" s="4" t="s">
        <v>5804</v>
      </c>
      <c r="F621" t="s">
        <v>19</v>
      </c>
      <c r="G621" t="s">
        <v>114</v>
      </c>
      <c r="H621" t="s">
        <v>21</v>
      </c>
      <c r="I621">
        <v>9</v>
      </c>
      <c r="J621" s="5">
        <v>3.4000000000000002E-2</v>
      </c>
      <c r="K621" t="s">
        <v>43</v>
      </c>
      <c r="L621" s="6">
        <v>43525</v>
      </c>
      <c r="M621">
        <v>3</v>
      </c>
      <c r="N621" s="7" t="s">
        <v>23</v>
      </c>
      <c r="O621" t="s">
        <v>36</v>
      </c>
      <c r="P621" t="s">
        <v>5555</v>
      </c>
      <c r="Q621" t="s">
        <v>5556</v>
      </c>
      <c r="R621" t="s">
        <v>5557</v>
      </c>
    </row>
    <row r="622" spans="1:18" hidden="1">
      <c r="A622">
        <v>6</v>
      </c>
      <c r="B622" s="4" t="s">
        <v>5462</v>
      </c>
      <c r="C622" s="4" t="s">
        <v>5463</v>
      </c>
      <c r="D622" s="4" t="s">
        <v>5497</v>
      </c>
      <c r="E622" s="4" t="s">
        <v>5804</v>
      </c>
      <c r="F622" t="s">
        <v>19</v>
      </c>
      <c r="G622" t="s">
        <v>114</v>
      </c>
      <c r="H622" t="s">
        <v>21</v>
      </c>
      <c r="I622">
        <v>9</v>
      </c>
      <c r="J622" s="5">
        <v>3.4000000000000002E-2</v>
      </c>
      <c r="K622" t="s">
        <v>654</v>
      </c>
      <c r="L622" s="6">
        <v>43556</v>
      </c>
      <c r="M622">
        <v>4</v>
      </c>
      <c r="N622" s="7" t="s">
        <v>23</v>
      </c>
      <c r="O622" t="s">
        <v>31</v>
      </c>
      <c r="P622" t="s">
        <v>5559</v>
      </c>
      <c r="Q622" t="s">
        <v>5560</v>
      </c>
      <c r="R622" t="s">
        <v>871</v>
      </c>
    </row>
    <row r="623" spans="1:18" hidden="1">
      <c r="A623">
        <v>6</v>
      </c>
      <c r="B623" s="4" t="s">
        <v>5462</v>
      </c>
      <c r="C623" s="4" t="s">
        <v>5463</v>
      </c>
      <c r="D623" s="4" t="s">
        <v>5497</v>
      </c>
      <c r="E623" s="4" t="s">
        <v>5804</v>
      </c>
      <c r="F623" t="s">
        <v>19</v>
      </c>
      <c r="G623" t="s">
        <v>20</v>
      </c>
      <c r="H623" t="s">
        <v>21</v>
      </c>
      <c r="I623">
        <v>5</v>
      </c>
      <c r="J623" s="5">
        <v>4.9000000000000002E-2</v>
      </c>
      <c r="K623" t="s">
        <v>159</v>
      </c>
      <c r="L623" s="6">
        <v>43586</v>
      </c>
      <c r="M623">
        <v>5</v>
      </c>
      <c r="N623" s="7" t="s">
        <v>23</v>
      </c>
      <c r="O623" t="s">
        <v>36</v>
      </c>
      <c r="P623" t="s">
        <v>5563</v>
      </c>
      <c r="Q623" t="s">
        <v>5564</v>
      </c>
      <c r="R623" t="s">
        <v>5519</v>
      </c>
    </row>
    <row r="624" spans="1:18" hidden="1">
      <c r="A624">
        <v>6</v>
      </c>
      <c r="B624" s="4" t="s">
        <v>5462</v>
      </c>
      <c r="C624" s="4" t="s">
        <v>5463</v>
      </c>
      <c r="D624" s="4" t="s">
        <v>5497</v>
      </c>
      <c r="E624" s="4" t="s">
        <v>5804</v>
      </c>
      <c r="F624" t="s">
        <v>19</v>
      </c>
      <c r="G624" t="s">
        <v>20</v>
      </c>
      <c r="H624" t="s">
        <v>21</v>
      </c>
      <c r="I624">
        <v>5</v>
      </c>
      <c r="J624" s="5">
        <v>4.9000000000000002E-2</v>
      </c>
      <c r="K624" t="s">
        <v>357</v>
      </c>
      <c r="L624" s="6">
        <v>43739</v>
      </c>
      <c r="M624">
        <v>10</v>
      </c>
      <c r="N624" s="7" t="s">
        <v>23</v>
      </c>
      <c r="O624" t="s">
        <v>36</v>
      </c>
      <c r="P624" t="s">
        <v>5569</v>
      </c>
      <c r="Q624" t="s">
        <v>5570</v>
      </c>
      <c r="R624" t="s">
        <v>5542</v>
      </c>
    </row>
    <row r="625" spans="1:18" hidden="1">
      <c r="A625">
        <v>6</v>
      </c>
      <c r="B625" s="4" t="s">
        <v>5462</v>
      </c>
      <c r="C625" s="4" t="s">
        <v>5463</v>
      </c>
      <c r="D625" s="4" t="s">
        <v>5497</v>
      </c>
      <c r="E625" s="4" t="s">
        <v>5804</v>
      </c>
      <c r="F625" t="s">
        <v>19</v>
      </c>
      <c r="G625" t="s">
        <v>20</v>
      </c>
      <c r="H625" t="s">
        <v>21</v>
      </c>
      <c r="I625">
        <v>5</v>
      </c>
      <c r="J625" s="5">
        <v>4.9000000000000002E-2</v>
      </c>
      <c r="K625" t="s">
        <v>99</v>
      </c>
      <c r="L625" s="6">
        <v>43891</v>
      </c>
      <c r="M625">
        <v>3</v>
      </c>
      <c r="N625" s="7" t="s">
        <v>23</v>
      </c>
      <c r="O625" t="s">
        <v>36</v>
      </c>
      <c r="P625" t="s">
        <v>5576</v>
      </c>
      <c r="Q625" t="s">
        <v>5577</v>
      </c>
      <c r="R625" t="s">
        <v>641</v>
      </c>
    </row>
    <row r="626" spans="1:18" hidden="1">
      <c r="A626">
        <v>6</v>
      </c>
      <c r="B626" s="4" t="s">
        <v>5462</v>
      </c>
      <c r="C626" s="4" t="s">
        <v>5463</v>
      </c>
      <c r="D626" s="4" t="s">
        <v>5497</v>
      </c>
      <c r="E626" s="4" t="s">
        <v>5804</v>
      </c>
      <c r="F626" t="s">
        <v>19</v>
      </c>
      <c r="G626" t="s">
        <v>20</v>
      </c>
      <c r="H626" t="s">
        <v>21</v>
      </c>
      <c r="I626">
        <v>5</v>
      </c>
      <c r="J626" s="5">
        <v>4.9000000000000002E-2</v>
      </c>
      <c r="K626" t="s">
        <v>171</v>
      </c>
      <c r="L626" s="6">
        <v>44013</v>
      </c>
      <c r="M626">
        <v>7</v>
      </c>
      <c r="N626" s="7" t="s">
        <v>55</v>
      </c>
      <c r="O626" t="s">
        <v>36</v>
      </c>
      <c r="P626" t="s">
        <v>5579</v>
      </c>
      <c r="Q626" t="s">
        <v>5486</v>
      </c>
      <c r="R626" t="s">
        <v>641</v>
      </c>
    </row>
    <row r="627" spans="1:18" hidden="1">
      <c r="A627">
        <v>7</v>
      </c>
      <c r="B627" s="4" t="s">
        <v>5586</v>
      </c>
      <c r="C627" s="4" t="s">
        <v>5587</v>
      </c>
      <c r="D627" s="4" t="s">
        <v>5588</v>
      </c>
      <c r="E627" s="4" t="s">
        <v>5804</v>
      </c>
      <c r="F627" t="s">
        <v>6070</v>
      </c>
      <c r="G627" t="s">
        <v>114</v>
      </c>
      <c r="H627" t="s">
        <v>21</v>
      </c>
      <c r="I627">
        <v>9</v>
      </c>
      <c r="J627" s="5">
        <v>3.4000000000000002E-2</v>
      </c>
      <c r="K627" t="s">
        <v>29</v>
      </c>
      <c r="L627" s="6">
        <v>43070</v>
      </c>
      <c r="M627">
        <v>12</v>
      </c>
      <c r="N627" s="7" t="s">
        <v>30</v>
      </c>
      <c r="O627" t="s">
        <v>36</v>
      </c>
      <c r="P627" t="s">
        <v>5591</v>
      </c>
      <c r="Q627" t="s">
        <v>191</v>
      </c>
      <c r="R627" t="s">
        <v>808</v>
      </c>
    </row>
    <row r="628" spans="1:18" hidden="1">
      <c r="A628">
        <v>7</v>
      </c>
      <c r="B628" s="4" t="s">
        <v>5586</v>
      </c>
      <c r="C628" s="4" t="s">
        <v>5587</v>
      </c>
      <c r="D628" s="4" t="s">
        <v>5588</v>
      </c>
      <c r="E628" s="4" t="s">
        <v>5804</v>
      </c>
      <c r="F628" t="s">
        <v>19</v>
      </c>
      <c r="G628" t="s">
        <v>114</v>
      </c>
      <c r="H628" t="s">
        <v>21</v>
      </c>
      <c r="I628">
        <v>9</v>
      </c>
      <c r="J628" s="5">
        <v>3.4000000000000002E-2</v>
      </c>
      <c r="K628" t="s">
        <v>295</v>
      </c>
      <c r="L628" s="6">
        <v>43221</v>
      </c>
      <c r="M628">
        <v>5</v>
      </c>
      <c r="N628" s="7" t="s">
        <v>23</v>
      </c>
      <c r="O628" t="s">
        <v>223</v>
      </c>
      <c r="P628" t="s">
        <v>5592</v>
      </c>
      <c r="Q628" t="s">
        <v>5593</v>
      </c>
      <c r="R628" t="s">
        <v>808</v>
      </c>
    </row>
    <row r="629" spans="1:18" hidden="1">
      <c r="A629">
        <v>7</v>
      </c>
      <c r="B629" s="4" t="s">
        <v>5586</v>
      </c>
      <c r="C629" s="4" t="s">
        <v>5587</v>
      </c>
      <c r="D629" s="4" t="s">
        <v>5588</v>
      </c>
      <c r="E629" s="4" t="s">
        <v>5804</v>
      </c>
      <c r="F629" t="s">
        <v>19</v>
      </c>
      <c r="G629" t="s">
        <v>114</v>
      </c>
      <c r="H629" t="s">
        <v>21</v>
      </c>
      <c r="I629">
        <v>9</v>
      </c>
      <c r="J629" s="5">
        <v>3.4000000000000002E-2</v>
      </c>
      <c r="K629" t="s">
        <v>295</v>
      </c>
      <c r="L629" s="6">
        <v>43221</v>
      </c>
      <c r="M629">
        <v>5</v>
      </c>
      <c r="N629" s="7" t="s">
        <v>23</v>
      </c>
      <c r="O629" t="s">
        <v>36</v>
      </c>
      <c r="P629" t="s">
        <v>5594</v>
      </c>
      <c r="Q629" t="s">
        <v>191</v>
      </c>
      <c r="R629" t="s">
        <v>808</v>
      </c>
    </row>
    <row r="630" spans="1:18" hidden="1">
      <c r="A630">
        <v>7</v>
      </c>
      <c r="B630" s="4" t="s">
        <v>5586</v>
      </c>
      <c r="C630" s="4" t="s">
        <v>5587</v>
      </c>
      <c r="D630" s="4" t="s">
        <v>5588</v>
      </c>
      <c r="E630" s="4" t="s">
        <v>5804</v>
      </c>
      <c r="F630" t="s">
        <v>19</v>
      </c>
      <c r="G630" t="s">
        <v>114</v>
      </c>
      <c r="H630" t="s">
        <v>21</v>
      </c>
      <c r="I630">
        <v>9</v>
      </c>
      <c r="J630" s="5">
        <v>3.4000000000000002E-2</v>
      </c>
      <c r="K630" t="s">
        <v>753</v>
      </c>
      <c r="L630" s="6">
        <v>44348</v>
      </c>
      <c r="M630">
        <v>6</v>
      </c>
      <c r="N630" s="7" t="s">
        <v>55</v>
      </c>
      <c r="O630" t="s">
        <v>36</v>
      </c>
      <c r="P630" t="s">
        <v>5595</v>
      </c>
      <c r="Q630" t="s">
        <v>191</v>
      </c>
      <c r="R630" t="s">
        <v>808</v>
      </c>
    </row>
    <row r="631" spans="1:18" hidden="1">
      <c r="A631">
        <v>7</v>
      </c>
      <c r="B631" s="4" t="s">
        <v>5586</v>
      </c>
      <c r="C631" s="4" t="s">
        <v>5587</v>
      </c>
      <c r="D631" s="4" t="s">
        <v>5596</v>
      </c>
      <c r="E631" s="4" t="s">
        <v>5804</v>
      </c>
      <c r="F631" t="s">
        <v>19</v>
      </c>
      <c r="G631" t="s">
        <v>114</v>
      </c>
      <c r="H631" t="s">
        <v>21</v>
      </c>
      <c r="I631">
        <v>9</v>
      </c>
      <c r="J631" s="5">
        <v>3.4000000000000002E-2</v>
      </c>
      <c r="K631" t="s">
        <v>115</v>
      </c>
      <c r="L631" s="6">
        <v>42461</v>
      </c>
      <c r="M631">
        <v>4</v>
      </c>
      <c r="N631" s="7" t="s">
        <v>23</v>
      </c>
      <c r="O631" t="s">
        <v>36</v>
      </c>
      <c r="P631" t="s">
        <v>5597</v>
      </c>
      <c r="Q631" t="s">
        <v>191</v>
      </c>
      <c r="R631" t="s">
        <v>641</v>
      </c>
    </row>
    <row r="632" spans="1:18" hidden="1">
      <c r="A632">
        <v>7</v>
      </c>
      <c r="B632" s="4" t="s">
        <v>5586</v>
      </c>
      <c r="C632" s="4" t="s">
        <v>5587</v>
      </c>
      <c r="D632" s="4" t="s">
        <v>5596</v>
      </c>
      <c r="E632" s="4" t="s">
        <v>5804</v>
      </c>
      <c r="F632" t="s">
        <v>6070</v>
      </c>
      <c r="G632" t="s">
        <v>612</v>
      </c>
      <c r="H632" t="s">
        <v>53</v>
      </c>
      <c r="I632" t="s">
        <v>53</v>
      </c>
      <c r="J632" s="5" t="s">
        <v>53</v>
      </c>
      <c r="K632" t="s">
        <v>319</v>
      </c>
      <c r="L632" s="6">
        <v>42583</v>
      </c>
      <c r="M632">
        <v>8</v>
      </c>
      <c r="N632" s="7" t="s">
        <v>55</v>
      </c>
      <c r="O632" t="s">
        <v>36</v>
      </c>
      <c r="P632" t="s">
        <v>5601</v>
      </c>
      <c r="Q632" t="s">
        <v>191</v>
      </c>
      <c r="R632" t="s">
        <v>641</v>
      </c>
    </row>
    <row r="633" spans="1:18" hidden="1">
      <c r="A633">
        <v>7</v>
      </c>
      <c r="B633" s="4" t="s">
        <v>5586</v>
      </c>
      <c r="C633" s="4" t="s">
        <v>5587</v>
      </c>
      <c r="D633" s="4" t="s">
        <v>5596</v>
      </c>
      <c r="E633" s="4" t="s">
        <v>5804</v>
      </c>
      <c r="F633" t="s">
        <v>6070</v>
      </c>
      <c r="G633" t="s">
        <v>612</v>
      </c>
      <c r="H633" t="s">
        <v>53</v>
      </c>
      <c r="I633" t="s">
        <v>53</v>
      </c>
      <c r="J633" s="5" t="s">
        <v>53</v>
      </c>
      <c r="K633" t="s">
        <v>477</v>
      </c>
      <c r="L633" s="6">
        <v>42705</v>
      </c>
      <c r="M633">
        <v>12</v>
      </c>
      <c r="N633" s="7" t="s">
        <v>30</v>
      </c>
      <c r="O633" t="s">
        <v>36</v>
      </c>
      <c r="P633" t="s">
        <v>5602</v>
      </c>
      <c r="Q633" t="s">
        <v>191</v>
      </c>
      <c r="R633" t="s">
        <v>641</v>
      </c>
    </row>
    <row r="634" spans="1:18" hidden="1">
      <c r="A634">
        <v>7</v>
      </c>
      <c r="B634" s="4" t="s">
        <v>5586</v>
      </c>
      <c r="C634" s="4" t="s">
        <v>5587</v>
      </c>
      <c r="D634" s="4" t="s">
        <v>5596</v>
      </c>
      <c r="E634" s="4" t="s">
        <v>5804</v>
      </c>
      <c r="F634" t="s">
        <v>19</v>
      </c>
      <c r="G634" t="s">
        <v>114</v>
      </c>
      <c r="H634" t="s">
        <v>21</v>
      </c>
      <c r="I634">
        <v>9</v>
      </c>
      <c r="J634" s="5">
        <v>3.4000000000000002E-2</v>
      </c>
      <c r="K634" t="s">
        <v>422</v>
      </c>
      <c r="L634" s="6">
        <v>42736</v>
      </c>
      <c r="M634">
        <v>1</v>
      </c>
      <c r="N634" s="7" t="s">
        <v>30</v>
      </c>
      <c r="O634" t="s">
        <v>36</v>
      </c>
      <c r="P634" t="s">
        <v>5603</v>
      </c>
      <c r="Q634" t="s">
        <v>191</v>
      </c>
      <c r="R634" t="s">
        <v>641</v>
      </c>
    </row>
    <row r="635" spans="1:18" hidden="1">
      <c r="A635">
        <v>7</v>
      </c>
      <c r="B635" s="4" t="s">
        <v>5586</v>
      </c>
      <c r="C635" s="4" t="s">
        <v>5587</v>
      </c>
      <c r="D635" s="4" t="s">
        <v>5596</v>
      </c>
      <c r="E635" s="4" t="s">
        <v>5804</v>
      </c>
      <c r="F635" t="s">
        <v>19</v>
      </c>
      <c r="G635" t="s">
        <v>123</v>
      </c>
      <c r="H635" t="s">
        <v>53</v>
      </c>
      <c r="I635" t="s">
        <v>53</v>
      </c>
      <c r="J635" s="5" t="s">
        <v>53</v>
      </c>
      <c r="K635" t="s">
        <v>87</v>
      </c>
      <c r="L635" s="6">
        <v>43040</v>
      </c>
      <c r="M635">
        <v>11</v>
      </c>
      <c r="N635" s="7" t="s">
        <v>23</v>
      </c>
      <c r="O635" t="s">
        <v>36</v>
      </c>
      <c r="P635" t="s">
        <v>5604</v>
      </c>
      <c r="Q635" t="s">
        <v>191</v>
      </c>
      <c r="R635" t="s">
        <v>641</v>
      </c>
    </row>
    <row r="636" spans="1:18" hidden="1">
      <c r="A636">
        <v>7</v>
      </c>
      <c r="B636" s="4" t="s">
        <v>5586</v>
      </c>
      <c r="C636" s="4" t="s">
        <v>5587</v>
      </c>
      <c r="D636" s="4" t="s">
        <v>5596</v>
      </c>
      <c r="E636" s="4" t="s">
        <v>5804</v>
      </c>
      <c r="F636" t="s">
        <v>19</v>
      </c>
      <c r="G636" t="s">
        <v>123</v>
      </c>
      <c r="H636" t="s">
        <v>53</v>
      </c>
      <c r="I636" t="s">
        <v>53</v>
      </c>
      <c r="J636" s="5" t="s">
        <v>53</v>
      </c>
      <c r="K636" t="s">
        <v>29</v>
      </c>
      <c r="L636" s="6">
        <v>43070</v>
      </c>
      <c r="M636">
        <v>12</v>
      </c>
      <c r="N636" s="7" t="s">
        <v>30</v>
      </c>
      <c r="O636" t="s">
        <v>36</v>
      </c>
      <c r="P636" t="s">
        <v>5605</v>
      </c>
      <c r="Q636" t="s">
        <v>191</v>
      </c>
      <c r="R636" t="s">
        <v>641</v>
      </c>
    </row>
    <row r="637" spans="1:18" hidden="1">
      <c r="A637">
        <v>7</v>
      </c>
      <c r="B637" s="4" t="s">
        <v>5586</v>
      </c>
      <c r="C637" s="4" t="s">
        <v>5587</v>
      </c>
      <c r="D637" s="4" t="s">
        <v>5596</v>
      </c>
      <c r="E637" s="4" t="s">
        <v>5804</v>
      </c>
      <c r="F637" t="s">
        <v>6070</v>
      </c>
      <c r="G637" t="s">
        <v>612</v>
      </c>
      <c r="H637" t="s">
        <v>53</v>
      </c>
      <c r="I637" t="s">
        <v>53</v>
      </c>
      <c r="J637" s="5" t="s">
        <v>53</v>
      </c>
      <c r="K637" t="s">
        <v>292</v>
      </c>
      <c r="L637" s="6">
        <v>43191</v>
      </c>
      <c r="M637">
        <v>4</v>
      </c>
      <c r="N637" s="7" t="s">
        <v>23</v>
      </c>
      <c r="O637" t="s">
        <v>36</v>
      </c>
      <c r="P637" t="s">
        <v>5606</v>
      </c>
      <c r="Q637" t="s">
        <v>191</v>
      </c>
      <c r="R637" t="s">
        <v>641</v>
      </c>
    </row>
    <row r="638" spans="1:18" hidden="1">
      <c r="A638">
        <v>7</v>
      </c>
      <c r="B638" s="4" t="s">
        <v>5586</v>
      </c>
      <c r="C638" s="4" t="s">
        <v>5587</v>
      </c>
      <c r="D638" s="4" t="s">
        <v>5596</v>
      </c>
      <c r="E638" s="4" t="s">
        <v>5804</v>
      </c>
      <c r="F638" t="s">
        <v>6070</v>
      </c>
      <c r="G638" t="s">
        <v>612</v>
      </c>
      <c r="H638" t="s">
        <v>53</v>
      </c>
      <c r="I638" t="s">
        <v>53</v>
      </c>
      <c r="J638" s="5" t="s">
        <v>53</v>
      </c>
      <c r="K638" t="s">
        <v>295</v>
      </c>
      <c r="L638" s="6">
        <v>43221</v>
      </c>
      <c r="M638">
        <v>5</v>
      </c>
      <c r="N638" s="7" t="s">
        <v>23</v>
      </c>
      <c r="O638" t="s">
        <v>36</v>
      </c>
      <c r="P638" t="s">
        <v>5607</v>
      </c>
      <c r="Q638" t="s">
        <v>191</v>
      </c>
      <c r="R638" t="s">
        <v>641</v>
      </c>
    </row>
    <row r="639" spans="1:18" hidden="1">
      <c r="A639">
        <v>7</v>
      </c>
      <c r="B639" s="4" t="s">
        <v>5586</v>
      </c>
      <c r="C639" s="4" t="s">
        <v>5587</v>
      </c>
      <c r="D639" s="4" t="s">
        <v>5596</v>
      </c>
      <c r="E639" s="4" t="s">
        <v>5804</v>
      </c>
      <c r="F639" t="s">
        <v>6070</v>
      </c>
      <c r="G639" t="s">
        <v>612</v>
      </c>
      <c r="H639" t="s">
        <v>53</v>
      </c>
      <c r="I639" t="s">
        <v>53</v>
      </c>
      <c r="J639" s="5" t="s">
        <v>53</v>
      </c>
      <c r="K639" t="s">
        <v>295</v>
      </c>
      <c r="L639" s="6">
        <v>43221</v>
      </c>
      <c r="M639">
        <v>5</v>
      </c>
      <c r="N639" s="7" t="s">
        <v>23</v>
      </c>
      <c r="O639" t="s">
        <v>36</v>
      </c>
      <c r="P639" t="s">
        <v>5608</v>
      </c>
      <c r="Q639" t="s">
        <v>191</v>
      </c>
      <c r="R639" t="s">
        <v>641</v>
      </c>
    </row>
    <row r="640" spans="1:18" hidden="1">
      <c r="A640">
        <v>7</v>
      </c>
      <c r="B640" s="4" t="s">
        <v>5586</v>
      </c>
      <c r="C640" s="4" t="s">
        <v>5587</v>
      </c>
      <c r="D640" s="4" t="s">
        <v>5596</v>
      </c>
      <c r="E640" s="4" t="s">
        <v>5804</v>
      </c>
      <c r="F640" t="s">
        <v>19</v>
      </c>
      <c r="G640" t="s">
        <v>114</v>
      </c>
      <c r="H640" t="s">
        <v>21</v>
      </c>
      <c r="I640">
        <v>9</v>
      </c>
      <c r="J640" s="5">
        <v>3.4000000000000002E-2</v>
      </c>
      <c r="K640" t="s">
        <v>295</v>
      </c>
      <c r="L640" s="6">
        <v>43221</v>
      </c>
      <c r="M640">
        <v>5</v>
      </c>
      <c r="N640" s="7" t="s">
        <v>23</v>
      </c>
      <c r="O640" t="s">
        <v>36</v>
      </c>
      <c r="P640" t="s">
        <v>5609</v>
      </c>
      <c r="Q640" t="s">
        <v>191</v>
      </c>
      <c r="R640" t="s">
        <v>641</v>
      </c>
    </row>
    <row r="641" spans="1:18" hidden="1">
      <c r="A641">
        <v>7</v>
      </c>
      <c r="B641" s="4" t="s">
        <v>5586</v>
      </c>
      <c r="C641" s="4" t="s">
        <v>5587</v>
      </c>
      <c r="D641" s="4" t="s">
        <v>5596</v>
      </c>
      <c r="E641" s="4" t="s">
        <v>5804</v>
      </c>
      <c r="F641" t="s">
        <v>19</v>
      </c>
      <c r="G641" t="s">
        <v>20</v>
      </c>
      <c r="H641" t="s">
        <v>21</v>
      </c>
      <c r="I641">
        <v>5</v>
      </c>
      <c r="J641" s="5">
        <v>4.9000000000000002E-2</v>
      </c>
      <c r="K641" t="s">
        <v>797</v>
      </c>
      <c r="L641" s="6">
        <v>43252</v>
      </c>
      <c r="M641">
        <v>6</v>
      </c>
      <c r="N641" s="7" t="s">
        <v>55</v>
      </c>
      <c r="O641" t="s">
        <v>36</v>
      </c>
      <c r="P641" t="s">
        <v>5610</v>
      </c>
      <c r="Q641" t="s">
        <v>5611</v>
      </c>
      <c r="R641" t="s">
        <v>641</v>
      </c>
    </row>
    <row r="642" spans="1:18" hidden="1">
      <c r="A642">
        <v>7</v>
      </c>
      <c r="B642" s="4" t="s">
        <v>5586</v>
      </c>
      <c r="C642" s="4" t="s">
        <v>5587</v>
      </c>
      <c r="D642" s="4" t="s">
        <v>5596</v>
      </c>
      <c r="E642" s="4" t="s">
        <v>5804</v>
      </c>
      <c r="F642" t="s">
        <v>19</v>
      </c>
      <c r="G642" t="s">
        <v>114</v>
      </c>
      <c r="H642" t="s">
        <v>21</v>
      </c>
      <c r="I642">
        <v>9</v>
      </c>
      <c r="J642" s="5">
        <v>3.4000000000000002E-2</v>
      </c>
      <c r="K642" t="s">
        <v>159</v>
      </c>
      <c r="L642" s="6">
        <v>43586</v>
      </c>
      <c r="M642">
        <v>5</v>
      </c>
      <c r="N642" s="7" t="s">
        <v>23</v>
      </c>
      <c r="O642" t="s">
        <v>36</v>
      </c>
      <c r="P642" t="s">
        <v>5612</v>
      </c>
      <c r="Q642" t="s">
        <v>191</v>
      </c>
      <c r="R642" t="s">
        <v>641</v>
      </c>
    </row>
    <row r="643" spans="1:18" hidden="1">
      <c r="A643">
        <v>7</v>
      </c>
      <c r="B643" s="4" t="s">
        <v>5586</v>
      </c>
      <c r="C643" s="4" t="s">
        <v>5587</v>
      </c>
      <c r="D643" s="4" t="s">
        <v>5596</v>
      </c>
      <c r="E643" s="4" t="s">
        <v>5804</v>
      </c>
      <c r="F643" t="s">
        <v>19</v>
      </c>
      <c r="G643" t="s">
        <v>114</v>
      </c>
      <c r="H643" t="s">
        <v>21</v>
      </c>
      <c r="I643">
        <v>9</v>
      </c>
      <c r="J643" s="5">
        <v>3.4000000000000002E-2</v>
      </c>
      <c r="K643" t="s">
        <v>164</v>
      </c>
      <c r="L643" s="6">
        <v>43617</v>
      </c>
      <c r="M643">
        <v>6</v>
      </c>
      <c r="N643" s="7" t="s">
        <v>55</v>
      </c>
      <c r="O643" t="s">
        <v>31</v>
      </c>
      <c r="P643" t="s">
        <v>5613</v>
      </c>
      <c r="Q643" t="s">
        <v>5614</v>
      </c>
      <c r="R643" t="s">
        <v>871</v>
      </c>
    </row>
    <row r="644" spans="1:18" hidden="1">
      <c r="A644">
        <v>7</v>
      </c>
      <c r="B644" s="4" t="s">
        <v>5586</v>
      </c>
      <c r="C644" s="4" t="s">
        <v>5587</v>
      </c>
      <c r="D644" s="4" t="s">
        <v>5596</v>
      </c>
      <c r="E644" s="4" t="s">
        <v>5804</v>
      </c>
      <c r="F644" t="s">
        <v>6070</v>
      </c>
      <c r="G644" t="s">
        <v>612</v>
      </c>
      <c r="H644" t="s">
        <v>53</v>
      </c>
      <c r="I644" t="s">
        <v>53</v>
      </c>
      <c r="J644" s="5" t="s">
        <v>53</v>
      </c>
      <c r="K644" t="s">
        <v>304</v>
      </c>
      <c r="L644" s="6">
        <v>43647</v>
      </c>
      <c r="M644">
        <v>7</v>
      </c>
      <c r="N644" s="7" t="s">
        <v>55</v>
      </c>
      <c r="O644" t="s">
        <v>36</v>
      </c>
      <c r="P644" t="s">
        <v>5615</v>
      </c>
      <c r="Q644" t="s">
        <v>191</v>
      </c>
      <c r="R644" t="s">
        <v>641</v>
      </c>
    </row>
    <row r="645" spans="1:18" hidden="1">
      <c r="A645">
        <v>7</v>
      </c>
      <c r="B645" s="4" t="s">
        <v>5586</v>
      </c>
      <c r="C645" s="4" t="s">
        <v>5587</v>
      </c>
      <c r="D645" s="4" t="s">
        <v>5596</v>
      </c>
      <c r="E645" s="4" t="s">
        <v>5804</v>
      </c>
      <c r="F645" t="s">
        <v>19</v>
      </c>
      <c r="G645" t="s">
        <v>114</v>
      </c>
      <c r="H645" t="s">
        <v>21</v>
      </c>
      <c r="I645">
        <v>9</v>
      </c>
      <c r="J645" s="5">
        <v>3.4000000000000002E-2</v>
      </c>
      <c r="K645" t="s">
        <v>839</v>
      </c>
      <c r="L645" s="6">
        <v>43800</v>
      </c>
      <c r="M645">
        <v>12</v>
      </c>
      <c r="N645" s="7" t="s">
        <v>30</v>
      </c>
      <c r="O645" t="s">
        <v>36</v>
      </c>
      <c r="P645" t="s">
        <v>5616</v>
      </c>
      <c r="Q645" t="s">
        <v>191</v>
      </c>
      <c r="R645" t="s">
        <v>641</v>
      </c>
    </row>
    <row r="646" spans="1:18" hidden="1">
      <c r="A646">
        <v>7</v>
      </c>
      <c r="B646" s="4" t="s">
        <v>5586</v>
      </c>
      <c r="C646" s="4" t="s">
        <v>5587</v>
      </c>
      <c r="D646" s="4" t="s">
        <v>5596</v>
      </c>
      <c r="E646" s="4" t="s">
        <v>5804</v>
      </c>
      <c r="F646" t="s">
        <v>19</v>
      </c>
      <c r="G646" t="s">
        <v>114</v>
      </c>
      <c r="H646" t="s">
        <v>21</v>
      </c>
      <c r="I646">
        <v>9</v>
      </c>
      <c r="J646" s="5">
        <v>3.4000000000000002E-2</v>
      </c>
      <c r="K646" t="s">
        <v>539</v>
      </c>
      <c r="L646" s="6">
        <v>43922</v>
      </c>
      <c r="M646">
        <v>4</v>
      </c>
      <c r="N646" s="7" t="s">
        <v>23</v>
      </c>
      <c r="O646" t="s">
        <v>36</v>
      </c>
      <c r="P646" t="s">
        <v>5620</v>
      </c>
      <c r="Q646" t="s">
        <v>191</v>
      </c>
      <c r="R646" t="s">
        <v>641</v>
      </c>
    </row>
    <row r="647" spans="1:18" hidden="1">
      <c r="A647">
        <v>7</v>
      </c>
      <c r="B647" s="4" t="s">
        <v>5586</v>
      </c>
      <c r="C647" s="4" t="s">
        <v>5587</v>
      </c>
      <c r="D647" s="4" t="s">
        <v>5596</v>
      </c>
      <c r="E647" s="4" t="s">
        <v>5804</v>
      </c>
      <c r="F647" t="s">
        <v>19</v>
      </c>
      <c r="G647" t="s">
        <v>123</v>
      </c>
      <c r="H647" t="s">
        <v>53</v>
      </c>
      <c r="I647" t="s">
        <v>53</v>
      </c>
      <c r="J647" s="5" t="s">
        <v>53</v>
      </c>
      <c r="K647" t="s">
        <v>251</v>
      </c>
      <c r="L647" s="6">
        <v>43952</v>
      </c>
      <c r="M647">
        <v>5</v>
      </c>
      <c r="N647" s="7" t="s">
        <v>23</v>
      </c>
      <c r="O647" t="s">
        <v>36</v>
      </c>
      <c r="P647" t="s">
        <v>5621</v>
      </c>
      <c r="Q647" t="s">
        <v>191</v>
      </c>
      <c r="R647" t="s">
        <v>1644</v>
      </c>
    </row>
    <row r="648" spans="1:18" hidden="1">
      <c r="A648">
        <v>7</v>
      </c>
      <c r="B648" s="4" t="s">
        <v>5586</v>
      </c>
      <c r="C648" s="4" t="s">
        <v>5587</v>
      </c>
      <c r="D648" s="4" t="s">
        <v>5596</v>
      </c>
      <c r="E648" s="4" t="s">
        <v>5804</v>
      </c>
      <c r="F648" t="s">
        <v>19</v>
      </c>
      <c r="G648" t="s">
        <v>20</v>
      </c>
      <c r="H648" t="s">
        <v>21</v>
      </c>
      <c r="I648">
        <v>5</v>
      </c>
      <c r="J648" s="5">
        <v>4.9000000000000002E-2</v>
      </c>
      <c r="K648" t="s">
        <v>171</v>
      </c>
      <c r="L648" s="6">
        <v>44013</v>
      </c>
      <c r="M648">
        <v>7</v>
      </c>
      <c r="N648" s="7" t="s">
        <v>55</v>
      </c>
      <c r="O648" t="s">
        <v>223</v>
      </c>
      <c r="P648" t="s">
        <v>5622</v>
      </c>
      <c r="Q648" t="s">
        <v>5623</v>
      </c>
      <c r="R648" t="s">
        <v>641</v>
      </c>
    </row>
    <row r="649" spans="1:18" hidden="1">
      <c r="A649">
        <v>7</v>
      </c>
      <c r="B649" s="4" t="s">
        <v>5586</v>
      </c>
      <c r="C649" s="4" t="s">
        <v>5587</v>
      </c>
      <c r="D649" s="4" t="s">
        <v>5596</v>
      </c>
      <c r="E649" s="4" t="s">
        <v>5804</v>
      </c>
      <c r="F649" t="s">
        <v>19</v>
      </c>
      <c r="G649" t="s">
        <v>114</v>
      </c>
      <c r="H649" t="s">
        <v>21</v>
      </c>
      <c r="I649">
        <v>9</v>
      </c>
      <c r="J649" s="5">
        <v>3.4000000000000002E-2</v>
      </c>
      <c r="K649" t="s">
        <v>102</v>
      </c>
      <c r="L649" s="6">
        <v>44287</v>
      </c>
      <c r="M649">
        <v>4</v>
      </c>
      <c r="N649" s="7" t="s">
        <v>23</v>
      </c>
      <c r="O649" t="s">
        <v>36</v>
      </c>
      <c r="P649" t="s">
        <v>5627</v>
      </c>
      <c r="Q649" t="s">
        <v>191</v>
      </c>
      <c r="R649" t="s">
        <v>641</v>
      </c>
    </row>
    <row r="650" spans="1:18" hidden="1">
      <c r="A650">
        <v>7</v>
      </c>
      <c r="B650" s="4" t="s">
        <v>5586</v>
      </c>
      <c r="C650" s="4" t="s">
        <v>5587</v>
      </c>
      <c r="D650" s="4" t="s">
        <v>5596</v>
      </c>
      <c r="E650" s="4" t="s">
        <v>5804</v>
      </c>
      <c r="F650" t="s">
        <v>19</v>
      </c>
      <c r="G650" t="s">
        <v>20</v>
      </c>
      <c r="H650" t="s">
        <v>21</v>
      </c>
      <c r="I650">
        <v>5</v>
      </c>
      <c r="J650" s="5">
        <v>4.9000000000000002E-2</v>
      </c>
      <c r="K650" t="s">
        <v>104</v>
      </c>
      <c r="L650" s="6">
        <v>44317</v>
      </c>
      <c r="M650">
        <v>5</v>
      </c>
      <c r="N650" s="7" t="s">
        <v>23</v>
      </c>
      <c r="O650" t="s">
        <v>36</v>
      </c>
      <c r="P650" t="s">
        <v>5628</v>
      </c>
      <c r="Q650" t="s">
        <v>191</v>
      </c>
      <c r="R650" t="s">
        <v>641</v>
      </c>
    </row>
    <row r="651" spans="1:18" hidden="1">
      <c r="A651">
        <v>7</v>
      </c>
      <c r="B651" s="4" t="s">
        <v>5586</v>
      </c>
      <c r="C651" s="4" t="s">
        <v>5587</v>
      </c>
      <c r="D651" s="4" t="s">
        <v>5596</v>
      </c>
      <c r="E651" s="4" t="s">
        <v>5804</v>
      </c>
      <c r="F651" t="s">
        <v>19</v>
      </c>
      <c r="G651" t="s">
        <v>114</v>
      </c>
      <c r="H651" t="s">
        <v>21</v>
      </c>
      <c r="I651">
        <v>9</v>
      </c>
      <c r="J651" s="5">
        <v>3.4000000000000002E-2</v>
      </c>
      <c r="K651" t="s">
        <v>489</v>
      </c>
      <c r="L651" s="6">
        <v>44409</v>
      </c>
      <c r="M651">
        <v>8</v>
      </c>
      <c r="N651" s="7" t="s">
        <v>55</v>
      </c>
      <c r="O651" t="s">
        <v>36</v>
      </c>
      <c r="P651" t="s">
        <v>5629</v>
      </c>
      <c r="Q651" t="s">
        <v>191</v>
      </c>
      <c r="R651" t="s">
        <v>641</v>
      </c>
    </row>
    <row r="652" spans="1:18" hidden="1">
      <c r="A652">
        <v>7</v>
      </c>
      <c r="B652" s="4" t="s">
        <v>5586</v>
      </c>
      <c r="C652" s="4" t="s">
        <v>5587</v>
      </c>
      <c r="D652" s="4" t="s">
        <v>5596</v>
      </c>
      <c r="E652" s="4" t="s">
        <v>5804</v>
      </c>
      <c r="F652" t="s">
        <v>19</v>
      </c>
      <c r="G652" t="s">
        <v>123</v>
      </c>
      <c r="H652" t="s">
        <v>53</v>
      </c>
      <c r="I652" t="s">
        <v>53</v>
      </c>
      <c r="J652" s="5" t="s">
        <v>53</v>
      </c>
      <c r="K652" t="s">
        <v>645</v>
      </c>
      <c r="L652" s="6">
        <v>44440</v>
      </c>
      <c r="M652">
        <v>9</v>
      </c>
      <c r="N652" s="7" t="s">
        <v>23</v>
      </c>
      <c r="O652" t="s">
        <v>36</v>
      </c>
      <c r="P652" t="s">
        <v>5630</v>
      </c>
      <c r="Q652" t="s">
        <v>191</v>
      </c>
      <c r="R652" t="s">
        <v>641</v>
      </c>
    </row>
    <row r="653" spans="1:18" hidden="1">
      <c r="A653">
        <v>7</v>
      </c>
      <c r="B653" s="4" t="s">
        <v>5586</v>
      </c>
      <c r="C653" s="4" t="s">
        <v>5587</v>
      </c>
      <c r="D653" s="4" t="s">
        <v>5596</v>
      </c>
      <c r="E653" s="4" t="s">
        <v>5804</v>
      </c>
      <c r="F653" t="s">
        <v>19</v>
      </c>
      <c r="G653" t="s">
        <v>123</v>
      </c>
      <c r="H653" t="s">
        <v>53</v>
      </c>
      <c r="I653" t="s">
        <v>53</v>
      </c>
      <c r="J653" s="5" t="s">
        <v>53</v>
      </c>
      <c r="K653" t="s">
        <v>645</v>
      </c>
      <c r="L653" s="6">
        <v>44440</v>
      </c>
      <c r="M653">
        <v>9</v>
      </c>
      <c r="N653" s="7" t="s">
        <v>23</v>
      </c>
      <c r="O653" t="s">
        <v>36</v>
      </c>
      <c r="P653" t="s">
        <v>5631</v>
      </c>
      <c r="Q653" t="s">
        <v>191</v>
      </c>
      <c r="R653" t="s">
        <v>641</v>
      </c>
    </row>
    <row r="654" spans="1:18" hidden="1">
      <c r="A654">
        <v>7</v>
      </c>
      <c r="B654" s="4" t="s">
        <v>5586</v>
      </c>
      <c r="C654" s="4" t="s">
        <v>5632</v>
      </c>
      <c r="D654" s="4" t="s">
        <v>5633</v>
      </c>
      <c r="E654" s="4" t="s">
        <v>5804</v>
      </c>
      <c r="F654" t="s">
        <v>19</v>
      </c>
      <c r="G654" t="s">
        <v>28</v>
      </c>
      <c r="H654" t="s">
        <v>21</v>
      </c>
      <c r="I654">
        <v>12</v>
      </c>
      <c r="J654" s="5">
        <v>2.3E-2</v>
      </c>
      <c r="K654" t="s">
        <v>60</v>
      </c>
      <c r="L654" s="6">
        <v>42370</v>
      </c>
      <c r="M654">
        <v>1</v>
      </c>
      <c r="N654" s="7" t="s">
        <v>30</v>
      </c>
      <c r="O654" t="s">
        <v>36</v>
      </c>
      <c r="P654" t="s">
        <v>5634</v>
      </c>
      <c r="Q654" t="s">
        <v>5635</v>
      </c>
      <c r="R654" t="s">
        <v>5636</v>
      </c>
    </row>
    <row r="655" spans="1:18" hidden="1">
      <c r="A655">
        <v>7</v>
      </c>
      <c r="B655" s="4" t="s">
        <v>5586</v>
      </c>
      <c r="C655" s="4" t="s">
        <v>5632</v>
      </c>
      <c r="D655" s="4" t="s">
        <v>5633</v>
      </c>
      <c r="E655" s="4" t="s">
        <v>5804</v>
      </c>
      <c r="F655" t="s">
        <v>19</v>
      </c>
      <c r="G655" t="s">
        <v>114</v>
      </c>
      <c r="H655" t="s">
        <v>21</v>
      </c>
      <c r="I655">
        <v>9</v>
      </c>
      <c r="J655" s="5">
        <v>3.4000000000000002E-2</v>
      </c>
      <c r="K655" t="s">
        <v>701</v>
      </c>
      <c r="L655" s="6">
        <v>42491</v>
      </c>
      <c r="M655">
        <v>5</v>
      </c>
      <c r="N655" s="7" t="s">
        <v>23</v>
      </c>
      <c r="O655" t="s">
        <v>66</v>
      </c>
      <c r="P655" t="s">
        <v>5637</v>
      </c>
      <c r="Q655" t="s">
        <v>5638</v>
      </c>
      <c r="R655" t="s">
        <v>5639</v>
      </c>
    </row>
    <row r="656" spans="1:18" hidden="1">
      <c r="A656">
        <v>7</v>
      </c>
      <c r="B656" s="4" t="s">
        <v>5586</v>
      </c>
      <c r="C656" s="4" t="s">
        <v>5632</v>
      </c>
      <c r="D656" s="4" t="s">
        <v>5633</v>
      </c>
      <c r="E656" s="4" t="s">
        <v>5804</v>
      </c>
      <c r="F656" t="s">
        <v>19</v>
      </c>
      <c r="G656" t="s">
        <v>873</v>
      </c>
      <c r="H656" t="s">
        <v>53</v>
      </c>
      <c r="I656" t="s">
        <v>53</v>
      </c>
      <c r="J656" s="5" t="s">
        <v>53</v>
      </c>
      <c r="K656" t="s">
        <v>218</v>
      </c>
      <c r="L656" s="6">
        <v>42614</v>
      </c>
      <c r="M656">
        <v>9</v>
      </c>
      <c r="N656" s="7" t="s">
        <v>23</v>
      </c>
      <c r="O656" t="s">
        <v>223</v>
      </c>
      <c r="P656" t="s">
        <v>5640</v>
      </c>
      <c r="Q656" t="s">
        <v>5641</v>
      </c>
      <c r="R656" t="s">
        <v>876</v>
      </c>
    </row>
    <row r="657" spans="1:18" hidden="1">
      <c r="A657">
        <v>7</v>
      </c>
      <c r="B657" s="4" t="s">
        <v>5586</v>
      </c>
      <c r="C657" s="4" t="s">
        <v>5632</v>
      </c>
      <c r="D657" s="4" t="s">
        <v>5633</v>
      </c>
      <c r="E657" s="4" t="s">
        <v>5804</v>
      </c>
      <c r="F657" t="s">
        <v>6070</v>
      </c>
      <c r="G657" t="s">
        <v>612</v>
      </c>
      <c r="H657" t="s">
        <v>53</v>
      </c>
      <c r="I657" t="s">
        <v>53</v>
      </c>
      <c r="J657" s="5" t="s">
        <v>53</v>
      </c>
      <c r="K657" t="s">
        <v>220</v>
      </c>
      <c r="L657" s="6">
        <v>42644</v>
      </c>
      <c r="M657">
        <v>10</v>
      </c>
      <c r="N657" s="7" t="s">
        <v>23</v>
      </c>
      <c r="O657" t="s">
        <v>36</v>
      </c>
      <c r="P657" t="s">
        <v>5642</v>
      </c>
      <c r="Q657" t="s">
        <v>5643</v>
      </c>
      <c r="R657" t="s">
        <v>5644</v>
      </c>
    </row>
    <row r="658" spans="1:18" hidden="1">
      <c r="A658">
        <v>7</v>
      </c>
      <c r="B658" s="4" t="s">
        <v>5586</v>
      </c>
      <c r="C658" s="4" t="s">
        <v>5632</v>
      </c>
      <c r="D658" s="4" t="s">
        <v>5633</v>
      </c>
      <c r="E658" s="4" t="s">
        <v>5804</v>
      </c>
      <c r="F658" t="s">
        <v>19</v>
      </c>
      <c r="G658" t="s">
        <v>114</v>
      </c>
      <c r="H658" t="s">
        <v>21</v>
      </c>
      <c r="I658">
        <v>9</v>
      </c>
      <c r="J658" s="5">
        <v>3.4000000000000002E-2</v>
      </c>
      <c r="K658" t="s">
        <v>422</v>
      </c>
      <c r="L658" s="6">
        <v>42736</v>
      </c>
      <c r="M658">
        <v>1</v>
      </c>
      <c r="N658" s="7" t="s">
        <v>30</v>
      </c>
      <c r="O658" t="s">
        <v>36</v>
      </c>
      <c r="P658" t="s">
        <v>5645</v>
      </c>
      <c r="Q658" t="s">
        <v>191</v>
      </c>
      <c r="R658" t="s">
        <v>808</v>
      </c>
    </row>
    <row r="659" spans="1:18" hidden="1">
      <c r="A659">
        <v>7</v>
      </c>
      <c r="B659" s="4" t="s">
        <v>5586</v>
      </c>
      <c r="C659" s="4" t="s">
        <v>5632</v>
      </c>
      <c r="D659" s="4" t="s">
        <v>5633</v>
      </c>
      <c r="E659" s="4" t="s">
        <v>5804</v>
      </c>
      <c r="F659" t="s">
        <v>6070</v>
      </c>
      <c r="G659" t="s">
        <v>612</v>
      </c>
      <c r="H659" t="s">
        <v>53</v>
      </c>
      <c r="I659" t="s">
        <v>53</v>
      </c>
      <c r="J659" s="5" t="s">
        <v>53</v>
      </c>
      <c r="K659" t="s">
        <v>128</v>
      </c>
      <c r="L659" s="6">
        <v>42795</v>
      </c>
      <c r="M659">
        <v>3</v>
      </c>
      <c r="N659" s="7" t="s">
        <v>23</v>
      </c>
      <c r="O659" t="s">
        <v>36</v>
      </c>
      <c r="P659" t="s">
        <v>5646</v>
      </c>
      <c r="Q659" t="s">
        <v>5643</v>
      </c>
      <c r="R659" t="s">
        <v>5644</v>
      </c>
    </row>
    <row r="660" spans="1:18" hidden="1">
      <c r="A660">
        <v>7</v>
      </c>
      <c r="B660" s="4" t="s">
        <v>5586</v>
      </c>
      <c r="C660" s="4" t="s">
        <v>5632</v>
      </c>
      <c r="D660" s="4" t="s">
        <v>5633</v>
      </c>
      <c r="E660" s="4" t="s">
        <v>5804</v>
      </c>
      <c r="F660" t="s">
        <v>19</v>
      </c>
      <c r="G660" t="s">
        <v>123</v>
      </c>
      <c r="H660" t="s">
        <v>53</v>
      </c>
      <c r="I660" t="s">
        <v>53</v>
      </c>
      <c r="J660" s="5" t="s">
        <v>53</v>
      </c>
      <c r="K660" t="s">
        <v>234</v>
      </c>
      <c r="L660" s="6">
        <v>42826</v>
      </c>
      <c r="M660">
        <v>4</v>
      </c>
      <c r="N660" s="7" t="s">
        <v>23</v>
      </c>
      <c r="O660" t="s">
        <v>88</v>
      </c>
      <c r="P660" t="s">
        <v>5647</v>
      </c>
      <c r="Q660" t="s">
        <v>5648</v>
      </c>
      <c r="R660" t="s">
        <v>5649</v>
      </c>
    </row>
    <row r="661" spans="1:18" hidden="1">
      <c r="A661">
        <v>7</v>
      </c>
      <c r="B661" s="4" t="s">
        <v>5586</v>
      </c>
      <c r="C661" s="4" t="s">
        <v>5632</v>
      </c>
      <c r="D661" s="4" t="s">
        <v>5633</v>
      </c>
      <c r="E661" s="4" t="s">
        <v>5804</v>
      </c>
      <c r="F661" t="s">
        <v>19</v>
      </c>
      <c r="G661" t="s">
        <v>123</v>
      </c>
      <c r="H661" t="s">
        <v>53</v>
      </c>
      <c r="I661" t="s">
        <v>53</v>
      </c>
      <c r="J661" s="5" t="s">
        <v>53</v>
      </c>
      <c r="K661" t="s">
        <v>76</v>
      </c>
      <c r="L661" s="6">
        <v>42856</v>
      </c>
      <c r="M661">
        <v>5</v>
      </c>
      <c r="N661" s="7" t="s">
        <v>23</v>
      </c>
      <c r="O661" t="s">
        <v>66</v>
      </c>
      <c r="P661" t="s">
        <v>5650</v>
      </c>
      <c r="Q661" t="s">
        <v>5651</v>
      </c>
      <c r="R661" t="s">
        <v>5652</v>
      </c>
    </row>
    <row r="662" spans="1:18" hidden="1">
      <c r="A662">
        <v>7</v>
      </c>
      <c r="B662" s="4" t="s">
        <v>5586</v>
      </c>
      <c r="C662" s="4" t="s">
        <v>5632</v>
      </c>
      <c r="D662" s="4" t="s">
        <v>5633</v>
      </c>
      <c r="E662" s="4" t="s">
        <v>5804</v>
      </c>
      <c r="F662" t="s">
        <v>19</v>
      </c>
      <c r="G662" t="s">
        <v>114</v>
      </c>
      <c r="H662" t="s">
        <v>21</v>
      </c>
      <c r="I662">
        <v>9</v>
      </c>
      <c r="J662" s="5">
        <v>3.4000000000000002E-2</v>
      </c>
      <c r="K662" t="s">
        <v>85</v>
      </c>
      <c r="L662" s="6">
        <v>43009</v>
      </c>
      <c r="M662">
        <v>10</v>
      </c>
      <c r="N662" s="7" t="s">
        <v>23</v>
      </c>
      <c r="O662" t="s">
        <v>36</v>
      </c>
      <c r="P662" t="s">
        <v>5653</v>
      </c>
      <c r="Q662" t="s">
        <v>191</v>
      </c>
      <c r="R662" t="s">
        <v>808</v>
      </c>
    </row>
    <row r="663" spans="1:18" hidden="1">
      <c r="A663">
        <v>7</v>
      </c>
      <c r="B663" s="4" t="s">
        <v>5586</v>
      </c>
      <c r="C663" s="4" t="s">
        <v>5632</v>
      </c>
      <c r="D663" s="4" t="s">
        <v>5633</v>
      </c>
      <c r="E663" s="4" t="s">
        <v>5804</v>
      </c>
      <c r="F663" t="s">
        <v>19</v>
      </c>
      <c r="G663" t="s">
        <v>114</v>
      </c>
      <c r="H663" t="s">
        <v>21</v>
      </c>
      <c r="I663">
        <v>9</v>
      </c>
      <c r="J663" s="5">
        <v>3.4000000000000002E-2</v>
      </c>
      <c r="K663" t="s">
        <v>87</v>
      </c>
      <c r="L663" s="6">
        <v>43040</v>
      </c>
      <c r="M663">
        <v>11</v>
      </c>
      <c r="N663" s="7" t="s">
        <v>23</v>
      </c>
      <c r="O663" t="s">
        <v>36</v>
      </c>
      <c r="P663" t="s">
        <v>5654</v>
      </c>
      <c r="Q663" t="s">
        <v>5655</v>
      </c>
      <c r="R663" t="s">
        <v>730</v>
      </c>
    </row>
    <row r="664" spans="1:18" hidden="1">
      <c r="A664">
        <v>7</v>
      </c>
      <c r="B664" s="4" t="s">
        <v>5586</v>
      </c>
      <c r="C664" s="4" t="s">
        <v>5632</v>
      </c>
      <c r="D664" s="4" t="s">
        <v>5633</v>
      </c>
      <c r="E664" s="4" t="s">
        <v>5804</v>
      </c>
      <c r="F664" t="s">
        <v>19</v>
      </c>
      <c r="G664" t="s">
        <v>20</v>
      </c>
      <c r="H664" t="s">
        <v>21</v>
      </c>
      <c r="I664">
        <v>5</v>
      </c>
      <c r="J664" s="5">
        <v>4.9000000000000002E-2</v>
      </c>
      <c r="K664" t="s">
        <v>298</v>
      </c>
      <c r="L664" s="6">
        <v>43344</v>
      </c>
      <c r="M664">
        <v>9</v>
      </c>
      <c r="N664" s="7" t="s">
        <v>23</v>
      </c>
      <c r="O664" t="s">
        <v>36</v>
      </c>
      <c r="P664" t="s">
        <v>5656</v>
      </c>
      <c r="Q664" t="s">
        <v>191</v>
      </c>
      <c r="R664" t="s">
        <v>641</v>
      </c>
    </row>
    <row r="665" spans="1:18" hidden="1">
      <c r="A665">
        <v>7</v>
      </c>
      <c r="B665" s="4" t="s">
        <v>5586</v>
      </c>
      <c r="C665" s="4" t="s">
        <v>5632</v>
      </c>
      <c r="D665" s="4" t="s">
        <v>5633</v>
      </c>
      <c r="E665" s="4" t="s">
        <v>5804</v>
      </c>
      <c r="F665" t="s">
        <v>19</v>
      </c>
      <c r="G665" t="s">
        <v>123</v>
      </c>
      <c r="H665" t="s">
        <v>53</v>
      </c>
      <c r="I665" t="s">
        <v>53</v>
      </c>
      <c r="J665" s="5" t="s">
        <v>53</v>
      </c>
      <c r="K665" t="s">
        <v>152</v>
      </c>
      <c r="L665" s="6">
        <v>43374</v>
      </c>
      <c r="M665">
        <v>10</v>
      </c>
      <c r="N665" s="7" t="s">
        <v>23</v>
      </c>
      <c r="O665" t="s">
        <v>36</v>
      </c>
      <c r="P665" t="s">
        <v>5657</v>
      </c>
      <c r="Q665" t="s">
        <v>5655</v>
      </c>
      <c r="R665" t="s">
        <v>730</v>
      </c>
    </row>
    <row r="666" spans="1:18" hidden="1">
      <c r="A666">
        <v>7</v>
      </c>
      <c r="B666" s="4" t="s">
        <v>5586</v>
      </c>
      <c r="C666" s="4" t="s">
        <v>5632</v>
      </c>
      <c r="D666" s="4" t="s">
        <v>5633</v>
      </c>
      <c r="E666" s="4" t="s">
        <v>5804</v>
      </c>
      <c r="F666" t="s">
        <v>6070</v>
      </c>
      <c r="G666" t="s">
        <v>612</v>
      </c>
      <c r="H666" t="s">
        <v>53</v>
      </c>
      <c r="I666" t="s">
        <v>53</v>
      </c>
      <c r="J666" s="5" t="s">
        <v>53</v>
      </c>
      <c r="K666" t="s">
        <v>482</v>
      </c>
      <c r="L666" s="6">
        <v>43435</v>
      </c>
      <c r="M666">
        <v>12</v>
      </c>
      <c r="N666" s="7" t="s">
        <v>30</v>
      </c>
      <c r="O666" t="s">
        <v>36</v>
      </c>
      <c r="P666" t="s">
        <v>5658</v>
      </c>
      <c r="Q666" t="s">
        <v>191</v>
      </c>
      <c r="R666" t="s">
        <v>641</v>
      </c>
    </row>
    <row r="667" spans="1:18" hidden="1">
      <c r="A667">
        <v>7</v>
      </c>
      <c r="B667" s="4" t="s">
        <v>5586</v>
      </c>
      <c r="C667" s="4" t="s">
        <v>5632</v>
      </c>
      <c r="D667" s="4" t="s">
        <v>5633</v>
      </c>
      <c r="E667" s="4" t="s">
        <v>5804</v>
      </c>
      <c r="F667" t="s">
        <v>6070</v>
      </c>
      <c r="G667" t="s">
        <v>612</v>
      </c>
      <c r="H667" t="s">
        <v>53</v>
      </c>
      <c r="I667" t="s">
        <v>53</v>
      </c>
      <c r="J667" s="5" t="s">
        <v>53</v>
      </c>
      <c r="K667" t="s">
        <v>395</v>
      </c>
      <c r="L667" s="6">
        <v>43497</v>
      </c>
      <c r="M667">
        <v>2</v>
      </c>
      <c r="N667" s="7" t="s">
        <v>30</v>
      </c>
      <c r="O667" t="s">
        <v>36</v>
      </c>
      <c r="P667" t="s">
        <v>5659</v>
      </c>
      <c r="Q667" t="s">
        <v>5655</v>
      </c>
      <c r="R667" t="s">
        <v>730</v>
      </c>
    </row>
    <row r="668" spans="1:18" hidden="1">
      <c r="A668">
        <v>7</v>
      </c>
      <c r="B668" s="4" t="s">
        <v>5586</v>
      </c>
      <c r="C668" s="4" t="s">
        <v>5632</v>
      </c>
      <c r="D668" s="4" t="s">
        <v>5633</v>
      </c>
      <c r="E668" s="4" t="s">
        <v>5804</v>
      </c>
      <c r="F668" t="s">
        <v>19</v>
      </c>
      <c r="G668" t="s">
        <v>20</v>
      </c>
      <c r="H668" t="s">
        <v>21</v>
      </c>
      <c r="I668">
        <v>5</v>
      </c>
      <c r="J668" s="5">
        <v>4.9000000000000002E-2</v>
      </c>
      <c r="K668" t="s">
        <v>159</v>
      </c>
      <c r="L668" s="6">
        <v>43586</v>
      </c>
      <c r="M668">
        <v>5</v>
      </c>
      <c r="N668" s="7" t="s">
        <v>23</v>
      </c>
      <c r="O668" t="s">
        <v>36</v>
      </c>
      <c r="P668" t="s">
        <v>5660</v>
      </c>
      <c r="Q668" t="s">
        <v>191</v>
      </c>
      <c r="R668" t="s">
        <v>641</v>
      </c>
    </row>
    <row r="669" spans="1:18" hidden="1">
      <c r="A669">
        <v>7</v>
      </c>
      <c r="B669" s="4" t="s">
        <v>5586</v>
      </c>
      <c r="C669" s="4" t="s">
        <v>5632</v>
      </c>
      <c r="D669" s="4" t="s">
        <v>5633</v>
      </c>
      <c r="E669" s="4" t="s">
        <v>5804</v>
      </c>
      <c r="F669" t="s">
        <v>19</v>
      </c>
      <c r="G669" t="s">
        <v>114</v>
      </c>
      <c r="H669" t="s">
        <v>21</v>
      </c>
      <c r="I669">
        <v>9</v>
      </c>
      <c r="J669" s="5">
        <v>3.4000000000000002E-2</v>
      </c>
      <c r="K669" t="s">
        <v>255</v>
      </c>
      <c r="L669" s="6">
        <v>43983</v>
      </c>
      <c r="M669">
        <v>6</v>
      </c>
      <c r="N669" s="7" t="s">
        <v>55</v>
      </c>
      <c r="O669" t="s">
        <v>36</v>
      </c>
      <c r="P669" t="s">
        <v>5667</v>
      </c>
      <c r="Q669" t="s">
        <v>191</v>
      </c>
      <c r="R669" t="s">
        <v>808</v>
      </c>
    </row>
    <row r="670" spans="1:18" hidden="1">
      <c r="A670">
        <v>7</v>
      </c>
      <c r="B670" s="4" t="s">
        <v>5586</v>
      </c>
      <c r="C670" s="4" t="s">
        <v>5632</v>
      </c>
      <c r="D670" s="4" t="s">
        <v>5633</v>
      </c>
      <c r="E670" s="4" t="s">
        <v>5804</v>
      </c>
      <c r="F670" t="s">
        <v>19</v>
      </c>
      <c r="G670" t="s">
        <v>20</v>
      </c>
      <c r="H670" t="s">
        <v>21</v>
      </c>
      <c r="I670">
        <v>5</v>
      </c>
      <c r="J670" s="5">
        <v>4.9000000000000002E-2</v>
      </c>
      <c r="K670" t="s">
        <v>171</v>
      </c>
      <c r="L670" s="6">
        <v>44013</v>
      </c>
      <c r="M670">
        <v>7</v>
      </c>
      <c r="N670" s="7" t="s">
        <v>55</v>
      </c>
      <c r="O670" t="s">
        <v>36</v>
      </c>
      <c r="P670" t="s">
        <v>5668</v>
      </c>
      <c r="Q670" t="s">
        <v>191</v>
      </c>
      <c r="R670" t="s">
        <v>641</v>
      </c>
    </row>
    <row r="671" spans="1:18" hidden="1">
      <c r="A671">
        <v>7</v>
      </c>
      <c r="B671" s="4" t="s">
        <v>5586</v>
      </c>
      <c r="C671" s="4" t="s">
        <v>5632</v>
      </c>
      <c r="D671" s="4" t="s">
        <v>5633</v>
      </c>
      <c r="E671" s="4" t="s">
        <v>5804</v>
      </c>
      <c r="F671" t="s">
        <v>19</v>
      </c>
      <c r="G671" t="s">
        <v>114</v>
      </c>
      <c r="H671" t="s">
        <v>21</v>
      </c>
      <c r="I671">
        <v>9</v>
      </c>
      <c r="J671" s="5">
        <v>3.4000000000000002E-2</v>
      </c>
      <c r="K671" t="s">
        <v>267</v>
      </c>
      <c r="L671" s="6">
        <v>44044</v>
      </c>
      <c r="M671">
        <v>8</v>
      </c>
      <c r="N671" s="7" t="s">
        <v>55</v>
      </c>
      <c r="O671" t="s">
        <v>36</v>
      </c>
      <c r="P671" t="s">
        <v>5669</v>
      </c>
      <c r="Q671" t="s">
        <v>5670</v>
      </c>
      <c r="R671" t="s">
        <v>5671</v>
      </c>
    </row>
    <row r="672" spans="1:18" hidden="1">
      <c r="A672">
        <v>7</v>
      </c>
      <c r="B672" s="4" t="s">
        <v>5586</v>
      </c>
      <c r="C672" s="4" t="s">
        <v>5632</v>
      </c>
      <c r="D672" s="4" t="s">
        <v>5633</v>
      </c>
      <c r="E672" s="4" t="s">
        <v>5804</v>
      </c>
      <c r="F672" t="s">
        <v>6070</v>
      </c>
      <c r="G672" t="s">
        <v>612</v>
      </c>
      <c r="H672" t="s">
        <v>53</v>
      </c>
      <c r="I672" t="s">
        <v>53</v>
      </c>
      <c r="J672" s="5" t="s">
        <v>53</v>
      </c>
      <c r="K672" t="s">
        <v>630</v>
      </c>
      <c r="L672" s="6">
        <v>44378</v>
      </c>
      <c r="M672">
        <v>7</v>
      </c>
      <c r="N672" s="7" t="s">
        <v>55</v>
      </c>
      <c r="O672" t="s">
        <v>31</v>
      </c>
      <c r="P672" t="s">
        <v>5675</v>
      </c>
      <c r="Q672" t="s">
        <v>5676</v>
      </c>
      <c r="R672" t="s">
        <v>5677</v>
      </c>
    </row>
    <row r="673" spans="1:18" hidden="1">
      <c r="A673">
        <v>7</v>
      </c>
      <c r="B673" s="4" t="s">
        <v>5586</v>
      </c>
      <c r="C673" s="4" t="s">
        <v>5632</v>
      </c>
      <c r="D673" s="4" t="s">
        <v>5633</v>
      </c>
      <c r="E673" s="4" t="s">
        <v>5804</v>
      </c>
      <c r="F673" t="s">
        <v>6070</v>
      </c>
      <c r="G673" t="s">
        <v>612</v>
      </c>
      <c r="H673" t="s">
        <v>53</v>
      </c>
      <c r="I673" t="s">
        <v>53</v>
      </c>
      <c r="J673" s="5" t="s">
        <v>53</v>
      </c>
      <c r="K673" t="s">
        <v>630</v>
      </c>
      <c r="L673" s="6">
        <v>44378</v>
      </c>
      <c r="M673">
        <v>7</v>
      </c>
      <c r="N673" s="7" t="s">
        <v>55</v>
      </c>
      <c r="O673" t="s">
        <v>36</v>
      </c>
      <c r="P673" t="s">
        <v>5678</v>
      </c>
      <c r="Q673" t="s">
        <v>5655</v>
      </c>
      <c r="R673" t="s">
        <v>730</v>
      </c>
    </row>
    <row r="674" spans="1:18" hidden="1">
      <c r="A674">
        <v>8</v>
      </c>
      <c r="B674" s="4" t="s">
        <v>5679</v>
      </c>
      <c r="C674" s="4" t="s">
        <v>5689</v>
      </c>
      <c r="D674" s="4" t="s">
        <v>5690</v>
      </c>
      <c r="E674" s="4" t="s">
        <v>5805</v>
      </c>
      <c r="F674" t="s">
        <v>19</v>
      </c>
      <c r="G674" t="s">
        <v>123</v>
      </c>
      <c r="H674" t="s">
        <v>53</v>
      </c>
      <c r="I674" t="s">
        <v>53</v>
      </c>
      <c r="J674" s="5" t="s">
        <v>53</v>
      </c>
      <c r="K674" t="s">
        <v>5704</v>
      </c>
      <c r="L674" s="6">
        <v>43344</v>
      </c>
      <c r="M674">
        <v>9</v>
      </c>
      <c r="N674" s="7" t="s">
        <v>23</v>
      </c>
      <c r="O674" t="s">
        <v>31</v>
      </c>
      <c r="P674" t="s">
        <v>5705</v>
      </c>
      <c r="Q674" t="s">
        <v>5706</v>
      </c>
      <c r="R674" t="s">
        <v>5707</v>
      </c>
    </row>
    <row r="675" spans="1:18" hidden="1">
      <c r="A675">
        <v>8</v>
      </c>
      <c r="B675" s="4" t="s">
        <v>5679</v>
      </c>
      <c r="C675" s="4" t="s">
        <v>5689</v>
      </c>
      <c r="D675" s="4" t="s">
        <v>5712</v>
      </c>
      <c r="E675" s="4" t="s">
        <v>5805</v>
      </c>
      <c r="F675" t="s">
        <v>19</v>
      </c>
      <c r="G675" t="s">
        <v>873</v>
      </c>
      <c r="H675" t="s">
        <v>53</v>
      </c>
      <c r="I675" t="s">
        <v>53</v>
      </c>
      <c r="J675" s="5" t="s">
        <v>53</v>
      </c>
      <c r="K675" t="s">
        <v>691</v>
      </c>
      <c r="L675" s="6">
        <v>43770</v>
      </c>
      <c r="M675">
        <v>11</v>
      </c>
      <c r="N675" s="7" t="s">
        <v>23</v>
      </c>
      <c r="O675" t="s">
        <v>31</v>
      </c>
      <c r="P675" t="s">
        <v>5713</v>
      </c>
      <c r="Q675" t="s">
        <v>5714</v>
      </c>
      <c r="R675" t="s">
        <v>5715</v>
      </c>
    </row>
    <row r="676" spans="1:18" hidden="1">
      <c r="A676">
        <v>9</v>
      </c>
      <c r="B676" s="4" t="s">
        <v>5727</v>
      </c>
      <c r="C676" s="4" t="s">
        <v>5728</v>
      </c>
      <c r="D676" s="4" t="s">
        <v>5729</v>
      </c>
      <c r="E676" s="4" t="s">
        <v>5805</v>
      </c>
      <c r="F676" t="s">
        <v>19</v>
      </c>
      <c r="G676" t="s">
        <v>114</v>
      </c>
      <c r="H676" t="s">
        <v>21</v>
      </c>
      <c r="I676">
        <v>9</v>
      </c>
      <c r="J676" s="5">
        <v>3.4000000000000002E-2</v>
      </c>
      <c r="K676" t="s">
        <v>726</v>
      </c>
      <c r="L676" s="6">
        <v>43709</v>
      </c>
      <c r="M676">
        <v>9</v>
      </c>
      <c r="N676" s="7" t="s">
        <v>23</v>
      </c>
      <c r="O676" t="s">
        <v>223</v>
      </c>
      <c r="P676" t="s">
        <v>5730</v>
      </c>
      <c r="Q676" t="s">
        <v>5731</v>
      </c>
      <c r="R676" t="s">
        <v>5732</v>
      </c>
    </row>
    <row r="677" spans="1:18" hidden="1">
      <c r="A677">
        <v>9</v>
      </c>
      <c r="B677" s="4" t="s">
        <v>5727</v>
      </c>
      <c r="C677" s="4" t="s">
        <v>5736</v>
      </c>
      <c r="D677" s="4" t="s">
        <v>5744</v>
      </c>
      <c r="E677" s="4" t="s">
        <v>5805</v>
      </c>
      <c r="F677" t="s">
        <v>19</v>
      </c>
      <c r="G677" t="s">
        <v>123</v>
      </c>
      <c r="H677" t="s">
        <v>53</v>
      </c>
      <c r="I677" t="s">
        <v>53</v>
      </c>
      <c r="J677" s="5" t="s">
        <v>53</v>
      </c>
      <c r="K677" t="s">
        <v>726</v>
      </c>
      <c r="L677" s="6">
        <v>43709</v>
      </c>
      <c r="M677">
        <v>9</v>
      </c>
      <c r="N677" s="7" t="s">
        <v>23</v>
      </c>
      <c r="O677" t="s">
        <v>88</v>
      </c>
      <c r="P677" t="s">
        <v>5750</v>
      </c>
      <c r="Q677" t="s">
        <v>5751</v>
      </c>
      <c r="R677" t="s">
        <v>5752</v>
      </c>
    </row>
    <row r="678" spans="1:18" hidden="1">
      <c r="A678">
        <v>9</v>
      </c>
      <c r="B678" s="4" t="s">
        <v>5727</v>
      </c>
      <c r="C678" s="4" t="s">
        <v>5770</v>
      </c>
      <c r="D678" s="4" t="s">
        <v>5771</v>
      </c>
      <c r="E678" s="4" t="s">
        <v>5805</v>
      </c>
      <c r="F678" t="s">
        <v>19</v>
      </c>
      <c r="G678" t="s">
        <v>20</v>
      </c>
      <c r="H678" t="s">
        <v>21</v>
      </c>
      <c r="I678">
        <v>5</v>
      </c>
      <c r="J678" s="5">
        <v>4.9000000000000002E-2</v>
      </c>
      <c r="K678" t="s">
        <v>298</v>
      </c>
      <c r="L678" s="6">
        <v>43344</v>
      </c>
      <c r="M678">
        <v>9</v>
      </c>
      <c r="N678" s="7" t="s">
        <v>23</v>
      </c>
      <c r="O678" t="s">
        <v>36</v>
      </c>
      <c r="P678" t="s">
        <v>5772</v>
      </c>
      <c r="Q678" t="s">
        <v>191</v>
      </c>
      <c r="R678" t="s">
        <v>641</v>
      </c>
    </row>
    <row r="679" spans="1:18" hidden="1">
      <c r="A679">
        <v>9</v>
      </c>
      <c r="B679" s="4" t="s">
        <v>5727</v>
      </c>
      <c r="C679" s="4" t="s">
        <v>5776</v>
      </c>
      <c r="D679" s="4" t="s">
        <v>5777</v>
      </c>
      <c r="E679" s="4" t="s">
        <v>5805</v>
      </c>
      <c r="F679" t="s">
        <v>19</v>
      </c>
      <c r="G679" t="s">
        <v>123</v>
      </c>
      <c r="H679" t="s">
        <v>53</v>
      </c>
      <c r="I679" t="s">
        <v>53</v>
      </c>
      <c r="J679" s="5" t="s">
        <v>53</v>
      </c>
      <c r="K679" t="s">
        <v>255</v>
      </c>
      <c r="L679" s="6">
        <v>43983</v>
      </c>
      <c r="M679">
        <v>6</v>
      </c>
      <c r="N679" s="7" t="s">
        <v>55</v>
      </c>
      <c r="O679" t="s">
        <v>88</v>
      </c>
      <c r="P679" t="s">
        <v>5778</v>
      </c>
      <c r="Q679" t="s">
        <v>5751</v>
      </c>
      <c r="R679" t="s">
        <v>5752</v>
      </c>
    </row>
    <row r="680" spans="1:18" hidden="1">
      <c r="A680">
        <v>1</v>
      </c>
      <c r="B680" s="4" t="s">
        <v>16</v>
      </c>
      <c r="C680" s="4" t="s">
        <v>188</v>
      </c>
      <c r="D680" s="4" t="s">
        <v>189</v>
      </c>
      <c r="E680" s="4" t="s">
        <v>5804</v>
      </c>
      <c r="F680" t="s">
        <v>200</v>
      </c>
      <c r="G680" t="s">
        <v>201</v>
      </c>
      <c r="H680" t="s">
        <v>53</v>
      </c>
      <c r="I680" t="s">
        <v>53</v>
      </c>
      <c r="J680" s="5" t="s">
        <v>53</v>
      </c>
      <c r="K680" t="s">
        <v>83</v>
      </c>
      <c r="L680" s="6">
        <v>42948</v>
      </c>
      <c r="M680">
        <v>8</v>
      </c>
      <c r="N680" s="7" t="s">
        <v>55</v>
      </c>
      <c r="O680" t="s">
        <v>31</v>
      </c>
      <c r="P680" t="s">
        <v>202</v>
      </c>
      <c r="Q680" t="s">
        <v>203</v>
      </c>
      <c r="R680" t="s">
        <v>34</v>
      </c>
    </row>
    <row r="681" spans="1:18" hidden="1">
      <c r="A681">
        <v>1</v>
      </c>
      <c r="B681" s="4" t="s">
        <v>16</v>
      </c>
      <c r="C681" s="4" t="s">
        <v>188</v>
      </c>
      <c r="D681" s="4" t="s">
        <v>272</v>
      </c>
      <c r="E681" s="4" t="s">
        <v>5804</v>
      </c>
      <c r="F681" t="s">
        <v>200</v>
      </c>
      <c r="G681" t="s">
        <v>288</v>
      </c>
      <c r="H681" t="s">
        <v>21</v>
      </c>
      <c r="I681">
        <v>2</v>
      </c>
      <c r="J681" s="5">
        <v>8.5000000000000006E-2</v>
      </c>
      <c r="K681" t="s">
        <v>87</v>
      </c>
      <c r="L681" s="6">
        <v>43040</v>
      </c>
      <c r="M681">
        <v>11</v>
      </c>
      <c r="N681" s="7" t="s">
        <v>23</v>
      </c>
      <c r="O681" t="s">
        <v>223</v>
      </c>
      <c r="P681" t="s">
        <v>289</v>
      </c>
      <c r="Q681" t="s">
        <v>290</v>
      </c>
      <c r="R681" t="s">
        <v>291</v>
      </c>
    </row>
    <row r="682" spans="1:18" hidden="1">
      <c r="A682">
        <v>1</v>
      </c>
      <c r="B682" s="4" t="s">
        <v>16</v>
      </c>
      <c r="C682" s="4" t="s">
        <v>323</v>
      </c>
      <c r="D682" s="4" t="s">
        <v>324</v>
      </c>
      <c r="E682" s="4" t="s">
        <v>5804</v>
      </c>
      <c r="F682" t="s">
        <v>200</v>
      </c>
      <c r="G682" t="s">
        <v>201</v>
      </c>
      <c r="H682" t="s">
        <v>53</v>
      </c>
      <c r="I682" t="s">
        <v>53</v>
      </c>
      <c r="J682" s="5" t="s">
        <v>53</v>
      </c>
      <c r="K682" t="s">
        <v>65</v>
      </c>
      <c r="L682" s="6">
        <v>42430</v>
      </c>
      <c r="M682">
        <v>3</v>
      </c>
      <c r="N682" s="7" t="s">
        <v>23</v>
      </c>
      <c r="O682" t="s">
        <v>88</v>
      </c>
      <c r="P682" t="s">
        <v>332</v>
      </c>
      <c r="Q682" t="s">
        <v>333</v>
      </c>
      <c r="R682" t="s">
        <v>334</v>
      </c>
    </row>
    <row r="683" spans="1:18" hidden="1">
      <c r="A683">
        <v>1</v>
      </c>
      <c r="B683" s="4" t="s">
        <v>16</v>
      </c>
      <c r="C683" s="4" t="s">
        <v>323</v>
      </c>
      <c r="D683" s="4" t="s">
        <v>324</v>
      </c>
      <c r="E683" s="4" t="s">
        <v>5804</v>
      </c>
      <c r="F683" t="s">
        <v>200</v>
      </c>
      <c r="G683" t="s">
        <v>201</v>
      </c>
      <c r="H683" t="s">
        <v>53</v>
      </c>
      <c r="I683" t="s">
        <v>53</v>
      </c>
      <c r="J683" s="5" t="s">
        <v>53</v>
      </c>
      <c r="K683" t="s">
        <v>142</v>
      </c>
      <c r="L683" s="6">
        <v>43101</v>
      </c>
      <c r="M683">
        <v>1</v>
      </c>
      <c r="N683" s="7" t="s">
        <v>30</v>
      </c>
      <c r="O683" t="s">
        <v>88</v>
      </c>
      <c r="P683" t="s">
        <v>348</v>
      </c>
      <c r="Q683" t="s">
        <v>349</v>
      </c>
      <c r="R683" t="s">
        <v>350</v>
      </c>
    </row>
    <row r="684" spans="1:18" hidden="1">
      <c r="A684">
        <v>1</v>
      </c>
      <c r="B684" s="4" t="s">
        <v>16</v>
      </c>
      <c r="C684" s="4" t="s">
        <v>323</v>
      </c>
      <c r="D684" s="4" t="s">
        <v>324</v>
      </c>
      <c r="E684" s="4" t="s">
        <v>5804</v>
      </c>
      <c r="F684" t="s">
        <v>200</v>
      </c>
      <c r="G684" t="s">
        <v>201</v>
      </c>
      <c r="H684" t="s">
        <v>53</v>
      </c>
      <c r="I684" t="s">
        <v>53</v>
      </c>
      <c r="J684" s="5" t="s">
        <v>53</v>
      </c>
      <c r="K684" t="s">
        <v>369</v>
      </c>
      <c r="L684" s="6">
        <v>44197</v>
      </c>
      <c r="M684">
        <v>1</v>
      </c>
      <c r="N684" s="7" t="s">
        <v>30</v>
      </c>
      <c r="O684" t="s">
        <v>24</v>
      </c>
      <c r="P684" t="s">
        <v>370</v>
      </c>
      <c r="Q684" t="s">
        <v>327</v>
      </c>
      <c r="R684" t="s">
        <v>328</v>
      </c>
    </row>
    <row r="685" spans="1:18" hidden="1">
      <c r="A685">
        <v>1</v>
      </c>
      <c r="B685" s="4" t="s">
        <v>16</v>
      </c>
      <c r="C685" s="4" t="s">
        <v>462</v>
      </c>
      <c r="D685" s="4" t="s">
        <v>463</v>
      </c>
      <c r="E685" s="4" t="s">
        <v>5804</v>
      </c>
      <c r="F685" t="s">
        <v>200</v>
      </c>
      <c r="G685" t="s">
        <v>288</v>
      </c>
      <c r="H685" t="s">
        <v>21</v>
      </c>
      <c r="I685">
        <v>2</v>
      </c>
      <c r="J685" s="5">
        <v>8.5000000000000006E-2</v>
      </c>
      <c r="K685" t="s">
        <v>87</v>
      </c>
      <c r="L685" s="6">
        <v>43040</v>
      </c>
      <c r="M685">
        <v>11</v>
      </c>
      <c r="N685" s="7" t="s">
        <v>23</v>
      </c>
      <c r="O685" t="s">
        <v>36</v>
      </c>
      <c r="P685" t="s">
        <v>470</v>
      </c>
      <c r="Q685" t="s">
        <v>191</v>
      </c>
      <c r="R685" t="s">
        <v>469</v>
      </c>
    </row>
    <row r="686" spans="1:18" hidden="1">
      <c r="A686">
        <v>1</v>
      </c>
      <c r="B686" s="4" t="s">
        <v>16</v>
      </c>
      <c r="C686" s="4" t="s">
        <v>462</v>
      </c>
      <c r="D686" s="4" t="s">
        <v>476</v>
      </c>
      <c r="E686" s="4" t="s">
        <v>5804</v>
      </c>
      <c r="F686" t="s">
        <v>200</v>
      </c>
      <c r="G686" t="s">
        <v>288</v>
      </c>
      <c r="H686" t="s">
        <v>21</v>
      </c>
      <c r="I686">
        <v>2</v>
      </c>
      <c r="J686" s="5">
        <v>8.5000000000000006E-2</v>
      </c>
      <c r="K686" t="s">
        <v>477</v>
      </c>
      <c r="L686" s="6">
        <v>42705</v>
      </c>
      <c r="M686">
        <v>12</v>
      </c>
      <c r="N686" s="7" t="s">
        <v>30</v>
      </c>
      <c r="O686" t="s">
        <v>88</v>
      </c>
      <c r="P686" t="s">
        <v>478</v>
      </c>
      <c r="Q686" t="s">
        <v>479</v>
      </c>
      <c r="R686" t="s">
        <v>480</v>
      </c>
    </row>
    <row r="687" spans="1:18" hidden="1">
      <c r="A687">
        <v>11</v>
      </c>
      <c r="B687" s="4" t="s">
        <v>554</v>
      </c>
      <c r="C687" s="4" t="s">
        <v>555</v>
      </c>
      <c r="D687" s="4" t="s">
        <v>556</v>
      </c>
      <c r="E687" s="4" t="s">
        <v>5804</v>
      </c>
      <c r="F687" t="s">
        <v>200</v>
      </c>
      <c r="G687" t="s">
        <v>620</v>
      </c>
      <c r="H687" t="s">
        <v>53</v>
      </c>
      <c r="I687" t="s">
        <v>53</v>
      </c>
      <c r="J687" s="5" t="s">
        <v>53</v>
      </c>
      <c r="K687" t="s">
        <v>99</v>
      </c>
      <c r="L687" s="6">
        <v>43891</v>
      </c>
      <c r="M687">
        <v>3</v>
      </c>
      <c r="N687" s="7" t="s">
        <v>23</v>
      </c>
      <c r="O687" t="s">
        <v>88</v>
      </c>
      <c r="P687" t="s">
        <v>621</v>
      </c>
      <c r="Q687" t="s">
        <v>610</v>
      </c>
      <c r="R687" t="s">
        <v>611</v>
      </c>
    </row>
    <row r="688" spans="1:18" hidden="1">
      <c r="A688">
        <v>11</v>
      </c>
      <c r="B688" s="4" t="s">
        <v>554</v>
      </c>
      <c r="C688" s="4" t="s">
        <v>696</v>
      </c>
      <c r="D688" s="4" t="s">
        <v>697</v>
      </c>
      <c r="E688" s="4" t="s">
        <v>5804</v>
      </c>
      <c r="F688" t="s">
        <v>200</v>
      </c>
      <c r="G688" t="s">
        <v>620</v>
      </c>
      <c r="H688" t="s">
        <v>53</v>
      </c>
      <c r="I688" t="s">
        <v>53</v>
      </c>
      <c r="J688" s="5" t="s">
        <v>53</v>
      </c>
      <c r="K688" t="s">
        <v>171</v>
      </c>
      <c r="L688" s="6">
        <v>44013</v>
      </c>
      <c r="M688">
        <v>7</v>
      </c>
      <c r="N688" s="7" t="s">
        <v>55</v>
      </c>
      <c r="O688" t="s">
        <v>36</v>
      </c>
      <c r="P688" t="s">
        <v>738</v>
      </c>
      <c r="Q688" t="s">
        <v>739</v>
      </c>
      <c r="R688" t="s">
        <v>740</v>
      </c>
    </row>
    <row r="689" spans="1:18" hidden="1">
      <c r="A689">
        <v>11</v>
      </c>
      <c r="B689" s="4" t="s">
        <v>554</v>
      </c>
      <c r="C689" s="4" t="s">
        <v>696</v>
      </c>
      <c r="D689" s="4" t="s">
        <v>759</v>
      </c>
      <c r="E689" s="4" t="s">
        <v>5804</v>
      </c>
      <c r="F689" t="s">
        <v>200</v>
      </c>
      <c r="G689" t="s">
        <v>810</v>
      </c>
      <c r="H689" t="s">
        <v>53</v>
      </c>
      <c r="I689" t="s">
        <v>53</v>
      </c>
      <c r="J689" s="5" t="s">
        <v>53</v>
      </c>
      <c r="K689" t="s">
        <v>811</v>
      </c>
      <c r="L689" s="6">
        <v>43344</v>
      </c>
      <c r="M689">
        <v>9</v>
      </c>
      <c r="N689" s="7" t="s">
        <v>23</v>
      </c>
      <c r="O689" t="s">
        <v>36</v>
      </c>
      <c r="P689" t="s">
        <v>812</v>
      </c>
      <c r="Q689" t="s">
        <v>719</v>
      </c>
      <c r="R689" t="s">
        <v>720</v>
      </c>
    </row>
    <row r="690" spans="1:18" hidden="1">
      <c r="A690">
        <v>11</v>
      </c>
      <c r="B690" s="4" t="s">
        <v>554</v>
      </c>
      <c r="C690" s="4" t="s">
        <v>696</v>
      </c>
      <c r="D690" s="4" t="s">
        <v>759</v>
      </c>
      <c r="E690" s="4" t="s">
        <v>5804</v>
      </c>
      <c r="F690" t="s">
        <v>200</v>
      </c>
      <c r="G690" t="s">
        <v>810</v>
      </c>
      <c r="H690" t="s">
        <v>53</v>
      </c>
      <c r="I690" t="s">
        <v>53</v>
      </c>
      <c r="J690" s="5" t="s">
        <v>53</v>
      </c>
      <c r="K690" t="s">
        <v>245</v>
      </c>
      <c r="L690" s="6">
        <v>43466</v>
      </c>
      <c r="M690">
        <v>1</v>
      </c>
      <c r="N690" s="7" t="s">
        <v>30</v>
      </c>
      <c r="O690" t="s">
        <v>36</v>
      </c>
      <c r="P690" t="s">
        <v>819</v>
      </c>
      <c r="Q690" t="s">
        <v>820</v>
      </c>
      <c r="R690" t="s">
        <v>821</v>
      </c>
    </row>
    <row r="691" spans="1:18" hidden="1">
      <c r="A691">
        <v>11</v>
      </c>
      <c r="B691" s="4" t="s">
        <v>554</v>
      </c>
      <c r="C691" s="4" t="s">
        <v>696</v>
      </c>
      <c r="D691" s="4" t="s">
        <v>759</v>
      </c>
      <c r="E691" s="4" t="s">
        <v>5804</v>
      </c>
      <c r="F691" t="s">
        <v>200</v>
      </c>
      <c r="G691" t="s">
        <v>620</v>
      </c>
      <c r="H691" t="s">
        <v>53</v>
      </c>
      <c r="I691" t="s">
        <v>53</v>
      </c>
      <c r="J691" s="5" t="s">
        <v>53</v>
      </c>
      <c r="K691" t="s">
        <v>357</v>
      </c>
      <c r="L691" s="6">
        <v>43739</v>
      </c>
      <c r="M691">
        <v>10</v>
      </c>
      <c r="N691" s="7" t="s">
        <v>23</v>
      </c>
      <c r="O691" t="s">
        <v>24</v>
      </c>
      <c r="P691" t="s">
        <v>836</v>
      </c>
      <c r="Q691" t="s">
        <v>837</v>
      </c>
      <c r="R691" t="s">
        <v>774</v>
      </c>
    </row>
    <row r="692" spans="1:18" hidden="1">
      <c r="A692">
        <v>11</v>
      </c>
      <c r="B692" s="4" t="s">
        <v>554</v>
      </c>
      <c r="C692" s="4" t="s">
        <v>696</v>
      </c>
      <c r="D692" s="4" t="s">
        <v>759</v>
      </c>
      <c r="E692" s="4" t="s">
        <v>5804</v>
      </c>
      <c r="F692" t="s">
        <v>200</v>
      </c>
      <c r="G692" t="s">
        <v>620</v>
      </c>
      <c r="H692" t="s">
        <v>53</v>
      </c>
      <c r="I692" t="s">
        <v>53</v>
      </c>
      <c r="J692" s="5" t="s">
        <v>53</v>
      </c>
      <c r="K692" t="s">
        <v>178</v>
      </c>
      <c r="L692" s="6">
        <v>44228</v>
      </c>
      <c r="M692">
        <v>2</v>
      </c>
      <c r="N692" s="7" t="s">
        <v>30</v>
      </c>
      <c r="O692" t="s">
        <v>24</v>
      </c>
      <c r="P692" t="s">
        <v>879</v>
      </c>
      <c r="Q692" t="s">
        <v>880</v>
      </c>
      <c r="R692" t="s">
        <v>861</v>
      </c>
    </row>
    <row r="693" spans="1:18" hidden="1">
      <c r="A693">
        <v>12</v>
      </c>
      <c r="B693" s="4" t="s">
        <v>901</v>
      </c>
      <c r="C693" s="4" t="s">
        <v>902</v>
      </c>
      <c r="D693" s="4" t="s">
        <v>903</v>
      </c>
      <c r="E693" s="4" t="s">
        <v>5804</v>
      </c>
      <c r="F693" t="s">
        <v>200</v>
      </c>
      <c r="G693" t="s">
        <v>914</v>
      </c>
      <c r="H693" t="s">
        <v>21</v>
      </c>
      <c r="I693">
        <v>2</v>
      </c>
      <c r="J693" s="5">
        <v>8.5000000000000006E-2</v>
      </c>
      <c r="K693" t="s">
        <v>60</v>
      </c>
      <c r="L693" s="6">
        <v>42370</v>
      </c>
      <c r="M693">
        <v>1</v>
      </c>
      <c r="N693" s="7" t="s">
        <v>30</v>
      </c>
      <c r="O693" t="s">
        <v>31</v>
      </c>
      <c r="P693" t="s">
        <v>915</v>
      </c>
      <c r="Q693" t="s">
        <v>916</v>
      </c>
      <c r="R693" t="s">
        <v>917</v>
      </c>
    </row>
    <row r="694" spans="1:18" hidden="1">
      <c r="A694">
        <v>12</v>
      </c>
      <c r="B694" s="4" t="s">
        <v>901</v>
      </c>
      <c r="C694" s="4" t="s">
        <v>902</v>
      </c>
      <c r="D694" s="4" t="s">
        <v>903</v>
      </c>
      <c r="E694" s="4" t="s">
        <v>5804</v>
      </c>
      <c r="F694" t="s">
        <v>200</v>
      </c>
      <c r="G694" t="s">
        <v>914</v>
      </c>
      <c r="H694" t="s">
        <v>21</v>
      </c>
      <c r="I694">
        <v>2</v>
      </c>
      <c r="J694" s="5">
        <v>8.5000000000000006E-2</v>
      </c>
      <c r="K694" t="s">
        <v>115</v>
      </c>
      <c r="L694" s="6">
        <v>42461</v>
      </c>
      <c r="M694">
        <v>4</v>
      </c>
      <c r="N694" s="7" t="s">
        <v>23</v>
      </c>
      <c r="O694" t="s">
        <v>31</v>
      </c>
      <c r="P694" t="s">
        <v>930</v>
      </c>
      <c r="Q694" t="s">
        <v>916</v>
      </c>
      <c r="R694" t="s">
        <v>917</v>
      </c>
    </row>
    <row r="695" spans="1:18" hidden="1">
      <c r="A695">
        <v>12</v>
      </c>
      <c r="B695" s="4" t="s">
        <v>901</v>
      </c>
      <c r="C695" s="4" t="s">
        <v>902</v>
      </c>
      <c r="D695" s="4" t="s">
        <v>903</v>
      </c>
      <c r="E695" s="4" t="s">
        <v>5804</v>
      </c>
      <c r="F695" t="s">
        <v>200</v>
      </c>
      <c r="G695" t="s">
        <v>620</v>
      </c>
      <c r="H695" t="s">
        <v>53</v>
      </c>
      <c r="I695" t="s">
        <v>53</v>
      </c>
      <c r="J695" s="5" t="s">
        <v>53</v>
      </c>
      <c r="K695" t="s">
        <v>422</v>
      </c>
      <c r="L695" s="6">
        <v>42736</v>
      </c>
      <c r="M695">
        <v>1</v>
      </c>
      <c r="N695" s="7" t="s">
        <v>30</v>
      </c>
      <c r="O695" t="s">
        <v>36</v>
      </c>
      <c r="P695" t="s">
        <v>978</v>
      </c>
      <c r="Q695" t="s">
        <v>943</v>
      </c>
      <c r="R695" t="s">
        <v>944</v>
      </c>
    </row>
    <row r="696" spans="1:18" hidden="1">
      <c r="A696">
        <v>12</v>
      </c>
      <c r="B696" s="4" t="s">
        <v>901</v>
      </c>
      <c r="C696" s="4" t="s">
        <v>902</v>
      </c>
      <c r="D696" s="4" t="s">
        <v>903</v>
      </c>
      <c r="E696" s="4" t="s">
        <v>5804</v>
      </c>
      <c r="F696" t="s">
        <v>200</v>
      </c>
      <c r="G696" t="s">
        <v>620</v>
      </c>
      <c r="H696" t="s">
        <v>53</v>
      </c>
      <c r="I696" t="s">
        <v>53</v>
      </c>
      <c r="J696" s="5" t="s">
        <v>53</v>
      </c>
      <c r="K696" t="s">
        <v>124</v>
      </c>
      <c r="L696" s="6">
        <v>42767</v>
      </c>
      <c r="M696">
        <v>2</v>
      </c>
      <c r="N696" s="7" t="s">
        <v>30</v>
      </c>
      <c r="O696" t="s">
        <v>979</v>
      </c>
      <c r="P696" t="s">
        <v>980</v>
      </c>
      <c r="Q696" t="s">
        <v>981</v>
      </c>
      <c r="R696" t="s">
        <v>982</v>
      </c>
    </row>
    <row r="697" spans="1:18" hidden="1">
      <c r="A697">
        <v>12</v>
      </c>
      <c r="B697" s="4" t="s">
        <v>901</v>
      </c>
      <c r="C697" s="4" t="s">
        <v>902</v>
      </c>
      <c r="D697" s="4" t="s">
        <v>903</v>
      </c>
      <c r="E697" s="4" t="s">
        <v>5804</v>
      </c>
      <c r="F697" t="s">
        <v>200</v>
      </c>
      <c r="G697" t="s">
        <v>620</v>
      </c>
      <c r="H697" t="s">
        <v>53</v>
      </c>
      <c r="I697" t="s">
        <v>53</v>
      </c>
      <c r="J697" s="5" t="s">
        <v>53</v>
      </c>
      <c r="K697" t="s">
        <v>124</v>
      </c>
      <c r="L697" s="6">
        <v>42767</v>
      </c>
      <c r="M697">
        <v>2</v>
      </c>
      <c r="N697" s="7" t="s">
        <v>30</v>
      </c>
      <c r="O697" t="s">
        <v>24</v>
      </c>
      <c r="P697" t="s">
        <v>983</v>
      </c>
      <c r="Q697" t="s">
        <v>984</v>
      </c>
      <c r="R697" t="s">
        <v>985</v>
      </c>
    </row>
    <row r="698" spans="1:18" hidden="1">
      <c r="A698">
        <v>12</v>
      </c>
      <c r="B698" s="4" t="s">
        <v>901</v>
      </c>
      <c r="C698" s="4" t="s">
        <v>902</v>
      </c>
      <c r="D698" s="4" t="s">
        <v>903</v>
      </c>
      <c r="E698" s="4" t="s">
        <v>5804</v>
      </c>
      <c r="F698" t="s">
        <v>200</v>
      </c>
      <c r="G698" t="s">
        <v>620</v>
      </c>
      <c r="H698" t="s">
        <v>53</v>
      </c>
      <c r="I698" t="s">
        <v>53</v>
      </c>
      <c r="J698" s="5" t="s">
        <v>53</v>
      </c>
      <c r="K698" t="s">
        <v>87</v>
      </c>
      <c r="L698" s="6">
        <v>43040</v>
      </c>
      <c r="M698">
        <v>11</v>
      </c>
      <c r="N698" s="7" t="s">
        <v>23</v>
      </c>
      <c r="O698" t="s">
        <v>36</v>
      </c>
      <c r="P698" t="s">
        <v>1000</v>
      </c>
      <c r="Q698" t="s">
        <v>922</v>
      </c>
      <c r="R698" t="s">
        <v>923</v>
      </c>
    </row>
    <row r="699" spans="1:18" hidden="1">
      <c r="A699">
        <v>12</v>
      </c>
      <c r="B699" s="4" t="s">
        <v>901</v>
      </c>
      <c r="C699" s="4" t="s">
        <v>902</v>
      </c>
      <c r="D699" s="4" t="s">
        <v>903</v>
      </c>
      <c r="E699" s="4" t="s">
        <v>5804</v>
      </c>
      <c r="F699" t="s">
        <v>200</v>
      </c>
      <c r="G699" t="s">
        <v>914</v>
      </c>
      <c r="H699" t="s">
        <v>21</v>
      </c>
      <c r="I699">
        <v>2</v>
      </c>
      <c r="J699" s="5">
        <v>8.5000000000000006E-2</v>
      </c>
      <c r="K699" t="s">
        <v>35</v>
      </c>
      <c r="L699" s="6">
        <v>43160</v>
      </c>
      <c r="M699">
        <v>3</v>
      </c>
      <c r="N699" s="7" t="s">
        <v>23</v>
      </c>
      <c r="O699" t="s">
        <v>36</v>
      </c>
      <c r="P699" t="s">
        <v>1024</v>
      </c>
      <c r="Q699" t="s">
        <v>1025</v>
      </c>
      <c r="R699" t="s">
        <v>1026</v>
      </c>
    </row>
    <row r="700" spans="1:18" hidden="1">
      <c r="A700">
        <v>12</v>
      </c>
      <c r="B700" s="4" t="s">
        <v>901</v>
      </c>
      <c r="C700" s="4" t="s">
        <v>902</v>
      </c>
      <c r="D700" s="4" t="s">
        <v>903</v>
      </c>
      <c r="E700" s="4" t="s">
        <v>5804</v>
      </c>
      <c r="F700" t="s">
        <v>200</v>
      </c>
      <c r="G700" t="s">
        <v>620</v>
      </c>
      <c r="H700" t="s">
        <v>53</v>
      </c>
      <c r="I700" t="s">
        <v>53</v>
      </c>
      <c r="J700" s="5" t="s">
        <v>53</v>
      </c>
      <c r="K700" t="s">
        <v>35</v>
      </c>
      <c r="L700" s="6">
        <v>43160</v>
      </c>
      <c r="M700">
        <v>3</v>
      </c>
      <c r="N700" s="7" t="s">
        <v>23</v>
      </c>
      <c r="O700" t="s">
        <v>24</v>
      </c>
      <c r="P700" t="s">
        <v>1027</v>
      </c>
      <c r="Q700" t="s">
        <v>984</v>
      </c>
      <c r="R700" t="s">
        <v>985</v>
      </c>
    </row>
    <row r="701" spans="1:18" hidden="1">
      <c r="A701">
        <v>12</v>
      </c>
      <c r="B701" s="4" t="s">
        <v>901</v>
      </c>
      <c r="C701" s="4" t="s">
        <v>902</v>
      </c>
      <c r="D701" s="4" t="s">
        <v>903</v>
      </c>
      <c r="E701" s="4" t="s">
        <v>5804</v>
      </c>
      <c r="F701" t="s">
        <v>200</v>
      </c>
      <c r="G701" t="s">
        <v>620</v>
      </c>
      <c r="H701" t="s">
        <v>53</v>
      </c>
      <c r="I701" t="s">
        <v>53</v>
      </c>
      <c r="J701" s="5" t="s">
        <v>53</v>
      </c>
      <c r="K701" t="s">
        <v>292</v>
      </c>
      <c r="L701" s="6">
        <v>43191</v>
      </c>
      <c r="M701">
        <v>4</v>
      </c>
      <c r="N701" s="7" t="s">
        <v>23</v>
      </c>
      <c r="O701" t="s">
        <v>36</v>
      </c>
      <c r="P701" t="s">
        <v>1028</v>
      </c>
      <c r="Q701" t="s">
        <v>922</v>
      </c>
      <c r="R701" t="s">
        <v>923</v>
      </c>
    </row>
    <row r="702" spans="1:18" hidden="1">
      <c r="A702">
        <v>12</v>
      </c>
      <c r="B702" s="4" t="s">
        <v>901</v>
      </c>
      <c r="C702" s="4" t="s">
        <v>902</v>
      </c>
      <c r="D702" s="4" t="s">
        <v>903</v>
      </c>
      <c r="E702" s="4" t="s">
        <v>5804</v>
      </c>
      <c r="F702" t="s">
        <v>200</v>
      </c>
      <c r="G702" t="s">
        <v>620</v>
      </c>
      <c r="H702" t="s">
        <v>53</v>
      </c>
      <c r="I702" t="s">
        <v>53</v>
      </c>
      <c r="J702" s="5" t="s">
        <v>53</v>
      </c>
      <c r="K702" t="s">
        <v>93</v>
      </c>
      <c r="L702" s="6">
        <v>43282</v>
      </c>
      <c r="M702">
        <v>7</v>
      </c>
      <c r="N702" s="7" t="s">
        <v>55</v>
      </c>
      <c r="O702" t="s">
        <v>36</v>
      </c>
      <c r="P702" t="s">
        <v>1040</v>
      </c>
      <c r="Q702" t="s">
        <v>922</v>
      </c>
      <c r="R702" t="s">
        <v>923</v>
      </c>
    </row>
    <row r="703" spans="1:18" hidden="1">
      <c r="A703">
        <v>12</v>
      </c>
      <c r="B703" s="4" t="s">
        <v>901</v>
      </c>
      <c r="C703" s="4" t="s">
        <v>902</v>
      </c>
      <c r="D703" s="4" t="s">
        <v>903</v>
      </c>
      <c r="E703" s="4" t="s">
        <v>5804</v>
      </c>
      <c r="F703" t="s">
        <v>200</v>
      </c>
      <c r="G703" t="s">
        <v>914</v>
      </c>
      <c r="H703" t="s">
        <v>21</v>
      </c>
      <c r="I703">
        <v>2</v>
      </c>
      <c r="J703" s="5">
        <v>8.5000000000000006E-2</v>
      </c>
      <c r="K703" t="s">
        <v>146</v>
      </c>
      <c r="L703" s="6">
        <v>43313</v>
      </c>
      <c r="M703">
        <v>8</v>
      </c>
      <c r="N703" s="7" t="s">
        <v>55</v>
      </c>
      <c r="O703" t="s">
        <v>31</v>
      </c>
      <c r="P703" t="s">
        <v>1053</v>
      </c>
      <c r="Q703" t="s">
        <v>1054</v>
      </c>
      <c r="R703" t="s">
        <v>1055</v>
      </c>
    </row>
    <row r="704" spans="1:18" hidden="1">
      <c r="A704">
        <v>12</v>
      </c>
      <c r="B704" s="4" t="s">
        <v>901</v>
      </c>
      <c r="C704" s="4" t="s">
        <v>902</v>
      </c>
      <c r="D704" s="4" t="s">
        <v>903</v>
      </c>
      <c r="E704" s="4" t="s">
        <v>5804</v>
      </c>
      <c r="F704" t="s">
        <v>200</v>
      </c>
      <c r="G704" t="s">
        <v>914</v>
      </c>
      <c r="H704" t="s">
        <v>21</v>
      </c>
      <c r="I704">
        <v>2</v>
      </c>
      <c r="J704" s="5">
        <v>8.5000000000000006E-2</v>
      </c>
      <c r="K704" t="s">
        <v>691</v>
      </c>
      <c r="L704" s="6">
        <v>43770</v>
      </c>
      <c r="M704">
        <v>11</v>
      </c>
      <c r="N704" s="7" t="s">
        <v>23</v>
      </c>
      <c r="O704" t="s">
        <v>31</v>
      </c>
      <c r="P704" t="s">
        <v>1079</v>
      </c>
      <c r="Q704" t="s">
        <v>1080</v>
      </c>
      <c r="R704" t="s">
        <v>1081</v>
      </c>
    </row>
    <row r="705" spans="1:18" hidden="1">
      <c r="A705">
        <v>12</v>
      </c>
      <c r="B705" s="4" t="s">
        <v>901</v>
      </c>
      <c r="C705" s="4" t="s">
        <v>902</v>
      </c>
      <c r="D705" s="4" t="s">
        <v>903</v>
      </c>
      <c r="E705" s="4" t="s">
        <v>5804</v>
      </c>
      <c r="F705" t="s">
        <v>200</v>
      </c>
      <c r="G705" t="s">
        <v>620</v>
      </c>
      <c r="H705" t="s">
        <v>53</v>
      </c>
      <c r="I705" t="s">
        <v>53</v>
      </c>
      <c r="J705" s="5" t="s">
        <v>53</v>
      </c>
      <c r="K705" t="s">
        <v>251</v>
      </c>
      <c r="L705" s="6">
        <v>43952</v>
      </c>
      <c r="M705">
        <v>5</v>
      </c>
      <c r="N705" s="7" t="s">
        <v>23</v>
      </c>
      <c r="O705" t="s">
        <v>31</v>
      </c>
      <c r="P705" t="s">
        <v>1103</v>
      </c>
      <c r="Q705" t="s">
        <v>912</v>
      </c>
      <c r="R705" t="s">
        <v>913</v>
      </c>
    </row>
    <row r="706" spans="1:18" hidden="1">
      <c r="A706">
        <v>12</v>
      </c>
      <c r="B706" s="4" t="s">
        <v>901</v>
      </c>
      <c r="C706" s="4" t="s">
        <v>902</v>
      </c>
      <c r="D706" s="4" t="s">
        <v>903</v>
      </c>
      <c r="E706" s="4" t="s">
        <v>5804</v>
      </c>
      <c r="F706" t="s">
        <v>200</v>
      </c>
      <c r="G706" t="s">
        <v>810</v>
      </c>
      <c r="H706" t="s">
        <v>53</v>
      </c>
      <c r="I706" t="s">
        <v>53</v>
      </c>
      <c r="J706" s="5" t="s">
        <v>53</v>
      </c>
      <c r="K706" t="s">
        <v>171</v>
      </c>
      <c r="L706" s="6">
        <v>44013</v>
      </c>
      <c r="M706">
        <v>7</v>
      </c>
      <c r="N706" s="7" t="s">
        <v>55</v>
      </c>
      <c r="O706" t="s">
        <v>31</v>
      </c>
      <c r="P706" t="s">
        <v>1109</v>
      </c>
      <c r="Q706" t="s">
        <v>1110</v>
      </c>
      <c r="R706" t="s">
        <v>1111</v>
      </c>
    </row>
    <row r="707" spans="1:18" hidden="1">
      <c r="A707">
        <v>12</v>
      </c>
      <c r="B707" s="4" t="s">
        <v>901</v>
      </c>
      <c r="C707" s="4" t="s">
        <v>902</v>
      </c>
      <c r="D707" s="4" t="s">
        <v>903</v>
      </c>
      <c r="E707" s="4" t="s">
        <v>5804</v>
      </c>
      <c r="F707" t="s">
        <v>200</v>
      </c>
      <c r="G707" t="s">
        <v>914</v>
      </c>
      <c r="H707" t="s">
        <v>21</v>
      </c>
      <c r="I707">
        <v>2</v>
      </c>
      <c r="J707" s="5">
        <v>8.5000000000000006E-2</v>
      </c>
      <c r="K707" t="s">
        <v>267</v>
      </c>
      <c r="L707" s="6">
        <v>44044</v>
      </c>
      <c r="M707">
        <v>8</v>
      </c>
      <c r="N707" s="7" t="s">
        <v>55</v>
      </c>
      <c r="O707" t="s">
        <v>31</v>
      </c>
      <c r="P707" t="s">
        <v>1114</v>
      </c>
      <c r="Q707" t="s">
        <v>1115</v>
      </c>
      <c r="R707" t="s">
        <v>1116</v>
      </c>
    </row>
    <row r="708" spans="1:18" hidden="1">
      <c r="A708">
        <v>12</v>
      </c>
      <c r="B708" s="4" t="s">
        <v>901</v>
      </c>
      <c r="C708" s="4" t="s">
        <v>902</v>
      </c>
      <c r="D708" s="4" t="s">
        <v>903</v>
      </c>
      <c r="E708" s="4" t="s">
        <v>5804</v>
      </c>
      <c r="F708" t="s">
        <v>200</v>
      </c>
      <c r="G708" t="s">
        <v>914</v>
      </c>
      <c r="H708" t="s">
        <v>21</v>
      </c>
      <c r="I708">
        <v>2</v>
      </c>
      <c r="J708" s="5">
        <v>8.5000000000000006E-2</v>
      </c>
      <c r="K708" t="s">
        <v>267</v>
      </c>
      <c r="L708" s="6">
        <v>44044</v>
      </c>
      <c r="M708">
        <v>8</v>
      </c>
      <c r="N708" s="7" t="s">
        <v>55</v>
      </c>
      <c r="O708" t="s">
        <v>31</v>
      </c>
      <c r="P708" t="s">
        <v>1117</v>
      </c>
      <c r="Q708" t="s">
        <v>916</v>
      </c>
      <c r="R708" t="s">
        <v>917</v>
      </c>
    </row>
    <row r="709" spans="1:18" hidden="1">
      <c r="A709">
        <v>12</v>
      </c>
      <c r="B709" s="4" t="s">
        <v>901</v>
      </c>
      <c r="C709" s="4" t="s">
        <v>902</v>
      </c>
      <c r="D709" s="4" t="s">
        <v>903</v>
      </c>
      <c r="E709" s="4" t="s">
        <v>5804</v>
      </c>
      <c r="F709" t="s">
        <v>200</v>
      </c>
      <c r="G709" t="s">
        <v>914</v>
      </c>
      <c r="H709" t="s">
        <v>21</v>
      </c>
      <c r="I709">
        <v>2</v>
      </c>
      <c r="J709" s="5">
        <v>8.5000000000000006E-2</v>
      </c>
      <c r="K709" t="s">
        <v>749</v>
      </c>
      <c r="L709" s="6">
        <v>44136</v>
      </c>
      <c r="M709">
        <v>11</v>
      </c>
      <c r="N709" s="7" t="s">
        <v>23</v>
      </c>
      <c r="O709" t="s">
        <v>31</v>
      </c>
      <c r="P709" t="s">
        <v>1131</v>
      </c>
      <c r="Q709" t="s">
        <v>1132</v>
      </c>
      <c r="R709" t="s">
        <v>1133</v>
      </c>
    </row>
    <row r="710" spans="1:18" hidden="1">
      <c r="A710">
        <v>12</v>
      </c>
      <c r="B710" s="4" t="s">
        <v>901</v>
      </c>
      <c r="C710" s="4" t="s">
        <v>1161</v>
      </c>
      <c r="D710" s="4" t="s">
        <v>1180</v>
      </c>
      <c r="E710" s="4" t="s">
        <v>5804</v>
      </c>
      <c r="F710" t="s">
        <v>200</v>
      </c>
      <c r="G710" t="s">
        <v>288</v>
      </c>
      <c r="H710" t="s">
        <v>21</v>
      </c>
      <c r="I710">
        <v>2</v>
      </c>
      <c r="J710" s="5">
        <v>8.5000000000000006E-2</v>
      </c>
      <c r="K710" t="s">
        <v>178</v>
      </c>
      <c r="L710" s="6">
        <v>44228</v>
      </c>
      <c r="M710">
        <v>2</v>
      </c>
      <c r="N710" s="7" t="s">
        <v>30</v>
      </c>
      <c r="O710" t="s">
        <v>193</v>
      </c>
      <c r="P710" t="s">
        <v>1187</v>
      </c>
      <c r="Q710" t="s">
        <v>1188</v>
      </c>
      <c r="R710" t="s">
        <v>1189</v>
      </c>
    </row>
    <row r="711" spans="1:18" hidden="1">
      <c r="A711">
        <v>12</v>
      </c>
      <c r="B711" s="4" t="s">
        <v>901</v>
      </c>
      <c r="C711" s="4" t="s">
        <v>1161</v>
      </c>
      <c r="D711" s="4" t="s">
        <v>1180</v>
      </c>
      <c r="E711" s="4" t="s">
        <v>5804</v>
      </c>
      <c r="F711" t="s">
        <v>200</v>
      </c>
      <c r="G711" t="s">
        <v>288</v>
      </c>
      <c r="H711" t="s">
        <v>21</v>
      </c>
      <c r="I711">
        <v>2</v>
      </c>
      <c r="J711" s="5">
        <v>8.5000000000000006E-2</v>
      </c>
      <c r="K711" t="s">
        <v>377</v>
      </c>
      <c r="L711" s="6">
        <v>44470</v>
      </c>
      <c r="M711">
        <v>10</v>
      </c>
      <c r="N711" s="7" t="s">
        <v>23</v>
      </c>
      <c r="O711" t="s">
        <v>24</v>
      </c>
      <c r="P711" t="s">
        <v>1190</v>
      </c>
      <c r="Q711" t="s">
        <v>1191</v>
      </c>
      <c r="R711" t="s">
        <v>1192</v>
      </c>
    </row>
    <row r="712" spans="1:18" hidden="1">
      <c r="A712">
        <v>12</v>
      </c>
      <c r="B712" s="4" t="s">
        <v>901</v>
      </c>
      <c r="C712" s="4" t="s">
        <v>1463</v>
      </c>
      <c r="D712" s="4" t="s">
        <v>1464</v>
      </c>
      <c r="E712" s="4" t="s">
        <v>5804</v>
      </c>
      <c r="F712" t="s">
        <v>200</v>
      </c>
      <c r="G712" t="s">
        <v>620</v>
      </c>
      <c r="H712" t="s">
        <v>53</v>
      </c>
      <c r="I712" t="s">
        <v>53</v>
      </c>
      <c r="J712" s="5" t="s">
        <v>53</v>
      </c>
      <c r="K712" t="s">
        <v>422</v>
      </c>
      <c r="L712" s="6">
        <v>42736</v>
      </c>
      <c r="M712">
        <v>1</v>
      </c>
      <c r="N712" s="7" t="s">
        <v>30</v>
      </c>
      <c r="O712" t="s">
        <v>24</v>
      </c>
      <c r="P712" t="s">
        <v>1494</v>
      </c>
      <c r="Q712" t="s">
        <v>1495</v>
      </c>
      <c r="R712" t="s">
        <v>1496</v>
      </c>
    </row>
    <row r="713" spans="1:18" hidden="1">
      <c r="A713">
        <v>12</v>
      </c>
      <c r="B713" s="4" t="s">
        <v>901</v>
      </c>
      <c r="C713" s="4" t="s">
        <v>1463</v>
      </c>
      <c r="D713" s="4" t="s">
        <v>1464</v>
      </c>
      <c r="E713" s="4" t="s">
        <v>5804</v>
      </c>
      <c r="F713" t="s">
        <v>200</v>
      </c>
      <c r="G713" t="s">
        <v>810</v>
      </c>
      <c r="H713" t="s">
        <v>53</v>
      </c>
      <c r="I713" t="s">
        <v>53</v>
      </c>
      <c r="J713" s="5" t="s">
        <v>53</v>
      </c>
      <c r="K713" t="s">
        <v>35</v>
      </c>
      <c r="L713" s="6">
        <v>43160</v>
      </c>
      <c r="M713">
        <v>3</v>
      </c>
      <c r="N713" s="7" t="s">
        <v>23</v>
      </c>
      <c r="O713" t="s">
        <v>36</v>
      </c>
      <c r="P713" t="s">
        <v>1507</v>
      </c>
      <c r="Q713" t="s">
        <v>1508</v>
      </c>
      <c r="R713" t="s">
        <v>1509</v>
      </c>
    </row>
    <row r="714" spans="1:18" hidden="1">
      <c r="A714">
        <v>12</v>
      </c>
      <c r="B714" s="4" t="s">
        <v>901</v>
      </c>
      <c r="C714" s="4" t="s">
        <v>1600</v>
      </c>
      <c r="D714" s="4" t="s">
        <v>1601</v>
      </c>
      <c r="E714" s="4" t="s">
        <v>5804</v>
      </c>
      <c r="F714" t="s">
        <v>200</v>
      </c>
      <c r="G714" t="s">
        <v>620</v>
      </c>
      <c r="H714" t="s">
        <v>53</v>
      </c>
      <c r="I714" t="s">
        <v>53</v>
      </c>
      <c r="J714" s="5" t="s">
        <v>53</v>
      </c>
      <c r="K714" t="s">
        <v>382</v>
      </c>
      <c r="L714" s="6">
        <v>42401</v>
      </c>
      <c r="M714">
        <v>2</v>
      </c>
      <c r="N714" s="7" t="s">
        <v>30</v>
      </c>
      <c r="O714" t="s">
        <v>88</v>
      </c>
      <c r="P714" t="s">
        <v>1605</v>
      </c>
      <c r="Q714" t="s">
        <v>1606</v>
      </c>
      <c r="R714" t="s">
        <v>1607</v>
      </c>
    </row>
    <row r="715" spans="1:18" hidden="1">
      <c r="A715">
        <v>12</v>
      </c>
      <c r="B715" s="4" t="s">
        <v>901</v>
      </c>
      <c r="C715" s="4" t="s">
        <v>1672</v>
      </c>
      <c r="D715" s="4" t="s">
        <v>1673</v>
      </c>
      <c r="E715" s="4" t="s">
        <v>5804</v>
      </c>
      <c r="F715" t="s">
        <v>200</v>
      </c>
      <c r="G715" t="s">
        <v>620</v>
      </c>
      <c r="H715" t="s">
        <v>53</v>
      </c>
      <c r="I715" t="s">
        <v>53</v>
      </c>
      <c r="J715" s="5" t="s">
        <v>53</v>
      </c>
      <c r="K715" t="s">
        <v>558</v>
      </c>
      <c r="L715" s="6">
        <v>42339</v>
      </c>
      <c r="M715">
        <v>12</v>
      </c>
      <c r="N715" s="7" t="s">
        <v>30</v>
      </c>
      <c r="O715" t="s">
        <v>24</v>
      </c>
      <c r="P715" t="s">
        <v>1678</v>
      </c>
      <c r="Q715" t="s">
        <v>1679</v>
      </c>
      <c r="R715" t="s">
        <v>1680</v>
      </c>
    </row>
    <row r="716" spans="1:18" hidden="1">
      <c r="A716">
        <v>12</v>
      </c>
      <c r="B716" s="4" t="s">
        <v>901</v>
      </c>
      <c r="C716" s="4" t="s">
        <v>1672</v>
      </c>
      <c r="D716" s="4" t="s">
        <v>1673</v>
      </c>
      <c r="E716" s="4" t="s">
        <v>5804</v>
      </c>
      <c r="F716" t="s">
        <v>200</v>
      </c>
      <c r="G716" t="s">
        <v>620</v>
      </c>
      <c r="H716" t="s">
        <v>53</v>
      </c>
      <c r="I716" t="s">
        <v>53</v>
      </c>
      <c r="J716" s="5" t="s">
        <v>53</v>
      </c>
      <c r="K716" t="s">
        <v>71</v>
      </c>
      <c r="L716" s="6">
        <v>42522</v>
      </c>
      <c r="M716">
        <v>6</v>
      </c>
      <c r="N716" s="7" t="s">
        <v>55</v>
      </c>
      <c r="O716" t="s">
        <v>31</v>
      </c>
      <c r="P716" t="s">
        <v>1702</v>
      </c>
      <c r="Q716" t="s">
        <v>1703</v>
      </c>
      <c r="R716" t="s">
        <v>1704</v>
      </c>
    </row>
    <row r="717" spans="1:18" hidden="1">
      <c r="A717">
        <v>12</v>
      </c>
      <c r="B717" s="4" t="s">
        <v>901</v>
      </c>
      <c r="C717" s="4" t="s">
        <v>1672</v>
      </c>
      <c r="D717" s="4" t="s">
        <v>1673</v>
      </c>
      <c r="E717" s="4" t="s">
        <v>5804</v>
      </c>
      <c r="F717" t="s">
        <v>200</v>
      </c>
      <c r="G717" t="s">
        <v>620</v>
      </c>
      <c r="H717" t="s">
        <v>53</v>
      </c>
      <c r="I717" t="s">
        <v>53</v>
      </c>
      <c r="J717" s="5" t="s">
        <v>53</v>
      </c>
      <c r="K717" t="s">
        <v>71</v>
      </c>
      <c r="L717" s="6">
        <v>42522</v>
      </c>
      <c r="M717">
        <v>6</v>
      </c>
      <c r="N717" s="7" t="s">
        <v>55</v>
      </c>
      <c r="O717" t="s">
        <v>512</v>
      </c>
      <c r="P717" t="s">
        <v>1705</v>
      </c>
      <c r="Q717" t="s">
        <v>1706</v>
      </c>
      <c r="R717" t="s">
        <v>1707</v>
      </c>
    </row>
    <row r="718" spans="1:18" hidden="1">
      <c r="A718">
        <v>12</v>
      </c>
      <c r="B718" s="4" t="s">
        <v>901</v>
      </c>
      <c r="C718" s="4" t="s">
        <v>1672</v>
      </c>
      <c r="D718" s="4" t="s">
        <v>1673</v>
      </c>
      <c r="E718" s="4" t="s">
        <v>5804</v>
      </c>
      <c r="F718" t="s">
        <v>200</v>
      </c>
      <c r="G718" t="s">
        <v>914</v>
      </c>
      <c r="H718" t="s">
        <v>21</v>
      </c>
      <c r="I718">
        <v>2</v>
      </c>
      <c r="J718" s="5">
        <v>8.5000000000000006E-2</v>
      </c>
      <c r="K718" t="s">
        <v>319</v>
      </c>
      <c r="L718" s="6">
        <v>42583</v>
      </c>
      <c r="M718">
        <v>8</v>
      </c>
      <c r="N718" s="7" t="s">
        <v>55</v>
      </c>
      <c r="O718" t="s">
        <v>24</v>
      </c>
      <c r="P718" t="s">
        <v>1714</v>
      </c>
      <c r="Q718" t="s">
        <v>1715</v>
      </c>
      <c r="R718" t="s">
        <v>1716</v>
      </c>
    </row>
    <row r="719" spans="1:18" hidden="1">
      <c r="A719">
        <v>12</v>
      </c>
      <c r="B719" s="4" t="s">
        <v>901</v>
      </c>
      <c r="C719" s="4" t="s">
        <v>1672</v>
      </c>
      <c r="D719" s="4" t="s">
        <v>1673</v>
      </c>
      <c r="E719" s="4" t="s">
        <v>5804</v>
      </c>
      <c r="F719" t="s">
        <v>200</v>
      </c>
      <c r="G719" t="s">
        <v>914</v>
      </c>
      <c r="H719" t="s">
        <v>21</v>
      </c>
      <c r="I719">
        <v>2</v>
      </c>
      <c r="J719" s="5">
        <v>8.5000000000000006E-2</v>
      </c>
      <c r="K719" t="s">
        <v>319</v>
      </c>
      <c r="L719" s="6">
        <v>42583</v>
      </c>
      <c r="M719">
        <v>8</v>
      </c>
      <c r="N719" s="7" t="s">
        <v>55</v>
      </c>
      <c r="O719" t="s">
        <v>31</v>
      </c>
      <c r="P719" t="s">
        <v>1719</v>
      </c>
      <c r="Q719" t="s">
        <v>1720</v>
      </c>
      <c r="R719" t="s">
        <v>1721</v>
      </c>
    </row>
    <row r="720" spans="1:18" hidden="1">
      <c r="A720">
        <v>12</v>
      </c>
      <c r="B720" s="4" t="s">
        <v>901</v>
      </c>
      <c r="C720" s="4" t="s">
        <v>1672</v>
      </c>
      <c r="D720" s="4" t="s">
        <v>1673</v>
      </c>
      <c r="E720" s="4" t="s">
        <v>5804</v>
      </c>
      <c r="F720" t="s">
        <v>200</v>
      </c>
      <c r="G720" t="s">
        <v>620</v>
      </c>
      <c r="H720" t="s">
        <v>53</v>
      </c>
      <c r="I720" t="s">
        <v>53</v>
      </c>
      <c r="J720" s="5" t="s">
        <v>53</v>
      </c>
      <c r="K720" t="s">
        <v>422</v>
      </c>
      <c r="L720" s="6">
        <v>42736</v>
      </c>
      <c r="M720">
        <v>1</v>
      </c>
      <c r="N720" s="7" t="s">
        <v>30</v>
      </c>
      <c r="O720" t="s">
        <v>66</v>
      </c>
      <c r="P720" t="s">
        <v>1738</v>
      </c>
      <c r="Q720" t="s">
        <v>1739</v>
      </c>
      <c r="R720" t="s">
        <v>1740</v>
      </c>
    </row>
    <row r="721" spans="1:18" hidden="1">
      <c r="A721">
        <v>12</v>
      </c>
      <c r="B721" s="4" t="s">
        <v>901</v>
      </c>
      <c r="C721" s="4" t="s">
        <v>1672</v>
      </c>
      <c r="D721" s="4" t="s">
        <v>1673</v>
      </c>
      <c r="E721" s="4" t="s">
        <v>5804</v>
      </c>
      <c r="F721" t="s">
        <v>200</v>
      </c>
      <c r="G721" t="s">
        <v>810</v>
      </c>
      <c r="H721" t="s">
        <v>53</v>
      </c>
      <c r="I721" t="s">
        <v>53</v>
      </c>
      <c r="J721" s="5" t="s">
        <v>53</v>
      </c>
      <c r="K721" t="s">
        <v>681</v>
      </c>
      <c r="L721" s="6">
        <v>42887</v>
      </c>
      <c r="M721">
        <v>6</v>
      </c>
      <c r="N721" s="7" t="s">
        <v>55</v>
      </c>
      <c r="O721" t="s">
        <v>24</v>
      </c>
      <c r="P721" t="s">
        <v>1753</v>
      </c>
      <c r="Q721" t="s">
        <v>1754</v>
      </c>
      <c r="R721" t="s">
        <v>1755</v>
      </c>
    </row>
    <row r="722" spans="1:18" hidden="1">
      <c r="A722">
        <v>12</v>
      </c>
      <c r="B722" s="4" t="s">
        <v>901</v>
      </c>
      <c r="C722" s="4" t="s">
        <v>1672</v>
      </c>
      <c r="D722" s="4" t="s">
        <v>1673</v>
      </c>
      <c r="E722" s="4" t="s">
        <v>5804</v>
      </c>
      <c r="F722" t="s">
        <v>200</v>
      </c>
      <c r="G722" t="s">
        <v>620</v>
      </c>
      <c r="H722" t="s">
        <v>53</v>
      </c>
      <c r="I722" t="s">
        <v>53</v>
      </c>
      <c r="J722" s="5" t="s">
        <v>53</v>
      </c>
      <c r="K722" t="s">
        <v>152</v>
      </c>
      <c r="L722" s="6">
        <v>43374</v>
      </c>
      <c r="M722">
        <v>10</v>
      </c>
      <c r="N722" s="7" t="s">
        <v>23</v>
      </c>
      <c r="O722" t="s">
        <v>31</v>
      </c>
      <c r="P722" t="s">
        <v>1839</v>
      </c>
      <c r="Q722" t="s">
        <v>1840</v>
      </c>
      <c r="R722" t="s">
        <v>1841</v>
      </c>
    </row>
    <row r="723" spans="1:18" hidden="1">
      <c r="A723">
        <v>12</v>
      </c>
      <c r="B723" s="4" t="s">
        <v>901</v>
      </c>
      <c r="C723" s="4" t="s">
        <v>1672</v>
      </c>
      <c r="D723" s="4" t="s">
        <v>1673</v>
      </c>
      <c r="E723" s="4" t="s">
        <v>5804</v>
      </c>
      <c r="F723" t="s">
        <v>200</v>
      </c>
      <c r="G723" t="s">
        <v>620</v>
      </c>
      <c r="H723" t="s">
        <v>53</v>
      </c>
      <c r="I723" t="s">
        <v>53</v>
      </c>
      <c r="J723" s="5" t="s">
        <v>53</v>
      </c>
      <c r="K723" t="s">
        <v>251</v>
      </c>
      <c r="L723" s="6">
        <v>43952</v>
      </c>
      <c r="M723">
        <v>5</v>
      </c>
      <c r="N723" s="7" t="s">
        <v>23</v>
      </c>
      <c r="O723" t="s">
        <v>24</v>
      </c>
      <c r="P723" t="s">
        <v>1887</v>
      </c>
      <c r="Q723" t="s">
        <v>1888</v>
      </c>
      <c r="R723" t="s">
        <v>1889</v>
      </c>
    </row>
    <row r="724" spans="1:18" hidden="1">
      <c r="A724">
        <v>12</v>
      </c>
      <c r="B724" s="4" t="s">
        <v>901</v>
      </c>
      <c r="C724" s="4" t="s">
        <v>1672</v>
      </c>
      <c r="D724" s="4" t="s">
        <v>1673</v>
      </c>
      <c r="E724" s="4" t="s">
        <v>5804</v>
      </c>
      <c r="F724" t="s">
        <v>200</v>
      </c>
      <c r="G724" t="s">
        <v>620</v>
      </c>
      <c r="H724" t="s">
        <v>53</v>
      </c>
      <c r="I724" t="s">
        <v>53</v>
      </c>
      <c r="J724" s="5" t="s">
        <v>53</v>
      </c>
      <c r="K724" t="s">
        <v>311</v>
      </c>
      <c r="L724" s="6">
        <v>44256</v>
      </c>
      <c r="M724">
        <v>3</v>
      </c>
      <c r="N724" s="7" t="s">
        <v>23</v>
      </c>
      <c r="O724" t="s">
        <v>31</v>
      </c>
      <c r="P724" t="s">
        <v>1924</v>
      </c>
      <c r="Q724" t="s">
        <v>1925</v>
      </c>
      <c r="R724" t="s">
        <v>1926</v>
      </c>
    </row>
    <row r="725" spans="1:18" hidden="1">
      <c r="A725">
        <v>12</v>
      </c>
      <c r="B725" s="4" t="s">
        <v>901</v>
      </c>
      <c r="C725" s="4" t="s">
        <v>1672</v>
      </c>
      <c r="D725" s="4" t="s">
        <v>1673</v>
      </c>
      <c r="E725" s="4" t="s">
        <v>5804</v>
      </c>
      <c r="F725" t="s">
        <v>200</v>
      </c>
      <c r="G725" t="s">
        <v>620</v>
      </c>
      <c r="H725" t="s">
        <v>53</v>
      </c>
      <c r="I725" t="s">
        <v>53</v>
      </c>
      <c r="J725" s="5" t="s">
        <v>53</v>
      </c>
      <c r="K725" t="s">
        <v>109</v>
      </c>
      <c r="L725" s="6">
        <v>44531</v>
      </c>
      <c r="M725">
        <v>12</v>
      </c>
      <c r="N725" s="7" t="s">
        <v>30</v>
      </c>
      <c r="O725" t="s">
        <v>36</v>
      </c>
      <c r="P725" t="s">
        <v>1941</v>
      </c>
      <c r="Q725" t="s">
        <v>1942</v>
      </c>
      <c r="R725" t="s">
        <v>1943</v>
      </c>
    </row>
    <row r="726" spans="1:18" hidden="1">
      <c r="A726">
        <v>2</v>
      </c>
      <c r="B726" s="4" t="s">
        <v>1952</v>
      </c>
      <c r="C726" s="4" t="s">
        <v>1953</v>
      </c>
      <c r="D726" s="4" t="s">
        <v>1954</v>
      </c>
      <c r="E726" s="4" t="s">
        <v>5804</v>
      </c>
      <c r="F726" t="s">
        <v>200</v>
      </c>
      <c r="G726" t="s">
        <v>810</v>
      </c>
      <c r="H726" t="s">
        <v>53</v>
      </c>
      <c r="I726" t="s">
        <v>53</v>
      </c>
      <c r="J726" s="5" t="s">
        <v>53</v>
      </c>
      <c r="K726" t="s">
        <v>797</v>
      </c>
      <c r="L726" s="6">
        <v>43252</v>
      </c>
      <c r="M726">
        <v>6</v>
      </c>
      <c r="N726" s="7" t="s">
        <v>55</v>
      </c>
      <c r="O726" t="s">
        <v>418</v>
      </c>
      <c r="P726" t="s">
        <v>2021</v>
      </c>
      <c r="Q726" t="s">
        <v>2022</v>
      </c>
      <c r="R726" t="s">
        <v>2023</v>
      </c>
    </row>
    <row r="727" spans="1:18" hidden="1">
      <c r="A727">
        <v>2</v>
      </c>
      <c r="B727" s="4" t="s">
        <v>1952</v>
      </c>
      <c r="C727" s="4" t="s">
        <v>1953</v>
      </c>
      <c r="D727" s="4" t="s">
        <v>1954</v>
      </c>
      <c r="E727" s="4" t="s">
        <v>5804</v>
      </c>
      <c r="F727" t="s">
        <v>200</v>
      </c>
      <c r="G727" t="s">
        <v>810</v>
      </c>
      <c r="H727" t="s">
        <v>53</v>
      </c>
      <c r="I727" t="s">
        <v>53</v>
      </c>
      <c r="J727" s="5" t="s">
        <v>53</v>
      </c>
      <c r="K727" t="s">
        <v>152</v>
      </c>
      <c r="L727" s="6">
        <v>43374</v>
      </c>
      <c r="M727">
        <v>10</v>
      </c>
      <c r="N727" s="7" t="s">
        <v>23</v>
      </c>
      <c r="O727" t="s">
        <v>31</v>
      </c>
      <c r="P727" t="s">
        <v>2034</v>
      </c>
      <c r="Q727" t="s">
        <v>2035</v>
      </c>
      <c r="R727" t="s">
        <v>2036</v>
      </c>
    </row>
    <row r="728" spans="1:18" hidden="1">
      <c r="A728">
        <v>2</v>
      </c>
      <c r="B728" s="4" t="s">
        <v>1952</v>
      </c>
      <c r="C728" s="4" t="s">
        <v>1953</v>
      </c>
      <c r="D728" s="4" t="s">
        <v>2072</v>
      </c>
      <c r="E728" s="4" t="s">
        <v>5804</v>
      </c>
      <c r="F728" t="s">
        <v>200</v>
      </c>
      <c r="G728" t="s">
        <v>620</v>
      </c>
      <c r="H728" t="s">
        <v>53</v>
      </c>
      <c r="I728" t="s">
        <v>53</v>
      </c>
      <c r="J728" s="5" t="s">
        <v>53</v>
      </c>
      <c r="K728" t="s">
        <v>234</v>
      </c>
      <c r="L728" s="6">
        <v>42826</v>
      </c>
      <c r="M728">
        <v>4</v>
      </c>
      <c r="N728" s="7" t="s">
        <v>23</v>
      </c>
      <c r="O728" t="s">
        <v>31</v>
      </c>
      <c r="P728" t="s">
        <v>2118</v>
      </c>
      <c r="Q728" t="s">
        <v>2119</v>
      </c>
      <c r="R728" t="s">
        <v>2120</v>
      </c>
    </row>
    <row r="729" spans="1:18" hidden="1">
      <c r="A729">
        <v>2</v>
      </c>
      <c r="B729" s="4" t="s">
        <v>1952</v>
      </c>
      <c r="C729" s="4" t="s">
        <v>1953</v>
      </c>
      <c r="D729" s="4" t="s">
        <v>2072</v>
      </c>
      <c r="E729" s="4" t="s">
        <v>5804</v>
      </c>
      <c r="F729" t="s">
        <v>200</v>
      </c>
      <c r="G729" t="s">
        <v>914</v>
      </c>
      <c r="H729" t="s">
        <v>21</v>
      </c>
      <c r="I729">
        <v>2</v>
      </c>
      <c r="J729" s="5">
        <v>8.5000000000000006E-2</v>
      </c>
      <c r="K729" t="s">
        <v>1012</v>
      </c>
      <c r="L729" s="6">
        <v>43132</v>
      </c>
      <c r="M729">
        <v>2</v>
      </c>
      <c r="N729" s="7" t="s">
        <v>30</v>
      </c>
      <c r="O729" t="s">
        <v>31</v>
      </c>
      <c r="P729" t="s">
        <v>2130</v>
      </c>
      <c r="Q729" t="s">
        <v>2131</v>
      </c>
      <c r="R729" t="s">
        <v>2132</v>
      </c>
    </row>
    <row r="730" spans="1:18" hidden="1">
      <c r="A730">
        <v>2</v>
      </c>
      <c r="B730" s="4" t="s">
        <v>1952</v>
      </c>
      <c r="C730" s="4" t="s">
        <v>1953</v>
      </c>
      <c r="D730" s="4" t="s">
        <v>2072</v>
      </c>
      <c r="E730" s="4" t="s">
        <v>5804</v>
      </c>
      <c r="F730" t="s">
        <v>200</v>
      </c>
      <c r="G730" t="s">
        <v>620</v>
      </c>
      <c r="H730" t="s">
        <v>53</v>
      </c>
      <c r="I730" t="s">
        <v>53</v>
      </c>
      <c r="J730" s="5" t="s">
        <v>53</v>
      </c>
      <c r="K730" t="s">
        <v>753</v>
      </c>
      <c r="L730" s="6">
        <v>44348</v>
      </c>
      <c r="M730">
        <v>6</v>
      </c>
      <c r="N730" s="7" t="s">
        <v>55</v>
      </c>
      <c r="O730" t="s">
        <v>31</v>
      </c>
      <c r="P730" t="s">
        <v>2221</v>
      </c>
      <c r="Q730" t="s">
        <v>2103</v>
      </c>
      <c r="R730" t="s">
        <v>2082</v>
      </c>
    </row>
    <row r="731" spans="1:18" hidden="1">
      <c r="A731">
        <v>2</v>
      </c>
      <c r="B731" s="4" t="s">
        <v>1952</v>
      </c>
      <c r="C731" s="4" t="s">
        <v>1953</v>
      </c>
      <c r="D731" s="4" t="s">
        <v>2224</v>
      </c>
      <c r="E731" s="4" t="s">
        <v>5804</v>
      </c>
      <c r="F731" t="s">
        <v>200</v>
      </c>
      <c r="G731" t="s">
        <v>810</v>
      </c>
      <c r="H731" t="s">
        <v>53</v>
      </c>
      <c r="I731" t="s">
        <v>53</v>
      </c>
      <c r="J731" s="5" t="s">
        <v>53</v>
      </c>
      <c r="K731" t="s">
        <v>558</v>
      </c>
      <c r="L731" s="6">
        <v>42339</v>
      </c>
      <c r="M731">
        <v>12</v>
      </c>
      <c r="N731" s="7" t="s">
        <v>30</v>
      </c>
      <c r="O731" t="s">
        <v>36</v>
      </c>
      <c r="P731" t="s">
        <v>2225</v>
      </c>
      <c r="Q731" t="s">
        <v>2226</v>
      </c>
      <c r="R731" t="s">
        <v>2227</v>
      </c>
    </row>
    <row r="732" spans="1:18" hidden="1">
      <c r="A732">
        <v>2</v>
      </c>
      <c r="B732" s="4" t="s">
        <v>1952</v>
      </c>
      <c r="C732" s="4" t="s">
        <v>1953</v>
      </c>
      <c r="D732" s="4" t="s">
        <v>2224</v>
      </c>
      <c r="E732" s="4" t="s">
        <v>5804</v>
      </c>
      <c r="F732" t="s">
        <v>200</v>
      </c>
      <c r="G732" t="s">
        <v>810</v>
      </c>
      <c r="H732" t="s">
        <v>53</v>
      </c>
      <c r="I732" t="s">
        <v>53</v>
      </c>
      <c r="J732" s="5" t="s">
        <v>53</v>
      </c>
      <c r="K732" t="s">
        <v>220</v>
      </c>
      <c r="L732" s="6">
        <v>42644</v>
      </c>
      <c r="M732">
        <v>10</v>
      </c>
      <c r="N732" s="7" t="s">
        <v>23</v>
      </c>
      <c r="O732" t="s">
        <v>36</v>
      </c>
      <c r="P732" t="s">
        <v>2253</v>
      </c>
      <c r="Q732" t="s">
        <v>2254</v>
      </c>
      <c r="R732" t="s">
        <v>2255</v>
      </c>
    </row>
    <row r="733" spans="1:18" hidden="1">
      <c r="A733">
        <v>2</v>
      </c>
      <c r="B733" s="4" t="s">
        <v>1952</v>
      </c>
      <c r="C733" s="4" t="s">
        <v>1953</v>
      </c>
      <c r="D733" s="4" t="s">
        <v>2224</v>
      </c>
      <c r="E733" s="4" t="s">
        <v>5804</v>
      </c>
      <c r="F733" t="s">
        <v>200</v>
      </c>
      <c r="G733" t="s">
        <v>288</v>
      </c>
      <c r="H733" t="s">
        <v>21</v>
      </c>
      <c r="I733">
        <v>2</v>
      </c>
      <c r="J733" s="5">
        <v>8.5000000000000006E-2</v>
      </c>
      <c r="K733" t="s">
        <v>547</v>
      </c>
      <c r="L733" s="6">
        <v>44075</v>
      </c>
      <c r="M733">
        <v>9</v>
      </c>
      <c r="N733" s="7" t="s">
        <v>23</v>
      </c>
      <c r="O733" t="s">
        <v>24</v>
      </c>
      <c r="P733" t="s">
        <v>2321</v>
      </c>
      <c r="Q733" t="s">
        <v>2322</v>
      </c>
      <c r="R733" t="s">
        <v>2323</v>
      </c>
    </row>
    <row r="734" spans="1:18" hidden="1">
      <c r="A734">
        <v>2</v>
      </c>
      <c r="B734" s="4" t="s">
        <v>1952</v>
      </c>
      <c r="C734" s="4" t="s">
        <v>2425</v>
      </c>
      <c r="D734" s="4" t="s">
        <v>2426</v>
      </c>
      <c r="E734" s="4" t="s">
        <v>5804</v>
      </c>
      <c r="F734" t="s">
        <v>200</v>
      </c>
      <c r="G734" t="s">
        <v>810</v>
      </c>
      <c r="H734" t="s">
        <v>53</v>
      </c>
      <c r="I734" t="s">
        <v>53</v>
      </c>
      <c r="J734" s="5" t="s">
        <v>53</v>
      </c>
      <c r="K734" t="s">
        <v>119</v>
      </c>
      <c r="L734" s="6">
        <v>42552</v>
      </c>
      <c r="M734">
        <v>7</v>
      </c>
      <c r="N734" s="7" t="s">
        <v>55</v>
      </c>
      <c r="O734" t="s">
        <v>31</v>
      </c>
      <c r="P734" t="s">
        <v>2427</v>
      </c>
      <c r="Q734" t="s">
        <v>2428</v>
      </c>
      <c r="R734" t="s">
        <v>2429</v>
      </c>
    </row>
    <row r="735" spans="1:18" hidden="1">
      <c r="A735">
        <v>2</v>
      </c>
      <c r="B735" s="4" t="s">
        <v>1952</v>
      </c>
      <c r="C735" s="4" t="s">
        <v>2425</v>
      </c>
      <c r="D735" s="4" t="s">
        <v>2426</v>
      </c>
      <c r="E735" s="4" t="s">
        <v>5804</v>
      </c>
      <c r="F735" t="s">
        <v>200</v>
      </c>
      <c r="G735" t="s">
        <v>810</v>
      </c>
      <c r="H735" t="s">
        <v>53</v>
      </c>
      <c r="I735" t="s">
        <v>53</v>
      </c>
      <c r="J735" s="5" t="s">
        <v>53</v>
      </c>
      <c r="K735" t="s">
        <v>119</v>
      </c>
      <c r="L735" s="6">
        <v>42552</v>
      </c>
      <c r="M735">
        <v>7</v>
      </c>
      <c r="N735" s="7" t="s">
        <v>55</v>
      </c>
      <c r="O735" t="s">
        <v>24</v>
      </c>
      <c r="P735" t="s">
        <v>2430</v>
      </c>
      <c r="Q735" t="s">
        <v>2431</v>
      </c>
      <c r="R735" t="s">
        <v>2432</v>
      </c>
    </row>
    <row r="736" spans="1:18" hidden="1">
      <c r="A736">
        <v>2</v>
      </c>
      <c r="B736" s="4" t="s">
        <v>1952</v>
      </c>
      <c r="C736" s="4" t="s">
        <v>2425</v>
      </c>
      <c r="D736" s="4" t="s">
        <v>2446</v>
      </c>
      <c r="E736" s="4" t="s">
        <v>5804</v>
      </c>
      <c r="F736" t="s">
        <v>200</v>
      </c>
      <c r="G736" t="s">
        <v>810</v>
      </c>
      <c r="H736" t="s">
        <v>53</v>
      </c>
      <c r="I736" t="s">
        <v>53</v>
      </c>
      <c r="J736" s="5" t="s">
        <v>53</v>
      </c>
      <c r="K736" t="s">
        <v>382</v>
      </c>
      <c r="L736" s="6">
        <v>42401</v>
      </c>
      <c r="M736">
        <v>2</v>
      </c>
      <c r="N736" s="7" t="s">
        <v>30</v>
      </c>
      <c r="O736" t="s">
        <v>24</v>
      </c>
      <c r="P736" t="s">
        <v>2447</v>
      </c>
      <c r="Q736" t="s">
        <v>2448</v>
      </c>
      <c r="R736" t="s">
        <v>2449</v>
      </c>
    </row>
    <row r="737" spans="1:18" hidden="1">
      <c r="A737">
        <v>2</v>
      </c>
      <c r="B737" s="4" t="s">
        <v>1952</v>
      </c>
      <c r="C737" s="4" t="s">
        <v>2425</v>
      </c>
      <c r="D737" s="4" t="s">
        <v>2446</v>
      </c>
      <c r="E737" s="4" t="s">
        <v>5804</v>
      </c>
      <c r="F737" t="s">
        <v>200</v>
      </c>
      <c r="G737" t="s">
        <v>810</v>
      </c>
      <c r="H737" t="s">
        <v>53</v>
      </c>
      <c r="I737" t="s">
        <v>53</v>
      </c>
      <c r="J737" s="5" t="s">
        <v>53</v>
      </c>
      <c r="K737" t="s">
        <v>128</v>
      </c>
      <c r="L737" s="6">
        <v>42795</v>
      </c>
      <c r="M737">
        <v>3</v>
      </c>
      <c r="N737" s="7" t="s">
        <v>23</v>
      </c>
      <c r="O737" t="s">
        <v>193</v>
      </c>
      <c r="P737" t="s">
        <v>2468</v>
      </c>
      <c r="Q737" t="s">
        <v>2469</v>
      </c>
      <c r="R737" t="s">
        <v>2470</v>
      </c>
    </row>
    <row r="738" spans="1:18" hidden="1">
      <c r="A738">
        <v>2</v>
      </c>
      <c r="B738" s="4" t="s">
        <v>1952</v>
      </c>
      <c r="C738" s="4" t="s">
        <v>2425</v>
      </c>
      <c r="D738" s="4" t="s">
        <v>2446</v>
      </c>
      <c r="E738" s="4" t="s">
        <v>5804</v>
      </c>
      <c r="F738" t="s">
        <v>200</v>
      </c>
      <c r="G738" t="s">
        <v>810</v>
      </c>
      <c r="H738" t="s">
        <v>53</v>
      </c>
      <c r="I738" t="s">
        <v>53</v>
      </c>
      <c r="J738" s="5" t="s">
        <v>53</v>
      </c>
      <c r="K738" t="s">
        <v>234</v>
      </c>
      <c r="L738" s="6">
        <v>42826</v>
      </c>
      <c r="M738">
        <v>4</v>
      </c>
      <c r="N738" s="7" t="s">
        <v>23</v>
      </c>
      <c r="O738" t="s">
        <v>24</v>
      </c>
      <c r="P738" t="s">
        <v>2471</v>
      </c>
      <c r="Q738" t="s">
        <v>2472</v>
      </c>
      <c r="R738" t="s">
        <v>2473</v>
      </c>
    </row>
    <row r="739" spans="1:18" hidden="1">
      <c r="A739">
        <v>2</v>
      </c>
      <c r="B739" s="4" t="s">
        <v>1952</v>
      </c>
      <c r="C739" s="4" t="s">
        <v>2425</v>
      </c>
      <c r="D739" s="4" t="s">
        <v>2446</v>
      </c>
      <c r="E739" s="4" t="s">
        <v>5804</v>
      </c>
      <c r="F739" t="s">
        <v>200</v>
      </c>
      <c r="G739" t="s">
        <v>810</v>
      </c>
      <c r="H739" t="s">
        <v>53</v>
      </c>
      <c r="I739" t="s">
        <v>53</v>
      </c>
      <c r="J739" s="5" t="s">
        <v>53</v>
      </c>
      <c r="K739" t="s">
        <v>87</v>
      </c>
      <c r="L739" s="6">
        <v>43040</v>
      </c>
      <c r="M739">
        <v>11</v>
      </c>
      <c r="N739" s="7" t="s">
        <v>23</v>
      </c>
      <c r="O739" t="s">
        <v>24</v>
      </c>
      <c r="P739" t="s">
        <v>2481</v>
      </c>
      <c r="Q739" t="s">
        <v>2482</v>
      </c>
      <c r="R739" t="s">
        <v>2483</v>
      </c>
    </row>
    <row r="740" spans="1:18" hidden="1">
      <c r="A740">
        <v>2</v>
      </c>
      <c r="B740" s="4" t="s">
        <v>1952</v>
      </c>
      <c r="C740" s="4" t="s">
        <v>2425</v>
      </c>
      <c r="D740" s="4" t="s">
        <v>2446</v>
      </c>
      <c r="E740" s="4" t="s">
        <v>5804</v>
      </c>
      <c r="F740" t="s">
        <v>200</v>
      </c>
      <c r="G740" t="s">
        <v>810</v>
      </c>
      <c r="H740" t="s">
        <v>53</v>
      </c>
      <c r="I740" t="s">
        <v>53</v>
      </c>
      <c r="J740" s="5" t="s">
        <v>53</v>
      </c>
      <c r="K740" t="s">
        <v>292</v>
      </c>
      <c r="L740" s="6">
        <v>43191</v>
      </c>
      <c r="M740">
        <v>4</v>
      </c>
      <c r="N740" s="7" t="s">
        <v>23</v>
      </c>
      <c r="O740" t="s">
        <v>24</v>
      </c>
      <c r="P740" t="s">
        <v>2484</v>
      </c>
      <c r="Q740" t="s">
        <v>2485</v>
      </c>
      <c r="R740" t="s">
        <v>2486</v>
      </c>
    </row>
    <row r="741" spans="1:18" hidden="1">
      <c r="A741">
        <v>2</v>
      </c>
      <c r="B741" s="4" t="s">
        <v>1952</v>
      </c>
      <c r="C741" s="4" t="s">
        <v>2425</v>
      </c>
      <c r="D741" s="4" t="s">
        <v>2446</v>
      </c>
      <c r="E741" s="4" t="s">
        <v>5804</v>
      </c>
      <c r="F741" t="s">
        <v>200</v>
      </c>
      <c r="G741" t="s">
        <v>810</v>
      </c>
      <c r="H741" t="s">
        <v>53</v>
      </c>
      <c r="I741" t="s">
        <v>53</v>
      </c>
      <c r="J741" s="5" t="s">
        <v>53</v>
      </c>
      <c r="K741" t="s">
        <v>630</v>
      </c>
      <c r="L741" s="6">
        <v>44378</v>
      </c>
      <c r="M741">
        <v>7</v>
      </c>
      <c r="N741" s="7" t="s">
        <v>55</v>
      </c>
      <c r="O741" t="s">
        <v>24</v>
      </c>
      <c r="P741" t="s">
        <v>2500</v>
      </c>
      <c r="Q741" t="s">
        <v>2501</v>
      </c>
      <c r="R741" t="s">
        <v>2502</v>
      </c>
    </row>
    <row r="742" spans="1:18" hidden="1">
      <c r="A742">
        <v>2</v>
      </c>
      <c r="B742" s="4" t="s">
        <v>1952</v>
      </c>
      <c r="C742" s="4" t="s">
        <v>2425</v>
      </c>
      <c r="D742" s="4" t="s">
        <v>2509</v>
      </c>
      <c r="E742" s="4" t="s">
        <v>5804</v>
      </c>
      <c r="F742" t="s">
        <v>200</v>
      </c>
      <c r="G742" t="s">
        <v>810</v>
      </c>
      <c r="H742" t="s">
        <v>53</v>
      </c>
      <c r="I742" t="s">
        <v>53</v>
      </c>
      <c r="J742" s="5" t="s">
        <v>53</v>
      </c>
      <c r="K742" t="s">
        <v>2510</v>
      </c>
      <c r="L742" s="6">
        <v>42064</v>
      </c>
      <c r="M742">
        <v>3</v>
      </c>
      <c r="N742" s="7" t="s">
        <v>23</v>
      </c>
      <c r="O742" t="s">
        <v>36</v>
      </c>
      <c r="P742" t="s">
        <v>2511</v>
      </c>
      <c r="Q742" t="s">
        <v>2512</v>
      </c>
      <c r="R742" t="s">
        <v>2513</v>
      </c>
    </row>
    <row r="743" spans="1:18" hidden="1">
      <c r="A743">
        <v>2</v>
      </c>
      <c r="B743" s="4" t="s">
        <v>1952</v>
      </c>
      <c r="C743" s="4" t="s">
        <v>2425</v>
      </c>
      <c r="D743" s="4" t="s">
        <v>2509</v>
      </c>
      <c r="E743" s="4" t="s">
        <v>5804</v>
      </c>
      <c r="F743" t="s">
        <v>200</v>
      </c>
      <c r="G743" t="s">
        <v>810</v>
      </c>
      <c r="H743" t="s">
        <v>53</v>
      </c>
      <c r="I743" t="s">
        <v>53</v>
      </c>
      <c r="J743" s="5" t="s">
        <v>53</v>
      </c>
      <c r="K743" t="s">
        <v>681</v>
      </c>
      <c r="L743" s="6">
        <v>42887</v>
      </c>
      <c r="M743">
        <v>6</v>
      </c>
      <c r="N743" s="7" t="s">
        <v>55</v>
      </c>
      <c r="O743" t="s">
        <v>88</v>
      </c>
      <c r="P743" t="s">
        <v>2539</v>
      </c>
      <c r="Q743" t="s">
        <v>2540</v>
      </c>
      <c r="R743" t="s">
        <v>2541</v>
      </c>
    </row>
    <row r="744" spans="1:18" hidden="1">
      <c r="A744">
        <v>2</v>
      </c>
      <c r="B744" s="4" t="s">
        <v>1952</v>
      </c>
      <c r="C744" s="4" t="s">
        <v>2425</v>
      </c>
      <c r="D744" s="4" t="s">
        <v>2509</v>
      </c>
      <c r="E744" s="4" t="s">
        <v>5804</v>
      </c>
      <c r="F744" t="s">
        <v>200</v>
      </c>
      <c r="G744" t="s">
        <v>810</v>
      </c>
      <c r="H744" t="s">
        <v>53</v>
      </c>
      <c r="I744" t="s">
        <v>53</v>
      </c>
      <c r="J744" s="5" t="s">
        <v>53</v>
      </c>
      <c r="K744" t="s">
        <v>547</v>
      </c>
      <c r="L744" s="6">
        <v>44075</v>
      </c>
      <c r="M744">
        <v>9</v>
      </c>
      <c r="N744" s="7" t="s">
        <v>23</v>
      </c>
      <c r="O744" t="s">
        <v>418</v>
      </c>
      <c r="P744" t="s">
        <v>2553</v>
      </c>
      <c r="Q744" t="s">
        <v>2554</v>
      </c>
      <c r="R744" t="s">
        <v>2555</v>
      </c>
    </row>
    <row r="745" spans="1:18" hidden="1">
      <c r="A745">
        <v>2</v>
      </c>
      <c r="B745" s="4" t="s">
        <v>1952</v>
      </c>
      <c r="C745" s="4" t="s">
        <v>2425</v>
      </c>
      <c r="D745" s="4" t="s">
        <v>2509</v>
      </c>
      <c r="E745" s="4" t="s">
        <v>5804</v>
      </c>
      <c r="F745" t="s">
        <v>200</v>
      </c>
      <c r="G745" t="s">
        <v>810</v>
      </c>
      <c r="H745" t="s">
        <v>53</v>
      </c>
      <c r="I745" t="s">
        <v>53</v>
      </c>
      <c r="J745" s="5" t="s">
        <v>53</v>
      </c>
      <c r="K745" t="s">
        <v>178</v>
      </c>
      <c r="L745" s="6">
        <v>44228</v>
      </c>
      <c r="M745">
        <v>2</v>
      </c>
      <c r="N745" s="7" t="s">
        <v>30</v>
      </c>
      <c r="O745" t="s">
        <v>36</v>
      </c>
      <c r="P745" t="s">
        <v>2559</v>
      </c>
      <c r="Q745" t="s">
        <v>2560</v>
      </c>
      <c r="R745" t="s">
        <v>2561</v>
      </c>
    </row>
    <row r="746" spans="1:18" hidden="1">
      <c r="A746">
        <v>2</v>
      </c>
      <c r="B746" s="4" t="s">
        <v>1952</v>
      </c>
      <c r="C746" s="4" t="s">
        <v>2425</v>
      </c>
      <c r="D746" s="4" t="s">
        <v>2509</v>
      </c>
      <c r="E746" s="4" t="s">
        <v>5804</v>
      </c>
      <c r="F746" t="s">
        <v>200</v>
      </c>
      <c r="G746" t="s">
        <v>810</v>
      </c>
      <c r="H746" t="s">
        <v>53</v>
      </c>
      <c r="I746" t="s">
        <v>53</v>
      </c>
      <c r="J746" s="5" t="s">
        <v>53</v>
      </c>
      <c r="K746" t="s">
        <v>753</v>
      </c>
      <c r="L746" s="6">
        <v>44348</v>
      </c>
      <c r="M746">
        <v>6</v>
      </c>
      <c r="N746" s="7" t="s">
        <v>55</v>
      </c>
      <c r="O746" t="s">
        <v>36</v>
      </c>
      <c r="P746" t="s">
        <v>2562</v>
      </c>
      <c r="Q746" t="s">
        <v>2560</v>
      </c>
      <c r="R746" t="s">
        <v>2561</v>
      </c>
    </row>
    <row r="747" spans="1:18" hidden="1">
      <c r="A747">
        <v>2</v>
      </c>
      <c r="B747" s="4" t="s">
        <v>1952</v>
      </c>
      <c r="C747" s="4" t="s">
        <v>2566</v>
      </c>
      <c r="D747" s="4" t="s">
        <v>2567</v>
      </c>
      <c r="E747" s="4" t="s">
        <v>5804</v>
      </c>
      <c r="F747" t="s">
        <v>200</v>
      </c>
      <c r="G747" t="s">
        <v>810</v>
      </c>
      <c r="H747" t="s">
        <v>53</v>
      </c>
      <c r="I747" t="s">
        <v>53</v>
      </c>
      <c r="J747" s="5" t="s">
        <v>53</v>
      </c>
      <c r="K747" t="s">
        <v>489</v>
      </c>
      <c r="L747" s="6">
        <v>44409</v>
      </c>
      <c r="M747">
        <v>8</v>
      </c>
      <c r="N747" s="7" t="s">
        <v>55</v>
      </c>
      <c r="O747" t="s">
        <v>31</v>
      </c>
      <c r="P747" t="s">
        <v>2613</v>
      </c>
      <c r="Q747" t="s">
        <v>2614</v>
      </c>
      <c r="R747" t="s">
        <v>2615</v>
      </c>
    </row>
    <row r="748" spans="1:18" hidden="1">
      <c r="A748">
        <v>2</v>
      </c>
      <c r="B748" s="4" t="s">
        <v>1952</v>
      </c>
      <c r="C748" s="4" t="s">
        <v>2566</v>
      </c>
      <c r="D748" s="4" t="s">
        <v>2620</v>
      </c>
      <c r="E748" s="4" t="s">
        <v>5804</v>
      </c>
      <c r="F748" t="s">
        <v>200</v>
      </c>
      <c r="G748" t="s">
        <v>620</v>
      </c>
      <c r="H748" t="s">
        <v>53</v>
      </c>
      <c r="I748" t="s">
        <v>53</v>
      </c>
      <c r="J748" s="5" t="s">
        <v>53</v>
      </c>
      <c r="K748" t="s">
        <v>558</v>
      </c>
      <c r="L748" s="6">
        <v>42339</v>
      </c>
      <c r="M748">
        <v>12</v>
      </c>
      <c r="N748" s="7" t="s">
        <v>30</v>
      </c>
      <c r="O748" t="s">
        <v>223</v>
      </c>
      <c r="P748" t="s">
        <v>2621</v>
      </c>
      <c r="Q748" t="s">
        <v>2622</v>
      </c>
      <c r="R748" t="s">
        <v>2623</v>
      </c>
    </row>
    <row r="749" spans="1:18" hidden="1">
      <c r="A749">
        <v>2</v>
      </c>
      <c r="B749" s="4" t="s">
        <v>1952</v>
      </c>
      <c r="C749" s="4" t="s">
        <v>2566</v>
      </c>
      <c r="D749" s="4" t="s">
        <v>2620</v>
      </c>
      <c r="E749" s="4" t="s">
        <v>5804</v>
      </c>
      <c r="F749" t="s">
        <v>200</v>
      </c>
      <c r="G749" t="s">
        <v>914</v>
      </c>
      <c r="H749" t="s">
        <v>21</v>
      </c>
      <c r="I749">
        <v>2</v>
      </c>
      <c r="J749" s="5">
        <v>8.5000000000000006E-2</v>
      </c>
      <c r="K749" t="s">
        <v>382</v>
      </c>
      <c r="L749" s="6">
        <v>42401</v>
      </c>
      <c r="M749">
        <v>2</v>
      </c>
      <c r="N749" s="7" t="s">
        <v>30</v>
      </c>
      <c r="O749" t="s">
        <v>66</v>
      </c>
      <c r="P749" t="s">
        <v>2624</v>
      </c>
      <c r="Q749" t="s">
        <v>2625</v>
      </c>
      <c r="R749" t="s">
        <v>2626</v>
      </c>
    </row>
    <row r="750" spans="1:18" hidden="1">
      <c r="A750">
        <v>2</v>
      </c>
      <c r="B750" s="4" t="s">
        <v>1952</v>
      </c>
      <c r="C750" s="4" t="s">
        <v>2566</v>
      </c>
      <c r="D750" s="4" t="s">
        <v>2620</v>
      </c>
      <c r="E750" s="4" t="s">
        <v>5804</v>
      </c>
      <c r="F750" t="s">
        <v>200</v>
      </c>
      <c r="G750" t="s">
        <v>810</v>
      </c>
      <c r="H750" t="s">
        <v>53</v>
      </c>
      <c r="I750" t="s">
        <v>53</v>
      </c>
      <c r="J750" s="5" t="s">
        <v>53</v>
      </c>
      <c r="K750" t="s">
        <v>701</v>
      </c>
      <c r="L750" s="6">
        <v>42491</v>
      </c>
      <c r="M750">
        <v>5</v>
      </c>
      <c r="N750" s="7" t="s">
        <v>23</v>
      </c>
      <c r="O750" t="s">
        <v>418</v>
      </c>
      <c r="P750" t="s">
        <v>2633</v>
      </c>
      <c r="Q750" t="s">
        <v>2634</v>
      </c>
      <c r="R750" t="s">
        <v>2635</v>
      </c>
    </row>
    <row r="751" spans="1:18" hidden="1">
      <c r="A751">
        <v>2</v>
      </c>
      <c r="B751" s="4" t="s">
        <v>1952</v>
      </c>
      <c r="C751" s="4" t="s">
        <v>2566</v>
      </c>
      <c r="D751" s="4" t="s">
        <v>2620</v>
      </c>
      <c r="E751" s="4" t="s">
        <v>5804</v>
      </c>
      <c r="F751" t="s">
        <v>200</v>
      </c>
      <c r="G751" t="s">
        <v>810</v>
      </c>
      <c r="H751" t="s">
        <v>53</v>
      </c>
      <c r="I751" t="s">
        <v>53</v>
      </c>
      <c r="J751" s="5" t="s">
        <v>53</v>
      </c>
      <c r="K751" t="s">
        <v>2655</v>
      </c>
      <c r="L751" s="6">
        <v>42887</v>
      </c>
      <c r="M751">
        <v>6</v>
      </c>
      <c r="N751" s="7" t="s">
        <v>55</v>
      </c>
      <c r="O751" t="s">
        <v>31</v>
      </c>
      <c r="P751" t="s">
        <v>2656</v>
      </c>
      <c r="Q751" t="s">
        <v>2657</v>
      </c>
      <c r="R751" t="s">
        <v>2635</v>
      </c>
    </row>
    <row r="752" spans="1:18" hidden="1">
      <c r="A752">
        <v>2</v>
      </c>
      <c r="B752" s="4" t="s">
        <v>1952</v>
      </c>
      <c r="C752" s="4" t="s">
        <v>2566</v>
      </c>
      <c r="D752" s="4" t="s">
        <v>2620</v>
      </c>
      <c r="E752" s="4" t="s">
        <v>5804</v>
      </c>
      <c r="F752" t="s">
        <v>200</v>
      </c>
      <c r="G752" t="s">
        <v>914</v>
      </c>
      <c r="H752" t="s">
        <v>21</v>
      </c>
      <c r="I752">
        <v>2</v>
      </c>
      <c r="J752" s="5">
        <v>8.5000000000000006E-2</v>
      </c>
      <c r="K752" t="s">
        <v>654</v>
      </c>
      <c r="L752" s="6">
        <v>43556</v>
      </c>
      <c r="M752">
        <v>4</v>
      </c>
      <c r="N752" s="7" t="s">
        <v>23</v>
      </c>
      <c r="O752" t="s">
        <v>31</v>
      </c>
      <c r="P752" t="s">
        <v>2688</v>
      </c>
      <c r="Q752" t="s">
        <v>2689</v>
      </c>
      <c r="R752" t="s">
        <v>2690</v>
      </c>
    </row>
    <row r="753" spans="1:18" hidden="1">
      <c r="A753">
        <v>2</v>
      </c>
      <c r="B753" s="4" t="s">
        <v>1952</v>
      </c>
      <c r="C753" s="4" t="s">
        <v>2566</v>
      </c>
      <c r="D753" s="4" t="s">
        <v>2620</v>
      </c>
      <c r="E753" s="4" t="s">
        <v>5804</v>
      </c>
      <c r="F753" t="s">
        <v>200</v>
      </c>
      <c r="G753" t="s">
        <v>914</v>
      </c>
      <c r="H753" t="s">
        <v>21</v>
      </c>
      <c r="I753">
        <v>2</v>
      </c>
      <c r="J753" s="5">
        <v>8.5000000000000006E-2</v>
      </c>
      <c r="K753" t="s">
        <v>691</v>
      </c>
      <c r="L753" s="6">
        <v>43770</v>
      </c>
      <c r="M753">
        <v>11</v>
      </c>
      <c r="N753" s="7" t="s">
        <v>23</v>
      </c>
      <c r="O753" t="s">
        <v>66</v>
      </c>
      <c r="P753" t="s">
        <v>2696</v>
      </c>
      <c r="Q753" t="s">
        <v>2625</v>
      </c>
      <c r="R753" t="s">
        <v>2697</v>
      </c>
    </row>
    <row r="754" spans="1:18" hidden="1">
      <c r="A754">
        <v>2</v>
      </c>
      <c r="B754" s="4" t="s">
        <v>1952</v>
      </c>
      <c r="C754" s="4" t="s">
        <v>2566</v>
      </c>
      <c r="D754" s="4" t="s">
        <v>2620</v>
      </c>
      <c r="E754" s="4" t="s">
        <v>5804</v>
      </c>
      <c r="F754" t="s">
        <v>200</v>
      </c>
      <c r="G754" t="s">
        <v>620</v>
      </c>
      <c r="H754" t="s">
        <v>53</v>
      </c>
      <c r="I754" t="s">
        <v>53</v>
      </c>
      <c r="J754" s="5" t="s">
        <v>53</v>
      </c>
      <c r="K754" t="s">
        <v>539</v>
      </c>
      <c r="L754" s="6">
        <v>43922</v>
      </c>
      <c r="M754">
        <v>4</v>
      </c>
      <c r="N754" s="7" t="s">
        <v>23</v>
      </c>
      <c r="O754" t="s">
        <v>24</v>
      </c>
      <c r="P754" t="s">
        <v>2698</v>
      </c>
      <c r="Q754" t="s">
        <v>2699</v>
      </c>
      <c r="R754" t="s">
        <v>2700</v>
      </c>
    </row>
    <row r="755" spans="1:18" hidden="1">
      <c r="A755">
        <v>2</v>
      </c>
      <c r="B755" s="4" t="s">
        <v>1952</v>
      </c>
      <c r="C755" s="4" t="s">
        <v>2566</v>
      </c>
      <c r="D755" s="4" t="s">
        <v>2620</v>
      </c>
      <c r="E755" s="4" t="s">
        <v>5804</v>
      </c>
      <c r="F755" t="s">
        <v>200</v>
      </c>
      <c r="G755" t="s">
        <v>914</v>
      </c>
      <c r="H755" t="s">
        <v>21</v>
      </c>
      <c r="I755">
        <v>2</v>
      </c>
      <c r="J755" s="5">
        <v>8.5000000000000006E-2</v>
      </c>
      <c r="K755" t="s">
        <v>547</v>
      </c>
      <c r="L755" s="6">
        <v>44075</v>
      </c>
      <c r="M755">
        <v>9</v>
      </c>
      <c r="N755" s="7" t="s">
        <v>23</v>
      </c>
      <c r="O755" t="s">
        <v>66</v>
      </c>
      <c r="P755" t="s">
        <v>2707</v>
      </c>
      <c r="Q755" t="s">
        <v>2625</v>
      </c>
      <c r="R755" t="s">
        <v>2626</v>
      </c>
    </row>
    <row r="756" spans="1:18" hidden="1">
      <c r="A756">
        <v>2</v>
      </c>
      <c r="B756" s="4" t="s">
        <v>1952</v>
      </c>
      <c r="C756" s="4" t="s">
        <v>2566</v>
      </c>
      <c r="D756" s="4" t="s">
        <v>2620</v>
      </c>
      <c r="E756" s="4" t="s">
        <v>5804</v>
      </c>
      <c r="F756" t="s">
        <v>200</v>
      </c>
      <c r="G756" t="s">
        <v>914</v>
      </c>
      <c r="H756" t="s">
        <v>21</v>
      </c>
      <c r="I756">
        <v>2</v>
      </c>
      <c r="J756" s="5">
        <v>8.5000000000000006E-2</v>
      </c>
      <c r="K756" t="s">
        <v>178</v>
      </c>
      <c r="L756" s="6">
        <v>44228</v>
      </c>
      <c r="M756">
        <v>2</v>
      </c>
      <c r="N756" s="7" t="s">
        <v>30</v>
      </c>
      <c r="O756" t="s">
        <v>66</v>
      </c>
      <c r="P756" t="s">
        <v>2715</v>
      </c>
      <c r="Q756" t="s">
        <v>2625</v>
      </c>
      <c r="R756" t="s">
        <v>2626</v>
      </c>
    </row>
    <row r="757" spans="1:18" hidden="1">
      <c r="A757">
        <v>2</v>
      </c>
      <c r="B757" s="4" t="s">
        <v>1952</v>
      </c>
      <c r="C757" s="4" t="s">
        <v>2566</v>
      </c>
      <c r="D757" s="4" t="s">
        <v>2620</v>
      </c>
      <c r="E757" s="4" t="s">
        <v>5804</v>
      </c>
      <c r="F757" t="s">
        <v>200</v>
      </c>
      <c r="G757" t="s">
        <v>914</v>
      </c>
      <c r="H757" t="s">
        <v>21</v>
      </c>
      <c r="I757">
        <v>2</v>
      </c>
      <c r="J757" s="5">
        <v>8.5000000000000006E-2</v>
      </c>
      <c r="K757" t="s">
        <v>178</v>
      </c>
      <c r="L757" s="6">
        <v>44228</v>
      </c>
      <c r="M757">
        <v>2</v>
      </c>
      <c r="N757" s="7" t="s">
        <v>30</v>
      </c>
      <c r="O757" t="s">
        <v>66</v>
      </c>
      <c r="P757" t="s">
        <v>2716</v>
      </c>
      <c r="Q757" t="s">
        <v>2625</v>
      </c>
      <c r="R757" t="s">
        <v>2626</v>
      </c>
    </row>
    <row r="758" spans="1:18" hidden="1">
      <c r="A758">
        <v>2</v>
      </c>
      <c r="B758" s="4" t="s">
        <v>1952</v>
      </c>
      <c r="C758" s="4" t="s">
        <v>2566</v>
      </c>
      <c r="D758" s="4" t="s">
        <v>2620</v>
      </c>
      <c r="E758" s="4" t="s">
        <v>5804</v>
      </c>
      <c r="F758" t="s">
        <v>200</v>
      </c>
      <c r="G758" t="s">
        <v>914</v>
      </c>
      <c r="H758" t="s">
        <v>21</v>
      </c>
      <c r="I758">
        <v>2</v>
      </c>
      <c r="J758" s="5">
        <v>8.5000000000000006E-2</v>
      </c>
      <c r="K758" t="s">
        <v>645</v>
      </c>
      <c r="L758" s="6">
        <v>44440</v>
      </c>
      <c r="M758">
        <v>9</v>
      </c>
      <c r="N758" s="7" t="s">
        <v>23</v>
      </c>
      <c r="O758" t="s">
        <v>66</v>
      </c>
      <c r="P758" t="s">
        <v>2722</v>
      </c>
      <c r="Q758" t="s">
        <v>2625</v>
      </c>
      <c r="R758" t="s">
        <v>2626</v>
      </c>
    </row>
    <row r="759" spans="1:18" hidden="1">
      <c r="A759">
        <v>2</v>
      </c>
      <c r="B759" s="4" t="s">
        <v>1952</v>
      </c>
      <c r="C759" s="4" t="s">
        <v>2566</v>
      </c>
      <c r="D759" s="4" t="s">
        <v>2620</v>
      </c>
      <c r="E759" s="4" t="s">
        <v>5804</v>
      </c>
      <c r="F759" t="s">
        <v>200</v>
      </c>
      <c r="G759" t="s">
        <v>810</v>
      </c>
      <c r="H759" t="s">
        <v>53</v>
      </c>
      <c r="I759" t="s">
        <v>53</v>
      </c>
      <c r="J759" s="5" t="s">
        <v>53</v>
      </c>
      <c r="K759" t="s">
        <v>377</v>
      </c>
      <c r="L759" s="6">
        <v>44470</v>
      </c>
      <c r="M759">
        <v>10</v>
      </c>
      <c r="N759" s="7" t="s">
        <v>23</v>
      </c>
      <c r="O759" t="s">
        <v>418</v>
      </c>
      <c r="P759" t="s">
        <v>2723</v>
      </c>
      <c r="Q759" t="s">
        <v>2724</v>
      </c>
      <c r="R759" t="s">
        <v>2635</v>
      </c>
    </row>
    <row r="760" spans="1:18">
      <c r="A760">
        <v>3</v>
      </c>
      <c r="B760" s="4" t="s">
        <v>2764</v>
      </c>
      <c r="C760" s="4" t="s">
        <v>2765</v>
      </c>
      <c r="D760" s="4" t="s">
        <v>2766</v>
      </c>
      <c r="E760" s="4" t="s">
        <v>5804</v>
      </c>
      <c r="F760" t="s">
        <v>200</v>
      </c>
      <c r="G760" t="s">
        <v>288</v>
      </c>
      <c r="H760" t="s">
        <v>21</v>
      </c>
      <c r="I760">
        <v>2</v>
      </c>
      <c r="J760" s="5">
        <v>8.5000000000000006E-2</v>
      </c>
      <c r="K760" t="s">
        <v>2073</v>
      </c>
      <c r="L760" s="6">
        <v>42278</v>
      </c>
      <c r="M760">
        <v>10</v>
      </c>
      <c r="N760" s="7" t="s">
        <v>23</v>
      </c>
      <c r="O760" t="s">
        <v>36</v>
      </c>
      <c r="P760" t="s">
        <v>2767</v>
      </c>
      <c r="Q760" t="s">
        <v>2768</v>
      </c>
      <c r="R760" t="s">
        <v>2769</v>
      </c>
    </row>
    <row r="761" spans="1:18">
      <c r="A761">
        <v>3</v>
      </c>
      <c r="B761" s="4" t="s">
        <v>2764</v>
      </c>
      <c r="C761" s="4" t="s">
        <v>2765</v>
      </c>
      <c r="D761" s="4" t="s">
        <v>2766</v>
      </c>
      <c r="E761" s="4" t="s">
        <v>5804</v>
      </c>
      <c r="F761" t="s">
        <v>200</v>
      </c>
      <c r="G761" t="s">
        <v>914</v>
      </c>
      <c r="H761" t="s">
        <v>21</v>
      </c>
      <c r="I761">
        <v>2</v>
      </c>
      <c r="J761" s="5">
        <v>8.5000000000000006E-2</v>
      </c>
      <c r="K761" t="s">
        <v>558</v>
      </c>
      <c r="L761" s="6">
        <v>42339</v>
      </c>
      <c r="M761">
        <v>12</v>
      </c>
      <c r="N761" s="7" t="s">
        <v>30</v>
      </c>
      <c r="O761" t="s">
        <v>31</v>
      </c>
      <c r="P761" t="s">
        <v>2770</v>
      </c>
      <c r="Q761" t="s">
        <v>2771</v>
      </c>
      <c r="R761" t="s">
        <v>2772</v>
      </c>
    </row>
    <row r="762" spans="1:18">
      <c r="A762">
        <v>3</v>
      </c>
      <c r="B762" s="4" t="s">
        <v>2764</v>
      </c>
      <c r="C762" s="4" t="s">
        <v>2765</v>
      </c>
      <c r="D762" s="4" t="s">
        <v>2766</v>
      </c>
      <c r="E762" s="4" t="s">
        <v>5804</v>
      </c>
      <c r="F762" t="s">
        <v>200</v>
      </c>
      <c r="G762" t="s">
        <v>914</v>
      </c>
      <c r="H762" t="s">
        <v>21</v>
      </c>
      <c r="I762">
        <v>2</v>
      </c>
      <c r="J762" s="5">
        <v>8.5000000000000006E-2</v>
      </c>
      <c r="K762" t="s">
        <v>218</v>
      </c>
      <c r="L762" s="6">
        <v>42614</v>
      </c>
      <c r="M762">
        <v>9</v>
      </c>
      <c r="N762" s="7" t="s">
        <v>23</v>
      </c>
      <c r="O762" t="s">
        <v>36</v>
      </c>
      <c r="P762" t="s">
        <v>2776</v>
      </c>
      <c r="Q762" t="s">
        <v>2777</v>
      </c>
      <c r="R762" t="s">
        <v>2778</v>
      </c>
    </row>
    <row r="763" spans="1:18">
      <c r="A763">
        <v>3</v>
      </c>
      <c r="B763" s="4" t="s">
        <v>2764</v>
      </c>
      <c r="C763" s="4" t="s">
        <v>2765</v>
      </c>
      <c r="D763" s="4" t="s">
        <v>2766</v>
      </c>
      <c r="E763" s="4" t="s">
        <v>5804</v>
      </c>
      <c r="F763" t="s">
        <v>200</v>
      </c>
      <c r="G763" t="s">
        <v>288</v>
      </c>
      <c r="H763" t="s">
        <v>21</v>
      </c>
      <c r="I763">
        <v>2</v>
      </c>
      <c r="J763" s="5">
        <v>8.5000000000000006E-2</v>
      </c>
      <c r="K763" t="s">
        <v>477</v>
      </c>
      <c r="L763" s="6">
        <v>42705</v>
      </c>
      <c r="M763">
        <v>12</v>
      </c>
      <c r="N763" s="7" t="s">
        <v>30</v>
      </c>
      <c r="O763" t="s">
        <v>193</v>
      </c>
      <c r="P763" t="s">
        <v>2779</v>
      </c>
      <c r="Q763" t="s">
        <v>2780</v>
      </c>
      <c r="R763" t="s">
        <v>2781</v>
      </c>
    </row>
    <row r="764" spans="1:18">
      <c r="A764">
        <v>3</v>
      </c>
      <c r="B764" s="4" t="s">
        <v>2764</v>
      </c>
      <c r="C764" s="4" t="s">
        <v>2765</v>
      </c>
      <c r="D764" s="4" t="s">
        <v>2766</v>
      </c>
      <c r="E764" s="4" t="s">
        <v>5804</v>
      </c>
      <c r="F764" t="s">
        <v>200</v>
      </c>
      <c r="G764" t="s">
        <v>914</v>
      </c>
      <c r="H764" t="s">
        <v>21</v>
      </c>
      <c r="I764">
        <v>2</v>
      </c>
      <c r="J764" s="5">
        <v>8.5000000000000006E-2</v>
      </c>
      <c r="K764" t="s">
        <v>76</v>
      </c>
      <c r="L764" s="6">
        <v>42856</v>
      </c>
      <c r="M764">
        <v>5</v>
      </c>
      <c r="N764" s="7" t="s">
        <v>23</v>
      </c>
      <c r="O764" t="s">
        <v>31</v>
      </c>
      <c r="P764" t="s">
        <v>2782</v>
      </c>
      <c r="Q764" t="s">
        <v>2783</v>
      </c>
      <c r="R764" t="s">
        <v>2784</v>
      </c>
    </row>
    <row r="765" spans="1:18">
      <c r="A765">
        <v>3</v>
      </c>
      <c r="B765" s="4" t="s">
        <v>2764</v>
      </c>
      <c r="C765" s="4" t="s">
        <v>2765</v>
      </c>
      <c r="D765" s="4" t="s">
        <v>2766</v>
      </c>
      <c r="E765" s="4" t="s">
        <v>5804</v>
      </c>
      <c r="F765" t="s">
        <v>200</v>
      </c>
      <c r="G765" t="s">
        <v>288</v>
      </c>
      <c r="H765" t="s">
        <v>21</v>
      </c>
      <c r="I765">
        <v>2</v>
      </c>
      <c r="J765" s="5">
        <v>8.5000000000000006E-2</v>
      </c>
      <c r="K765" t="s">
        <v>80</v>
      </c>
      <c r="L765" s="6">
        <v>42917</v>
      </c>
      <c r="M765">
        <v>7</v>
      </c>
      <c r="N765" s="7" t="s">
        <v>55</v>
      </c>
      <c r="O765" t="s">
        <v>31</v>
      </c>
      <c r="P765" t="s">
        <v>2785</v>
      </c>
      <c r="Q765" t="s">
        <v>2786</v>
      </c>
      <c r="R765" t="s">
        <v>2787</v>
      </c>
    </row>
    <row r="766" spans="1:18">
      <c r="A766">
        <v>3</v>
      </c>
      <c r="B766" s="4" t="s">
        <v>2764</v>
      </c>
      <c r="C766" s="4" t="s">
        <v>2765</v>
      </c>
      <c r="D766" s="4" t="s">
        <v>2766</v>
      </c>
      <c r="E766" s="4" t="s">
        <v>5804</v>
      </c>
      <c r="F766" t="s">
        <v>200</v>
      </c>
      <c r="G766" t="s">
        <v>288</v>
      </c>
      <c r="H766" t="s">
        <v>21</v>
      </c>
      <c r="I766">
        <v>2</v>
      </c>
      <c r="J766" s="5">
        <v>8.5000000000000006E-2</v>
      </c>
      <c r="K766" t="s">
        <v>22</v>
      </c>
      <c r="L766" s="6">
        <v>42979</v>
      </c>
      <c r="M766">
        <v>9</v>
      </c>
      <c r="N766" s="7" t="s">
        <v>23</v>
      </c>
      <c r="O766" t="s">
        <v>31</v>
      </c>
      <c r="P766" t="s">
        <v>2788</v>
      </c>
      <c r="Q766" t="s">
        <v>2789</v>
      </c>
      <c r="R766" t="s">
        <v>2790</v>
      </c>
    </row>
    <row r="767" spans="1:18">
      <c r="A767">
        <v>3</v>
      </c>
      <c r="B767" s="4" t="s">
        <v>2764</v>
      </c>
      <c r="C767" s="4" t="s">
        <v>2765</v>
      </c>
      <c r="D767" s="4" t="s">
        <v>2766</v>
      </c>
      <c r="E767" s="4" t="s">
        <v>5804</v>
      </c>
      <c r="F767" t="s">
        <v>200</v>
      </c>
      <c r="G767" t="s">
        <v>914</v>
      </c>
      <c r="H767" t="s">
        <v>21</v>
      </c>
      <c r="I767">
        <v>2</v>
      </c>
      <c r="J767" s="5">
        <v>8.5000000000000006E-2</v>
      </c>
      <c r="K767" t="s">
        <v>292</v>
      </c>
      <c r="L767" s="6">
        <v>43191</v>
      </c>
      <c r="M767">
        <v>4</v>
      </c>
      <c r="N767" s="7" t="s">
        <v>23</v>
      </c>
      <c r="O767" t="s">
        <v>31</v>
      </c>
      <c r="P767" t="s">
        <v>2791</v>
      </c>
      <c r="Q767" t="s">
        <v>2792</v>
      </c>
      <c r="R767" t="s">
        <v>2793</v>
      </c>
    </row>
    <row r="768" spans="1:18">
      <c r="A768">
        <v>3</v>
      </c>
      <c r="B768" s="4" t="s">
        <v>2764</v>
      </c>
      <c r="C768" s="4" t="s">
        <v>2765</v>
      </c>
      <c r="D768" s="4" t="s">
        <v>2766</v>
      </c>
      <c r="E768" s="4" t="s">
        <v>5804</v>
      </c>
      <c r="F768" t="s">
        <v>200</v>
      </c>
      <c r="G768" t="s">
        <v>288</v>
      </c>
      <c r="H768" t="s">
        <v>21</v>
      </c>
      <c r="I768">
        <v>2</v>
      </c>
      <c r="J768" s="5">
        <v>8.5000000000000006E-2</v>
      </c>
      <c r="K768" t="s">
        <v>152</v>
      </c>
      <c r="L768" s="6">
        <v>43374</v>
      </c>
      <c r="M768">
        <v>10</v>
      </c>
      <c r="N768" s="7" t="s">
        <v>23</v>
      </c>
      <c r="O768" t="s">
        <v>31</v>
      </c>
      <c r="P768" t="s">
        <v>2803</v>
      </c>
      <c r="Q768" t="s">
        <v>2804</v>
      </c>
      <c r="R768" t="s">
        <v>2805</v>
      </c>
    </row>
    <row r="769" spans="1:18">
      <c r="A769">
        <v>3</v>
      </c>
      <c r="B769" s="4" t="s">
        <v>2764</v>
      </c>
      <c r="C769" s="4" t="s">
        <v>2765</v>
      </c>
      <c r="D769" s="4" t="s">
        <v>2766</v>
      </c>
      <c r="E769" s="4" t="s">
        <v>5804</v>
      </c>
      <c r="F769" t="s">
        <v>200</v>
      </c>
      <c r="G769" t="s">
        <v>914</v>
      </c>
      <c r="H769" t="s">
        <v>21</v>
      </c>
      <c r="I769">
        <v>2</v>
      </c>
      <c r="J769" s="5">
        <v>8.5000000000000006E-2</v>
      </c>
      <c r="K769" t="s">
        <v>168</v>
      </c>
      <c r="L769" s="6">
        <v>43678</v>
      </c>
      <c r="M769">
        <v>8</v>
      </c>
      <c r="N769" s="7" t="s">
        <v>55</v>
      </c>
      <c r="O769" t="s">
        <v>31</v>
      </c>
      <c r="P769" t="s">
        <v>2806</v>
      </c>
      <c r="Q769" t="s">
        <v>2804</v>
      </c>
      <c r="R769" t="s">
        <v>2805</v>
      </c>
    </row>
    <row r="770" spans="1:18">
      <c r="A770">
        <v>3</v>
      </c>
      <c r="B770" s="4" t="s">
        <v>2764</v>
      </c>
      <c r="C770" s="4" t="s">
        <v>2765</v>
      </c>
      <c r="D770" s="4" t="s">
        <v>2766</v>
      </c>
      <c r="E770" s="4" t="s">
        <v>5804</v>
      </c>
      <c r="F770" t="s">
        <v>200</v>
      </c>
      <c r="G770" t="s">
        <v>288</v>
      </c>
      <c r="H770" t="s">
        <v>21</v>
      </c>
      <c r="I770">
        <v>2</v>
      </c>
      <c r="J770" s="5">
        <v>8.5000000000000006E-2</v>
      </c>
      <c r="K770" t="s">
        <v>726</v>
      </c>
      <c r="L770" s="6">
        <v>43709</v>
      </c>
      <c r="M770">
        <v>9</v>
      </c>
      <c r="N770" s="7" t="s">
        <v>23</v>
      </c>
      <c r="O770" t="s">
        <v>193</v>
      </c>
      <c r="P770" t="s">
        <v>2807</v>
      </c>
      <c r="Q770" t="s">
        <v>2808</v>
      </c>
      <c r="R770" t="s">
        <v>2809</v>
      </c>
    </row>
    <row r="771" spans="1:18">
      <c r="A771">
        <v>3</v>
      </c>
      <c r="B771" s="4" t="s">
        <v>2764</v>
      </c>
      <c r="C771" s="4" t="s">
        <v>2765</v>
      </c>
      <c r="D771" s="4" t="s">
        <v>2766</v>
      </c>
      <c r="E771" s="4" t="s">
        <v>5804</v>
      </c>
      <c r="F771" t="s">
        <v>200</v>
      </c>
      <c r="G771" t="s">
        <v>288</v>
      </c>
      <c r="H771" t="s">
        <v>21</v>
      </c>
      <c r="I771">
        <v>2</v>
      </c>
      <c r="J771" s="5">
        <v>8.5000000000000006E-2</v>
      </c>
      <c r="K771" t="s">
        <v>691</v>
      </c>
      <c r="L771" s="6">
        <v>43770</v>
      </c>
      <c r="M771">
        <v>11</v>
      </c>
      <c r="N771" s="7" t="s">
        <v>23</v>
      </c>
      <c r="O771" t="s">
        <v>193</v>
      </c>
      <c r="P771" t="s">
        <v>2810</v>
      </c>
      <c r="Q771" t="s">
        <v>2811</v>
      </c>
      <c r="R771" t="s">
        <v>2812</v>
      </c>
    </row>
    <row r="772" spans="1:18">
      <c r="A772">
        <v>3</v>
      </c>
      <c r="B772" s="4" t="s">
        <v>2764</v>
      </c>
      <c r="C772" s="4" t="s">
        <v>2765</v>
      </c>
      <c r="D772" s="4" t="s">
        <v>2816</v>
      </c>
      <c r="E772" s="4" t="s">
        <v>5804</v>
      </c>
      <c r="F772" t="s">
        <v>200</v>
      </c>
      <c r="G772" t="s">
        <v>914</v>
      </c>
      <c r="H772" t="s">
        <v>21</v>
      </c>
      <c r="I772">
        <v>2</v>
      </c>
      <c r="J772" s="5">
        <v>8.5000000000000006E-2</v>
      </c>
      <c r="K772" t="s">
        <v>60</v>
      </c>
      <c r="L772" s="6">
        <v>42370</v>
      </c>
      <c r="M772">
        <v>1</v>
      </c>
      <c r="N772" s="7" t="s">
        <v>30</v>
      </c>
      <c r="O772" t="s">
        <v>31</v>
      </c>
      <c r="P772" t="s">
        <v>2821</v>
      </c>
      <c r="Q772" t="s">
        <v>2804</v>
      </c>
      <c r="R772" t="s">
        <v>2805</v>
      </c>
    </row>
    <row r="773" spans="1:18">
      <c r="A773">
        <v>3</v>
      </c>
      <c r="B773" s="4" t="s">
        <v>2764</v>
      </c>
      <c r="C773" s="4" t="s">
        <v>2765</v>
      </c>
      <c r="D773" s="4" t="s">
        <v>2816</v>
      </c>
      <c r="E773" s="4" t="s">
        <v>5804</v>
      </c>
      <c r="F773" t="s">
        <v>200</v>
      </c>
      <c r="G773" t="s">
        <v>288</v>
      </c>
      <c r="H773" t="s">
        <v>21</v>
      </c>
      <c r="I773">
        <v>2</v>
      </c>
      <c r="J773" s="5">
        <v>8.5000000000000006E-2</v>
      </c>
      <c r="K773" t="s">
        <v>65</v>
      </c>
      <c r="L773" s="6">
        <v>42430</v>
      </c>
      <c r="M773">
        <v>3</v>
      </c>
      <c r="N773" s="7" t="s">
        <v>23</v>
      </c>
      <c r="O773" t="s">
        <v>88</v>
      </c>
      <c r="P773" t="s">
        <v>2822</v>
      </c>
      <c r="Q773" t="s">
        <v>2823</v>
      </c>
      <c r="R773" t="s">
        <v>2824</v>
      </c>
    </row>
    <row r="774" spans="1:18">
      <c r="A774">
        <v>3</v>
      </c>
      <c r="B774" s="4" t="s">
        <v>2764</v>
      </c>
      <c r="C774" s="4" t="s">
        <v>2765</v>
      </c>
      <c r="D774" s="4" t="s">
        <v>2816</v>
      </c>
      <c r="E774" s="4" t="s">
        <v>5804</v>
      </c>
      <c r="F774" t="s">
        <v>200</v>
      </c>
      <c r="G774" t="s">
        <v>914</v>
      </c>
      <c r="H774" t="s">
        <v>21</v>
      </c>
      <c r="I774">
        <v>2</v>
      </c>
      <c r="J774" s="5">
        <v>8.5000000000000006E-2</v>
      </c>
      <c r="K774" t="s">
        <v>115</v>
      </c>
      <c r="L774" s="6">
        <v>42461</v>
      </c>
      <c r="M774">
        <v>4</v>
      </c>
      <c r="N774" s="7" t="s">
        <v>23</v>
      </c>
      <c r="O774" t="s">
        <v>31</v>
      </c>
      <c r="P774" t="s">
        <v>2825</v>
      </c>
      <c r="Q774" t="s">
        <v>2826</v>
      </c>
      <c r="R774" t="s">
        <v>2827</v>
      </c>
    </row>
    <row r="775" spans="1:18">
      <c r="A775">
        <v>3</v>
      </c>
      <c r="B775" s="4" t="s">
        <v>2764</v>
      </c>
      <c r="C775" s="4" t="s">
        <v>2765</v>
      </c>
      <c r="D775" s="4" t="s">
        <v>2816</v>
      </c>
      <c r="E775" s="4" t="s">
        <v>5804</v>
      </c>
      <c r="F775" t="s">
        <v>200</v>
      </c>
      <c r="G775" t="s">
        <v>914</v>
      </c>
      <c r="H775" t="s">
        <v>21</v>
      </c>
      <c r="I775">
        <v>2</v>
      </c>
      <c r="J775" s="5">
        <v>8.5000000000000006E-2</v>
      </c>
      <c r="K775" t="s">
        <v>115</v>
      </c>
      <c r="L775" s="6">
        <v>42461</v>
      </c>
      <c r="M775">
        <v>4</v>
      </c>
      <c r="N775" s="7" t="s">
        <v>23</v>
      </c>
      <c r="O775" t="s">
        <v>31</v>
      </c>
      <c r="P775" t="s">
        <v>2828</v>
      </c>
      <c r="Q775" t="s">
        <v>2826</v>
      </c>
      <c r="R775" t="s">
        <v>2827</v>
      </c>
    </row>
    <row r="776" spans="1:18">
      <c r="A776">
        <v>3</v>
      </c>
      <c r="B776" s="4" t="s">
        <v>2764</v>
      </c>
      <c r="C776" s="4" t="s">
        <v>2765</v>
      </c>
      <c r="D776" s="4" t="s">
        <v>2816</v>
      </c>
      <c r="E776" s="4" t="s">
        <v>5804</v>
      </c>
      <c r="F776" t="s">
        <v>200</v>
      </c>
      <c r="G776" t="s">
        <v>914</v>
      </c>
      <c r="H776" t="s">
        <v>21</v>
      </c>
      <c r="I776">
        <v>2</v>
      </c>
      <c r="J776" s="5">
        <v>8.5000000000000006E-2</v>
      </c>
      <c r="K776" t="s">
        <v>115</v>
      </c>
      <c r="L776" s="6">
        <v>42461</v>
      </c>
      <c r="M776">
        <v>4</v>
      </c>
      <c r="N776" s="7" t="s">
        <v>23</v>
      </c>
      <c r="O776" t="s">
        <v>31</v>
      </c>
      <c r="P776" t="s">
        <v>2829</v>
      </c>
      <c r="Q776" t="s">
        <v>2826</v>
      </c>
      <c r="R776" t="s">
        <v>2827</v>
      </c>
    </row>
    <row r="777" spans="1:18">
      <c r="A777">
        <v>3</v>
      </c>
      <c r="B777" s="4" t="s">
        <v>2764</v>
      </c>
      <c r="C777" s="4" t="s">
        <v>2765</v>
      </c>
      <c r="D777" s="4" t="s">
        <v>2816</v>
      </c>
      <c r="E777" s="4" t="s">
        <v>5804</v>
      </c>
      <c r="F777" t="s">
        <v>200</v>
      </c>
      <c r="G777" t="s">
        <v>914</v>
      </c>
      <c r="H777" t="s">
        <v>21</v>
      </c>
      <c r="I777">
        <v>2</v>
      </c>
      <c r="J777" s="5">
        <v>8.5000000000000006E-2</v>
      </c>
      <c r="K777" t="s">
        <v>701</v>
      </c>
      <c r="L777" s="6">
        <v>42491</v>
      </c>
      <c r="M777">
        <v>5</v>
      </c>
      <c r="N777" s="7" t="s">
        <v>23</v>
      </c>
      <c r="O777" t="s">
        <v>31</v>
      </c>
      <c r="P777" t="s">
        <v>2830</v>
      </c>
      <c r="Q777" t="s">
        <v>2804</v>
      </c>
      <c r="R777" t="s">
        <v>2805</v>
      </c>
    </row>
    <row r="778" spans="1:18">
      <c r="A778">
        <v>3</v>
      </c>
      <c r="B778" s="4" t="s">
        <v>2764</v>
      </c>
      <c r="C778" s="4" t="s">
        <v>2765</v>
      </c>
      <c r="D778" s="4" t="s">
        <v>2816</v>
      </c>
      <c r="E778" s="4" t="s">
        <v>5804</v>
      </c>
      <c r="F778" t="s">
        <v>200</v>
      </c>
      <c r="G778" t="s">
        <v>914</v>
      </c>
      <c r="H778" t="s">
        <v>21</v>
      </c>
      <c r="I778">
        <v>2</v>
      </c>
      <c r="J778" s="5">
        <v>8.5000000000000006E-2</v>
      </c>
      <c r="K778" t="s">
        <v>71</v>
      </c>
      <c r="L778" s="6">
        <v>42522</v>
      </c>
      <c r="M778">
        <v>6</v>
      </c>
      <c r="N778" s="7" t="s">
        <v>55</v>
      </c>
      <c r="O778" t="s">
        <v>31</v>
      </c>
      <c r="P778" t="s">
        <v>2831</v>
      </c>
      <c r="Q778" t="s">
        <v>2826</v>
      </c>
      <c r="R778" t="s">
        <v>2827</v>
      </c>
    </row>
    <row r="779" spans="1:18">
      <c r="A779">
        <v>3</v>
      </c>
      <c r="B779" s="4" t="s">
        <v>2764</v>
      </c>
      <c r="C779" s="4" t="s">
        <v>2765</v>
      </c>
      <c r="D779" s="4" t="s">
        <v>2816</v>
      </c>
      <c r="E779" s="4" t="s">
        <v>5804</v>
      </c>
      <c r="F779" t="s">
        <v>200</v>
      </c>
      <c r="G779" t="s">
        <v>914</v>
      </c>
      <c r="H779" t="s">
        <v>21</v>
      </c>
      <c r="I779">
        <v>2</v>
      </c>
      <c r="J779" s="5">
        <v>8.5000000000000006E-2</v>
      </c>
      <c r="K779" t="s">
        <v>119</v>
      </c>
      <c r="L779" s="6">
        <v>42552</v>
      </c>
      <c r="M779">
        <v>7</v>
      </c>
      <c r="N779" s="7" t="s">
        <v>55</v>
      </c>
      <c r="O779" t="s">
        <v>88</v>
      </c>
      <c r="P779" t="s">
        <v>2832</v>
      </c>
      <c r="Q779" t="s">
        <v>2833</v>
      </c>
      <c r="R779" t="s">
        <v>2834</v>
      </c>
    </row>
    <row r="780" spans="1:18">
      <c r="A780">
        <v>3</v>
      </c>
      <c r="B780" s="4" t="s">
        <v>2764</v>
      </c>
      <c r="C780" s="4" t="s">
        <v>2765</v>
      </c>
      <c r="D780" s="4" t="s">
        <v>2816</v>
      </c>
      <c r="E780" s="4" t="s">
        <v>5804</v>
      </c>
      <c r="F780" t="s">
        <v>200</v>
      </c>
      <c r="G780" t="s">
        <v>914</v>
      </c>
      <c r="H780" t="s">
        <v>21</v>
      </c>
      <c r="I780">
        <v>2</v>
      </c>
      <c r="J780" s="5">
        <v>8.5000000000000006E-2</v>
      </c>
      <c r="K780" t="s">
        <v>119</v>
      </c>
      <c r="L780" s="6">
        <v>42552</v>
      </c>
      <c r="M780">
        <v>7</v>
      </c>
      <c r="N780" s="7" t="s">
        <v>55</v>
      </c>
      <c r="O780" t="s">
        <v>31</v>
      </c>
      <c r="P780" t="s">
        <v>2835</v>
      </c>
      <c r="Q780" t="s">
        <v>2826</v>
      </c>
      <c r="R780" t="s">
        <v>2827</v>
      </c>
    </row>
    <row r="781" spans="1:18">
      <c r="A781">
        <v>3</v>
      </c>
      <c r="B781" s="4" t="s">
        <v>2764</v>
      </c>
      <c r="C781" s="4" t="s">
        <v>2765</v>
      </c>
      <c r="D781" s="4" t="s">
        <v>2816</v>
      </c>
      <c r="E781" s="4" t="s">
        <v>5804</v>
      </c>
      <c r="F781" t="s">
        <v>200</v>
      </c>
      <c r="G781" t="s">
        <v>914</v>
      </c>
      <c r="H781" t="s">
        <v>21</v>
      </c>
      <c r="I781">
        <v>2</v>
      </c>
      <c r="J781" s="5">
        <v>8.5000000000000006E-2</v>
      </c>
      <c r="K781" t="s">
        <v>319</v>
      </c>
      <c r="L781" s="6">
        <v>42583</v>
      </c>
      <c r="M781">
        <v>8</v>
      </c>
      <c r="N781" s="7" t="s">
        <v>55</v>
      </c>
      <c r="O781" t="s">
        <v>31</v>
      </c>
      <c r="P781" t="s">
        <v>2839</v>
      </c>
      <c r="Q781" t="s">
        <v>2804</v>
      </c>
      <c r="R781" t="s">
        <v>2805</v>
      </c>
    </row>
    <row r="782" spans="1:18">
      <c r="A782">
        <v>3</v>
      </c>
      <c r="B782" s="4" t="s">
        <v>2764</v>
      </c>
      <c r="C782" s="4" t="s">
        <v>2765</v>
      </c>
      <c r="D782" s="4" t="s">
        <v>2816</v>
      </c>
      <c r="E782" s="4" t="s">
        <v>5804</v>
      </c>
      <c r="F782" t="s">
        <v>200</v>
      </c>
      <c r="G782" t="s">
        <v>914</v>
      </c>
      <c r="H782" t="s">
        <v>21</v>
      </c>
      <c r="I782">
        <v>2</v>
      </c>
      <c r="J782" s="5">
        <v>8.5000000000000006E-2</v>
      </c>
      <c r="K782" t="s">
        <v>218</v>
      </c>
      <c r="L782" s="6">
        <v>42614</v>
      </c>
      <c r="M782">
        <v>9</v>
      </c>
      <c r="N782" s="7" t="s">
        <v>23</v>
      </c>
      <c r="O782" t="s">
        <v>31</v>
      </c>
      <c r="P782" t="s">
        <v>2840</v>
      </c>
      <c r="Q782" t="s">
        <v>2826</v>
      </c>
      <c r="R782" t="s">
        <v>2827</v>
      </c>
    </row>
    <row r="783" spans="1:18">
      <c r="A783">
        <v>3</v>
      </c>
      <c r="B783" s="4" t="s">
        <v>2764</v>
      </c>
      <c r="C783" s="4" t="s">
        <v>2765</v>
      </c>
      <c r="D783" s="4" t="s">
        <v>2816</v>
      </c>
      <c r="E783" s="4" t="s">
        <v>5804</v>
      </c>
      <c r="F783" t="s">
        <v>200</v>
      </c>
      <c r="G783" t="s">
        <v>914</v>
      </c>
      <c r="H783" t="s">
        <v>21</v>
      </c>
      <c r="I783">
        <v>2</v>
      </c>
      <c r="J783" s="5">
        <v>8.5000000000000006E-2</v>
      </c>
      <c r="K783" t="s">
        <v>278</v>
      </c>
      <c r="L783" s="6">
        <v>42675</v>
      </c>
      <c r="M783">
        <v>11</v>
      </c>
      <c r="N783" s="7" t="s">
        <v>23</v>
      </c>
      <c r="O783" t="s">
        <v>31</v>
      </c>
      <c r="P783" t="s">
        <v>2841</v>
      </c>
      <c r="Q783" t="s">
        <v>2842</v>
      </c>
      <c r="R783" t="s">
        <v>2843</v>
      </c>
    </row>
    <row r="784" spans="1:18">
      <c r="A784">
        <v>3</v>
      </c>
      <c r="B784" s="4" t="s">
        <v>2764</v>
      </c>
      <c r="C784" s="4" t="s">
        <v>2765</v>
      </c>
      <c r="D784" s="4" t="s">
        <v>2816</v>
      </c>
      <c r="E784" s="4" t="s">
        <v>5804</v>
      </c>
      <c r="F784" t="s">
        <v>200</v>
      </c>
      <c r="G784" t="s">
        <v>914</v>
      </c>
      <c r="H784" t="s">
        <v>21</v>
      </c>
      <c r="I784">
        <v>2</v>
      </c>
      <c r="J784" s="5">
        <v>8.5000000000000006E-2</v>
      </c>
      <c r="K784" t="s">
        <v>278</v>
      </c>
      <c r="L784" s="6">
        <v>42675</v>
      </c>
      <c r="M784">
        <v>11</v>
      </c>
      <c r="N784" s="7" t="s">
        <v>23</v>
      </c>
      <c r="O784" t="s">
        <v>31</v>
      </c>
      <c r="P784" t="s">
        <v>2844</v>
      </c>
      <c r="Q784" t="s">
        <v>2826</v>
      </c>
      <c r="R784" t="s">
        <v>2827</v>
      </c>
    </row>
    <row r="785" spans="1:18">
      <c r="A785">
        <v>3</v>
      </c>
      <c r="B785" s="4" t="s">
        <v>2764</v>
      </c>
      <c r="C785" s="4" t="s">
        <v>2765</v>
      </c>
      <c r="D785" s="4" t="s">
        <v>2816</v>
      </c>
      <c r="E785" s="4" t="s">
        <v>5804</v>
      </c>
      <c r="F785" t="s">
        <v>200</v>
      </c>
      <c r="G785" t="s">
        <v>914</v>
      </c>
      <c r="H785" t="s">
        <v>21</v>
      </c>
      <c r="I785">
        <v>2</v>
      </c>
      <c r="J785" s="5">
        <v>8.5000000000000006E-2</v>
      </c>
      <c r="K785" t="s">
        <v>278</v>
      </c>
      <c r="L785" s="6">
        <v>42675</v>
      </c>
      <c r="M785">
        <v>11</v>
      </c>
      <c r="N785" s="7" t="s">
        <v>23</v>
      </c>
      <c r="O785" t="s">
        <v>31</v>
      </c>
      <c r="P785" t="s">
        <v>2845</v>
      </c>
      <c r="Q785" t="s">
        <v>2846</v>
      </c>
      <c r="R785" t="s">
        <v>2847</v>
      </c>
    </row>
    <row r="786" spans="1:18">
      <c r="A786">
        <v>3</v>
      </c>
      <c r="B786" s="4" t="s">
        <v>2764</v>
      </c>
      <c r="C786" s="4" t="s">
        <v>2765</v>
      </c>
      <c r="D786" s="4" t="s">
        <v>2816</v>
      </c>
      <c r="E786" s="4" t="s">
        <v>5804</v>
      </c>
      <c r="F786" t="s">
        <v>200</v>
      </c>
      <c r="G786" t="s">
        <v>914</v>
      </c>
      <c r="H786" t="s">
        <v>21</v>
      </c>
      <c r="I786">
        <v>2</v>
      </c>
      <c r="J786" s="5">
        <v>8.5000000000000006E-2</v>
      </c>
      <c r="K786" t="s">
        <v>477</v>
      </c>
      <c r="L786" s="6">
        <v>42705</v>
      </c>
      <c r="M786">
        <v>12</v>
      </c>
      <c r="N786" s="7" t="s">
        <v>30</v>
      </c>
      <c r="O786" t="s">
        <v>512</v>
      </c>
      <c r="P786" t="s">
        <v>2848</v>
      </c>
      <c r="Q786" t="s">
        <v>2849</v>
      </c>
      <c r="R786" t="s">
        <v>2850</v>
      </c>
    </row>
    <row r="787" spans="1:18">
      <c r="A787">
        <v>3</v>
      </c>
      <c r="B787" s="4" t="s">
        <v>2764</v>
      </c>
      <c r="C787" s="4" t="s">
        <v>2765</v>
      </c>
      <c r="D787" s="4" t="s">
        <v>2816</v>
      </c>
      <c r="E787" s="4" t="s">
        <v>5804</v>
      </c>
      <c r="F787" t="s">
        <v>200</v>
      </c>
      <c r="G787" t="s">
        <v>914</v>
      </c>
      <c r="H787" t="s">
        <v>21</v>
      </c>
      <c r="I787">
        <v>2</v>
      </c>
      <c r="J787" s="5">
        <v>8.5000000000000006E-2</v>
      </c>
      <c r="K787" t="s">
        <v>477</v>
      </c>
      <c r="L787" s="6">
        <v>42705</v>
      </c>
      <c r="M787">
        <v>12</v>
      </c>
      <c r="N787" s="7" t="s">
        <v>30</v>
      </c>
      <c r="O787" t="s">
        <v>31</v>
      </c>
      <c r="P787" t="s">
        <v>2851</v>
      </c>
      <c r="Q787" t="s">
        <v>2804</v>
      </c>
      <c r="R787" t="s">
        <v>2805</v>
      </c>
    </row>
    <row r="788" spans="1:18">
      <c r="A788">
        <v>3</v>
      </c>
      <c r="B788" s="4" t="s">
        <v>2764</v>
      </c>
      <c r="C788" s="4" t="s">
        <v>2765</v>
      </c>
      <c r="D788" s="4" t="s">
        <v>2816</v>
      </c>
      <c r="E788" s="4" t="s">
        <v>5804</v>
      </c>
      <c r="F788" t="s">
        <v>200</v>
      </c>
      <c r="G788" t="s">
        <v>914</v>
      </c>
      <c r="H788" t="s">
        <v>21</v>
      </c>
      <c r="I788">
        <v>2</v>
      </c>
      <c r="J788" s="5">
        <v>8.5000000000000006E-2</v>
      </c>
      <c r="K788" t="s">
        <v>477</v>
      </c>
      <c r="L788" s="6">
        <v>42705</v>
      </c>
      <c r="M788">
        <v>12</v>
      </c>
      <c r="N788" s="7" t="s">
        <v>30</v>
      </c>
      <c r="O788" t="s">
        <v>31</v>
      </c>
      <c r="P788" t="s">
        <v>2855</v>
      </c>
      <c r="Q788" t="s">
        <v>2826</v>
      </c>
      <c r="R788" t="s">
        <v>2827</v>
      </c>
    </row>
    <row r="789" spans="1:18">
      <c r="A789">
        <v>3</v>
      </c>
      <c r="B789" s="4" t="s">
        <v>2764</v>
      </c>
      <c r="C789" s="4" t="s">
        <v>2765</v>
      </c>
      <c r="D789" s="4" t="s">
        <v>2816</v>
      </c>
      <c r="E789" s="4" t="s">
        <v>5804</v>
      </c>
      <c r="F789" t="s">
        <v>200</v>
      </c>
      <c r="G789" t="s">
        <v>914</v>
      </c>
      <c r="H789" t="s">
        <v>21</v>
      </c>
      <c r="I789">
        <v>2</v>
      </c>
      <c r="J789" s="5">
        <v>8.5000000000000006E-2</v>
      </c>
      <c r="K789" t="s">
        <v>477</v>
      </c>
      <c r="L789" s="6">
        <v>42705</v>
      </c>
      <c r="M789">
        <v>12</v>
      </c>
      <c r="N789" s="7" t="s">
        <v>30</v>
      </c>
      <c r="O789" t="s">
        <v>31</v>
      </c>
      <c r="P789" t="s">
        <v>2856</v>
      </c>
      <c r="Q789" t="s">
        <v>2826</v>
      </c>
      <c r="R789" t="s">
        <v>2827</v>
      </c>
    </row>
    <row r="790" spans="1:18">
      <c r="A790">
        <v>3</v>
      </c>
      <c r="B790" s="4" t="s">
        <v>2764</v>
      </c>
      <c r="C790" s="4" t="s">
        <v>2765</v>
      </c>
      <c r="D790" s="4" t="s">
        <v>2816</v>
      </c>
      <c r="E790" s="4" t="s">
        <v>5804</v>
      </c>
      <c r="F790" t="s">
        <v>200</v>
      </c>
      <c r="G790" t="s">
        <v>914</v>
      </c>
      <c r="H790" t="s">
        <v>21</v>
      </c>
      <c r="I790">
        <v>2</v>
      </c>
      <c r="J790" s="5">
        <v>8.5000000000000006E-2</v>
      </c>
      <c r="K790" t="s">
        <v>477</v>
      </c>
      <c r="L790" s="6">
        <v>42705</v>
      </c>
      <c r="M790">
        <v>12</v>
      </c>
      <c r="N790" s="7" t="s">
        <v>30</v>
      </c>
      <c r="O790" t="s">
        <v>31</v>
      </c>
      <c r="P790" t="s">
        <v>2857</v>
      </c>
      <c r="Q790" t="s">
        <v>2826</v>
      </c>
      <c r="R790" t="s">
        <v>2827</v>
      </c>
    </row>
    <row r="791" spans="1:18">
      <c r="A791">
        <v>3</v>
      </c>
      <c r="B791" s="4" t="s">
        <v>2764</v>
      </c>
      <c r="C791" s="4" t="s">
        <v>2765</v>
      </c>
      <c r="D791" s="4" t="s">
        <v>2816</v>
      </c>
      <c r="E791" s="4" t="s">
        <v>5804</v>
      </c>
      <c r="F791" t="s">
        <v>200</v>
      </c>
      <c r="G791" t="s">
        <v>914</v>
      </c>
      <c r="H791" t="s">
        <v>21</v>
      </c>
      <c r="I791">
        <v>2</v>
      </c>
      <c r="J791" s="5">
        <v>8.5000000000000006E-2</v>
      </c>
      <c r="K791" t="s">
        <v>422</v>
      </c>
      <c r="L791" s="6">
        <v>42736</v>
      </c>
      <c r="M791">
        <v>1</v>
      </c>
      <c r="N791" s="7" t="s">
        <v>30</v>
      </c>
      <c r="O791" t="s">
        <v>31</v>
      </c>
      <c r="P791" t="s">
        <v>2861</v>
      </c>
      <c r="Q791" t="s">
        <v>2804</v>
      </c>
      <c r="R791" t="s">
        <v>2805</v>
      </c>
    </row>
    <row r="792" spans="1:18">
      <c r="A792">
        <v>3</v>
      </c>
      <c r="B792" s="4" t="s">
        <v>2764</v>
      </c>
      <c r="C792" s="4" t="s">
        <v>2765</v>
      </c>
      <c r="D792" s="4" t="s">
        <v>2816</v>
      </c>
      <c r="E792" s="4" t="s">
        <v>5804</v>
      </c>
      <c r="F792" t="s">
        <v>200</v>
      </c>
      <c r="G792" t="s">
        <v>914</v>
      </c>
      <c r="H792" t="s">
        <v>21</v>
      </c>
      <c r="I792">
        <v>2</v>
      </c>
      <c r="J792" s="5">
        <v>8.5000000000000006E-2</v>
      </c>
      <c r="K792" t="s">
        <v>128</v>
      </c>
      <c r="L792" s="6">
        <v>42795</v>
      </c>
      <c r="M792">
        <v>3</v>
      </c>
      <c r="N792" s="7" t="s">
        <v>23</v>
      </c>
      <c r="O792" t="s">
        <v>31</v>
      </c>
      <c r="P792" t="s">
        <v>2868</v>
      </c>
      <c r="Q792" t="s">
        <v>2869</v>
      </c>
      <c r="R792" t="s">
        <v>2870</v>
      </c>
    </row>
    <row r="793" spans="1:18">
      <c r="A793">
        <v>3</v>
      </c>
      <c r="B793" s="4" t="s">
        <v>2764</v>
      </c>
      <c r="C793" s="4" t="s">
        <v>2765</v>
      </c>
      <c r="D793" s="4" t="s">
        <v>2816</v>
      </c>
      <c r="E793" s="4" t="s">
        <v>5804</v>
      </c>
      <c r="F793" t="s">
        <v>200</v>
      </c>
      <c r="G793" t="s">
        <v>914</v>
      </c>
      <c r="H793" t="s">
        <v>21</v>
      </c>
      <c r="I793">
        <v>2</v>
      </c>
      <c r="J793" s="5">
        <v>8.5000000000000006E-2</v>
      </c>
      <c r="K793" t="s">
        <v>128</v>
      </c>
      <c r="L793" s="6">
        <v>42795</v>
      </c>
      <c r="M793">
        <v>3</v>
      </c>
      <c r="N793" s="7" t="s">
        <v>23</v>
      </c>
      <c r="O793" t="s">
        <v>31</v>
      </c>
      <c r="P793" t="s">
        <v>2871</v>
      </c>
      <c r="Q793" t="s">
        <v>2826</v>
      </c>
      <c r="R793" t="s">
        <v>2827</v>
      </c>
    </row>
    <row r="794" spans="1:18">
      <c r="A794">
        <v>3</v>
      </c>
      <c r="B794" s="4" t="s">
        <v>2764</v>
      </c>
      <c r="C794" s="4" t="s">
        <v>2765</v>
      </c>
      <c r="D794" s="4" t="s">
        <v>2816</v>
      </c>
      <c r="E794" s="4" t="s">
        <v>5804</v>
      </c>
      <c r="F794" t="s">
        <v>200</v>
      </c>
      <c r="G794" t="s">
        <v>288</v>
      </c>
      <c r="H794" t="s">
        <v>21</v>
      </c>
      <c r="I794">
        <v>2</v>
      </c>
      <c r="J794" s="5">
        <v>8.5000000000000006E-2</v>
      </c>
      <c r="K794" t="s">
        <v>681</v>
      </c>
      <c r="L794" s="6">
        <v>42887</v>
      </c>
      <c r="M794">
        <v>6</v>
      </c>
      <c r="N794" s="7" t="s">
        <v>55</v>
      </c>
      <c r="O794" t="s">
        <v>31</v>
      </c>
      <c r="P794" t="s">
        <v>2879</v>
      </c>
      <c r="Q794" t="s">
        <v>2880</v>
      </c>
      <c r="R794" t="s">
        <v>2881</v>
      </c>
    </row>
    <row r="795" spans="1:18">
      <c r="A795">
        <v>3</v>
      </c>
      <c r="B795" s="4" t="s">
        <v>2764</v>
      </c>
      <c r="C795" s="4" t="s">
        <v>2765</v>
      </c>
      <c r="D795" s="4" t="s">
        <v>2816</v>
      </c>
      <c r="E795" s="4" t="s">
        <v>5804</v>
      </c>
      <c r="F795" t="s">
        <v>200</v>
      </c>
      <c r="G795" t="s">
        <v>914</v>
      </c>
      <c r="H795" t="s">
        <v>21</v>
      </c>
      <c r="I795">
        <v>2</v>
      </c>
      <c r="J795" s="5">
        <v>8.5000000000000006E-2</v>
      </c>
      <c r="K795" t="s">
        <v>2885</v>
      </c>
      <c r="L795" s="6">
        <v>42887</v>
      </c>
      <c r="M795">
        <v>6</v>
      </c>
      <c r="N795" s="7" t="s">
        <v>55</v>
      </c>
      <c r="O795" t="s">
        <v>31</v>
      </c>
      <c r="P795" t="s">
        <v>2886</v>
      </c>
      <c r="Q795" t="s">
        <v>2826</v>
      </c>
      <c r="R795" t="s">
        <v>2827</v>
      </c>
    </row>
    <row r="796" spans="1:18">
      <c r="A796">
        <v>3</v>
      </c>
      <c r="B796" s="4" t="s">
        <v>2764</v>
      </c>
      <c r="C796" s="4" t="s">
        <v>2765</v>
      </c>
      <c r="D796" s="4" t="s">
        <v>2816</v>
      </c>
      <c r="E796" s="4" t="s">
        <v>5804</v>
      </c>
      <c r="F796" t="s">
        <v>200</v>
      </c>
      <c r="G796" t="s">
        <v>914</v>
      </c>
      <c r="H796" t="s">
        <v>21</v>
      </c>
      <c r="I796">
        <v>2</v>
      </c>
      <c r="J796" s="5">
        <v>8.5000000000000006E-2</v>
      </c>
      <c r="K796" t="s">
        <v>83</v>
      </c>
      <c r="L796" s="6">
        <v>42948</v>
      </c>
      <c r="M796">
        <v>8</v>
      </c>
      <c r="N796" s="7" t="s">
        <v>55</v>
      </c>
      <c r="O796" t="s">
        <v>31</v>
      </c>
      <c r="P796" t="s">
        <v>2890</v>
      </c>
      <c r="Q796" t="s">
        <v>2804</v>
      </c>
      <c r="R796" t="s">
        <v>2805</v>
      </c>
    </row>
    <row r="797" spans="1:18">
      <c r="A797">
        <v>3</v>
      </c>
      <c r="B797" s="4" t="s">
        <v>2764</v>
      </c>
      <c r="C797" s="4" t="s">
        <v>2765</v>
      </c>
      <c r="D797" s="4" t="s">
        <v>2816</v>
      </c>
      <c r="E797" s="4" t="s">
        <v>5804</v>
      </c>
      <c r="F797" t="s">
        <v>200</v>
      </c>
      <c r="G797" t="s">
        <v>288</v>
      </c>
      <c r="H797" t="s">
        <v>21</v>
      </c>
      <c r="I797">
        <v>2</v>
      </c>
      <c r="J797" s="5">
        <v>8.5000000000000006E-2</v>
      </c>
      <c r="K797" t="s">
        <v>83</v>
      </c>
      <c r="L797" s="6">
        <v>42948</v>
      </c>
      <c r="M797">
        <v>8</v>
      </c>
      <c r="N797" s="7" t="s">
        <v>55</v>
      </c>
      <c r="O797" t="s">
        <v>31</v>
      </c>
      <c r="P797" t="s">
        <v>2891</v>
      </c>
      <c r="Q797" t="s">
        <v>2804</v>
      </c>
      <c r="R797" t="s">
        <v>2805</v>
      </c>
    </row>
    <row r="798" spans="1:18">
      <c r="A798">
        <v>3</v>
      </c>
      <c r="B798" s="4" t="s">
        <v>2764</v>
      </c>
      <c r="C798" s="4" t="s">
        <v>2765</v>
      </c>
      <c r="D798" s="4" t="s">
        <v>2816</v>
      </c>
      <c r="E798" s="4" t="s">
        <v>5804</v>
      </c>
      <c r="F798" t="s">
        <v>200</v>
      </c>
      <c r="G798" t="s">
        <v>288</v>
      </c>
      <c r="H798" t="s">
        <v>21</v>
      </c>
      <c r="I798">
        <v>2</v>
      </c>
      <c r="J798" s="5">
        <v>8.5000000000000006E-2</v>
      </c>
      <c r="K798" t="s">
        <v>22</v>
      </c>
      <c r="L798" s="6">
        <v>42979</v>
      </c>
      <c r="M798">
        <v>9</v>
      </c>
      <c r="N798" s="7" t="s">
        <v>23</v>
      </c>
      <c r="O798" t="s">
        <v>24</v>
      </c>
      <c r="P798" t="s">
        <v>2892</v>
      </c>
      <c r="Q798" t="s">
        <v>2893</v>
      </c>
      <c r="R798" t="s">
        <v>2894</v>
      </c>
    </row>
    <row r="799" spans="1:18">
      <c r="A799">
        <v>3</v>
      </c>
      <c r="B799" s="4" t="s">
        <v>2764</v>
      </c>
      <c r="C799" s="4" t="s">
        <v>2765</v>
      </c>
      <c r="D799" s="4" t="s">
        <v>2816</v>
      </c>
      <c r="E799" s="4" t="s">
        <v>5804</v>
      </c>
      <c r="F799" t="s">
        <v>200</v>
      </c>
      <c r="G799" t="s">
        <v>914</v>
      </c>
      <c r="H799" t="s">
        <v>21</v>
      </c>
      <c r="I799">
        <v>2</v>
      </c>
      <c r="J799" s="5">
        <v>8.5000000000000006E-2</v>
      </c>
      <c r="K799" t="s">
        <v>22</v>
      </c>
      <c r="L799" s="6">
        <v>42979</v>
      </c>
      <c r="M799">
        <v>9</v>
      </c>
      <c r="N799" s="7" t="s">
        <v>23</v>
      </c>
      <c r="O799" t="s">
        <v>31</v>
      </c>
      <c r="P799" t="s">
        <v>2898</v>
      </c>
      <c r="Q799" t="s">
        <v>2826</v>
      </c>
      <c r="R799" t="s">
        <v>2827</v>
      </c>
    </row>
    <row r="800" spans="1:18">
      <c r="A800">
        <v>3</v>
      </c>
      <c r="B800" s="4" t="s">
        <v>2764</v>
      </c>
      <c r="C800" s="4" t="s">
        <v>2765</v>
      </c>
      <c r="D800" s="4" t="s">
        <v>2816</v>
      </c>
      <c r="E800" s="4" t="s">
        <v>5804</v>
      </c>
      <c r="F800" t="s">
        <v>200</v>
      </c>
      <c r="G800" t="s">
        <v>288</v>
      </c>
      <c r="H800" t="s">
        <v>21</v>
      </c>
      <c r="I800">
        <v>2</v>
      </c>
      <c r="J800" s="5">
        <v>8.5000000000000006E-2</v>
      </c>
      <c r="K800" t="s">
        <v>85</v>
      </c>
      <c r="L800" s="6">
        <v>43009</v>
      </c>
      <c r="M800">
        <v>10</v>
      </c>
      <c r="N800" s="7" t="s">
        <v>23</v>
      </c>
      <c r="O800" t="s">
        <v>31</v>
      </c>
      <c r="P800" t="s">
        <v>2899</v>
      </c>
      <c r="Q800" t="s">
        <v>2804</v>
      </c>
      <c r="R800" t="s">
        <v>2805</v>
      </c>
    </row>
    <row r="801" spans="1:18">
      <c r="A801">
        <v>3</v>
      </c>
      <c r="B801" s="4" t="s">
        <v>2764</v>
      </c>
      <c r="C801" s="4" t="s">
        <v>2765</v>
      </c>
      <c r="D801" s="4" t="s">
        <v>2816</v>
      </c>
      <c r="E801" s="4" t="s">
        <v>5804</v>
      </c>
      <c r="F801" t="s">
        <v>200</v>
      </c>
      <c r="G801" t="s">
        <v>288</v>
      </c>
      <c r="H801" t="s">
        <v>21</v>
      </c>
      <c r="I801">
        <v>2</v>
      </c>
      <c r="J801" s="5">
        <v>8.5000000000000006E-2</v>
      </c>
      <c r="K801" t="s">
        <v>87</v>
      </c>
      <c r="L801" s="6">
        <v>43040</v>
      </c>
      <c r="M801">
        <v>11</v>
      </c>
      <c r="N801" s="7" t="s">
        <v>23</v>
      </c>
      <c r="O801" t="s">
        <v>193</v>
      </c>
      <c r="P801" t="s">
        <v>2905</v>
      </c>
      <c r="Q801" t="s">
        <v>2906</v>
      </c>
      <c r="R801" t="s">
        <v>2907</v>
      </c>
    </row>
    <row r="802" spans="1:18">
      <c r="A802">
        <v>3</v>
      </c>
      <c r="B802" s="4" t="s">
        <v>2764</v>
      </c>
      <c r="C802" s="4" t="s">
        <v>2765</v>
      </c>
      <c r="D802" s="4" t="s">
        <v>2816</v>
      </c>
      <c r="E802" s="4" t="s">
        <v>5804</v>
      </c>
      <c r="F802" t="s">
        <v>200</v>
      </c>
      <c r="G802" t="s">
        <v>914</v>
      </c>
      <c r="H802" t="s">
        <v>21</v>
      </c>
      <c r="I802">
        <v>2</v>
      </c>
      <c r="J802" s="5">
        <v>8.5000000000000006E-2</v>
      </c>
      <c r="K802" t="s">
        <v>29</v>
      </c>
      <c r="L802" s="6">
        <v>43070</v>
      </c>
      <c r="M802">
        <v>12</v>
      </c>
      <c r="N802" s="7" t="s">
        <v>30</v>
      </c>
      <c r="O802" t="s">
        <v>31</v>
      </c>
      <c r="P802" t="s">
        <v>2908</v>
      </c>
      <c r="Q802" t="s">
        <v>2826</v>
      </c>
      <c r="R802" t="s">
        <v>2827</v>
      </c>
    </row>
    <row r="803" spans="1:18">
      <c r="A803">
        <v>3</v>
      </c>
      <c r="B803" s="4" t="s">
        <v>2764</v>
      </c>
      <c r="C803" s="4" t="s">
        <v>2765</v>
      </c>
      <c r="D803" s="4" t="s">
        <v>2816</v>
      </c>
      <c r="E803" s="4" t="s">
        <v>5804</v>
      </c>
      <c r="F803" t="s">
        <v>200</v>
      </c>
      <c r="G803" t="s">
        <v>914</v>
      </c>
      <c r="H803" t="s">
        <v>21</v>
      </c>
      <c r="I803">
        <v>2</v>
      </c>
      <c r="J803" s="5">
        <v>8.5000000000000006E-2</v>
      </c>
      <c r="K803" t="s">
        <v>142</v>
      </c>
      <c r="L803" s="6">
        <v>43101</v>
      </c>
      <c r="M803">
        <v>1</v>
      </c>
      <c r="N803" s="7" t="s">
        <v>30</v>
      </c>
      <c r="O803" t="s">
        <v>31</v>
      </c>
      <c r="P803" t="s">
        <v>2912</v>
      </c>
      <c r="Q803" t="s">
        <v>2913</v>
      </c>
      <c r="R803" t="s">
        <v>2914</v>
      </c>
    </row>
    <row r="804" spans="1:18">
      <c r="A804">
        <v>3</v>
      </c>
      <c r="B804" s="4" t="s">
        <v>2764</v>
      </c>
      <c r="C804" s="4" t="s">
        <v>2765</v>
      </c>
      <c r="D804" s="4" t="s">
        <v>2816</v>
      </c>
      <c r="E804" s="4" t="s">
        <v>5804</v>
      </c>
      <c r="F804" t="s">
        <v>200</v>
      </c>
      <c r="G804" t="s">
        <v>914</v>
      </c>
      <c r="H804" t="s">
        <v>21</v>
      </c>
      <c r="I804">
        <v>2</v>
      </c>
      <c r="J804" s="5">
        <v>8.5000000000000006E-2</v>
      </c>
      <c r="K804" t="s">
        <v>35</v>
      </c>
      <c r="L804" s="6">
        <v>43160</v>
      </c>
      <c r="M804">
        <v>3</v>
      </c>
      <c r="N804" s="7" t="s">
        <v>23</v>
      </c>
      <c r="O804" t="s">
        <v>31</v>
      </c>
      <c r="P804" t="s">
        <v>2915</v>
      </c>
      <c r="Q804" t="s">
        <v>2804</v>
      </c>
      <c r="R804" t="s">
        <v>2805</v>
      </c>
    </row>
    <row r="805" spans="1:18">
      <c r="A805">
        <v>3</v>
      </c>
      <c r="B805" s="4" t="s">
        <v>2764</v>
      </c>
      <c r="C805" s="4" t="s">
        <v>2765</v>
      </c>
      <c r="D805" s="4" t="s">
        <v>2816</v>
      </c>
      <c r="E805" s="4" t="s">
        <v>5804</v>
      </c>
      <c r="F805" t="s">
        <v>200</v>
      </c>
      <c r="G805" t="s">
        <v>914</v>
      </c>
      <c r="H805" t="s">
        <v>21</v>
      </c>
      <c r="I805">
        <v>2</v>
      </c>
      <c r="J805" s="5">
        <v>8.5000000000000006E-2</v>
      </c>
      <c r="K805" t="s">
        <v>292</v>
      </c>
      <c r="L805" s="6">
        <v>43191</v>
      </c>
      <c r="M805">
        <v>4</v>
      </c>
      <c r="N805" s="7" t="s">
        <v>23</v>
      </c>
      <c r="O805" t="s">
        <v>31</v>
      </c>
      <c r="P805" t="s">
        <v>2916</v>
      </c>
      <c r="Q805" t="s">
        <v>2917</v>
      </c>
      <c r="R805" t="s">
        <v>2918</v>
      </c>
    </row>
    <row r="806" spans="1:18">
      <c r="A806">
        <v>3</v>
      </c>
      <c r="B806" s="4" t="s">
        <v>2764</v>
      </c>
      <c r="C806" s="4" t="s">
        <v>2765</v>
      </c>
      <c r="D806" s="4" t="s">
        <v>2816</v>
      </c>
      <c r="E806" s="4" t="s">
        <v>5804</v>
      </c>
      <c r="F806" t="s">
        <v>200</v>
      </c>
      <c r="G806" t="s">
        <v>288</v>
      </c>
      <c r="H806" t="s">
        <v>21</v>
      </c>
      <c r="I806">
        <v>2</v>
      </c>
      <c r="J806" s="5">
        <v>8.5000000000000006E-2</v>
      </c>
      <c r="K806" t="s">
        <v>295</v>
      </c>
      <c r="L806" s="6">
        <v>43221</v>
      </c>
      <c r="M806">
        <v>5</v>
      </c>
      <c r="N806" s="7" t="s">
        <v>23</v>
      </c>
      <c r="O806" t="s">
        <v>36</v>
      </c>
      <c r="P806" t="s">
        <v>2919</v>
      </c>
      <c r="Q806" t="s">
        <v>2920</v>
      </c>
      <c r="R806" t="s">
        <v>2921</v>
      </c>
    </row>
    <row r="807" spans="1:18">
      <c r="A807">
        <v>3</v>
      </c>
      <c r="B807" s="4" t="s">
        <v>2764</v>
      </c>
      <c r="C807" s="4" t="s">
        <v>2765</v>
      </c>
      <c r="D807" s="4" t="s">
        <v>2816</v>
      </c>
      <c r="E807" s="4" t="s">
        <v>5804</v>
      </c>
      <c r="F807" t="s">
        <v>200</v>
      </c>
      <c r="G807" t="s">
        <v>288</v>
      </c>
      <c r="H807" t="s">
        <v>21</v>
      </c>
      <c r="I807">
        <v>2</v>
      </c>
      <c r="J807" s="5">
        <v>8.5000000000000006E-2</v>
      </c>
      <c r="K807" t="s">
        <v>797</v>
      </c>
      <c r="L807" s="6">
        <v>43252</v>
      </c>
      <c r="M807">
        <v>6</v>
      </c>
      <c r="N807" s="7" t="s">
        <v>55</v>
      </c>
      <c r="O807" t="s">
        <v>31</v>
      </c>
      <c r="P807" t="s">
        <v>2922</v>
      </c>
      <c r="Q807" t="s">
        <v>2923</v>
      </c>
      <c r="R807" t="s">
        <v>2924</v>
      </c>
    </row>
    <row r="808" spans="1:18">
      <c r="A808">
        <v>3</v>
      </c>
      <c r="B808" s="4" t="s">
        <v>2764</v>
      </c>
      <c r="C808" s="4" t="s">
        <v>2765</v>
      </c>
      <c r="D808" s="4" t="s">
        <v>2816</v>
      </c>
      <c r="E808" s="4" t="s">
        <v>5804</v>
      </c>
      <c r="F808" t="s">
        <v>200</v>
      </c>
      <c r="G808" t="s">
        <v>914</v>
      </c>
      <c r="H808" t="s">
        <v>21</v>
      </c>
      <c r="I808">
        <v>2</v>
      </c>
      <c r="J808" s="5">
        <v>8.5000000000000006E-2</v>
      </c>
      <c r="K808" t="s">
        <v>93</v>
      </c>
      <c r="L808" s="6">
        <v>43282</v>
      </c>
      <c r="M808">
        <v>7</v>
      </c>
      <c r="N808" s="7" t="s">
        <v>55</v>
      </c>
      <c r="O808" t="s">
        <v>31</v>
      </c>
      <c r="P808" t="s">
        <v>2925</v>
      </c>
      <c r="Q808" t="s">
        <v>2804</v>
      </c>
      <c r="R808" t="s">
        <v>2805</v>
      </c>
    </row>
    <row r="809" spans="1:18">
      <c r="A809">
        <v>3</v>
      </c>
      <c r="B809" s="4" t="s">
        <v>2764</v>
      </c>
      <c r="C809" s="4" t="s">
        <v>2765</v>
      </c>
      <c r="D809" s="4" t="s">
        <v>2816</v>
      </c>
      <c r="E809" s="4" t="s">
        <v>5804</v>
      </c>
      <c r="F809" t="s">
        <v>200</v>
      </c>
      <c r="G809" t="s">
        <v>914</v>
      </c>
      <c r="H809" t="s">
        <v>21</v>
      </c>
      <c r="I809">
        <v>2</v>
      </c>
      <c r="J809" s="5">
        <v>8.5000000000000006E-2</v>
      </c>
      <c r="K809" t="s">
        <v>93</v>
      </c>
      <c r="L809" s="6">
        <v>43282</v>
      </c>
      <c r="M809">
        <v>7</v>
      </c>
      <c r="N809" s="7" t="s">
        <v>55</v>
      </c>
      <c r="O809" t="s">
        <v>31</v>
      </c>
      <c r="P809" t="s">
        <v>2926</v>
      </c>
      <c r="Q809" t="s">
        <v>2927</v>
      </c>
      <c r="R809" t="s">
        <v>2928</v>
      </c>
    </row>
    <row r="810" spans="1:18">
      <c r="A810">
        <v>3</v>
      </c>
      <c r="B810" s="4" t="s">
        <v>2764</v>
      </c>
      <c r="C810" s="4" t="s">
        <v>2765</v>
      </c>
      <c r="D810" s="4" t="s">
        <v>2816</v>
      </c>
      <c r="E810" s="4" t="s">
        <v>5804</v>
      </c>
      <c r="F810" t="s">
        <v>200</v>
      </c>
      <c r="G810" t="s">
        <v>288</v>
      </c>
      <c r="H810" t="s">
        <v>21</v>
      </c>
      <c r="I810">
        <v>2</v>
      </c>
      <c r="J810" s="5">
        <v>8.5000000000000006E-2</v>
      </c>
      <c r="K810" t="s">
        <v>146</v>
      </c>
      <c r="L810" s="6">
        <v>43313</v>
      </c>
      <c r="M810">
        <v>8</v>
      </c>
      <c r="N810" s="7" t="s">
        <v>55</v>
      </c>
      <c r="O810" t="s">
        <v>31</v>
      </c>
      <c r="P810" t="s">
        <v>2929</v>
      </c>
      <c r="Q810" t="s">
        <v>2804</v>
      </c>
      <c r="R810" t="s">
        <v>2805</v>
      </c>
    </row>
    <row r="811" spans="1:18">
      <c r="A811">
        <v>3</v>
      </c>
      <c r="B811" s="4" t="s">
        <v>2764</v>
      </c>
      <c r="C811" s="4" t="s">
        <v>2765</v>
      </c>
      <c r="D811" s="4" t="s">
        <v>2816</v>
      </c>
      <c r="E811" s="4" t="s">
        <v>5804</v>
      </c>
      <c r="F811" t="s">
        <v>200</v>
      </c>
      <c r="G811" t="s">
        <v>288</v>
      </c>
      <c r="H811" t="s">
        <v>21</v>
      </c>
      <c r="I811">
        <v>2</v>
      </c>
      <c r="J811" s="5">
        <v>8.5000000000000006E-2</v>
      </c>
      <c r="K811" t="s">
        <v>298</v>
      </c>
      <c r="L811" s="6">
        <v>43344</v>
      </c>
      <c r="M811">
        <v>9</v>
      </c>
      <c r="N811" s="7" t="s">
        <v>23</v>
      </c>
      <c r="O811" t="s">
        <v>36</v>
      </c>
      <c r="P811" t="s">
        <v>2930</v>
      </c>
      <c r="Q811" t="s">
        <v>2931</v>
      </c>
      <c r="R811" t="s">
        <v>2932</v>
      </c>
    </row>
    <row r="812" spans="1:18">
      <c r="A812">
        <v>3</v>
      </c>
      <c r="B812" s="4" t="s">
        <v>2764</v>
      </c>
      <c r="C812" s="4" t="s">
        <v>2765</v>
      </c>
      <c r="D812" s="4" t="s">
        <v>2816</v>
      </c>
      <c r="E812" s="4" t="s">
        <v>5804</v>
      </c>
      <c r="F812" t="s">
        <v>200</v>
      </c>
      <c r="G812" t="s">
        <v>288</v>
      </c>
      <c r="H812" t="s">
        <v>21</v>
      </c>
      <c r="I812">
        <v>2</v>
      </c>
      <c r="J812" s="5">
        <v>8.5000000000000006E-2</v>
      </c>
      <c r="K812" t="s">
        <v>1210</v>
      </c>
      <c r="L812" s="6">
        <v>43344</v>
      </c>
      <c r="M812">
        <v>9</v>
      </c>
      <c r="N812" s="7" t="s">
        <v>23</v>
      </c>
      <c r="O812" t="s">
        <v>31</v>
      </c>
      <c r="P812" t="s">
        <v>2933</v>
      </c>
      <c r="Q812" t="s">
        <v>2934</v>
      </c>
      <c r="R812" t="s">
        <v>2935</v>
      </c>
    </row>
    <row r="813" spans="1:18">
      <c r="A813">
        <v>3</v>
      </c>
      <c r="B813" s="4" t="s">
        <v>2764</v>
      </c>
      <c r="C813" s="4" t="s">
        <v>2765</v>
      </c>
      <c r="D813" s="4" t="s">
        <v>2816</v>
      </c>
      <c r="E813" s="4" t="s">
        <v>5804</v>
      </c>
      <c r="F813" t="s">
        <v>200</v>
      </c>
      <c r="G813" t="s">
        <v>288</v>
      </c>
      <c r="H813" t="s">
        <v>21</v>
      </c>
      <c r="I813">
        <v>2</v>
      </c>
      <c r="J813" s="5">
        <v>8.5000000000000006E-2</v>
      </c>
      <c r="K813" t="s">
        <v>152</v>
      </c>
      <c r="L813" s="6">
        <v>43374</v>
      </c>
      <c r="M813">
        <v>10</v>
      </c>
      <c r="N813" s="7" t="s">
        <v>23</v>
      </c>
      <c r="O813" t="s">
        <v>31</v>
      </c>
      <c r="P813" t="s">
        <v>2942</v>
      </c>
      <c r="Q813" t="s">
        <v>2804</v>
      </c>
      <c r="R813" t="s">
        <v>2805</v>
      </c>
    </row>
    <row r="814" spans="1:18">
      <c r="A814">
        <v>3</v>
      </c>
      <c r="B814" s="4" t="s">
        <v>2764</v>
      </c>
      <c r="C814" s="4" t="s">
        <v>2765</v>
      </c>
      <c r="D814" s="4" t="s">
        <v>2816</v>
      </c>
      <c r="E814" s="4" t="s">
        <v>5804</v>
      </c>
      <c r="F814" t="s">
        <v>200</v>
      </c>
      <c r="G814" t="s">
        <v>914</v>
      </c>
      <c r="H814" t="s">
        <v>21</v>
      </c>
      <c r="I814">
        <v>2</v>
      </c>
      <c r="J814" s="5">
        <v>8.5000000000000006E-2</v>
      </c>
      <c r="K814" t="s">
        <v>814</v>
      </c>
      <c r="L814" s="6">
        <v>43405</v>
      </c>
      <c r="M814">
        <v>11</v>
      </c>
      <c r="N814" s="7" t="s">
        <v>23</v>
      </c>
      <c r="O814" t="s">
        <v>31</v>
      </c>
      <c r="P814" t="s">
        <v>2943</v>
      </c>
      <c r="Q814" t="s">
        <v>2944</v>
      </c>
      <c r="R814" t="s">
        <v>2945</v>
      </c>
    </row>
    <row r="815" spans="1:18">
      <c r="A815">
        <v>3</v>
      </c>
      <c r="B815" s="4" t="s">
        <v>2764</v>
      </c>
      <c r="C815" s="4" t="s">
        <v>2765</v>
      </c>
      <c r="D815" s="4" t="s">
        <v>2816</v>
      </c>
      <c r="E815" s="4" t="s">
        <v>5804</v>
      </c>
      <c r="F815" t="s">
        <v>200</v>
      </c>
      <c r="G815" t="s">
        <v>914</v>
      </c>
      <c r="H815" t="s">
        <v>21</v>
      </c>
      <c r="I815">
        <v>2</v>
      </c>
      <c r="J815" s="5">
        <v>8.5000000000000006E-2</v>
      </c>
      <c r="K815" t="s">
        <v>156</v>
      </c>
      <c r="L815" s="6">
        <v>43405</v>
      </c>
      <c r="M815">
        <v>11</v>
      </c>
      <c r="N815" s="7" t="s">
        <v>23</v>
      </c>
      <c r="O815" t="s">
        <v>31</v>
      </c>
      <c r="P815" t="s">
        <v>2946</v>
      </c>
      <c r="Q815" t="s">
        <v>2804</v>
      </c>
      <c r="R815" t="s">
        <v>2805</v>
      </c>
    </row>
    <row r="816" spans="1:18">
      <c r="A816">
        <v>3</v>
      </c>
      <c r="B816" s="4" t="s">
        <v>2764</v>
      </c>
      <c r="C816" s="4" t="s">
        <v>2765</v>
      </c>
      <c r="D816" s="4" t="s">
        <v>2816</v>
      </c>
      <c r="E816" s="4" t="s">
        <v>5804</v>
      </c>
      <c r="F816" t="s">
        <v>200</v>
      </c>
      <c r="G816" t="s">
        <v>914</v>
      </c>
      <c r="H816" t="s">
        <v>21</v>
      </c>
      <c r="I816">
        <v>2</v>
      </c>
      <c r="J816" s="5">
        <v>8.5000000000000006E-2</v>
      </c>
      <c r="K816" t="s">
        <v>156</v>
      </c>
      <c r="L816" s="6">
        <v>43405</v>
      </c>
      <c r="M816">
        <v>11</v>
      </c>
      <c r="N816" s="7" t="s">
        <v>23</v>
      </c>
      <c r="O816" t="s">
        <v>31</v>
      </c>
      <c r="P816" t="s">
        <v>2947</v>
      </c>
      <c r="Q816" t="s">
        <v>2826</v>
      </c>
      <c r="R816" t="s">
        <v>2827</v>
      </c>
    </row>
    <row r="817" spans="1:18">
      <c r="A817">
        <v>3</v>
      </c>
      <c r="B817" s="4" t="s">
        <v>2764</v>
      </c>
      <c r="C817" s="4" t="s">
        <v>2765</v>
      </c>
      <c r="D817" s="4" t="s">
        <v>2816</v>
      </c>
      <c r="E817" s="4" t="s">
        <v>5804</v>
      </c>
      <c r="F817" t="s">
        <v>200</v>
      </c>
      <c r="G817" t="s">
        <v>914</v>
      </c>
      <c r="H817" t="s">
        <v>21</v>
      </c>
      <c r="I817">
        <v>2</v>
      </c>
      <c r="J817" s="5">
        <v>8.5000000000000006E-2</v>
      </c>
      <c r="K817" t="s">
        <v>482</v>
      </c>
      <c r="L817" s="6">
        <v>43435</v>
      </c>
      <c r="M817">
        <v>12</v>
      </c>
      <c r="N817" s="7" t="s">
        <v>30</v>
      </c>
      <c r="O817" t="s">
        <v>31</v>
      </c>
      <c r="P817" t="s">
        <v>2948</v>
      </c>
      <c r="Q817" t="s">
        <v>2804</v>
      </c>
      <c r="R817" t="s">
        <v>2805</v>
      </c>
    </row>
    <row r="818" spans="1:18">
      <c r="A818">
        <v>3</v>
      </c>
      <c r="B818" s="4" t="s">
        <v>2764</v>
      </c>
      <c r="C818" s="4" t="s">
        <v>2765</v>
      </c>
      <c r="D818" s="4" t="s">
        <v>2816</v>
      </c>
      <c r="E818" s="4" t="s">
        <v>5804</v>
      </c>
      <c r="F818" t="s">
        <v>200</v>
      </c>
      <c r="G818" t="s">
        <v>288</v>
      </c>
      <c r="H818" t="s">
        <v>21</v>
      </c>
      <c r="I818">
        <v>2</v>
      </c>
      <c r="J818" s="5">
        <v>8.5000000000000006E-2</v>
      </c>
      <c r="K818" t="s">
        <v>245</v>
      </c>
      <c r="L818" s="6">
        <v>43466</v>
      </c>
      <c r="M818">
        <v>1</v>
      </c>
      <c r="N818" s="7" t="s">
        <v>30</v>
      </c>
      <c r="O818" t="s">
        <v>31</v>
      </c>
      <c r="P818" t="s">
        <v>2952</v>
      </c>
      <c r="Q818" t="s">
        <v>2953</v>
      </c>
      <c r="R818" t="s">
        <v>2954</v>
      </c>
    </row>
    <row r="819" spans="1:18">
      <c r="A819">
        <v>3</v>
      </c>
      <c r="B819" s="4" t="s">
        <v>2764</v>
      </c>
      <c r="C819" s="4" t="s">
        <v>2765</v>
      </c>
      <c r="D819" s="4" t="s">
        <v>2816</v>
      </c>
      <c r="E819" s="4" t="s">
        <v>5804</v>
      </c>
      <c r="F819" t="s">
        <v>200</v>
      </c>
      <c r="G819" t="s">
        <v>914</v>
      </c>
      <c r="H819" t="s">
        <v>21</v>
      </c>
      <c r="I819">
        <v>2</v>
      </c>
      <c r="J819" s="5">
        <v>8.5000000000000006E-2</v>
      </c>
      <c r="K819" t="s">
        <v>2600</v>
      </c>
      <c r="L819" s="6">
        <v>43466</v>
      </c>
      <c r="M819">
        <v>1</v>
      </c>
      <c r="N819" s="7" t="s">
        <v>30</v>
      </c>
      <c r="O819" t="s">
        <v>31</v>
      </c>
      <c r="P819" t="s">
        <v>2955</v>
      </c>
      <c r="Q819" t="s">
        <v>2804</v>
      </c>
      <c r="R819" t="s">
        <v>2805</v>
      </c>
    </row>
    <row r="820" spans="1:18">
      <c r="A820">
        <v>3</v>
      </c>
      <c r="B820" s="4" t="s">
        <v>2764</v>
      </c>
      <c r="C820" s="4" t="s">
        <v>2765</v>
      </c>
      <c r="D820" s="4" t="s">
        <v>2816</v>
      </c>
      <c r="E820" s="4" t="s">
        <v>5804</v>
      </c>
      <c r="F820" t="s">
        <v>200</v>
      </c>
      <c r="G820" t="s">
        <v>914</v>
      </c>
      <c r="H820" t="s">
        <v>21</v>
      </c>
      <c r="I820">
        <v>2</v>
      </c>
      <c r="J820" s="5">
        <v>8.5000000000000006E-2</v>
      </c>
      <c r="K820" t="s">
        <v>159</v>
      </c>
      <c r="L820" s="6">
        <v>43586</v>
      </c>
      <c r="M820">
        <v>5</v>
      </c>
      <c r="N820" s="7" t="s">
        <v>23</v>
      </c>
      <c r="O820" t="s">
        <v>31</v>
      </c>
      <c r="P820" t="s">
        <v>2960</v>
      </c>
      <c r="Q820" t="s">
        <v>2804</v>
      </c>
      <c r="R820" t="s">
        <v>2805</v>
      </c>
    </row>
    <row r="821" spans="1:18">
      <c r="A821">
        <v>3</v>
      </c>
      <c r="B821" s="4" t="s">
        <v>2764</v>
      </c>
      <c r="C821" s="4" t="s">
        <v>2765</v>
      </c>
      <c r="D821" s="4" t="s">
        <v>2816</v>
      </c>
      <c r="E821" s="4" t="s">
        <v>5804</v>
      </c>
      <c r="F821" t="s">
        <v>200</v>
      </c>
      <c r="G821" t="s">
        <v>914</v>
      </c>
      <c r="H821" t="s">
        <v>21</v>
      </c>
      <c r="I821">
        <v>2</v>
      </c>
      <c r="J821" s="5">
        <v>8.5000000000000006E-2</v>
      </c>
      <c r="K821" t="s">
        <v>159</v>
      </c>
      <c r="L821" s="6">
        <v>43586</v>
      </c>
      <c r="M821">
        <v>5</v>
      </c>
      <c r="N821" s="7" t="s">
        <v>23</v>
      </c>
      <c r="O821" t="s">
        <v>31</v>
      </c>
      <c r="P821" t="s">
        <v>2961</v>
      </c>
      <c r="Q821" t="s">
        <v>2962</v>
      </c>
      <c r="R821" t="s">
        <v>2963</v>
      </c>
    </row>
    <row r="822" spans="1:18">
      <c r="A822">
        <v>3</v>
      </c>
      <c r="B822" s="4" t="s">
        <v>2764</v>
      </c>
      <c r="C822" s="4" t="s">
        <v>2765</v>
      </c>
      <c r="D822" s="4" t="s">
        <v>2816</v>
      </c>
      <c r="E822" s="4" t="s">
        <v>5804</v>
      </c>
      <c r="F822" t="s">
        <v>200</v>
      </c>
      <c r="G822" t="s">
        <v>914</v>
      </c>
      <c r="H822" t="s">
        <v>21</v>
      </c>
      <c r="I822">
        <v>2</v>
      </c>
      <c r="J822" s="5">
        <v>8.5000000000000006E-2</v>
      </c>
      <c r="K822" t="s">
        <v>159</v>
      </c>
      <c r="L822" s="6">
        <v>43586</v>
      </c>
      <c r="M822">
        <v>5</v>
      </c>
      <c r="N822" s="7" t="s">
        <v>23</v>
      </c>
      <c r="O822" t="s">
        <v>31</v>
      </c>
      <c r="P822" t="s">
        <v>2964</v>
      </c>
      <c r="Q822" t="s">
        <v>2826</v>
      </c>
      <c r="R822" t="s">
        <v>2827</v>
      </c>
    </row>
    <row r="823" spans="1:18">
      <c r="A823">
        <v>3</v>
      </c>
      <c r="B823" s="4" t="s">
        <v>2764</v>
      </c>
      <c r="C823" s="4" t="s">
        <v>2765</v>
      </c>
      <c r="D823" s="4" t="s">
        <v>2816</v>
      </c>
      <c r="E823" s="4" t="s">
        <v>5804</v>
      </c>
      <c r="F823" t="s">
        <v>200</v>
      </c>
      <c r="G823" t="s">
        <v>914</v>
      </c>
      <c r="H823" t="s">
        <v>21</v>
      </c>
      <c r="I823">
        <v>2</v>
      </c>
      <c r="J823" s="5">
        <v>8.5000000000000006E-2</v>
      </c>
      <c r="K823" t="s">
        <v>164</v>
      </c>
      <c r="L823" s="6">
        <v>43617</v>
      </c>
      <c r="M823">
        <v>6</v>
      </c>
      <c r="N823" s="7" t="s">
        <v>55</v>
      </c>
      <c r="O823" t="s">
        <v>31</v>
      </c>
      <c r="P823" t="s">
        <v>2965</v>
      </c>
      <c r="Q823" t="s">
        <v>2826</v>
      </c>
      <c r="R823" t="s">
        <v>2827</v>
      </c>
    </row>
    <row r="824" spans="1:18">
      <c r="A824">
        <v>3</v>
      </c>
      <c r="B824" s="4" t="s">
        <v>2764</v>
      </c>
      <c r="C824" s="4" t="s">
        <v>2765</v>
      </c>
      <c r="D824" s="4" t="s">
        <v>2816</v>
      </c>
      <c r="E824" s="4" t="s">
        <v>5804</v>
      </c>
      <c r="F824" t="s">
        <v>200</v>
      </c>
      <c r="G824" t="s">
        <v>914</v>
      </c>
      <c r="H824" t="s">
        <v>21</v>
      </c>
      <c r="I824">
        <v>2</v>
      </c>
      <c r="J824" s="5">
        <v>8.5000000000000006E-2</v>
      </c>
      <c r="K824" t="s">
        <v>726</v>
      </c>
      <c r="L824" s="6">
        <v>43709</v>
      </c>
      <c r="M824">
        <v>9</v>
      </c>
      <c r="N824" s="7" t="s">
        <v>23</v>
      </c>
      <c r="O824" t="s">
        <v>31</v>
      </c>
      <c r="P824" t="s">
        <v>2979</v>
      </c>
      <c r="Q824" t="s">
        <v>2980</v>
      </c>
      <c r="R824" t="s">
        <v>2981</v>
      </c>
    </row>
    <row r="825" spans="1:18">
      <c r="A825">
        <v>3</v>
      </c>
      <c r="B825" s="4" t="s">
        <v>2764</v>
      </c>
      <c r="C825" s="4" t="s">
        <v>2765</v>
      </c>
      <c r="D825" s="4" t="s">
        <v>2816</v>
      </c>
      <c r="E825" s="4" t="s">
        <v>5804</v>
      </c>
      <c r="F825" t="s">
        <v>200</v>
      </c>
      <c r="G825" t="s">
        <v>914</v>
      </c>
      <c r="H825" t="s">
        <v>21</v>
      </c>
      <c r="I825">
        <v>2</v>
      </c>
      <c r="J825" s="5">
        <v>8.5000000000000006E-2</v>
      </c>
      <c r="K825" t="s">
        <v>726</v>
      </c>
      <c r="L825" s="6">
        <v>43709</v>
      </c>
      <c r="M825">
        <v>9</v>
      </c>
      <c r="N825" s="7" t="s">
        <v>23</v>
      </c>
      <c r="O825" t="s">
        <v>31</v>
      </c>
      <c r="P825" t="s">
        <v>2983</v>
      </c>
      <c r="Q825" t="s">
        <v>2826</v>
      </c>
      <c r="R825" t="s">
        <v>2827</v>
      </c>
    </row>
    <row r="826" spans="1:18">
      <c r="A826">
        <v>3</v>
      </c>
      <c r="B826" s="4" t="s">
        <v>2764</v>
      </c>
      <c r="C826" s="4" t="s">
        <v>2765</v>
      </c>
      <c r="D826" s="4" t="s">
        <v>2816</v>
      </c>
      <c r="E826" s="4" t="s">
        <v>5804</v>
      </c>
      <c r="F826" t="s">
        <v>200</v>
      </c>
      <c r="G826" t="s">
        <v>914</v>
      </c>
      <c r="H826" t="s">
        <v>21</v>
      </c>
      <c r="I826">
        <v>2</v>
      </c>
      <c r="J826" s="5">
        <v>8.5000000000000006E-2</v>
      </c>
      <c r="K826" t="s">
        <v>691</v>
      </c>
      <c r="L826" s="6">
        <v>43770</v>
      </c>
      <c r="M826">
        <v>11</v>
      </c>
      <c r="N826" s="7" t="s">
        <v>23</v>
      </c>
      <c r="O826" t="s">
        <v>31</v>
      </c>
      <c r="P826" t="s">
        <v>2984</v>
      </c>
      <c r="Q826" t="s">
        <v>2985</v>
      </c>
      <c r="R826" t="s">
        <v>2986</v>
      </c>
    </row>
    <row r="827" spans="1:18">
      <c r="A827">
        <v>3</v>
      </c>
      <c r="B827" s="4" t="s">
        <v>2764</v>
      </c>
      <c r="C827" s="4" t="s">
        <v>2765</v>
      </c>
      <c r="D827" s="4" t="s">
        <v>2816</v>
      </c>
      <c r="E827" s="4" t="s">
        <v>5804</v>
      </c>
      <c r="F827" t="s">
        <v>200</v>
      </c>
      <c r="G827" t="s">
        <v>914</v>
      </c>
      <c r="H827" t="s">
        <v>21</v>
      </c>
      <c r="I827">
        <v>2</v>
      </c>
      <c r="J827" s="5">
        <v>8.5000000000000006E-2</v>
      </c>
      <c r="K827" t="s">
        <v>691</v>
      </c>
      <c r="L827" s="6">
        <v>43770</v>
      </c>
      <c r="M827">
        <v>11</v>
      </c>
      <c r="N827" s="7" t="s">
        <v>23</v>
      </c>
      <c r="O827" t="s">
        <v>31</v>
      </c>
      <c r="P827" t="s">
        <v>2987</v>
      </c>
      <c r="Q827" t="s">
        <v>2988</v>
      </c>
      <c r="R827" t="s">
        <v>2989</v>
      </c>
    </row>
    <row r="828" spans="1:18">
      <c r="A828">
        <v>3</v>
      </c>
      <c r="B828" s="4" t="s">
        <v>2764</v>
      </c>
      <c r="C828" s="4" t="s">
        <v>2765</v>
      </c>
      <c r="D828" s="4" t="s">
        <v>2816</v>
      </c>
      <c r="E828" s="4" t="s">
        <v>5804</v>
      </c>
      <c r="F828" t="s">
        <v>200</v>
      </c>
      <c r="G828" t="s">
        <v>914</v>
      </c>
      <c r="H828" t="s">
        <v>21</v>
      </c>
      <c r="I828">
        <v>2</v>
      </c>
      <c r="J828" s="5">
        <v>8.5000000000000006E-2</v>
      </c>
      <c r="K828" t="s">
        <v>691</v>
      </c>
      <c r="L828" s="6">
        <v>43770</v>
      </c>
      <c r="M828">
        <v>11</v>
      </c>
      <c r="N828" s="7" t="s">
        <v>23</v>
      </c>
      <c r="O828" t="s">
        <v>31</v>
      </c>
      <c r="P828" t="s">
        <v>2990</v>
      </c>
      <c r="Q828" t="s">
        <v>2804</v>
      </c>
      <c r="R828" t="s">
        <v>2805</v>
      </c>
    </row>
    <row r="829" spans="1:18">
      <c r="A829">
        <v>3</v>
      </c>
      <c r="B829" s="4" t="s">
        <v>2764</v>
      </c>
      <c r="C829" s="4" t="s">
        <v>2765</v>
      </c>
      <c r="D829" s="4" t="s">
        <v>2816</v>
      </c>
      <c r="E829" s="4" t="s">
        <v>5804</v>
      </c>
      <c r="F829" t="s">
        <v>200</v>
      </c>
      <c r="G829" t="s">
        <v>914</v>
      </c>
      <c r="H829" t="s">
        <v>21</v>
      </c>
      <c r="I829">
        <v>2</v>
      </c>
      <c r="J829" s="5">
        <v>8.5000000000000006E-2</v>
      </c>
      <c r="K829" t="s">
        <v>691</v>
      </c>
      <c r="L829" s="6">
        <v>43770</v>
      </c>
      <c r="M829">
        <v>11</v>
      </c>
      <c r="N829" s="7" t="s">
        <v>23</v>
      </c>
      <c r="O829" t="s">
        <v>31</v>
      </c>
      <c r="P829" t="s">
        <v>2991</v>
      </c>
      <c r="Q829" t="s">
        <v>2804</v>
      </c>
      <c r="R829" t="s">
        <v>2805</v>
      </c>
    </row>
    <row r="830" spans="1:18">
      <c r="A830">
        <v>3</v>
      </c>
      <c r="B830" s="4" t="s">
        <v>2764</v>
      </c>
      <c r="C830" s="4" t="s">
        <v>2765</v>
      </c>
      <c r="D830" s="4" t="s">
        <v>2816</v>
      </c>
      <c r="E830" s="4" t="s">
        <v>5804</v>
      </c>
      <c r="F830" t="s">
        <v>200</v>
      </c>
      <c r="G830" t="s">
        <v>914</v>
      </c>
      <c r="H830" t="s">
        <v>21</v>
      </c>
      <c r="I830">
        <v>2</v>
      </c>
      <c r="J830" s="5">
        <v>8.5000000000000006E-2</v>
      </c>
      <c r="K830" t="s">
        <v>539</v>
      </c>
      <c r="L830" s="6">
        <v>43922</v>
      </c>
      <c r="M830">
        <v>4</v>
      </c>
      <c r="N830" s="7" t="s">
        <v>23</v>
      </c>
      <c r="O830" t="s">
        <v>31</v>
      </c>
      <c r="P830" t="s">
        <v>2995</v>
      </c>
      <c r="Q830" t="s">
        <v>2996</v>
      </c>
      <c r="R830" t="s">
        <v>2997</v>
      </c>
    </row>
    <row r="831" spans="1:18">
      <c r="A831">
        <v>3</v>
      </c>
      <c r="B831" s="4" t="s">
        <v>2764</v>
      </c>
      <c r="C831" s="4" t="s">
        <v>2765</v>
      </c>
      <c r="D831" s="4" t="s">
        <v>2816</v>
      </c>
      <c r="E831" s="4" t="s">
        <v>5804</v>
      </c>
      <c r="F831" t="s">
        <v>200</v>
      </c>
      <c r="G831" t="s">
        <v>914</v>
      </c>
      <c r="H831" t="s">
        <v>21</v>
      </c>
      <c r="I831">
        <v>2</v>
      </c>
      <c r="J831" s="5">
        <v>8.5000000000000006E-2</v>
      </c>
      <c r="K831" t="s">
        <v>251</v>
      </c>
      <c r="L831" s="6">
        <v>43952</v>
      </c>
      <c r="M831">
        <v>5</v>
      </c>
      <c r="N831" s="7" t="s">
        <v>23</v>
      </c>
      <c r="O831" t="s">
        <v>31</v>
      </c>
      <c r="P831" t="s">
        <v>3001</v>
      </c>
      <c r="Q831" t="s">
        <v>3002</v>
      </c>
      <c r="R831" t="s">
        <v>3003</v>
      </c>
    </row>
    <row r="832" spans="1:18">
      <c r="A832">
        <v>3</v>
      </c>
      <c r="B832" s="4" t="s">
        <v>2764</v>
      </c>
      <c r="C832" s="4" t="s">
        <v>2765</v>
      </c>
      <c r="D832" s="4" t="s">
        <v>2816</v>
      </c>
      <c r="E832" s="4" t="s">
        <v>5804</v>
      </c>
      <c r="F832" t="s">
        <v>200</v>
      </c>
      <c r="G832" t="s">
        <v>914</v>
      </c>
      <c r="H832" t="s">
        <v>21</v>
      </c>
      <c r="I832">
        <v>2</v>
      </c>
      <c r="J832" s="5">
        <v>8.5000000000000006E-2</v>
      </c>
      <c r="K832" t="s">
        <v>251</v>
      </c>
      <c r="L832" s="6">
        <v>43952</v>
      </c>
      <c r="M832">
        <v>5</v>
      </c>
      <c r="N832" s="7" t="s">
        <v>23</v>
      </c>
      <c r="O832" t="s">
        <v>31</v>
      </c>
      <c r="P832" t="s">
        <v>3004</v>
      </c>
      <c r="Q832" t="s">
        <v>3005</v>
      </c>
      <c r="R832" t="s">
        <v>3006</v>
      </c>
    </row>
    <row r="833" spans="1:18">
      <c r="A833">
        <v>3</v>
      </c>
      <c r="B833" s="4" t="s">
        <v>2764</v>
      </c>
      <c r="C833" s="4" t="s">
        <v>2765</v>
      </c>
      <c r="D833" s="4" t="s">
        <v>2816</v>
      </c>
      <c r="E833" s="4" t="s">
        <v>5804</v>
      </c>
      <c r="F833" t="s">
        <v>200</v>
      </c>
      <c r="G833" t="s">
        <v>914</v>
      </c>
      <c r="H833" t="s">
        <v>21</v>
      </c>
      <c r="I833">
        <v>2</v>
      </c>
      <c r="J833" s="5">
        <v>8.5000000000000006E-2</v>
      </c>
      <c r="K833" t="s">
        <v>255</v>
      </c>
      <c r="L833" s="6">
        <v>43983</v>
      </c>
      <c r="M833">
        <v>6</v>
      </c>
      <c r="N833" s="7" t="s">
        <v>55</v>
      </c>
      <c r="O833" t="s">
        <v>31</v>
      </c>
      <c r="P833" t="s">
        <v>3021</v>
      </c>
      <c r="Q833" t="s">
        <v>2826</v>
      </c>
      <c r="R833" t="s">
        <v>2827</v>
      </c>
    </row>
    <row r="834" spans="1:18">
      <c r="A834">
        <v>3</v>
      </c>
      <c r="B834" s="4" t="s">
        <v>2764</v>
      </c>
      <c r="C834" s="4" t="s">
        <v>2765</v>
      </c>
      <c r="D834" s="4" t="s">
        <v>2816</v>
      </c>
      <c r="E834" s="4" t="s">
        <v>5804</v>
      </c>
      <c r="F834" t="s">
        <v>200</v>
      </c>
      <c r="G834" t="s">
        <v>914</v>
      </c>
      <c r="H834" t="s">
        <v>21</v>
      </c>
      <c r="I834">
        <v>2</v>
      </c>
      <c r="J834" s="5">
        <v>8.5000000000000006E-2</v>
      </c>
      <c r="K834" t="s">
        <v>171</v>
      </c>
      <c r="L834" s="6">
        <v>44013</v>
      </c>
      <c r="M834">
        <v>7</v>
      </c>
      <c r="N834" s="7" t="s">
        <v>55</v>
      </c>
      <c r="O834" t="s">
        <v>31</v>
      </c>
      <c r="P834" t="s">
        <v>3022</v>
      </c>
      <c r="Q834" t="s">
        <v>2985</v>
      </c>
      <c r="R834" t="s">
        <v>2986</v>
      </c>
    </row>
    <row r="835" spans="1:18">
      <c r="A835">
        <v>3</v>
      </c>
      <c r="B835" s="4" t="s">
        <v>2764</v>
      </c>
      <c r="C835" s="4" t="s">
        <v>2765</v>
      </c>
      <c r="D835" s="4" t="s">
        <v>2816</v>
      </c>
      <c r="E835" s="4" t="s">
        <v>5804</v>
      </c>
      <c r="F835" t="s">
        <v>200</v>
      </c>
      <c r="G835" t="s">
        <v>914</v>
      </c>
      <c r="H835" t="s">
        <v>21</v>
      </c>
      <c r="I835">
        <v>2</v>
      </c>
      <c r="J835" s="5">
        <v>8.5000000000000006E-2</v>
      </c>
      <c r="K835" t="s">
        <v>171</v>
      </c>
      <c r="L835" s="6">
        <v>44013</v>
      </c>
      <c r="M835">
        <v>7</v>
      </c>
      <c r="N835" s="7" t="s">
        <v>55</v>
      </c>
      <c r="O835" t="s">
        <v>31</v>
      </c>
      <c r="P835" t="s">
        <v>3023</v>
      </c>
      <c r="Q835" t="s">
        <v>2985</v>
      </c>
      <c r="R835" t="s">
        <v>2986</v>
      </c>
    </row>
    <row r="836" spans="1:18">
      <c r="A836">
        <v>3</v>
      </c>
      <c r="B836" s="4" t="s">
        <v>2764</v>
      </c>
      <c r="C836" s="4" t="s">
        <v>2765</v>
      </c>
      <c r="D836" s="4" t="s">
        <v>2816</v>
      </c>
      <c r="E836" s="4" t="s">
        <v>5804</v>
      </c>
      <c r="F836" t="s">
        <v>200</v>
      </c>
      <c r="G836" t="s">
        <v>914</v>
      </c>
      <c r="H836" t="s">
        <v>21</v>
      </c>
      <c r="I836">
        <v>2</v>
      </c>
      <c r="J836" s="5">
        <v>8.5000000000000006E-2</v>
      </c>
      <c r="K836" t="s">
        <v>171</v>
      </c>
      <c r="L836" s="6">
        <v>44013</v>
      </c>
      <c r="M836">
        <v>7</v>
      </c>
      <c r="N836" s="7" t="s">
        <v>55</v>
      </c>
      <c r="O836" t="s">
        <v>31</v>
      </c>
      <c r="P836" t="s">
        <v>3024</v>
      </c>
      <c r="Q836" t="s">
        <v>2804</v>
      </c>
      <c r="R836" t="s">
        <v>2805</v>
      </c>
    </row>
    <row r="837" spans="1:18">
      <c r="A837">
        <v>3</v>
      </c>
      <c r="B837" s="4" t="s">
        <v>2764</v>
      </c>
      <c r="C837" s="4" t="s">
        <v>2765</v>
      </c>
      <c r="D837" s="4" t="s">
        <v>2816</v>
      </c>
      <c r="E837" s="4" t="s">
        <v>5804</v>
      </c>
      <c r="F837" t="s">
        <v>200</v>
      </c>
      <c r="G837" t="s">
        <v>914</v>
      </c>
      <c r="H837" t="s">
        <v>21</v>
      </c>
      <c r="I837">
        <v>2</v>
      </c>
      <c r="J837" s="5">
        <v>8.5000000000000006E-2</v>
      </c>
      <c r="K837" t="s">
        <v>171</v>
      </c>
      <c r="L837" s="6">
        <v>44013</v>
      </c>
      <c r="M837">
        <v>7</v>
      </c>
      <c r="N837" s="7" t="s">
        <v>55</v>
      </c>
      <c r="O837" t="s">
        <v>193</v>
      </c>
      <c r="P837" t="s">
        <v>3025</v>
      </c>
      <c r="Q837" t="s">
        <v>3026</v>
      </c>
      <c r="R837" t="s">
        <v>2963</v>
      </c>
    </row>
    <row r="838" spans="1:18">
      <c r="A838">
        <v>3</v>
      </c>
      <c r="B838" s="4" t="s">
        <v>2764</v>
      </c>
      <c r="C838" s="4" t="s">
        <v>2765</v>
      </c>
      <c r="D838" s="4" t="s">
        <v>2816</v>
      </c>
      <c r="E838" s="4" t="s">
        <v>5804</v>
      </c>
      <c r="F838" t="s">
        <v>200</v>
      </c>
      <c r="G838" t="s">
        <v>914</v>
      </c>
      <c r="H838" t="s">
        <v>21</v>
      </c>
      <c r="I838">
        <v>2</v>
      </c>
      <c r="J838" s="5">
        <v>8.5000000000000006E-2</v>
      </c>
      <c r="K838" t="s">
        <v>267</v>
      </c>
      <c r="L838" s="6">
        <v>44044</v>
      </c>
      <c r="M838">
        <v>8</v>
      </c>
      <c r="N838" s="7" t="s">
        <v>55</v>
      </c>
      <c r="O838" t="s">
        <v>31</v>
      </c>
      <c r="P838" t="s">
        <v>3027</v>
      </c>
      <c r="Q838" t="s">
        <v>2804</v>
      </c>
      <c r="R838" t="s">
        <v>2805</v>
      </c>
    </row>
    <row r="839" spans="1:18">
      <c r="A839">
        <v>3</v>
      </c>
      <c r="B839" s="4" t="s">
        <v>2764</v>
      </c>
      <c r="C839" s="4" t="s">
        <v>2765</v>
      </c>
      <c r="D839" s="4" t="s">
        <v>2816</v>
      </c>
      <c r="E839" s="4" t="s">
        <v>5804</v>
      </c>
      <c r="F839" t="s">
        <v>200</v>
      </c>
      <c r="G839" t="s">
        <v>914</v>
      </c>
      <c r="H839" t="s">
        <v>21</v>
      </c>
      <c r="I839">
        <v>2</v>
      </c>
      <c r="J839" s="5">
        <v>8.5000000000000006E-2</v>
      </c>
      <c r="K839" t="s">
        <v>267</v>
      </c>
      <c r="L839" s="6">
        <v>44044</v>
      </c>
      <c r="M839">
        <v>8</v>
      </c>
      <c r="N839" s="7" t="s">
        <v>55</v>
      </c>
      <c r="O839" t="s">
        <v>31</v>
      </c>
      <c r="P839" t="s">
        <v>3028</v>
      </c>
      <c r="Q839" t="s">
        <v>2826</v>
      </c>
      <c r="R839" t="s">
        <v>2827</v>
      </c>
    </row>
    <row r="840" spans="1:18">
      <c r="A840">
        <v>3</v>
      </c>
      <c r="B840" s="4" t="s">
        <v>2764</v>
      </c>
      <c r="C840" s="4" t="s">
        <v>2765</v>
      </c>
      <c r="D840" s="4" t="s">
        <v>2816</v>
      </c>
      <c r="E840" s="4" t="s">
        <v>5804</v>
      </c>
      <c r="F840" t="s">
        <v>200</v>
      </c>
      <c r="G840" t="s">
        <v>288</v>
      </c>
      <c r="H840" t="s">
        <v>21</v>
      </c>
      <c r="I840">
        <v>2</v>
      </c>
      <c r="J840" s="5">
        <v>8.5000000000000006E-2</v>
      </c>
      <c r="K840" t="s">
        <v>547</v>
      </c>
      <c r="L840" s="6">
        <v>44075</v>
      </c>
      <c r="M840">
        <v>9</v>
      </c>
      <c r="N840" s="7" t="s">
        <v>23</v>
      </c>
      <c r="O840" t="s">
        <v>31</v>
      </c>
      <c r="P840" t="s">
        <v>3029</v>
      </c>
      <c r="Q840" t="s">
        <v>3030</v>
      </c>
      <c r="R840" t="s">
        <v>3031</v>
      </c>
    </row>
    <row r="841" spans="1:18">
      <c r="A841">
        <v>3</v>
      </c>
      <c r="B841" s="4" t="s">
        <v>2764</v>
      </c>
      <c r="C841" s="4" t="s">
        <v>2765</v>
      </c>
      <c r="D841" s="4" t="s">
        <v>2816</v>
      </c>
      <c r="E841" s="4" t="s">
        <v>5804</v>
      </c>
      <c r="F841" t="s">
        <v>200</v>
      </c>
      <c r="G841" t="s">
        <v>914</v>
      </c>
      <c r="H841" t="s">
        <v>21</v>
      </c>
      <c r="I841">
        <v>2</v>
      </c>
      <c r="J841" s="5">
        <v>8.5000000000000006E-2</v>
      </c>
      <c r="K841" t="s">
        <v>547</v>
      </c>
      <c r="L841" s="6">
        <v>44075</v>
      </c>
      <c r="M841">
        <v>9</v>
      </c>
      <c r="N841" s="7" t="s">
        <v>23</v>
      </c>
      <c r="O841" t="s">
        <v>31</v>
      </c>
      <c r="P841" t="s">
        <v>3032</v>
      </c>
      <c r="Q841" t="s">
        <v>3033</v>
      </c>
      <c r="R841" t="s">
        <v>2802</v>
      </c>
    </row>
    <row r="842" spans="1:18">
      <c r="A842">
        <v>3</v>
      </c>
      <c r="B842" s="4" t="s">
        <v>2764</v>
      </c>
      <c r="C842" s="4" t="s">
        <v>2765</v>
      </c>
      <c r="D842" s="4" t="s">
        <v>2816</v>
      </c>
      <c r="E842" s="4" t="s">
        <v>5804</v>
      </c>
      <c r="F842" t="s">
        <v>200</v>
      </c>
      <c r="G842" t="s">
        <v>288</v>
      </c>
      <c r="H842" t="s">
        <v>21</v>
      </c>
      <c r="I842">
        <v>2</v>
      </c>
      <c r="J842" s="5">
        <v>8.5000000000000006E-2</v>
      </c>
      <c r="K842" t="s">
        <v>365</v>
      </c>
      <c r="L842" s="6">
        <v>44105</v>
      </c>
      <c r="M842">
        <v>10</v>
      </c>
      <c r="N842" s="7" t="s">
        <v>23</v>
      </c>
      <c r="O842" t="s">
        <v>193</v>
      </c>
      <c r="P842" t="s">
        <v>3040</v>
      </c>
      <c r="Q842" t="s">
        <v>3041</v>
      </c>
      <c r="R842" t="s">
        <v>3042</v>
      </c>
    </row>
    <row r="843" spans="1:18">
      <c r="A843">
        <v>3</v>
      </c>
      <c r="B843" s="4" t="s">
        <v>2764</v>
      </c>
      <c r="C843" s="4" t="s">
        <v>2765</v>
      </c>
      <c r="D843" s="4" t="s">
        <v>2816</v>
      </c>
      <c r="E843" s="4" t="s">
        <v>5804</v>
      </c>
      <c r="F843" t="s">
        <v>200</v>
      </c>
      <c r="G843" t="s">
        <v>914</v>
      </c>
      <c r="H843" t="s">
        <v>21</v>
      </c>
      <c r="I843">
        <v>2</v>
      </c>
      <c r="J843" s="5">
        <v>8.5000000000000006E-2</v>
      </c>
      <c r="K843" t="s">
        <v>749</v>
      </c>
      <c r="L843" s="6">
        <v>44136</v>
      </c>
      <c r="M843">
        <v>11</v>
      </c>
      <c r="N843" s="7" t="s">
        <v>23</v>
      </c>
      <c r="O843" t="s">
        <v>31</v>
      </c>
      <c r="P843" t="s">
        <v>3046</v>
      </c>
      <c r="Q843" t="s">
        <v>2826</v>
      </c>
      <c r="R843" t="s">
        <v>2827</v>
      </c>
    </row>
    <row r="844" spans="1:18">
      <c r="A844">
        <v>3</v>
      </c>
      <c r="B844" s="4" t="s">
        <v>2764</v>
      </c>
      <c r="C844" s="4" t="s">
        <v>2765</v>
      </c>
      <c r="D844" s="4" t="s">
        <v>2816</v>
      </c>
      <c r="E844" s="4" t="s">
        <v>5804</v>
      </c>
      <c r="F844" t="s">
        <v>200</v>
      </c>
      <c r="G844" t="s">
        <v>288</v>
      </c>
      <c r="H844" t="s">
        <v>21</v>
      </c>
      <c r="I844">
        <v>2</v>
      </c>
      <c r="J844" s="5">
        <v>8.5000000000000006E-2</v>
      </c>
      <c r="K844" t="s">
        <v>175</v>
      </c>
      <c r="L844" s="6">
        <v>44166</v>
      </c>
      <c r="M844">
        <v>12</v>
      </c>
      <c r="N844" s="7" t="s">
        <v>30</v>
      </c>
      <c r="O844" t="s">
        <v>31</v>
      </c>
      <c r="P844" t="s">
        <v>3047</v>
      </c>
      <c r="Q844" t="s">
        <v>3048</v>
      </c>
      <c r="R844" t="s">
        <v>3049</v>
      </c>
    </row>
    <row r="845" spans="1:18">
      <c r="A845">
        <v>3</v>
      </c>
      <c r="B845" s="4" t="s">
        <v>2764</v>
      </c>
      <c r="C845" s="4" t="s">
        <v>2765</v>
      </c>
      <c r="D845" s="4" t="s">
        <v>2816</v>
      </c>
      <c r="E845" s="4" t="s">
        <v>5804</v>
      </c>
      <c r="F845" t="s">
        <v>200</v>
      </c>
      <c r="G845" t="s">
        <v>288</v>
      </c>
      <c r="H845" t="s">
        <v>21</v>
      </c>
      <c r="I845">
        <v>2</v>
      </c>
      <c r="J845" s="5">
        <v>8.5000000000000006E-2</v>
      </c>
      <c r="K845" t="s">
        <v>178</v>
      </c>
      <c r="L845" s="6">
        <v>44228</v>
      </c>
      <c r="M845">
        <v>2</v>
      </c>
      <c r="N845" s="7" t="s">
        <v>30</v>
      </c>
      <c r="O845" t="s">
        <v>31</v>
      </c>
      <c r="P845" t="s">
        <v>3050</v>
      </c>
      <c r="Q845" t="s">
        <v>3051</v>
      </c>
      <c r="R845" t="s">
        <v>3052</v>
      </c>
    </row>
    <row r="846" spans="1:18">
      <c r="A846">
        <v>3</v>
      </c>
      <c r="B846" s="4" t="s">
        <v>2764</v>
      </c>
      <c r="C846" s="4" t="s">
        <v>2765</v>
      </c>
      <c r="D846" s="4" t="s">
        <v>2816</v>
      </c>
      <c r="E846" s="4" t="s">
        <v>5804</v>
      </c>
      <c r="F846" t="s">
        <v>200</v>
      </c>
      <c r="G846" t="s">
        <v>914</v>
      </c>
      <c r="H846" t="s">
        <v>21</v>
      </c>
      <c r="I846">
        <v>2</v>
      </c>
      <c r="J846" s="5">
        <v>8.5000000000000006E-2</v>
      </c>
      <c r="K846" t="s">
        <v>311</v>
      </c>
      <c r="L846" s="6">
        <v>44256</v>
      </c>
      <c r="M846">
        <v>3</v>
      </c>
      <c r="N846" s="7" t="s">
        <v>23</v>
      </c>
      <c r="O846" t="s">
        <v>31</v>
      </c>
      <c r="P846" t="s">
        <v>3055</v>
      </c>
      <c r="Q846" t="s">
        <v>2804</v>
      </c>
      <c r="R846" t="s">
        <v>2805</v>
      </c>
    </row>
    <row r="847" spans="1:18">
      <c r="A847">
        <v>3</v>
      </c>
      <c r="B847" s="4" t="s">
        <v>2764</v>
      </c>
      <c r="C847" s="4" t="s">
        <v>2765</v>
      </c>
      <c r="D847" s="4" t="s">
        <v>2816</v>
      </c>
      <c r="E847" s="4" t="s">
        <v>5804</v>
      </c>
      <c r="F847" t="s">
        <v>200</v>
      </c>
      <c r="G847" t="s">
        <v>914</v>
      </c>
      <c r="H847" t="s">
        <v>21</v>
      </c>
      <c r="I847">
        <v>2</v>
      </c>
      <c r="J847" s="5">
        <v>8.5000000000000006E-2</v>
      </c>
      <c r="K847" t="s">
        <v>311</v>
      </c>
      <c r="L847" s="6">
        <v>44256</v>
      </c>
      <c r="M847">
        <v>3</v>
      </c>
      <c r="N847" s="7" t="s">
        <v>23</v>
      </c>
      <c r="O847" t="s">
        <v>31</v>
      </c>
      <c r="P847" t="s">
        <v>3056</v>
      </c>
      <c r="Q847" t="s">
        <v>2826</v>
      </c>
      <c r="R847" t="s">
        <v>2827</v>
      </c>
    </row>
    <row r="848" spans="1:18">
      <c r="A848">
        <v>3</v>
      </c>
      <c r="B848" s="4" t="s">
        <v>2764</v>
      </c>
      <c r="C848" s="4" t="s">
        <v>2765</v>
      </c>
      <c r="D848" s="4" t="s">
        <v>2816</v>
      </c>
      <c r="E848" s="4" t="s">
        <v>5804</v>
      </c>
      <c r="F848" t="s">
        <v>200</v>
      </c>
      <c r="G848" t="s">
        <v>288</v>
      </c>
      <c r="H848" t="s">
        <v>21</v>
      </c>
      <c r="I848">
        <v>2</v>
      </c>
      <c r="J848" s="5">
        <v>8.5000000000000006E-2</v>
      </c>
      <c r="K848" t="s">
        <v>102</v>
      </c>
      <c r="L848" s="6">
        <v>44287</v>
      </c>
      <c r="M848">
        <v>4</v>
      </c>
      <c r="N848" s="7" t="s">
        <v>23</v>
      </c>
      <c r="O848" t="s">
        <v>193</v>
      </c>
      <c r="P848" t="s">
        <v>3057</v>
      </c>
      <c r="Q848" t="s">
        <v>3058</v>
      </c>
      <c r="R848" t="s">
        <v>3059</v>
      </c>
    </row>
    <row r="849" spans="1:18">
      <c r="A849">
        <v>3</v>
      </c>
      <c r="B849" s="4" t="s">
        <v>2764</v>
      </c>
      <c r="C849" s="4" t="s">
        <v>2765</v>
      </c>
      <c r="D849" s="4" t="s">
        <v>2816</v>
      </c>
      <c r="E849" s="4" t="s">
        <v>5804</v>
      </c>
      <c r="F849" t="s">
        <v>200</v>
      </c>
      <c r="G849" t="s">
        <v>288</v>
      </c>
      <c r="H849" t="s">
        <v>21</v>
      </c>
      <c r="I849">
        <v>2</v>
      </c>
      <c r="J849" s="5">
        <v>8.5000000000000006E-2</v>
      </c>
      <c r="K849" t="s">
        <v>630</v>
      </c>
      <c r="L849" s="6">
        <v>44378</v>
      </c>
      <c r="M849">
        <v>7</v>
      </c>
      <c r="N849" s="7" t="s">
        <v>55</v>
      </c>
      <c r="O849" t="s">
        <v>31</v>
      </c>
      <c r="P849" t="s">
        <v>3072</v>
      </c>
      <c r="Q849" t="s">
        <v>3073</v>
      </c>
      <c r="R849" t="s">
        <v>3074</v>
      </c>
    </row>
    <row r="850" spans="1:18">
      <c r="A850">
        <v>3</v>
      </c>
      <c r="B850" s="4" t="s">
        <v>2764</v>
      </c>
      <c r="C850" s="4" t="s">
        <v>2765</v>
      </c>
      <c r="D850" s="4" t="s">
        <v>2816</v>
      </c>
      <c r="E850" s="4" t="s">
        <v>5804</v>
      </c>
      <c r="F850" t="s">
        <v>200</v>
      </c>
      <c r="G850" t="s">
        <v>914</v>
      </c>
      <c r="H850" t="s">
        <v>21</v>
      </c>
      <c r="I850">
        <v>2</v>
      </c>
      <c r="J850" s="5">
        <v>8.5000000000000006E-2</v>
      </c>
      <c r="K850" t="s">
        <v>645</v>
      </c>
      <c r="L850" s="6">
        <v>44440</v>
      </c>
      <c r="M850">
        <v>9</v>
      </c>
      <c r="N850" s="7" t="s">
        <v>23</v>
      </c>
      <c r="O850" t="s">
        <v>223</v>
      </c>
      <c r="P850" t="s">
        <v>3078</v>
      </c>
      <c r="Q850" t="s">
        <v>3079</v>
      </c>
      <c r="R850" t="s">
        <v>3080</v>
      </c>
    </row>
    <row r="851" spans="1:18">
      <c r="A851">
        <v>3</v>
      </c>
      <c r="B851" s="4" t="s">
        <v>2764</v>
      </c>
      <c r="C851" s="4" t="s">
        <v>2765</v>
      </c>
      <c r="D851" s="4" t="s">
        <v>2816</v>
      </c>
      <c r="E851" s="4" t="s">
        <v>5804</v>
      </c>
      <c r="F851" t="s">
        <v>200</v>
      </c>
      <c r="G851" t="s">
        <v>914</v>
      </c>
      <c r="H851" t="s">
        <v>21</v>
      </c>
      <c r="I851">
        <v>2</v>
      </c>
      <c r="J851" s="5">
        <v>8.5000000000000006E-2</v>
      </c>
      <c r="K851" t="s">
        <v>182</v>
      </c>
      <c r="L851" s="6">
        <v>44501</v>
      </c>
      <c r="M851">
        <v>11</v>
      </c>
      <c r="N851" s="7" t="s">
        <v>23</v>
      </c>
      <c r="O851" t="s">
        <v>31</v>
      </c>
      <c r="P851" t="s">
        <v>3084</v>
      </c>
      <c r="Q851" t="s">
        <v>3085</v>
      </c>
      <c r="R851" t="s">
        <v>3086</v>
      </c>
    </row>
    <row r="852" spans="1:18">
      <c r="A852">
        <v>3</v>
      </c>
      <c r="B852" s="4" t="s">
        <v>2764</v>
      </c>
      <c r="C852" s="4" t="s">
        <v>2765</v>
      </c>
      <c r="D852" s="4" t="s">
        <v>2816</v>
      </c>
      <c r="E852" s="4" t="s">
        <v>5804</v>
      </c>
      <c r="F852" t="s">
        <v>200</v>
      </c>
      <c r="G852" t="s">
        <v>914</v>
      </c>
      <c r="H852" t="s">
        <v>21</v>
      </c>
      <c r="I852">
        <v>2</v>
      </c>
      <c r="J852" s="5">
        <v>8.5000000000000006E-2</v>
      </c>
      <c r="K852" t="s">
        <v>3090</v>
      </c>
      <c r="L852" s="6" t="s">
        <v>673</v>
      </c>
      <c r="M852" t="e">
        <v>#VALUE!</v>
      </c>
      <c r="N852" s="7" t="e">
        <v>#VALUE!</v>
      </c>
      <c r="O852" t="s">
        <v>31</v>
      </c>
      <c r="P852" t="s">
        <v>3091</v>
      </c>
      <c r="Q852" t="s">
        <v>2804</v>
      </c>
      <c r="R852" t="s">
        <v>2805</v>
      </c>
    </row>
    <row r="853" spans="1:18">
      <c r="A853">
        <v>3</v>
      </c>
      <c r="B853" s="4" t="s">
        <v>2764</v>
      </c>
      <c r="C853" s="4" t="s">
        <v>2765</v>
      </c>
      <c r="D853" s="4" t="s">
        <v>3092</v>
      </c>
      <c r="E853" s="4" t="s">
        <v>5804</v>
      </c>
      <c r="F853" t="s">
        <v>200</v>
      </c>
      <c r="G853" t="s">
        <v>914</v>
      </c>
      <c r="H853" t="s">
        <v>21</v>
      </c>
      <c r="I853">
        <v>2</v>
      </c>
      <c r="J853" s="5">
        <v>8.5000000000000006E-2</v>
      </c>
      <c r="K853" t="s">
        <v>65</v>
      </c>
      <c r="L853" s="6">
        <v>42430</v>
      </c>
      <c r="M853">
        <v>3</v>
      </c>
      <c r="N853" s="7" t="s">
        <v>23</v>
      </c>
      <c r="O853" t="s">
        <v>31</v>
      </c>
      <c r="P853" t="s">
        <v>3095</v>
      </c>
      <c r="Q853" t="s">
        <v>2985</v>
      </c>
      <c r="R853" t="s">
        <v>3094</v>
      </c>
    </row>
    <row r="854" spans="1:18">
      <c r="A854">
        <v>3</v>
      </c>
      <c r="B854" s="4" t="s">
        <v>2764</v>
      </c>
      <c r="C854" s="4" t="s">
        <v>2765</v>
      </c>
      <c r="D854" s="4" t="s">
        <v>3092</v>
      </c>
      <c r="E854" s="4" t="s">
        <v>5804</v>
      </c>
      <c r="F854" t="s">
        <v>200</v>
      </c>
      <c r="G854" t="s">
        <v>914</v>
      </c>
      <c r="H854" t="s">
        <v>21</v>
      </c>
      <c r="I854">
        <v>2</v>
      </c>
      <c r="J854" s="5">
        <v>8.5000000000000006E-2</v>
      </c>
      <c r="K854" t="s">
        <v>220</v>
      </c>
      <c r="L854" s="6">
        <v>42644</v>
      </c>
      <c r="M854">
        <v>10</v>
      </c>
      <c r="N854" s="7" t="s">
        <v>23</v>
      </c>
      <c r="O854" t="s">
        <v>31</v>
      </c>
      <c r="P854" t="s">
        <v>3097</v>
      </c>
      <c r="Q854" t="s">
        <v>2985</v>
      </c>
      <c r="R854" t="s">
        <v>2986</v>
      </c>
    </row>
    <row r="855" spans="1:18">
      <c r="A855">
        <v>3</v>
      </c>
      <c r="B855" s="4" t="s">
        <v>2764</v>
      </c>
      <c r="C855" s="4" t="s">
        <v>2765</v>
      </c>
      <c r="D855" s="4" t="s">
        <v>3092</v>
      </c>
      <c r="E855" s="4" t="s">
        <v>5804</v>
      </c>
      <c r="F855" t="s">
        <v>200</v>
      </c>
      <c r="G855" t="s">
        <v>914</v>
      </c>
      <c r="H855" t="s">
        <v>21</v>
      </c>
      <c r="I855">
        <v>2</v>
      </c>
      <c r="J855" s="5">
        <v>8.5000000000000006E-2</v>
      </c>
      <c r="K855" t="s">
        <v>234</v>
      </c>
      <c r="L855" s="6">
        <v>42826</v>
      </c>
      <c r="M855">
        <v>4</v>
      </c>
      <c r="N855" s="7" t="s">
        <v>23</v>
      </c>
      <c r="O855" t="s">
        <v>31</v>
      </c>
      <c r="P855" t="s">
        <v>3103</v>
      </c>
      <c r="Q855" t="s">
        <v>2985</v>
      </c>
      <c r="R855" t="s">
        <v>2986</v>
      </c>
    </row>
    <row r="856" spans="1:18">
      <c r="A856">
        <v>3</v>
      </c>
      <c r="B856" s="4" t="s">
        <v>2764</v>
      </c>
      <c r="C856" s="4" t="s">
        <v>2765</v>
      </c>
      <c r="D856" s="4" t="s">
        <v>3092</v>
      </c>
      <c r="E856" s="4" t="s">
        <v>5804</v>
      </c>
      <c r="F856" t="s">
        <v>200</v>
      </c>
      <c r="G856" t="s">
        <v>914</v>
      </c>
      <c r="H856" t="s">
        <v>21</v>
      </c>
      <c r="I856">
        <v>2</v>
      </c>
      <c r="J856" s="5">
        <v>8.5000000000000006E-2</v>
      </c>
      <c r="K856" t="s">
        <v>22</v>
      </c>
      <c r="L856" s="6">
        <v>42979</v>
      </c>
      <c r="M856">
        <v>9</v>
      </c>
      <c r="N856" s="7" t="s">
        <v>23</v>
      </c>
      <c r="O856" t="s">
        <v>31</v>
      </c>
      <c r="P856" t="s">
        <v>3104</v>
      </c>
      <c r="Q856" t="s">
        <v>3105</v>
      </c>
      <c r="R856" t="s">
        <v>3106</v>
      </c>
    </row>
    <row r="857" spans="1:18">
      <c r="A857">
        <v>3</v>
      </c>
      <c r="B857" s="4" t="s">
        <v>2764</v>
      </c>
      <c r="C857" s="4" t="s">
        <v>2765</v>
      </c>
      <c r="D857" s="4" t="s">
        <v>3092</v>
      </c>
      <c r="E857" s="4" t="s">
        <v>5804</v>
      </c>
      <c r="F857" t="s">
        <v>200</v>
      </c>
      <c r="G857" t="s">
        <v>914</v>
      </c>
      <c r="H857" t="s">
        <v>21</v>
      </c>
      <c r="I857">
        <v>2</v>
      </c>
      <c r="J857" s="5">
        <v>8.5000000000000006E-2</v>
      </c>
      <c r="K857" t="s">
        <v>22</v>
      </c>
      <c r="L857" s="6">
        <v>42979</v>
      </c>
      <c r="M857">
        <v>9</v>
      </c>
      <c r="N857" s="7" t="s">
        <v>23</v>
      </c>
      <c r="O857" t="s">
        <v>31</v>
      </c>
      <c r="P857" t="s">
        <v>3107</v>
      </c>
      <c r="Q857" t="s">
        <v>3108</v>
      </c>
      <c r="R857" t="s">
        <v>3109</v>
      </c>
    </row>
    <row r="858" spans="1:18">
      <c r="A858">
        <v>3</v>
      </c>
      <c r="B858" s="4" t="s">
        <v>2764</v>
      </c>
      <c r="C858" s="4" t="s">
        <v>2765</v>
      </c>
      <c r="D858" s="4" t="s">
        <v>3092</v>
      </c>
      <c r="E858" s="4" t="s">
        <v>5804</v>
      </c>
      <c r="F858" t="s">
        <v>200</v>
      </c>
      <c r="G858" t="s">
        <v>620</v>
      </c>
      <c r="H858" t="s">
        <v>53</v>
      </c>
      <c r="I858" t="s">
        <v>53</v>
      </c>
      <c r="J858" s="5" t="s">
        <v>53</v>
      </c>
      <c r="K858" t="s">
        <v>156</v>
      </c>
      <c r="L858" s="6">
        <v>43405</v>
      </c>
      <c r="M858">
        <v>11</v>
      </c>
      <c r="N858" s="7" t="s">
        <v>23</v>
      </c>
      <c r="O858" t="s">
        <v>31</v>
      </c>
      <c r="P858" t="s">
        <v>3115</v>
      </c>
      <c r="Q858" t="s">
        <v>2985</v>
      </c>
      <c r="R858" t="s">
        <v>3094</v>
      </c>
    </row>
    <row r="859" spans="1:18">
      <c r="A859">
        <v>3</v>
      </c>
      <c r="B859" s="4" t="s">
        <v>2764</v>
      </c>
      <c r="C859" s="4" t="s">
        <v>2765</v>
      </c>
      <c r="D859" s="4" t="s">
        <v>3092</v>
      </c>
      <c r="E859" s="4" t="s">
        <v>5804</v>
      </c>
      <c r="F859" t="s">
        <v>200</v>
      </c>
      <c r="G859" t="s">
        <v>914</v>
      </c>
      <c r="H859" t="s">
        <v>21</v>
      </c>
      <c r="I859">
        <v>2</v>
      </c>
      <c r="J859" s="5">
        <v>8.5000000000000006E-2</v>
      </c>
      <c r="K859" t="s">
        <v>156</v>
      </c>
      <c r="L859" s="6">
        <v>43405</v>
      </c>
      <c r="M859">
        <v>11</v>
      </c>
      <c r="N859" s="7" t="s">
        <v>23</v>
      </c>
      <c r="O859" t="s">
        <v>31</v>
      </c>
      <c r="P859" t="s">
        <v>3116</v>
      </c>
      <c r="Q859" t="s">
        <v>2804</v>
      </c>
      <c r="R859" t="s">
        <v>2805</v>
      </c>
    </row>
    <row r="860" spans="1:18">
      <c r="A860">
        <v>3</v>
      </c>
      <c r="B860" s="4" t="s">
        <v>2764</v>
      </c>
      <c r="C860" s="4" t="s">
        <v>2765</v>
      </c>
      <c r="D860" s="4" t="s">
        <v>3092</v>
      </c>
      <c r="E860" s="4" t="s">
        <v>5804</v>
      </c>
      <c r="F860" t="s">
        <v>200</v>
      </c>
      <c r="G860" t="s">
        <v>914</v>
      </c>
      <c r="H860" t="s">
        <v>21</v>
      </c>
      <c r="I860">
        <v>2</v>
      </c>
      <c r="J860" s="5">
        <v>8.5000000000000006E-2</v>
      </c>
      <c r="K860" t="s">
        <v>395</v>
      </c>
      <c r="L860" s="6">
        <v>43497</v>
      </c>
      <c r="M860">
        <v>2</v>
      </c>
      <c r="N860" s="7" t="s">
        <v>30</v>
      </c>
      <c r="O860" t="s">
        <v>31</v>
      </c>
      <c r="P860" t="s">
        <v>3117</v>
      </c>
      <c r="Q860" t="s">
        <v>2985</v>
      </c>
      <c r="R860" t="s">
        <v>2986</v>
      </c>
    </row>
    <row r="861" spans="1:18">
      <c r="A861">
        <v>3</v>
      </c>
      <c r="B861" s="4" t="s">
        <v>2764</v>
      </c>
      <c r="C861" s="4" t="s">
        <v>2765</v>
      </c>
      <c r="D861" s="4" t="s">
        <v>3092</v>
      </c>
      <c r="E861" s="4" t="s">
        <v>5804</v>
      </c>
      <c r="F861" t="s">
        <v>200</v>
      </c>
      <c r="G861" t="s">
        <v>914</v>
      </c>
      <c r="H861" t="s">
        <v>21</v>
      </c>
      <c r="I861">
        <v>2</v>
      </c>
      <c r="J861" s="5">
        <v>8.5000000000000006E-2</v>
      </c>
      <c r="K861" t="s">
        <v>3118</v>
      </c>
      <c r="L861" s="6">
        <v>43525</v>
      </c>
      <c r="M861">
        <v>3</v>
      </c>
      <c r="N861" s="7" t="s">
        <v>23</v>
      </c>
      <c r="O861" t="s">
        <v>31</v>
      </c>
      <c r="P861" t="s">
        <v>3119</v>
      </c>
      <c r="Q861" t="s">
        <v>3120</v>
      </c>
      <c r="R861" t="s">
        <v>3121</v>
      </c>
    </row>
    <row r="862" spans="1:18">
      <c r="A862">
        <v>3</v>
      </c>
      <c r="B862" s="4" t="s">
        <v>2764</v>
      </c>
      <c r="C862" s="4" t="s">
        <v>2765</v>
      </c>
      <c r="D862" s="4" t="s">
        <v>3092</v>
      </c>
      <c r="E862" s="4" t="s">
        <v>5804</v>
      </c>
      <c r="F862" t="s">
        <v>200</v>
      </c>
      <c r="G862" t="s">
        <v>914</v>
      </c>
      <c r="H862" t="s">
        <v>21</v>
      </c>
      <c r="I862">
        <v>2</v>
      </c>
      <c r="J862" s="5">
        <v>8.5000000000000006E-2</v>
      </c>
      <c r="K862" t="s">
        <v>3122</v>
      </c>
      <c r="L862" s="6">
        <v>43617</v>
      </c>
      <c r="M862">
        <v>6</v>
      </c>
      <c r="N862" s="7" t="s">
        <v>55</v>
      </c>
      <c r="O862" t="s">
        <v>31</v>
      </c>
      <c r="P862" t="s">
        <v>3123</v>
      </c>
      <c r="Q862" t="s">
        <v>2985</v>
      </c>
      <c r="R862" t="s">
        <v>3094</v>
      </c>
    </row>
    <row r="863" spans="1:18">
      <c r="A863">
        <v>3</v>
      </c>
      <c r="B863" s="4" t="s">
        <v>2764</v>
      </c>
      <c r="C863" s="4" t="s">
        <v>2765</v>
      </c>
      <c r="D863" s="4" t="s">
        <v>3092</v>
      </c>
      <c r="E863" s="4" t="s">
        <v>5804</v>
      </c>
      <c r="F863" t="s">
        <v>200</v>
      </c>
      <c r="G863" t="s">
        <v>914</v>
      </c>
      <c r="H863" t="s">
        <v>21</v>
      </c>
      <c r="I863">
        <v>2</v>
      </c>
      <c r="J863" s="5">
        <v>8.5000000000000006E-2</v>
      </c>
      <c r="K863" t="s">
        <v>164</v>
      </c>
      <c r="L863" s="6">
        <v>43617</v>
      </c>
      <c r="M863">
        <v>6</v>
      </c>
      <c r="N863" s="7" t="s">
        <v>55</v>
      </c>
      <c r="O863" t="s">
        <v>31</v>
      </c>
      <c r="P863" t="s">
        <v>3124</v>
      </c>
      <c r="Q863" t="s">
        <v>3108</v>
      </c>
      <c r="R863" t="s">
        <v>3109</v>
      </c>
    </row>
    <row r="864" spans="1:18">
      <c r="A864">
        <v>3</v>
      </c>
      <c r="B864" s="4" t="s">
        <v>2764</v>
      </c>
      <c r="C864" s="4" t="s">
        <v>2765</v>
      </c>
      <c r="D864" s="4" t="s">
        <v>3092</v>
      </c>
      <c r="E864" s="4" t="s">
        <v>5804</v>
      </c>
      <c r="F864" t="s">
        <v>200</v>
      </c>
      <c r="G864" t="s">
        <v>914</v>
      </c>
      <c r="H864" t="s">
        <v>21</v>
      </c>
      <c r="I864">
        <v>2</v>
      </c>
      <c r="J864" s="5">
        <v>8.5000000000000006E-2</v>
      </c>
      <c r="K864" t="s">
        <v>267</v>
      </c>
      <c r="L864" s="6">
        <v>44044</v>
      </c>
      <c r="M864">
        <v>8</v>
      </c>
      <c r="N864" s="7" t="s">
        <v>55</v>
      </c>
      <c r="O864" t="s">
        <v>31</v>
      </c>
      <c r="P864" t="s">
        <v>3126</v>
      </c>
      <c r="Q864" t="s">
        <v>2985</v>
      </c>
      <c r="R864" t="s">
        <v>3094</v>
      </c>
    </row>
    <row r="865" spans="1:18" hidden="1">
      <c r="A865">
        <v>4</v>
      </c>
      <c r="B865" s="4" t="s">
        <v>3127</v>
      </c>
      <c r="C865" s="4" t="s">
        <v>3128</v>
      </c>
      <c r="D865" s="4" t="s">
        <v>3190</v>
      </c>
      <c r="E865" s="4" t="s">
        <v>5804</v>
      </c>
      <c r="F865" t="s">
        <v>200</v>
      </c>
      <c r="G865" t="s">
        <v>620</v>
      </c>
      <c r="H865" t="s">
        <v>53</v>
      </c>
      <c r="I865" t="s">
        <v>53</v>
      </c>
      <c r="J865" s="5" t="s">
        <v>53</v>
      </c>
      <c r="K865" t="s">
        <v>422</v>
      </c>
      <c r="L865" s="6">
        <v>42736</v>
      </c>
      <c r="M865">
        <v>1</v>
      </c>
      <c r="N865" s="7" t="s">
        <v>30</v>
      </c>
      <c r="O865" t="s">
        <v>24</v>
      </c>
      <c r="P865" t="s">
        <v>3202</v>
      </c>
      <c r="Q865" t="s">
        <v>3203</v>
      </c>
      <c r="R865" t="s">
        <v>3204</v>
      </c>
    </row>
    <row r="866" spans="1:18" hidden="1">
      <c r="A866">
        <v>4</v>
      </c>
      <c r="B866" s="4" t="s">
        <v>3127</v>
      </c>
      <c r="C866" s="4" t="s">
        <v>3128</v>
      </c>
      <c r="D866" s="4" t="s">
        <v>3190</v>
      </c>
      <c r="E866" s="4" t="s">
        <v>5804</v>
      </c>
      <c r="F866" t="s">
        <v>200</v>
      </c>
      <c r="G866" t="s">
        <v>620</v>
      </c>
      <c r="H866" t="s">
        <v>53</v>
      </c>
      <c r="I866" t="s">
        <v>53</v>
      </c>
      <c r="J866" s="5" t="s">
        <v>53</v>
      </c>
      <c r="K866" t="s">
        <v>168</v>
      </c>
      <c r="L866" s="6">
        <v>43678</v>
      </c>
      <c r="M866">
        <v>8</v>
      </c>
      <c r="N866" s="7" t="s">
        <v>55</v>
      </c>
      <c r="O866" t="s">
        <v>24</v>
      </c>
      <c r="P866" t="s">
        <v>3229</v>
      </c>
      <c r="Q866" t="s">
        <v>3230</v>
      </c>
      <c r="R866" t="s">
        <v>3231</v>
      </c>
    </row>
    <row r="867" spans="1:18" hidden="1">
      <c r="A867">
        <v>4</v>
      </c>
      <c r="B867" s="4" t="s">
        <v>3127</v>
      </c>
      <c r="C867" s="4" t="s">
        <v>3128</v>
      </c>
      <c r="D867" s="4" t="s">
        <v>3247</v>
      </c>
      <c r="E867" s="4" t="s">
        <v>5804</v>
      </c>
      <c r="F867" t="s">
        <v>200</v>
      </c>
      <c r="G867" t="s">
        <v>620</v>
      </c>
      <c r="H867" t="s">
        <v>53</v>
      </c>
      <c r="I867" t="s">
        <v>53</v>
      </c>
      <c r="J867" s="5" t="s">
        <v>53</v>
      </c>
      <c r="K867" t="s">
        <v>292</v>
      </c>
      <c r="L867" s="6">
        <v>43191</v>
      </c>
      <c r="M867">
        <v>4</v>
      </c>
      <c r="N867" s="7" t="s">
        <v>23</v>
      </c>
      <c r="O867" t="s">
        <v>31</v>
      </c>
      <c r="P867" t="s">
        <v>3326</v>
      </c>
      <c r="Q867" t="s">
        <v>3327</v>
      </c>
      <c r="R867" t="s">
        <v>3328</v>
      </c>
    </row>
    <row r="868" spans="1:18" hidden="1">
      <c r="A868">
        <v>4</v>
      </c>
      <c r="B868" s="4" t="s">
        <v>3127</v>
      </c>
      <c r="C868" s="4" t="s">
        <v>3128</v>
      </c>
      <c r="D868" s="4" t="s">
        <v>3247</v>
      </c>
      <c r="E868" s="4" t="s">
        <v>5804</v>
      </c>
      <c r="F868" t="s">
        <v>200</v>
      </c>
      <c r="G868" t="s">
        <v>810</v>
      </c>
      <c r="H868" t="s">
        <v>53</v>
      </c>
      <c r="I868" t="s">
        <v>53</v>
      </c>
      <c r="J868" s="5" t="s">
        <v>53</v>
      </c>
      <c r="K868" t="s">
        <v>482</v>
      </c>
      <c r="L868" s="6">
        <v>43435</v>
      </c>
      <c r="M868">
        <v>12</v>
      </c>
      <c r="N868" s="7" t="s">
        <v>30</v>
      </c>
      <c r="O868" t="s">
        <v>31</v>
      </c>
      <c r="P868" t="s">
        <v>3347</v>
      </c>
      <c r="Q868" t="s">
        <v>3302</v>
      </c>
      <c r="R868" t="s">
        <v>3154</v>
      </c>
    </row>
    <row r="869" spans="1:18" hidden="1">
      <c r="A869">
        <v>4</v>
      </c>
      <c r="B869" s="4" t="s">
        <v>3127</v>
      </c>
      <c r="C869" s="4" t="s">
        <v>3128</v>
      </c>
      <c r="D869" s="4" t="s">
        <v>3247</v>
      </c>
      <c r="E869" s="4" t="s">
        <v>5804</v>
      </c>
      <c r="F869" t="s">
        <v>200</v>
      </c>
      <c r="G869" t="s">
        <v>810</v>
      </c>
      <c r="H869" t="s">
        <v>53</v>
      </c>
      <c r="I869" t="s">
        <v>53</v>
      </c>
      <c r="J869" s="5" t="s">
        <v>53</v>
      </c>
      <c r="K869" t="s">
        <v>377</v>
      </c>
      <c r="L869" s="6">
        <v>44470</v>
      </c>
      <c r="M869">
        <v>10</v>
      </c>
      <c r="N869" s="7" t="s">
        <v>23</v>
      </c>
      <c r="O869" t="s">
        <v>24</v>
      </c>
      <c r="P869" t="s">
        <v>3371</v>
      </c>
      <c r="Q869" t="s">
        <v>3372</v>
      </c>
      <c r="R869" t="s">
        <v>3373</v>
      </c>
    </row>
    <row r="870" spans="1:18" hidden="1">
      <c r="A870">
        <v>4</v>
      </c>
      <c r="B870" s="4" t="s">
        <v>3127</v>
      </c>
      <c r="C870" s="4" t="s">
        <v>3374</v>
      </c>
      <c r="D870" s="4" t="s">
        <v>3375</v>
      </c>
      <c r="E870" s="4" t="s">
        <v>5804</v>
      </c>
      <c r="F870" t="s">
        <v>200</v>
      </c>
      <c r="G870" t="s">
        <v>620</v>
      </c>
      <c r="H870" t="s">
        <v>53</v>
      </c>
      <c r="I870" t="s">
        <v>53</v>
      </c>
      <c r="J870" s="5" t="s">
        <v>53</v>
      </c>
      <c r="K870" t="s">
        <v>152</v>
      </c>
      <c r="L870" s="6">
        <v>43374</v>
      </c>
      <c r="M870">
        <v>10</v>
      </c>
      <c r="N870" s="7" t="s">
        <v>23</v>
      </c>
      <c r="O870" t="s">
        <v>31</v>
      </c>
      <c r="P870" t="s">
        <v>3442</v>
      </c>
      <c r="Q870" t="s">
        <v>3443</v>
      </c>
      <c r="R870" t="s">
        <v>3444</v>
      </c>
    </row>
    <row r="871" spans="1:18" hidden="1">
      <c r="A871">
        <v>4</v>
      </c>
      <c r="B871" s="4" t="s">
        <v>3127</v>
      </c>
      <c r="C871" s="4" t="s">
        <v>3506</v>
      </c>
      <c r="D871" s="4" t="s">
        <v>3507</v>
      </c>
      <c r="E871" s="4" t="s">
        <v>5804</v>
      </c>
      <c r="F871" t="s">
        <v>200</v>
      </c>
      <c r="G871" t="s">
        <v>620</v>
      </c>
      <c r="H871" t="s">
        <v>53</v>
      </c>
      <c r="I871" t="s">
        <v>53</v>
      </c>
      <c r="J871" s="5" t="s">
        <v>53</v>
      </c>
      <c r="K871" t="s">
        <v>369</v>
      </c>
      <c r="L871" s="6">
        <v>44197</v>
      </c>
      <c r="M871">
        <v>1</v>
      </c>
      <c r="N871" s="7" t="s">
        <v>30</v>
      </c>
      <c r="O871" t="s">
        <v>24</v>
      </c>
      <c r="P871" t="s">
        <v>3534</v>
      </c>
      <c r="Q871" t="s">
        <v>3535</v>
      </c>
      <c r="R871" t="s">
        <v>3536</v>
      </c>
    </row>
    <row r="872" spans="1:18" hidden="1">
      <c r="A872">
        <v>4</v>
      </c>
      <c r="B872" s="4" t="s">
        <v>3127</v>
      </c>
      <c r="C872" s="4" t="s">
        <v>3597</v>
      </c>
      <c r="D872" s="4" t="s">
        <v>3617</v>
      </c>
      <c r="E872" s="4" t="s">
        <v>5804</v>
      </c>
      <c r="F872" t="s">
        <v>200</v>
      </c>
      <c r="G872" t="s">
        <v>914</v>
      </c>
      <c r="H872" t="s">
        <v>21</v>
      </c>
      <c r="I872">
        <v>2</v>
      </c>
      <c r="J872" s="5">
        <v>8.5000000000000006E-2</v>
      </c>
      <c r="K872" t="s">
        <v>124</v>
      </c>
      <c r="L872" s="6">
        <v>42767</v>
      </c>
      <c r="M872">
        <v>2</v>
      </c>
      <c r="N872" s="7" t="s">
        <v>30</v>
      </c>
      <c r="O872" t="s">
        <v>31</v>
      </c>
      <c r="P872" t="s">
        <v>3626</v>
      </c>
      <c r="Q872" t="s">
        <v>3627</v>
      </c>
      <c r="R872" t="s">
        <v>3628</v>
      </c>
    </row>
    <row r="873" spans="1:18" hidden="1">
      <c r="A873">
        <v>4</v>
      </c>
      <c r="B873" s="4" t="s">
        <v>3127</v>
      </c>
      <c r="C873" s="4" t="s">
        <v>3597</v>
      </c>
      <c r="D873" s="4" t="s">
        <v>3617</v>
      </c>
      <c r="E873" s="4" t="s">
        <v>5804</v>
      </c>
      <c r="F873" t="s">
        <v>200</v>
      </c>
      <c r="G873" t="s">
        <v>620</v>
      </c>
      <c r="H873" t="s">
        <v>53</v>
      </c>
      <c r="I873" t="s">
        <v>53</v>
      </c>
      <c r="J873" s="5" t="s">
        <v>53</v>
      </c>
      <c r="K873" t="s">
        <v>365</v>
      </c>
      <c r="L873" s="6">
        <v>44105</v>
      </c>
      <c r="M873">
        <v>10</v>
      </c>
      <c r="N873" s="7" t="s">
        <v>23</v>
      </c>
      <c r="O873" t="s">
        <v>979</v>
      </c>
      <c r="P873" t="s">
        <v>3655</v>
      </c>
      <c r="Q873" t="s">
        <v>3656</v>
      </c>
      <c r="R873" t="s">
        <v>3657</v>
      </c>
    </row>
    <row r="874" spans="1:18" hidden="1">
      <c r="A874">
        <v>4</v>
      </c>
      <c r="B874" s="4" t="s">
        <v>3127</v>
      </c>
      <c r="C874" s="4" t="s">
        <v>3597</v>
      </c>
      <c r="D874" s="4" t="s">
        <v>3660</v>
      </c>
      <c r="E874" s="4" t="s">
        <v>5804</v>
      </c>
      <c r="F874" t="s">
        <v>200</v>
      </c>
      <c r="G874" t="s">
        <v>914</v>
      </c>
      <c r="H874" t="s">
        <v>21</v>
      </c>
      <c r="I874">
        <v>2</v>
      </c>
      <c r="J874" s="5">
        <v>8.5000000000000006E-2</v>
      </c>
      <c r="K874" t="s">
        <v>477</v>
      </c>
      <c r="L874" s="6">
        <v>42705</v>
      </c>
      <c r="M874">
        <v>12</v>
      </c>
      <c r="N874" s="7" t="s">
        <v>30</v>
      </c>
      <c r="O874" t="s">
        <v>31</v>
      </c>
      <c r="P874" t="s">
        <v>3689</v>
      </c>
      <c r="Q874" t="s">
        <v>3690</v>
      </c>
      <c r="R874" t="s">
        <v>3628</v>
      </c>
    </row>
    <row r="875" spans="1:18" hidden="1">
      <c r="A875">
        <v>4</v>
      </c>
      <c r="B875" s="4" t="s">
        <v>3127</v>
      </c>
      <c r="C875" s="4" t="s">
        <v>3789</v>
      </c>
      <c r="D875" s="4" t="s">
        <v>3790</v>
      </c>
      <c r="E875" s="4" t="s">
        <v>5804</v>
      </c>
      <c r="F875" t="s">
        <v>200</v>
      </c>
      <c r="G875" t="s">
        <v>620</v>
      </c>
      <c r="H875" t="s">
        <v>53</v>
      </c>
      <c r="I875" t="s">
        <v>53</v>
      </c>
      <c r="J875" s="5" t="s">
        <v>53</v>
      </c>
      <c r="K875" t="s">
        <v>357</v>
      </c>
      <c r="L875" s="6">
        <v>43739</v>
      </c>
      <c r="M875">
        <v>10</v>
      </c>
      <c r="N875" s="7" t="s">
        <v>23</v>
      </c>
      <c r="O875" t="s">
        <v>31</v>
      </c>
      <c r="P875" t="s">
        <v>3806</v>
      </c>
      <c r="Q875" t="s">
        <v>3807</v>
      </c>
      <c r="R875" t="s">
        <v>3808</v>
      </c>
    </row>
    <row r="876" spans="1:18" hidden="1">
      <c r="A876">
        <v>4</v>
      </c>
      <c r="B876" s="4" t="s">
        <v>3127</v>
      </c>
      <c r="C876" s="4" t="s">
        <v>3789</v>
      </c>
      <c r="D876" s="4" t="s">
        <v>3815</v>
      </c>
      <c r="E876" s="4" t="s">
        <v>5804</v>
      </c>
      <c r="F876" t="s">
        <v>200</v>
      </c>
      <c r="G876" t="s">
        <v>914</v>
      </c>
      <c r="H876" t="s">
        <v>21</v>
      </c>
      <c r="I876">
        <v>2</v>
      </c>
      <c r="J876" s="5">
        <v>8.5000000000000006E-2</v>
      </c>
      <c r="K876" t="s">
        <v>3816</v>
      </c>
      <c r="L876" s="6">
        <v>41456</v>
      </c>
      <c r="M876">
        <v>7</v>
      </c>
      <c r="N876" s="7" t="s">
        <v>55</v>
      </c>
      <c r="O876" t="s">
        <v>31</v>
      </c>
      <c r="P876" t="s">
        <v>3817</v>
      </c>
      <c r="Q876" t="s">
        <v>3818</v>
      </c>
      <c r="R876" t="s">
        <v>3819</v>
      </c>
    </row>
    <row r="877" spans="1:18" hidden="1">
      <c r="A877">
        <v>4</v>
      </c>
      <c r="B877" s="4" t="s">
        <v>3127</v>
      </c>
      <c r="C877" s="4" t="s">
        <v>3789</v>
      </c>
      <c r="D877" s="4" t="s">
        <v>3815</v>
      </c>
      <c r="E877" s="4" t="s">
        <v>5804</v>
      </c>
      <c r="F877" t="s">
        <v>200</v>
      </c>
      <c r="G877" t="s">
        <v>914</v>
      </c>
      <c r="H877" t="s">
        <v>21</v>
      </c>
      <c r="I877">
        <v>2</v>
      </c>
      <c r="J877" s="5">
        <v>8.5000000000000006E-2</v>
      </c>
      <c r="K877" t="s">
        <v>319</v>
      </c>
      <c r="L877" s="6">
        <v>42583</v>
      </c>
      <c r="M877">
        <v>8</v>
      </c>
      <c r="N877" s="7" t="s">
        <v>55</v>
      </c>
      <c r="O877" t="s">
        <v>31</v>
      </c>
      <c r="P877" t="s">
        <v>3839</v>
      </c>
      <c r="Q877" t="s">
        <v>3840</v>
      </c>
      <c r="R877" t="s">
        <v>3628</v>
      </c>
    </row>
    <row r="878" spans="1:18" hidden="1">
      <c r="A878">
        <v>4</v>
      </c>
      <c r="B878" s="4" t="s">
        <v>3127</v>
      </c>
      <c r="C878" s="4" t="s">
        <v>3789</v>
      </c>
      <c r="D878" s="4" t="s">
        <v>3815</v>
      </c>
      <c r="E878" s="4" t="s">
        <v>5804</v>
      </c>
      <c r="F878" t="s">
        <v>200</v>
      </c>
      <c r="G878" t="s">
        <v>914</v>
      </c>
      <c r="H878" t="s">
        <v>21</v>
      </c>
      <c r="I878">
        <v>2</v>
      </c>
      <c r="J878" s="5">
        <v>8.5000000000000006E-2</v>
      </c>
      <c r="K878" t="s">
        <v>218</v>
      </c>
      <c r="L878" s="6">
        <v>42614</v>
      </c>
      <c r="M878">
        <v>9</v>
      </c>
      <c r="N878" s="7" t="s">
        <v>23</v>
      </c>
      <c r="O878" t="s">
        <v>31</v>
      </c>
      <c r="P878" t="s">
        <v>3841</v>
      </c>
      <c r="Q878" t="s">
        <v>3842</v>
      </c>
      <c r="R878" t="s">
        <v>3628</v>
      </c>
    </row>
    <row r="879" spans="1:18" hidden="1">
      <c r="A879">
        <v>4</v>
      </c>
      <c r="B879" s="4" t="s">
        <v>3127</v>
      </c>
      <c r="C879" s="4" t="s">
        <v>3789</v>
      </c>
      <c r="D879" s="4" t="s">
        <v>3815</v>
      </c>
      <c r="E879" s="4" t="s">
        <v>5804</v>
      </c>
      <c r="F879" t="s">
        <v>200</v>
      </c>
      <c r="G879" t="s">
        <v>914</v>
      </c>
      <c r="H879" t="s">
        <v>21</v>
      </c>
      <c r="I879">
        <v>2</v>
      </c>
      <c r="J879" s="5">
        <v>8.5000000000000006E-2</v>
      </c>
      <c r="K879" t="s">
        <v>477</v>
      </c>
      <c r="L879" s="6">
        <v>42705</v>
      </c>
      <c r="M879">
        <v>12</v>
      </c>
      <c r="N879" s="7" t="s">
        <v>30</v>
      </c>
      <c r="O879" t="s">
        <v>31</v>
      </c>
      <c r="P879" t="s">
        <v>3848</v>
      </c>
      <c r="Q879" t="s">
        <v>3840</v>
      </c>
      <c r="R879" t="s">
        <v>3628</v>
      </c>
    </row>
    <row r="880" spans="1:18" hidden="1">
      <c r="A880">
        <v>4</v>
      </c>
      <c r="B880" s="4" t="s">
        <v>3127</v>
      </c>
      <c r="C880" s="4" t="s">
        <v>3789</v>
      </c>
      <c r="D880" s="4" t="s">
        <v>3815</v>
      </c>
      <c r="E880" s="4" t="s">
        <v>5804</v>
      </c>
      <c r="F880" t="s">
        <v>200</v>
      </c>
      <c r="G880" t="s">
        <v>620</v>
      </c>
      <c r="H880" t="s">
        <v>53</v>
      </c>
      <c r="I880" t="s">
        <v>53</v>
      </c>
      <c r="J880" s="5" t="s">
        <v>53</v>
      </c>
      <c r="K880" t="s">
        <v>128</v>
      </c>
      <c r="L880" s="6">
        <v>42795</v>
      </c>
      <c r="M880">
        <v>3</v>
      </c>
      <c r="N880" s="7" t="s">
        <v>23</v>
      </c>
      <c r="O880" t="s">
        <v>31</v>
      </c>
      <c r="P880" t="s">
        <v>3851</v>
      </c>
      <c r="Q880" t="s">
        <v>3852</v>
      </c>
      <c r="R880" t="s">
        <v>3808</v>
      </c>
    </row>
    <row r="881" spans="1:18" hidden="1">
      <c r="A881">
        <v>4</v>
      </c>
      <c r="B881" s="4" t="s">
        <v>3127</v>
      </c>
      <c r="C881" s="4" t="s">
        <v>3789</v>
      </c>
      <c r="D881" s="4" t="s">
        <v>3815</v>
      </c>
      <c r="E881" s="4" t="s">
        <v>5804</v>
      </c>
      <c r="F881" t="s">
        <v>200</v>
      </c>
      <c r="G881" t="s">
        <v>914</v>
      </c>
      <c r="H881" t="s">
        <v>21</v>
      </c>
      <c r="I881">
        <v>2</v>
      </c>
      <c r="J881" s="5">
        <v>8.5000000000000006E-2</v>
      </c>
      <c r="K881" t="s">
        <v>22</v>
      </c>
      <c r="L881" s="6">
        <v>42979</v>
      </c>
      <c r="M881">
        <v>9</v>
      </c>
      <c r="N881" s="7" t="s">
        <v>23</v>
      </c>
      <c r="O881" t="s">
        <v>31</v>
      </c>
      <c r="P881" t="s">
        <v>3864</v>
      </c>
      <c r="Q881" t="s">
        <v>3865</v>
      </c>
      <c r="R881" t="s">
        <v>3866</v>
      </c>
    </row>
    <row r="882" spans="1:18" hidden="1">
      <c r="A882">
        <v>4</v>
      </c>
      <c r="B882" s="4" t="s">
        <v>3127</v>
      </c>
      <c r="C882" s="4" t="s">
        <v>3789</v>
      </c>
      <c r="D882" s="4" t="s">
        <v>3815</v>
      </c>
      <c r="E882" s="4" t="s">
        <v>5804</v>
      </c>
      <c r="F882" t="s">
        <v>200</v>
      </c>
      <c r="G882" t="s">
        <v>914</v>
      </c>
      <c r="H882" t="s">
        <v>21</v>
      </c>
      <c r="I882">
        <v>2</v>
      </c>
      <c r="J882" s="5">
        <v>8.5000000000000006E-2</v>
      </c>
      <c r="K882" t="s">
        <v>85</v>
      </c>
      <c r="L882" s="6">
        <v>43009</v>
      </c>
      <c r="M882">
        <v>10</v>
      </c>
      <c r="N882" s="7" t="s">
        <v>23</v>
      </c>
      <c r="O882" t="s">
        <v>31</v>
      </c>
      <c r="P882" t="s">
        <v>3867</v>
      </c>
      <c r="Q882" t="s">
        <v>3842</v>
      </c>
      <c r="R882" t="s">
        <v>3628</v>
      </c>
    </row>
    <row r="883" spans="1:18" hidden="1">
      <c r="A883">
        <v>4</v>
      </c>
      <c r="B883" s="4" t="s">
        <v>3127</v>
      </c>
      <c r="C883" s="4" t="s">
        <v>3789</v>
      </c>
      <c r="D883" s="4" t="s">
        <v>3815</v>
      </c>
      <c r="E883" s="4" t="s">
        <v>5804</v>
      </c>
      <c r="F883" t="s">
        <v>200</v>
      </c>
      <c r="G883" t="s">
        <v>620</v>
      </c>
      <c r="H883" t="s">
        <v>53</v>
      </c>
      <c r="I883" t="s">
        <v>53</v>
      </c>
      <c r="J883" s="5" t="s">
        <v>53</v>
      </c>
      <c r="K883" t="s">
        <v>29</v>
      </c>
      <c r="L883" s="6">
        <v>43070</v>
      </c>
      <c r="M883">
        <v>12</v>
      </c>
      <c r="N883" s="7" t="s">
        <v>30</v>
      </c>
      <c r="O883" t="s">
        <v>31</v>
      </c>
      <c r="P883" t="s">
        <v>3869</v>
      </c>
      <c r="Q883" t="s">
        <v>3870</v>
      </c>
      <c r="R883" t="s">
        <v>3871</v>
      </c>
    </row>
    <row r="884" spans="1:18" hidden="1">
      <c r="A884">
        <v>4</v>
      </c>
      <c r="B884" s="4" t="s">
        <v>3127</v>
      </c>
      <c r="C884" s="4" t="s">
        <v>3939</v>
      </c>
      <c r="D884" s="4" t="s">
        <v>3940</v>
      </c>
      <c r="E884" s="4" t="s">
        <v>5804</v>
      </c>
      <c r="F884" t="s">
        <v>200</v>
      </c>
      <c r="G884" t="s">
        <v>620</v>
      </c>
      <c r="H884" t="s">
        <v>53</v>
      </c>
      <c r="I884" t="s">
        <v>53</v>
      </c>
      <c r="J884" s="5" t="s">
        <v>53</v>
      </c>
      <c r="K884" t="s">
        <v>60</v>
      </c>
      <c r="L884" s="6">
        <v>42370</v>
      </c>
      <c r="M884">
        <v>1</v>
      </c>
      <c r="N884" s="7" t="s">
        <v>30</v>
      </c>
      <c r="O884" t="s">
        <v>36</v>
      </c>
      <c r="P884" t="s">
        <v>3941</v>
      </c>
      <c r="Q884" t="s">
        <v>3942</v>
      </c>
      <c r="R884" t="s">
        <v>3943</v>
      </c>
    </row>
    <row r="885" spans="1:18" hidden="1">
      <c r="A885">
        <v>4</v>
      </c>
      <c r="B885" s="4" t="s">
        <v>3127</v>
      </c>
      <c r="C885" s="4" t="s">
        <v>3939</v>
      </c>
      <c r="D885" s="4" t="s">
        <v>3940</v>
      </c>
      <c r="E885" s="4" t="s">
        <v>5804</v>
      </c>
      <c r="F885" t="s">
        <v>200</v>
      </c>
      <c r="G885" t="s">
        <v>620</v>
      </c>
      <c r="H885" t="s">
        <v>53</v>
      </c>
      <c r="I885" t="s">
        <v>53</v>
      </c>
      <c r="J885" s="5" t="s">
        <v>53</v>
      </c>
      <c r="K885" t="s">
        <v>156</v>
      </c>
      <c r="L885" s="6">
        <v>43405</v>
      </c>
      <c r="M885">
        <v>11</v>
      </c>
      <c r="N885" s="7" t="s">
        <v>23</v>
      </c>
      <c r="O885" t="s">
        <v>36</v>
      </c>
      <c r="P885" t="s">
        <v>3953</v>
      </c>
      <c r="Q885" t="s">
        <v>3954</v>
      </c>
      <c r="R885" t="s">
        <v>3943</v>
      </c>
    </row>
    <row r="886" spans="1:18" hidden="1">
      <c r="A886">
        <v>4</v>
      </c>
      <c r="B886" s="4" t="s">
        <v>3127</v>
      </c>
      <c r="C886" s="4" t="s">
        <v>3939</v>
      </c>
      <c r="D886" s="4" t="s">
        <v>3958</v>
      </c>
      <c r="E886" s="4" t="s">
        <v>5804</v>
      </c>
      <c r="F886" t="s">
        <v>200</v>
      </c>
      <c r="G886" t="s">
        <v>914</v>
      </c>
      <c r="H886" t="s">
        <v>21</v>
      </c>
      <c r="I886">
        <v>2</v>
      </c>
      <c r="J886" s="5">
        <v>8.5000000000000006E-2</v>
      </c>
      <c r="K886" t="s">
        <v>171</v>
      </c>
      <c r="L886" s="6">
        <v>44013</v>
      </c>
      <c r="M886">
        <v>7</v>
      </c>
      <c r="N886" s="7" t="s">
        <v>55</v>
      </c>
      <c r="O886" t="s">
        <v>31</v>
      </c>
      <c r="P886" t="s">
        <v>4006</v>
      </c>
      <c r="Q886" t="s">
        <v>4007</v>
      </c>
      <c r="R886" t="s">
        <v>3160</v>
      </c>
    </row>
    <row r="887" spans="1:18" hidden="1">
      <c r="A887">
        <v>4</v>
      </c>
      <c r="B887" s="4" t="s">
        <v>3127</v>
      </c>
      <c r="C887" s="4" t="s">
        <v>4035</v>
      </c>
      <c r="D887" s="4" t="s">
        <v>4036</v>
      </c>
      <c r="E887" s="4" t="s">
        <v>5804</v>
      </c>
      <c r="F887" t="s">
        <v>200</v>
      </c>
      <c r="G887" t="s">
        <v>620</v>
      </c>
      <c r="H887" t="s">
        <v>53</v>
      </c>
      <c r="I887" t="s">
        <v>53</v>
      </c>
      <c r="J887" s="5" t="s">
        <v>53</v>
      </c>
      <c r="K887" t="s">
        <v>4049</v>
      </c>
      <c r="L887" s="6">
        <v>43040</v>
      </c>
      <c r="M887">
        <v>11</v>
      </c>
      <c r="N887" s="7" t="s">
        <v>23</v>
      </c>
      <c r="O887" t="s">
        <v>88</v>
      </c>
      <c r="P887" t="s">
        <v>4050</v>
      </c>
      <c r="Q887" t="s">
        <v>4051</v>
      </c>
      <c r="R887" t="s">
        <v>4052</v>
      </c>
    </row>
    <row r="888" spans="1:18" hidden="1">
      <c r="A888">
        <v>4</v>
      </c>
      <c r="B888" s="4" t="s">
        <v>3127</v>
      </c>
      <c r="C888" s="4" t="s">
        <v>4035</v>
      </c>
      <c r="D888" s="4" t="s">
        <v>4036</v>
      </c>
      <c r="E888" s="4" t="s">
        <v>5804</v>
      </c>
      <c r="F888" t="s">
        <v>200</v>
      </c>
      <c r="G888" t="s">
        <v>620</v>
      </c>
      <c r="H888" t="s">
        <v>53</v>
      </c>
      <c r="I888" t="s">
        <v>53</v>
      </c>
      <c r="J888" s="5" t="s">
        <v>53</v>
      </c>
      <c r="K888" t="s">
        <v>255</v>
      </c>
      <c r="L888" s="6">
        <v>43983</v>
      </c>
      <c r="M888">
        <v>6</v>
      </c>
      <c r="N888" s="7" t="s">
        <v>55</v>
      </c>
      <c r="O888" t="s">
        <v>24</v>
      </c>
      <c r="P888" t="s">
        <v>4069</v>
      </c>
      <c r="Q888" t="s">
        <v>4070</v>
      </c>
      <c r="R888" t="s">
        <v>4071</v>
      </c>
    </row>
    <row r="889" spans="1:18" hidden="1">
      <c r="A889">
        <v>4</v>
      </c>
      <c r="B889" s="4" t="s">
        <v>3127</v>
      </c>
      <c r="C889" s="4" t="s">
        <v>4035</v>
      </c>
      <c r="D889" s="4" t="s">
        <v>4036</v>
      </c>
      <c r="E889" s="4" t="s">
        <v>5804</v>
      </c>
      <c r="F889" t="s">
        <v>200</v>
      </c>
      <c r="G889" t="s">
        <v>620</v>
      </c>
      <c r="H889" t="s">
        <v>53</v>
      </c>
      <c r="I889" t="s">
        <v>53</v>
      </c>
      <c r="J889" s="5" t="s">
        <v>53</v>
      </c>
      <c r="K889" t="s">
        <v>311</v>
      </c>
      <c r="L889" s="6">
        <v>44256</v>
      </c>
      <c r="M889">
        <v>3</v>
      </c>
      <c r="N889" s="7" t="s">
        <v>23</v>
      </c>
      <c r="O889" t="s">
        <v>88</v>
      </c>
      <c r="P889" t="s">
        <v>4075</v>
      </c>
      <c r="Q889" t="s">
        <v>4076</v>
      </c>
      <c r="R889" t="s">
        <v>4039</v>
      </c>
    </row>
    <row r="890" spans="1:18" hidden="1">
      <c r="A890">
        <v>4</v>
      </c>
      <c r="B890" s="4" t="s">
        <v>3127</v>
      </c>
      <c r="C890" s="4" t="s">
        <v>4035</v>
      </c>
      <c r="D890" s="4" t="s">
        <v>4080</v>
      </c>
      <c r="E890" s="4" t="s">
        <v>5804</v>
      </c>
      <c r="F890" t="s">
        <v>200</v>
      </c>
      <c r="G890" t="s">
        <v>620</v>
      </c>
      <c r="H890" t="s">
        <v>53</v>
      </c>
      <c r="I890" t="s">
        <v>53</v>
      </c>
      <c r="J890" s="5" t="s">
        <v>53</v>
      </c>
      <c r="K890" t="s">
        <v>681</v>
      </c>
      <c r="L890" s="6">
        <v>42887</v>
      </c>
      <c r="M890">
        <v>6</v>
      </c>
      <c r="N890" s="7" t="s">
        <v>55</v>
      </c>
      <c r="O890" t="s">
        <v>31</v>
      </c>
      <c r="P890" t="s">
        <v>4113</v>
      </c>
      <c r="Q890" t="s">
        <v>4114</v>
      </c>
      <c r="R890" t="s">
        <v>4115</v>
      </c>
    </row>
    <row r="891" spans="1:18" hidden="1">
      <c r="A891">
        <v>4</v>
      </c>
      <c r="B891" s="4" t="s">
        <v>3127</v>
      </c>
      <c r="C891" s="4" t="s">
        <v>4035</v>
      </c>
      <c r="D891" s="4" t="s">
        <v>4080</v>
      </c>
      <c r="E891" s="4" t="s">
        <v>5804</v>
      </c>
      <c r="F891" t="s">
        <v>200</v>
      </c>
      <c r="G891" t="s">
        <v>620</v>
      </c>
      <c r="H891" t="s">
        <v>53</v>
      </c>
      <c r="I891" t="s">
        <v>53</v>
      </c>
      <c r="J891" s="5" t="s">
        <v>53</v>
      </c>
      <c r="K891" t="s">
        <v>93</v>
      </c>
      <c r="L891" s="6">
        <v>43282</v>
      </c>
      <c r="M891">
        <v>7</v>
      </c>
      <c r="N891" s="7" t="s">
        <v>55</v>
      </c>
      <c r="O891" t="s">
        <v>31</v>
      </c>
      <c r="P891" t="s">
        <v>4131</v>
      </c>
      <c r="Q891" t="s">
        <v>4132</v>
      </c>
      <c r="R891" t="s">
        <v>4133</v>
      </c>
    </row>
    <row r="892" spans="1:18" hidden="1">
      <c r="A892">
        <v>4</v>
      </c>
      <c r="B892" s="4" t="s">
        <v>3127</v>
      </c>
      <c r="C892" s="4" t="s">
        <v>4035</v>
      </c>
      <c r="D892" s="4" t="s">
        <v>4080</v>
      </c>
      <c r="E892" s="4" t="s">
        <v>5804</v>
      </c>
      <c r="F892" t="s">
        <v>200</v>
      </c>
      <c r="G892" t="s">
        <v>914</v>
      </c>
      <c r="H892" t="s">
        <v>21</v>
      </c>
      <c r="I892">
        <v>2</v>
      </c>
      <c r="J892" s="5">
        <v>8.5000000000000006E-2</v>
      </c>
      <c r="K892" t="s">
        <v>168</v>
      </c>
      <c r="L892" s="6">
        <v>43678</v>
      </c>
      <c r="M892">
        <v>8</v>
      </c>
      <c r="N892" s="7" t="s">
        <v>55</v>
      </c>
      <c r="O892" t="s">
        <v>31</v>
      </c>
      <c r="P892" t="s">
        <v>4156</v>
      </c>
      <c r="Q892" t="s">
        <v>4157</v>
      </c>
      <c r="R892" t="s">
        <v>4158</v>
      </c>
    </row>
    <row r="893" spans="1:18" hidden="1">
      <c r="A893">
        <v>4</v>
      </c>
      <c r="B893" s="4" t="s">
        <v>3127</v>
      </c>
      <c r="C893" s="4" t="s">
        <v>4035</v>
      </c>
      <c r="D893" s="4" t="s">
        <v>4080</v>
      </c>
      <c r="E893" s="4" t="s">
        <v>5804</v>
      </c>
      <c r="F893" t="s">
        <v>200</v>
      </c>
      <c r="G893" t="s">
        <v>620</v>
      </c>
      <c r="H893" t="s">
        <v>53</v>
      </c>
      <c r="I893" t="s">
        <v>53</v>
      </c>
      <c r="J893" s="5" t="s">
        <v>53</v>
      </c>
      <c r="K893" t="s">
        <v>99</v>
      </c>
      <c r="L893" s="6">
        <v>43891</v>
      </c>
      <c r="M893">
        <v>3</v>
      </c>
      <c r="N893" s="7" t="s">
        <v>23</v>
      </c>
      <c r="O893" t="s">
        <v>24</v>
      </c>
      <c r="P893" t="s">
        <v>4175</v>
      </c>
      <c r="Q893" t="s">
        <v>4176</v>
      </c>
      <c r="R893" t="s">
        <v>4177</v>
      </c>
    </row>
    <row r="894" spans="1:18" hidden="1">
      <c r="A894">
        <v>4</v>
      </c>
      <c r="B894" s="4" t="s">
        <v>3127</v>
      </c>
      <c r="C894" s="4" t="s">
        <v>4207</v>
      </c>
      <c r="D894" s="4" t="s">
        <v>4208</v>
      </c>
      <c r="E894" s="4" t="s">
        <v>5804</v>
      </c>
      <c r="F894" t="s">
        <v>200</v>
      </c>
      <c r="G894" t="s">
        <v>914</v>
      </c>
      <c r="H894" t="s">
        <v>21</v>
      </c>
      <c r="I894">
        <v>2</v>
      </c>
      <c r="J894" s="5">
        <v>8.5000000000000006E-2</v>
      </c>
      <c r="K894" t="s">
        <v>365</v>
      </c>
      <c r="L894" s="6">
        <v>44105</v>
      </c>
      <c r="M894">
        <v>10</v>
      </c>
      <c r="N894" s="7" t="s">
        <v>23</v>
      </c>
      <c r="O894" t="s">
        <v>31</v>
      </c>
      <c r="P894" t="s">
        <v>4249</v>
      </c>
      <c r="Q894" t="s">
        <v>4250</v>
      </c>
      <c r="R894" t="s">
        <v>4251</v>
      </c>
    </row>
    <row r="895" spans="1:18" hidden="1">
      <c r="A895">
        <v>4</v>
      </c>
      <c r="B895" s="4" t="s">
        <v>3127</v>
      </c>
      <c r="C895" s="4" t="s">
        <v>4207</v>
      </c>
      <c r="D895" s="4" t="s">
        <v>4257</v>
      </c>
      <c r="E895" s="4" t="s">
        <v>5804</v>
      </c>
      <c r="F895" t="s">
        <v>200</v>
      </c>
      <c r="G895" t="s">
        <v>914</v>
      </c>
      <c r="H895" t="s">
        <v>21</v>
      </c>
      <c r="I895">
        <v>2</v>
      </c>
      <c r="J895" s="5">
        <v>8.5000000000000006E-2</v>
      </c>
      <c r="K895" t="s">
        <v>115</v>
      </c>
      <c r="L895" s="6">
        <v>42461</v>
      </c>
      <c r="M895">
        <v>4</v>
      </c>
      <c r="N895" s="7" t="s">
        <v>23</v>
      </c>
      <c r="O895" t="s">
        <v>31</v>
      </c>
      <c r="P895" t="s">
        <v>4278</v>
      </c>
      <c r="Q895" t="s">
        <v>4279</v>
      </c>
      <c r="R895" t="s">
        <v>4251</v>
      </c>
    </row>
    <row r="896" spans="1:18" hidden="1">
      <c r="A896">
        <v>4</v>
      </c>
      <c r="B896" s="4" t="s">
        <v>3127</v>
      </c>
      <c r="C896" s="4" t="s">
        <v>4207</v>
      </c>
      <c r="D896" s="4" t="s">
        <v>4257</v>
      </c>
      <c r="E896" s="4" t="s">
        <v>5804</v>
      </c>
      <c r="F896" t="s">
        <v>200</v>
      </c>
      <c r="G896" t="s">
        <v>620</v>
      </c>
      <c r="H896" t="s">
        <v>53</v>
      </c>
      <c r="I896" t="s">
        <v>53</v>
      </c>
      <c r="J896" s="5" t="s">
        <v>53</v>
      </c>
      <c r="K896" t="s">
        <v>4295</v>
      </c>
      <c r="L896" s="6">
        <v>42522</v>
      </c>
      <c r="M896">
        <v>6</v>
      </c>
      <c r="N896" s="7" t="s">
        <v>55</v>
      </c>
      <c r="O896" t="s">
        <v>31</v>
      </c>
      <c r="P896" t="s">
        <v>4296</v>
      </c>
      <c r="Q896" t="s">
        <v>4297</v>
      </c>
      <c r="R896" t="s">
        <v>4211</v>
      </c>
    </row>
    <row r="897" spans="1:18" hidden="1">
      <c r="A897">
        <v>4</v>
      </c>
      <c r="B897" s="4" t="s">
        <v>3127</v>
      </c>
      <c r="C897" s="4" t="s">
        <v>4207</v>
      </c>
      <c r="D897" s="4" t="s">
        <v>4257</v>
      </c>
      <c r="E897" s="4" t="s">
        <v>5804</v>
      </c>
      <c r="F897" t="s">
        <v>200</v>
      </c>
      <c r="G897" t="s">
        <v>914</v>
      </c>
      <c r="H897" t="s">
        <v>21</v>
      </c>
      <c r="I897">
        <v>2</v>
      </c>
      <c r="J897" s="5">
        <v>8.5000000000000006E-2</v>
      </c>
      <c r="K897" t="s">
        <v>119</v>
      </c>
      <c r="L897" s="6">
        <v>42552</v>
      </c>
      <c r="M897">
        <v>7</v>
      </c>
      <c r="N897" s="7" t="s">
        <v>55</v>
      </c>
      <c r="O897" t="s">
        <v>31</v>
      </c>
      <c r="P897" t="s">
        <v>4302</v>
      </c>
      <c r="Q897" t="s">
        <v>4303</v>
      </c>
      <c r="R897" t="s">
        <v>4251</v>
      </c>
    </row>
    <row r="898" spans="1:18" hidden="1">
      <c r="A898">
        <v>4</v>
      </c>
      <c r="B898" s="4" t="s">
        <v>3127</v>
      </c>
      <c r="C898" s="4" t="s">
        <v>4207</v>
      </c>
      <c r="D898" s="4" t="s">
        <v>4257</v>
      </c>
      <c r="E898" s="4" t="s">
        <v>5804</v>
      </c>
      <c r="F898" t="s">
        <v>200</v>
      </c>
      <c r="G898" t="s">
        <v>914</v>
      </c>
      <c r="H898" t="s">
        <v>21</v>
      </c>
      <c r="I898">
        <v>2</v>
      </c>
      <c r="J898" s="5">
        <v>8.5000000000000006E-2</v>
      </c>
      <c r="K898" t="s">
        <v>477</v>
      </c>
      <c r="L898" s="6">
        <v>42705</v>
      </c>
      <c r="M898">
        <v>12</v>
      </c>
      <c r="N898" s="7" t="s">
        <v>30</v>
      </c>
      <c r="O898" t="s">
        <v>31</v>
      </c>
      <c r="P898" t="s">
        <v>4328</v>
      </c>
      <c r="Q898" t="s">
        <v>4329</v>
      </c>
      <c r="R898" t="s">
        <v>4251</v>
      </c>
    </row>
    <row r="899" spans="1:18" hidden="1">
      <c r="A899">
        <v>4</v>
      </c>
      <c r="B899" s="4" t="s">
        <v>3127</v>
      </c>
      <c r="C899" s="4" t="s">
        <v>4207</v>
      </c>
      <c r="D899" s="4" t="s">
        <v>4257</v>
      </c>
      <c r="E899" s="4" t="s">
        <v>5804</v>
      </c>
      <c r="F899" t="s">
        <v>200</v>
      </c>
      <c r="G899" t="s">
        <v>620</v>
      </c>
      <c r="H899" t="s">
        <v>53</v>
      </c>
      <c r="I899" t="s">
        <v>53</v>
      </c>
      <c r="J899" s="5" t="s">
        <v>53</v>
      </c>
      <c r="K899" t="s">
        <v>422</v>
      </c>
      <c r="L899" s="6">
        <v>42736</v>
      </c>
      <c r="M899">
        <v>1</v>
      </c>
      <c r="N899" s="7" t="s">
        <v>30</v>
      </c>
      <c r="O899" t="s">
        <v>31</v>
      </c>
      <c r="P899" t="s">
        <v>4332</v>
      </c>
      <c r="Q899" t="s">
        <v>4333</v>
      </c>
      <c r="R899" t="s">
        <v>4334</v>
      </c>
    </row>
    <row r="900" spans="1:18" hidden="1">
      <c r="A900">
        <v>4</v>
      </c>
      <c r="B900" s="4" t="s">
        <v>3127</v>
      </c>
      <c r="C900" s="4" t="s">
        <v>4207</v>
      </c>
      <c r="D900" s="4" t="s">
        <v>4257</v>
      </c>
      <c r="E900" s="4" t="s">
        <v>5804</v>
      </c>
      <c r="F900" t="s">
        <v>200</v>
      </c>
      <c r="G900" t="s">
        <v>810</v>
      </c>
      <c r="H900" t="s">
        <v>53</v>
      </c>
      <c r="I900" t="s">
        <v>53</v>
      </c>
      <c r="J900" s="5" t="s">
        <v>53</v>
      </c>
      <c r="K900" t="s">
        <v>35</v>
      </c>
      <c r="L900" s="6">
        <v>43160</v>
      </c>
      <c r="M900">
        <v>3</v>
      </c>
      <c r="N900" s="7" t="s">
        <v>23</v>
      </c>
      <c r="O900" t="s">
        <v>31</v>
      </c>
      <c r="P900" t="s">
        <v>4383</v>
      </c>
      <c r="Q900" t="s">
        <v>4384</v>
      </c>
      <c r="R900" t="s">
        <v>4174</v>
      </c>
    </row>
    <row r="901" spans="1:18" hidden="1">
      <c r="A901">
        <v>4</v>
      </c>
      <c r="B901" s="4" t="s">
        <v>3127</v>
      </c>
      <c r="C901" s="4" t="s">
        <v>4207</v>
      </c>
      <c r="D901" s="4" t="s">
        <v>4257</v>
      </c>
      <c r="E901" s="4" t="s">
        <v>5804</v>
      </c>
      <c r="F901" t="s">
        <v>200</v>
      </c>
      <c r="G901" t="s">
        <v>288</v>
      </c>
      <c r="H901" t="s">
        <v>21</v>
      </c>
      <c r="I901">
        <v>2</v>
      </c>
      <c r="J901" s="5">
        <v>8.5000000000000006E-2</v>
      </c>
      <c r="K901" t="s">
        <v>295</v>
      </c>
      <c r="L901" s="6">
        <v>43221</v>
      </c>
      <c r="M901">
        <v>5</v>
      </c>
      <c r="N901" s="7" t="s">
        <v>23</v>
      </c>
      <c r="O901" t="s">
        <v>31</v>
      </c>
      <c r="P901" t="s">
        <v>4396</v>
      </c>
      <c r="Q901" t="s">
        <v>4173</v>
      </c>
      <c r="R901" t="s">
        <v>4397</v>
      </c>
    </row>
    <row r="902" spans="1:18" hidden="1">
      <c r="A902">
        <v>4</v>
      </c>
      <c r="B902" s="4" t="s">
        <v>3127</v>
      </c>
      <c r="C902" s="4" t="s">
        <v>4207</v>
      </c>
      <c r="D902" s="4" t="s">
        <v>4257</v>
      </c>
      <c r="E902" s="4" t="s">
        <v>5804</v>
      </c>
      <c r="F902" t="s">
        <v>200</v>
      </c>
      <c r="G902" t="s">
        <v>914</v>
      </c>
      <c r="H902" t="s">
        <v>21</v>
      </c>
      <c r="I902">
        <v>2</v>
      </c>
      <c r="J902" s="5">
        <v>8.5000000000000006E-2</v>
      </c>
      <c r="K902" t="s">
        <v>93</v>
      </c>
      <c r="L902" s="6">
        <v>43282</v>
      </c>
      <c r="M902">
        <v>7</v>
      </c>
      <c r="N902" s="7" t="s">
        <v>55</v>
      </c>
      <c r="O902" t="s">
        <v>31</v>
      </c>
      <c r="P902" t="s">
        <v>4401</v>
      </c>
      <c r="Q902" t="s">
        <v>4402</v>
      </c>
      <c r="R902" t="s">
        <v>4251</v>
      </c>
    </row>
    <row r="903" spans="1:18" hidden="1">
      <c r="A903">
        <v>4</v>
      </c>
      <c r="B903" s="4" t="s">
        <v>3127</v>
      </c>
      <c r="C903" s="4" t="s">
        <v>4207</v>
      </c>
      <c r="D903" s="4" t="s">
        <v>4257</v>
      </c>
      <c r="E903" s="4" t="s">
        <v>5804</v>
      </c>
      <c r="F903" t="s">
        <v>200</v>
      </c>
      <c r="G903" t="s">
        <v>288</v>
      </c>
      <c r="H903" t="s">
        <v>21</v>
      </c>
      <c r="I903">
        <v>2</v>
      </c>
      <c r="J903" s="5">
        <v>8.5000000000000006E-2</v>
      </c>
      <c r="K903" t="s">
        <v>152</v>
      </c>
      <c r="L903" s="6">
        <v>43374</v>
      </c>
      <c r="M903">
        <v>10</v>
      </c>
      <c r="N903" s="7" t="s">
        <v>23</v>
      </c>
      <c r="O903" t="s">
        <v>31</v>
      </c>
      <c r="P903" t="s">
        <v>4416</v>
      </c>
      <c r="Q903" t="s">
        <v>4303</v>
      </c>
      <c r="R903" t="s">
        <v>4251</v>
      </c>
    </row>
    <row r="904" spans="1:18" hidden="1">
      <c r="A904">
        <v>4</v>
      </c>
      <c r="B904" s="4" t="s">
        <v>3127</v>
      </c>
      <c r="C904" s="4" t="s">
        <v>4207</v>
      </c>
      <c r="D904" s="4" t="s">
        <v>4257</v>
      </c>
      <c r="E904" s="4" t="s">
        <v>5804</v>
      </c>
      <c r="F904" t="s">
        <v>200</v>
      </c>
      <c r="G904" t="s">
        <v>914</v>
      </c>
      <c r="H904" t="s">
        <v>21</v>
      </c>
      <c r="I904">
        <v>2</v>
      </c>
      <c r="J904" s="5">
        <v>8.5000000000000006E-2</v>
      </c>
      <c r="K904" t="s">
        <v>482</v>
      </c>
      <c r="L904" s="6">
        <v>43435</v>
      </c>
      <c r="M904">
        <v>12</v>
      </c>
      <c r="N904" s="7" t="s">
        <v>30</v>
      </c>
      <c r="O904" t="s">
        <v>31</v>
      </c>
      <c r="P904" t="s">
        <v>4428</v>
      </c>
      <c r="Q904" t="s">
        <v>4303</v>
      </c>
      <c r="R904" t="s">
        <v>4251</v>
      </c>
    </row>
    <row r="905" spans="1:18" hidden="1">
      <c r="A905">
        <v>4</v>
      </c>
      <c r="B905" s="4" t="s">
        <v>3127</v>
      </c>
      <c r="C905" s="4" t="s">
        <v>4207</v>
      </c>
      <c r="D905" s="4" t="s">
        <v>4257</v>
      </c>
      <c r="E905" s="4" t="s">
        <v>5804</v>
      </c>
      <c r="F905" t="s">
        <v>200</v>
      </c>
      <c r="G905" t="s">
        <v>914</v>
      </c>
      <c r="H905" t="s">
        <v>21</v>
      </c>
      <c r="I905">
        <v>2</v>
      </c>
      <c r="J905" s="5">
        <v>8.5000000000000006E-2</v>
      </c>
      <c r="K905" t="s">
        <v>839</v>
      </c>
      <c r="L905" s="6">
        <v>43800</v>
      </c>
      <c r="M905">
        <v>12</v>
      </c>
      <c r="N905" s="7" t="s">
        <v>30</v>
      </c>
      <c r="O905" t="s">
        <v>31</v>
      </c>
      <c r="P905" t="s">
        <v>4505</v>
      </c>
      <c r="Q905" t="s">
        <v>4303</v>
      </c>
      <c r="R905" t="s">
        <v>4251</v>
      </c>
    </row>
    <row r="906" spans="1:18" hidden="1">
      <c r="A906">
        <v>4</v>
      </c>
      <c r="B906" s="4" t="s">
        <v>3127</v>
      </c>
      <c r="C906" s="4" t="s">
        <v>4207</v>
      </c>
      <c r="D906" s="4" t="s">
        <v>4257</v>
      </c>
      <c r="E906" s="4" t="s">
        <v>5804</v>
      </c>
      <c r="F906" t="s">
        <v>200</v>
      </c>
      <c r="G906" t="s">
        <v>914</v>
      </c>
      <c r="H906" t="s">
        <v>21</v>
      </c>
      <c r="I906">
        <v>2</v>
      </c>
      <c r="J906" s="5">
        <v>8.5000000000000006E-2</v>
      </c>
      <c r="K906" t="s">
        <v>255</v>
      </c>
      <c r="L906" s="6">
        <v>43983</v>
      </c>
      <c r="M906">
        <v>6</v>
      </c>
      <c r="N906" s="7" t="s">
        <v>55</v>
      </c>
      <c r="O906" t="s">
        <v>31</v>
      </c>
      <c r="P906" t="s">
        <v>4531</v>
      </c>
      <c r="Q906" t="s">
        <v>4279</v>
      </c>
      <c r="R906" t="s">
        <v>4251</v>
      </c>
    </row>
    <row r="907" spans="1:18" hidden="1">
      <c r="A907">
        <v>4</v>
      </c>
      <c r="B907" s="4" t="s">
        <v>3127</v>
      </c>
      <c r="C907" s="4" t="s">
        <v>4207</v>
      </c>
      <c r="D907" s="4" t="s">
        <v>4257</v>
      </c>
      <c r="E907" s="4" t="s">
        <v>5804</v>
      </c>
      <c r="F907" t="s">
        <v>200</v>
      </c>
      <c r="G907" t="s">
        <v>914</v>
      </c>
      <c r="H907" t="s">
        <v>21</v>
      </c>
      <c r="I907">
        <v>2</v>
      </c>
      <c r="J907" s="5">
        <v>8.5000000000000006E-2</v>
      </c>
      <c r="K907" t="s">
        <v>171</v>
      </c>
      <c r="L907" s="6">
        <v>44013</v>
      </c>
      <c r="M907">
        <v>7</v>
      </c>
      <c r="N907" s="7" t="s">
        <v>55</v>
      </c>
      <c r="O907" t="s">
        <v>31</v>
      </c>
      <c r="P907" t="s">
        <v>4536</v>
      </c>
      <c r="Q907" t="s">
        <v>4537</v>
      </c>
      <c r="R907" t="s">
        <v>4251</v>
      </c>
    </row>
    <row r="908" spans="1:18" hidden="1">
      <c r="A908">
        <v>5</v>
      </c>
      <c r="B908" s="4" t="s">
        <v>4600</v>
      </c>
      <c r="C908" s="4" t="s">
        <v>4601</v>
      </c>
      <c r="D908" s="4" t="s">
        <v>4602</v>
      </c>
      <c r="E908" s="4" t="s">
        <v>5804</v>
      </c>
      <c r="F908" t="s">
        <v>200</v>
      </c>
      <c r="G908" t="s">
        <v>620</v>
      </c>
      <c r="H908" t="s">
        <v>53</v>
      </c>
      <c r="I908" t="s">
        <v>53</v>
      </c>
      <c r="J908" s="5" t="s">
        <v>53</v>
      </c>
      <c r="K908" t="s">
        <v>124</v>
      </c>
      <c r="L908" s="6">
        <v>42767</v>
      </c>
      <c r="M908">
        <v>2</v>
      </c>
      <c r="N908" s="7" t="s">
        <v>30</v>
      </c>
      <c r="O908" t="s">
        <v>246</v>
      </c>
      <c r="P908" t="s">
        <v>4612</v>
      </c>
      <c r="Q908" t="s">
        <v>4613</v>
      </c>
      <c r="R908" t="s">
        <v>4614</v>
      </c>
    </row>
    <row r="909" spans="1:18" hidden="1">
      <c r="A909">
        <v>5</v>
      </c>
      <c r="B909" s="4" t="s">
        <v>4600</v>
      </c>
      <c r="C909" s="4" t="s">
        <v>4601</v>
      </c>
      <c r="D909" s="4" t="s">
        <v>4635</v>
      </c>
      <c r="E909" s="4" t="s">
        <v>5804</v>
      </c>
      <c r="F909" t="s">
        <v>200</v>
      </c>
      <c r="G909" t="s">
        <v>620</v>
      </c>
      <c r="H909" t="s">
        <v>53</v>
      </c>
      <c r="I909" t="s">
        <v>53</v>
      </c>
      <c r="J909" s="5" t="s">
        <v>53</v>
      </c>
      <c r="K909" t="s">
        <v>797</v>
      </c>
      <c r="L909" s="6">
        <v>43252</v>
      </c>
      <c r="M909">
        <v>6</v>
      </c>
      <c r="N909" s="7" t="s">
        <v>55</v>
      </c>
      <c r="O909" t="s">
        <v>979</v>
      </c>
      <c r="P909" t="s">
        <v>4677</v>
      </c>
      <c r="Q909" t="s">
        <v>4678</v>
      </c>
      <c r="R909" t="s">
        <v>4679</v>
      </c>
    </row>
    <row r="910" spans="1:18" hidden="1">
      <c r="A910">
        <v>5</v>
      </c>
      <c r="B910" s="4" t="s">
        <v>4600</v>
      </c>
      <c r="C910" s="4" t="s">
        <v>4601</v>
      </c>
      <c r="D910" s="4" t="s">
        <v>4635</v>
      </c>
      <c r="E910" s="4" t="s">
        <v>5804</v>
      </c>
      <c r="F910" t="s">
        <v>200</v>
      </c>
      <c r="G910" t="s">
        <v>620</v>
      </c>
      <c r="H910" t="s">
        <v>53</v>
      </c>
      <c r="I910" t="s">
        <v>53</v>
      </c>
      <c r="J910" s="5" t="s">
        <v>53</v>
      </c>
      <c r="K910" t="s">
        <v>395</v>
      </c>
      <c r="L910" s="6">
        <v>43497</v>
      </c>
      <c r="M910">
        <v>2</v>
      </c>
      <c r="N910" s="7" t="s">
        <v>30</v>
      </c>
      <c r="O910" t="s">
        <v>31</v>
      </c>
      <c r="P910" t="s">
        <v>4687</v>
      </c>
      <c r="Q910" t="s">
        <v>4688</v>
      </c>
      <c r="R910" t="s">
        <v>4689</v>
      </c>
    </row>
    <row r="911" spans="1:18" hidden="1">
      <c r="A911">
        <v>5</v>
      </c>
      <c r="B911" s="4" t="s">
        <v>4600</v>
      </c>
      <c r="C911" s="4" t="s">
        <v>4601</v>
      </c>
      <c r="D911" s="4" t="s">
        <v>4635</v>
      </c>
      <c r="E911" s="4" t="s">
        <v>5804</v>
      </c>
      <c r="F911" t="s">
        <v>200</v>
      </c>
      <c r="G911" t="s">
        <v>620</v>
      </c>
      <c r="H911" t="s">
        <v>53</v>
      </c>
      <c r="I911" t="s">
        <v>53</v>
      </c>
      <c r="J911" s="5" t="s">
        <v>53</v>
      </c>
      <c r="K911" t="s">
        <v>654</v>
      </c>
      <c r="L911" s="6">
        <v>43556</v>
      </c>
      <c r="M911">
        <v>4</v>
      </c>
      <c r="N911" s="7" t="s">
        <v>23</v>
      </c>
      <c r="O911" t="s">
        <v>31</v>
      </c>
      <c r="P911" t="s">
        <v>4695</v>
      </c>
      <c r="Q911" t="s">
        <v>4696</v>
      </c>
      <c r="R911" t="s">
        <v>4697</v>
      </c>
    </row>
    <row r="912" spans="1:18" hidden="1">
      <c r="A912">
        <v>5</v>
      </c>
      <c r="B912" s="4" t="s">
        <v>4600</v>
      </c>
      <c r="C912" s="4" t="s">
        <v>4601</v>
      </c>
      <c r="D912" s="4" t="s">
        <v>4748</v>
      </c>
      <c r="E912" s="4" t="s">
        <v>5804</v>
      </c>
      <c r="F912" t="s">
        <v>200</v>
      </c>
      <c r="G912" t="s">
        <v>620</v>
      </c>
      <c r="H912" t="s">
        <v>53</v>
      </c>
      <c r="I912" t="s">
        <v>53</v>
      </c>
      <c r="J912" s="5" t="s">
        <v>53</v>
      </c>
      <c r="K912" t="s">
        <v>60</v>
      </c>
      <c r="L912" s="6">
        <v>42370</v>
      </c>
      <c r="M912">
        <v>1</v>
      </c>
      <c r="N912" s="7" t="s">
        <v>30</v>
      </c>
      <c r="O912" t="s">
        <v>24</v>
      </c>
      <c r="P912" t="s">
        <v>4752</v>
      </c>
      <c r="Q912" t="s">
        <v>4753</v>
      </c>
      <c r="R912" t="s">
        <v>4754</v>
      </c>
    </row>
    <row r="913" spans="1:18" hidden="1">
      <c r="A913">
        <v>5</v>
      </c>
      <c r="B913" s="4" t="s">
        <v>4600</v>
      </c>
      <c r="C913" s="4" t="s">
        <v>4601</v>
      </c>
      <c r="D913" s="4" t="s">
        <v>4853</v>
      </c>
      <c r="E913" s="4" t="s">
        <v>5804</v>
      </c>
      <c r="F913" t="s">
        <v>200</v>
      </c>
      <c r="G913" t="s">
        <v>914</v>
      </c>
      <c r="H913" t="s">
        <v>21</v>
      </c>
      <c r="I913">
        <v>2</v>
      </c>
      <c r="J913" s="5">
        <v>8.5000000000000006E-2</v>
      </c>
      <c r="K913" t="s">
        <v>218</v>
      </c>
      <c r="L913" s="6">
        <v>42614</v>
      </c>
      <c r="M913">
        <v>9</v>
      </c>
      <c r="N913" s="7" t="s">
        <v>23</v>
      </c>
      <c r="O913" t="s">
        <v>31</v>
      </c>
      <c r="P913" t="s">
        <v>4874</v>
      </c>
      <c r="Q913" t="s">
        <v>4875</v>
      </c>
      <c r="R913" t="s">
        <v>4876</v>
      </c>
    </row>
    <row r="914" spans="1:18" hidden="1">
      <c r="A914">
        <v>5</v>
      </c>
      <c r="B914" s="4" t="s">
        <v>4600</v>
      </c>
      <c r="C914" s="4" t="s">
        <v>4601</v>
      </c>
      <c r="D914" s="4" t="s">
        <v>4853</v>
      </c>
      <c r="E914" s="4" t="s">
        <v>5804</v>
      </c>
      <c r="F914" t="s">
        <v>200</v>
      </c>
      <c r="G914" t="s">
        <v>288</v>
      </c>
      <c r="H914" t="s">
        <v>21</v>
      </c>
      <c r="I914">
        <v>2</v>
      </c>
      <c r="J914" s="5">
        <v>8.5000000000000006E-2</v>
      </c>
      <c r="K914" t="s">
        <v>83</v>
      </c>
      <c r="L914" s="6">
        <v>42948</v>
      </c>
      <c r="M914">
        <v>8</v>
      </c>
      <c r="N914" s="7" t="s">
        <v>55</v>
      </c>
      <c r="O914" t="s">
        <v>24</v>
      </c>
      <c r="P914" t="s">
        <v>4891</v>
      </c>
      <c r="Q914" t="s">
        <v>4892</v>
      </c>
      <c r="R914" t="s">
        <v>4893</v>
      </c>
    </row>
    <row r="915" spans="1:18" hidden="1">
      <c r="A915">
        <v>5</v>
      </c>
      <c r="B915" s="4" t="s">
        <v>4600</v>
      </c>
      <c r="C915" s="4" t="s">
        <v>4933</v>
      </c>
      <c r="D915" s="4" t="s">
        <v>4934</v>
      </c>
      <c r="E915" s="4" t="s">
        <v>5804</v>
      </c>
      <c r="F915" t="s">
        <v>200</v>
      </c>
      <c r="G915" t="s">
        <v>620</v>
      </c>
      <c r="H915" t="s">
        <v>53</v>
      </c>
      <c r="I915" t="s">
        <v>53</v>
      </c>
      <c r="J915" s="5" t="s">
        <v>53</v>
      </c>
      <c r="K915" t="s">
        <v>115</v>
      </c>
      <c r="L915" s="6">
        <v>42461</v>
      </c>
      <c r="M915">
        <v>4</v>
      </c>
      <c r="N915" s="7" t="s">
        <v>23</v>
      </c>
      <c r="O915" t="s">
        <v>31</v>
      </c>
      <c r="P915" t="s">
        <v>4941</v>
      </c>
      <c r="Q915" t="s">
        <v>4942</v>
      </c>
      <c r="R915" t="s">
        <v>4943</v>
      </c>
    </row>
    <row r="916" spans="1:18" hidden="1">
      <c r="A916">
        <v>5</v>
      </c>
      <c r="B916" s="4" t="s">
        <v>4600</v>
      </c>
      <c r="C916" s="4" t="s">
        <v>4933</v>
      </c>
      <c r="D916" s="4" t="s">
        <v>4934</v>
      </c>
      <c r="E916" s="4" t="s">
        <v>5804</v>
      </c>
      <c r="F916" t="s">
        <v>200</v>
      </c>
      <c r="G916" t="s">
        <v>620</v>
      </c>
      <c r="H916" t="s">
        <v>53</v>
      </c>
      <c r="I916" t="s">
        <v>53</v>
      </c>
      <c r="J916" s="5" t="s">
        <v>53</v>
      </c>
      <c r="K916" t="s">
        <v>152</v>
      </c>
      <c r="L916" s="6">
        <v>43374</v>
      </c>
      <c r="M916">
        <v>10</v>
      </c>
      <c r="N916" s="7" t="s">
        <v>23</v>
      </c>
      <c r="O916" t="s">
        <v>36</v>
      </c>
      <c r="P916" t="s">
        <v>4969</v>
      </c>
      <c r="Q916" t="s">
        <v>4970</v>
      </c>
      <c r="R916" t="s">
        <v>4971</v>
      </c>
    </row>
    <row r="917" spans="1:18" hidden="1">
      <c r="A917">
        <v>5</v>
      </c>
      <c r="B917" s="4" t="s">
        <v>4600</v>
      </c>
      <c r="C917" s="4" t="s">
        <v>4933</v>
      </c>
      <c r="D917" s="4" t="s">
        <v>4934</v>
      </c>
      <c r="E917" s="4" t="s">
        <v>5804</v>
      </c>
      <c r="F917" t="s">
        <v>200</v>
      </c>
      <c r="G917" t="s">
        <v>620</v>
      </c>
      <c r="H917" t="s">
        <v>53</v>
      </c>
      <c r="I917" t="s">
        <v>53</v>
      </c>
      <c r="J917" s="5" t="s">
        <v>53</v>
      </c>
      <c r="K917" t="s">
        <v>357</v>
      </c>
      <c r="L917" s="6">
        <v>43739</v>
      </c>
      <c r="M917">
        <v>10</v>
      </c>
      <c r="N917" s="7" t="s">
        <v>23</v>
      </c>
      <c r="O917" t="s">
        <v>223</v>
      </c>
      <c r="P917" t="s">
        <v>4995</v>
      </c>
      <c r="Q917" t="s">
        <v>4996</v>
      </c>
      <c r="R917" t="s">
        <v>4997</v>
      </c>
    </row>
    <row r="918" spans="1:18" hidden="1">
      <c r="A918">
        <v>5</v>
      </c>
      <c r="B918" s="4" t="s">
        <v>4600</v>
      </c>
      <c r="C918" s="4" t="s">
        <v>4933</v>
      </c>
      <c r="D918" s="4" t="s">
        <v>5014</v>
      </c>
      <c r="E918" s="4" t="s">
        <v>5804</v>
      </c>
      <c r="F918" t="s">
        <v>200</v>
      </c>
      <c r="G918" t="s">
        <v>620</v>
      </c>
      <c r="H918" t="s">
        <v>53</v>
      </c>
      <c r="I918" t="s">
        <v>53</v>
      </c>
      <c r="J918" s="5" t="s">
        <v>53</v>
      </c>
      <c r="K918" t="s">
        <v>115</v>
      </c>
      <c r="L918" s="6">
        <v>42461</v>
      </c>
      <c r="M918">
        <v>4</v>
      </c>
      <c r="N918" s="7" t="s">
        <v>23</v>
      </c>
      <c r="O918" t="s">
        <v>31</v>
      </c>
      <c r="P918" t="s">
        <v>5033</v>
      </c>
      <c r="Q918" t="s">
        <v>5034</v>
      </c>
      <c r="R918" t="s">
        <v>5035</v>
      </c>
    </row>
    <row r="919" spans="1:18" hidden="1">
      <c r="A919">
        <v>5</v>
      </c>
      <c r="B919" s="4" t="s">
        <v>4600</v>
      </c>
      <c r="C919" s="4" t="s">
        <v>4933</v>
      </c>
      <c r="D919" s="4" t="s">
        <v>5014</v>
      </c>
      <c r="E919" s="4" t="s">
        <v>5804</v>
      </c>
      <c r="F919" t="s">
        <v>200</v>
      </c>
      <c r="G919" t="s">
        <v>620</v>
      </c>
      <c r="H919" t="s">
        <v>53</v>
      </c>
      <c r="I919" t="s">
        <v>53</v>
      </c>
      <c r="J919" s="5" t="s">
        <v>53</v>
      </c>
      <c r="K919" t="s">
        <v>422</v>
      </c>
      <c r="L919" s="6">
        <v>42736</v>
      </c>
      <c r="M919">
        <v>1</v>
      </c>
      <c r="N919" s="7" t="s">
        <v>30</v>
      </c>
      <c r="O919" t="s">
        <v>36</v>
      </c>
      <c r="P919" t="s">
        <v>5084</v>
      </c>
      <c r="Q919" t="s">
        <v>5085</v>
      </c>
      <c r="R919" t="s">
        <v>5035</v>
      </c>
    </row>
    <row r="920" spans="1:18" hidden="1">
      <c r="A920">
        <v>5</v>
      </c>
      <c r="B920" s="4" t="s">
        <v>4600</v>
      </c>
      <c r="C920" s="4" t="s">
        <v>4933</v>
      </c>
      <c r="D920" s="4" t="s">
        <v>5014</v>
      </c>
      <c r="E920" s="4" t="s">
        <v>5804</v>
      </c>
      <c r="F920" t="s">
        <v>200</v>
      </c>
      <c r="G920" t="s">
        <v>914</v>
      </c>
      <c r="H920" t="s">
        <v>21</v>
      </c>
      <c r="I920">
        <v>2</v>
      </c>
      <c r="J920" s="5">
        <v>8.5000000000000006E-2</v>
      </c>
      <c r="K920" t="s">
        <v>234</v>
      </c>
      <c r="L920" s="6">
        <v>42826</v>
      </c>
      <c r="M920">
        <v>4</v>
      </c>
      <c r="N920" s="7" t="s">
        <v>23</v>
      </c>
      <c r="O920" t="s">
        <v>66</v>
      </c>
      <c r="P920" t="s">
        <v>5106</v>
      </c>
      <c r="Q920" t="s">
        <v>5107</v>
      </c>
      <c r="R920" t="s">
        <v>5108</v>
      </c>
    </row>
    <row r="921" spans="1:18" hidden="1">
      <c r="A921">
        <v>5</v>
      </c>
      <c r="B921" s="4" t="s">
        <v>4600</v>
      </c>
      <c r="C921" s="4" t="s">
        <v>4933</v>
      </c>
      <c r="D921" s="4" t="s">
        <v>5014</v>
      </c>
      <c r="E921" s="4" t="s">
        <v>5804</v>
      </c>
      <c r="F921" t="s">
        <v>200</v>
      </c>
      <c r="G921" t="s">
        <v>620</v>
      </c>
      <c r="H921" t="s">
        <v>53</v>
      </c>
      <c r="I921" t="s">
        <v>53</v>
      </c>
      <c r="J921" s="5" t="s">
        <v>53</v>
      </c>
      <c r="K921" t="s">
        <v>83</v>
      </c>
      <c r="L921" s="6">
        <v>42948</v>
      </c>
      <c r="M921">
        <v>8</v>
      </c>
      <c r="N921" s="7" t="s">
        <v>55</v>
      </c>
      <c r="O921" t="s">
        <v>31</v>
      </c>
      <c r="P921" t="s">
        <v>5135</v>
      </c>
      <c r="Q921" t="s">
        <v>5136</v>
      </c>
      <c r="R921" t="s">
        <v>752</v>
      </c>
    </row>
    <row r="922" spans="1:18" hidden="1">
      <c r="A922">
        <v>5</v>
      </c>
      <c r="B922" s="4" t="s">
        <v>4600</v>
      </c>
      <c r="C922" s="4" t="s">
        <v>4933</v>
      </c>
      <c r="D922" s="4" t="s">
        <v>5014</v>
      </c>
      <c r="E922" s="4" t="s">
        <v>5804</v>
      </c>
      <c r="F922" t="s">
        <v>200</v>
      </c>
      <c r="G922" t="s">
        <v>288</v>
      </c>
      <c r="H922" t="s">
        <v>21</v>
      </c>
      <c r="I922">
        <v>2</v>
      </c>
      <c r="J922" s="5">
        <v>8.5000000000000006E-2</v>
      </c>
      <c r="K922" t="s">
        <v>83</v>
      </c>
      <c r="L922" s="6">
        <v>42948</v>
      </c>
      <c r="M922">
        <v>8</v>
      </c>
      <c r="N922" s="7" t="s">
        <v>55</v>
      </c>
      <c r="O922" t="s">
        <v>31</v>
      </c>
      <c r="P922" t="s">
        <v>5137</v>
      </c>
      <c r="Q922" t="s">
        <v>4643</v>
      </c>
      <c r="R922" t="s">
        <v>5138</v>
      </c>
    </row>
    <row r="923" spans="1:18" hidden="1">
      <c r="A923">
        <v>5</v>
      </c>
      <c r="B923" s="4" t="s">
        <v>4600</v>
      </c>
      <c r="C923" s="4" t="s">
        <v>4933</v>
      </c>
      <c r="D923" s="4" t="s">
        <v>5014</v>
      </c>
      <c r="E923" s="4" t="s">
        <v>5804</v>
      </c>
      <c r="F923" t="s">
        <v>200</v>
      </c>
      <c r="G923" t="s">
        <v>914</v>
      </c>
      <c r="H923" t="s">
        <v>21</v>
      </c>
      <c r="I923">
        <v>2</v>
      </c>
      <c r="J923" s="5">
        <v>8.5000000000000006E-2</v>
      </c>
      <c r="K923" t="s">
        <v>292</v>
      </c>
      <c r="L923" s="6">
        <v>43191</v>
      </c>
      <c r="M923">
        <v>4</v>
      </c>
      <c r="N923" s="7" t="s">
        <v>23</v>
      </c>
      <c r="O923" t="s">
        <v>88</v>
      </c>
      <c r="P923" t="s">
        <v>5178</v>
      </c>
      <c r="Q923" t="s">
        <v>5179</v>
      </c>
      <c r="R923" t="s">
        <v>5180</v>
      </c>
    </row>
    <row r="924" spans="1:18" hidden="1">
      <c r="A924">
        <v>5</v>
      </c>
      <c r="B924" s="4" t="s">
        <v>4600</v>
      </c>
      <c r="C924" s="4" t="s">
        <v>4933</v>
      </c>
      <c r="D924" s="4" t="s">
        <v>5014</v>
      </c>
      <c r="E924" s="4" t="s">
        <v>5804</v>
      </c>
      <c r="F924" t="s">
        <v>200</v>
      </c>
      <c r="G924" t="s">
        <v>620</v>
      </c>
      <c r="H924" t="s">
        <v>53</v>
      </c>
      <c r="I924" t="s">
        <v>53</v>
      </c>
      <c r="J924" s="5" t="s">
        <v>53</v>
      </c>
      <c r="K924" t="s">
        <v>797</v>
      </c>
      <c r="L924" s="6">
        <v>43252</v>
      </c>
      <c r="M924">
        <v>6</v>
      </c>
      <c r="N924" s="7" t="s">
        <v>55</v>
      </c>
      <c r="O924" t="s">
        <v>31</v>
      </c>
      <c r="P924" t="s">
        <v>5189</v>
      </c>
      <c r="Q924" t="s">
        <v>5190</v>
      </c>
      <c r="R924" t="s">
        <v>5035</v>
      </c>
    </row>
    <row r="925" spans="1:18" hidden="1">
      <c r="A925">
        <v>5</v>
      </c>
      <c r="B925" s="4" t="s">
        <v>4600</v>
      </c>
      <c r="C925" s="4" t="s">
        <v>4933</v>
      </c>
      <c r="D925" s="4" t="s">
        <v>5014</v>
      </c>
      <c r="E925" s="4" t="s">
        <v>5804</v>
      </c>
      <c r="F925" t="s">
        <v>200</v>
      </c>
      <c r="G925" t="s">
        <v>620</v>
      </c>
      <c r="H925" t="s">
        <v>53</v>
      </c>
      <c r="I925" t="s">
        <v>53</v>
      </c>
      <c r="J925" s="5" t="s">
        <v>53</v>
      </c>
      <c r="K925" t="s">
        <v>311</v>
      </c>
      <c r="L925" s="6">
        <v>44256</v>
      </c>
      <c r="M925">
        <v>3</v>
      </c>
      <c r="N925" s="7" t="s">
        <v>23</v>
      </c>
      <c r="O925" t="s">
        <v>88</v>
      </c>
      <c r="P925" t="s">
        <v>5358</v>
      </c>
      <c r="Q925" t="s">
        <v>5359</v>
      </c>
      <c r="R925" t="s">
        <v>5360</v>
      </c>
    </row>
    <row r="926" spans="1:18" hidden="1">
      <c r="A926">
        <v>5</v>
      </c>
      <c r="B926" s="4" t="s">
        <v>4600</v>
      </c>
      <c r="C926" s="4" t="s">
        <v>4933</v>
      </c>
      <c r="D926" s="4" t="s">
        <v>5014</v>
      </c>
      <c r="E926" s="4" t="s">
        <v>5804</v>
      </c>
      <c r="F926" t="s">
        <v>200</v>
      </c>
      <c r="G926" t="s">
        <v>620</v>
      </c>
      <c r="H926" t="s">
        <v>53</v>
      </c>
      <c r="I926" t="s">
        <v>53</v>
      </c>
      <c r="J926" s="5" t="s">
        <v>53</v>
      </c>
      <c r="K926" t="s">
        <v>630</v>
      </c>
      <c r="L926" s="6">
        <v>44378</v>
      </c>
      <c r="M926">
        <v>7</v>
      </c>
      <c r="N926" s="7" t="s">
        <v>55</v>
      </c>
      <c r="O926" t="s">
        <v>24</v>
      </c>
      <c r="P926" t="s">
        <v>5367</v>
      </c>
      <c r="Q926" t="s">
        <v>5368</v>
      </c>
      <c r="R926" t="s">
        <v>5369</v>
      </c>
    </row>
    <row r="927" spans="1:18" hidden="1">
      <c r="A927">
        <v>5</v>
      </c>
      <c r="B927" s="4" t="s">
        <v>4600</v>
      </c>
      <c r="C927" s="4" t="s">
        <v>5385</v>
      </c>
      <c r="D927" s="4" t="s">
        <v>5386</v>
      </c>
      <c r="E927" s="4" t="s">
        <v>5804</v>
      </c>
      <c r="F927" t="s">
        <v>200</v>
      </c>
      <c r="G927" t="s">
        <v>620</v>
      </c>
      <c r="H927" t="s">
        <v>53</v>
      </c>
      <c r="I927" t="s">
        <v>53</v>
      </c>
      <c r="J927" s="5" t="s">
        <v>53</v>
      </c>
      <c r="K927" t="s">
        <v>43</v>
      </c>
      <c r="L927" s="6">
        <v>43525</v>
      </c>
      <c r="M927">
        <v>3</v>
      </c>
      <c r="N927" s="7" t="s">
        <v>23</v>
      </c>
      <c r="O927" t="s">
        <v>31</v>
      </c>
      <c r="P927" t="s">
        <v>5411</v>
      </c>
      <c r="Q927" t="s">
        <v>5412</v>
      </c>
      <c r="R927" t="s">
        <v>5413</v>
      </c>
    </row>
    <row r="928" spans="1:18" hidden="1">
      <c r="A928">
        <v>6</v>
      </c>
      <c r="B928" s="4" t="s">
        <v>5462</v>
      </c>
      <c r="C928" s="4" t="s">
        <v>5463</v>
      </c>
      <c r="D928" s="4" t="s">
        <v>5497</v>
      </c>
      <c r="E928" s="4" t="s">
        <v>5804</v>
      </c>
      <c r="F928" t="s">
        <v>200</v>
      </c>
      <c r="G928" t="s">
        <v>288</v>
      </c>
      <c r="H928" t="s">
        <v>21</v>
      </c>
      <c r="I928">
        <v>2</v>
      </c>
      <c r="J928" s="5">
        <v>8.5000000000000006E-2</v>
      </c>
      <c r="K928" t="s">
        <v>701</v>
      </c>
      <c r="L928" s="6">
        <v>42491</v>
      </c>
      <c r="M928">
        <v>5</v>
      </c>
      <c r="N928" s="7" t="s">
        <v>23</v>
      </c>
      <c r="O928" t="s">
        <v>88</v>
      </c>
      <c r="P928" t="s">
        <v>5505</v>
      </c>
      <c r="Q928" t="s">
        <v>5506</v>
      </c>
      <c r="R928" t="s">
        <v>5507</v>
      </c>
    </row>
    <row r="929" spans="1:18" hidden="1">
      <c r="A929">
        <v>6</v>
      </c>
      <c r="B929" s="4" t="s">
        <v>5462</v>
      </c>
      <c r="C929" s="4" t="s">
        <v>5463</v>
      </c>
      <c r="D929" s="4" t="s">
        <v>5497</v>
      </c>
      <c r="E929" s="4" t="s">
        <v>5804</v>
      </c>
      <c r="F929" t="s">
        <v>200</v>
      </c>
      <c r="G929" t="s">
        <v>620</v>
      </c>
      <c r="H929" t="s">
        <v>53</v>
      </c>
      <c r="I929" t="s">
        <v>53</v>
      </c>
      <c r="J929" s="5" t="s">
        <v>53</v>
      </c>
      <c r="K929" t="s">
        <v>168</v>
      </c>
      <c r="L929" s="6">
        <v>43678</v>
      </c>
      <c r="M929">
        <v>8</v>
      </c>
      <c r="N929" s="7" t="s">
        <v>55</v>
      </c>
      <c r="O929" t="s">
        <v>88</v>
      </c>
      <c r="P929" t="s">
        <v>5566</v>
      </c>
      <c r="Q929" t="s">
        <v>5567</v>
      </c>
      <c r="R929" t="s">
        <v>5568</v>
      </c>
    </row>
    <row r="930" spans="1:18" hidden="1">
      <c r="A930">
        <v>8</v>
      </c>
      <c r="B930" s="4" t="s">
        <v>5679</v>
      </c>
      <c r="C930" s="4" t="s">
        <v>5689</v>
      </c>
      <c r="D930" s="4" t="s">
        <v>5690</v>
      </c>
      <c r="E930" s="4" t="s">
        <v>5805</v>
      </c>
      <c r="F930" t="s">
        <v>200</v>
      </c>
      <c r="G930" t="s">
        <v>810</v>
      </c>
      <c r="H930" t="s">
        <v>53</v>
      </c>
      <c r="I930" t="s">
        <v>53</v>
      </c>
      <c r="J930" s="5" t="s">
        <v>53</v>
      </c>
      <c r="K930" t="s">
        <v>142</v>
      </c>
      <c r="L930" s="6">
        <v>43101</v>
      </c>
      <c r="M930">
        <v>1</v>
      </c>
      <c r="N930" s="7" t="s">
        <v>30</v>
      </c>
      <c r="O930" t="s">
        <v>36</v>
      </c>
      <c r="P930" t="s">
        <v>5694</v>
      </c>
      <c r="Q930" t="s">
        <v>5695</v>
      </c>
      <c r="R930" t="s">
        <v>5696</v>
      </c>
    </row>
    <row r="931" spans="1:18" hidden="1">
      <c r="A931">
        <v>9</v>
      </c>
      <c r="B931" s="4" t="s">
        <v>5727</v>
      </c>
      <c r="C931" s="4" t="s">
        <v>5728</v>
      </c>
      <c r="D931" s="4" t="s">
        <v>5729</v>
      </c>
      <c r="E931" s="4" t="s">
        <v>5805</v>
      </c>
      <c r="F931" t="s">
        <v>200</v>
      </c>
      <c r="G931" t="s">
        <v>620</v>
      </c>
      <c r="H931" t="s">
        <v>53</v>
      </c>
      <c r="I931" t="s">
        <v>53</v>
      </c>
      <c r="J931" s="5" t="s">
        <v>53</v>
      </c>
      <c r="K931" t="s">
        <v>377</v>
      </c>
      <c r="L931" s="6">
        <v>44470</v>
      </c>
      <c r="M931">
        <v>10</v>
      </c>
      <c r="N931" s="7" t="s">
        <v>23</v>
      </c>
      <c r="O931" t="s">
        <v>24</v>
      </c>
      <c r="P931" t="s">
        <v>5733</v>
      </c>
      <c r="Q931" t="s">
        <v>5734</v>
      </c>
      <c r="R931" t="s">
        <v>5735</v>
      </c>
    </row>
    <row r="932" spans="1:18" hidden="1">
      <c r="A932">
        <v>9</v>
      </c>
      <c r="B932" s="4" t="s">
        <v>5727</v>
      </c>
      <c r="C932" s="4" t="s">
        <v>5755</v>
      </c>
      <c r="D932" s="4" t="s">
        <v>5763</v>
      </c>
      <c r="E932" s="4" t="s">
        <v>5805</v>
      </c>
      <c r="F932" t="s">
        <v>200</v>
      </c>
      <c r="G932" t="s">
        <v>810</v>
      </c>
      <c r="H932" t="s">
        <v>53</v>
      </c>
      <c r="I932" t="s">
        <v>53</v>
      </c>
      <c r="J932" s="5" t="s">
        <v>53</v>
      </c>
      <c r="K932" t="s">
        <v>681</v>
      </c>
      <c r="L932" s="6">
        <v>42887</v>
      </c>
      <c r="M932">
        <v>6</v>
      </c>
      <c r="N932" s="7" t="s">
        <v>55</v>
      </c>
      <c r="O932" t="s">
        <v>36</v>
      </c>
      <c r="P932" t="s">
        <v>5764</v>
      </c>
      <c r="Q932" t="s">
        <v>5765</v>
      </c>
      <c r="R932" t="s">
        <v>5766</v>
      </c>
    </row>
    <row r="933" spans="1:18" hidden="1">
      <c r="A933">
        <v>9</v>
      </c>
      <c r="B933" s="4" t="s">
        <v>5727</v>
      </c>
      <c r="C933" s="4" t="s">
        <v>5779</v>
      </c>
      <c r="D933" s="4" t="s">
        <v>5780</v>
      </c>
      <c r="E933" s="4" t="s">
        <v>5805</v>
      </c>
      <c r="F933" t="s">
        <v>200</v>
      </c>
      <c r="G933" t="s">
        <v>288</v>
      </c>
      <c r="H933" t="s">
        <v>21</v>
      </c>
      <c r="I933">
        <v>2</v>
      </c>
      <c r="J933" s="5">
        <v>8.5000000000000006E-2</v>
      </c>
      <c r="K933" t="s">
        <v>477</v>
      </c>
      <c r="L933" s="6">
        <v>42705</v>
      </c>
      <c r="M933">
        <v>12</v>
      </c>
      <c r="N933" s="7" t="s">
        <v>30</v>
      </c>
      <c r="O933" t="s">
        <v>24</v>
      </c>
      <c r="P933" t="s">
        <v>5781</v>
      </c>
      <c r="Q933" t="s">
        <v>5782</v>
      </c>
      <c r="R933" t="s">
        <v>5783</v>
      </c>
    </row>
    <row r="934" spans="1:18" hidden="1">
      <c r="A934">
        <v>12</v>
      </c>
      <c r="B934" s="4" t="s">
        <v>901</v>
      </c>
      <c r="C934" s="4" t="s">
        <v>1672</v>
      </c>
      <c r="D934" s="4" t="s">
        <v>1673</v>
      </c>
      <c r="E934" s="4" t="s">
        <v>5804</v>
      </c>
      <c r="F934" t="s">
        <v>1730</v>
      </c>
      <c r="G934" t="s">
        <v>1730</v>
      </c>
      <c r="H934" t="s">
        <v>53</v>
      </c>
      <c r="I934" t="s">
        <v>53</v>
      </c>
      <c r="J934" s="5" t="s">
        <v>53</v>
      </c>
      <c r="K934" t="s">
        <v>278</v>
      </c>
      <c r="L934" s="6">
        <v>42675</v>
      </c>
      <c r="M934">
        <v>11</v>
      </c>
      <c r="N934" s="7" t="s">
        <v>23</v>
      </c>
      <c r="O934" t="s">
        <v>31</v>
      </c>
      <c r="P934" t="s">
        <v>1731</v>
      </c>
      <c r="Q934" t="s">
        <v>1588</v>
      </c>
      <c r="R934" t="s">
        <v>1589</v>
      </c>
    </row>
    <row r="935" spans="1:18" hidden="1">
      <c r="A935">
        <v>12</v>
      </c>
      <c r="B935" s="4" t="s">
        <v>901</v>
      </c>
      <c r="C935" s="4" t="s">
        <v>1672</v>
      </c>
      <c r="D935" s="4" t="s">
        <v>1673</v>
      </c>
      <c r="E935" s="4" t="s">
        <v>5804</v>
      </c>
      <c r="F935" t="s">
        <v>1730</v>
      </c>
      <c r="G935" t="s">
        <v>1730</v>
      </c>
      <c r="H935" t="s">
        <v>53</v>
      </c>
      <c r="I935" t="s">
        <v>53</v>
      </c>
      <c r="J935" s="5" t="s">
        <v>53</v>
      </c>
      <c r="K935" t="s">
        <v>204</v>
      </c>
      <c r="L935" s="6">
        <v>43831</v>
      </c>
      <c r="M935">
        <v>1</v>
      </c>
      <c r="N935" s="7" t="s">
        <v>30</v>
      </c>
      <c r="O935" t="s">
        <v>223</v>
      </c>
      <c r="P935" t="s">
        <v>1881</v>
      </c>
      <c r="Q935" t="s">
        <v>1882</v>
      </c>
      <c r="R935" t="s">
        <v>1166</v>
      </c>
    </row>
    <row r="936" spans="1:18" hidden="1">
      <c r="A936">
        <v>2</v>
      </c>
      <c r="B936" s="4" t="s">
        <v>1952</v>
      </c>
      <c r="C936" s="4" t="s">
        <v>1953</v>
      </c>
      <c r="D936" s="4" t="s">
        <v>2072</v>
      </c>
      <c r="E936" s="4" t="s">
        <v>5804</v>
      </c>
      <c r="F936" t="s">
        <v>1730</v>
      </c>
      <c r="G936" t="s">
        <v>1730</v>
      </c>
      <c r="H936" t="s">
        <v>53</v>
      </c>
      <c r="I936" t="s">
        <v>53</v>
      </c>
      <c r="J936" s="5" t="s">
        <v>53</v>
      </c>
      <c r="K936" t="s">
        <v>60</v>
      </c>
      <c r="L936" s="6">
        <v>42370</v>
      </c>
      <c r="M936">
        <v>1</v>
      </c>
      <c r="N936" s="7" t="s">
        <v>30</v>
      </c>
      <c r="O936" t="s">
        <v>31</v>
      </c>
      <c r="P936" t="s">
        <v>2080</v>
      </c>
      <c r="Q936" t="s">
        <v>2081</v>
      </c>
      <c r="R936" t="s">
        <v>2082</v>
      </c>
    </row>
    <row r="937" spans="1:18" hidden="1">
      <c r="A937">
        <v>2</v>
      </c>
      <c r="B937" s="4" t="s">
        <v>1952</v>
      </c>
      <c r="C937" s="4" t="s">
        <v>1953</v>
      </c>
      <c r="D937" s="4" t="s">
        <v>2224</v>
      </c>
      <c r="E937" s="4" t="s">
        <v>5804</v>
      </c>
      <c r="F937" t="s">
        <v>1730</v>
      </c>
      <c r="G937" t="s">
        <v>1730</v>
      </c>
      <c r="H937" t="s">
        <v>53</v>
      </c>
      <c r="I937" t="s">
        <v>53</v>
      </c>
      <c r="J937" s="5" t="s">
        <v>53</v>
      </c>
      <c r="K937" t="s">
        <v>218</v>
      </c>
      <c r="L937" s="6">
        <v>42614</v>
      </c>
      <c r="M937">
        <v>9</v>
      </c>
      <c r="N937" s="7" t="s">
        <v>23</v>
      </c>
      <c r="O937" t="s">
        <v>36</v>
      </c>
      <c r="P937" t="s">
        <v>2246</v>
      </c>
      <c r="Q937" t="s">
        <v>2247</v>
      </c>
      <c r="R937" t="s">
        <v>2248</v>
      </c>
    </row>
    <row r="938" spans="1:18" hidden="1">
      <c r="A938">
        <v>2</v>
      </c>
      <c r="B938" s="4" t="s">
        <v>1952</v>
      </c>
      <c r="C938" s="4" t="s">
        <v>1953</v>
      </c>
      <c r="D938" s="4" t="s">
        <v>2224</v>
      </c>
      <c r="E938" s="4" t="s">
        <v>5804</v>
      </c>
      <c r="F938" t="s">
        <v>1730</v>
      </c>
      <c r="G938" t="s">
        <v>1730</v>
      </c>
      <c r="H938" t="s">
        <v>53</v>
      </c>
      <c r="I938" t="s">
        <v>53</v>
      </c>
      <c r="J938" s="5" t="s">
        <v>53</v>
      </c>
      <c r="K938" t="s">
        <v>76</v>
      </c>
      <c r="L938" s="6">
        <v>42856</v>
      </c>
      <c r="M938">
        <v>5</v>
      </c>
      <c r="N938" s="7" t="s">
        <v>23</v>
      </c>
      <c r="O938" t="s">
        <v>31</v>
      </c>
      <c r="P938" t="s">
        <v>2269</v>
      </c>
      <c r="Q938" t="s">
        <v>2270</v>
      </c>
      <c r="R938" t="s">
        <v>2242</v>
      </c>
    </row>
    <row r="939" spans="1:18" hidden="1">
      <c r="A939">
        <v>2</v>
      </c>
      <c r="B939" s="4" t="s">
        <v>1952</v>
      </c>
      <c r="C939" s="4" t="s">
        <v>1953</v>
      </c>
      <c r="D939" s="4" t="s">
        <v>2224</v>
      </c>
      <c r="E939" s="4" t="s">
        <v>5804</v>
      </c>
      <c r="F939" t="s">
        <v>1730</v>
      </c>
      <c r="G939" t="s">
        <v>1730</v>
      </c>
      <c r="H939" t="s">
        <v>53</v>
      </c>
      <c r="I939" t="s">
        <v>53</v>
      </c>
      <c r="J939" s="5" t="s">
        <v>53</v>
      </c>
      <c r="K939" t="s">
        <v>164</v>
      </c>
      <c r="L939" s="6">
        <v>43617</v>
      </c>
      <c r="M939">
        <v>6</v>
      </c>
      <c r="N939" s="7" t="s">
        <v>55</v>
      </c>
      <c r="O939" t="s">
        <v>31</v>
      </c>
      <c r="P939" t="s">
        <v>2303</v>
      </c>
      <c r="Q939" t="s">
        <v>2304</v>
      </c>
      <c r="R939" t="s">
        <v>2305</v>
      </c>
    </row>
    <row r="940" spans="1:18" hidden="1">
      <c r="A940">
        <v>2</v>
      </c>
      <c r="B940" s="4" t="s">
        <v>1952</v>
      </c>
      <c r="C940" s="4" t="s">
        <v>2425</v>
      </c>
      <c r="D940" s="4" t="s">
        <v>2446</v>
      </c>
      <c r="E940" s="4" t="s">
        <v>5804</v>
      </c>
      <c r="F940" t="s">
        <v>1730</v>
      </c>
      <c r="G940" t="s">
        <v>1730</v>
      </c>
      <c r="H940" t="s">
        <v>53</v>
      </c>
      <c r="I940" t="s">
        <v>53</v>
      </c>
      <c r="J940" s="5" t="s">
        <v>53</v>
      </c>
      <c r="K940" t="s">
        <v>319</v>
      </c>
      <c r="L940" s="6">
        <v>42583</v>
      </c>
      <c r="M940">
        <v>8</v>
      </c>
      <c r="N940" s="7" t="s">
        <v>55</v>
      </c>
      <c r="O940" t="s">
        <v>31</v>
      </c>
      <c r="P940" t="s">
        <v>2453</v>
      </c>
      <c r="Q940" t="s">
        <v>2454</v>
      </c>
      <c r="R940" t="s">
        <v>2455</v>
      </c>
    </row>
    <row r="941" spans="1:18" hidden="1">
      <c r="A941">
        <v>2</v>
      </c>
      <c r="B941" s="4" t="s">
        <v>1952</v>
      </c>
      <c r="C941" s="4" t="s">
        <v>2566</v>
      </c>
      <c r="D941" s="4" t="s">
        <v>2735</v>
      </c>
      <c r="E941" s="4" t="s">
        <v>5804</v>
      </c>
      <c r="F941" t="s">
        <v>1730</v>
      </c>
      <c r="G941" t="s">
        <v>1730</v>
      </c>
      <c r="H941" t="s">
        <v>53</v>
      </c>
      <c r="I941" t="s">
        <v>53</v>
      </c>
      <c r="J941" s="5" t="s">
        <v>53</v>
      </c>
      <c r="K941" t="s">
        <v>85</v>
      </c>
      <c r="L941" s="6">
        <v>43009</v>
      </c>
      <c r="M941">
        <v>10</v>
      </c>
      <c r="N941" s="7" t="s">
        <v>23</v>
      </c>
      <c r="O941" t="s">
        <v>31</v>
      </c>
      <c r="P941" t="s">
        <v>2738</v>
      </c>
      <c r="Q941" t="s">
        <v>2739</v>
      </c>
      <c r="R941" t="s">
        <v>2740</v>
      </c>
    </row>
    <row r="942" spans="1:18">
      <c r="A942">
        <v>3</v>
      </c>
      <c r="B942" s="4" t="s">
        <v>2764</v>
      </c>
      <c r="C942" s="4" t="s">
        <v>2765</v>
      </c>
      <c r="D942" s="4" t="s">
        <v>2816</v>
      </c>
      <c r="E942" s="4" t="s">
        <v>5804</v>
      </c>
      <c r="F942" t="s">
        <v>1730</v>
      </c>
      <c r="G942" t="s">
        <v>1730</v>
      </c>
      <c r="H942" t="s">
        <v>53</v>
      </c>
      <c r="I942" t="s">
        <v>53</v>
      </c>
      <c r="J942" s="5" t="s">
        <v>53</v>
      </c>
      <c r="K942" t="s">
        <v>477</v>
      </c>
      <c r="L942" s="6">
        <v>42705</v>
      </c>
      <c r="M942">
        <v>12</v>
      </c>
      <c r="N942" s="7" t="s">
        <v>30</v>
      </c>
      <c r="O942" t="s">
        <v>31</v>
      </c>
      <c r="P942" t="s">
        <v>2852</v>
      </c>
      <c r="Q942" t="s">
        <v>2853</v>
      </c>
      <c r="R942" t="s">
        <v>2854</v>
      </c>
    </row>
    <row r="943" spans="1:18">
      <c r="A943">
        <v>3</v>
      </c>
      <c r="B943" s="4" t="s">
        <v>2764</v>
      </c>
      <c r="C943" s="4" t="s">
        <v>2765</v>
      </c>
      <c r="D943" s="4" t="s">
        <v>2816</v>
      </c>
      <c r="E943" s="4" t="s">
        <v>5804</v>
      </c>
      <c r="F943" t="s">
        <v>1730</v>
      </c>
      <c r="G943" t="s">
        <v>1730</v>
      </c>
      <c r="H943" t="s">
        <v>53</v>
      </c>
      <c r="I943" t="s">
        <v>53</v>
      </c>
      <c r="J943" s="5" t="s">
        <v>53</v>
      </c>
      <c r="K943" t="s">
        <v>85</v>
      </c>
      <c r="L943" s="6">
        <v>43009</v>
      </c>
      <c r="M943">
        <v>10</v>
      </c>
      <c r="N943" s="7" t="s">
        <v>23</v>
      </c>
      <c r="O943" t="s">
        <v>31</v>
      </c>
      <c r="P943" t="s">
        <v>2900</v>
      </c>
      <c r="Q943" t="s">
        <v>2853</v>
      </c>
      <c r="R943" t="s">
        <v>2854</v>
      </c>
    </row>
    <row r="944" spans="1:18">
      <c r="A944">
        <v>3</v>
      </c>
      <c r="B944" s="4" t="s">
        <v>2764</v>
      </c>
      <c r="C944" s="4" t="s">
        <v>2765</v>
      </c>
      <c r="D944" s="4" t="s">
        <v>2816</v>
      </c>
      <c r="E944" s="4" t="s">
        <v>5804</v>
      </c>
      <c r="F944" t="s">
        <v>1730</v>
      </c>
      <c r="G944" t="s">
        <v>1730</v>
      </c>
      <c r="H944" t="s">
        <v>53</v>
      </c>
      <c r="I944" t="s">
        <v>53</v>
      </c>
      <c r="J944" s="5" t="s">
        <v>53</v>
      </c>
      <c r="K944" t="s">
        <v>102</v>
      </c>
      <c r="L944" s="6">
        <v>44287</v>
      </c>
      <c r="M944">
        <v>4</v>
      </c>
      <c r="N944" s="7" t="s">
        <v>23</v>
      </c>
      <c r="O944" t="s">
        <v>31</v>
      </c>
      <c r="P944" t="s">
        <v>3060</v>
      </c>
      <c r="Q944" t="s">
        <v>3061</v>
      </c>
      <c r="R944" t="s">
        <v>3062</v>
      </c>
    </row>
    <row r="945" spans="1:18" hidden="1">
      <c r="A945">
        <v>4</v>
      </c>
      <c r="B945" s="4" t="s">
        <v>3127</v>
      </c>
      <c r="C945" s="4" t="s">
        <v>3128</v>
      </c>
      <c r="D945" s="4" t="s">
        <v>3129</v>
      </c>
      <c r="E945" s="4" t="s">
        <v>5804</v>
      </c>
      <c r="F945" t="s">
        <v>1730</v>
      </c>
      <c r="G945" t="s">
        <v>1730</v>
      </c>
      <c r="H945" t="s">
        <v>53</v>
      </c>
      <c r="I945" t="s">
        <v>53</v>
      </c>
      <c r="J945" s="5" t="s">
        <v>53</v>
      </c>
      <c r="K945" t="s">
        <v>119</v>
      </c>
      <c r="L945" s="6">
        <v>42552</v>
      </c>
      <c r="M945">
        <v>7</v>
      </c>
      <c r="N945" s="7" t="s">
        <v>55</v>
      </c>
      <c r="O945" t="s">
        <v>31</v>
      </c>
      <c r="P945" t="s">
        <v>3130</v>
      </c>
      <c r="Q945" t="s">
        <v>3131</v>
      </c>
      <c r="R945" t="s">
        <v>3132</v>
      </c>
    </row>
    <row r="946" spans="1:18" hidden="1">
      <c r="A946">
        <v>4</v>
      </c>
      <c r="B946" s="4" t="s">
        <v>3127</v>
      </c>
      <c r="C946" s="4" t="s">
        <v>3128</v>
      </c>
      <c r="D946" s="4" t="s">
        <v>3129</v>
      </c>
      <c r="E946" s="4" t="s">
        <v>5804</v>
      </c>
      <c r="F946" t="s">
        <v>1730</v>
      </c>
      <c r="G946" t="s">
        <v>1730</v>
      </c>
      <c r="H946" t="s">
        <v>53</v>
      </c>
      <c r="I946" t="s">
        <v>53</v>
      </c>
      <c r="J946" s="5" t="s">
        <v>53</v>
      </c>
      <c r="K946" t="s">
        <v>304</v>
      </c>
      <c r="L946" s="6">
        <v>43647</v>
      </c>
      <c r="M946">
        <v>7</v>
      </c>
      <c r="N946" s="7" t="s">
        <v>55</v>
      </c>
      <c r="O946" t="s">
        <v>31</v>
      </c>
      <c r="P946" t="s">
        <v>3171</v>
      </c>
      <c r="Q946" t="s">
        <v>3172</v>
      </c>
      <c r="R946" t="s">
        <v>3173</v>
      </c>
    </row>
    <row r="947" spans="1:18" hidden="1">
      <c r="A947">
        <v>4</v>
      </c>
      <c r="B947" s="4" t="s">
        <v>3127</v>
      </c>
      <c r="C947" s="4" t="s">
        <v>3128</v>
      </c>
      <c r="D947" s="4" t="s">
        <v>3190</v>
      </c>
      <c r="E947" s="4" t="s">
        <v>5804</v>
      </c>
      <c r="F947" t="s">
        <v>1730</v>
      </c>
      <c r="G947" t="s">
        <v>1730</v>
      </c>
      <c r="H947" t="s">
        <v>53</v>
      </c>
      <c r="I947" t="s">
        <v>53</v>
      </c>
      <c r="J947" s="5" t="s">
        <v>53</v>
      </c>
      <c r="K947" t="s">
        <v>395</v>
      </c>
      <c r="L947" s="6">
        <v>43497</v>
      </c>
      <c r="M947">
        <v>2</v>
      </c>
      <c r="N947" s="7" t="s">
        <v>30</v>
      </c>
      <c r="O947" t="s">
        <v>31</v>
      </c>
      <c r="P947" t="s">
        <v>3224</v>
      </c>
      <c r="Q947" t="s">
        <v>3225</v>
      </c>
      <c r="R947" t="s">
        <v>3132</v>
      </c>
    </row>
    <row r="948" spans="1:18" hidden="1">
      <c r="A948">
        <v>4</v>
      </c>
      <c r="B948" s="4" t="s">
        <v>3127</v>
      </c>
      <c r="C948" s="4" t="s">
        <v>3128</v>
      </c>
      <c r="D948" s="4" t="s">
        <v>3247</v>
      </c>
      <c r="E948" s="4" t="s">
        <v>5804</v>
      </c>
      <c r="F948" t="s">
        <v>1730</v>
      </c>
      <c r="G948" t="s">
        <v>1730</v>
      </c>
      <c r="H948" t="s">
        <v>53</v>
      </c>
      <c r="I948" t="s">
        <v>53</v>
      </c>
      <c r="J948" s="5" t="s">
        <v>53</v>
      </c>
      <c r="K948" t="s">
        <v>65</v>
      </c>
      <c r="L948" s="6">
        <v>42430</v>
      </c>
      <c r="M948">
        <v>3</v>
      </c>
      <c r="N948" s="7" t="s">
        <v>23</v>
      </c>
      <c r="O948" t="s">
        <v>512</v>
      </c>
      <c r="P948" t="s">
        <v>3250</v>
      </c>
      <c r="Q948" t="s">
        <v>3251</v>
      </c>
      <c r="R948" t="s">
        <v>3252</v>
      </c>
    </row>
    <row r="949" spans="1:18" hidden="1">
      <c r="A949">
        <v>4</v>
      </c>
      <c r="B949" s="4" t="s">
        <v>3127</v>
      </c>
      <c r="C949" s="4" t="s">
        <v>3128</v>
      </c>
      <c r="D949" s="4" t="s">
        <v>3247</v>
      </c>
      <c r="E949" s="4" t="s">
        <v>5804</v>
      </c>
      <c r="F949" t="s">
        <v>1730</v>
      </c>
      <c r="G949" t="s">
        <v>1730</v>
      </c>
      <c r="H949" t="s">
        <v>53</v>
      </c>
      <c r="I949" t="s">
        <v>53</v>
      </c>
      <c r="J949" s="5" t="s">
        <v>53</v>
      </c>
      <c r="K949" t="s">
        <v>76</v>
      </c>
      <c r="L949" s="6">
        <v>42856</v>
      </c>
      <c r="M949">
        <v>5</v>
      </c>
      <c r="N949" s="7" t="s">
        <v>23</v>
      </c>
      <c r="O949" t="s">
        <v>31</v>
      </c>
      <c r="P949" t="s">
        <v>3305</v>
      </c>
      <c r="Q949" t="s">
        <v>3306</v>
      </c>
      <c r="R949" t="s">
        <v>3132</v>
      </c>
    </row>
    <row r="950" spans="1:18" hidden="1">
      <c r="A950">
        <v>4</v>
      </c>
      <c r="B950" s="4" t="s">
        <v>3127</v>
      </c>
      <c r="C950" s="4" t="s">
        <v>3128</v>
      </c>
      <c r="D950" s="4" t="s">
        <v>3247</v>
      </c>
      <c r="E950" s="4" t="s">
        <v>5804</v>
      </c>
      <c r="F950" t="s">
        <v>1730</v>
      </c>
      <c r="G950" t="s">
        <v>1730</v>
      </c>
      <c r="H950" t="s">
        <v>53</v>
      </c>
      <c r="I950" t="s">
        <v>53</v>
      </c>
      <c r="J950" s="5" t="s">
        <v>53</v>
      </c>
      <c r="K950" t="s">
        <v>175</v>
      </c>
      <c r="L950" s="6">
        <v>44166</v>
      </c>
      <c r="M950">
        <v>12</v>
      </c>
      <c r="N950" s="7" t="s">
        <v>30</v>
      </c>
      <c r="O950" t="s">
        <v>31</v>
      </c>
      <c r="P950" t="s">
        <v>3363</v>
      </c>
      <c r="Q950" t="s">
        <v>3306</v>
      </c>
      <c r="R950" t="s">
        <v>3132</v>
      </c>
    </row>
    <row r="951" spans="1:18" hidden="1">
      <c r="A951">
        <v>4</v>
      </c>
      <c r="B951" s="4" t="s">
        <v>3127</v>
      </c>
      <c r="C951" s="4" t="s">
        <v>3374</v>
      </c>
      <c r="D951" s="4" t="s">
        <v>3375</v>
      </c>
      <c r="E951" s="4" t="s">
        <v>5804</v>
      </c>
      <c r="F951" t="s">
        <v>1730</v>
      </c>
      <c r="G951" t="s">
        <v>1730</v>
      </c>
      <c r="H951" t="s">
        <v>53</v>
      </c>
      <c r="I951" t="s">
        <v>53</v>
      </c>
      <c r="J951" s="5" t="s">
        <v>53</v>
      </c>
      <c r="K951" t="s">
        <v>3417</v>
      </c>
      <c r="L951" s="6">
        <v>42979</v>
      </c>
      <c r="M951">
        <v>9</v>
      </c>
      <c r="N951" s="7" t="s">
        <v>23</v>
      </c>
      <c r="O951" t="s">
        <v>223</v>
      </c>
      <c r="P951" t="s">
        <v>3418</v>
      </c>
      <c r="Q951" t="s">
        <v>3419</v>
      </c>
      <c r="R951" t="s">
        <v>3420</v>
      </c>
    </row>
    <row r="952" spans="1:18" hidden="1">
      <c r="A952">
        <v>4</v>
      </c>
      <c r="B952" s="4" t="s">
        <v>3127</v>
      </c>
      <c r="C952" s="4" t="s">
        <v>3506</v>
      </c>
      <c r="D952" s="4" t="s">
        <v>3507</v>
      </c>
      <c r="E952" s="4" t="s">
        <v>5804</v>
      </c>
      <c r="F952" t="s">
        <v>1730</v>
      </c>
      <c r="G952" t="s">
        <v>1730</v>
      </c>
      <c r="H952" t="s">
        <v>53</v>
      </c>
      <c r="I952" t="s">
        <v>53</v>
      </c>
      <c r="J952" s="5" t="s">
        <v>53</v>
      </c>
      <c r="K952" t="s">
        <v>60</v>
      </c>
      <c r="L952" s="6">
        <v>42370</v>
      </c>
      <c r="M952">
        <v>1</v>
      </c>
      <c r="N952" s="7" t="s">
        <v>30</v>
      </c>
      <c r="O952" t="s">
        <v>31</v>
      </c>
      <c r="P952" t="s">
        <v>3510</v>
      </c>
      <c r="Q952" t="s">
        <v>3511</v>
      </c>
      <c r="R952" t="s">
        <v>3132</v>
      </c>
    </row>
    <row r="953" spans="1:18" hidden="1">
      <c r="A953">
        <v>4</v>
      </c>
      <c r="B953" s="4" t="s">
        <v>3127</v>
      </c>
      <c r="C953" s="4" t="s">
        <v>3506</v>
      </c>
      <c r="D953" s="4" t="s">
        <v>3507</v>
      </c>
      <c r="E953" s="4" t="s">
        <v>5804</v>
      </c>
      <c r="F953" t="s">
        <v>1730</v>
      </c>
      <c r="G953" t="s">
        <v>1730</v>
      </c>
      <c r="H953" t="s">
        <v>53</v>
      </c>
      <c r="I953" t="s">
        <v>53</v>
      </c>
      <c r="J953" s="5" t="s">
        <v>53</v>
      </c>
      <c r="K953" t="s">
        <v>71</v>
      </c>
      <c r="L953" s="6">
        <v>42522</v>
      </c>
      <c r="M953">
        <v>6</v>
      </c>
      <c r="N953" s="7" t="s">
        <v>55</v>
      </c>
      <c r="O953" t="s">
        <v>31</v>
      </c>
      <c r="P953" t="s">
        <v>3521</v>
      </c>
      <c r="Q953" t="s">
        <v>3511</v>
      </c>
      <c r="R953" t="s">
        <v>3132</v>
      </c>
    </row>
    <row r="954" spans="1:18" hidden="1">
      <c r="A954">
        <v>4</v>
      </c>
      <c r="B954" s="4" t="s">
        <v>3127</v>
      </c>
      <c r="C954" s="4" t="s">
        <v>3506</v>
      </c>
      <c r="D954" s="4" t="s">
        <v>3507</v>
      </c>
      <c r="E954" s="4" t="s">
        <v>5804</v>
      </c>
      <c r="F954" t="s">
        <v>1730</v>
      </c>
      <c r="G954" t="s">
        <v>1730</v>
      </c>
      <c r="H954" t="s">
        <v>53</v>
      </c>
      <c r="I954" t="s">
        <v>53</v>
      </c>
      <c r="J954" s="5" t="s">
        <v>53</v>
      </c>
      <c r="K954" t="s">
        <v>152</v>
      </c>
      <c r="L954" s="6">
        <v>43374</v>
      </c>
      <c r="M954">
        <v>10</v>
      </c>
      <c r="N954" s="7" t="s">
        <v>23</v>
      </c>
      <c r="O954" t="s">
        <v>31</v>
      </c>
      <c r="P954" t="s">
        <v>3530</v>
      </c>
      <c r="Q954" t="s">
        <v>3511</v>
      </c>
      <c r="R954" t="s">
        <v>3132</v>
      </c>
    </row>
    <row r="955" spans="1:18" hidden="1">
      <c r="A955">
        <v>4</v>
      </c>
      <c r="B955" s="4" t="s">
        <v>3127</v>
      </c>
      <c r="C955" s="4" t="s">
        <v>3506</v>
      </c>
      <c r="D955" s="4" t="s">
        <v>3537</v>
      </c>
      <c r="E955" s="4" t="s">
        <v>5804</v>
      </c>
      <c r="F955" t="s">
        <v>1730</v>
      </c>
      <c r="G955" t="s">
        <v>1730</v>
      </c>
      <c r="H955" t="s">
        <v>53</v>
      </c>
      <c r="I955" t="s">
        <v>53</v>
      </c>
      <c r="J955" s="5" t="s">
        <v>53</v>
      </c>
      <c r="K955" t="s">
        <v>164</v>
      </c>
      <c r="L955" s="6">
        <v>43617</v>
      </c>
      <c r="M955">
        <v>6</v>
      </c>
      <c r="N955" s="7" t="s">
        <v>55</v>
      </c>
      <c r="O955" t="s">
        <v>31</v>
      </c>
      <c r="P955" t="s">
        <v>3557</v>
      </c>
      <c r="Q955" t="s">
        <v>3558</v>
      </c>
      <c r="R955" t="s">
        <v>3132</v>
      </c>
    </row>
    <row r="956" spans="1:18" hidden="1">
      <c r="A956">
        <v>4</v>
      </c>
      <c r="B956" s="4" t="s">
        <v>3127</v>
      </c>
      <c r="C956" s="4" t="s">
        <v>3506</v>
      </c>
      <c r="D956" s="4" t="s">
        <v>3537</v>
      </c>
      <c r="E956" s="4" t="s">
        <v>5804</v>
      </c>
      <c r="F956" t="s">
        <v>1730</v>
      </c>
      <c r="G956" t="s">
        <v>1730</v>
      </c>
      <c r="H956" t="s">
        <v>53</v>
      </c>
      <c r="I956" t="s">
        <v>53</v>
      </c>
      <c r="J956" s="5" t="s">
        <v>53</v>
      </c>
      <c r="K956" t="s">
        <v>726</v>
      </c>
      <c r="L956" s="6">
        <v>43709</v>
      </c>
      <c r="M956">
        <v>9</v>
      </c>
      <c r="N956" s="7" t="s">
        <v>23</v>
      </c>
      <c r="O956" t="s">
        <v>31</v>
      </c>
      <c r="P956" t="s">
        <v>3561</v>
      </c>
      <c r="Q956" t="s">
        <v>3558</v>
      </c>
      <c r="R956" t="s">
        <v>3132</v>
      </c>
    </row>
    <row r="957" spans="1:18" hidden="1">
      <c r="A957">
        <v>4</v>
      </c>
      <c r="B957" s="4" t="s">
        <v>3127</v>
      </c>
      <c r="C957" s="4" t="s">
        <v>3506</v>
      </c>
      <c r="D957" s="4" t="s">
        <v>3537</v>
      </c>
      <c r="E957" s="4" t="s">
        <v>5804</v>
      </c>
      <c r="F957" t="s">
        <v>1730</v>
      </c>
      <c r="G957" t="s">
        <v>1730</v>
      </c>
      <c r="H957" t="s">
        <v>53</v>
      </c>
      <c r="I957" t="s">
        <v>53</v>
      </c>
      <c r="J957" s="5" t="s">
        <v>53</v>
      </c>
      <c r="K957" t="s">
        <v>3570</v>
      </c>
      <c r="L957" s="6" t="s">
        <v>673</v>
      </c>
      <c r="M957" t="e">
        <v>#VALUE!</v>
      </c>
      <c r="N957" s="7" t="e">
        <v>#VALUE!</v>
      </c>
      <c r="O957" t="s">
        <v>31</v>
      </c>
      <c r="P957" t="s">
        <v>3571</v>
      </c>
      <c r="Q957" t="s">
        <v>3558</v>
      </c>
      <c r="R957" t="s">
        <v>3132</v>
      </c>
    </row>
    <row r="958" spans="1:18" hidden="1">
      <c r="A958">
        <v>4</v>
      </c>
      <c r="B958" s="4" t="s">
        <v>3127</v>
      </c>
      <c r="C958" s="4" t="s">
        <v>3597</v>
      </c>
      <c r="D958" s="4" t="s">
        <v>3598</v>
      </c>
      <c r="E958" s="4" t="s">
        <v>5804</v>
      </c>
      <c r="F958" t="s">
        <v>1730</v>
      </c>
      <c r="G958" t="s">
        <v>1730</v>
      </c>
      <c r="H958" t="s">
        <v>53</v>
      </c>
      <c r="I958" t="s">
        <v>53</v>
      </c>
      <c r="J958" s="5" t="s">
        <v>53</v>
      </c>
      <c r="K958" t="s">
        <v>839</v>
      </c>
      <c r="L958" s="6">
        <v>43800</v>
      </c>
      <c r="M958">
        <v>12</v>
      </c>
      <c r="N958" s="7" t="s">
        <v>30</v>
      </c>
      <c r="O958" t="s">
        <v>31</v>
      </c>
      <c r="P958" t="s">
        <v>3610</v>
      </c>
      <c r="Q958" t="s">
        <v>3611</v>
      </c>
      <c r="R958" t="s">
        <v>3132</v>
      </c>
    </row>
    <row r="959" spans="1:18" hidden="1">
      <c r="A959">
        <v>4</v>
      </c>
      <c r="B959" s="4" t="s">
        <v>3127</v>
      </c>
      <c r="C959" s="4" t="s">
        <v>3597</v>
      </c>
      <c r="D959" s="4" t="s">
        <v>3617</v>
      </c>
      <c r="E959" s="4" t="s">
        <v>5804</v>
      </c>
      <c r="F959" t="s">
        <v>1730</v>
      </c>
      <c r="G959" t="s">
        <v>1730</v>
      </c>
      <c r="H959" t="s">
        <v>53</v>
      </c>
      <c r="I959" t="s">
        <v>53</v>
      </c>
      <c r="J959" s="5" t="s">
        <v>53</v>
      </c>
      <c r="K959" t="s">
        <v>22</v>
      </c>
      <c r="L959" s="6">
        <v>42979</v>
      </c>
      <c r="M959">
        <v>9</v>
      </c>
      <c r="N959" s="7" t="s">
        <v>23</v>
      </c>
      <c r="O959" t="s">
        <v>31</v>
      </c>
      <c r="P959" t="s">
        <v>3631</v>
      </c>
      <c r="Q959" t="s">
        <v>3632</v>
      </c>
      <c r="R959" t="s">
        <v>3132</v>
      </c>
    </row>
    <row r="960" spans="1:18" hidden="1">
      <c r="A960">
        <v>4</v>
      </c>
      <c r="B960" s="4" t="s">
        <v>3127</v>
      </c>
      <c r="C960" s="4" t="s">
        <v>3789</v>
      </c>
      <c r="D960" s="4" t="s">
        <v>3815</v>
      </c>
      <c r="E960" s="4" t="s">
        <v>5804</v>
      </c>
      <c r="F960" t="s">
        <v>1730</v>
      </c>
      <c r="G960" t="s">
        <v>1730</v>
      </c>
      <c r="H960" t="s">
        <v>53</v>
      </c>
      <c r="I960" t="s">
        <v>53</v>
      </c>
      <c r="J960" s="5" t="s">
        <v>53</v>
      </c>
      <c r="K960" t="s">
        <v>178</v>
      </c>
      <c r="L960" s="6">
        <v>44228</v>
      </c>
      <c r="M960">
        <v>2</v>
      </c>
      <c r="N960" s="7" t="s">
        <v>30</v>
      </c>
      <c r="O960" t="s">
        <v>31</v>
      </c>
      <c r="P960" t="s">
        <v>3919</v>
      </c>
      <c r="Q960" t="s">
        <v>3920</v>
      </c>
      <c r="R960" t="s">
        <v>3132</v>
      </c>
    </row>
    <row r="961" spans="1:18" hidden="1">
      <c r="A961">
        <v>4</v>
      </c>
      <c r="B961" s="4" t="s">
        <v>3127</v>
      </c>
      <c r="C961" s="4" t="s">
        <v>4035</v>
      </c>
      <c r="D961" s="4" t="s">
        <v>4036</v>
      </c>
      <c r="E961" s="4" t="s">
        <v>5804</v>
      </c>
      <c r="F961" t="s">
        <v>1730</v>
      </c>
      <c r="G961" t="s">
        <v>1730</v>
      </c>
      <c r="H961" t="s">
        <v>53</v>
      </c>
      <c r="I961" t="s">
        <v>53</v>
      </c>
      <c r="J961" s="5" t="s">
        <v>53</v>
      </c>
      <c r="K961" t="s">
        <v>1085</v>
      </c>
      <c r="L961" s="6">
        <v>43862</v>
      </c>
      <c r="M961">
        <v>2</v>
      </c>
      <c r="N961" s="7" t="s">
        <v>30</v>
      </c>
      <c r="O961" t="s">
        <v>31</v>
      </c>
      <c r="P961" t="s">
        <v>4066</v>
      </c>
      <c r="Q961" t="s">
        <v>4067</v>
      </c>
      <c r="R961" t="s">
        <v>4068</v>
      </c>
    </row>
    <row r="962" spans="1:18" hidden="1">
      <c r="A962">
        <v>5</v>
      </c>
      <c r="B962" s="4" t="s">
        <v>4600</v>
      </c>
      <c r="C962" s="4" t="s">
        <v>4601</v>
      </c>
      <c r="D962" s="4" t="s">
        <v>4635</v>
      </c>
      <c r="E962" s="4" t="s">
        <v>5804</v>
      </c>
      <c r="F962" t="s">
        <v>1730</v>
      </c>
      <c r="G962" t="s">
        <v>1730</v>
      </c>
      <c r="H962" t="s">
        <v>53</v>
      </c>
      <c r="I962" t="s">
        <v>53</v>
      </c>
      <c r="J962" s="5" t="s">
        <v>53</v>
      </c>
      <c r="K962" t="s">
        <v>539</v>
      </c>
      <c r="L962" s="6">
        <v>43922</v>
      </c>
      <c r="M962">
        <v>4</v>
      </c>
      <c r="N962" s="7" t="s">
        <v>23</v>
      </c>
      <c r="O962" t="s">
        <v>31</v>
      </c>
      <c r="P962" t="s">
        <v>4726</v>
      </c>
      <c r="Q962" t="s">
        <v>4727</v>
      </c>
      <c r="R962" t="s">
        <v>4728</v>
      </c>
    </row>
    <row r="963" spans="1:18" hidden="1">
      <c r="A963">
        <v>5</v>
      </c>
      <c r="B963" s="4" t="s">
        <v>4600</v>
      </c>
      <c r="C963" s="4" t="s">
        <v>4933</v>
      </c>
      <c r="D963" s="4" t="s">
        <v>4934</v>
      </c>
      <c r="E963" s="4" t="s">
        <v>5804</v>
      </c>
      <c r="F963" t="s">
        <v>1730</v>
      </c>
      <c r="G963" t="s">
        <v>1730</v>
      </c>
      <c r="H963" t="s">
        <v>53</v>
      </c>
      <c r="I963" t="s">
        <v>53</v>
      </c>
      <c r="J963" s="5" t="s">
        <v>53</v>
      </c>
      <c r="K963" t="s">
        <v>477</v>
      </c>
      <c r="L963" s="6">
        <v>42705</v>
      </c>
      <c r="M963">
        <v>12</v>
      </c>
      <c r="N963" s="7" t="s">
        <v>30</v>
      </c>
      <c r="O963" t="s">
        <v>31</v>
      </c>
      <c r="P963" t="s">
        <v>4957</v>
      </c>
      <c r="Q963" t="s">
        <v>4958</v>
      </c>
      <c r="R963" t="s">
        <v>4959</v>
      </c>
    </row>
    <row r="964" spans="1:18" hidden="1">
      <c r="A964">
        <v>5</v>
      </c>
      <c r="B964" s="4" t="s">
        <v>4600</v>
      </c>
      <c r="C964" s="4" t="s">
        <v>4933</v>
      </c>
      <c r="D964" s="4" t="s">
        <v>5014</v>
      </c>
      <c r="E964" s="4" t="s">
        <v>5804</v>
      </c>
      <c r="F964" t="s">
        <v>1730</v>
      </c>
      <c r="G964" t="s">
        <v>1730</v>
      </c>
      <c r="H964" t="s">
        <v>53</v>
      </c>
      <c r="I964" t="s">
        <v>53</v>
      </c>
      <c r="J964" s="5" t="s">
        <v>53</v>
      </c>
      <c r="K964" t="s">
        <v>691</v>
      </c>
      <c r="L964" s="6">
        <v>43770</v>
      </c>
      <c r="M964">
        <v>11</v>
      </c>
      <c r="N964" s="7" t="s">
        <v>23</v>
      </c>
      <c r="O964" t="s">
        <v>31</v>
      </c>
      <c r="P964" t="s">
        <v>5307</v>
      </c>
      <c r="Q964" t="s">
        <v>5308</v>
      </c>
      <c r="R964" t="s">
        <v>5309</v>
      </c>
    </row>
    <row r="965" spans="1:18" hidden="1">
      <c r="A965">
        <v>6</v>
      </c>
      <c r="B965" s="4" t="s">
        <v>5462</v>
      </c>
      <c r="C965" s="4" t="s">
        <v>5463</v>
      </c>
      <c r="D965" s="4" t="s">
        <v>5497</v>
      </c>
      <c r="E965" s="4" t="s">
        <v>5804</v>
      </c>
      <c r="F965" t="s">
        <v>1730</v>
      </c>
      <c r="G965" t="s">
        <v>1730</v>
      </c>
      <c r="H965" t="s">
        <v>53</v>
      </c>
      <c r="I965" t="s">
        <v>53</v>
      </c>
      <c r="J965" s="5" t="s">
        <v>53</v>
      </c>
      <c r="K965" t="s">
        <v>654</v>
      </c>
      <c r="L965" s="6">
        <v>43556</v>
      </c>
      <c r="M965">
        <v>4</v>
      </c>
      <c r="N965" s="7" t="s">
        <v>23</v>
      </c>
      <c r="O965" t="s">
        <v>31</v>
      </c>
      <c r="P965" t="s">
        <v>5561</v>
      </c>
      <c r="Q965" t="s">
        <v>5562</v>
      </c>
      <c r="R965" t="s">
        <v>5467</v>
      </c>
    </row>
    <row r="966" spans="1:18" hidden="1">
      <c r="A966">
        <v>1</v>
      </c>
      <c r="B966" s="4" t="s">
        <v>16</v>
      </c>
      <c r="C966" s="4" t="s">
        <v>188</v>
      </c>
      <c r="D966" s="4" t="s">
        <v>207</v>
      </c>
      <c r="E966" s="4" t="s">
        <v>5804</v>
      </c>
      <c r="F966" t="s">
        <v>6070</v>
      </c>
      <c r="G966" t="s">
        <v>266</v>
      </c>
      <c r="H966" t="s">
        <v>21</v>
      </c>
      <c r="I966">
        <v>6</v>
      </c>
      <c r="J966" s="5">
        <v>4.9000000000000002E-2</v>
      </c>
      <c r="K966" t="s">
        <v>267</v>
      </c>
      <c r="L966" s="6">
        <v>44044</v>
      </c>
      <c r="M966">
        <v>8</v>
      </c>
      <c r="N966" s="7" t="s">
        <v>55</v>
      </c>
      <c r="O966" t="s">
        <v>31</v>
      </c>
      <c r="P966" t="s">
        <v>268</v>
      </c>
      <c r="Q966" t="s">
        <v>269</v>
      </c>
      <c r="R966" t="s">
        <v>270</v>
      </c>
    </row>
    <row r="967" spans="1:18" hidden="1">
      <c r="A967">
        <v>1</v>
      </c>
      <c r="B967" s="4" t="s">
        <v>16</v>
      </c>
      <c r="C967" s="4" t="s">
        <v>188</v>
      </c>
      <c r="D967" s="4" t="s">
        <v>313</v>
      </c>
      <c r="E967" s="4" t="s">
        <v>5804</v>
      </c>
      <c r="F967" t="s">
        <v>6070</v>
      </c>
      <c r="G967" t="s">
        <v>266</v>
      </c>
      <c r="H967" t="s">
        <v>21</v>
      </c>
      <c r="I967">
        <v>6</v>
      </c>
      <c r="J967" s="5">
        <v>4.9000000000000002E-2</v>
      </c>
      <c r="K967" t="s">
        <v>119</v>
      </c>
      <c r="L967" s="6">
        <v>42552</v>
      </c>
      <c r="M967">
        <v>7</v>
      </c>
      <c r="N967" s="7" t="s">
        <v>55</v>
      </c>
      <c r="O967" t="s">
        <v>31</v>
      </c>
      <c r="P967" t="s">
        <v>316</v>
      </c>
      <c r="Q967" t="s">
        <v>317</v>
      </c>
      <c r="R967" t="s">
        <v>318</v>
      </c>
    </row>
    <row r="968" spans="1:18" hidden="1">
      <c r="A968">
        <v>12</v>
      </c>
      <c r="B968" s="4" t="s">
        <v>901</v>
      </c>
      <c r="C968" s="4" t="s">
        <v>902</v>
      </c>
      <c r="D968" s="4" t="s">
        <v>903</v>
      </c>
      <c r="E968" s="4" t="s">
        <v>5804</v>
      </c>
      <c r="F968" t="s">
        <v>6070</v>
      </c>
      <c r="G968" t="s">
        <v>266</v>
      </c>
      <c r="H968" t="s">
        <v>21</v>
      </c>
      <c r="I968">
        <v>6</v>
      </c>
      <c r="J968" s="5">
        <v>4.9000000000000002E-2</v>
      </c>
      <c r="K968" t="s">
        <v>681</v>
      </c>
      <c r="L968" s="6">
        <v>42887</v>
      </c>
      <c r="M968">
        <v>6</v>
      </c>
      <c r="N968" s="7" t="s">
        <v>55</v>
      </c>
      <c r="O968" t="s">
        <v>31</v>
      </c>
      <c r="P968" t="s">
        <v>992</v>
      </c>
      <c r="Q968" t="s">
        <v>993</v>
      </c>
      <c r="R968" t="s">
        <v>994</v>
      </c>
    </row>
    <row r="969" spans="1:18" hidden="1">
      <c r="A969">
        <v>12</v>
      </c>
      <c r="B969" s="4" t="s">
        <v>901</v>
      </c>
      <c r="C969" s="4" t="s">
        <v>902</v>
      </c>
      <c r="D969" s="4" t="s">
        <v>903</v>
      </c>
      <c r="E969" s="4" t="s">
        <v>5804</v>
      </c>
      <c r="F969" t="s">
        <v>6070</v>
      </c>
      <c r="G969" t="s">
        <v>266</v>
      </c>
      <c r="H969" t="s">
        <v>21</v>
      </c>
      <c r="I969">
        <v>6</v>
      </c>
      <c r="J969" s="5">
        <v>4.9000000000000002E-2</v>
      </c>
      <c r="K969" t="s">
        <v>168</v>
      </c>
      <c r="L969" s="6">
        <v>43678</v>
      </c>
      <c r="M969">
        <v>8</v>
      </c>
      <c r="N969" s="7" t="s">
        <v>55</v>
      </c>
      <c r="O969" t="s">
        <v>88</v>
      </c>
      <c r="P969" t="s">
        <v>1070</v>
      </c>
      <c r="Q969" t="s">
        <v>1071</v>
      </c>
      <c r="R969" t="s">
        <v>1072</v>
      </c>
    </row>
    <row r="970" spans="1:18" hidden="1">
      <c r="A970">
        <v>12</v>
      </c>
      <c r="B970" s="4" t="s">
        <v>901</v>
      </c>
      <c r="C970" s="4" t="s">
        <v>1414</v>
      </c>
      <c r="D970" s="4" t="s">
        <v>1438</v>
      </c>
      <c r="E970" s="4" t="s">
        <v>5804</v>
      </c>
      <c r="F970" t="s">
        <v>6070</v>
      </c>
      <c r="G970" t="s">
        <v>266</v>
      </c>
      <c r="H970" t="s">
        <v>21</v>
      </c>
      <c r="I970">
        <v>6</v>
      </c>
      <c r="J970" s="5">
        <v>4.9000000000000002E-2</v>
      </c>
      <c r="K970" t="s">
        <v>142</v>
      </c>
      <c r="L970" s="6">
        <v>43101</v>
      </c>
      <c r="M970">
        <v>1</v>
      </c>
      <c r="N970" s="7" t="s">
        <v>30</v>
      </c>
      <c r="O970" t="s">
        <v>31</v>
      </c>
      <c r="P970" t="s">
        <v>1439</v>
      </c>
      <c r="Q970" t="s">
        <v>1440</v>
      </c>
      <c r="R970" t="s">
        <v>1441</v>
      </c>
    </row>
    <row r="971" spans="1:18" hidden="1">
      <c r="A971">
        <v>12</v>
      </c>
      <c r="B971" s="4" t="s">
        <v>901</v>
      </c>
      <c r="C971" s="4" t="s">
        <v>1463</v>
      </c>
      <c r="D971" s="4" t="s">
        <v>1590</v>
      </c>
      <c r="E971" s="4" t="s">
        <v>5804</v>
      </c>
      <c r="F971" t="s">
        <v>6070</v>
      </c>
      <c r="G971" t="s">
        <v>266</v>
      </c>
      <c r="H971" t="s">
        <v>21</v>
      </c>
      <c r="I971">
        <v>6</v>
      </c>
      <c r="J971" s="5">
        <v>4.9000000000000002E-2</v>
      </c>
      <c r="K971" t="s">
        <v>65</v>
      </c>
      <c r="L971" s="6">
        <v>42430</v>
      </c>
      <c r="M971">
        <v>3</v>
      </c>
      <c r="N971" s="7" t="s">
        <v>23</v>
      </c>
      <c r="O971" t="s">
        <v>31</v>
      </c>
      <c r="P971" t="s">
        <v>1591</v>
      </c>
      <c r="Q971" t="s">
        <v>1592</v>
      </c>
      <c r="R971" t="s">
        <v>1593</v>
      </c>
    </row>
    <row r="972" spans="1:18" hidden="1">
      <c r="A972">
        <v>12</v>
      </c>
      <c r="B972" s="4" t="s">
        <v>901</v>
      </c>
      <c r="C972" s="4" t="s">
        <v>1463</v>
      </c>
      <c r="D972" s="4" t="s">
        <v>1590</v>
      </c>
      <c r="E972" s="4" t="s">
        <v>5804</v>
      </c>
      <c r="F972" t="s">
        <v>6070</v>
      </c>
      <c r="G972" t="s">
        <v>266</v>
      </c>
      <c r="H972" t="s">
        <v>21</v>
      </c>
      <c r="I972">
        <v>6</v>
      </c>
      <c r="J972" s="5">
        <v>4.9000000000000002E-2</v>
      </c>
      <c r="K972" t="s">
        <v>245</v>
      </c>
      <c r="L972" s="6">
        <v>43466</v>
      </c>
      <c r="M972">
        <v>1</v>
      </c>
      <c r="N972" s="7" t="s">
        <v>30</v>
      </c>
      <c r="O972" t="s">
        <v>31</v>
      </c>
      <c r="P972" t="s">
        <v>1594</v>
      </c>
      <c r="Q972" t="s">
        <v>1595</v>
      </c>
      <c r="R972" t="s">
        <v>1596</v>
      </c>
    </row>
    <row r="973" spans="1:18" hidden="1">
      <c r="A973">
        <v>12</v>
      </c>
      <c r="B973" s="4" t="s">
        <v>901</v>
      </c>
      <c r="C973" s="4" t="s">
        <v>1463</v>
      </c>
      <c r="D973" s="4" t="s">
        <v>1590</v>
      </c>
      <c r="E973" s="4" t="s">
        <v>5804</v>
      </c>
      <c r="F973" t="s">
        <v>6070</v>
      </c>
      <c r="G973" t="s">
        <v>266</v>
      </c>
      <c r="H973" t="s">
        <v>21</v>
      </c>
      <c r="I973">
        <v>6</v>
      </c>
      <c r="J973" s="5">
        <v>4.9000000000000002E-2</v>
      </c>
      <c r="K973" t="s">
        <v>357</v>
      </c>
      <c r="L973" s="6">
        <v>43739</v>
      </c>
      <c r="M973">
        <v>10</v>
      </c>
      <c r="N973" s="7" t="s">
        <v>23</v>
      </c>
      <c r="O973" t="s">
        <v>31</v>
      </c>
      <c r="P973" t="s">
        <v>1597</v>
      </c>
      <c r="Q973" t="s">
        <v>1598</v>
      </c>
      <c r="R973" t="s">
        <v>1599</v>
      </c>
    </row>
    <row r="974" spans="1:18" hidden="1">
      <c r="A974">
        <v>12</v>
      </c>
      <c r="B974" s="4" t="s">
        <v>901</v>
      </c>
      <c r="C974" s="4" t="s">
        <v>1672</v>
      </c>
      <c r="D974" s="4" t="s">
        <v>1673</v>
      </c>
      <c r="E974" s="4" t="s">
        <v>5804</v>
      </c>
      <c r="F974" t="s">
        <v>6070</v>
      </c>
      <c r="G974" t="s">
        <v>266</v>
      </c>
      <c r="H974" t="s">
        <v>21</v>
      </c>
      <c r="I974">
        <v>6</v>
      </c>
      <c r="J974" s="5">
        <v>4.9000000000000002E-2</v>
      </c>
      <c r="K974" t="s">
        <v>22</v>
      </c>
      <c r="L974" s="6">
        <v>42979</v>
      </c>
      <c r="M974">
        <v>9</v>
      </c>
      <c r="N974" s="7" t="s">
        <v>23</v>
      </c>
      <c r="O974" t="s">
        <v>31</v>
      </c>
      <c r="P974" t="s">
        <v>1777</v>
      </c>
      <c r="Q974" t="s">
        <v>1778</v>
      </c>
      <c r="R974" t="s">
        <v>1779</v>
      </c>
    </row>
    <row r="975" spans="1:18" hidden="1">
      <c r="A975">
        <v>12</v>
      </c>
      <c r="B975" s="4" t="s">
        <v>901</v>
      </c>
      <c r="C975" s="4" t="s">
        <v>1672</v>
      </c>
      <c r="D975" s="4" t="s">
        <v>1673</v>
      </c>
      <c r="E975" s="4" t="s">
        <v>5804</v>
      </c>
      <c r="F975" t="s">
        <v>6070</v>
      </c>
      <c r="G975" t="s">
        <v>266</v>
      </c>
      <c r="H975" t="s">
        <v>21</v>
      </c>
      <c r="I975">
        <v>6</v>
      </c>
      <c r="J975" s="5">
        <v>4.9000000000000002E-2</v>
      </c>
      <c r="K975" t="s">
        <v>159</v>
      </c>
      <c r="L975" s="6">
        <v>43586</v>
      </c>
      <c r="M975">
        <v>5</v>
      </c>
      <c r="N975" s="7" t="s">
        <v>23</v>
      </c>
      <c r="O975" t="s">
        <v>88</v>
      </c>
      <c r="P975" t="s">
        <v>1858</v>
      </c>
      <c r="Q975" t="s">
        <v>1859</v>
      </c>
      <c r="R975" t="s">
        <v>1860</v>
      </c>
    </row>
    <row r="976" spans="1:18" hidden="1">
      <c r="A976">
        <v>2</v>
      </c>
      <c r="B976" s="4" t="s">
        <v>1952</v>
      </c>
      <c r="C976" s="4" t="s">
        <v>2425</v>
      </c>
      <c r="D976" s="4" t="s">
        <v>2446</v>
      </c>
      <c r="E976" s="4" t="s">
        <v>5804</v>
      </c>
      <c r="F976" t="s">
        <v>6070</v>
      </c>
      <c r="G976" t="s">
        <v>266</v>
      </c>
      <c r="H976" t="s">
        <v>21</v>
      </c>
      <c r="I976">
        <v>6</v>
      </c>
      <c r="J976" s="5">
        <v>4.9000000000000002E-2</v>
      </c>
      <c r="K976" t="s">
        <v>220</v>
      </c>
      <c r="L976" s="6">
        <v>42644</v>
      </c>
      <c r="M976">
        <v>10</v>
      </c>
      <c r="N976" s="7" t="s">
        <v>23</v>
      </c>
      <c r="O976" t="s">
        <v>193</v>
      </c>
      <c r="P976" t="s">
        <v>2462</v>
      </c>
      <c r="Q976" t="s">
        <v>2463</v>
      </c>
      <c r="R976" t="s">
        <v>2464</v>
      </c>
    </row>
    <row r="977" spans="1:18" hidden="1">
      <c r="A977">
        <v>2</v>
      </c>
      <c r="B977" s="4" t="s">
        <v>1952</v>
      </c>
      <c r="C977" s="4" t="s">
        <v>2425</v>
      </c>
      <c r="D977" s="4" t="s">
        <v>2509</v>
      </c>
      <c r="E977" s="4" t="s">
        <v>5804</v>
      </c>
      <c r="F977" t="s">
        <v>6070</v>
      </c>
      <c r="G977" t="s">
        <v>266</v>
      </c>
      <c r="H977" t="s">
        <v>21</v>
      </c>
      <c r="I977">
        <v>6</v>
      </c>
      <c r="J977" s="5">
        <v>4.9000000000000002E-2</v>
      </c>
      <c r="K977" t="s">
        <v>489</v>
      </c>
      <c r="L977" s="6">
        <v>44409</v>
      </c>
      <c r="M977">
        <v>8</v>
      </c>
      <c r="N977" s="7" t="s">
        <v>55</v>
      </c>
      <c r="O977" t="s">
        <v>31</v>
      </c>
      <c r="P977" t="s">
        <v>2563</v>
      </c>
      <c r="Q977" t="s">
        <v>2564</v>
      </c>
      <c r="R977" t="s">
        <v>2565</v>
      </c>
    </row>
    <row r="978" spans="1:18">
      <c r="A978">
        <v>3</v>
      </c>
      <c r="B978" s="4" t="s">
        <v>2764</v>
      </c>
      <c r="C978" s="4" t="s">
        <v>2765</v>
      </c>
      <c r="D978" s="4" t="s">
        <v>2766</v>
      </c>
      <c r="E978" s="4" t="s">
        <v>5804</v>
      </c>
      <c r="F978" t="s">
        <v>6070</v>
      </c>
      <c r="G978" t="s">
        <v>266</v>
      </c>
      <c r="H978" t="s">
        <v>21</v>
      </c>
      <c r="I978">
        <v>6</v>
      </c>
      <c r="J978" s="5">
        <v>4.9000000000000002E-2</v>
      </c>
      <c r="K978" t="s">
        <v>298</v>
      </c>
      <c r="L978" s="6">
        <v>43344</v>
      </c>
      <c r="M978">
        <v>9</v>
      </c>
      <c r="N978" s="7" t="s">
        <v>23</v>
      </c>
      <c r="O978" t="s">
        <v>31</v>
      </c>
      <c r="P978" t="s">
        <v>2800</v>
      </c>
      <c r="Q978" t="s">
        <v>2801</v>
      </c>
      <c r="R978" t="s">
        <v>2802</v>
      </c>
    </row>
    <row r="979" spans="1:18">
      <c r="A979">
        <v>3</v>
      </c>
      <c r="B979" s="4" t="s">
        <v>2764</v>
      </c>
      <c r="C979" s="4" t="s">
        <v>2765</v>
      </c>
      <c r="D979" s="4" t="s">
        <v>2816</v>
      </c>
      <c r="E979" s="4" t="s">
        <v>5804</v>
      </c>
      <c r="F979" t="s">
        <v>6070</v>
      </c>
      <c r="G979" t="s">
        <v>266</v>
      </c>
      <c r="H979" t="s">
        <v>21</v>
      </c>
      <c r="I979">
        <v>6</v>
      </c>
      <c r="J979" s="5">
        <v>4.9000000000000002E-2</v>
      </c>
      <c r="K979" t="s">
        <v>760</v>
      </c>
      <c r="L979" s="6">
        <v>42248</v>
      </c>
      <c r="M979">
        <v>9</v>
      </c>
      <c r="N979" s="7" t="s">
        <v>23</v>
      </c>
      <c r="O979" t="s">
        <v>31</v>
      </c>
      <c r="P979" t="s">
        <v>2817</v>
      </c>
      <c r="Q979" t="s">
        <v>2801</v>
      </c>
      <c r="R979" t="s">
        <v>2802</v>
      </c>
    </row>
    <row r="980" spans="1:18">
      <c r="A980">
        <v>3</v>
      </c>
      <c r="B980" s="4" t="s">
        <v>2764</v>
      </c>
      <c r="C980" s="4" t="s">
        <v>2765</v>
      </c>
      <c r="D980" s="4" t="s">
        <v>2816</v>
      </c>
      <c r="E980" s="4" t="s">
        <v>5804</v>
      </c>
      <c r="F980" t="s">
        <v>6070</v>
      </c>
      <c r="G980" t="s">
        <v>266</v>
      </c>
      <c r="H980" t="s">
        <v>21</v>
      </c>
      <c r="I980">
        <v>6</v>
      </c>
      <c r="J980" s="5">
        <v>4.9000000000000002E-2</v>
      </c>
      <c r="K980" t="s">
        <v>422</v>
      </c>
      <c r="L980" s="6">
        <v>42736</v>
      </c>
      <c r="M980">
        <v>1</v>
      </c>
      <c r="N980" s="7" t="s">
        <v>30</v>
      </c>
      <c r="O980" t="s">
        <v>31</v>
      </c>
      <c r="P980" t="s">
        <v>2858</v>
      </c>
      <c r="Q980" t="s">
        <v>2859</v>
      </c>
      <c r="R980" t="s">
        <v>2860</v>
      </c>
    </row>
    <row r="981" spans="1:18">
      <c r="A981">
        <v>3</v>
      </c>
      <c r="B981" s="4" t="s">
        <v>2764</v>
      </c>
      <c r="C981" s="4" t="s">
        <v>2765</v>
      </c>
      <c r="D981" s="4" t="s">
        <v>2816</v>
      </c>
      <c r="E981" s="4" t="s">
        <v>5804</v>
      </c>
      <c r="F981" t="s">
        <v>6070</v>
      </c>
      <c r="G981" t="s">
        <v>266</v>
      </c>
      <c r="H981" t="s">
        <v>21</v>
      </c>
      <c r="I981">
        <v>6</v>
      </c>
      <c r="J981" s="5">
        <v>4.9000000000000002E-2</v>
      </c>
      <c r="K981" t="s">
        <v>76</v>
      </c>
      <c r="L981" s="6">
        <v>42856</v>
      </c>
      <c r="M981">
        <v>5</v>
      </c>
      <c r="N981" s="7" t="s">
        <v>23</v>
      </c>
      <c r="O981" t="s">
        <v>31</v>
      </c>
      <c r="P981" t="s">
        <v>2876</v>
      </c>
      <c r="Q981" t="s">
        <v>2877</v>
      </c>
      <c r="R981" t="s">
        <v>2878</v>
      </c>
    </row>
    <row r="982" spans="1:18">
      <c r="A982">
        <v>3</v>
      </c>
      <c r="B982" s="4" t="s">
        <v>2764</v>
      </c>
      <c r="C982" s="4" t="s">
        <v>2765</v>
      </c>
      <c r="D982" s="4" t="s">
        <v>2816</v>
      </c>
      <c r="E982" s="4" t="s">
        <v>5804</v>
      </c>
      <c r="F982" t="s">
        <v>6070</v>
      </c>
      <c r="G982" t="s">
        <v>266</v>
      </c>
      <c r="H982" t="s">
        <v>21</v>
      </c>
      <c r="I982">
        <v>6</v>
      </c>
      <c r="J982" s="5">
        <v>4.9000000000000002E-2</v>
      </c>
      <c r="K982" t="s">
        <v>83</v>
      </c>
      <c r="L982" s="6">
        <v>42948</v>
      </c>
      <c r="M982">
        <v>8</v>
      </c>
      <c r="N982" s="7" t="s">
        <v>55</v>
      </c>
      <c r="O982" t="s">
        <v>31</v>
      </c>
      <c r="P982" t="s">
        <v>2888</v>
      </c>
      <c r="Q982" t="s">
        <v>2889</v>
      </c>
      <c r="R982" t="s">
        <v>2870</v>
      </c>
    </row>
    <row r="983" spans="1:18">
      <c r="A983">
        <v>3</v>
      </c>
      <c r="B983" s="4" t="s">
        <v>2764</v>
      </c>
      <c r="C983" s="4" t="s">
        <v>2765</v>
      </c>
      <c r="D983" s="4" t="s">
        <v>2816</v>
      </c>
      <c r="E983" s="4" t="s">
        <v>5804</v>
      </c>
      <c r="F983" t="s">
        <v>6070</v>
      </c>
      <c r="G983" t="s">
        <v>266</v>
      </c>
      <c r="H983" t="s">
        <v>21</v>
      </c>
      <c r="I983">
        <v>6</v>
      </c>
      <c r="J983" s="5">
        <v>4.9000000000000002E-2</v>
      </c>
      <c r="K983" t="s">
        <v>22</v>
      </c>
      <c r="L983" s="6">
        <v>42979</v>
      </c>
      <c r="M983">
        <v>9</v>
      </c>
      <c r="N983" s="7" t="s">
        <v>23</v>
      </c>
      <c r="O983" t="s">
        <v>31</v>
      </c>
      <c r="P983" t="s">
        <v>2895</v>
      </c>
      <c r="Q983" t="s">
        <v>2896</v>
      </c>
      <c r="R983" t="s">
        <v>2897</v>
      </c>
    </row>
    <row r="984" spans="1:18">
      <c r="A984">
        <v>3</v>
      </c>
      <c r="B984" s="4" t="s">
        <v>2764</v>
      </c>
      <c r="C984" s="4" t="s">
        <v>2765</v>
      </c>
      <c r="D984" s="4" t="s">
        <v>2816</v>
      </c>
      <c r="E984" s="4" t="s">
        <v>5804</v>
      </c>
      <c r="F984" t="s">
        <v>6070</v>
      </c>
      <c r="G984" t="s">
        <v>266</v>
      </c>
      <c r="H984" t="s">
        <v>21</v>
      </c>
      <c r="I984">
        <v>6</v>
      </c>
      <c r="J984" s="5">
        <v>4.9000000000000002E-2</v>
      </c>
      <c r="K984" t="s">
        <v>245</v>
      </c>
      <c r="L984" s="6">
        <v>43466</v>
      </c>
      <c r="M984">
        <v>1</v>
      </c>
      <c r="N984" s="7" t="s">
        <v>30</v>
      </c>
      <c r="O984" t="s">
        <v>31</v>
      </c>
      <c r="P984" t="s">
        <v>2949</v>
      </c>
      <c r="Q984" t="s">
        <v>2950</v>
      </c>
      <c r="R984" t="s">
        <v>2951</v>
      </c>
    </row>
    <row r="985" spans="1:18">
      <c r="A985">
        <v>3</v>
      </c>
      <c r="B985" s="4" t="s">
        <v>2764</v>
      </c>
      <c r="C985" s="4" t="s">
        <v>2765</v>
      </c>
      <c r="D985" s="4" t="s">
        <v>2816</v>
      </c>
      <c r="E985" s="4" t="s">
        <v>5804</v>
      </c>
      <c r="F985" t="s">
        <v>6070</v>
      </c>
      <c r="G985" t="s">
        <v>266</v>
      </c>
      <c r="H985" t="s">
        <v>21</v>
      </c>
      <c r="I985">
        <v>6</v>
      </c>
      <c r="J985" s="5">
        <v>4.9000000000000002E-2</v>
      </c>
      <c r="K985" t="s">
        <v>2966</v>
      </c>
      <c r="L985" s="6">
        <v>43647</v>
      </c>
      <c r="M985">
        <v>7</v>
      </c>
      <c r="N985" s="7" t="s">
        <v>55</v>
      </c>
      <c r="O985" t="s">
        <v>88</v>
      </c>
      <c r="P985" t="s">
        <v>2967</v>
      </c>
      <c r="Q985" t="s">
        <v>2968</v>
      </c>
      <c r="R985" t="s">
        <v>2969</v>
      </c>
    </row>
    <row r="986" spans="1:18">
      <c r="A986">
        <v>3</v>
      </c>
      <c r="B986" s="4" t="s">
        <v>2764</v>
      </c>
      <c r="C986" s="4" t="s">
        <v>2765</v>
      </c>
      <c r="D986" s="4" t="s">
        <v>2816</v>
      </c>
      <c r="E986" s="4" t="s">
        <v>5804</v>
      </c>
      <c r="F986" t="s">
        <v>6070</v>
      </c>
      <c r="G986" t="s">
        <v>266</v>
      </c>
      <c r="H986" t="s">
        <v>21</v>
      </c>
      <c r="I986">
        <v>6</v>
      </c>
      <c r="J986" s="5">
        <v>4.9000000000000002E-2</v>
      </c>
      <c r="K986" t="s">
        <v>839</v>
      </c>
      <c r="L986" s="6">
        <v>43800</v>
      </c>
      <c r="M986">
        <v>12</v>
      </c>
      <c r="N986" s="7" t="s">
        <v>30</v>
      </c>
      <c r="O986" t="s">
        <v>31</v>
      </c>
      <c r="P986" t="s">
        <v>2992</v>
      </c>
      <c r="Q986" t="s">
        <v>2993</v>
      </c>
      <c r="R986" t="s">
        <v>2994</v>
      </c>
    </row>
    <row r="987" spans="1:18">
      <c r="A987">
        <v>3</v>
      </c>
      <c r="B987" s="4" t="s">
        <v>2764</v>
      </c>
      <c r="C987" s="4" t="s">
        <v>2765</v>
      </c>
      <c r="D987" s="4" t="s">
        <v>2816</v>
      </c>
      <c r="E987" s="4" t="s">
        <v>5804</v>
      </c>
      <c r="F987" t="s">
        <v>6070</v>
      </c>
      <c r="G987" t="s">
        <v>266</v>
      </c>
      <c r="H987" t="s">
        <v>21</v>
      </c>
      <c r="I987">
        <v>6</v>
      </c>
      <c r="J987" s="5">
        <v>4.9000000000000002E-2</v>
      </c>
      <c r="K987" t="s">
        <v>255</v>
      </c>
      <c r="L987" s="6">
        <v>43983</v>
      </c>
      <c r="M987">
        <v>6</v>
      </c>
      <c r="N987" s="7" t="s">
        <v>55</v>
      </c>
      <c r="O987" t="s">
        <v>418</v>
      </c>
      <c r="P987" t="s">
        <v>3010</v>
      </c>
      <c r="Q987" t="s">
        <v>3011</v>
      </c>
      <c r="R987" t="s">
        <v>3012</v>
      </c>
    </row>
    <row r="988" spans="1:18">
      <c r="A988">
        <v>3</v>
      </c>
      <c r="B988" s="4" t="s">
        <v>2764</v>
      </c>
      <c r="C988" s="4" t="s">
        <v>2765</v>
      </c>
      <c r="D988" s="4" t="s">
        <v>2816</v>
      </c>
      <c r="E988" s="4" t="s">
        <v>5804</v>
      </c>
      <c r="F988" t="s">
        <v>6070</v>
      </c>
      <c r="G988" t="s">
        <v>266</v>
      </c>
      <c r="H988" t="s">
        <v>21</v>
      </c>
      <c r="I988">
        <v>6</v>
      </c>
      <c r="J988" s="5">
        <v>4.9000000000000002E-2</v>
      </c>
      <c r="K988" t="s">
        <v>255</v>
      </c>
      <c r="L988" s="6">
        <v>43983</v>
      </c>
      <c r="M988">
        <v>6</v>
      </c>
      <c r="N988" s="7" t="s">
        <v>55</v>
      </c>
      <c r="O988" t="s">
        <v>31</v>
      </c>
      <c r="P988" t="s">
        <v>3013</v>
      </c>
      <c r="Q988" t="s">
        <v>3014</v>
      </c>
      <c r="R988" t="s">
        <v>2860</v>
      </c>
    </row>
    <row r="989" spans="1:18">
      <c r="A989">
        <v>3</v>
      </c>
      <c r="B989" s="4" t="s">
        <v>2764</v>
      </c>
      <c r="C989" s="4" t="s">
        <v>2765</v>
      </c>
      <c r="D989" s="4" t="s">
        <v>2816</v>
      </c>
      <c r="E989" s="4" t="s">
        <v>5804</v>
      </c>
      <c r="F989" t="s">
        <v>6070</v>
      </c>
      <c r="G989" t="s">
        <v>266</v>
      </c>
      <c r="H989" t="s">
        <v>21</v>
      </c>
      <c r="I989">
        <v>6</v>
      </c>
      <c r="J989" s="5">
        <v>4.9000000000000002E-2</v>
      </c>
      <c r="K989" t="s">
        <v>365</v>
      </c>
      <c r="L989" s="6">
        <v>44105</v>
      </c>
      <c r="M989">
        <v>10</v>
      </c>
      <c r="N989" s="7" t="s">
        <v>23</v>
      </c>
      <c r="O989" t="s">
        <v>31</v>
      </c>
      <c r="P989" t="s">
        <v>3043</v>
      </c>
      <c r="Q989" t="s">
        <v>3044</v>
      </c>
      <c r="R989" t="s">
        <v>3045</v>
      </c>
    </row>
    <row r="990" spans="1:18">
      <c r="A990">
        <v>3</v>
      </c>
      <c r="B990" s="4" t="s">
        <v>2764</v>
      </c>
      <c r="C990" s="4" t="s">
        <v>2765</v>
      </c>
      <c r="D990" s="4" t="s">
        <v>2816</v>
      </c>
      <c r="E990" s="4" t="s">
        <v>5804</v>
      </c>
      <c r="F990" t="s">
        <v>6070</v>
      </c>
      <c r="G990" t="s">
        <v>266</v>
      </c>
      <c r="H990" t="s">
        <v>21</v>
      </c>
      <c r="I990">
        <v>6</v>
      </c>
      <c r="J990" s="5">
        <v>4.9000000000000002E-2</v>
      </c>
      <c r="K990" t="s">
        <v>311</v>
      </c>
      <c r="L990" s="6">
        <v>44256</v>
      </c>
      <c r="M990">
        <v>3</v>
      </c>
      <c r="N990" s="7" t="s">
        <v>23</v>
      </c>
      <c r="O990" t="s">
        <v>31</v>
      </c>
      <c r="P990" t="s">
        <v>3053</v>
      </c>
      <c r="Q990" t="s">
        <v>3054</v>
      </c>
      <c r="R990" t="s">
        <v>2802</v>
      </c>
    </row>
    <row r="991" spans="1:18">
      <c r="A991">
        <v>3</v>
      </c>
      <c r="B991" s="4" t="s">
        <v>2764</v>
      </c>
      <c r="C991" s="4" t="s">
        <v>2765</v>
      </c>
      <c r="D991" s="4" t="s">
        <v>2816</v>
      </c>
      <c r="E991" s="4" t="s">
        <v>5804</v>
      </c>
      <c r="F991" t="s">
        <v>6070</v>
      </c>
      <c r="G991" t="s">
        <v>266</v>
      </c>
      <c r="H991" t="s">
        <v>21</v>
      </c>
      <c r="I991">
        <v>6</v>
      </c>
      <c r="J991" s="5">
        <v>4.9000000000000002E-2</v>
      </c>
      <c r="K991" t="s">
        <v>104</v>
      </c>
      <c r="L991" s="6">
        <v>44317</v>
      </c>
      <c r="M991">
        <v>5</v>
      </c>
      <c r="N991" s="7" t="s">
        <v>23</v>
      </c>
      <c r="O991" t="s">
        <v>31</v>
      </c>
      <c r="P991" t="s">
        <v>3064</v>
      </c>
      <c r="Q991" t="s">
        <v>2889</v>
      </c>
      <c r="R991" t="s">
        <v>2870</v>
      </c>
    </row>
    <row r="992" spans="1:18">
      <c r="A992">
        <v>3</v>
      </c>
      <c r="B992" s="4" t="s">
        <v>2764</v>
      </c>
      <c r="C992" s="4" t="s">
        <v>2765</v>
      </c>
      <c r="D992" s="4" t="s">
        <v>2816</v>
      </c>
      <c r="E992" s="4" t="s">
        <v>5804</v>
      </c>
      <c r="F992" t="s">
        <v>6070</v>
      </c>
      <c r="G992" t="s">
        <v>266</v>
      </c>
      <c r="H992" t="s">
        <v>21</v>
      </c>
      <c r="I992">
        <v>6</v>
      </c>
      <c r="J992" s="5">
        <v>4.9000000000000002E-2</v>
      </c>
      <c r="K992" t="s">
        <v>104</v>
      </c>
      <c r="L992" s="6">
        <v>44317</v>
      </c>
      <c r="M992">
        <v>5</v>
      </c>
      <c r="N992" s="7" t="s">
        <v>23</v>
      </c>
      <c r="O992" t="s">
        <v>31</v>
      </c>
      <c r="P992" t="s">
        <v>3065</v>
      </c>
      <c r="Q992" t="s">
        <v>2889</v>
      </c>
      <c r="R992" t="s">
        <v>2870</v>
      </c>
    </row>
    <row r="993" spans="1:18">
      <c r="A993">
        <v>3</v>
      </c>
      <c r="B993" s="4" t="s">
        <v>2764</v>
      </c>
      <c r="C993" s="4" t="s">
        <v>2765</v>
      </c>
      <c r="D993" s="4" t="s">
        <v>2816</v>
      </c>
      <c r="E993" s="4" t="s">
        <v>5804</v>
      </c>
      <c r="F993" t="s">
        <v>6070</v>
      </c>
      <c r="G993" t="s">
        <v>266</v>
      </c>
      <c r="H993" t="s">
        <v>21</v>
      </c>
      <c r="I993">
        <v>6</v>
      </c>
      <c r="J993" s="5">
        <v>4.9000000000000002E-2</v>
      </c>
      <c r="K993" t="s">
        <v>109</v>
      </c>
      <c r="L993" s="6">
        <v>44531</v>
      </c>
      <c r="M993">
        <v>12</v>
      </c>
      <c r="N993" s="7" t="s">
        <v>30</v>
      </c>
      <c r="O993" t="s">
        <v>31</v>
      </c>
      <c r="P993" t="s">
        <v>3087</v>
      </c>
      <c r="Q993" t="s">
        <v>3088</v>
      </c>
      <c r="R993" t="s">
        <v>3089</v>
      </c>
    </row>
    <row r="994" spans="1:18" hidden="1">
      <c r="A994">
        <v>4</v>
      </c>
      <c r="B994" s="4" t="s">
        <v>3127</v>
      </c>
      <c r="C994" s="4" t="s">
        <v>3128</v>
      </c>
      <c r="D994" s="4" t="s">
        <v>3129</v>
      </c>
      <c r="E994" s="4" t="s">
        <v>5804</v>
      </c>
      <c r="F994" t="s">
        <v>6070</v>
      </c>
      <c r="G994" t="s">
        <v>266</v>
      </c>
      <c r="H994" t="s">
        <v>21</v>
      </c>
      <c r="I994">
        <v>6</v>
      </c>
      <c r="J994" s="5">
        <v>4.9000000000000002E-2</v>
      </c>
      <c r="K994" t="s">
        <v>234</v>
      </c>
      <c r="L994" s="6">
        <v>42826</v>
      </c>
      <c r="M994">
        <v>4</v>
      </c>
      <c r="N994" s="7" t="s">
        <v>23</v>
      </c>
      <c r="O994" t="s">
        <v>31</v>
      </c>
      <c r="P994" t="s">
        <v>3149</v>
      </c>
      <c r="Q994" t="s">
        <v>3150</v>
      </c>
      <c r="R994" t="s">
        <v>3151</v>
      </c>
    </row>
    <row r="995" spans="1:18" hidden="1">
      <c r="A995">
        <v>4</v>
      </c>
      <c r="B995" s="4" t="s">
        <v>3127</v>
      </c>
      <c r="C995" s="4" t="s">
        <v>3128</v>
      </c>
      <c r="D995" s="4" t="s">
        <v>3247</v>
      </c>
      <c r="E995" s="4" t="s">
        <v>5804</v>
      </c>
      <c r="F995" t="s">
        <v>6070</v>
      </c>
      <c r="G995" t="s">
        <v>266</v>
      </c>
      <c r="H995" t="s">
        <v>21</v>
      </c>
      <c r="I995">
        <v>6</v>
      </c>
      <c r="J995" s="5">
        <v>4.9000000000000002E-2</v>
      </c>
      <c r="K995" t="s">
        <v>71</v>
      </c>
      <c r="L995" s="6">
        <v>42522</v>
      </c>
      <c r="M995">
        <v>6</v>
      </c>
      <c r="N995" s="7" t="s">
        <v>55</v>
      </c>
      <c r="O995" t="s">
        <v>88</v>
      </c>
      <c r="P995" t="s">
        <v>3268</v>
      </c>
      <c r="Q995" t="s">
        <v>3269</v>
      </c>
      <c r="R995" t="s">
        <v>3270</v>
      </c>
    </row>
    <row r="996" spans="1:18" hidden="1">
      <c r="A996">
        <v>4</v>
      </c>
      <c r="B996" s="4" t="s">
        <v>3127</v>
      </c>
      <c r="C996" s="4" t="s">
        <v>3128</v>
      </c>
      <c r="D996" s="4" t="s">
        <v>3247</v>
      </c>
      <c r="E996" s="4" t="s">
        <v>5804</v>
      </c>
      <c r="F996" t="s">
        <v>6070</v>
      </c>
      <c r="G996" t="s">
        <v>266</v>
      </c>
      <c r="H996" t="s">
        <v>21</v>
      </c>
      <c r="I996">
        <v>6</v>
      </c>
      <c r="J996" s="5">
        <v>4.9000000000000002E-2</v>
      </c>
      <c r="K996" t="s">
        <v>319</v>
      </c>
      <c r="L996" s="6">
        <v>42583</v>
      </c>
      <c r="M996">
        <v>8</v>
      </c>
      <c r="N996" s="7" t="s">
        <v>55</v>
      </c>
      <c r="O996" t="s">
        <v>88</v>
      </c>
      <c r="P996" t="s">
        <v>3274</v>
      </c>
      <c r="Q996" t="s">
        <v>3269</v>
      </c>
      <c r="R996" t="s">
        <v>3270</v>
      </c>
    </row>
    <row r="997" spans="1:18" hidden="1">
      <c r="A997">
        <v>4</v>
      </c>
      <c r="B997" s="4" t="s">
        <v>3127</v>
      </c>
      <c r="C997" s="4" t="s">
        <v>3128</v>
      </c>
      <c r="D997" s="4" t="s">
        <v>3247</v>
      </c>
      <c r="E997" s="4" t="s">
        <v>5804</v>
      </c>
      <c r="F997" t="s">
        <v>6070</v>
      </c>
      <c r="G997" t="s">
        <v>266</v>
      </c>
      <c r="H997" t="s">
        <v>21</v>
      </c>
      <c r="I997">
        <v>6</v>
      </c>
      <c r="J997" s="5">
        <v>4.9000000000000002E-2</v>
      </c>
      <c r="K997" t="s">
        <v>124</v>
      </c>
      <c r="L997" s="6">
        <v>42767</v>
      </c>
      <c r="M997">
        <v>2</v>
      </c>
      <c r="N997" s="7" t="s">
        <v>30</v>
      </c>
      <c r="O997" t="s">
        <v>88</v>
      </c>
      <c r="P997" t="s">
        <v>3296</v>
      </c>
      <c r="Q997" t="s">
        <v>3269</v>
      </c>
      <c r="R997" t="s">
        <v>3270</v>
      </c>
    </row>
    <row r="998" spans="1:18" hidden="1">
      <c r="A998">
        <v>4</v>
      </c>
      <c r="B998" s="4" t="s">
        <v>3127</v>
      </c>
      <c r="C998" s="4" t="s">
        <v>3128</v>
      </c>
      <c r="D998" s="4" t="s">
        <v>3247</v>
      </c>
      <c r="E998" s="4" t="s">
        <v>5804</v>
      </c>
      <c r="F998" t="s">
        <v>6070</v>
      </c>
      <c r="G998" t="s">
        <v>266</v>
      </c>
      <c r="H998" t="s">
        <v>21</v>
      </c>
      <c r="I998">
        <v>6</v>
      </c>
      <c r="J998" s="5">
        <v>4.9000000000000002E-2</v>
      </c>
      <c r="K998" t="s">
        <v>267</v>
      </c>
      <c r="L998" s="6">
        <v>44044</v>
      </c>
      <c r="M998">
        <v>8</v>
      </c>
      <c r="N998" s="7" t="s">
        <v>55</v>
      </c>
      <c r="O998" t="s">
        <v>36</v>
      </c>
      <c r="P998" t="s">
        <v>3359</v>
      </c>
      <c r="Q998" t="s">
        <v>3360</v>
      </c>
      <c r="R998" t="s">
        <v>3361</v>
      </c>
    </row>
    <row r="999" spans="1:18" hidden="1">
      <c r="A999">
        <v>4</v>
      </c>
      <c r="B999" s="4" t="s">
        <v>3127</v>
      </c>
      <c r="C999" s="4" t="s">
        <v>3128</v>
      </c>
      <c r="D999" s="4" t="s">
        <v>3247</v>
      </c>
      <c r="E999" s="4" t="s">
        <v>5804</v>
      </c>
      <c r="F999" t="s">
        <v>6070</v>
      </c>
      <c r="G999" t="s">
        <v>266</v>
      </c>
      <c r="H999" t="s">
        <v>21</v>
      </c>
      <c r="I999">
        <v>6</v>
      </c>
      <c r="J999" s="5">
        <v>4.9000000000000002E-2</v>
      </c>
      <c r="K999" t="s">
        <v>102</v>
      </c>
      <c r="L999" s="6">
        <v>44287</v>
      </c>
      <c r="M999">
        <v>4</v>
      </c>
      <c r="N999" s="7" t="s">
        <v>23</v>
      </c>
      <c r="O999" t="s">
        <v>88</v>
      </c>
      <c r="P999" t="s">
        <v>3367</v>
      </c>
      <c r="Q999" t="s">
        <v>3269</v>
      </c>
      <c r="R999" t="s">
        <v>3270</v>
      </c>
    </row>
    <row r="1000" spans="1:18" hidden="1">
      <c r="A1000">
        <v>4</v>
      </c>
      <c r="B1000" s="4" t="s">
        <v>3127</v>
      </c>
      <c r="C1000" s="4" t="s">
        <v>3374</v>
      </c>
      <c r="D1000" s="4" t="s">
        <v>3375</v>
      </c>
      <c r="E1000" s="4" t="s">
        <v>5804</v>
      </c>
      <c r="F1000" t="s">
        <v>6070</v>
      </c>
      <c r="G1000" t="s">
        <v>266</v>
      </c>
      <c r="H1000" t="s">
        <v>21</v>
      </c>
      <c r="I1000">
        <v>6</v>
      </c>
      <c r="J1000" s="5">
        <v>4.9000000000000002E-2</v>
      </c>
      <c r="K1000" t="s">
        <v>234</v>
      </c>
      <c r="L1000" s="6">
        <v>42826</v>
      </c>
      <c r="M1000">
        <v>4</v>
      </c>
      <c r="N1000" s="7" t="s">
        <v>23</v>
      </c>
      <c r="O1000" t="s">
        <v>31</v>
      </c>
      <c r="P1000" t="s">
        <v>3412</v>
      </c>
      <c r="Q1000" t="s">
        <v>1592</v>
      </c>
      <c r="R1000" t="s">
        <v>1593</v>
      </c>
    </row>
    <row r="1001" spans="1:18" hidden="1">
      <c r="A1001">
        <v>4</v>
      </c>
      <c r="B1001" s="4" t="s">
        <v>3127</v>
      </c>
      <c r="C1001" s="4" t="s">
        <v>3374</v>
      </c>
      <c r="D1001" s="4" t="s">
        <v>3375</v>
      </c>
      <c r="E1001" s="4" t="s">
        <v>5804</v>
      </c>
      <c r="F1001" t="s">
        <v>6070</v>
      </c>
      <c r="G1001" t="s">
        <v>266</v>
      </c>
      <c r="H1001" t="s">
        <v>21</v>
      </c>
      <c r="I1001">
        <v>6</v>
      </c>
      <c r="J1001" s="5">
        <v>4.9000000000000002E-2</v>
      </c>
      <c r="K1001" t="s">
        <v>365</v>
      </c>
      <c r="L1001" s="6">
        <v>44105</v>
      </c>
      <c r="M1001">
        <v>10</v>
      </c>
      <c r="N1001" s="7" t="s">
        <v>23</v>
      </c>
      <c r="O1001" t="s">
        <v>88</v>
      </c>
      <c r="P1001" t="s">
        <v>3495</v>
      </c>
      <c r="Q1001" t="s">
        <v>3496</v>
      </c>
      <c r="R1001" t="s">
        <v>3497</v>
      </c>
    </row>
    <row r="1002" spans="1:18" hidden="1">
      <c r="A1002">
        <v>4</v>
      </c>
      <c r="B1002" s="4" t="s">
        <v>3127</v>
      </c>
      <c r="C1002" s="4" t="s">
        <v>3506</v>
      </c>
      <c r="D1002" s="4" t="s">
        <v>3507</v>
      </c>
      <c r="E1002" s="4" t="s">
        <v>5804</v>
      </c>
      <c r="F1002" t="s">
        <v>6070</v>
      </c>
      <c r="G1002" t="s">
        <v>266</v>
      </c>
      <c r="H1002" t="s">
        <v>21</v>
      </c>
      <c r="I1002">
        <v>6</v>
      </c>
      <c r="J1002" s="5">
        <v>4.9000000000000002E-2</v>
      </c>
      <c r="K1002" t="s">
        <v>477</v>
      </c>
      <c r="L1002" s="6">
        <v>42705</v>
      </c>
      <c r="M1002">
        <v>12</v>
      </c>
      <c r="N1002" s="7" t="s">
        <v>30</v>
      </c>
      <c r="O1002" t="s">
        <v>31</v>
      </c>
      <c r="P1002" t="s">
        <v>3526</v>
      </c>
      <c r="Q1002" t="s">
        <v>3527</v>
      </c>
      <c r="R1002" t="s">
        <v>3528</v>
      </c>
    </row>
    <row r="1003" spans="1:18" hidden="1">
      <c r="A1003">
        <v>4</v>
      </c>
      <c r="B1003" s="4" t="s">
        <v>3127</v>
      </c>
      <c r="C1003" s="4" t="s">
        <v>3597</v>
      </c>
      <c r="D1003" s="4" t="s">
        <v>3617</v>
      </c>
      <c r="E1003" s="4" t="s">
        <v>5804</v>
      </c>
      <c r="F1003" t="s">
        <v>6070</v>
      </c>
      <c r="G1003" t="s">
        <v>266</v>
      </c>
      <c r="H1003" t="s">
        <v>21</v>
      </c>
      <c r="I1003">
        <v>6</v>
      </c>
      <c r="J1003" s="5">
        <v>4.9000000000000002E-2</v>
      </c>
      <c r="K1003" t="s">
        <v>482</v>
      </c>
      <c r="L1003" s="6">
        <v>43435</v>
      </c>
      <c r="M1003">
        <v>12</v>
      </c>
      <c r="N1003" s="7" t="s">
        <v>30</v>
      </c>
      <c r="O1003" t="s">
        <v>31</v>
      </c>
      <c r="P1003" t="s">
        <v>3643</v>
      </c>
      <c r="Q1003" t="s">
        <v>3644</v>
      </c>
      <c r="R1003" t="s">
        <v>3645</v>
      </c>
    </row>
    <row r="1004" spans="1:18" hidden="1">
      <c r="A1004">
        <v>4</v>
      </c>
      <c r="B1004" s="4" t="s">
        <v>3127</v>
      </c>
      <c r="C1004" s="4" t="s">
        <v>3597</v>
      </c>
      <c r="D1004" s="4" t="s">
        <v>3660</v>
      </c>
      <c r="E1004" s="4" t="s">
        <v>5804</v>
      </c>
      <c r="F1004" t="s">
        <v>6070</v>
      </c>
      <c r="G1004" t="s">
        <v>266</v>
      </c>
      <c r="H1004" t="s">
        <v>21</v>
      </c>
      <c r="I1004">
        <v>6</v>
      </c>
      <c r="J1004" s="5">
        <v>4.9000000000000002E-2</v>
      </c>
      <c r="K1004" t="s">
        <v>382</v>
      </c>
      <c r="L1004" s="6">
        <v>42401</v>
      </c>
      <c r="M1004">
        <v>2</v>
      </c>
      <c r="N1004" s="7" t="s">
        <v>30</v>
      </c>
      <c r="O1004" t="s">
        <v>31</v>
      </c>
      <c r="P1004" t="s">
        <v>3666</v>
      </c>
      <c r="Q1004" t="s">
        <v>3644</v>
      </c>
      <c r="R1004" t="s">
        <v>3645</v>
      </c>
    </row>
    <row r="1005" spans="1:18" hidden="1">
      <c r="A1005">
        <v>4</v>
      </c>
      <c r="B1005" s="4" t="s">
        <v>3127</v>
      </c>
      <c r="C1005" s="4" t="s">
        <v>3597</v>
      </c>
      <c r="D1005" s="4" t="s">
        <v>3660</v>
      </c>
      <c r="E1005" s="4" t="s">
        <v>5804</v>
      </c>
      <c r="F1005" t="s">
        <v>6070</v>
      </c>
      <c r="G1005" t="s">
        <v>266</v>
      </c>
      <c r="H1005" t="s">
        <v>21</v>
      </c>
      <c r="I1005">
        <v>6</v>
      </c>
      <c r="J1005" s="5">
        <v>4.9000000000000002E-2</v>
      </c>
      <c r="K1005" t="s">
        <v>319</v>
      </c>
      <c r="L1005" s="6">
        <v>42583</v>
      </c>
      <c r="M1005">
        <v>8</v>
      </c>
      <c r="N1005" s="7" t="s">
        <v>55</v>
      </c>
      <c r="O1005" t="s">
        <v>31</v>
      </c>
      <c r="P1005" t="s">
        <v>3683</v>
      </c>
      <c r="Q1005" t="s">
        <v>3644</v>
      </c>
      <c r="R1005" t="s">
        <v>3645</v>
      </c>
    </row>
    <row r="1006" spans="1:18" hidden="1">
      <c r="A1006">
        <v>4</v>
      </c>
      <c r="B1006" s="4" t="s">
        <v>3127</v>
      </c>
      <c r="C1006" s="4" t="s">
        <v>3597</v>
      </c>
      <c r="D1006" s="4" t="s">
        <v>3660</v>
      </c>
      <c r="E1006" s="4" t="s">
        <v>5804</v>
      </c>
      <c r="F1006" t="s">
        <v>6070</v>
      </c>
      <c r="G1006" t="s">
        <v>266</v>
      </c>
      <c r="H1006" t="s">
        <v>21</v>
      </c>
      <c r="I1006">
        <v>6</v>
      </c>
      <c r="J1006" s="5">
        <v>4.9000000000000002E-2</v>
      </c>
      <c r="K1006" t="s">
        <v>128</v>
      </c>
      <c r="L1006" s="6">
        <v>42795</v>
      </c>
      <c r="M1006">
        <v>3</v>
      </c>
      <c r="N1006" s="7" t="s">
        <v>23</v>
      </c>
      <c r="O1006" t="s">
        <v>31</v>
      </c>
      <c r="P1006" t="s">
        <v>3693</v>
      </c>
      <c r="Q1006" t="s">
        <v>3644</v>
      </c>
      <c r="R1006" t="s">
        <v>3645</v>
      </c>
    </row>
    <row r="1007" spans="1:18" hidden="1">
      <c r="A1007">
        <v>4</v>
      </c>
      <c r="B1007" s="4" t="s">
        <v>3127</v>
      </c>
      <c r="C1007" s="4" t="s">
        <v>3597</v>
      </c>
      <c r="D1007" s="4" t="s">
        <v>3660</v>
      </c>
      <c r="E1007" s="4" t="s">
        <v>5804</v>
      </c>
      <c r="F1007" t="s">
        <v>6070</v>
      </c>
      <c r="G1007" t="s">
        <v>266</v>
      </c>
      <c r="H1007" t="s">
        <v>21</v>
      </c>
      <c r="I1007">
        <v>6</v>
      </c>
      <c r="J1007" s="5">
        <v>4.9000000000000002E-2</v>
      </c>
      <c r="K1007" t="s">
        <v>234</v>
      </c>
      <c r="L1007" s="6">
        <v>42826</v>
      </c>
      <c r="M1007">
        <v>4</v>
      </c>
      <c r="N1007" s="7" t="s">
        <v>23</v>
      </c>
      <c r="O1007" t="s">
        <v>31</v>
      </c>
      <c r="P1007" t="s">
        <v>3694</v>
      </c>
      <c r="Q1007" t="s">
        <v>3695</v>
      </c>
      <c r="R1007" t="s">
        <v>3645</v>
      </c>
    </row>
    <row r="1008" spans="1:18" hidden="1">
      <c r="A1008">
        <v>4</v>
      </c>
      <c r="B1008" s="4" t="s">
        <v>3127</v>
      </c>
      <c r="C1008" s="4" t="s">
        <v>3597</v>
      </c>
      <c r="D1008" s="4" t="s">
        <v>3660</v>
      </c>
      <c r="E1008" s="4" t="s">
        <v>5804</v>
      </c>
      <c r="F1008" t="s">
        <v>6070</v>
      </c>
      <c r="G1008" t="s">
        <v>266</v>
      </c>
      <c r="H1008" t="s">
        <v>21</v>
      </c>
      <c r="I1008">
        <v>6</v>
      </c>
      <c r="J1008" s="5">
        <v>4.9000000000000002E-2</v>
      </c>
      <c r="K1008" t="s">
        <v>146</v>
      </c>
      <c r="L1008" s="6">
        <v>43313</v>
      </c>
      <c r="M1008">
        <v>8</v>
      </c>
      <c r="N1008" s="7" t="s">
        <v>55</v>
      </c>
      <c r="O1008" t="s">
        <v>31</v>
      </c>
      <c r="P1008" t="s">
        <v>3725</v>
      </c>
      <c r="Q1008" t="s">
        <v>1595</v>
      </c>
      <c r="R1008" t="s">
        <v>1596</v>
      </c>
    </row>
    <row r="1009" spans="1:18" hidden="1">
      <c r="A1009">
        <v>4</v>
      </c>
      <c r="B1009" s="4" t="s">
        <v>3127</v>
      </c>
      <c r="C1009" s="4" t="s">
        <v>3597</v>
      </c>
      <c r="D1009" s="4" t="s">
        <v>3660</v>
      </c>
      <c r="E1009" s="4" t="s">
        <v>5804</v>
      </c>
      <c r="F1009" t="s">
        <v>6070</v>
      </c>
      <c r="G1009" t="s">
        <v>266</v>
      </c>
      <c r="H1009" t="s">
        <v>21</v>
      </c>
      <c r="I1009">
        <v>6</v>
      </c>
      <c r="J1009" s="5">
        <v>4.9000000000000002E-2</v>
      </c>
      <c r="K1009" t="s">
        <v>152</v>
      </c>
      <c r="L1009" s="6">
        <v>43374</v>
      </c>
      <c r="M1009">
        <v>10</v>
      </c>
      <c r="N1009" s="7" t="s">
        <v>23</v>
      </c>
      <c r="O1009" t="s">
        <v>31</v>
      </c>
      <c r="P1009" t="s">
        <v>3727</v>
      </c>
      <c r="Q1009" t="s">
        <v>269</v>
      </c>
      <c r="R1009" t="s">
        <v>270</v>
      </c>
    </row>
    <row r="1010" spans="1:18" hidden="1">
      <c r="A1010">
        <v>4</v>
      </c>
      <c r="B1010" s="4" t="s">
        <v>3127</v>
      </c>
      <c r="C1010" s="4" t="s">
        <v>3597</v>
      </c>
      <c r="D1010" s="4" t="s">
        <v>3660</v>
      </c>
      <c r="E1010" s="4" t="s">
        <v>5804</v>
      </c>
      <c r="F1010" t="s">
        <v>6070</v>
      </c>
      <c r="G1010" t="s">
        <v>266</v>
      </c>
      <c r="H1010" t="s">
        <v>21</v>
      </c>
      <c r="I1010">
        <v>6</v>
      </c>
      <c r="J1010" s="5">
        <v>4.9000000000000002E-2</v>
      </c>
      <c r="K1010" t="s">
        <v>839</v>
      </c>
      <c r="L1010" s="6">
        <v>43800</v>
      </c>
      <c r="M1010">
        <v>12</v>
      </c>
      <c r="N1010" s="7" t="s">
        <v>30</v>
      </c>
      <c r="O1010" t="s">
        <v>31</v>
      </c>
      <c r="P1010" t="s">
        <v>3749</v>
      </c>
      <c r="Q1010" t="s">
        <v>3750</v>
      </c>
      <c r="R1010" t="s">
        <v>3645</v>
      </c>
    </row>
    <row r="1011" spans="1:18" hidden="1">
      <c r="A1011">
        <v>4</v>
      </c>
      <c r="B1011" s="4" t="s">
        <v>3127</v>
      </c>
      <c r="C1011" s="4" t="s">
        <v>3597</v>
      </c>
      <c r="D1011" s="4" t="s">
        <v>3660</v>
      </c>
      <c r="E1011" s="4" t="s">
        <v>5804</v>
      </c>
      <c r="F1011" t="s">
        <v>6070</v>
      </c>
      <c r="G1011" t="s">
        <v>266</v>
      </c>
      <c r="H1011" t="s">
        <v>21</v>
      </c>
      <c r="I1011">
        <v>6</v>
      </c>
      <c r="J1011" s="5">
        <v>4.9000000000000002E-2</v>
      </c>
      <c r="K1011" t="s">
        <v>171</v>
      </c>
      <c r="L1011" s="6">
        <v>44013</v>
      </c>
      <c r="M1011">
        <v>7</v>
      </c>
      <c r="N1011" s="7" t="s">
        <v>55</v>
      </c>
      <c r="O1011" t="s">
        <v>31</v>
      </c>
      <c r="P1011" t="s">
        <v>3759</v>
      </c>
      <c r="Q1011" t="s">
        <v>3644</v>
      </c>
      <c r="R1011" t="s">
        <v>3645</v>
      </c>
    </row>
    <row r="1012" spans="1:18" hidden="1">
      <c r="A1012">
        <v>4</v>
      </c>
      <c r="B1012" s="4" t="s">
        <v>3127</v>
      </c>
      <c r="C1012" s="4" t="s">
        <v>3597</v>
      </c>
      <c r="D1012" s="4" t="s">
        <v>3660</v>
      </c>
      <c r="E1012" s="4" t="s">
        <v>5804</v>
      </c>
      <c r="F1012" t="s">
        <v>6070</v>
      </c>
      <c r="G1012" t="s">
        <v>266</v>
      </c>
      <c r="H1012" t="s">
        <v>21</v>
      </c>
      <c r="I1012">
        <v>6</v>
      </c>
      <c r="J1012" s="5">
        <v>4.9000000000000002E-2</v>
      </c>
      <c r="K1012" t="s">
        <v>267</v>
      </c>
      <c r="L1012" s="6">
        <v>44044</v>
      </c>
      <c r="M1012">
        <v>8</v>
      </c>
      <c r="N1012" s="7" t="s">
        <v>55</v>
      </c>
      <c r="O1012" t="s">
        <v>31</v>
      </c>
      <c r="P1012" t="s">
        <v>3763</v>
      </c>
      <c r="Q1012" t="s">
        <v>3644</v>
      </c>
      <c r="R1012" t="s">
        <v>3645</v>
      </c>
    </row>
    <row r="1013" spans="1:18" hidden="1">
      <c r="A1013">
        <v>4</v>
      </c>
      <c r="B1013" s="4" t="s">
        <v>3127</v>
      </c>
      <c r="C1013" s="4" t="s">
        <v>3597</v>
      </c>
      <c r="D1013" s="4" t="s">
        <v>3660</v>
      </c>
      <c r="E1013" s="4" t="s">
        <v>5804</v>
      </c>
      <c r="F1013" t="s">
        <v>6070</v>
      </c>
      <c r="G1013" t="s">
        <v>266</v>
      </c>
      <c r="H1013" t="s">
        <v>21</v>
      </c>
      <c r="I1013">
        <v>6</v>
      </c>
      <c r="J1013" s="5">
        <v>4.9000000000000002E-2</v>
      </c>
      <c r="K1013" t="s">
        <v>753</v>
      </c>
      <c r="L1013" s="6">
        <v>44348</v>
      </c>
      <c r="M1013">
        <v>6</v>
      </c>
      <c r="N1013" s="7" t="s">
        <v>55</v>
      </c>
      <c r="O1013" t="s">
        <v>31</v>
      </c>
      <c r="P1013" t="s">
        <v>3781</v>
      </c>
      <c r="Q1013" t="s">
        <v>3782</v>
      </c>
      <c r="R1013" t="s">
        <v>3645</v>
      </c>
    </row>
    <row r="1014" spans="1:18" hidden="1">
      <c r="A1014">
        <v>4</v>
      </c>
      <c r="B1014" s="4" t="s">
        <v>3127</v>
      </c>
      <c r="C1014" s="4" t="s">
        <v>3597</v>
      </c>
      <c r="D1014" s="4" t="s">
        <v>3660</v>
      </c>
      <c r="E1014" s="4" t="s">
        <v>5804</v>
      </c>
      <c r="F1014" t="s">
        <v>6070</v>
      </c>
      <c r="G1014" t="s">
        <v>266</v>
      </c>
      <c r="H1014" t="s">
        <v>21</v>
      </c>
      <c r="I1014">
        <v>6</v>
      </c>
      <c r="J1014" s="5">
        <v>4.9000000000000002E-2</v>
      </c>
      <c r="K1014" t="s">
        <v>630</v>
      </c>
      <c r="L1014" s="6">
        <v>44378</v>
      </c>
      <c r="M1014">
        <v>7</v>
      </c>
      <c r="N1014" s="7" t="s">
        <v>55</v>
      </c>
      <c r="O1014" t="s">
        <v>31</v>
      </c>
      <c r="P1014" t="s">
        <v>3783</v>
      </c>
      <c r="Q1014" t="s">
        <v>3644</v>
      </c>
      <c r="R1014" t="s">
        <v>3645</v>
      </c>
    </row>
    <row r="1015" spans="1:18" hidden="1">
      <c r="A1015">
        <v>4</v>
      </c>
      <c r="B1015" s="4" t="s">
        <v>3127</v>
      </c>
      <c r="C1015" s="4" t="s">
        <v>3789</v>
      </c>
      <c r="D1015" s="4" t="s">
        <v>3790</v>
      </c>
      <c r="E1015" s="4" t="s">
        <v>5804</v>
      </c>
      <c r="F1015" t="s">
        <v>6070</v>
      </c>
      <c r="G1015" t="s">
        <v>266</v>
      </c>
      <c r="H1015" t="s">
        <v>21</v>
      </c>
      <c r="I1015">
        <v>6</v>
      </c>
      <c r="J1015" s="5">
        <v>4.9000000000000002E-2</v>
      </c>
      <c r="K1015" t="s">
        <v>71</v>
      </c>
      <c r="L1015" s="6">
        <v>42522</v>
      </c>
      <c r="M1015">
        <v>6</v>
      </c>
      <c r="N1015" s="7" t="s">
        <v>55</v>
      </c>
      <c r="O1015" t="s">
        <v>31</v>
      </c>
      <c r="P1015" t="s">
        <v>3798</v>
      </c>
      <c r="Q1015" t="s">
        <v>3799</v>
      </c>
      <c r="R1015" t="s">
        <v>2802</v>
      </c>
    </row>
    <row r="1016" spans="1:18" hidden="1">
      <c r="A1016">
        <v>4</v>
      </c>
      <c r="B1016" s="4" t="s">
        <v>3127</v>
      </c>
      <c r="C1016" s="4" t="s">
        <v>3789</v>
      </c>
      <c r="D1016" s="4" t="s">
        <v>3815</v>
      </c>
      <c r="E1016" s="4" t="s">
        <v>5804</v>
      </c>
      <c r="F1016" t="s">
        <v>6070</v>
      </c>
      <c r="G1016" t="s">
        <v>266</v>
      </c>
      <c r="H1016" t="s">
        <v>21</v>
      </c>
      <c r="I1016">
        <v>6</v>
      </c>
      <c r="J1016" s="5">
        <v>4.9000000000000002E-2</v>
      </c>
      <c r="K1016" t="s">
        <v>319</v>
      </c>
      <c r="L1016" s="6">
        <v>42583</v>
      </c>
      <c r="M1016">
        <v>8</v>
      </c>
      <c r="N1016" s="7" t="s">
        <v>55</v>
      </c>
      <c r="O1016" t="s">
        <v>31</v>
      </c>
      <c r="P1016" t="s">
        <v>3837</v>
      </c>
      <c r="Q1016" t="s">
        <v>3838</v>
      </c>
      <c r="R1016" t="s">
        <v>1036</v>
      </c>
    </row>
    <row r="1017" spans="1:18" hidden="1">
      <c r="A1017">
        <v>4</v>
      </c>
      <c r="B1017" s="4" t="s">
        <v>3127</v>
      </c>
      <c r="C1017" s="4" t="s">
        <v>3789</v>
      </c>
      <c r="D1017" s="4" t="s">
        <v>3815</v>
      </c>
      <c r="E1017" s="4" t="s">
        <v>5804</v>
      </c>
      <c r="F1017" t="s">
        <v>6070</v>
      </c>
      <c r="G1017" t="s">
        <v>266</v>
      </c>
      <c r="H1017" t="s">
        <v>21</v>
      </c>
      <c r="I1017">
        <v>6</v>
      </c>
      <c r="J1017" s="5">
        <v>4.9000000000000002E-2</v>
      </c>
      <c r="K1017" t="s">
        <v>22</v>
      </c>
      <c r="L1017" s="6">
        <v>42979</v>
      </c>
      <c r="M1017">
        <v>9</v>
      </c>
      <c r="N1017" s="7" t="s">
        <v>23</v>
      </c>
      <c r="O1017" t="s">
        <v>31</v>
      </c>
      <c r="P1017" t="s">
        <v>3861</v>
      </c>
      <c r="Q1017" t="s">
        <v>3862</v>
      </c>
      <c r="R1017" t="s">
        <v>3863</v>
      </c>
    </row>
    <row r="1018" spans="1:18" hidden="1">
      <c r="A1018">
        <v>4</v>
      </c>
      <c r="B1018" s="4" t="s">
        <v>3127</v>
      </c>
      <c r="C1018" s="4" t="s">
        <v>3789</v>
      </c>
      <c r="D1018" s="4" t="s">
        <v>3815</v>
      </c>
      <c r="E1018" s="4" t="s">
        <v>5804</v>
      </c>
      <c r="F1018" t="s">
        <v>6070</v>
      </c>
      <c r="G1018" t="s">
        <v>266</v>
      </c>
      <c r="H1018" t="s">
        <v>21</v>
      </c>
      <c r="I1018">
        <v>6</v>
      </c>
      <c r="J1018" s="5">
        <v>4.9000000000000002E-2</v>
      </c>
      <c r="K1018" t="s">
        <v>35</v>
      </c>
      <c r="L1018" s="6">
        <v>43160</v>
      </c>
      <c r="M1018">
        <v>3</v>
      </c>
      <c r="N1018" s="7" t="s">
        <v>23</v>
      </c>
      <c r="O1018" t="s">
        <v>31</v>
      </c>
      <c r="P1018" t="s">
        <v>3875</v>
      </c>
      <c r="Q1018" t="s">
        <v>3876</v>
      </c>
      <c r="R1018" t="s">
        <v>3877</v>
      </c>
    </row>
    <row r="1019" spans="1:18" hidden="1">
      <c r="A1019">
        <v>4</v>
      </c>
      <c r="B1019" s="4" t="s">
        <v>3127</v>
      </c>
      <c r="C1019" s="4" t="s">
        <v>3789</v>
      </c>
      <c r="D1019" s="4" t="s">
        <v>3815</v>
      </c>
      <c r="E1019" s="4" t="s">
        <v>5804</v>
      </c>
      <c r="F1019" t="s">
        <v>6070</v>
      </c>
      <c r="G1019" t="s">
        <v>266</v>
      </c>
      <c r="H1019" t="s">
        <v>21</v>
      </c>
      <c r="I1019">
        <v>6</v>
      </c>
      <c r="J1019" s="5">
        <v>4.9000000000000002E-2</v>
      </c>
      <c r="K1019" t="s">
        <v>35</v>
      </c>
      <c r="L1019" s="6">
        <v>43160</v>
      </c>
      <c r="M1019">
        <v>3</v>
      </c>
      <c r="N1019" s="7" t="s">
        <v>23</v>
      </c>
      <c r="O1019" t="s">
        <v>31</v>
      </c>
      <c r="P1019" t="s">
        <v>3878</v>
      </c>
      <c r="Q1019" t="s">
        <v>3879</v>
      </c>
      <c r="R1019" t="s">
        <v>3880</v>
      </c>
    </row>
    <row r="1020" spans="1:18" hidden="1">
      <c r="A1020">
        <v>4</v>
      </c>
      <c r="B1020" s="4" t="s">
        <v>3127</v>
      </c>
      <c r="C1020" s="4" t="s">
        <v>3789</v>
      </c>
      <c r="D1020" s="4" t="s">
        <v>3815</v>
      </c>
      <c r="E1020" s="4" t="s">
        <v>5804</v>
      </c>
      <c r="F1020" t="s">
        <v>6070</v>
      </c>
      <c r="G1020" t="s">
        <v>266</v>
      </c>
      <c r="H1020" t="s">
        <v>21</v>
      </c>
      <c r="I1020">
        <v>6</v>
      </c>
      <c r="J1020" s="5">
        <v>4.9000000000000002E-2</v>
      </c>
      <c r="K1020" t="s">
        <v>292</v>
      </c>
      <c r="L1020" s="6">
        <v>43191</v>
      </c>
      <c r="M1020">
        <v>4</v>
      </c>
      <c r="N1020" s="7" t="s">
        <v>23</v>
      </c>
      <c r="O1020" t="s">
        <v>31</v>
      </c>
      <c r="P1020" t="s">
        <v>3881</v>
      </c>
      <c r="Q1020" t="s">
        <v>3882</v>
      </c>
      <c r="R1020" t="s">
        <v>3824</v>
      </c>
    </row>
    <row r="1021" spans="1:18" hidden="1">
      <c r="A1021">
        <v>4</v>
      </c>
      <c r="B1021" s="4" t="s">
        <v>3127</v>
      </c>
      <c r="C1021" s="4" t="s">
        <v>3939</v>
      </c>
      <c r="D1021" s="4" t="s">
        <v>3940</v>
      </c>
      <c r="E1021" s="4" t="s">
        <v>5804</v>
      </c>
      <c r="F1021" t="s">
        <v>6070</v>
      </c>
      <c r="G1021" t="s">
        <v>266</v>
      </c>
      <c r="H1021" t="s">
        <v>21</v>
      </c>
      <c r="I1021">
        <v>6</v>
      </c>
      <c r="J1021" s="5">
        <v>4.9000000000000002E-2</v>
      </c>
      <c r="K1021" t="s">
        <v>124</v>
      </c>
      <c r="L1021" s="6">
        <v>42767</v>
      </c>
      <c r="M1021">
        <v>2</v>
      </c>
      <c r="N1021" s="7" t="s">
        <v>30</v>
      </c>
      <c r="O1021" t="s">
        <v>31</v>
      </c>
      <c r="P1021" t="s">
        <v>3944</v>
      </c>
      <c r="Q1021" t="s">
        <v>3945</v>
      </c>
      <c r="R1021" t="s">
        <v>3946</v>
      </c>
    </row>
    <row r="1022" spans="1:18" hidden="1">
      <c r="A1022">
        <v>4</v>
      </c>
      <c r="B1022" s="4" t="s">
        <v>3127</v>
      </c>
      <c r="C1022" s="4" t="s">
        <v>3939</v>
      </c>
      <c r="D1022" s="4" t="s">
        <v>3940</v>
      </c>
      <c r="E1022" s="4" t="s">
        <v>5804</v>
      </c>
      <c r="F1022" t="s">
        <v>6070</v>
      </c>
      <c r="G1022" t="s">
        <v>266</v>
      </c>
      <c r="H1022" t="s">
        <v>21</v>
      </c>
      <c r="I1022">
        <v>6</v>
      </c>
      <c r="J1022" s="5">
        <v>4.9000000000000002E-2</v>
      </c>
      <c r="K1022" t="s">
        <v>681</v>
      </c>
      <c r="L1022" s="6">
        <v>42887</v>
      </c>
      <c r="M1022">
        <v>6</v>
      </c>
      <c r="N1022" s="7" t="s">
        <v>55</v>
      </c>
      <c r="O1022" t="s">
        <v>31</v>
      </c>
      <c r="P1022" t="s">
        <v>3950</v>
      </c>
      <c r="Q1022" t="s">
        <v>3951</v>
      </c>
      <c r="R1022" t="s">
        <v>3952</v>
      </c>
    </row>
    <row r="1023" spans="1:18" hidden="1">
      <c r="A1023">
        <v>4</v>
      </c>
      <c r="B1023" s="4" t="s">
        <v>3127</v>
      </c>
      <c r="C1023" s="4" t="s">
        <v>3939</v>
      </c>
      <c r="D1023" s="4" t="s">
        <v>3940</v>
      </c>
      <c r="E1023" s="4" t="s">
        <v>5804</v>
      </c>
      <c r="F1023" t="s">
        <v>6070</v>
      </c>
      <c r="G1023" t="s">
        <v>266</v>
      </c>
      <c r="H1023" t="s">
        <v>21</v>
      </c>
      <c r="I1023">
        <v>6</v>
      </c>
      <c r="J1023" s="5">
        <v>4.9000000000000002E-2</v>
      </c>
      <c r="K1023" t="s">
        <v>482</v>
      </c>
      <c r="L1023" s="6">
        <v>43435</v>
      </c>
      <c r="M1023">
        <v>12</v>
      </c>
      <c r="N1023" s="7" t="s">
        <v>30</v>
      </c>
      <c r="O1023" t="s">
        <v>31</v>
      </c>
      <c r="P1023" t="s">
        <v>3955</v>
      </c>
      <c r="Q1023" t="s">
        <v>3956</v>
      </c>
      <c r="R1023" t="s">
        <v>3957</v>
      </c>
    </row>
    <row r="1024" spans="1:18" hidden="1">
      <c r="A1024">
        <v>4</v>
      </c>
      <c r="B1024" s="4" t="s">
        <v>3127</v>
      </c>
      <c r="C1024" s="4" t="s">
        <v>3939</v>
      </c>
      <c r="D1024" s="4" t="s">
        <v>3958</v>
      </c>
      <c r="E1024" s="4" t="s">
        <v>5804</v>
      </c>
      <c r="F1024" t="s">
        <v>6070</v>
      </c>
      <c r="G1024" t="s">
        <v>266</v>
      </c>
      <c r="H1024" t="s">
        <v>21</v>
      </c>
      <c r="I1024">
        <v>6</v>
      </c>
      <c r="J1024" s="5">
        <v>4.9000000000000002E-2</v>
      </c>
      <c r="K1024" t="s">
        <v>422</v>
      </c>
      <c r="L1024" s="6">
        <v>42736</v>
      </c>
      <c r="M1024">
        <v>1</v>
      </c>
      <c r="N1024" s="7" t="s">
        <v>30</v>
      </c>
      <c r="O1024" t="s">
        <v>31</v>
      </c>
      <c r="P1024" t="s">
        <v>3972</v>
      </c>
      <c r="Q1024" t="s">
        <v>3945</v>
      </c>
      <c r="R1024" t="s">
        <v>3946</v>
      </c>
    </row>
    <row r="1025" spans="1:18" hidden="1">
      <c r="A1025">
        <v>4</v>
      </c>
      <c r="B1025" s="4" t="s">
        <v>3127</v>
      </c>
      <c r="C1025" s="4" t="s">
        <v>3939</v>
      </c>
      <c r="D1025" s="4" t="s">
        <v>3958</v>
      </c>
      <c r="E1025" s="4" t="s">
        <v>5804</v>
      </c>
      <c r="F1025" t="s">
        <v>6070</v>
      </c>
      <c r="G1025" t="s">
        <v>266</v>
      </c>
      <c r="H1025" t="s">
        <v>21</v>
      </c>
      <c r="I1025">
        <v>6</v>
      </c>
      <c r="J1025" s="5">
        <v>4.9000000000000002E-2</v>
      </c>
      <c r="K1025" t="s">
        <v>87</v>
      </c>
      <c r="L1025" s="6">
        <v>43040</v>
      </c>
      <c r="M1025">
        <v>11</v>
      </c>
      <c r="N1025" s="7" t="s">
        <v>23</v>
      </c>
      <c r="O1025" t="s">
        <v>31</v>
      </c>
      <c r="P1025" t="s">
        <v>3989</v>
      </c>
      <c r="Q1025" t="s">
        <v>3990</v>
      </c>
      <c r="R1025" t="s">
        <v>3991</v>
      </c>
    </row>
    <row r="1026" spans="1:18" hidden="1">
      <c r="A1026">
        <v>4</v>
      </c>
      <c r="B1026" s="4" t="s">
        <v>3127</v>
      </c>
      <c r="C1026" s="4" t="s">
        <v>3939</v>
      </c>
      <c r="D1026" s="4" t="s">
        <v>3958</v>
      </c>
      <c r="E1026" s="4" t="s">
        <v>5804</v>
      </c>
      <c r="F1026" t="s">
        <v>6070</v>
      </c>
      <c r="G1026" t="s">
        <v>266</v>
      </c>
      <c r="H1026" t="s">
        <v>21</v>
      </c>
      <c r="I1026">
        <v>6</v>
      </c>
      <c r="J1026" s="5">
        <v>4.9000000000000002E-2</v>
      </c>
      <c r="K1026" t="s">
        <v>159</v>
      </c>
      <c r="L1026" s="6">
        <v>43586</v>
      </c>
      <c r="M1026">
        <v>5</v>
      </c>
      <c r="N1026" s="7" t="s">
        <v>23</v>
      </c>
      <c r="O1026" t="s">
        <v>31</v>
      </c>
      <c r="P1026" t="s">
        <v>3997</v>
      </c>
      <c r="Q1026" t="s">
        <v>3945</v>
      </c>
      <c r="R1026" t="s">
        <v>3946</v>
      </c>
    </row>
    <row r="1027" spans="1:18" hidden="1">
      <c r="A1027">
        <v>4</v>
      </c>
      <c r="B1027" s="4" t="s">
        <v>3127</v>
      </c>
      <c r="C1027" s="4" t="s">
        <v>3939</v>
      </c>
      <c r="D1027" s="4" t="s">
        <v>3958</v>
      </c>
      <c r="E1027" s="4" t="s">
        <v>5804</v>
      </c>
      <c r="F1027" t="s">
        <v>6070</v>
      </c>
      <c r="G1027" t="s">
        <v>266</v>
      </c>
      <c r="H1027" t="s">
        <v>21</v>
      </c>
      <c r="I1027">
        <v>6</v>
      </c>
      <c r="J1027" s="5">
        <v>4.9000000000000002E-2</v>
      </c>
      <c r="K1027" t="s">
        <v>175</v>
      </c>
      <c r="L1027" s="6">
        <v>44166</v>
      </c>
      <c r="M1027">
        <v>12</v>
      </c>
      <c r="N1027" s="7" t="s">
        <v>30</v>
      </c>
      <c r="O1027" t="s">
        <v>31</v>
      </c>
      <c r="P1027" t="s">
        <v>4016</v>
      </c>
      <c r="Q1027" t="s">
        <v>3945</v>
      </c>
      <c r="R1027" t="s">
        <v>3946</v>
      </c>
    </row>
    <row r="1028" spans="1:18" hidden="1">
      <c r="A1028">
        <v>4</v>
      </c>
      <c r="B1028" s="4" t="s">
        <v>3127</v>
      </c>
      <c r="C1028" s="4" t="s">
        <v>3939</v>
      </c>
      <c r="D1028" s="4" t="s">
        <v>3958</v>
      </c>
      <c r="E1028" s="4" t="s">
        <v>5804</v>
      </c>
      <c r="F1028" t="s">
        <v>6070</v>
      </c>
      <c r="G1028" t="s">
        <v>266</v>
      </c>
      <c r="H1028" t="s">
        <v>21</v>
      </c>
      <c r="I1028">
        <v>6</v>
      </c>
      <c r="J1028" s="5">
        <v>4.9000000000000002E-2</v>
      </c>
      <c r="K1028" t="s">
        <v>175</v>
      </c>
      <c r="L1028" s="6">
        <v>44166</v>
      </c>
      <c r="M1028">
        <v>12</v>
      </c>
      <c r="N1028" s="7" t="s">
        <v>30</v>
      </c>
      <c r="O1028" t="s">
        <v>31</v>
      </c>
      <c r="P1028" t="s">
        <v>4017</v>
      </c>
      <c r="Q1028" t="s">
        <v>4018</v>
      </c>
      <c r="R1028" t="s">
        <v>4019</v>
      </c>
    </row>
    <row r="1029" spans="1:18" hidden="1">
      <c r="A1029">
        <v>4</v>
      </c>
      <c r="B1029" s="4" t="s">
        <v>3127</v>
      </c>
      <c r="C1029" s="4" t="s">
        <v>3939</v>
      </c>
      <c r="D1029" s="4" t="s">
        <v>3958</v>
      </c>
      <c r="E1029" s="4" t="s">
        <v>5804</v>
      </c>
      <c r="F1029" t="s">
        <v>6070</v>
      </c>
      <c r="G1029" t="s">
        <v>266</v>
      </c>
      <c r="H1029" t="s">
        <v>21</v>
      </c>
      <c r="I1029">
        <v>6</v>
      </c>
      <c r="J1029" s="5">
        <v>4.9000000000000002E-2</v>
      </c>
      <c r="K1029" t="s">
        <v>178</v>
      </c>
      <c r="L1029" s="6">
        <v>44228</v>
      </c>
      <c r="M1029">
        <v>2</v>
      </c>
      <c r="N1029" s="7" t="s">
        <v>30</v>
      </c>
      <c r="O1029" t="s">
        <v>223</v>
      </c>
      <c r="P1029" t="s">
        <v>4023</v>
      </c>
      <c r="Q1029" t="s">
        <v>4024</v>
      </c>
      <c r="R1029" t="s">
        <v>4025</v>
      </c>
    </row>
    <row r="1030" spans="1:18" hidden="1">
      <c r="A1030">
        <v>4</v>
      </c>
      <c r="B1030" s="4" t="s">
        <v>3127</v>
      </c>
      <c r="C1030" s="4" t="s">
        <v>3939</v>
      </c>
      <c r="D1030" s="4" t="s">
        <v>3958</v>
      </c>
      <c r="E1030" s="4" t="s">
        <v>5804</v>
      </c>
      <c r="F1030" t="s">
        <v>6070</v>
      </c>
      <c r="G1030" t="s">
        <v>266</v>
      </c>
      <c r="H1030" t="s">
        <v>21</v>
      </c>
      <c r="I1030">
        <v>6</v>
      </c>
      <c r="J1030" s="5">
        <v>4.9000000000000002E-2</v>
      </c>
      <c r="K1030" t="s">
        <v>630</v>
      </c>
      <c r="L1030" s="6">
        <v>44378</v>
      </c>
      <c r="M1030">
        <v>7</v>
      </c>
      <c r="N1030" s="7" t="s">
        <v>55</v>
      </c>
      <c r="O1030" t="s">
        <v>31</v>
      </c>
      <c r="P1030" t="s">
        <v>4030</v>
      </c>
      <c r="Q1030" t="s">
        <v>4031</v>
      </c>
      <c r="R1030" t="s">
        <v>3991</v>
      </c>
    </row>
    <row r="1031" spans="1:18" hidden="1">
      <c r="A1031">
        <v>4</v>
      </c>
      <c r="B1031" s="4" t="s">
        <v>3127</v>
      </c>
      <c r="C1031" s="4" t="s">
        <v>3939</v>
      </c>
      <c r="D1031" s="4" t="s">
        <v>3958</v>
      </c>
      <c r="E1031" s="4" t="s">
        <v>5804</v>
      </c>
      <c r="F1031" t="s">
        <v>6070</v>
      </c>
      <c r="G1031" t="s">
        <v>266</v>
      </c>
      <c r="H1031" t="s">
        <v>21</v>
      </c>
      <c r="I1031">
        <v>6</v>
      </c>
      <c r="J1031" s="5">
        <v>4.9000000000000002E-2</v>
      </c>
      <c r="K1031" t="s">
        <v>109</v>
      </c>
      <c r="L1031" s="6">
        <v>44531</v>
      </c>
      <c r="M1031">
        <v>12</v>
      </c>
      <c r="N1031" s="7" t="s">
        <v>30</v>
      </c>
      <c r="O1031" t="s">
        <v>31</v>
      </c>
      <c r="P1031" t="s">
        <v>4034</v>
      </c>
      <c r="Q1031" t="s">
        <v>3945</v>
      </c>
      <c r="R1031" t="s">
        <v>3946</v>
      </c>
    </row>
    <row r="1032" spans="1:18" hidden="1">
      <c r="A1032">
        <v>4</v>
      </c>
      <c r="B1032" s="4" t="s">
        <v>3127</v>
      </c>
      <c r="C1032" s="4" t="s">
        <v>4035</v>
      </c>
      <c r="D1032" s="4" t="s">
        <v>4036</v>
      </c>
      <c r="E1032" s="4" t="s">
        <v>5804</v>
      </c>
      <c r="F1032" t="s">
        <v>6070</v>
      </c>
      <c r="G1032" t="s">
        <v>266</v>
      </c>
      <c r="H1032" t="s">
        <v>21</v>
      </c>
      <c r="I1032">
        <v>6</v>
      </c>
      <c r="J1032" s="5">
        <v>4.9000000000000002E-2</v>
      </c>
      <c r="K1032" t="s">
        <v>255</v>
      </c>
      <c r="L1032" s="6">
        <v>43983</v>
      </c>
      <c r="M1032">
        <v>6</v>
      </c>
      <c r="N1032" s="7" t="s">
        <v>55</v>
      </c>
      <c r="O1032" t="s">
        <v>31</v>
      </c>
      <c r="P1032" t="s">
        <v>4072</v>
      </c>
      <c r="Q1032" t="s">
        <v>4073</v>
      </c>
      <c r="R1032" t="s">
        <v>4074</v>
      </c>
    </row>
    <row r="1033" spans="1:18" hidden="1">
      <c r="A1033">
        <v>4</v>
      </c>
      <c r="B1033" s="4" t="s">
        <v>3127</v>
      </c>
      <c r="C1033" s="4" t="s">
        <v>4035</v>
      </c>
      <c r="D1033" s="4" t="s">
        <v>4036</v>
      </c>
      <c r="E1033" s="4" t="s">
        <v>5804</v>
      </c>
      <c r="F1033" t="s">
        <v>6070</v>
      </c>
      <c r="G1033" t="s">
        <v>266</v>
      </c>
      <c r="H1033" t="s">
        <v>21</v>
      </c>
      <c r="I1033">
        <v>6</v>
      </c>
      <c r="J1033" s="5">
        <v>4.9000000000000002E-2</v>
      </c>
      <c r="K1033" t="s">
        <v>377</v>
      </c>
      <c r="L1033" s="6">
        <v>44470</v>
      </c>
      <c r="M1033">
        <v>10</v>
      </c>
      <c r="N1033" s="7" t="s">
        <v>23</v>
      </c>
      <c r="O1033" t="s">
        <v>31</v>
      </c>
      <c r="P1033" t="s">
        <v>4077</v>
      </c>
      <c r="Q1033" t="s">
        <v>4078</v>
      </c>
      <c r="R1033" t="s">
        <v>4079</v>
      </c>
    </row>
    <row r="1034" spans="1:18" hidden="1">
      <c r="A1034">
        <v>4</v>
      </c>
      <c r="B1034" s="4" t="s">
        <v>3127</v>
      </c>
      <c r="C1034" s="4" t="s">
        <v>4035</v>
      </c>
      <c r="D1034" s="4" t="s">
        <v>4080</v>
      </c>
      <c r="E1034" s="4" t="s">
        <v>5804</v>
      </c>
      <c r="F1034" t="s">
        <v>6070</v>
      </c>
      <c r="G1034" t="s">
        <v>266</v>
      </c>
      <c r="H1034" t="s">
        <v>21</v>
      </c>
      <c r="I1034">
        <v>6</v>
      </c>
      <c r="J1034" s="5">
        <v>4.9000000000000002E-2</v>
      </c>
      <c r="K1034" t="s">
        <v>60</v>
      </c>
      <c r="L1034" s="6">
        <v>42370</v>
      </c>
      <c r="M1034">
        <v>1</v>
      </c>
      <c r="N1034" s="7" t="s">
        <v>30</v>
      </c>
      <c r="O1034" t="s">
        <v>31</v>
      </c>
      <c r="P1034" t="s">
        <v>4083</v>
      </c>
      <c r="Q1034" t="s">
        <v>4084</v>
      </c>
      <c r="R1034" t="s">
        <v>4085</v>
      </c>
    </row>
    <row r="1035" spans="1:18" hidden="1">
      <c r="A1035">
        <v>4</v>
      </c>
      <c r="B1035" s="4" t="s">
        <v>3127</v>
      </c>
      <c r="C1035" s="4" t="s">
        <v>4035</v>
      </c>
      <c r="D1035" s="4" t="s">
        <v>4080</v>
      </c>
      <c r="E1035" s="4" t="s">
        <v>5804</v>
      </c>
      <c r="F1035" t="s">
        <v>6070</v>
      </c>
      <c r="G1035" t="s">
        <v>266</v>
      </c>
      <c r="H1035" t="s">
        <v>21</v>
      </c>
      <c r="I1035">
        <v>6</v>
      </c>
      <c r="J1035" s="5">
        <v>4.9000000000000002E-2</v>
      </c>
      <c r="K1035" t="s">
        <v>85</v>
      </c>
      <c r="L1035" s="6">
        <v>43009</v>
      </c>
      <c r="M1035">
        <v>10</v>
      </c>
      <c r="N1035" s="7" t="s">
        <v>23</v>
      </c>
      <c r="O1035" t="s">
        <v>31</v>
      </c>
      <c r="P1035" t="s">
        <v>4121</v>
      </c>
      <c r="Q1035" t="s">
        <v>4122</v>
      </c>
      <c r="R1035" t="s">
        <v>4123</v>
      </c>
    </row>
    <row r="1036" spans="1:18" hidden="1">
      <c r="A1036">
        <v>4</v>
      </c>
      <c r="B1036" s="4" t="s">
        <v>3127</v>
      </c>
      <c r="C1036" s="4" t="s">
        <v>4035</v>
      </c>
      <c r="D1036" s="4" t="s">
        <v>4080</v>
      </c>
      <c r="E1036" s="4" t="s">
        <v>5804</v>
      </c>
      <c r="F1036" t="s">
        <v>6070</v>
      </c>
      <c r="G1036" t="s">
        <v>266</v>
      </c>
      <c r="H1036" t="s">
        <v>21</v>
      </c>
      <c r="I1036">
        <v>6</v>
      </c>
      <c r="J1036" s="5">
        <v>4.9000000000000002E-2</v>
      </c>
      <c r="K1036" t="s">
        <v>99</v>
      </c>
      <c r="L1036" s="6">
        <v>43891</v>
      </c>
      <c r="M1036">
        <v>3</v>
      </c>
      <c r="N1036" s="7" t="s">
        <v>23</v>
      </c>
      <c r="O1036" t="s">
        <v>31</v>
      </c>
      <c r="P1036" t="s">
        <v>4165</v>
      </c>
      <c r="Q1036" t="s">
        <v>4166</v>
      </c>
      <c r="R1036" t="s">
        <v>4167</v>
      </c>
    </row>
    <row r="1037" spans="1:18" hidden="1">
      <c r="A1037">
        <v>4</v>
      </c>
      <c r="B1037" s="4" t="s">
        <v>3127</v>
      </c>
      <c r="C1037" s="4" t="s">
        <v>4207</v>
      </c>
      <c r="D1037" s="4" t="s">
        <v>4208</v>
      </c>
      <c r="E1037" s="4" t="s">
        <v>5804</v>
      </c>
      <c r="F1037" t="s">
        <v>6070</v>
      </c>
      <c r="G1037" t="s">
        <v>266</v>
      </c>
      <c r="H1037" t="s">
        <v>21</v>
      </c>
      <c r="I1037">
        <v>6</v>
      </c>
      <c r="J1037" s="5">
        <v>4.9000000000000002E-2</v>
      </c>
      <c r="K1037" t="s">
        <v>4218</v>
      </c>
      <c r="L1037" s="6">
        <v>42767</v>
      </c>
      <c r="M1037">
        <v>2</v>
      </c>
      <c r="N1037" s="7" t="s">
        <v>30</v>
      </c>
      <c r="O1037" t="s">
        <v>31</v>
      </c>
      <c r="P1037" t="s">
        <v>4219</v>
      </c>
      <c r="Q1037" t="s">
        <v>4220</v>
      </c>
      <c r="R1037" t="s">
        <v>4221</v>
      </c>
    </row>
    <row r="1038" spans="1:18" hidden="1">
      <c r="A1038">
        <v>4</v>
      </c>
      <c r="B1038" s="4" t="s">
        <v>3127</v>
      </c>
      <c r="C1038" s="4" t="s">
        <v>4207</v>
      </c>
      <c r="D1038" s="4" t="s">
        <v>4208</v>
      </c>
      <c r="E1038" s="4" t="s">
        <v>5804</v>
      </c>
      <c r="F1038" t="s">
        <v>6070</v>
      </c>
      <c r="G1038" t="s">
        <v>266</v>
      </c>
      <c r="H1038" t="s">
        <v>21</v>
      </c>
      <c r="I1038">
        <v>6</v>
      </c>
      <c r="J1038" s="5">
        <v>4.9000000000000002E-2</v>
      </c>
      <c r="K1038" t="s">
        <v>152</v>
      </c>
      <c r="L1038" s="6">
        <v>43374</v>
      </c>
      <c r="M1038">
        <v>10</v>
      </c>
      <c r="N1038" s="7" t="s">
        <v>23</v>
      </c>
      <c r="O1038" t="s">
        <v>88</v>
      </c>
      <c r="P1038" t="s">
        <v>4230</v>
      </c>
      <c r="Q1038" t="s">
        <v>4231</v>
      </c>
      <c r="R1038" t="s">
        <v>4232</v>
      </c>
    </row>
    <row r="1039" spans="1:18" hidden="1">
      <c r="A1039">
        <v>4</v>
      </c>
      <c r="B1039" s="4" t="s">
        <v>3127</v>
      </c>
      <c r="C1039" s="4" t="s">
        <v>4207</v>
      </c>
      <c r="D1039" s="4" t="s">
        <v>4257</v>
      </c>
      <c r="E1039" s="4" t="s">
        <v>5804</v>
      </c>
      <c r="F1039" t="s">
        <v>6070</v>
      </c>
      <c r="G1039" t="s">
        <v>266</v>
      </c>
      <c r="H1039" t="s">
        <v>21</v>
      </c>
      <c r="I1039">
        <v>6</v>
      </c>
      <c r="J1039" s="5">
        <v>4.9000000000000002E-2</v>
      </c>
      <c r="K1039" t="s">
        <v>278</v>
      </c>
      <c r="L1039" s="6">
        <v>42675</v>
      </c>
      <c r="M1039">
        <v>11</v>
      </c>
      <c r="N1039" s="7" t="s">
        <v>23</v>
      </c>
      <c r="O1039" t="s">
        <v>31</v>
      </c>
      <c r="P1039" t="s">
        <v>4310</v>
      </c>
      <c r="Q1039" t="s">
        <v>4311</v>
      </c>
      <c r="R1039" t="s">
        <v>4221</v>
      </c>
    </row>
    <row r="1040" spans="1:18" hidden="1">
      <c r="A1040">
        <v>4</v>
      </c>
      <c r="B1040" s="4" t="s">
        <v>3127</v>
      </c>
      <c r="C1040" s="4" t="s">
        <v>4207</v>
      </c>
      <c r="D1040" s="4" t="s">
        <v>4257</v>
      </c>
      <c r="E1040" s="4" t="s">
        <v>5804</v>
      </c>
      <c r="F1040" t="s">
        <v>6070</v>
      </c>
      <c r="G1040" t="s">
        <v>266</v>
      </c>
      <c r="H1040" t="s">
        <v>21</v>
      </c>
      <c r="I1040">
        <v>6</v>
      </c>
      <c r="J1040" s="5">
        <v>4.9000000000000002E-2</v>
      </c>
      <c r="K1040" t="s">
        <v>278</v>
      </c>
      <c r="L1040" s="6">
        <v>42675</v>
      </c>
      <c r="M1040">
        <v>11</v>
      </c>
      <c r="N1040" s="7" t="s">
        <v>23</v>
      </c>
      <c r="O1040" t="s">
        <v>31</v>
      </c>
      <c r="P1040" t="s">
        <v>4312</v>
      </c>
      <c r="Q1040" t="s">
        <v>3945</v>
      </c>
      <c r="R1040" t="s">
        <v>4313</v>
      </c>
    </row>
    <row r="1041" spans="1:18" hidden="1">
      <c r="A1041">
        <v>4</v>
      </c>
      <c r="B1041" s="4" t="s">
        <v>3127</v>
      </c>
      <c r="C1041" s="4" t="s">
        <v>4207</v>
      </c>
      <c r="D1041" s="4" t="s">
        <v>4257</v>
      </c>
      <c r="E1041" s="4" t="s">
        <v>5804</v>
      </c>
      <c r="F1041" t="s">
        <v>6070</v>
      </c>
      <c r="G1041" t="s">
        <v>266</v>
      </c>
      <c r="H1041" t="s">
        <v>21</v>
      </c>
      <c r="I1041">
        <v>6</v>
      </c>
      <c r="J1041" s="5">
        <v>4.9000000000000002E-2</v>
      </c>
      <c r="K1041" t="s">
        <v>422</v>
      </c>
      <c r="L1041" s="6">
        <v>42736</v>
      </c>
      <c r="M1041">
        <v>1</v>
      </c>
      <c r="N1041" s="7" t="s">
        <v>30</v>
      </c>
      <c r="O1041" t="s">
        <v>31</v>
      </c>
      <c r="P1041" t="s">
        <v>4335</v>
      </c>
      <c r="Q1041" t="s">
        <v>4336</v>
      </c>
      <c r="R1041" t="s">
        <v>4221</v>
      </c>
    </row>
    <row r="1042" spans="1:18" hidden="1">
      <c r="A1042">
        <v>4</v>
      </c>
      <c r="B1042" s="4" t="s">
        <v>3127</v>
      </c>
      <c r="C1042" s="4" t="s">
        <v>4207</v>
      </c>
      <c r="D1042" s="4" t="s">
        <v>4257</v>
      </c>
      <c r="E1042" s="4" t="s">
        <v>5804</v>
      </c>
      <c r="F1042" t="s">
        <v>6070</v>
      </c>
      <c r="G1042" t="s">
        <v>266</v>
      </c>
      <c r="H1042" t="s">
        <v>21</v>
      </c>
      <c r="I1042">
        <v>6</v>
      </c>
      <c r="J1042" s="5">
        <v>4.9000000000000002E-2</v>
      </c>
      <c r="K1042" t="s">
        <v>124</v>
      </c>
      <c r="L1042" s="6">
        <v>42767</v>
      </c>
      <c r="M1042">
        <v>2</v>
      </c>
      <c r="N1042" s="7" t="s">
        <v>30</v>
      </c>
      <c r="O1042" t="s">
        <v>31</v>
      </c>
      <c r="P1042" t="s">
        <v>4337</v>
      </c>
      <c r="Q1042" t="s">
        <v>4338</v>
      </c>
      <c r="R1042" t="s">
        <v>4339</v>
      </c>
    </row>
    <row r="1043" spans="1:18" hidden="1">
      <c r="A1043">
        <v>4</v>
      </c>
      <c r="B1043" s="4" t="s">
        <v>3127</v>
      </c>
      <c r="C1043" s="4" t="s">
        <v>4207</v>
      </c>
      <c r="D1043" s="4" t="s">
        <v>4257</v>
      </c>
      <c r="E1043" s="4" t="s">
        <v>5804</v>
      </c>
      <c r="F1043" t="s">
        <v>6070</v>
      </c>
      <c r="G1043" t="s">
        <v>266</v>
      </c>
      <c r="H1043" t="s">
        <v>21</v>
      </c>
      <c r="I1043">
        <v>6</v>
      </c>
      <c r="J1043" s="5">
        <v>4.9000000000000002E-2</v>
      </c>
      <c r="K1043" t="s">
        <v>22</v>
      </c>
      <c r="L1043" s="6">
        <v>42979</v>
      </c>
      <c r="M1043">
        <v>9</v>
      </c>
      <c r="N1043" s="7" t="s">
        <v>23</v>
      </c>
      <c r="O1043" t="s">
        <v>31</v>
      </c>
      <c r="P1043" t="s">
        <v>4357</v>
      </c>
      <c r="Q1043" t="s">
        <v>269</v>
      </c>
      <c r="R1043" t="s">
        <v>270</v>
      </c>
    </row>
    <row r="1044" spans="1:18" hidden="1">
      <c r="A1044">
        <v>4</v>
      </c>
      <c r="B1044" s="4" t="s">
        <v>3127</v>
      </c>
      <c r="C1044" s="4" t="s">
        <v>4207</v>
      </c>
      <c r="D1044" s="4" t="s">
        <v>4257</v>
      </c>
      <c r="E1044" s="4" t="s">
        <v>5804</v>
      </c>
      <c r="F1044" t="s">
        <v>6070</v>
      </c>
      <c r="G1044" t="s">
        <v>266</v>
      </c>
      <c r="H1044" t="s">
        <v>21</v>
      </c>
      <c r="I1044">
        <v>6</v>
      </c>
      <c r="J1044" s="5">
        <v>4.9000000000000002E-2</v>
      </c>
      <c r="K1044" t="s">
        <v>292</v>
      </c>
      <c r="L1044" s="6">
        <v>43191</v>
      </c>
      <c r="M1044">
        <v>4</v>
      </c>
      <c r="N1044" s="7" t="s">
        <v>23</v>
      </c>
      <c r="O1044" t="s">
        <v>31</v>
      </c>
      <c r="P1044" t="s">
        <v>4388</v>
      </c>
      <c r="Q1044" t="s">
        <v>4389</v>
      </c>
      <c r="R1044" t="s">
        <v>4313</v>
      </c>
    </row>
    <row r="1045" spans="1:18" hidden="1">
      <c r="A1045">
        <v>4</v>
      </c>
      <c r="B1045" s="4" t="s">
        <v>3127</v>
      </c>
      <c r="C1045" s="4" t="s">
        <v>4207</v>
      </c>
      <c r="D1045" s="4" t="s">
        <v>4257</v>
      </c>
      <c r="E1045" s="4" t="s">
        <v>5804</v>
      </c>
      <c r="F1045" t="s">
        <v>6070</v>
      </c>
      <c r="G1045" t="s">
        <v>266</v>
      </c>
      <c r="H1045" t="s">
        <v>21</v>
      </c>
      <c r="I1045">
        <v>6</v>
      </c>
      <c r="J1045" s="5">
        <v>4.9000000000000002E-2</v>
      </c>
      <c r="K1045" t="s">
        <v>295</v>
      </c>
      <c r="L1045" s="6">
        <v>43221</v>
      </c>
      <c r="M1045">
        <v>5</v>
      </c>
      <c r="N1045" s="7" t="s">
        <v>23</v>
      </c>
      <c r="O1045" t="s">
        <v>31</v>
      </c>
      <c r="P1045" t="s">
        <v>4391</v>
      </c>
      <c r="Q1045" t="s">
        <v>4392</v>
      </c>
      <c r="R1045" t="s">
        <v>4393</v>
      </c>
    </row>
    <row r="1046" spans="1:18" hidden="1">
      <c r="A1046">
        <v>4</v>
      </c>
      <c r="B1046" s="4" t="s">
        <v>3127</v>
      </c>
      <c r="C1046" s="4" t="s">
        <v>4207</v>
      </c>
      <c r="D1046" s="4" t="s">
        <v>4257</v>
      </c>
      <c r="E1046" s="4" t="s">
        <v>5804</v>
      </c>
      <c r="F1046" t="s">
        <v>6070</v>
      </c>
      <c r="G1046" t="s">
        <v>266</v>
      </c>
      <c r="H1046" t="s">
        <v>21</v>
      </c>
      <c r="I1046">
        <v>6</v>
      </c>
      <c r="J1046" s="5">
        <v>4.9000000000000002E-2</v>
      </c>
      <c r="K1046" t="s">
        <v>482</v>
      </c>
      <c r="L1046" s="6">
        <v>43435</v>
      </c>
      <c r="M1046">
        <v>12</v>
      </c>
      <c r="N1046" s="7" t="s">
        <v>30</v>
      </c>
      <c r="O1046" t="s">
        <v>31</v>
      </c>
      <c r="P1046" t="s">
        <v>4419</v>
      </c>
      <c r="Q1046" t="s">
        <v>4420</v>
      </c>
      <c r="R1046" t="s">
        <v>4313</v>
      </c>
    </row>
    <row r="1047" spans="1:18" hidden="1">
      <c r="A1047">
        <v>4</v>
      </c>
      <c r="B1047" s="4" t="s">
        <v>3127</v>
      </c>
      <c r="C1047" s="4" t="s">
        <v>4207</v>
      </c>
      <c r="D1047" s="4" t="s">
        <v>4257</v>
      </c>
      <c r="E1047" s="4" t="s">
        <v>5804</v>
      </c>
      <c r="F1047" t="s">
        <v>6070</v>
      </c>
      <c r="G1047" t="s">
        <v>266</v>
      </c>
      <c r="H1047" t="s">
        <v>21</v>
      </c>
      <c r="I1047">
        <v>6</v>
      </c>
      <c r="J1047" s="5">
        <v>4.9000000000000002E-2</v>
      </c>
      <c r="K1047" t="s">
        <v>159</v>
      </c>
      <c r="L1047" s="6">
        <v>43586</v>
      </c>
      <c r="M1047">
        <v>5</v>
      </c>
      <c r="N1047" s="7" t="s">
        <v>23</v>
      </c>
      <c r="O1047" t="s">
        <v>31</v>
      </c>
      <c r="P1047" t="s">
        <v>4449</v>
      </c>
      <c r="Q1047" t="s">
        <v>3945</v>
      </c>
      <c r="R1047" t="s">
        <v>4313</v>
      </c>
    </row>
    <row r="1048" spans="1:18" hidden="1">
      <c r="A1048">
        <v>4</v>
      </c>
      <c r="B1048" s="4" t="s">
        <v>3127</v>
      </c>
      <c r="C1048" s="4" t="s">
        <v>4207</v>
      </c>
      <c r="D1048" s="4" t="s">
        <v>4257</v>
      </c>
      <c r="E1048" s="4" t="s">
        <v>5804</v>
      </c>
      <c r="F1048" t="s">
        <v>6070</v>
      </c>
      <c r="G1048" t="s">
        <v>266</v>
      </c>
      <c r="H1048" t="s">
        <v>21</v>
      </c>
      <c r="I1048">
        <v>6</v>
      </c>
      <c r="J1048" s="5">
        <v>4.9000000000000002E-2</v>
      </c>
      <c r="K1048" t="s">
        <v>171</v>
      </c>
      <c r="L1048" s="6">
        <v>44013</v>
      </c>
      <c r="M1048">
        <v>7</v>
      </c>
      <c r="N1048" s="7" t="s">
        <v>55</v>
      </c>
      <c r="O1048" t="s">
        <v>31</v>
      </c>
      <c r="P1048" t="s">
        <v>4532</v>
      </c>
      <c r="Q1048" t="s">
        <v>3945</v>
      </c>
      <c r="R1048" t="s">
        <v>4313</v>
      </c>
    </row>
    <row r="1049" spans="1:18" hidden="1">
      <c r="A1049">
        <v>4</v>
      </c>
      <c r="B1049" s="4" t="s">
        <v>3127</v>
      </c>
      <c r="C1049" s="4" t="s">
        <v>4207</v>
      </c>
      <c r="D1049" s="4" t="s">
        <v>4257</v>
      </c>
      <c r="E1049" s="4" t="s">
        <v>5804</v>
      </c>
      <c r="F1049" t="s">
        <v>6070</v>
      </c>
      <c r="G1049" t="s">
        <v>266</v>
      </c>
      <c r="H1049" t="s">
        <v>21</v>
      </c>
      <c r="I1049">
        <v>6</v>
      </c>
      <c r="J1049" s="5">
        <v>4.9000000000000002E-2</v>
      </c>
      <c r="K1049" t="s">
        <v>171</v>
      </c>
      <c r="L1049" s="6">
        <v>44013</v>
      </c>
      <c r="M1049">
        <v>7</v>
      </c>
      <c r="N1049" s="7" t="s">
        <v>55</v>
      </c>
      <c r="O1049" t="s">
        <v>31</v>
      </c>
      <c r="P1049" t="s">
        <v>4533</v>
      </c>
      <c r="Q1049" t="s">
        <v>4534</v>
      </c>
      <c r="R1049" t="s">
        <v>4535</v>
      </c>
    </row>
    <row r="1050" spans="1:18" hidden="1">
      <c r="A1050">
        <v>4</v>
      </c>
      <c r="B1050" s="4" t="s">
        <v>3127</v>
      </c>
      <c r="C1050" s="4" t="s">
        <v>4207</v>
      </c>
      <c r="D1050" s="4" t="s">
        <v>4257</v>
      </c>
      <c r="E1050" s="4" t="s">
        <v>5804</v>
      </c>
      <c r="F1050" t="s">
        <v>6070</v>
      </c>
      <c r="G1050" t="s">
        <v>266</v>
      </c>
      <c r="H1050" t="s">
        <v>21</v>
      </c>
      <c r="I1050">
        <v>6</v>
      </c>
      <c r="J1050" s="5">
        <v>4.9000000000000002E-2</v>
      </c>
      <c r="K1050" t="s">
        <v>547</v>
      </c>
      <c r="L1050" s="6">
        <v>44075</v>
      </c>
      <c r="M1050">
        <v>9</v>
      </c>
      <c r="N1050" s="7" t="s">
        <v>23</v>
      </c>
      <c r="O1050" t="s">
        <v>88</v>
      </c>
      <c r="P1050" t="s">
        <v>4549</v>
      </c>
      <c r="Q1050" t="s">
        <v>4550</v>
      </c>
      <c r="R1050" t="s">
        <v>4232</v>
      </c>
    </row>
    <row r="1051" spans="1:18" hidden="1">
      <c r="A1051">
        <v>4</v>
      </c>
      <c r="B1051" s="4" t="s">
        <v>3127</v>
      </c>
      <c r="C1051" s="4" t="s">
        <v>4207</v>
      </c>
      <c r="D1051" s="4" t="s">
        <v>4257</v>
      </c>
      <c r="E1051" s="4" t="s">
        <v>5804</v>
      </c>
      <c r="F1051" t="s">
        <v>6070</v>
      </c>
      <c r="G1051" t="s">
        <v>266</v>
      </c>
      <c r="H1051" t="s">
        <v>21</v>
      </c>
      <c r="I1051">
        <v>6</v>
      </c>
      <c r="J1051" s="5">
        <v>4.9000000000000002E-2</v>
      </c>
      <c r="K1051" t="s">
        <v>547</v>
      </c>
      <c r="L1051" s="6">
        <v>44075</v>
      </c>
      <c r="M1051">
        <v>9</v>
      </c>
      <c r="N1051" s="7" t="s">
        <v>23</v>
      </c>
      <c r="O1051" t="s">
        <v>31</v>
      </c>
      <c r="P1051" t="s">
        <v>4553</v>
      </c>
      <c r="Q1051" t="s">
        <v>4336</v>
      </c>
      <c r="R1051" t="s">
        <v>4221</v>
      </c>
    </row>
    <row r="1052" spans="1:18" hidden="1">
      <c r="A1052">
        <v>4</v>
      </c>
      <c r="B1052" s="4" t="s">
        <v>3127</v>
      </c>
      <c r="C1052" s="4" t="s">
        <v>4207</v>
      </c>
      <c r="D1052" s="4" t="s">
        <v>4257</v>
      </c>
      <c r="E1052" s="4" t="s">
        <v>5804</v>
      </c>
      <c r="F1052" t="s">
        <v>6070</v>
      </c>
      <c r="G1052" t="s">
        <v>266</v>
      </c>
      <c r="H1052" t="s">
        <v>21</v>
      </c>
      <c r="I1052">
        <v>6</v>
      </c>
      <c r="J1052" s="5">
        <v>4.9000000000000002E-2</v>
      </c>
      <c r="K1052" t="s">
        <v>178</v>
      </c>
      <c r="L1052" s="6">
        <v>44228</v>
      </c>
      <c r="M1052">
        <v>2</v>
      </c>
      <c r="N1052" s="7" t="s">
        <v>30</v>
      </c>
      <c r="O1052" t="s">
        <v>31</v>
      </c>
      <c r="P1052" t="s">
        <v>4568</v>
      </c>
      <c r="Q1052" t="s">
        <v>4534</v>
      </c>
      <c r="R1052" t="s">
        <v>4535</v>
      </c>
    </row>
    <row r="1053" spans="1:18" hidden="1">
      <c r="A1053">
        <v>5</v>
      </c>
      <c r="B1053" s="4" t="s">
        <v>4600</v>
      </c>
      <c r="C1053" s="4" t="s">
        <v>4601</v>
      </c>
      <c r="D1053" s="4" t="s">
        <v>4635</v>
      </c>
      <c r="E1053" s="4" t="s">
        <v>5804</v>
      </c>
      <c r="F1053" t="s">
        <v>6070</v>
      </c>
      <c r="G1053" t="s">
        <v>266</v>
      </c>
      <c r="H1053" t="s">
        <v>21</v>
      </c>
      <c r="I1053">
        <v>6</v>
      </c>
      <c r="J1053" s="5">
        <v>4.9000000000000002E-2</v>
      </c>
      <c r="K1053" t="s">
        <v>292</v>
      </c>
      <c r="L1053" s="6">
        <v>43191</v>
      </c>
      <c r="M1053">
        <v>4</v>
      </c>
      <c r="N1053" s="7" t="s">
        <v>23</v>
      </c>
      <c r="O1053" t="s">
        <v>88</v>
      </c>
      <c r="P1053" t="s">
        <v>4674</v>
      </c>
      <c r="Q1053" t="s">
        <v>4675</v>
      </c>
      <c r="R1053" t="s">
        <v>4676</v>
      </c>
    </row>
    <row r="1054" spans="1:18" hidden="1">
      <c r="A1054">
        <v>5</v>
      </c>
      <c r="B1054" s="4" t="s">
        <v>4600</v>
      </c>
      <c r="C1054" s="4" t="s">
        <v>4601</v>
      </c>
      <c r="D1054" s="4" t="s">
        <v>4635</v>
      </c>
      <c r="E1054" s="4" t="s">
        <v>5804</v>
      </c>
      <c r="F1054" t="s">
        <v>6070</v>
      </c>
      <c r="G1054" t="s">
        <v>266</v>
      </c>
      <c r="H1054" t="s">
        <v>21</v>
      </c>
      <c r="I1054">
        <v>6</v>
      </c>
      <c r="J1054" s="5">
        <v>4.9000000000000002E-2</v>
      </c>
      <c r="K1054" t="s">
        <v>93</v>
      </c>
      <c r="L1054" s="6">
        <v>43282</v>
      </c>
      <c r="M1054">
        <v>7</v>
      </c>
      <c r="N1054" s="7" t="s">
        <v>55</v>
      </c>
      <c r="O1054" t="s">
        <v>88</v>
      </c>
      <c r="P1054" t="s">
        <v>4680</v>
      </c>
      <c r="Q1054" t="s">
        <v>4675</v>
      </c>
      <c r="R1054" t="s">
        <v>4676</v>
      </c>
    </row>
    <row r="1055" spans="1:18" hidden="1">
      <c r="A1055">
        <v>5</v>
      </c>
      <c r="B1055" s="4" t="s">
        <v>4600</v>
      </c>
      <c r="C1055" s="4" t="s">
        <v>4601</v>
      </c>
      <c r="D1055" s="4" t="s">
        <v>4635</v>
      </c>
      <c r="E1055" s="4" t="s">
        <v>5804</v>
      </c>
      <c r="F1055" t="s">
        <v>6070</v>
      </c>
      <c r="G1055" t="s">
        <v>266</v>
      </c>
      <c r="H1055" t="s">
        <v>21</v>
      </c>
      <c r="I1055">
        <v>6</v>
      </c>
      <c r="J1055" s="5">
        <v>4.9000000000000002E-2</v>
      </c>
      <c r="K1055" t="s">
        <v>159</v>
      </c>
      <c r="L1055" s="6">
        <v>43586</v>
      </c>
      <c r="M1055">
        <v>5</v>
      </c>
      <c r="N1055" s="7" t="s">
        <v>23</v>
      </c>
      <c r="O1055" t="s">
        <v>88</v>
      </c>
      <c r="P1055" t="s">
        <v>4698</v>
      </c>
      <c r="Q1055" t="s">
        <v>4675</v>
      </c>
      <c r="R1055" t="s">
        <v>4676</v>
      </c>
    </row>
    <row r="1056" spans="1:18" hidden="1">
      <c r="A1056">
        <v>5</v>
      </c>
      <c r="B1056" s="4" t="s">
        <v>4600</v>
      </c>
      <c r="C1056" s="4" t="s">
        <v>4601</v>
      </c>
      <c r="D1056" s="4" t="s">
        <v>4635</v>
      </c>
      <c r="E1056" s="4" t="s">
        <v>5804</v>
      </c>
      <c r="F1056" t="s">
        <v>6070</v>
      </c>
      <c r="G1056" t="s">
        <v>266</v>
      </c>
      <c r="H1056" t="s">
        <v>21</v>
      </c>
      <c r="I1056">
        <v>6</v>
      </c>
      <c r="J1056" s="5">
        <v>4.9000000000000002E-2</v>
      </c>
      <c r="K1056" t="s">
        <v>377</v>
      </c>
      <c r="L1056" s="6">
        <v>44470</v>
      </c>
      <c r="M1056">
        <v>10</v>
      </c>
      <c r="N1056" s="7" t="s">
        <v>23</v>
      </c>
      <c r="O1056" t="s">
        <v>223</v>
      </c>
      <c r="P1056" t="s">
        <v>4745</v>
      </c>
      <c r="Q1056" t="s">
        <v>4746</v>
      </c>
      <c r="R1056" t="s">
        <v>4747</v>
      </c>
    </row>
    <row r="1057" spans="1:18" hidden="1">
      <c r="A1057">
        <v>5</v>
      </c>
      <c r="B1057" s="4" t="s">
        <v>4600</v>
      </c>
      <c r="C1057" s="4" t="s">
        <v>4601</v>
      </c>
      <c r="D1057" s="4" t="s">
        <v>4748</v>
      </c>
      <c r="E1057" s="4" t="s">
        <v>5804</v>
      </c>
      <c r="F1057" t="s">
        <v>6070</v>
      </c>
      <c r="G1057" t="s">
        <v>266</v>
      </c>
      <c r="H1057" t="s">
        <v>21</v>
      </c>
      <c r="I1057">
        <v>6</v>
      </c>
      <c r="J1057" s="5">
        <v>4.9000000000000002E-2</v>
      </c>
      <c r="K1057" t="s">
        <v>547</v>
      </c>
      <c r="L1057" s="6">
        <v>44075</v>
      </c>
      <c r="M1057">
        <v>9</v>
      </c>
      <c r="N1057" s="7" t="s">
        <v>23</v>
      </c>
      <c r="O1057" t="s">
        <v>31</v>
      </c>
      <c r="P1057" t="s">
        <v>4832</v>
      </c>
      <c r="Q1057" t="s">
        <v>4833</v>
      </c>
      <c r="R1057" t="s">
        <v>4834</v>
      </c>
    </row>
    <row r="1058" spans="1:18" hidden="1">
      <c r="A1058">
        <v>5</v>
      </c>
      <c r="B1058" s="4" t="s">
        <v>4600</v>
      </c>
      <c r="C1058" s="4" t="s">
        <v>4601</v>
      </c>
      <c r="D1058" s="4" t="s">
        <v>4748</v>
      </c>
      <c r="E1058" s="4" t="s">
        <v>5804</v>
      </c>
      <c r="F1058" t="s">
        <v>6070</v>
      </c>
      <c r="G1058" t="s">
        <v>266</v>
      </c>
      <c r="H1058" t="s">
        <v>21</v>
      </c>
      <c r="I1058">
        <v>6</v>
      </c>
      <c r="J1058" s="5">
        <v>4.9000000000000002E-2</v>
      </c>
      <c r="K1058" t="s">
        <v>645</v>
      </c>
      <c r="L1058" s="6">
        <v>44440</v>
      </c>
      <c r="M1058">
        <v>9</v>
      </c>
      <c r="N1058" s="7" t="s">
        <v>23</v>
      </c>
      <c r="O1058" t="s">
        <v>31</v>
      </c>
      <c r="P1058" t="s">
        <v>4843</v>
      </c>
      <c r="Q1058" t="s">
        <v>4844</v>
      </c>
      <c r="R1058" t="s">
        <v>4834</v>
      </c>
    </row>
    <row r="1059" spans="1:18" hidden="1">
      <c r="A1059">
        <v>5</v>
      </c>
      <c r="B1059" s="4" t="s">
        <v>4600</v>
      </c>
      <c r="C1059" s="4" t="s">
        <v>4601</v>
      </c>
      <c r="D1059" s="4" t="s">
        <v>4748</v>
      </c>
      <c r="E1059" s="4" t="s">
        <v>5804</v>
      </c>
      <c r="F1059" t="s">
        <v>6070</v>
      </c>
      <c r="G1059" t="s">
        <v>266</v>
      </c>
      <c r="H1059" t="s">
        <v>21</v>
      </c>
      <c r="I1059">
        <v>6</v>
      </c>
      <c r="J1059" s="5">
        <v>4.9000000000000002E-2</v>
      </c>
      <c r="K1059" t="s">
        <v>377</v>
      </c>
      <c r="L1059" s="6">
        <v>44470</v>
      </c>
      <c r="M1059">
        <v>10</v>
      </c>
      <c r="N1059" s="7" t="s">
        <v>23</v>
      </c>
      <c r="O1059" t="s">
        <v>88</v>
      </c>
      <c r="P1059" t="s">
        <v>4845</v>
      </c>
      <c r="Q1059" t="s">
        <v>4846</v>
      </c>
      <c r="R1059" t="s">
        <v>4847</v>
      </c>
    </row>
    <row r="1060" spans="1:18" hidden="1">
      <c r="A1060">
        <v>5</v>
      </c>
      <c r="B1060" s="4" t="s">
        <v>4600</v>
      </c>
      <c r="C1060" s="4" t="s">
        <v>4601</v>
      </c>
      <c r="D1060" s="4" t="s">
        <v>4853</v>
      </c>
      <c r="E1060" s="4" t="s">
        <v>5804</v>
      </c>
      <c r="F1060" t="s">
        <v>6070</v>
      </c>
      <c r="G1060" t="s">
        <v>266</v>
      </c>
      <c r="H1060" t="s">
        <v>21</v>
      </c>
      <c r="I1060">
        <v>6</v>
      </c>
      <c r="J1060" s="5">
        <v>4.9000000000000002E-2</v>
      </c>
      <c r="K1060" t="s">
        <v>142</v>
      </c>
      <c r="L1060" s="6">
        <v>43101</v>
      </c>
      <c r="M1060">
        <v>1</v>
      </c>
      <c r="N1060" s="7" t="s">
        <v>30</v>
      </c>
      <c r="O1060" t="s">
        <v>31</v>
      </c>
      <c r="P1060" t="s">
        <v>4899</v>
      </c>
      <c r="Q1060" t="s">
        <v>4900</v>
      </c>
      <c r="R1060" t="s">
        <v>4901</v>
      </c>
    </row>
    <row r="1061" spans="1:18" hidden="1">
      <c r="A1061">
        <v>5</v>
      </c>
      <c r="B1061" s="4" t="s">
        <v>4600</v>
      </c>
      <c r="C1061" s="4" t="s">
        <v>4933</v>
      </c>
      <c r="D1061" s="4" t="s">
        <v>4934</v>
      </c>
      <c r="E1061" s="4" t="s">
        <v>5804</v>
      </c>
      <c r="F1061" t="s">
        <v>6070</v>
      </c>
      <c r="G1061" t="s">
        <v>266</v>
      </c>
      <c r="H1061" t="s">
        <v>21</v>
      </c>
      <c r="I1061">
        <v>6</v>
      </c>
      <c r="J1061" s="5">
        <v>4.9000000000000002E-2</v>
      </c>
      <c r="K1061" t="s">
        <v>93</v>
      </c>
      <c r="L1061" s="6">
        <v>43282</v>
      </c>
      <c r="M1061">
        <v>7</v>
      </c>
      <c r="N1061" s="7" t="s">
        <v>55</v>
      </c>
      <c r="O1061" t="s">
        <v>193</v>
      </c>
      <c r="P1061" t="s">
        <v>4965</v>
      </c>
      <c r="Q1061" t="s">
        <v>4948</v>
      </c>
      <c r="R1061" t="s">
        <v>4949</v>
      </c>
    </row>
    <row r="1062" spans="1:18" hidden="1">
      <c r="A1062">
        <v>5</v>
      </c>
      <c r="B1062" s="4" t="s">
        <v>4600</v>
      </c>
      <c r="C1062" s="4" t="s">
        <v>4933</v>
      </c>
      <c r="D1062" s="4" t="s">
        <v>5014</v>
      </c>
      <c r="E1062" s="4" t="s">
        <v>5804</v>
      </c>
      <c r="F1062" t="s">
        <v>6070</v>
      </c>
      <c r="G1062" t="s">
        <v>266</v>
      </c>
      <c r="H1062" t="s">
        <v>21</v>
      </c>
      <c r="I1062">
        <v>6</v>
      </c>
      <c r="J1062" s="5">
        <v>4.9000000000000002E-2</v>
      </c>
      <c r="K1062" t="s">
        <v>558</v>
      </c>
      <c r="L1062" s="6">
        <v>42339</v>
      </c>
      <c r="M1062">
        <v>12</v>
      </c>
      <c r="N1062" s="7" t="s">
        <v>30</v>
      </c>
      <c r="O1062" t="s">
        <v>88</v>
      </c>
      <c r="P1062" t="s">
        <v>5024</v>
      </c>
      <c r="Q1062" t="s">
        <v>5025</v>
      </c>
      <c r="R1062" t="s">
        <v>5026</v>
      </c>
    </row>
    <row r="1063" spans="1:18" hidden="1">
      <c r="A1063">
        <v>5</v>
      </c>
      <c r="B1063" s="4" t="s">
        <v>4600</v>
      </c>
      <c r="C1063" s="4" t="s">
        <v>4933</v>
      </c>
      <c r="D1063" s="4" t="s">
        <v>5014</v>
      </c>
      <c r="E1063" s="4" t="s">
        <v>5804</v>
      </c>
      <c r="F1063" t="s">
        <v>6070</v>
      </c>
      <c r="G1063" t="s">
        <v>266</v>
      </c>
      <c r="H1063" t="s">
        <v>21</v>
      </c>
      <c r="I1063">
        <v>6</v>
      </c>
      <c r="J1063" s="5">
        <v>4.9000000000000002E-2</v>
      </c>
      <c r="K1063" t="s">
        <v>701</v>
      </c>
      <c r="L1063" s="6">
        <v>42491</v>
      </c>
      <c r="M1063">
        <v>5</v>
      </c>
      <c r="N1063" s="7" t="s">
        <v>23</v>
      </c>
      <c r="O1063" t="s">
        <v>31</v>
      </c>
      <c r="P1063" t="s">
        <v>5039</v>
      </c>
      <c r="Q1063" t="s">
        <v>5040</v>
      </c>
      <c r="R1063" t="s">
        <v>4901</v>
      </c>
    </row>
    <row r="1064" spans="1:18" hidden="1">
      <c r="A1064">
        <v>5</v>
      </c>
      <c r="B1064" s="4" t="s">
        <v>4600</v>
      </c>
      <c r="C1064" s="4" t="s">
        <v>4933</v>
      </c>
      <c r="D1064" s="4" t="s">
        <v>5014</v>
      </c>
      <c r="E1064" s="4" t="s">
        <v>5804</v>
      </c>
      <c r="F1064" t="s">
        <v>6070</v>
      </c>
      <c r="G1064" t="s">
        <v>266</v>
      </c>
      <c r="H1064" t="s">
        <v>21</v>
      </c>
      <c r="I1064">
        <v>6</v>
      </c>
      <c r="J1064" s="5">
        <v>4.9000000000000002E-2</v>
      </c>
      <c r="K1064" t="s">
        <v>278</v>
      </c>
      <c r="L1064" s="6">
        <v>42675</v>
      </c>
      <c r="M1064">
        <v>11</v>
      </c>
      <c r="N1064" s="7" t="s">
        <v>23</v>
      </c>
      <c r="O1064" t="s">
        <v>31</v>
      </c>
      <c r="P1064" t="s">
        <v>5077</v>
      </c>
      <c r="Q1064" t="s">
        <v>5078</v>
      </c>
      <c r="R1064" t="s">
        <v>5079</v>
      </c>
    </row>
    <row r="1065" spans="1:18" hidden="1">
      <c r="A1065">
        <v>5</v>
      </c>
      <c r="B1065" s="4" t="s">
        <v>4600</v>
      </c>
      <c r="C1065" s="4" t="s">
        <v>4933</v>
      </c>
      <c r="D1065" s="4" t="s">
        <v>5014</v>
      </c>
      <c r="E1065" s="4" t="s">
        <v>5804</v>
      </c>
      <c r="F1065" t="s">
        <v>6070</v>
      </c>
      <c r="G1065" t="s">
        <v>266</v>
      </c>
      <c r="H1065" t="s">
        <v>21</v>
      </c>
      <c r="I1065">
        <v>6</v>
      </c>
      <c r="J1065" s="5">
        <v>4.9000000000000002E-2</v>
      </c>
      <c r="K1065" t="s">
        <v>124</v>
      </c>
      <c r="L1065" s="6">
        <v>42767</v>
      </c>
      <c r="M1065">
        <v>2</v>
      </c>
      <c r="N1065" s="7" t="s">
        <v>30</v>
      </c>
      <c r="O1065" t="s">
        <v>31</v>
      </c>
      <c r="P1065" t="s">
        <v>5088</v>
      </c>
      <c r="Q1065" t="s">
        <v>5078</v>
      </c>
      <c r="R1065" t="s">
        <v>5079</v>
      </c>
    </row>
    <row r="1066" spans="1:18" hidden="1">
      <c r="A1066">
        <v>5</v>
      </c>
      <c r="B1066" s="4" t="s">
        <v>4600</v>
      </c>
      <c r="C1066" s="4" t="s">
        <v>4933</v>
      </c>
      <c r="D1066" s="4" t="s">
        <v>5014</v>
      </c>
      <c r="E1066" s="4" t="s">
        <v>5804</v>
      </c>
      <c r="F1066" t="s">
        <v>6070</v>
      </c>
      <c r="G1066" t="s">
        <v>266</v>
      </c>
      <c r="H1066" t="s">
        <v>21</v>
      </c>
      <c r="I1066">
        <v>6</v>
      </c>
      <c r="J1066" s="5">
        <v>4.9000000000000002E-2</v>
      </c>
      <c r="K1066" t="s">
        <v>681</v>
      </c>
      <c r="L1066" s="6">
        <v>42887</v>
      </c>
      <c r="M1066">
        <v>6</v>
      </c>
      <c r="N1066" s="7" t="s">
        <v>55</v>
      </c>
      <c r="O1066" t="s">
        <v>31</v>
      </c>
      <c r="P1066" t="s">
        <v>5115</v>
      </c>
      <c r="Q1066" t="s">
        <v>5078</v>
      </c>
      <c r="R1066" t="s">
        <v>5079</v>
      </c>
    </row>
    <row r="1067" spans="1:18" hidden="1">
      <c r="A1067">
        <v>5</v>
      </c>
      <c r="B1067" s="4" t="s">
        <v>4600</v>
      </c>
      <c r="C1067" s="4" t="s">
        <v>4933</v>
      </c>
      <c r="D1067" s="4" t="s">
        <v>5014</v>
      </c>
      <c r="E1067" s="4" t="s">
        <v>5804</v>
      </c>
      <c r="F1067" t="s">
        <v>6070</v>
      </c>
      <c r="G1067" t="s">
        <v>266</v>
      </c>
      <c r="H1067" t="s">
        <v>21</v>
      </c>
      <c r="I1067">
        <v>6</v>
      </c>
      <c r="J1067" s="5">
        <v>4.9000000000000002E-2</v>
      </c>
      <c r="K1067" t="s">
        <v>152</v>
      </c>
      <c r="L1067" s="6">
        <v>43374</v>
      </c>
      <c r="M1067">
        <v>10</v>
      </c>
      <c r="N1067" s="7" t="s">
        <v>23</v>
      </c>
      <c r="O1067" t="s">
        <v>88</v>
      </c>
      <c r="P1067" t="s">
        <v>5209</v>
      </c>
      <c r="Q1067" t="s">
        <v>5025</v>
      </c>
      <c r="R1067" t="s">
        <v>5026</v>
      </c>
    </row>
    <row r="1068" spans="1:18" hidden="1">
      <c r="A1068">
        <v>5</v>
      </c>
      <c r="B1068" s="4" t="s">
        <v>4600</v>
      </c>
      <c r="C1068" s="4" t="s">
        <v>4933</v>
      </c>
      <c r="D1068" s="4" t="s">
        <v>5014</v>
      </c>
      <c r="E1068" s="4" t="s">
        <v>5804</v>
      </c>
      <c r="F1068" t="s">
        <v>6070</v>
      </c>
      <c r="G1068" t="s">
        <v>266</v>
      </c>
      <c r="H1068" t="s">
        <v>21</v>
      </c>
      <c r="I1068">
        <v>6</v>
      </c>
      <c r="J1068" s="5">
        <v>4.9000000000000002E-2</v>
      </c>
      <c r="K1068" t="s">
        <v>152</v>
      </c>
      <c r="L1068" s="6">
        <v>43374</v>
      </c>
      <c r="M1068">
        <v>10</v>
      </c>
      <c r="N1068" s="7" t="s">
        <v>23</v>
      </c>
      <c r="O1068" t="s">
        <v>31</v>
      </c>
      <c r="P1068" t="s">
        <v>5210</v>
      </c>
      <c r="Q1068" t="s">
        <v>5211</v>
      </c>
      <c r="R1068" t="s">
        <v>5212</v>
      </c>
    </row>
    <row r="1069" spans="1:18" hidden="1">
      <c r="A1069">
        <v>5</v>
      </c>
      <c r="B1069" s="4" t="s">
        <v>4600</v>
      </c>
      <c r="C1069" s="4" t="s">
        <v>4933</v>
      </c>
      <c r="D1069" s="4" t="s">
        <v>5014</v>
      </c>
      <c r="E1069" s="4" t="s">
        <v>5804</v>
      </c>
      <c r="F1069" t="s">
        <v>6070</v>
      </c>
      <c r="G1069" t="s">
        <v>266</v>
      </c>
      <c r="H1069" t="s">
        <v>21</v>
      </c>
      <c r="I1069">
        <v>6</v>
      </c>
      <c r="J1069" s="5">
        <v>4.9000000000000002E-2</v>
      </c>
      <c r="K1069" t="s">
        <v>245</v>
      </c>
      <c r="L1069" s="6">
        <v>43466</v>
      </c>
      <c r="M1069">
        <v>1</v>
      </c>
      <c r="N1069" s="7" t="s">
        <v>30</v>
      </c>
      <c r="O1069" t="s">
        <v>31</v>
      </c>
      <c r="P1069" t="s">
        <v>5227</v>
      </c>
      <c r="Q1069" t="s">
        <v>5228</v>
      </c>
      <c r="R1069" t="s">
        <v>5079</v>
      </c>
    </row>
    <row r="1070" spans="1:18" hidden="1">
      <c r="A1070">
        <v>5</v>
      </c>
      <c r="B1070" s="4" t="s">
        <v>4600</v>
      </c>
      <c r="C1070" s="4" t="s">
        <v>4933</v>
      </c>
      <c r="D1070" s="4" t="s">
        <v>5014</v>
      </c>
      <c r="E1070" s="4" t="s">
        <v>5804</v>
      </c>
      <c r="F1070" t="s">
        <v>6070</v>
      </c>
      <c r="G1070" t="s">
        <v>266</v>
      </c>
      <c r="H1070" t="s">
        <v>21</v>
      </c>
      <c r="I1070">
        <v>6</v>
      </c>
      <c r="J1070" s="5">
        <v>4.9000000000000002E-2</v>
      </c>
      <c r="K1070" t="s">
        <v>245</v>
      </c>
      <c r="L1070" s="6">
        <v>43466</v>
      </c>
      <c r="M1070">
        <v>1</v>
      </c>
      <c r="N1070" s="7" t="s">
        <v>30</v>
      </c>
      <c r="O1070" t="s">
        <v>88</v>
      </c>
      <c r="P1070" t="s">
        <v>5229</v>
      </c>
      <c r="Q1070" t="s">
        <v>5025</v>
      </c>
      <c r="R1070" t="s">
        <v>5026</v>
      </c>
    </row>
    <row r="1071" spans="1:18" hidden="1">
      <c r="A1071">
        <v>5</v>
      </c>
      <c r="B1071" s="4" t="s">
        <v>4600</v>
      </c>
      <c r="C1071" s="4" t="s">
        <v>4933</v>
      </c>
      <c r="D1071" s="4" t="s">
        <v>5014</v>
      </c>
      <c r="E1071" s="4" t="s">
        <v>5804</v>
      </c>
      <c r="F1071" t="s">
        <v>6070</v>
      </c>
      <c r="G1071" t="s">
        <v>266</v>
      </c>
      <c r="H1071" t="s">
        <v>21</v>
      </c>
      <c r="I1071">
        <v>6</v>
      </c>
      <c r="J1071" s="5">
        <v>4.9000000000000002E-2</v>
      </c>
      <c r="K1071" t="s">
        <v>245</v>
      </c>
      <c r="L1071" s="6">
        <v>43466</v>
      </c>
      <c r="M1071">
        <v>1</v>
      </c>
      <c r="N1071" s="7" t="s">
        <v>30</v>
      </c>
      <c r="O1071" t="s">
        <v>31</v>
      </c>
      <c r="P1071" t="s">
        <v>5236</v>
      </c>
      <c r="Q1071" t="s">
        <v>5211</v>
      </c>
      <c r="R1071" t="s">
        <v>5212</v>
      </c>
    </row>
    <row r="1072" spans="1:18" hidden="1">
      <c r="A1072">
        <v>5</v>
      </c>
      <c r="B1072" s="4" t="s">
        <v>4600</v>
      </c>
      <c r="C1072" s="4" t="s">
        <v>4933</v>
      </c>
      <c r="D1072" s="4" t="s">
        <v>5014</v>
      </c>
      <c r="E1072" s="4" t="s">
        <v>5804</v>
      </c>
      <c r="F1072" t="s">
        <v>6070</v>
      </c>
      <c r="G1072" t="s">
        <v>266</v>
      </c>
      <c r="H1072" t="s">
        <v>21</v>
      </c>
      <c r="I1072">
        <v>6</v>
      </c>
      <c r="J1072" s="5">
        <v>4.9000000000000002E-2</v>
      </c>
      <c r="K1072" t="s">
        <v>357</v>
      </c>
      <c r="L1072" s="6">
        <v>43739</v>
      </c>
      <c r="M1072">
        <v>10</v>
      </c>
      <c r="N1072" s="7" t="s">
        <v>23</v>
      </c>
      <c r="O1072" t="s">
        <v>31</v>
      </c>
      <c r="P1072" t="s">
        <v>5298</v>
      </c>
      <c r="Q1072" t="s">
        <v>5211</v>
      </c>
      <c r="R1072" t="s">
        <v>5212</v>
      </c>
    </row>
    <row r="1073" spans="1:18" hidden="1">
      <c r="A1073">
        <v>5</v>
      </c>
      <c r="B1073" s="4" t="s">
        <v>4600</v>
      </c>
      <c r="C1073" s="4" t="s">
        <v>4933</v>
      </c>
      <c r="D1073" s="4" t="s">
        <v>5014</v>
      </c>
      <c r="E1073" s="4" t="s">
        <v>5804</v>
      </c>
      <c r="F1073" t="s">
        <v>6070</v>
      </c>
      <c r="G1073" t="s">
        <v>266</v>
      </c>
      <c r="H1073" t="s">
        <v>21</v>
      </c>
      <c r="I1073">
        <v>6</v>
      </c>
      <c r="J1073" s="5">
        <v>4.9000000000000002E-2</v>
      </c>
      <c r="K1073" t="s">
        <v>1085</v>
      </c>
      <c r="L1073" s="6">
        <v>43862</v>
      </c>
      <c r="M1073">
        <v>2</v>
      </c>
      <c r="N1073" s="7" t="s">
        <v>30</v>
      </c>
      <c r="O1073" t="s">
        <v>88</v>
      </c>
      <c r="P1073" t="s">
        <v>5318</v>
      </c>
      <c r="Q1073" t="s">
        <v>5025</v>
      </c>
      <c r="R1073" t="s">
        <v>5026</v>
      </c>
    </row>
    <row r="1074" spans="1:18" hidden="1">
      <c r="A1074">
        <v>5</v>
      </c>
      <c r="B1074" s="4" t="s">
        <v>4600</v>
      </c>
      <c r="C1074" s="4" t="s">
        <v>4933</v>
      </c>
      <c r="D1074" s="4" t="s">
        <v>5014</v>
      </c>
      <c r="E1074" s="4" t="s">
        <v>5804</v>
      </c>
      <c r="F1074" t="s">
        <v>6070</v>
      </c>
      <c r="G1074" t="s">
        <v>266</v>
      </c>
      <c r="H1074" t="s">
        <v>21</v>
      </c>
      <c r="I1074">
        <v>6</v>
      </c>
      <c r="J1074" s="5">
        <v>4.9000000000000002E-2</v>
      </c>
      <c r="K1074" t="s">
        <v>99</v>
      </c>
      <c r="L1074" s="6">
        <v>43891</v>
      </c>
      <c r="M1074">
        <v>3</v>
      </c>
      <c r="N1074" s="7" t="s">
        <v>23</v>
      </c>
      <c r="O1074" t="s">
        <v>88</v>
      </c>
      <c r="P1074" t="s">
        <v>5324</v>
      </c>
      <c r="Q1074" t="s">
        <v>5025</v>
      </c>
      <c r="R1074" t="s">
        <v>5026</v>
      </c>
    </row>
    <row r="1075" spans="1:18" hidden="1">
      <c r="A1075">
        <v>5</v>
      </c>
      <c r="B1075" s="4" t="s">
        <v>4600</v>
      </c>
      <c r="C1075" s="4" t="s">
        <v>4933</v>
      </c>
      <c r="D1075" s="4" t="s">
        <v>5014</v>
      </c>
      <c r="E1075" s="4" t="s">
        <v>5804</v>
      </c>
      <c r="F1075" t="s">
        <v>6070</v>
      </c>
      <c r="G1075" t="s">
        <v>266</v>
      </c>
      <c r="H1075" t="s">
        <v>21</v>
      </c>
      <c r="I1075">
        <v>6</v>
      </c>
      <c r="J1075" s="5">
        <v>4.9000000000000002E-2</v>
      </c>
      <c r="K1075" t="s">
        <v>539</v>
      </c>
      <c r="L1075" s="6">
        <v>43922</v>
      </c>
      <c r="M1075">
        <v>4</v>
      </c>
      <c r="N1075" s="7" t="s">
        <v>23</v>
      </c>
      <c r="O1075" t="s">
        <v>36</v>
      </c>
      <c r="P1075" t="s">
        <v>5330</v>
      </c>
      <c r="Q1075" t="s">
        <v>5331</v>
      </c>
      <c r="R1075" t="s">
        <v>5332</v>
      </c>
    </row>
    <row r="1076" spans="1:18" hidden="1">
      <c r="A1076">
        <v>5</v>
      </c>
      <c r="B1076" s="4" t="s">
        <v>4600</v>
      </c>
      <c r="C1076" s="4" t="s">
        <v>4933</v>
      </c>
      <c r="D1076" s="4" t="s">
        <v>5014</v>
      </c>
      <c r="E1076" s="4" t="s">
        <v>5804</v>
      </c>
      <c r="F1076" t="s">
        <v>6070</v>
      </c>
      <c r="G1076" t="s">
        <v>266</v>
      </c>
      <c r="H1076" t="s">
        <v>21</v>
      </c>
      <c r="I1076">
        <v>6</v>
      </c>
      <c r="J1076" s="5">
        <v>4.9000000000000002E-2</v>
      </c>
      <c r="K1076" t="s">
        <v>102</v>
      </c>
      <c r="L1076" s="6">
        <v>44287</v>
      </c>
      <c r="M1076">
        <v>4</v>
      </c>
      <c r="N1076" s="7" t="s">
        <v>23</v>
      </c>
      <c r="O1076" t="s">
        <v>88</v>
      </c>
      <c r="P1076" t="s">
        <v>5362</v>
      </c>
      <c r="Q1076" t="s">
        <v>5025</v>
      </c>
      <c r="R1076" t="s">
        <v>5026</v>
      </c>
    </row>
    <row r="1077" spans="1:18" hidden="1">
      <c r="A1077">
        <v>6</v>
      </c>
      <c r="B1077" s="4" t="s">
        <v>5462</v>
      </c>
      <c r="C1077" s="4" t="s">
        <v>5463</v>
      </c>
      <c r="D1077" s="4" t="s">
        <v>5464</v>
      </c>
      <c r="E1077" s="4" t="s">
        <v>5804</v>
      </c>
      <c r="F1077" t="s">
        <v>6070</v>
      </c>
      <c r="G1077" t="s">
        <v>266</v>
      </c>
      <c r="H1077" t="s">
        <v>21</v>
      </c>
      <c r="I1077">
        <v>6</v>
      </c>
      <c r="J1077" s="5">
        <v>4.9000000000000002E-2</v>
      </c>
      <c r="K1077" t="s">
        <v>839</v>
      </c>
      <c r="L1077" s="6">
        <v>43800</v>
      </c>
      <c r="M1077">
        <v>12</v>
      </c>
      <c r="N1077" s="7" t="s">
        <v>30</v>
      </c>
      <c r="O1077" t="s">
        <v>31</v>
      </c>
      <c r="P1077" t="s">
        <v>5483</v>
      </c>
      <c r="Q1077" t="s">
        <v>269</v>
      </c>
      <c r="R1077" t="s">
        <v>270</v>
      </c>
    </row>
    <row r="1078" spans="1:18" hidden="1">
      <c r="A1078">
        <v>6</v>
      </c>
      <c r="B1078" s="4" t="s">
        <v>5462</v>
      </c>
      <c r="C1078" s="4" t="s">
        <v>5463</v>
      </c>
      <c r="D1078" s="4" t="s">
        <v>5497</v>
      </c>
      <c r="E1078" s="4" t="s">
        <v>5804</v>
      </c>
      <c r="F1078" t="s">
        <v>6070</v>
      </c>
      <c r="G1078" t="s">
        <v>266</v>
      </c>
      <c r="H1078" t="s">
        <v>21</v>
      </c>
      <c r="I1078">
        <v>6</v>
      </c>
      <c r="J1078" s="5">
        <v>4.9000000000000002E-2</v>
      </c>
      <c r="K1078" t="s">
        <v>382</v>
      </c>
      <c r="L1078" s="6">
        <v>42401</v>
      </c>
      <c r="M1078">
        <v>2</v>
      </c>
      <c r="N1078" s="7" t="s">
        <v>30</v>
      </c>
      <c r="O1078" t="s">
        <v>31</v>
      </c>
      <c r="P1078" t="s">
        <v>5499</v>
      </c>
      <c r="Q1078" t="s">
        <v>5500</v>
      </c>
      <c r="R1078" t="s">
        <v>5501</v>
      </c>
    </row>
    <row r="1079" spans="1:18" hidden="1">
      <c r="A1079">
        <v>9</v>
      </c>
      <c r="B1079" s="4" t="s">
        <v>5727</v>
      </c>
      <c r="C1079" s="4" t="s">
        <v>5755</v>
      </c>
      <c r="D1079" s="4" t="s">
        <v>5756</v>
      </c>
      <c r="E1079" s="4" t="s">
        <v>5805</v>
      </c>
      <c r="F1079" t="s">
        <v>6070</v>
      </c>
      <c r="G1079" t="s">
        <v>266</v>
      </c>
      <c r="H1079" t="s">
        <v>21</v>
      </c>
      <c r="I1079">
        <v>6</v>
      </c>
      <c r="J1079" s="5">
        <v>4.9000000000000002E-2</v>
      </c>
      <c r="K1079" t="s">
        <v>477</v>
      </c>
      <c r="L1079" s="6">
        <v>42705</v>
      </c>
      <c r="M1079">
        <v>12</v>
      </c>
      <c r="N1079" s="7" t="s">
        <v>30</v>
      </c>
      <c r="O1079" t="s">
        <v>88</v>
      </c>
      <c r="P1079" t="s">
        <v>5757</v>
      </c>
      <c r="Q1079" t="s">
        <v>5758</v>
      </c>
      <c r="R1079" t="s">
        <v>5759</v>
      </c>
    </row>
    <row r="1080" spans="1:18" hidden="1">
      <c r="A1080">
        <v>12</v>
      </c>
      <c r="B1080" s="4" t="s">
        <v>901</v>
      </c>
      <c r="C1080" s="4" t="s">
        <v>902</v>
      </c>
      <c r="D1080" s="4" t="s">
        <v>903</v>
      </c>
      <c r="E1080" s="4" t="s">
        <v>5804</v>
      </c>
      <c r="F1080" t="s">
        <v>956</v>
      </c>
      <c r="G1080" t="s">
        <v>956</v>
      </c>
      <c r="H1080" t="s">
        <v>53</v>
      </c>
      <c r="I1080" t="s">
        <v>53</v>
      </c>
      <c r="J1080" s="5" t="s">
        <v>53</v>
      </c>
      <c r="K1080" t="s">
        <v>220</v>
      </c>
      <c r="L1080" s="6">
        <v>42644</v>
      </c>
      <c r="M1080">
        <v>10</v>
      </c>
      <c r="N1080" s="7" t="s">
        <v>23</v>
      </c>
      <c r="O1080" t="s">
        <v>24</v>
      </c>
      <c r="P1080" t="s">
        <v>957</v>
      </c>
      <c r="Q1080" t="s">
        <v>958</v>
      </c>
      <c r="R1080" t="s">
        <v>959</v>
      </c>
    </row>
    <row r="1081" spans="1:18" hidden="1">
      <c r="A1081">
        <v>12</v>
      </c>
      <c r="B1081" s="4" t="s">
        <v>901</v>
      </c>
      <c r="C1081" s="4" t="s">
        <v>902</v>
      </c>
      <c r="D1081" s="4" t="s">
        <v>903</v>
      </c>
      <c r="E1081" s="4" t="s">
        <v>5804</v>
      </c>
      <c r="F1081" t="s">
        <v>956</v>
      </c>
      <c r="G1081" t="s">
        <v>956</v>
      </c>
      <c r="H1081" t="s">
        <v>53</v>
      </c>
      <c r="I1081" t="s">
        <v>53</v>
      </c>
      <c r="J1081" s="5" t="s">
        <v>53</v>
      </c>
      <c r="K1081" t="s">
        <v>220</v>
      </c>
      <c r="L1081" s="6">
        <v>42644</v>
      </c>
      <c r="M1081">
        <v>10</v>
      </c>
      <c r="N1081" s="7" t="s">
        <v>23</v>
      </c>
      <c r="O1081" t="s">
        <v>36</v>
      </c>
      <c r="P1081" t="s">
        <v>966</v>
      </c>
      <c r="Q1081" t="s">
        <v>967</v>
      </c>
      <c r="R1081" t="s">
        <v>968</v>
      </c>
    </row>
    <row r="1082" spans="1:18" hidden="1">
      <c r="A1082">
        <v>12</v>
      </c>
      <c r="B1082" s="4" t="s">
        <v>901</v>
      </c>
      <c r="C1082" s="4" t="s">
        <v>902</v>
      </c>
      <c r="D1082" s="4" t="s">
        <v>903</v>
      </c>
      <c r="E1082" s="4" t="s">
        <v>5804</v>
      </c>
      <c r="F1082" t="s">
        <v>956</v>
      </c>
      <c r="G1082" t="s">
        <v>956</v>
      </c>
      <c r="H1082" t="s">
        <v>53</v>
      </c>
      <c r="I1082" t="s">
        <v>53</v>
      </c>
      <c r="J1082" s="5" t="s">
        <v>53</v>
      </c>
      <c r="K1082" t="s">
        <v>146</v>
      </c>
      <c r="L1082" s="6">
        <v>43313</v>
      </c>
      <c r="M1082">
        <v>8</v>
      </c>
      <c r="N1082" s="7" t="s">
        <v>55</v>
      </c>
      <c r="O1082" t="s">
        <v>88</v>
      </c>
      <c r="P1082" t="s">
        <v>1046</v>
      </c>
      <c r="Q1082" t="s">
        <v>1047</v>
      </c>
      <c r="R1082" t="s">
        <v>1048</v>
      </c>
    </row>
    <row r="1083" spans="1:18" hidden="1">
      <c r="A1083">
        <v>12</v>
      </c>
      <c r="B1083" s="4" t="s">
        <v>901</v>
      </c>
      <c r="C1083" s="4" t="s">
        <v>902</v>
      </c>
      <c r="D1083" s="4" t="s">
        <v>903</v>
      </c>
      <c r="E1083" s="4" t="s">
        <v>5804</v>
      </c>
      <c r="F1083" t="s">
        <v>956</v>
      </c>
      <c r="G1083" t="s">
        <v>956</v>
      </c>
      <c r="H1083" t="s">
        <v>53</v>
      </c>
      <c r="I1083" t="s">
        <v>53</v>
      </c>
      <c r="J1083" s="5" t="s">
        <v>53</v>
      </c>
      <c r="K1083" t="s">
        <v>1085</v>
      </c>
      <c r="L1083" s="6">
        <v>43862</v>
      </c>
      <c r="M1083">
        <v>2</v>
      </c>
      <c r="N1083" s="7" t="s">
        <v>30</v>
      </c>
      <c r="O1083" t="s">
        <v>36</v>
      </c>
      <c r="P1083" t="s">
        <v>1090</v>
      </c>
      <c r="Q1083" t="s">
        <v>967</v>
      </c>
      <c r="R1083" t="s">
        <v>968</v>
      </c>
    </row>
    <row r="1084" spans="1:18" hidden="1">
      <c r="A1084">
        <v>12</v>
      </c>
      <c r="B1084" s="4" t="s">
        <v>901</v>
      </c>
      <c r="C1084" s="4" t="s">
        <v>1455</v>
      </c>
      <c r="D1084" s="4" t="s">
        <v>1456</v>
      </c>
      <c r="E1084" s="4" t="s">
        <v>5804</v>
      </c>
      <c r="F1084" t="s">
        <v>956</v>
      </c>
      <c r="G1084" t="s">
        <v>956</v>
      </c>
      <c r="H1084" t="s">
        <v>53</v>
      </c>
      <c r="I1084" t="s">
        <v>53</v>
      </c>
      <c r="J1084" s="5" t="s">
        <v>53</v>
      </c>
      <c r="K1084" t="s">
        <v>115</v>
      </c>
      <c r="L1084" s="6">
        <v>42461</v>
      </c>
      <c r="M1084">
        <v>4</v>
      </c>
      <c r="N1084" s="7" t="s">
        <v>23</v>
      </c>
      <c r="O1084" t="s">
        <v>24</v>
      </c>
      <c r="P1084" t="s">
        <v>1457</v>
      </c>
      <c r="Q1084" t="s">
        <v>1458</v>
      </c>
      <c r="R1084" t="s">
        <v>1459</v>
      </c>
    </row>
    <row r="1085" spans="1:18" hidden="1">
      <c r="A1085">
        <v>12</v>
      </c>
      <c r="B1085" s="4" t="s">
        <v>901</v>
      </c>
      <c r="C1085" s="4" t="s">
        <v>1463</v>
      </c>
      <c r="D1085" s="4" t="s">
        <v>1538</v>
      </c>
      <c r="E1085" s="4" t="s">
        <v>5804</v>
      </c>
      <c r="F1085" t="s">
        <v>956</v>
      </c>
      <c r="G1085" t="s">
        <v>956</v>
      </c>
      <c r="H1085" t="s">
        <v>53</v>
      </c>
      <c r="I1085" t="s">
        <v>53</v>
      </c>
      <c r="J1085" s="5" t="s">
        <v>53</v>
      </c>
      <c r="K1085" t="s">
        <v>71</v>
      </c>
      <c r="L1085" s="6">
        <v>42522</v>
      </c>
      <c r="M1085">
        <v>6</v>
      </c>
      <c r="N1085" s="7" t="s">
        <v>55</v>
      </c>
      <c r="O1085" t="s">
        <v>36</v>
      </c>
      <c r="P1085" t="s">
        <v>1539</v>
      </c>
      <c r="Q1085" t="s">
        <v>1540</v>
      </c>
      <c r="R1085" t="s">
        <v>1541</v>
      </c>
    </row>
    <row r="1086" spans="1:18" hidden="1">
      <c r="A1086">
        <v>12</v>
      </c>
      <c r="B1086" s="4" t="s">
        <v>901</v>
      </c>
      <c r="C1086" s="4" t="s">
        <v>1672</v>
      </c>
      <c r="D1086" s="4" t="s">
        <v>1673</v>
      </c>
      <c r="E1086" s="4" t="s">
        <v>5804</v>
      </c>
      <c r="F1086" t="s">
        <v>956</v>
      </c>
      <c r="G1086" t="s">
        <v>956</v>
      </c>
      <c r="H1086" t="s">
        <v>53</v>
      </c>
      <c r="I1086" t="s">
        <v>53</v>
      </c>
      <c r="J1086" s="5" t="s">
        <v>53</v>
      </c>
      <c r="K1086" t="s">
        <v>119</v>
      </c>
      <c r="L1086" s="6">
        <v>42552</v>
      </c>
      <c r="M1086">
        <v>7</v>
      </c>
      <c r="N1086" s="7" t="s">
        <v>55</v>
      </c>
      <c r="O1086" t="s">
        <v>88</v>
      </c>
      <c r="P1086" t="s">
        <v>1711</v>
      </c>
      <c r="Q1086" t="s">
        <v>1712</v>
      </c>
      <c r="R1086" t="s">
        <v>1713</v>
      </c>
    </row>
    <row r="1087" spans="1:18" hidden="1">
      <c r="A1087">
        <v>12</v>
      </c>
      <c r="B1087" s="4" t="s">
        <v>901</v>
      </c>
      <c r="C1087" s="4" t="s">
        <v>1672</v>
      </c>
      <c r="D1087" s="4" t="s">
        <v>1673</v>
      </c>
      <c r="E1087" s="4" t="s">
        <v>5804</v>
      </c>
      <c r="F1087" t="s">
        <v>956</v>
      </c>
      <c r="G1087" t="s">
        <v>956</v>
      </c>
      <c r="H1087" t="s">
        <v>53</v>
      </c>
      <c r="I1087" t="s">
        <v>53</v>
      </c>
      <c r="J1087" s="5" t="s">
        <v>53</v>
      </c>
      <c r="K1087" t="s">
        <v>797</v>
      </c>
      <c r="L1087" s="6">
        <v>43252</v>
      </c>
      <c r="M1087">
        <v>6</v>
      </c>
      <c r="N1087" s="7" t="s">
        <v>55</v>
      </c>
      <c r="O1087" t="s">
        <v>31</v>
      </c>
      <c r="P1087" t="s">
        <v>1808</v>
      </c>
      <c r="Q1087" t="s">
        <v>1809</v>
      </c>
      <c r="R1087" t="s">
        <v>1810</v>
      </c>
    </row>
    <row r="1088" spans="1:18" hidden="1">
      <c r="A1088">
        <v>12</v>
      </c>
      <c r="B1088" s="4" t="s">
        <v>901</v>
      </c>
      <c r="C1088" s="4" t="s">
        <v>1672</v>
      </c>
      <c r="D1088" s="4" t="s">
        <v>1673</v>
      </c>
      <c r="E1088" s="4" t="s">
        <v>5804</v>
      </c>
      <c r="F1088" t="s">
        <v>956</v>
      </c>
      <c r="G1088" t="s">
        <v>956</v>
      </c>
      <c r="H1088" t="s">
        <v>53</v>
      </c>
      <c r="I1088" t="s">
        <v>53</v>
      </c>
      <c r="J1088" s="5" t="s">
        <v>53</v>
      </c>
      <c r="K1088" t="s">
        <v>93</v>
      </c>
      <c r="L1088" s="6">
        <v>43282</v>
      </c>
      <c r="M1088">
        <v>7</v>
      </c>
      <c r="N1088" s="7" t="s">
        <v>55</v>
      </c>
      <c r="O1088" t="s">
        <v>88</v>
      </c>
      <c r="P1088" t="s">
        <v>1811</v>
      </c>
      <c r="Q1088" t="s">
        <v>1812</v>
      </c>
      <c r="R1088" t="s">
        <v>1810</v>
      </c>
    </row>
    <row r="1089" spans="1:18" hidden="1">
      <c r="A1089">
        <v>12</v>
      </c>
      <c r="B1089" s="4" t="s">
        <v>901</v>
      </c>
      <c r="C1089" s="4" t="s">
        <v>1672</v>
      </c>
      <c r="D1089" s="4" t="s">
        <v>1673</v>
      </c>
      <c r="E1089" s="4" t="s">
        <v>5804</v>
      </c>
      <c r="F1089" t="s">
        <v>956</v>
      </c>
      <c r="G1089" t="s">
        <v>956</v>
      </c>
      <c r="H1089" t="s">
        <v>53</v>
      </c>
      <c r="I1089" t="s">
        <v>53</v>
      </c>
      <c r="J1089" s="5" t="s">
        <v>53</v>
      </c>
      <c r="K1089" t="s">
        <v>146</v>
      </c>
      <c r="L1089" s="6">
        <v>43313</v>
      </c>
      <c r="M1089">
        <v>8</v>
      </c>
      <c r="N1089" s="7" t="s">
        <v>55</v>
      </c>
      <c r="O1089" t="s">
        <v>72</v>
      </c>
      <c r="P1089" t="s">
        <v>1815</v>
      </c>
      <c r="Q1089" t="s">
        <v>1816</v>
      </c>
      <c r="R1089" t="s">
        <v>1817</v>
      </c>
    </row>
    <row r="1090" spans="1:18" hidden="1">
      <c r="A1090">
        <v>12</v>
      </c>
      <c r="B1090" s="4" t="s">
        <v>901</v>
      </c>
      <c r="C1090" s="4" t="s">
        <v>1672</v>
      </c>
      <c r="D1090" s="4" t="s">
        <v>1673</v>
      </c>
      <c r="E1090" s="4" t="s">
        <v>5804</v>
      </c>
      <c r="F1090" t="s">
        <v>956</v>
      </c>
      <c r="G1090" t="s">
        <v>956</v>
      </c>
      <c r="H1090" t="s">
        <v>53</v>
      </c>
      <c r="I1090" t="s">
        <v>53</v>
      </c>
      <c r="J1090" s="5" t="s">
        <v>53</v>
      </c>
      <c r="K1090" t="s">
        <v>146</v>
      </c>
      <c r="L1090" s="6">
        <v>43313</v>
      </c>
      <c r="M1090">
        <v>8</v>
      </c>
      <c r="N1090" s="7" t="s">
        <v>55</v>
      </c>
      <c r="O1090" t="s">
        <v>31</v>
      </c>
      <c r="P1090" t="s">
        <v>1818</v>
      </c>
      <c r="Q1090" t="s">
        <v>1819</v>
      </c>
      <c r="R1090" t="s">
        <v>1820</v>
      </c>
    </row>
    <row r="1091" spans="1:18" hidden="1">
      <c r="A1091">
        <v>12</v>
      </c>
      <c r="B1091" s="4" t="s">
        <v>901</v>
      </c>
      <c r="C1091" s="4" t="s">
        <v>1672</v>
      </c>
      <c r="D1091" s="4" t="s">
        <v>1673</v>
      </c>
      <c r="E1091" s="4" t="s">
        <v>5804</v>
      </c>
      <c r="F1091" t="s">
        <v>956</v>
      </c>
      <c r="G1091" t="s">
        <v>956</v>
      </c>
      <c r="H1091" t="s">
        <v>53</v>
      </c>
      <c r="I1091" t="s">
        <v>53</v>
      </c>
      <c r="J1091" s="5" t="s">
        <v>53</v>
      </c>
      <c r="K1091" t="s">
        <v>152</v>
      </c>
      <c r="L1091" s="6">
        <v>43374</v>
      </c>
      <c r="M1091">
        <v>10</v>
      </c>
      <c r="N1091" s="7" t="s">
        <v>23</v>
      </c>
      <c r="O1091" t="s">
        <v>31</v>
      </c>
      <c r="P1091" t="s">
        <v>1836</v>
      </c>
      <c r="Q1091" t="s">
        <v>1837</v>
      </c>
      <c r="R1091" t="s">
        <v>1838</v>
      </c>
    </row>
    <row r="1092" spans="1:18" hidden="1">
      <c r="A1092">
        <v>12</v>
      </c>
      <c r="B1092" s="4" t="s">
        <v>901</v>
      </c>
      <c r="C1092" s="4" t="s">
        <v>1672</v>
      </c>
      <c r="D1092" s="4" t="s">
        <v>1673</v>
      </c>
      <c r="E1092" s="4" t="s">
        <v>5804</v>
      </c>
      <c r="F1092" t="s">
        <v>956</v>
      </c>
      <c r="G1092" t="s">
        <v>956</v>
      </c>
      <c r="H1092" t="s">
        <v>53</v>
      </c>
      <c r="I1092" t="s">
        <v>53</v>
      </c>
      <c r="J1092" s="5" t="s">
        <v>53</v>
      </c>
      <c r="K1092" t="s">
        <v>654</v>
      </c>
      <c r="L1092" s="6">
        <v>43556</v>
      </c>
      <c r="M1092">
        <v>4</v>
      </c>
      <c r="N1092" s="7" t="s">
        <v>23</v>
      </c>
      <c r="O1092" t="s">
        <v>88</v>
      </c>
      <c r="P1092" t="s">
        <v>1857</v>
      </c>
      <c r="Q1092" t="s">
        <v>1812</v>
      </c>
      <c r="R1092" t="s">
        <v>1810</v>
      </c>
    </row>
    <row r="1093" spans="1:18" hidden="1">
      <c r="A1093">
        <v>12</v>
      </c>
      <c r="B1093" s="4" t="s">
        <v>901</v>
      </c>
      <c r="C1093" s="4" t="s">
        <v>1672</v>
      </c>
      <c r="D1093" s="4" t="s">
        <v>1673</v>
      </c>
      <c r="E1093" s="4" t="s">
        <v>5804</v>
      </c>
      <c r="F1093" t="s">
        <v>956</v>
      </c>
      <c r="G1093" t="s">
        <v>956</v>
      </c>
      <c r="H1093" t="s">
        <v>53</v>
      </c>
      <c r="I1093" t="s">
        <v>53</v>
      </c>
      <c r="J1093" s="5" t="s">
        <v>53</v>
      </c>
      <c r="K1093" t="s">
        <v>839</v>
      </c>
      <c r="L1093" s="6">
        <v>43800</v>
      </c>
      <c r="M1093">
        <v>12</v>
      </c>
      <c r="N1093" s="7" t="s">
        <v>30</v>
      </c>
      <c r="O1093" t="s">
        <v>88</v>
      </c>
      <c r="P1093" t="s">
        <v>1878</v>
      </c>
      <c r="Q1093" t="s">
        <v>1879</v>
      </c>
      <c r="R1093" t="s">
        <v>1880</v>
      </c>
    </row>
    <row r="1094" spans="1:18" hidden="1">
      <c r="A1094">
        <v>4</v>
      </c>
      <c r="B1094" s="4" t="s">
        <v>3127</v>
      </c>
      <c r="C1094" s="4" t="s">
        <v>3789</v>
      </c>
      <c r="D1094" s="4" t="s">
        <v>3790</v>
      </c>
      <c r="E1094" s="4" t="s">
        <v>5804</v>
      </c>
      <c r="F1094" t="s">
        <v>956</v>
      </c>
      <c r="G1094" t="s">
        <v>956</v>
      </c>
      <c r="H1094" t="s">
        <v>53</v>
      </c>
      <c r="I1094" t="s">
        <v>53</v>
      </c>
      <c r="J1094" s="5" t="s">
        <v>53</v>
      </c>
      <c r="K1094" t="s">
        <v>60</v>
      </c>
      <c r="L1094" s="6">
        <v>42370</v>
      </c>
      <c r="M1094">
        <v>1</v>
      </c>
      <c r="N1094" s="7" t="s">
        <v>30</v>
      </c>
      <c r="O1094" t="s">
        <v>88</v>
      </c>
      <c r="P1094" t="s">
        <v>3794</v>
      </c>
      <c r="Q1094" t="s">
        <v>3795</v>
      </c>
      <c r="R1094" t="s">
        <v>3796</v>
      </c>
    </row>
    <row r="1095" spans="1:18" hidden="1">
      <c r="A1095">
        <v>4</v>
      </c>
      <c r="B1095" s="4" t="s">
        <v>3127</v>
      </c>
      <c r="C1095" s="4" t="s">
        <v>3789</v>
      </c>
      <c r="D1095" s="4" t="s">
        <v>3815</v>
      </c>
      <c r="E1095" s="4" t="s">
        <v>5804</v>
      </c>
      <c r="F1095" t="s">
        <v>956</v>
      </c>
      <c r="G1095" t="s">
        <v>956</v>
      </c>
      <c r="H1095" t="s">
        <v>53</v>
      </c>
      <c r="I1095" t="s">
        <v>53</v>
      </c>
      <c r="J1095" s="5" t="s">
        <v>53</v>
      </c>
      <c r="K1095" t="s">
        <v>278</v>
      </c>
      <c r="L1095" s="6">
        <v>42675</v>
      </c>
      <c r="M1095">
        <v>11</v>
      </c>
      <c r="N1095" s="7" t="s">
        <v>23</v>
      </c>
      <c r="O1095" t="s">
        <v>88</v>
      </c>
      <c r="P1095" t="s">
        <v>3843</v>
      </c>
      <c r="Q1095" t="s">
        <v>3844</v>
      </c>
      <c r="R1095" t="s">
        <v>3845</v>
      </c>
    </row>
    <row r="1096" spans="1:18" hidden="1">
      <c r="A1096">
        <v>4</v>
      </c>
      <c r="B1096" s="4" t="s">
        <v>3127</v>
      </c>
      <c r="C1096" s="4" t="s">
        <v>3789</v>
      </c>
      <c r="D1096" s="4" t="s">
        <v>3815</v>
      </c>
      <c r="E1096" s="4" t="s">
        <v>5804</v>
      </c>
      <c r="F1096" t="s">
        <v>956</v>
      </c>
      <c r="G1096" t="s">
        <v>956</v>
      </c>
      <c r="H1096" t="s">
        <v>53</v>
      </c>
      <c r="I1096" t="s">
        <v>53</v>
      </c>
      <c r="J1096" s="5" t="s">
        <v>53</v>
      </c>
      <c r="K1096" t="s">
        <v>477</v>
      </c>
      <c r="L1096" s="6">
        <v>42705</v>
      </c>
      <c r="M1096">
        <v>12</v>
      </c>
      <c r="N1096" s="7" t="s">
        <v>30</v>
      </c>
      <c r="O1096" t="s">
        <v>24</v>
      </c>
      <c r="P1096" t="s">
        <v>3846</v>
      </c>
      <c r="Q1096" t="s">
        <v>3847</v>
      </c>
      <c r="R1096" t="s">
        <v>3845</v>
      </c>
    </row>
    <row r="1097" spans="1:18" hidden="1">
      <c r="A1097">
        <v>4</v>
      </c>
      <c r="B1097" s="4" t="s">
        <v>3127</v>
      </c>
      <c r="C1097" s="4" t="s">
        <v>3789</v>
      </c>
      <c r="D1097" s="4" t="s">
        <v>3815</v>
      </c>
      <c r="E1097" s="4" t="s">
        <v>5804</v>
      </c>
      <c r="F1097" t="s">
        <v>956</v>
      </c>
      <c r="G1097" t="s">
        <v>956</v>
      </c>
      <c r="H1097" t="s">
        <v>53</v>
      </c>
      <c r="I1097" t="s">
        <v>53</v>
      </c>
      <c r="J1097" s="5" t="s">
        <v>53</v>
      </c>
      <c r="K1097" t="s">
        <v>547</v>
      </c>
      <c r="L1097" s="6">
        <v>44075</v>
      </c>
      <c r="M1097">
        <v>9</v>
      </c>
      <c r="N1097" s="7" t="s">
        <v>23</v>
      </c>
      <c r="O1097" t="s">
        <v>88</v>
      </c>
      <c r="P1097" t="s">
        <v>3912</v>
      </c>
      <c r="Q1097" t="s">
        <v>3913</v>
      </c>
      <c r="R1097" t="s">
        <v>3845</v>
      </c>
    </row>
    <row r="1098" spans="1:18" hidden="1">
      <c r="A1098">
        <v>4</v>
      </c>
      <c r="B1098" s="4" t="s">
        <v>3127</v>
      </c>
      <c r="C1098" s="4" t="s">
        <v>3789</v>
      </c>
      <c r="D1098" s="4" t="s">
        <v>3815</v>
      </c>
      <c r="E1098" s="4" t="s">
        <v>5804</v>
      </c>
      <c r="F1098" t="s">
        <v>956</v>
      </c>
      <c r="G1098" t="s">
        <v>956</v>
      </c>
      <c r="H1098" t="s">
        <v>53</v>
      </c>
      <c r="I1098" t="s">
        <v>53</v>
      </c>
      <c r="J1098" s="5" t="s">
        <v>53</v>
      </c>
      <c r="K1098" t="s">
        <v>377</v>
      </c>
      <c r="L1098" s="6">
        <v>44470</v>
      </c>
      <c r="M1098">
        <v>10</v>
      </c>
      <c r="N1098" s="7" t="s">
        <v>23</v>
      </c>
      <c r="O1098" t="s">
        <v>24</v>
      </c>
      <c r="P1098" t="s">
        <v>3929</v>
      </c>
      <c r="Q1098" t="s">
        <v>3930</v>
      </c>
      <c r="R1098" t="s">
        <v>3931</v>
      </c>
    </row>
    <row r="1099" spans="1:18" hidden="1">
      <c r="A1099">
        <v>4</v>
      </c>
      <c r="B1099" s="4" t="s">
        <v>3127</v>
      </c>
      <c r="C1099" s="4" t="s">
        <v>4207</v>
      </c>
      <c r="D1099" s="4" t="s">
        <v>4257</v>
      </c>
      <c r="E1099" s="4" t="s">
        <v>5804</v>
      </c>
      <c r="F1099" t="s">
        <v>956</v>
      </c>
      <c r="G1099" t="s">
        <v>956</v>
      </c>
      <c r="H1099" t="s">
        <v>53</v>
      </c>
      <c r="I1099" t="s">
        <v>53</v>
      </c>
      <c r="J1099" s="5" t="s">
        <v>53</v>
      </c>
      <c r="K1099" t="s">
        <v>1085</v>
      </c>
      <c r="L1099" s="6">
        <v>43862</v>
      </c>
      <c r="M1099">
        <v>2</v>
      </c>
      <c r="N1099" s="7" t="s">
        <v>30</v>
      </c>
      <c r="O1099" t="s">
        <v>88</v>
      </c>
      <c r="P1099" t="s">
        <v>4507</v>
      </c>
      <c r="Q1099" t="s">
        <v>3844</v>
      </c>
      <c r="R1099" t="s">
        <v>4508</v>
      </c>
    </row>
    <row r="1100" spans="1:18" hidden="1">
      <c r="A1100">
        <v>5</v>
      </c>
      <c r="B1100" s="4" t="s">
        <v>4600</v>
      </c>
      <c r="C1100" s="4" t="s">
        <v>4601</v>
      </c>
      <c r="D1100" s="4" t="s">
        <v>4602</v>
      </c>
      <c r="E1100" s="4" t="s">
        <v>5804</v>
      </c>
      <c r="F1100" t="s">
        <v>956</v>
      </c>
      <c r="G1100" t="s">
        <v>956</v>
      </c>
      <c r="H1100" t="s">
        <v>53</v>
      </c>
      <c r="I1100" t="s">
        <v>53</v>
      </c>
      <c r="J1100" s="5" t="s">
        <v>53</v>
      </c>
      <c r="K1100" t="s">
        <v>382</v>
      </c>
      <c r="L1100" s="6">
        <v>42401</v>
      </c>
      <c r="M1100">
        <v>2</v>
      </c>
      <c r="N1100" s="7" t="s">
        <v>30</v>
      </c>
      <c r="O1100" t="s">
        <v>36</v>
      </c>
      <c r="P1100" t="s">
        <v>4603</v>
      </c>
      <c r="Q1100" t="s">
        <v>4604</v>
      </c>
      <c r="R1100" t="s">
        <v>4605</v>
      </c>
    </row>
    <row r="1101" spans="1:18" hidden="1">
      <c r="A1101">
        <v>5</v>
      </c>
      <c r="B1101" s="4" t="s">
        <v>4600</v>
      </c>
      <c r="C1101" s="4" t="s">
        <v>4601</v>
      </c>
      <c r="D1101" s="4" t="s">
        <v>4748</v>
      </c>
      <c r="E1101" s="4" t="s">
        <v>5804</v>
      </c>
      <c r="F1101" t="s">
        <v>956</v>
      </c>
      <c r="G1101" t="s">
        <v>956</v>
      </c>
      <c r="H1101" t="s">
        <v>53</v>
      </c>
      <c r="I1101" t="s">
        <v>53</v>
      </c>
      <c r="J1101" s="5" t="s">
        <v>53</v>
      </c>
      <c r="K1101" t="s">
        <v>65</v>
      </c>
      <c r="L1101" s="6">
        <v>42430</v>
      </c>
      <c r="M1101">
        <v>3</v>
      </c>
      <c r="N1101" s="7" t="s">
        <v>23</v>
      </c>
      <c r="O1101" t="s">
        <v>31</v>
      </c>
      <c r="P1101" t="s">
        <v>4760</v>
      </c>
      <c r="Q1101" t="s">
        <v>4761</v>
      </c>
      <c r="R1101" t="s">
        <v>4762</v>
      </c>
    </row>
    <row r="1102" spans="1:18" hidden="1">
      <c r="A1102">
        <v>5</v>
      </c>
      <c r="B1102" s="4" t="s">
        <v>4600</v>
      </c>
      <c r="C1102" s="4" t="s">
        <v>4601</v>
      </c>
      <c r="D1102" s="4" t="s">
        <v>4748</v>
      </c>
      <c r="E1102" s="4" t="s">
        <v>5804</v>
      </c>
      <c r="F1102" t="s">
        <v>956</v>
      </c>
      <c r="G1102" t="s">
        <v>956</v>
      </c>
      <c r="H1102" t="s">
        <v>53</v>
      </c>
      <c r="I1102" t="s">
        <v>53</v>
      </c>
      <c r="J1102" s="5" t="s">
        <v>53</v>
      </c>
      <c r="K1102" t="s">
        <v>292</v>
      </c>
      <c r="L1102" s="6">
        <v>43191</v>
      </c>
      <c r="M1102">
        <v>4</v>
      </c>
      <c r="N1102" s="7" t="s">
        <v>23</v>
      </c>
      <c r="O1102" t="s">
        <v>246</v>
      </c>
      <c r="P1102" t="s">
        <v>4795</v>
      </c>
      <c r="Q1102" t="s">
        <v>4796</v>
      </c>
      <c r="R1102" t="s">
        <v>4772</v>
      </c>
    </row>
    <row r="1103" spans="1:18" hidden="1">
      <c r="A1103">
        <v>5</v>
      </c>
      <c r="B1103" s="4" t="s">
        <v>4600</v>
      </c>
      <c r="C1103" s="4" t="s">
        <v>4601</v>
      </c>
      <c r="D1103" s="4" t="s">
        <v>4748</v>
      </c>
      <c r="E1103" s="4" t="s">
        <v>5804</v>
      </c>
      <c r="F1103" t="s">
        <v>956</v>
      </c>
      <c r="G1103" t="s">
        <v>956</v>
      </c>
      <c r="H1103" t="s">
        <v>53</v>
      </c>
      <c r="I1103" t="s">
        <v>53</v>
      </c>
      <c r="J1103" s="5" t="s">
        <v>53</v>
      </c>
      <c r="K1103" t="s">
        <v>251</v>
      </c>
      <c r="L1103" s="6">
        <v>43952</v>
      </c>
      <c r="M1103">
        <v>5</v>
      </c>
      <c r="N1103" s="7" t="s">
        <v>23</v>
      </c>
      <c r="O1103" t="s">
        <v>31</v>
      </c>
      <c r="P1103" t="s">
        <v>4829</v>
      </c>
      <c r="Q1103" t="s">
        <v>4731</v>
      </c>
      <c r="R1103" t="s">
        <v>4732</v>
      </c>
    </row>
    <row r="1104" spans="1:18" hidden="1">
      <c r="A1104">
        <v>5</v>
      </c>
      <c r="B1104" s="4" t="s">
        <v>4600</v>
      </c>
      <c r="C1104" s="4" t="s">
        <v>4601</v>
      </c>
      <c r="D1104" s="4" t="s">
        <v>4748</v>
      </c>
      <c r="E1104" s="4" t="s">
        <v>5804</v>
      </c>
      <c r="F1104" t="s">
        <v>956</v>
      </c>
      <c r="G1104" t="s">
        <v>956</v>
      </c>
      <c r="H1104" t="s">
        <v>53</v>
      </c>
      <c r="I1104" t="s">
        <v>53</v>
      </c>
      <c r="J1104" s="5" t="s">
        <v>53</v>
      </c>
      <c r="K1104" t="s">
        <v>182</v>
      </c>
      <c r="L1104" s="6">
        <v>44501</v>
      </c>
      <c r="M1104">
        <v>11</v>
      </c>
      <c r="N1104" s="7" t="s">
        <v>23</v>
      </c>
      <c r="O1104" t="s">
        <v>31</v>
      </c>
      <c r="P1104" t="s">
        <v>4848</v>
      </c>
      <c r="Q1104" t="s">
        <v>4849</v>
      </c>
      <c r="R1104" t="s">
        <v>4762</v>
      </c>
    </row>
    <row r="1105" spans="1:18" hidden="1">
      <c r="A1105">
        <v>5</v>
      </c>
      <c r="B1105" s="4" t="s">
        <v>4600</v>
      </c>
      <c r="C1105" s="4" t="s">
        <v>4601</v>
      </c>
      <c r="D1105" s="4" t="s">
        <v>4853</v>
      </c>
      <c r="E1105" s="4" t="s">
        <v>5804</v>
      </c>
      <c r="F1105" t="s">
        <v>956</v>
      </c>
      <c r="G1105" t="s">
        <v>956</v>
      </c>
      <c r="H1105" t="s">
        <v>53</v>
      </c>
      <c r="I1105" t="s">
        <v>53</v>
      </c>
      <c r="J1105" s="5" t="s">
        <v>53</v>
      </c>
      <c r="K1105" t="s">
        <v>477</v>
      </c>
      <c r="L1105" s="6">
        <v>42705</v>
      </c>
      <c r="M1105">
        <v>12</v>
      </c>
      <c r="N1105" s="7" t="s">
        <v>30</v>
      </c>
      <c r="O1105" t="s">
        <v>31</v>
      </c>
      <c r="P1105" t="s">
        <v>4879</v>
      </c>
      <c r="Q1105" t="s">
        <v>4880</v>
      </c>
      <c r="R1105" t="s">
        <v>4881</v>
      </c>
    </row>
    <row r="1106" spans="1:18" hidden="1">
      <c r="A1106">
        <v>5</v>
      </c>
      <c r="B1106" s="4" t="s">
        <v>4600</v>
      </c>
      <c r="C1106" s="4" t="s">
        <v>4601</v>
      </c>
      <c r="D1106" s="4" t="s">
        <v>4853</v>
      </c>
      <c r="E1106" s="4" t="s">
        <v>5804</v>
      </c>
      <c r="F1106" t="s">
        <v>956</v>
      </c>
      <c r="G1106" t="s">
        <v>956</v>
      </c>
      <c r="H1106" t="s">
        <v>53</v>
      </c>
      <c r="I1106" t="s">
        <v>53</v>
      </c>
      <c r="J1106" s="5" t="s">
        <v>53</v>
      </c>
      <c r="K1106" t="s">
        <v>547</v>
      </c>
      <c r="L1106" s="6">
        <v>44075</v>
      </c>
      <c r="M1106">
        <v>9</v>
      </c>
      <c r="N1106" s="7" t="s">
        <v>23</v>
      </c>
      <c r="O1106" t="s">
        <v>31</v>
      </c>
      <c r="P1106" t="s">
        <v>4930</v>
      </c>
      <c r="Q1106" t="s">
        <v>4875</v>
      </c>
      <c r="R1106" t="s">
        <v>4876</v>
      </c>
    </row>
    <row r="1107" spans="1:18" hidden="1">
      <c r="A1107">
        <v>5</v>
      </c>
      <c r="B1107" s="4" t="s">
        <v>4600</v>
      </c>
      <c r="C1107" s="4" t="s">
        <v>4601</v>
      </c>
      <c r="D1107" s="4" t="s">
        <v>4853</v>
      </c>
      <c r="E1107" s="4" t="s">
        <v>5804</v>
      </c>
      <c r="F1107" t="s">
        <v>956</v>
      </c>
      <c r="G1107" t="s">
        <v>956</v>
      </c>
      <c r="H1107" t="s">
        <v>53</v>
      </c>
      <c r="I1107" t="s">
        <v>53</v>
      </c>
      <c r="J1107" s="5" t="s">
        <v>53</v>
      </c>
      <c r="K1107" t="s">
        <v>4931</v>
      </c>
      <c r="L1107" s="6">
        <v>44105</v>
      </c>
      <c r="M1107">
        <v>10</v>
      </c>
      <c r="N1107" s="7" t="s">
        <v>23</v>
      </c>
      <c r="O1107" t="s">
        <v>31</v>
      </c>
      <c r="P1107" t="s">
        <v>4932</v>
      </c>
      <c r="Q1107" t="s">
        <v>4875</v>
      </c>
      <c r="R1107" t="s">
        <v>4876</v>
      </c>
    </row>
    <row r="1108" spans="1:18" hidden="1">
      <c r="A1108">
        <v>5</v>
      </c>
      <c r="B1108" s="4" t="s">
        <v>4600</v>
      </c>
      <c r="C1108" s="4" t="s">
        <v>4933</v>
      </c>
      <c r="D1108" s="4" t="s">
        <v>4934</v>
      </c>
      <c r="E1108" s="4" t="s">
        <v>5804</v>
      </c>
      <c r="F1108" t="s">
        <v>956</v>
      </c>
      <c r="G1108" t="s">
        <v>956</v>
      </c>
      <c r="H1108" t="s">
        <v>53</v>
      </c>
      <c r="I1108" t="s">
        <v>53</v>
      </c>
      <c r="J1108" s="5" t="s">
        <v>53</v>
      </c>
      <c r="K1108" t="s">
        <v>382</v>
      </c>
      <c r="L1108" s="6">
        <v>42401</v>
      </c>
      <c r="M1108">
        <v>2</v>
      </c>
      <c r="N1108" s="7" t="s">
        <v>30</v>
      </c>
      <c r="O1108" t="s">
        <v>223</v>
      </c>
      <c r="P1108" t="s">
        <v>4935</v>
      </c>
      <c r="Q1108" t="s">
        <v>4936</v>
      </c>
      <c r="R1108" t="s">
        <v>4937</v>
      </c>
    </row>
    <row r="1109" spans="1:18" hidden="1">
      <c r="A1109">
        <v>5</v>
      </c>
      <c r="B1109" s="4" t="s">
        <v>4600</v>
      </c>
      <c r="C1109" s="4" t="s">
        <v>4933</v>
      </c>
      <c r="D1109" s="4" t="s">
        <v>4934</v>
      </c>
      <c r="E1109" s="4" t="s">
        <v>5804</v>
      </c>
      <c r="F1109" t="s">
        <v>956</v>
      </c>
      <c r="G1109" t="s">
        <v>956</v>
      </c>
      <c r="H1109" t="s">
        <v>53</v>
      </c>
      <c r="I1109" t="s">
        <v>53</v>
      </c>
      <c r="J1109" s="5" t="s">
        <v>53</v>
      </c>
      <c r="K1109" t="s">
        <v>115</v>
      </c>
      <c r="L1109" s="6">
        <v>42461</v>
      </c>
      <c r="M1109">
        <v>4</v>
      </c>
      <c r="N1109" s="7" t="s">
        <v>23</v>
      </c>
      <c r="O1109" t="s">
        <v>88</v>
      </c>
      <c r="P1109" t="s">
        <v>4944</v>
      </c>
      <c r="Q1109" t="s">
        <v>4945</v>
      </c>
      <c r="R1109" t="s">
        <v>4946</v>
      </c>
    </row>
    <row r="1110" spans="1:18" hidden="1">
      <c r="A1110">
        <v>5</v>
      </c>
      <c r="B1110" s="4" t="s">
        <v>4600</v>
      </c>
      <c r="C1110" s="4" t="s">
        <v>4933</v>
      </c>
      <c r="D1110" s="4" t="s">
        <v>4934</v>
      </c>
      <c r="E1110" s="4" t="s">
        <v>5804</v>
      </c>
      <c r="F1110" t="s">
        <v>956</v>
      </c>
      <c r="G1110" t="s">
        <v>956</v>
      </c>
      <c r="H1110" t="s">
        <v>53</v>
      </c>
      <c r="I1110" t="s">
        <v>53</v>
      </c>
      <c r="J1110" s="5" t="s">
        <v>53</v>
      </c>
      <c r="K1110" t="s">
        <v>119</v>
      </c>
      <c r="L1110" s="6">
        <v>42552</v>
      </c>
      <c r="M1110">
        <v>7</v>
      </c>
      <c r="N1110" s="7" t="s">
        <v>55</v>
      </c>
      <c r="O1110" t="s">
        <v>193</v>
      </c>
      <c r="P1110" t="s">
        <v>4947</v>
      </c>
      <c r="Q1110" t="s">
        <v>4948</v>
      </c>
      <c r="R1110" t="s">
        <v>4949</v>
      </c>
    </row>
    <row r="1111" spans="1:18" hidden="1">
      <c r="A1111">
        <v>5</v>
      </c>
      <c r="B1111" s="4" t="s">
        <v>4600</v>
      </c>
      <c r="C1111" s="4" t="s">
        <v>4933</v>
      </c>
      <c r="D1111" s="4" t="s">
        <v>4934</v>
      </c>
      <c r="E1111" s="4" t="s">
        <v>5804</v>
      </c>
      <c r="F1111" t="s">
        <v>956</v>
      </c>
      <c r="G1111" t="s">
        <v>956</v>
      </c>
      <c r="H1111" t="s">
        <v>53</v>
      </c>
      <c r="I1111" t="s">
        <v>53</v>
      </c>
      <c r="J1111" s="5" t="s">
        <v>53</v>
      </c>
      <c r="K1111" t="s">
        <v>278</v>
      </c>
      <c r="L1111" s="6">
        <v>42675</v>
      </c>
      <c r="M1111">
        <v>11</v>
      </c>
      <c r="N1111" s="7" t="s">
        <v>23</v>
      </c>
      <c r="O1111" t="s">
        <v>36</v>
      </c>
      <c r="P1111" t="s">
        <v>4950</v>
      </c>
      <c r="Q1111" t="s">
        <v>4951</v>
      </c>
      <c r="R1111" t="s">
        <v>4937</v>
      </c>
    </row>
    <row r="1112" spans="1:18" hidden="1">
      <c r="A1112">
        <v>5</v>
      </c>
      <c r="B1112" s="4" t="s">
        <v>4600</v>
      </c>
      <c r="C1112" s="4" t="s">
        <v>4933</v>
      </c>
      <c r="D1112" s="4" t="s">
        <v>4934</v>
      </c>
      <c r="E1112" s="4" t="s">
        <v>5804</v>
      </c>
      <c r="F1112" t="s">
        <v>956</v>
      </c>
      <c r="G1112" t="s">
        <v>956</v>
      </c>
      <c r="H1112" t="s">
        <v>53</v>
      </c>
      <c r="I1112" t="s">
        <v>53</v>
      </c>
      <c r="J1112" s="5" t="s">
        <v>53</v>
      </c>
      <c r="K1112" t="s">
        <v>278</v>
      </c>
      <c r="L1112" s="6">
        <v>42675</v>
      </c>
      <c r="M1112">
        <v>11</v>
      </c>
      <c r="N1112" s="7" t="s">
        <v>23</v>
      </c>
      <c r="O1112" t="s">
        <v>36</v>
      </c>
      <c r="P1112" t="s">
        <v>4954</v>
      </c>
      <c r="Q1112" t="s">
        <v>4955</v>
      </c>
      <c r="R1112" t="s">
        <v>4956</v>
      </c>
    </row>
    <row r="1113" spans="1:18" hidden="1">
      <c r="A1113">
        <v>5</v>
      </c>
      <c r="B1113" s="4" t="s">
        <v>4600</v>
      </c>
      <c r="C1113" s="4" t="s">
        <v>4933</v>
      </c>
      <c r="D1113" s="4" t="s">
        <v>4934</v>
      </c>
      <c r="E1113" s="4" t="s">
        <v>5804</v>
      </c>
      <c r="F1113" t="s">
        <v>956</v>
      </c>
      <c r="G1113" t="s">
        <v>956</v>
      </c>
      <c r="H1113" t="s">
        <v>53</v>
      </c>
      <c r="I1113" t="s">
        <v>53</v>
      </c>
      <c r="J1113" s="5" t="s">
        <v>53</v>
      </c>
      <c r="K1113" t="s">
        <v>43</v>
      </c>
      <c r="L1113" s="6">
        <v>43525</v>
      </c>
      <c r="M1113">
        <v>3</v>
      </c>
      <c r="N1113" s="7" t="s">
        <v>23</v>
      </c>
      <c r="O1113" t="s">
        <v>31</v>
      </c>
      <c r="P1113" t="s">
        <v>4976</v>
      </c>
      <c r="Q1113" t="s">
        <v>4977</v>
      </c>
      <c r="R1113" t="s">
        <v>4978</v>
      </c>
    </row>
    <row r="1114" spans="1:18" hidden="1">
      <c r="A1114">
        <v>5</v>
      </c>
      <c r="B1114" s="4" t="s">
        <v>4600</v>
      </c>
      <c r="C1114" s="4" t="s">
        <v>4933</v>
      </c>
      <c r="D1114" s="4" t="s">
        <v>4934</v>
      </c>
      <c r="E1114" s="4" t="s">
        <v>5804</v>
      </c>
      <c r="F1114" t="s">
        <v>956</v>
      </c>
      <c r="G1114" t="s">
        <v>956</v>
      </c>
      <c r="H1114" t="s">
        <v>53</v>
      </c>
      <c r="I1114" t="s">
        <v>53</v>
      </c>
      <c r="J1114" s="5" t="s">
        <v>53</v>
      </c>
      <c r="K1114" t="s">
        <v>43</v>
      </c>
      <c r="L1114" s="6">
        <v>43525</v>
      </c>
      <c r="M1114">
        <v>3</v>
      </c>
      <c r="N1114" s="7" t="s">
        <v>23</v>
      </c>
      <c r="O1114" t="s">
        <v>36</v>
      </c>
      <c r="P1114" t="s">
        <v>4979</v>
      </c>
      <c r="Q1114" t="s">
        <v>4980</v>
      </c>
      <c r="R1114" t="s">
        <v>4937</v>
      </c>
    </row>
    <row r="1115" spans="1:18" hidden="1">
      <c r="A1115">
        <v>5</v>
      </c>
      <c r="B1115" s="4" t="s">
        <v>4600</v>
      </c>
      <c r="C1115" s="4" t="s">
        <v>4933</v>
      </c>
      <c r="D1115" s="4" t="s">
        <v>4934</v>
      </c>
      <c r="E1115" s="4" t="s">
        <v>5804</v>
      </c>
      <c r="F1115" t="s">
        <v>956</v>
      </c>
      <c r="G1115" t="s">
        <v>956</v>
      </c>
      <c r="H1115" t="s">
        <v>53</v>
      </c>
      <c r="I1115" t="s">
        <v>53</v>
      </c>
      <c r="J1115" s="5" t="s">
        <v>53</v>
      </c>
      <c r="K1115" t="s">
        <v>654</v>
      </c>
      <c r="L1115" s="6">
        <v>43556</v>
      </c>
      <c r="M1115">
        <v>4</v>
      </c>
      <c r="N1115" s="7" t="s">
        <v>23</v>
      </c>
      <c r="O1115" t="s">
        <v>31</v>
      </c>
      <c r="P1115" t="s">
        <v>4987</v>
      </c>
      <c r="Q1115" t="s">
        <v>4988</v>
      </c>
      <c r="R1115" t="s">
        <v>4989</v>
      </c>
    </row>
    <row r="1116" spans="1:18" hidden="1">
      <c r="A1116">
        <v>5</v>
      </c>
      <c r="B1116" s="4" t="s">
        <v>4600</v>
      </c>
      <c r="C1116" s="4" t="s">
        <v>4933</v>
      </c>
      <c r="D1116" s="4" t="s">
        <v>4934</v>
      </c>
      <c r="E1116" s="4" t="s">
        <v>5804</v>
      </c>
      <c r="F1116" t="s">
        <v>956</v>
      </c>
      <c r="G1116" t="s">
        <v>956</v>
      </c>
      <c r="H1116" t="s">
        <v>53</v>
      </c>
      <c r="I1116" t="s">
        <v>53</v>
      </c>
      <c r="J1116" s="5" t="s">
        <v>53</v>
      </c>
      <c r="K1116" t="s">
        <v>168</v>
      </c>
      <c r="L1116" s="6">
        <v>43678</v>
      </c>
      <c r="M1116">
        <v>8</v>
      </c>
      <c r="N1116" s="7" t="s">
        <v>55</v>
      </c>
      <c r="O1116" t="s">
        <v>223</v>
      </c>
      <c r="P1116" t="s">
        <v>4992</v>
      </c>
      <c r="Q1116" t="s">
        <v>4993</v>
      </c>
      <c r="R1116" t="s">
        <v>4994</v>
      </c>
    </row>
    <row r="1117" spans="1:18" hidden="1">
      <c r="A1117">
        <v>5</v>
      </c>
      <c r="B1117" s="4" t="s">
        <v>4600</v>
      </c>
      <c r="C1117" s="4" t="s">
        <v>4933</v>
      </c>
      <c r="D1117" s="4" t="s">
        <v>5014</v>
      </c>
      <c r="E1117" s="4" t="s">
        <v>5804</v>
      </c>
      <c r="F1117" t="s">
        <v>956</v>
      </c>
      <c r="G1117" t="s">
        <v>956</v>
      </c>
      <c r="H1117" t="s">
        <v>53</v>
      </c>
      <c r="I1117" t="s">
        <v>53</v>
      </c>
      <c r="J1117" s="5" t="s">
        <v>53</v>
      </c>
      <c r="K1117" t="s">
        <v>71</v>
      </c>
      <c r="L1117" s="6">
        <v>42522</v>
      </c>
      <c r="M1117">
        <v>6</v>
      </c>
      <c r="N1117" s="7" t="s">
        <v>55</v>
      </c>
      <c r="O1117" t="s">
        <v>88</v>
      </c>
      <c r="P1117" t="s">
        <v>5047</v>
      </c>
      <c r="Q1117" t="s">
        <v>5048</v>
      </c>
      <c r="R1117" t="s">
        <v>5049</v>
      </c>
    </row>
    <row r="1118" spans="1:18" hidden="1">
      <c r="A1118">
        <v>5</v>
      </c>
      <c r="B1118" s="4" t="s">
        <v>4600</v>
      </c>
      <c r="C1118" s="4" t="s">
        <v>4933</v>
      </c>
      <c r="D1118" s="4" t="s">
        <v>5014</v>
      </c>
      <c r="E1118" s="4" t="s">
        <v>5804</v>
      </c>
      <c r="F1118" t="s">
        <v>956</v>
      </c>
      <c r="G1118" t="s">
        <v>956</v>
      </c>
      <c r="H1118" t="s">
        <v>53</v>
      </c>
      <c r="I1118" t="s">
        <v>53</v>
      </c>
      <c r="J1118" s="5" t="s">
        <v>53</v>
      </c>
      <c r="K1118" t="s">
        <v>234</v>
      </c>
      <c r="L1118" s="6">
        <v>42826</v>
      </c>
      <c r="M1118">
        <v>4</v>
      </c>
      <c r="N1118" s="7" t="s">
        <v>23</v>
      </c>
      <c r="O1118" t="s">
        <v>31</v>
      </c>
      <c r="P1118" t="s">
        <v>5109</v>
      </c>
      <c r="Q1118" t="s">
        <v>5110</v>
      </c>
      <c r="R1118" t="s">
        <v>5111</v>
      </c>
    </row>
    <row r="1119" spans="1:18" hidden="1">
      <c r="A1119">
        <v>5</v>
      </c>
      <c r="B1119" s="4" t="s">
        <v>4600</v>
      </c>
      <c r="C1119" s="4" t="s">
        <v>4933</v>
      </c>
      <c r="D1119" s="4" t="s">
        <v>5014</v>
      </c>
      <c r="E1119" s="4" t="s">
        <v>5804</v>
      </c>
      <c r="F1119" t="s">
        <v>956</v>
      </c>
      <c r="G1119" t="s">
        <v>956</v>
      </c>
      <c r="H1119" t="s">
        <v>53</v>
      </c>
      <c r="I1119" t="s">
        <v>53</v>
      </c>
      <c r="J1119" s="5" t="s">
        <v>53</v>
      </c>
      <c r="K1119" t="s">
        <v>87</v>
      </c>
      <c r="L1119" s="6">
        <v>43040</v>
      </c>
      <c r="M1119">
        <v>11</v>
      </c>
      <c r="N1119" s="7" t="s">
        <v>23</v>
      </c>
      <c r="O1119" t="s">
        <v>88</v>
      </c>
      <c r="P1119" t="s">
        <v>5160</v>
      </c>
      <c r="Q1119" t="s">
        <v>5161</v>
      </c>
      <c r="R1119" t="s">
        <v>4946</v>
      </c>
    </row>
    <row r="1120" spans="1:18" hidden="1">
      <c r="A1120">
        <v>5</v>
      </c>
      <c r="B1120" s="4" t="s">
        <v>4600</v>
      </c>
      <c r="C1120" s="4" t="s">
        <v>4933</v>
      </c>
      <c r="D1120" s="4" t="s">
        <v>5014</v>
      </c>
      <c r="E1120" s="4" t="s">
        <v>5804</v>
      </c>
      <c r="F1120" t="s">
        <v>956</v>
      </c>
      <c r="G1120" t="s">
        <v>956</v>
      </c>
      <c r="H1120" t="s">
        <v>53</v>
      </c>
      <c r="I1120" t="s">
        <v>53</v>
      </c>
      <c r="J1120" s="5" t="s">
        <v>53</v>
      </c>
      <c r="K1120" t="s">
        <v>35</v>
      </c>
      <c r="L1120" s="6">
        <v>43160</v>
      </c>
      <c r="M1120">
        <v>3</v>
      </c>
      <c r="N1120" s="7" t="s">
        <v>23</v>
      </c>
      <c r="O1120" t="s">
        <v>31</v>
      </c>
      <c r="P1120" t="s">
        <v>5173</v>
      </c>
      <c r="Q1120" t="s">
        <v>5110</v>
      </c>
      <c r="R1120" t="s">
        <v>5111</v>
      </c>
    </row>
    <row r="1121" spans="1:18" hidden="1">
      <c r="A1121">
        <v>5</v>
      </c>
      <c r="B1121" s="4" t="s">
        <v>4600</v>
      </c>
      <c r="C1121" s="4" t="s">
        <v>4933</v>
      </c>
      <c r="D1121" s="4" t="s">
        <v>5014</v>
      </c>
      <c r="E1121" s="4" t="s">
        <v>5804</v>
      </c>
      <c r="F1121" t="s">
        <v>956</v>
      </c>
      <c r="G1121" t="s">
        <v>956</v>
      </c>
      <c r="H1121" t="s">
        <v>53</v>
      </c>
      <c r="I1121" t="s">
        <v>53</v>
      </c>
      <c r="J1121" s="5" t="s">
        <v>53</v>
      </c>
      <c r="K1121" t="s">
        <v>5174</v>
      </c>
      <c r="L1121" s="6">
        <v>43160</v>
      </c>
      <c r="M1121">
        <v>3</v>
      </c>
      <c r="N1121" s="7" t="s">
        <v>23</v>
      </c>
      <c r="O1121" t="s">
        <v>88</v>
      </c>
      <c r="P1121" t="s">
        <v>5175</v>
      </c>
      <c r="Q1121" t="s">
        <v>5176</v>
      </c>
      <c r="R1121" t="s">
        <v>5177</v>
      </c>
    </row>
    <row r="1122" spans="1:18" hidden="1">
      <c r="A1122">
        <v>5</v>
      </c>
      <c r="B1122" s="4" t="s">
        <v>4600</v>
      </c>
      <c r="C1122" s="4" t="s">
        <v>4933</v>
      </c>
      <c r="D1122" s="4" t="s">
        <v>5014</v>
      </c>
      <c r="E1122" s="4" t="s">
        <v>5804</v>
      </c>
      <c r="F1122" t="s">
        <v>956</v>
      </c>
      <c r="G1122" t="s">
        <v>956</v>
      </c>
      <c r="H1122" t="s">
        <v>53</v>
      </c>
      <c r="I1122" t="s">
        <v>53</v>
      </c>
      <c r="J1122" s="5" t="s">
        <v>53</v>
      </c>
      <c r="K1122" t="s">
        <v>797</v>
      </c>
      <c r="L1122" s="6">
        <v>43252</v>
      </c>
      <c r="M1122">
        <v>6</v>
      </c>
      <c r="N1122" s="7" t="s">
        <v>55</v>
      </c>
      <c r="O1122" t="s">
        <v>31</v>
      </c>
      <c r="P1122" t="s">
        <v>5184</v>
      </c>
      <c r="Q1122" t="s">
        <v>5185</v>
      </c>
      <c r="R1122" t="s">
        <v>5186</v>
      </c>
    </row>
    <row r="1123" spans="1:18" hidden="1">
      <c r="A1123">
        <v>5</v>
      </c>
      <c r="B1123" s="4" t="s">
        <v>4600</v>
      </c>
      <c r="C1123" s="4" t="s">
        <v>4933</v>
      </c>
      <c r="D1123" s="4" t="s">
        <v>5014</v>
      </c>
      <c r="E1123" s="4" t="s">
        <v>5804</v>
      </c>
      <c r="F1123" t="s">
        <v>956</v>
      </c>
      <c r="G1123" t="s">
        <v>956</v>
      </c>
      <c r="H1123" t="s">
        <v>53</v>
      </c>
      <c r="I1123" t="s">
        <v>53</v>
      </c>
      <c r="J1123" s="5" t="s">
        <v>53</v>
      </c>
      <c r="K1123" t="s">
        <v>797</v>
      </c>
      <c r="L1123" s="6">
        <v>43252</v>
      </c>
      <c r="M1123">
        <v>6</v>
      </c>
      <c r="N1123" s="7" t="s">
        <v>55</v>
      </c>
      <c r="O1123" t="s">
        <v>31</v>
      </c>
      <c r="P1123" t="s">
        <v>5187</v>
      </c>
      <c r="Q1123" t="s">
        <v>5188</v>
      </c>
      <c r="R1123" t="s">
        <v>5186</v>
      </c>
    </row>
    <row r="1124" spans="1:18" hidden="1">
      <c r="A1124">
        <v>5</v>
      </c>
      <c r="B1124" s="4" t="s">
        <v>4600</v>
      </c>
      <c r="C1124" s="4" t="s">
        <v>4933</v>
      </c>
      <c r="D1124" s="4" t="s">
        <v>5014</v>
      </c>
      <c r="E1124" s="4" t="s">
        <v>5804</v>
      </c>
      <c r="F1124" t="s">
        <v>956</v>
      </c>
      <c r="G1124" t="s">
        <v>956</v>
      </c>
      <c r="H1124" t="s">
        <v>53</v>
      </c>
      <c r="I1124" t="s">
        <v>53</v>
      </c>
      <c r="J1124" s="5" t="s">
        <v>53</v>
      </c>
      <c r="K1124" t="s">
        <v>93</v>
      </c>
      <c r="L1124" s="6">
        <v>43282</v>
      </c>
      <c r="M1124">
        <v>7</v>
      </c>
      <c r="N1124" s="7" t="s">
        <v>55</v>
      </c>
      <c r="O1124" t="s">
        <v>31</v>
      </c>
      <c r="P1124" t="s">
        <v>5191</v>
      </c>
      <c r="Q1124" t="s">
        <v>5192</v>
      </c>
      <c r="R1124" t="s">
        <v>5186</v>
      </c>
    </row>
    <row r="1125" spans="1:18" hidden="1">
      <c r="A1125">
        <v>5</v>
      </c>
      <c r="B1125" s="4" t="s">
        <v>4600</v>
      </c>
      <c r="C1125" s="4" t="s">
        <v>4933</v>
      </c>
      <c r="D1125" s="4" t="s">
        <v>5014</v>
      </c>
      <c r="E1125" s="4" t="s">
        <v>5804</v>
      </c>
      <c r="F1125" t="s">
        <v>956</v>
      </c>
      <c r="G1125" t="s">
        <v>956</v>
      </c>
      <c r="H1125" t="s">
        <v>53</v>
      </c>
      <c r="I1125" t="s">
        <v>53</v>
      </c>
      <c r="J1125" s="5" t="s">
        <v>53</v>
      </c>
      <c r="K1125" t="s">
        <v>146</v>
      </c>
      <c r="L1125" s="6">
        <v>43313</v>
      </c>
      <c r="M1125">
        <v>8</v>
      </c>
      <c r="N1125" s="7" t="s">
        <v>55</v>
      </c>
      <c r="O1125" t="s">
        <v>31</v>
      </c>
      <c r="P1125" t="s">
        <v>5200</v>
      </c>
      <c r="Q1125" t="s">
        <v>5201</v>
      </c>
      <c r="R1125" t="s">
        <v>4762</v>
      </c>
    </row>
    <row r="1126" spans="1:18" hidden="1">
      <c r="A1126">
        <v>5</v>
      </c>
      <c r="B1126" s="4" t="s">
        <v>4600</v>
      </c>
      <c r="C1126" s="4" t="s">
        <v>4933</v>
      </c>
      <c r="D1126" s="4" t="s">
        <v>5014</v>
      </c>
      <c r="E1126" s="4" t="s">
        <v>5804</v>
      </c>
      <c r="F1126" t="s">
        <v>956</v>
      </c>
      <c r="G1126" t="s">
        <v>956</v>
      </c>
      <c r="H1126" t="s">
        <v>53</v>
      </c>
      <c r="I1126" t="s">
        <v>53</v>
      </c>
      <c r="J1126" s="5" t="s">
        <v>53</v>
      </c>
      <c r="K1126" t="s">
        <v>298</v>
      </c>
      <c r="L1126" s="6">
        <v>43344</v>
      </c>
      <c r="M1126">
        <v>9</v>
      </c>
      <c r="N1126" s="7" t="s">
        <v>23</v>
      </c>
      <c r="O1126" t="s">
        <v>31</v>
      </c>
      <c r="P1126" t="s">
        <v>5206</v>
      </c>
      <c r="Q1126" t="s">
        <v>5207</v>
      </c>
      <c r="R1126" t="s">
        <v>5186</v>
      </c>
    </row>
    <row r="1127" spans="1:18" hidden="1">
      <c r="A1127">
        <v>5</v>
      </c>
      <c r="B1127" s="4" t="s">
        <v>4600</v>
      </c>
      <c r="C1127" s="4" t="s">
        <v>4933</v>
      </c>
      <c r="D1127" s="4" t="s">
        <v>5014</v>
      </c>
      <c r="E1127" s="4" t="s">
        <v>5804</v>
      </c>
      <c r="F1127" t="s">
        <v>956</v>
      </c>
      <c r="G1127" t="s">
        <v>956</v>
      </c>
      <c r="H1127" t="s">
        <v>53</v>
      </c>
      <c r="I1127" t="s">
        <v>53</v>
      </c>
      <c r="J1127" s="5" t="s">
        <v>53</v>
      </c>
      <c r="K1127" t="s">
        <v>814</v>
      </c>
      <c r="L1127" s="6">
        <v>43405</v>
      </c>
      <c r="M1127">
        <v>11</v>
      </c>
      <c r="N1127" s="7" t="s">
        <v>23</v>
      </c>
      <c r="O1127" t="s">
        <v>31</v>
      </c>
      <c r="P1127" t="s">
        <v>5213</v>
      </c>
      <c r="Q1127" t="s">
        <v>5214</v>
      </c>
      <c r="R1127" t="s">
        <v>5186</v>
      </c>
    </row>
    <row r="1128" spans="1:18" hidden="1">
      <c r="A1128">
        <v>5</v>
      </c>
      <c r="B1128" s="4" t="s">
        <v>4600</v>
      </c>
      <c r="C1128" s="4" t="s">
        <v>4933</v>
      </c>
      <c r="D1128" s="4" t="s">
        <v>5014</v>
      </c>
      <c r="E1128" s="4" t="s">
        <v>5804</v>
      </c>
      <c r="F1128" t="s">
        <v>956</v>
      </c>
      <c r="G1128" t="s">
        <v>956</v>
      </c>
      <c r="H1128" t="s">
        <v>53</v>
      </c>
      <c r="I1128" t="s">
        <v>53</v>
      </c>
      <c r="J1128" s="5" t="s">
        <v>53</v>
      </c>
      <c r="K1128" t="s">
        <v>482</v>
      </c>
      <c r="L1128" s="6">
        <v>43435</v>
      </c>
      <c r="M1128">
        <v>12</v>
      </c>
      <c r="N1128" s="7" t="s">
        <v>30</v>
      </c>
      <c r="O1128" t="s">
        <v>88</v>
      </c>
      <c r="P1128" t="s">
        <v>5220</v>
      </c>
      <c r="Q1128" t="s">
        <v>5221</v>
      </c>
      <c r="R1128" t="s">
        <v>4946</v>
      </c>
    </row>
    <row r="1129" spans="1:18" hidden="1">
      <c r="A1129">
        <v>5</v>
      </c>
      <c r="B1129" s="4" t="s">
        <v>4600</v>
      </c>
      <c r="C1129" s="4" t="s">
        <v>4933</v>
      </c>
      <c r="D1129" s="4" t="s">
        <v>5014</v>
      </c>
      <c r="E1129" s="4" t="s">
        <v>5804</v>
      </c>
      <c r="F1129" t="s">
        <v>956</v>
      </c>
      <c r="G1129" t="s">
        <v>956</v>
      </c>
      <c r="H1129" t="s">
        <v>53</v>
      </c>
      <c r="I1129" t="s">
        <v>53</v>
      </c>
      <c r="J1129" s="5" t="s">
        <v>53</v>
      </c>
      <c r="K1129" t="s">
        <v>245</v>
      </c>
      <c r="L1129" s="6">
        <v>43466</v>
      </c>
      <c r="M1129">
        <v>1</v>
      </c>
      <c r="N1129" s="7" t="s">
        <v>30</v>
      </c>
      <c r="O1129" t="s">
        <v>24</v>
      </c>
      <c r="P1129" t="s">
        <v>5230</v>
      </c>
      <c r="Q1129" t="s">
        <v>5231</v>
      </c>
      <c r="R1129" t="s">
        <v>4937</v>
      </c>
    </row>
    <row r="1130" spans="1:18" hidden="1">
      <c r="A1130">
        <v>5</v>
      </c>
      <c r="B1130" s="4" t="s">
        <v>4600</v>
      </c>
      <c r="C1130" s="4" t="s">
        <v>4933</v>
      </c>
      <c r="D1130" s="4" t="s">
        <v>5014</v>
      </c>
      <c r="E1130" s="4" t="s">
        <v>5804</v>
      </c>
      <c r="F1130" t="s">
        <v>956</v>
      </c>
      <c r="G1130" t="s">
        <v>956</v>
      </c>
      <c r="H1130" t="s">
        <v>53</v>
      </c>
      <c r="I1130" t="s">
        <v>53</v>
      </c>
      <c r="J1130" s="5" t="s">
        <v>53</v>
      </c>
      <c r="K1130" t="s">
        <v>395</v>
      </c>
      <c r="L1130" s="6">
        <v>43497</v>
      </c>
      <c r="M1130">
        <v>2</v>
      </c>
      <c r="N1130" s="7" t="s">
        <v>30</v>
      </c>
      <c r="O1130" t="s">
        <v>88</v>
      </c>
      <c r="P1130" t="s">
        <v>5239</v>
      </c>
      <c r="Q1130" t="s">
        <v>5240</v>
      </c>
      <c r="R1130" t="s">
        <v>4946</v>
      </c>
    </row>
    <row r="1131" spans="1:18" hidden="1">
      <c r="A1131">
        <v>5</v>
      </c>
      <c r="B1131" s="4" t="s">
        <v>4600</v>
      </c>
      <c r="C1131" s="4" t="s">
        <v>4933</v>
      </c>
      <c r="D1131" s="4" t="s">
        <v>5014</v>
      </c>
      <c r="E1131" s="4" t="s">
        <v>5804</v>
      </c>
      <c r="F1131" t="s">
        <v>956</v>
      </c>
      <c r="G1131" t="s">
        <v>956</v>
      </c>
      <c r="H1131" t="s">
        <v>53</v>
      </c>
      <c r="I1131" t="s">
        <v>53</v>
      </c>
      <c r="J1131" s="5" t="s">
        <v>53</v>
      </c>
      <c r="K1131" t="s">
        <v>395</v>
      </c>
      <c r="L1131" s="6">
        <v>43497</v>
      </c>
      <c r="M1131">
        <v>2</v>
      </c>
      <c r="N1131" s="7" t="s">
        <v>30</v>
      </c>
      <c r="O1131" t="s">
        <v>88</v>
      </c>
      <c r="P1131" t="s">
        <v>5241</v>
      </c>
      <c r="Q1131" t="s">
        <v>5242</v>
      </c>
      <c r="R1131" t="s">
        <v>5243</v>
      </c>
    </row>
    <row r="1132" spans="1:18" hidden="1">
      <c r="A1132">
        <v>5</v>
      </c>
      <c r="B1132" s="4" t="s">
        <v>4600</v>
      </c>
      <c r="C1132" s="4" t="s">
        <v>4933</v>
      </c>
      <c r="D1132" s="4" t="s">
        <v>5014</v>
      </c>
      <c r="E1132" s="4" t="s">
        <v>5804</v>
      </c>
      <c r="F1132" t="s">
        <v>956</v>
      </c>
      <c r="G1132" t="s">
        <v>956</v>
      </c>
      <c r="H1132" t="s">
        <v>53</v>
      </c>
      <c r="I1132" t="s">
        <v>53</v>
      </c>
      <c r="J1132" s="5" t="s">
        <v>53</v>
      </c>
      <c r="K1132" t="s">
        <v>5247</v>
      </c>
      <c r="L1132" s="6">
        <v>43525</v>
      </c>
      <c r="M1132">
        <v>3</v>
      </c>
      <c r="N1132" s="7" t="s">
        <v>23</v>
      </c>
      <c r="O1132" t="s">
        <v>31</v>
      </c>
      <c r="P1132" t="s">
        <v>5248</v>
      </c>
      <c r="Q1132" t="s">
        <v>5185</v>
      </c>
      <c r="R1132" t="s">
        <v>5186</v>
      </c>
    </row>
    <row r="1133" spans="1:18" hidden="1">
      <c r="A1133">
        <v>5</v>
      </c>
      <c r="B1133" s="4" t="s">
        <v>4600</v>
      </c>
      <c r="C1133" s="4" t="s">
        <v>4933</v>
      </c>
      <c r="D1133" s="4" t="s">
        <v>5014</v>
      </c>
      <c r="E1133" s="4" t="s">
        <v>5804</v>
      </c>
      <c r="F1133" t="s">
        <v>956</v>
      </c>
      <c r="G1133" t="s">
        <v>956</v>
      </c>
      <c r="H1133" t="s">
        <v>53</v>
      </c>
      <c r="I1133" t="s">
        <v>53</v>
      </c>
      <c r="J1133" s="5" t="s">
        <v>53</v>
      </c>
      <c r="K1133" t="s">
        <v>654</v>
      </c>
      <c r="L1133" s="6">
        <v>43556</v>
      </c>
      <c r="M1133">
        <v>4</v>
      </c>
      <c r="N1133" s="7" t="s">
        <v>23</v>
      </c>
      <c r="O1133" t="s">
        <v>36</v>
      </c>
      <c r="P1133" t="s">
        <v>5252</v>
      </c>
      <c r="Q1133" t="s">
        <v>5253</v>
      </c>
      <c r="R1133" t="s">
        <v>5254</v>
      </c>
    </row>
    <row r="1134" spans="1:18" hidden="1">
      <c r="A1134">
        <v>5</v>
      </c>
      <c r="B1134" s="4" t="s">
        <v>4600</v>
      </c>
      <c r="C1134" s="4" t="s">
        <v>4933</v>
      </c>
      <c r="D1134" s="4" t="s">
        <v>5014</v>
      </c>
      <c r="E1134" s="4" t="s">
        <v>5804</v>
      </c>
      <c r="F1134" t="s">
        <v>956</v>
      </c>
      <c r="G1134" t="s">
        <v>956</v>
      </c>
      <c r="H1134" t="s">
        <v>53</v>
      </c>
      <c r="I1134" t="s">
        <v>53</v>
      </c>
      <c r="J1134" s="5" t="s">
        <v>53</v>
      </c>
      <c r="K1134" t="s">
        <v>304</v>
      </c>
      <c r="L1134" s="6">
        <v>43647</v>
      </c>
      <c r="M1134">
        <v>7</v>
      </c>
      <c r="N1134" s="7" t="s">
        <v>55</v>
      </c>
      <c r="O1134" t="s">
        <v>31</v>
      </c>
      <c r="P1134" t="s">
        <v>5272</v>
      </c>
      <c r="Q1134" t="s">
        <v>5273</v>
      </c>
      <c r="R1134" t="s">
        <v>5186</v>
      </c>
    </row>
    <row r="1135" spans="1:18" hidden="1">
      <c r="A1135">
        <v>5</v>
      </c>
      <c r="B1135" s="4" t="s">
        <v>4600</v>
      </c>
      <c r="C1135" s="4" t="s">
        <v>4933</v>
      </c>
      <c r="D1135" s="4" t="s">
        <v>5014</v>
      </c>
      <c r="E1135" s="4" t="s">
        <v>5804</v>
      </c>
      <c r="F1135" t="s">
        <v>956</v>
      </c>
      <c r="G1135" t="s">
        <v>956</v>
      </c>
      <c r="H1135" t="s">
        <v>53</v>
      </c>
      <c r="I1135" t="s">
        <v>53</v>
      </c>
      <c r="J1135" s="5" t="s">
        <v>53</v>
      </c>
      <c r="K1135" t="s">
        <v>304</v>
      </c>
      <c r="L1135" s="6">
        <v>43647</v>
      </c>
      <c r="M1135">
        <v>7</v>
      </c>
      <c r="N1135" s="7" t="s">
        <v>55</v>
      </c>
      <c r="O1135" t="s">
        <v>31</v>
      </c>
      <c r="P1135" t="s">
        <v>5274</v>
      </c>
      <c r="Q1135" t="s">
        <v>5275</v>
      </c>
      <c r="R1135" t="s">
        <v>5186</v>
      </c>
    </row>
    <row r="1136" spans="1:18" hidden="1">
      <c r="A1136">
        <v>5</v>
      </c>
      <c r="B1136" s="4" t="s">
        <v>4600</v>
      </c>
      <c r="C1136" s="4" t="s">
        <v>4933</v>
      </c>
      <c r="D1136" s="4" t="s">
        <v>5014</v>
      </c>
      <c r="E1136" s="4" t="s">
        <v>5804</v>
      </c>
      <c r="F1136" t="s">
        <v>956</v>
      </c>
      <c r="G1136" t="s">
        <v>956</v>
      </c>
      <c r="H1136" t="s">
        <v>53</v>
      </c>
      <c r="I1136" t="s">
        <v>53</v>
      </c>
      <c r="J1136" s="5" t="s">
        <v>53</v>
      </c>
      <c r="K1136" t="s">
        <v>726</v>
      </c>
      <c r="L1136" s="6">
        <v>43709</v>
      </c>
      <c r="M1136">
        <v>9</v>
      </c>
      <c r="N1136" s="7" t="s">
        <v>23</v>
      </c>
      <c r="O1136" t="s">
        <v>31</v>
      </c>
      <c r="P1136" t="s">
        <v>5284</v>
      </c>
      <c r="Q1136" t="s">
        <v>5285</v>
      </c>
      <c r="R1136" t="s">
        <v>5186</v>
      </c>
    </row>
    <row r="1137" spans="1:18" hidden="1">
      <c r="A1137">
        <v>5</v>
      </c>
      <c r="B1137" s="4" t="s">
        <v>4600</v>
      </c>
      <c r="C1137" s="4" t="s">
        <v>4933</v>
      </c>
      <c r="D1137" s="4" t="s">
        <v>5014</v>
      </c>
      <c r="E1137" s="4" t="s">
        <v>5804</v>
      </c>
      <c r="F1137" t="s">
        <v>956</v>
      </c>
      <c r="G1137" t="s">
        <v>956</v>
      </c>
      <c r="H1137" t="s">
        <v>53</v>
      </c>
      <c r="I1137" t="s">
        <v>53</v>
      </c>
      <c r="J1137" s="5" t="s">
        <v>53</v>
      </c>
      <c r="K1137" t="s">
        <v>357</v>
      </c>
      <c r="L1137" s="6">
        <v>43739</v>
      </c>
      <c r="M1137">
        <v>10</v>
      </c>
      <c r="N1137" s="7" t="s">
        <v>23</v>
      </c>
      <c r="O1137" t="s">
        <v>692</v>
      </c>
      <c r="P1137" t="s">
        <v>5299</v>
      </c>
      <c r="Q1137" t="s">
        <v>5300</v>
      </c>
      <c r="R1137" t="s">
        <v>5301</v>
      </c>
    </row>
    <row r="1138" spans="1:18" hidden="1">
      <c r="A1138">
        <v>5</v>
      </c>
      <c r="B1138" s="4" t="s">
        <v>4600</v>
      </c>
      <c r="C1138" s="4" t="s">
        <v>4933</v>
      </c>
      <c r="D1138" s="4" t="s">
        <v>5014</v>
      </c>
      <c r="E1138" s="4" t="s">
        <v>5804</v>
      </c>
      <c r="F1138" t="s">
        <v>956</v>
      </c>
      <c r="G1138" t="s">
        <v>956</v>
      </c>
      <c r="H1138" t="s">
        <v>53</v>
      </c>
      <c r="I1138" t="s">
        <v>53</v>
      </c>
      <c r="J1138" s="5" t="s">
        <v>53</v>
      </c>
      <c r="K1138" t="s">
        <v>204</v>
      </c>
      <c r="L1138" s="6">
        <v>43831</v>
      </c>
      <c r="M1138">
        <v>1</v>
      </c>
      <c r="N1138" s="7" t="s">
        <v>30</v>
      </c>
      <c r="O1138" t="s">
        <v>88</v>
      </c>
      <c r="P1138" t="s">
        <v>5314</v>
      </c>
      <c r="Q1138" t="s">
        <v>5315</v>
      </c>
      <c r="R1138" t="s">
        <v>4997</v>
      </c>
    </row>
    <row r="1139" spans="1:18" hidden="1">
      <c r="A1139">
        <v>5</v>
      </c>
      <c r="B1139" s="4" t="s">
        <v>4600</v>
      </c>
      <c r="C1139" s="4" t="s">
        <v>4933</v>
      </c>
      <c r="D1139" s="4" t="s">
        <v>5014</v>
      </c>
      <c r="E1139" s="4" t="s">
        <v>5804</v>
      </c>
      <c r="F1139" t="s">
        <v>956</v>
      </c>
      <c r="G1139" t="s">
        <v>956</v>
      </c>
      <c r="H1139" t="s">
        <v>53</v>
      </c>
      <c r="I1139" t="s">
        <v>53</v>
      </c>
      <c r="J1139" s="5" t="s">
        <v>53</v>
      </c>
      <c r="K1139" t="s">
        <v>1085</v>
      </c>
      <c r="L1139" s="6">
        <v>43862</v>
      </c>
      <c r="M1139">
        <v>2</v>
      </c>
      <c r="N1139" s="7" t="s">
        <v>30</v>
      </c>
      <c r="O1139" t="s">
        <v>66</v>
      </c>
      <c r="P1139" t="s">
        <v>5319</v>
      </c>
      <c r="Q1139" t="s">
        <v>5320</v>
      </c>
      <c r="R1139" t="s">
        <v>5046</v>
      </c>
    </row>
    <row r="1140" spans="1:18" hidden="1">
      <c r="A1140">
        <v>5</v>
      </c>
      <c r="B1140" s="4" t="s">
        <v>4600</v>
      </c>
      <c r="C1140" s="4" t="s">
        <v>4933</v>
      </c>
      <c r="D1140" s="4" t="s">
        <v>5014</v>
      </c>
      <c r="E1140" s="4" t="s">
        <v>5804</v>
      </c>
      <c r="F1140" t="s">
        <v>956</v>
      </c>
      <c r="G1140" t="s">
        <v>956</v>
      </c>
      <c r="H1140" t="s">
        <v>53</v>
      </c>
      <c r="I1140" t="s">
        <v>53</v>
      </c>
      <c r="J1140" s="5" t="s">
        <v>53</v>
      </c>
      <c r="K1140" t="s">
        <v>1085</v>
      </c>
      <c r="L1140" s="6">
        <v>43862</v>
      </c>
      <c r="M1140">
        <v>2</v>
      </c>
      <c r="N1140" s="7" t="s">
        <v>30</v>
      </c>
      <c r="O1140" t="s">
        <v>88</v>
      </c>
      <c r="P1140" t="s">
        <v>5321</v>
      </c>
      <c r="Q1140" t="s">
        <v>5322</v>
      </c>
      <c r="R1140" t="s">
        <v>4946</v>
      </c>
    </row>
    <row r="1141" spans="1:18" hidden="1">
      <c r="A1141">
        <v>5</v>
      </c>
      <c r="B1141" s="4" t="s">
        <v>4600</v>
      </c>
      <c r="C1141" s="4" t="s">
        <v>4933</v>
      </c>
      <c r="D1141" s="4" t="s">
        <v>5014</v>
      </c>
      <c r="E1141" s="4" t="s">
        <v>5804</v>
      </c>
      <c r="F1141" t="s">
        <v>956</v>
      </c>
      <c r="G1141" t="s">
        <v>956</v>
      </c>
      <c r="H1141" t="s">
        <v>53</v>
      </c>
      <c r="I1141" t="s">
        <v>53</v>
      </c>
      <c r="J1141" s="5" t="s">
        <v>53</v>
      </c>
      <c r="K1141" t="s">
        <v>251</v>
      </c>
      <c r="L1141" s="6">
        <v>43952</v>
      </c>
      <c r="M1141">
        <v>5</v>
      </c>
      <c r="N1141" s="7" t="s">
        <v>23</v>
      </c>
      <c r="O1141" t="s">
        <v>31</v>
      </c>
      <c r="P1141" t="s">
        <v>5333</v>
      </c>
      <c r="Q1141" t="s">
        <v>5334</v>
      </c>
      <c r="R1141" t="s">
        <v>4978</v>
      </c>
    </row>
    <row r="1142" spans="1:18" hidden="1">
      <c r="A1142">
        <v>5</v>
      </c>
      <c r="B1142" s="4" t="s">
        <v>4600</v>
      </c>
      <c r="C1142" s="4" t="s">
        <v>4933</v>
      </c>
      <c r="D1142" s="4" t="s">
        <v>5014</v>
      </c>
      <c r="E1142" s="4" t="s">
        <v>5804</v>
      </c>
      <c r="F1142" t="s">
        <v>956</v>
      </c>
      <c r="G1142" t="s">
        <v>956</v>
      </c>
      <c r="H1142" t="s">
        <v>53</v>
      </c>
      <c r="I1142" t="s">
        <v>53</v>
      </c>
      <c r="J1142" s="5" t="s">
        <v>53</v>
      </c>
      <c r="K1142" t="s">
        <v>749</v>
      </c>
      <c r="L1142" s="6">
        <v>44136</v>
      </c>
      <c r="M1142">
        <v>11</v>
      </c>
      <c r="N1142" s="7" t="s">
        <v>23</v>
      </c>
      <c r="O1142" t="s">
        <v>24</v>
      </c>
      <c r="P1142" t="s">
        <v>5352</v>
      </c>
      <c r="Q1142" t="s">
        <v>5353</v>
      </c>
      <c r="R1142" t="s">
        <v>3354</v>
      </c>
    </row>
    <row r="1143" spans="1:18" hidden="1">
      <c r="A1143">
        <v>5</v>
      </c>
      <c r="B1143" s="4" t="s">
        <v>4600</v>
      </c>
      <c r="C1143" s="4" t="s">
        <v>4933</v>
      </c>
      <c r="D1143" s="4" t="s">
        <v>5014</v>
      </c>
      <c r="E1143" s="4" t="s">
        <v>5804</v>
      </c>
      <c r="F1143" t="s">
        <v>956</v>
      </c>
      <c r="G1143" t="s">
        <v>956</v>
      </c>
      <c r="H1143" t="s">
        <v>53</v>
      </c>
      <c r="I1143" t="s">
        <v>53</v>
      </c>
      <c r="J1143" s="5" t="s">
        <v>53</v>
      </c>
      <c r="K1143" t="s">
        <v>175</v>
      </c>
      <c r="L1143" s="6">
        <v>44166</v>
      </c>
      <c r="M1143">
        <v>12</v>
      </c>
      <c r="N1143" s="7" t="s">
        <v>30</v>
      </c>
      <c r="O1143" t="s">
        <v>31</v>
      </c>
      <c r="P1143" t="s">
        <v>5354</v>
      </c>
      <c r="Q1143" t="s">
        <v>5355</v>
      </c>
      <c r="R1143" t="s">
        <v>4762</v>
      </c>
    </row>
    <row r="1144" spans="1:18" hidden="1">
      <c r="A1144">
        <v>5</v>
      </c>
      <c r="B1144" s="4" t="s">
        <v>4600</v>
      </c>
      <c r="C1144" s="4" t="s">
        <v>4933</v>
      </c>
      <c r="D1144" s="4" t="s">
        <v>5014</v>
      </c>
      <c r="E1144" s="4" t="s">
        <v>5804</v>
      </c>
      <c r="F1144" t="s">
        <v>956</v>
      </c>
      <c r="G1144" t="s">
        <v>956</v>
      </c>
      <c r="H1144" t="s">
        <v>53</v>
      </c>
      <c r="I1144" t="s">
        <v>53</v>
      </c>
      <c r="J1144" s="5" t="s">
        <v>53</v>
      </c>
      <c r="K1144" t="s">
        <v>630</v>
      </c>
      <c r="L1144" s="6">
        <v>44378</v>
      </c>
      <c r="M1144">
        <v>7</v>
      </c>
      <c r="N1144" s="7" t="s">
        <v>55</v>
      </c>
      <c r="O1144" t="s">
        <v>31</v>
      </c>
      <c r="P1144" t="s">
        <v>5372</v>
      </c>
      <c r="Q1144" t="s">
        <v>4731</v>
      </c>
      <c r="R1144" t="s">
        <v>4732</v>
      </c>
    </row>
    <row r="1145" spans="1:18" hidden="1">
      <c r="A1145">
        <v>5</v>
      </c>
      <c r="B1145" s="4" t="s">
        <v>4600</v>
      </c>
      <c r="C1145" s="4" t="s">
        <v>4933</v>
      </c>
      <c r="D1145" s="4" t="s">
        <v>5014</v>
      </c>
      <c r="E1145" s="4" t="s">
        <v>5804</v>
      </c>
      <c r="F1145" t="s">
        <v>956</v>
      </c>
      <c r="G1145" t="s">
        <v>956</v>
      </c>
      <c r="H1145" t="s">
        <v>53</v>
      </c>
      <c r="I1145" t="s">
        <v>53</v>
      </c>
      <c r="J1145" s="5" t="s">
        <v>53</v>
      </c>
      <c r="K1145" t="s">
        <v>182</v>
      </c>
      <c r="L1145" s="6">
        <v>44501</v>
      </c>
      <c r="M1145">
        <v>11</v>
      </c>
      <c r="N1145" s="7" t="s">
        <v>23</v>
      </c>
      <c r="O1145" t="s">
        <v>31</v>
      </c>
      <c r="P1145" t="s">
        <v>5375</v>
      </c>
      <c r="Q1145" t="s">
        <v>5376</v>
      </c>
      <c r="R1145" t="s">
        <v>5186</v>
      </c>
    </row>
    <row r="1146" spans="1:18" hidden="1">
      <c r="A1146">
        <v>5</v>
      </c>
      <c r="B1146" s="4" t="s">
        <v>4600</v>
      </c>
      <c r="C1146" s="4" t="s">
        <v>4933</v>
      </c>
      <c r="D1146" s="4" t="s">
        <v>5014</v>
      </c>
      <c r="E1146" s="4" t="s">
        <v>5804</v>
      </c>
      <c r="F1146" t="s">
        <v>956</v>
      </c>
      <c r="G1146" t="s">
        <v>956</v>
      </c>
      <c r="H1146" t="s">
        <v>53</v>
      </c>
      <c r="I1146" t="s">
        <v>53</v>
      </c>
      <c r="J1146" s="5" t="s">
        <v>53</v>
      </c>
      <c r="K1146" t="s">
        <v>5381</v>
      </c>
      <c r="L1146" s="6" t="s">
        <v>673</v>
      </c>
      <c r="M1146" t="e">
        <v>#VALUE!</v>
      </c>
      <c r="N1146" s="7" t="e">
        <v>#VALUE!</v>
      </c>
      <c r="O1146" t="s">
        <v>31</v>
      </c>
      <c r="P1146" t="s">
        <v>5382</v>
      </c>
      <c r="Q1146" t="s">
        <v>5110</v>
      </c>
      <c r="R1146" t="s">
        <v>5111</v>
      </c>
    </row>
    <row r="1147" spans="1:18" hidden="1">
      <c r="A1147">
        <v>5</v>
      </c>
      <c r="B1147" s="4" t="s">
        <v>4600</v>
      </c>
      <c r="C1147" s="4" t="s">
        <v>5385</v>
      </c>
      <c r="D1147" s="4" t="s">
        <v>5386</v>
      </c>
      <c r="E1147" s="4" t="s">
        <v>5804</v>
      </c>
      <c r="F1147" t="s">
        <v>956</v>
      </c>
      <c r="G1147" t="s">
        <v>956</v>
      </c>
      <c r="H1147" t="s">
        <v>53</v>
      </c>
      <c r="I1147" t="s">
        <v>53</v>
      </c>
      <c r="J1147" s="5" t="s">
        <v>53</v>
      </c>
      <c r="K1147" t="s">
        <v>119</v>
      </c>
      <c r="L1147" s="6">
        <v>42552</v>
      </c>
      <c r="M1147">
        <v>7</v>
      </c>
      <c r="N1147" s="7" t="s">
        <v>55</v>
      </c>
      <c r="O1147" t="s">
        <v>31</v>
      </c>
      <c r="P1147" t="s">
        <v>5390</v>
      </c>
      <c r="Q1147" t="s">
        <v>5391</v>
      </c>
      <c r="R1147" t="s">
        <v>5392</v>
      </c>
    </row>
    <row r="1148" spans="1:18" hidden="1">
      <c r="A1148">
        <v>5</v>
      </c>
      <c r="B1148" s="4" t="s">
        <v>4600</v>
      </c>
      <c r="C1148" s="4" t="s">
        <v>5385</v>
      </c>
      <c r="D1148" s="4" t="s">
        <v>5386</v>
      </c>
      <c r="E1148" s="4" t="s">
        <v>5804</v>
      </c>
      <c r="F1148" t="s">
        <v>956</v>
      </c>
      <c r="G1148" t="s">
        <v>956</v>
      </c>
      <c r="H1148" t="s">
        <v>53</v>
      </c>
      <c r="I1148" t="s">
        <v>53</v>
      </c>
      <c r="J1148" s="5" t="s">
        <v>53</v>
      </c>
      <c r="K1148" t="s">
        <v>87</v>
      </c>
      <c r="L1148" s="6">
        <v>43040</v>
      </c>
      <c r="M1148">
        <v>11</v>
      </c>
      <c r="N1148" s="7" t="s">
        <v>23</v>
      </c>
      <c r="O1148" t="s">
        <v>88</v>
      </c>
      <c r="P1148" t="s">
        <v>5399</v>
      </c>
      <c r="Q1148" t="s">
        <v>5400</v>
      </c>
      <c r="R1148" t="s">
        <v>5401</v>
      </c>
    </row>
    <row r="1149" spans="1:18" hidden="1">
      <c r="A1149">
        <v>5</v>
      </c>
      <c r="B1149" s="4" t="s">
        <v>4600</v>
      </c>
      <c r="C1149" s="4" t="s">
        <v>5385</v>
      </c>
      <c r="D1149" s="4" t="s">
        <v>5386</v>
      </c>
      <c r="E1149" s="4" t="s">
        <v>5804</v>
      </c>
      <c r="F1149" t="s">
        <v>956</v>
      </c>
      <c r="G1149" t="s">
        <v>956</v>
      </c>
      <c r="H1149" t="s">
        <v>53</v>
      </c>
      <c r="I1149" t="s">
        <v>53</v>
      </c>
      <c r="J1149" s="5" t="s">
        <v>53</v>
      </c>
      <c r="K1149" t="s">
        <v>29</v>
      </c>
      <c r="L1149" s="6">
        <v>43070</v>
      </c>
      <c r="M1149">
        <v>12</v>
      </c>
      <c r="N1149" s="7" t="s">
        <v>30</v>
      </c>
      <c r="O1149" t="s">
        <v>88</v>
      </c>
      <c r="P1149" t="s">
        <v>5402</v>
      </c>
      <c r="Q1149" t="s">
        <v>5400</v>
      </c>
      <c r="R1149" t="s">
        <v>5401</v>
      </c>
    </row>
    <row r="1150" spans="1:18" hidden="1">
      <c r="A1150">
        <v>5</v>
      </c>
      <c r="B1150" s="4" t="s">
        <v>4600</v>
      </c>
      <c r="C1150" s="4" t="s">
        <v>5385</v>
      </c>
      <c r="D1150" s="4" t="s">
        <v>5386</v>
      </c>
      <c r="E1150" s="4" t="s">
        <v>5804</v>
      </c>
      <c r="F1150" t="s">
        <v>956</v>
      </c>
      <c r="G1150" t="s">
        <v>956</v>
      </c>
      <c r="H1150" t="s">
        <v>53</v>
      </c>
      <c r="I1150" t="s">
        <v>53</v>
      </c>
      <c r="J1150" s="5" t="s">
        <v>53</v>
      </c>
      <c r="K1150" t="s">
        <v>1012</v>
      </c>
      <c r="L1150" s="6">
        <v>43132</v>
      </c>
      <c r="M1150">
        <v>2</v>
      </c>
      <c r="N1150" s="7" t="s">
        <v>30</v>
      </c>
      <c r="O1150" t="s">
        <v>88</v>
      </c>
      <c r="P1150" t="s">
        <v>5406</v>
      </c>
      <c r="Q1150" t="s">
        <v>5407</v>
      </c>
      <c r="R1150" t="s">
        <v>5408</v>
      </c>
    </row>
    <row r="1151" spans="1:18" hidden="1">
      <c r="A1151">
        <v>5</v>
      </c>
      <c r="B1151" s="4" t="s">
        <v>4600</v>
      </c>
      <c r="C1151" s="4" t="s">
        <v>5385</v>
      </c>
      <c r="D1151" s="4" t="s">
        <v>5386</v>
      </c>
      <c r="E1151" s="4" t="s">
        <v>5804</v>
      </c>
      <c r="F1151" t="s">
        <v>956</v>
      </c>
      <c r="G1151" t="s">
        <v>956</v>
      </c>
      <c r="H1151" t="s">
        <v>53</v>
      </c>
      <c r="I1151" t="s">
        <v>53</v>
      </c>
      <c r="J1151" s="5" t="s">
        <v>53</v>
      </c>
      <c r="K1151" t="s">
        <v>304</v>
      </c>
      <c r="L1151" s="6">
        <v>43647</v>
      </c>
      <c r="M1151">
        <v>7</v>
      </c>
      <c r="N1151" s="7" t="s">
        <v>55</v>
      </c>
      <c r="O1151" t="s">
        <v>88</v>
      </c>
      <c r="P1151" t="s">
        <v>5414</v>
      </c>
      <c r="Q1151" t="s">
        <v>5407</v>
      </c>
      <c r="R1151" t="s">
        <v>5408</v>
      </c>
    </row>
    <row r="1152" spans="1:18" hidden="1">
      <c r="A1152">
        <v>5</v>
      </c>
      <c r="B1152" s="4" t="s">
        <v>4600</v>
      </c>
      <c r="C1152" s="4" t="s">
        <v>5385</v>
      </c>
      <c r="D1152" s="4" t="s">
        <v>5386</v>
      </c>
      <c r="E1152" s="4" t="s">
        <v>5804</v>
      </c>
      <c r="F1152" t="s">
        <v>956</v>
      </c>
      <c r="G1152" t="s">
        <v>956</v>
      </c>
      <c r="H1152" t="s">
        <v>53</v>
      </c>
      <c r="I1152" t="s">
        <v>53</v>
      </c>
      <c r="J1152" s="5" t="s">
        <v>53</v>
      </c>
      <c r="K1152" t="s">
        <v>691</v>
      </c>
      <c r="L1152" s="6">
        <v>43770</v>
      </c>
      <c r="M1152">
        <v>11</v>
      </c>
      <c r="N1152" s="7" t="s">
        <v>23</v>
      </c>
      <c r="O1152" t="s">
        <v>88</v>
      </c>
      <c r="P1152" t="s">
        <v>5419</v>
      </c>
      <c r="Q1152" t="s">
        <v>5407</v>
      </c>
      <c r="R1152" t="s">
        <v>5408</v>
      </c>
    </row>
    <row r="1153" spans="1:18" hidden="1">
      <c r="A1153">
        <v>5</v>
      </c>
      <c r="B1153" s="4" t="s">
        <v>4600</v>
      </c>
      <c r="C1153" s="4" t="s">
        <v>5385</v>
      </c>
      <c r="D1153" s="4" t="s">
        <v>5386</v>
      </c>
      <c r="E1153" s="4" t="s">
        <v>5804</v>
      </c>
      <c r="F1153" t="s">
        <v>956</v>
      </c>
      <c r="G1153" t="s">
        <v>956</v>
      </c>
      <c r="H1153" t="s">
        <v>53</v>
      </c>
      <c r="I1153" t="s">
        <v>53</v>
      </c>
      <c r="J1153" s="5" t="s">
        <v>53</v>
      </c>
      <c r="K1153" t="s">
        <v>175</v>
      </c>
      <c r="L1153" s="6">
        <v>44166</v>
      </c>
      <c r="M1153">
        <v>12</v>
      </c>
      <c r="N1153" s="7" t="s">
        <v>30</v>
      </c>
      <c r="O1153" t="s">
        <v>31</v>
      </c>
      <c r="P1153" t="s">
        <v>5426</v>
      </c>
      <c r="Q1153" t="s">
        <v>5427</v>
      </c>
      <c r="R1153" t="s">
        <v>5413</v>
      </c>
    </row>
    <row r="1154" spans="1:18" hidden="1">
      <c r="A1154">
        <v>5</v>
      </c>
      <c r="B1154" s="4" t="s">
        <v>4600</v>
      </c>
      <c r="C1154" s="4" t="s">
        <v>5385</v>
      </c>
      <c r="D1154" s="4" t="s">
        <v>5386</v>
      </c>
      <c r="E1154" s="4" t="s">
        <v>5804</v>
      </c>
      <c r="F1154" t="s">
        <v>956</v>
      </c>
      <c r="G1154" t="s">
        <v>956</v>
      </c>
      <c r="H1154" t="s">
        <v>53</v>
      </c>
      <c r="I1154" t="s">
        <v>53</v>
      </c>
      <c r="J1154" s="5" t="s">
        <v>53</v>
      </c>
      <c r="K1154" t="s">
        <v>369</v>
      </c>
      <c r="L1154" s="6">
        <v>44197</v>
      </c>
      <c r="M1154">
        <v>1</v>
      </c>
      <c r="N1154" s="7" t="s">
        <v>30</v>
      </c>
      <c r="O1154" t="s">
        <v>31</v>
      </c>
      <c r="P1154" t="s">
        <v>5428</v>
      </c>
      <c r="Q1154" t="s">
        <v>5427</v>
      </c>
      <c r="R1154" t="s">
        <v>5413</v>
      </c>
    </row>
    <row r="1155" spans="1:18" hidden="1">
      <c r="A1155">
        <v>5</v>
      </c>
      <c r="B1155" s="4" t="s">
        <v>4600</v>
      </c>
      <c r="C1155" s="4" t="s">
        <v>5385</v>
      </c>
      <c r="D1155" s="4" t="s">
        <v>5432</v>
      </c>
      <c r="E1155" s="4" t="s">
        <v>5804</v>
      </c>
      <c r="F1155" t="s">
        <v>956</v>
      </c>
      <c r="G1155" t="s">
        <v>956</v>
      </c>
      <c r="H1155" t="s">
        <v>53</v>
      </c>
      <c r="I1155" t="s">
        <v>53</v>
      </c>
      <c r="J1155" s="5" t="s">
        <v>53</v>
      </c>
      <c r="K1155" t="s">
        <v>60</v>
      </c>
      <c r="L1155" s="6">
        <v>42370</v>
      </c>
      <c r="M1155">
        <v>1</v>
      </c>
      <c r="N1155" s="7" t="s">
        <v>30</v>
      </c>
      <c r="O1155" t="s">
        <v>223</v>
      </c>
      <c r="P1155" t="s">
        <v>5433</v>
      </c>
      <c r="Q1155" t="s">
        <v>5434</v>
      </c>
      <c r="R1155" t="s">
        <v>5435</v>
      </c>
    </row>
    <row r="1156" spans="1:18" hidden="1">
      <c r="A1156">
        <v>5</v>
      </c>
      <c r="B1156" s="4" t="s">
        <v>4600</v>
      </c>
      <c r="C1156" s="4" t="s">
        <v>5385</v>
      </c>
      <c r="D1156" s="4" t="s">
        <v>5432</v>
      </c>
      <c r="E1156" s="4" t="s">
        <v>5804</v>
      </c>
      <c r="F1156" t="s">
        <v>956</v>
      </c>
      <c r="G1156" t="s">
        <v>956</v>
      </c>
      <c r="H1156" t="s">
        <v>53</v>
      </c>
      <c r="I1156" t="s">
        <v>53</v>
      </c>
      <c r="J1156" s="5" t="s">
        <v>53</v>
      </c>
      <c r="K1156" t="s">
        <v>319</v>
      </c>
      <c r="L1156" s="6">
        <v>42583</v>
      </c>
      <c r="M1156">
        <v>8</v>
      </c>
      <c r="N1156" s="7" t="s">
        <v>55</v>
      </c>
      <c r="O1156" t="s">
        <v>31</v>
      </c>
      <c r="P1156" t="s">
        <v>5436</v>
      </c>
      <c r="Q1156" t="s">
        <v>5437</v>
      </c>
      <c r="R1156" t="s">
        <v>5438</v>
      </c>
    </row>
    <row r="1157" spans="1:18" hidden="1">
      <c r="A1157">
        <v>5</v>
      </c>
      <c r="B1157" s="4" t="s">
        <v>4600</v>
      </c>
      <c r="C1157" s="4" t="s">
        <v>5385</v>
      </c>
      <c r="D1157" s="4" t="s">
        <v>5432</v>
      </c>
      <c r="E1157" s="4" t="s">
        <v>5804</v>
      </c>
      <c r="F1157" t="s">
        <v>956</v>
      </c>
      <c r="G1157" t="s">
        <v>956</v>
      </c>
      <c r="H1157" t="s">
        <v>53</v>
      </c>
      <c r="I1157" t="s">
        <v>53</v>
      </c>
      <c r="J1157" s="5" t="s">
        <v>53</v>
      </c>
      <c r="K1157" t="s">
        <v>218</v>
      </c>
      <c r="L1157" s="6">
        <v>42614</v>
      </c>
      <c r="M1157">
        <v>9</v>
      </c>
      <c r="N1157" s="7" t="s">
        <v>23</v>
      </c>
      <c r="O1157" t="s">
        <v>88</v>
      </c>
      <c r="P1157" t="s">
        <v>5442</v>
      </c>
      <c r="Q1157" t="s">
        <v>5443</v>
      </c>
      <c r="R1157" t="s">
        <v>5444</v>
      </c>
    </row>
    <row r="1158" spans="1:18" hidden="1">
      <c r="A1158">
        <v>5</v>
      </c>
      <c r="B1158" s="4" t="s">
        <v>4600</v>
      </c>
      <c r="C1158" s="4" t="s">
        <v>5385</v>
      </c>
      <c r="D1158" s="4" t="s">
        <v>5432</v>
      </c>
      <c r="E1158" s="4" t="s">
        <v>5804</v>
      </c>
      <c r="F1158" t="s">
        <v>956</v>
      </c>
      <c r="G1158" t="s">
        <v>956</v>
      </c>
      <c r="H1158" t="s">
        <v>53</v>
      </c>
      <c r="I1158" t="s">
        <v>53</v>
      </c>
      <c r="J1158" s="5" t="s">
        <v>53</v>
      </c>
      <c r="K1158" t="s">
        <v>278</v>
      </c>
      <c r="L1158" s="6">
        <v>42675</v>
      </c>
      <c r="M1158">
        <v>11</v>
      </c>
      <c r="N1158" s="7" t="s">
        <v>23</v>
      </c>
      <c r="O1158" t="s">
        <v>31</v>
      </c>
      <c r="P1158" t="s">
        <v>5448</v>
      </c>
      <c r="Q1158" t="s">
        <v>5449</v>
      </c>
      <c r="R1158" t="s">
        <v>5450</v>
      </c>
    </row>
    <row r="1159" spans="1:18" hidden="1">
      <c r="A1159">
        <v>7</v>
      </c>
      <c r="B1159" s="4" t="s">
        <v>5586</v>
      </c>
      <c r="C1159" s="4" t="s">
        <v>5587</v>
      </c>
      <c r="D1159" s="4" t="s">
        <v>5596</v>
      </c>
      <c r="E1159" s="4" t="s">
        <v>5804</v>
      </c>
      <c r="F1159" t="s">
        <v>956</v>
      </c>
      <c r="G1159" t="s">
        <v>956</v>
      </c>
      <c r="H1159" t="s">
        <v>53</v>
      </c>
      <c r="I1159" t="s">
        <v>53</v>
      </c>
      <c r="J1159" s="5" t="s">
        <v>53</v>
      </c>
      <c r="K1159" t="s">
        <v>71</v>
      </c>
      <c r="L1159" s="6">
        <v>42522</v>
      </c>
      <c r="M1159">
        <v>6</v>
      </c>
      <c r="N1159" s="7" t="s">
        <v>55</v>
      </c>
      <c r="O1159" t="s">
        <v>31</v>
      </c>
      <c r="P1159" t="s">
        <v>5598</v>
      </c>
      <c r="Q1159" t="s">
        <v>5599</v>
      </c>
      <c r="R1159" t="s">
        <v>5600</v>
      </c>
    </row>
    <row r="1160" spans="1:18" hidden="1">
      <c r="A1160">
        <v>4</v>
      </c>
      <c r="B1160" s="4" t="s">
        <v>3127</v>
      </c>
      <c r="C1160" s="4" t="s">
        <v>3128</v>
      </c>
      <c r="D1160" s="4" t="s">
        <v>3247</v>
      </c>
      <c r="E1160" s="4" t="s">
        <v>5804</v>
      </c>
      <c r="F1160" t="s">
        <v>3336</v>
      </c>
      <c r="G1160" t="s">
        <v>3336</v>
      </c>
      <c r="H1160" t="s">
        <v>53</v>
      </c>
      <c r="I1160" t="s">
        <v>53</v>
      </c>
      <c r="J1160" s="5" t="s">
        <v>53</v>
      </c>
      <c r="K1160" t="s">
        <v>797</v>
      </c>
      <c r="L1160" s="6">
        <v>43252</v>
      </c>
      <c r="M1160">
        <v>6</v>
      </c>
      <c r="N1160" s="7" t="s">
        <v>55</v>
      </c>
      <c r="O1160" t="s">
        <v>24</v>
      </c>
      <c r="P1160" t="s">
        <v>3337</v>
      </c>
      <c r="Q1160" t="s">
        <v>3338</v>
      </c>
      <c r="R1160" t="s">
        <v>3339</v>
      </c>
    </row>
    <row r="1161" spans="1:18" hidden="1">
      <c r="A1161">
        <v>4</v>
      </c>
      <c r="B1161" s="4" t="s">
        <v>3127</v>
      </c>
      <c r="C1161" s="4" t="s">
        <v>3789</v>
      </c>
      <c r="D1161" s="4" t="s">
        <v>3790</v>
      </c>
      <c r="E1161" s="4" t="s">
        <v>5804</v>
      </c>
      <c r="F1161" t="s">
        <v>3336</v>
      </c>
      <c r="G1161" t="s">
        <v>3336</v>
      </c>
      <c r="H1161" t="s">
        <v>53</v>
      </c>
      <c r="I1161" t="s">
        <v>53</v>
      </c>
      <c r="J1161" s="5" t="s">
        <v>53</v>
      </c>
      <c r="K1161" t="s">
        <v>558</v>
      </c>
      <c r="L1161" s="6">
        <v>42339</v>
      </c>
      <c r="M1161">
        <v>12</v>
      </c>
      <c r="N1161" s="7" t="s">
        <v>30</v>
      </c>
      <c r="O1161" t="s">
        <v>24</v>
      </c>
      <c r="P1161" t="s">
        <v>3791</v>
      </c>
      <c r="Q1161" t="s">
        <v>3792</v>
      </c>
      <c r="R1161" t="s">
        <v>3793</v>
      </c>
    </row>
    <row r="1162" spans="1:18" hidden="1">
      <c r="A1162">
        <v>5</v>
      </c>
      <c r="B1162" s="4" t="s">
        <v>4600</v>
      </c>
      <c r="C1162" s="4" t="s">
        <v>5385</v>
      </c>
      <c r="D1162" s="4" t="s">
        <v>5432</v>
      </c>
      <c r="E1162" s="4" t="s">
        <v>5804</v>
      </c>
      <c r="F1162" t="s">
        <v>3336</v>
      </c>
      <c r="G1162" t="s">
        <v>3336</v>
      </c>
      <c r="H1162" t="s">
        <v>53</v>
      </c>
      <c r="I1162" t="s">
        <v>53</v>
      </c>
      <c r="J1162" s="5" t="s">
        <v>53</v>
      </c>
      <c r="K1162" t="s">
        <v>142</v>
      </c>
      <c r="L1162" s="6">
        <v>43101</v>
      </c>
      <c r="M1162">
        <v>1</v>
      </c>
      <c r="N1162" s="7" t="s">
        <v>30</v>
      </c>
      <c r="O1162" t="s">
        <v>88</v>
      </c>
      <c r="P1162" t="s">
        <v>5457</v>
      </c>
      <c r="Q1162" t="s">
        <v>5458</v>
      </c>
      <c r="R1162" t="s">
        <v>5459</v>
      </c>
    </row>
    <row r="1163" spans="1:18" hidden="1">
      <c r="A1163">
        <v>11</v>
      </c>
      <c r="B1163" s="4" t="s">
        <v>554</v>
      </c>
      <c r="C1163" s="4" t="s">
        <v>555</v>
      </c>
      <c r="D1163" s="4" t="s">
        <v>556</v>
      </c>
      <c r="E1163" s="4" t="s">
        <v>5804</v>
      </c>
      <c r="F1163" t="s">
        <v>588</v>
      </c>
      <c r="G1163" t="s">
        <v>588</v>
      </c>
      <c r="H1163" t="s">
        <v>53</v>
      </c>
      <c r="I1163" t="s">
        <v>53</v>
      </c>
      <c r="J1163" s="5" t="s">
        <v>53</v>
      </c>
      <c r="K1163" t="s">
        <v>29</v>
      </c>
      <c r="L1163" s="6">
        <v>43070</v>
      </c>
      <c r="M1163">
        <v>12</v>
      </c>
      <c r="N1163" s="7" t="s">
        <v>30</v>
      </c>
      <c r="O1163" t="s">
        <v>31</v>
      </c>
      <c r="P1163" t="s">
        <v>589</v>
      </c>
      <c r="Q1163" t="s">
        <v>590</v>
      </c>
      <c r="R1163" t="s">
        <v>591</v>
      </c>
    </row>
    <row r="1164" spans="1:18" hidden="1">
      <c r="A1164">
        <v>11</v>
      </c>
      <c r="B1164" s="4" t="s">
        <v>554</v>
      </c>
      <c r="C1164" s="4" t="s">
        <v>555</v>
      </c>
      <c r="D1164" s="4" t="s">
        <v>556</v>
      </c>
      <c r="E1164" s="4" t="s">
        <v>5804</v>
      </c>
      <c r="F1164" t="s">
        <v>588</v>
      </c>
      <c r="G1164" t="s">
        <v>588</v>
      </c>
      <c r="H1164" t="s">
        <v>53</v>
      </c>
      <c r="I1164" t="s">
        <v>53</v>
      </c>
      <c r="J1164" s="5" t="s">
        <v>53</v>
      </c>
      <c r="K1164" t="s">
        <v>298</v>
      </c>
      <c r="L1164" s="6">
        <v>43344</v>
      </c>
      <c r="M1164">
        <v>9</v>
      </c>
      <c r="N1164" s="7" t="s">
        <v>23</v>
      </c>
      <c r="O1164" t="s">
        <v>36</v>
      </c>
      <c r="P1164" t="s">
        <v>596</v>
      </c>
      <c r="Q1164" t="s">
        <v>597</v>
      </c>
      <c r="R1164" t="s">
        <v>598</v>
      </c>
    </row>
    <row r="1165" spans="1:18" hidden="1">
      <c r="A1165">
        <v>11</v>
      </c>
      <c r="B1165" s="4" t="s">
        <v>554</v>
      </c>
      <c r="C1165" s="4" t="s">
        <v>555</v>
      </c>
      <c r="D1165" s="4" t="s">
        <v>556</v>
      </c>
      <c r="E1165" s="4" t="s">
        <v>5804</v>
      </c>
      <c r="F1165" t="s">
        <v>588</v>
      </c>
      <c r="G1165" t="s">
        <v>588</v>
      </c>
      <c r="H1165" t="s">
        <v>53</v>
      </c>
      <c r="I1165" t="s">
        <v>53</v>
      </c>
      <c r="J1165" s="5" t="s">
        <v>53</v>
      </c>
      <c r="K1165" t="s">
        <v>164</v>
      </c>
      <c r="L1165" s="6">
        <v>43617</v>
      </c>
      <c r="M1165">
        <v>6</v>
      </c>
      <c r="N1165" s="7" t="s">
        <v>55</v>
      </c>
      <c r="O1165" t="s">
        <v>88</v>
      </c>
      <c r="P1165" t="s">
        <v>609</v>
      </c>
      <c r="Q1165" t="s">
        <v>610</v>
      </c>
      <c r="R1165" t="s">
        <v>611</v>
      </c>
    </row>
    <row r="1166" spans="1:18" hidden="1">
      <c r="A1166">
        <v>11</v>
      </c>
      <c r="B1166" s="4" t="s">
        <v>554</v>
      </c>
      <c r="C1166" s="4" t="s">
        <v>555</v>
      </c>
      <c r="D1166" s="4" t="s">
        <v>556</v>
      </c>
      <c r="E1166" s="4" t="s">
        <v>5804</v>
      </c>
      <c r="F1166" t="s">
        <v>588</v>
      </c>
      <c r="G1166" t="s">
        <v>588</v>
      </c>
      <c r="H1166" t="s">
        <v>53</v>
      </c>
      <c r="I1166" t="s">
        <v>53</v>
      </c>
      <c r="J1166" s="5" t="s">
        <v>53</v>
      </c>
      <c r="K1166" t="s">
        <v>251</v>
      </c>
      <c r="L1166" s="6">
        <v>43952</v>
      </c>
      <c r="M1166">
        <v>5</v>
      </c>
      <c r="N1166" s="7" t="s">
        <v>23</v>
      </c>
      <c r="O1166" t="s">
        <v>36</v>
      </c>
      <c r="P1166" t="s">
        <v>622</v>
      </c>
      <c r="Q1166" t="s">
        <v>597</v>
      </c>
      <c r="R1166" t="s">
        <v>598</v>
      </c>
    </row>
    <row r="1167" spans="1:18" hidden="1">
      <c r="A1167">
        <v>11</v>
      </c>
      <c r="B1167" s="4" t="s">
        <v>554</v>
      </c>
      <c r="C1167" s="4" t="s">
        <v>696</v>
      </c>
      <c r="D1167" s="4" t="s">
        <v>759</v>
      </c>
      <c r="E1167" s="4" t="s">
        <v>5804</v>
      </c>
      <c r="F1167" t="s">
        <v>588</v>
      </c>
      <c r="G1167" t="s">
        <v>588</v>
      </c>
      <c r="H1167" t="s">
        <v>53</v>
      </c>
      <c r="I1167" t="s">
        <v>53</v>
      </c>
      <c r="J1167" s="5" t="s">
        <v>53</v>
      </c>
      <c r="K1167" t="s">
        <v>71</v>
      </c>
      <c r="L1167" s="6">
        <v>42522</v>
      </c>
      <c r="M1167">
        <v>6</v>
      </c>
      <c r="N1167" s="7" t="s">
        <v>55</v>
      </c>
      <c r="O1167" t="s">
        <v>31</v>
      </c>
      <c r="P1167" t="s">
        <v>772</v>
      </c>
      <c r="Q1167" t="s">
        <v>773</v>
      </c>
      <c r="R1167" t="s">
        <v>774</v>
      </c>
    </row>
    <row r="1168" spans="1:18" hidden="1">
      <c r="A1168">
        <v>11</v>
      </c>
      <c r="B1168" s="4" t="s">
        <v>554</v>
      </c>
      <c r="C1168" s="4" t="s">
        <v>696</v>
      </c>
      <c r="D1168" s="4" t="s">
        <v>759</v>
      </c>
      <c r="E1168" s="4" t="s">
        <v>5804</v>
      </c>
      <c r="F1168" t="s">
        <v>588</v>
      </c>
      <c r="G1168" t="s">
        <v>588</v>
      </c>
      <c r="H1168" t="s">
        <v>53</v>
      </c>
      <c r="I1168" t="s">
        <v>53</v>
      </c>
      <c r="J1168" s="5" t="s">
        <v>53</v>
      </c>
      <c r="K1168" t="s">
        <v>164</v>
      </c>
      <c r="L1168" s="6">
        <v>43617</v>
      </c>
      <c r="M1168">
        <v>6</v>
      </c>
      <c r="N1168" s="7" t="s">
        <v>55</v>
      </c>
      <c r="O1168" t="s">
        <v>223</v>
      </c>
      <c r="P1168" t="s">
        <v>829</v>
      </c>
      <c r="Q1168" t="s">
        <v>818</v>
      </c>
      <c r="R1168" t="s">
        <v>796</v>
      </c>
    </row>
    <row r="1169" spans="1:18" hidden="1">
      <c r="A1169">
        <v>11</v>
      </c>
      <c r="B1169" s="4" t="s">
        <v>554</v>
      </c>
      <c r="C1169" s="4" t="s">
        <v>696</v>
      </c>
      <c r="D1169" s="4" t="s">
        <v>759</v>
      </c>
      <c r="E1169" s="4" t="s">
        <v>5804</v>
      </c>
      <c r="F1169" t="s">
        <v>588</v>
      </c>
      <c r="G1169" t="s">
        <v>588</v>
      </c>
      <c r="H1169" t="s">
        <v>53</v>
      </c>
      <c r="I1169" t="s">
        <v>53</v>
      </c>
      <c r="J1169" s="5" t="s">
        <v>53</v>
      </c>
      <c r="K1169" t="s">
        <v>164</v>
      </c>
      <c r="L1169" s="6">
        <v>43617</v>
      </c>
      <c r="M1169">
        <v>6</v>
      </c>
      <c r="N1169" s="7" t="s">
        <v>55</v>
      </c>
      <c r="O1169" t="s">
        <v>36</v>
      </c>
      <c r="P1169" t="s">
        <v>830</v>
      </c>
      <c r="Q1169" t="s">
        <v>831</v>
      </c>
      <c r="R1169" t="s">
        <v>821</v>
      </c>
    </row>
    <row r="1170" spans="1:18" hidden="1">
      <c r="A1170">
        <v>12</v>
      </c>
      <c r="B1170" s="4" t="s">
        <v>901</v>
      </c>
      <c r="C1170" s="4" t="s">
        <v>902</v>
      </c>
      <c r="D1170" s="4" t="s">
        <v>903</v>
      </c>
      <c r="E1170" s="4" t="s">
        <v>5804</v>
      </c>
      <c r="F1170" t="s">
        <v>588</v>
      </c>
      <c r="G1170" t="s">
        <v>588</v>
      </c>
      <c r="H1170" t="s">
        <v>53</v>
      </c>
      <c r="I1170" t="s">
        <v>53</v>
      </c>
      <c r="J1170" s="5" t="s">
        <v>53</v>
      </c>
      <c r="K1170" t="s">
        <v>65</v>
      </c>
      <c r="L1170" s="6">
        <v>42430</v>
      </c>
      <c r="M1170">
        <v>3</v>
      </c>
      <c r="N1170" s="7" t="s">
        <v>23</v>
      </c>
      <c r="O1170" t="s">
        <v>31</v>
      </c>
      <c r="P1170" t="s">
        <v>924</v>
      </c>
      <c r="Q1170" t="s">
        <v>925</v>
      </c>
      <c r="R1170" t="s">
        <v>926</v>
      </c>
    </row>
    <row r="1171" spans="1:18" hidden="1">
      <c r="A1171">
        <v>12</v>
      </c>
      <c r="B1171" s="4" t="s">
        <v>901</v>
      </c>
      <c r="C1171" s="4" t="s">
        <v>902</v>
      </c>
      <c r="D1171" s="4" t="s">
        <v>903</v>
      </c>
      <c r="E1171" s="4" t="s">
        <v>5804</v>
      </c>
      <c r="F1171" t="s">
        <v>588</v>
      </c>
      <c r="G1171" t="s">
        <v>588</v>
      </c>
      <c r="H1171" t="s">
        <v>53</v>
      </c>
      <c r="I1171" t="s">
        <v>53</v>
      </c>
      <c r="J1171" s="5" t="s">
        <v>53</v>
      </c>
      <c r="K1171" t="s">
        <v>319</v>
      </c>
      <c r="L1171" s="6">
        <v>42583</v>
      </c>
      <c r="M1171">
        <v>8</v>
      </c>
      <c r="N1171" s="7" t="s">
        <v>55</v>
      </c>
      <c r="O1171" t="s">
        <v>36</v>
      </c>
      <c r="P1171" t="s">
        <v>946</v>
      </c>
      <c r="Q1171" t="s">
        <v>943</v>
      </c>
      <c r="R1171" t="s">
        <v>944</v>
      </c>
    </row>
    <row r="1172" spans="1:18" hidden="1">
      <c r="A1172">
        <v>12</v>
      </c>
      <c r="B1172" s="4" t="s">
        <v>901</v>
      </c>
      <c r="C1172" s="4" t="s">
        <v>902</v>
      </c>
      <c r="D1172" s="4" t="s">
        <v>903</v>
      </c>
      <c r="E1172" s="4" t="s">
        <v>5804</v>
      </c>
      <c r="F1172" t="s">
        <v>588</v>
      </c>
      <c r="G1172" t="s">
        <v>588</v>
      </c>
      <c r="H1172" t="s">
        <v>53</v>
      </c>
      <c r="I1172" t="s">
        <v>53</v>
      </c>
      <c r="J1172" s="5" t="s">
        <v>53</v>
      </c>
      <c r="K1172" t="s">
        <v>220</v>
      </c>
      <c r="L1172" s="6">
        <v>42644</v>
      </c>
      <c r="M1172">
        <v>10</v>
      </c>
      <c r="N1172" s="7" t="s">
        <v>23</v>
      </c>
      <c r="O1172" t="s">
        <v>24</v>
      </c>
      <c r="P1172" t="s">
        <v>969</v>
      </c>
      <c r="Q1172" t="s">
        <v>970</v>
      </c>
      <c r="R1172" t="s">
        <v>971</v>
      </c>
    </row>
    <row r="1173" spans="1:18" hidden="1">
      <c r="A1173">
        <v>12</v>
      </c>
      <c r="B1173" s="4" t="s">
        <v>901</v>
      </c>
      <c r="C1173" s="4" t="s">
        <v>902</v>
      </c>
      <c r="D1173" s="4" t="s">
        <v>903</v>
      </c>
      <c r="E1173" s="4" t="s">
        <v>5804</v>
      </c>
      <c r="F1173" t="s">
        <v>588</v>
      </c>
      <c r="G1173" t="s">
        <v>588</v>
      </c>
      <c r="H1173" t="s">
        <v>53</v>
      </c>
      <c r="I1173" t="s">
        <v>53</v>
      </c>
      <c r="J1173" s="5" t="s">
        <v>53</v>
      </c>
      <c r="K1173" t="s">
        <v>797</v>
      </c>
      <c r="L1173" s="6">
        <v>43252</v>
      </c>
      <c r="M1173">
        <v>6</v>
      </c>
      <c r="N1173" s="7" t="s">
        <v>55</v>
      </c>
      <c r="O1173" t="s">
        <v>24</v>
      </c>
      <c r="P1173" t="s">
        <v>1037</v>
      </c>
      <c r="Q1173" t="s">
        <v>970</v>
      </c>
      <c r="R1173" t="s">
        <v>971</v>
      </c>
    </row>
    <row r="1174" spans="1:18" hidden="1">
      <c r="A1174">
        <v>12</v>
      </c>
      <c r="B1174" s="4" t="s">
        <v>901</v>
      </c>
      <c r="C1174" s="4" t="s">
        <v>902</v>
      </c>
      <c r="D1174" s="4" t="s">
        <v>903</v>
      </c>
      <c r="E1174" s="4" t="s">
        <v>5804</v>
      </c>
      <c r="F1174" t="s">
        <v>588</v>
      </c>
      <c r="G1174" t="s">
        <v>588</v>
      </c>
      <c r="H1174" t="s">
        <v>53</v>
      </c>
      <c r="I1174" t="s">
        <v>53</v>
      </c>
      <c r="J1174" s="5" t="s">
        <v>53</v>
      </c>
      <c r="K1174" t="s">
        <v>726</v>
      </c>
      <c r="L1174" s="6">
        <v>43709</v>
      </c>
      <c r="M1174">
        <v>9</v>
      </c>
      <c r="N1174" s="7" t="s">
        <v>23</v>
      </c>
      <c r="O1174" t="s">
        <v>31</v>
      </c>
      <c r="P1174" t="s">
        <v>1076</v>
      </c>
      <c r="Q1174" t="s">
        <v>925</v>
      </c>
      <c r="R1174" t="s">
        <v>926</v>
      </c>
    </row>
    <row r="1175" spans="1:18" hidden="1">
      <c r="A1175">
        <v>12</v>
      </c>
      <c r="B1175" s="4" t="s">
        <v>901</v>
      </c>
      <c r="C1175" s="4" t="s">
        <v>902</v>
      </c>
      <c r="D1175" s="4" t="s">
        <v>903</v>
      </c>
      <c r="E1175" s="4" t="s">
        <v>5804</v>
      </c>
      <c r="F1175" t="s">
        <v>588</v>
      </c>
      <c r="G1175" t="s">
        <v>588</v>
      </c>
      <c r="H1175" t="s">
        <v>53</v>
      </c>
      <c r="I1175" t="s">
        <v>53</v>
      </c>
      <c r="J1175" s="5" t="s">
        <v>53</v>
      </c>
      <c r="K1175" t="s">
        <v>267</v>
      </c>
      <c r="L1175" s="6">
        <v>44044</v>
      </c>
      <c r="M1175">
        <v>8</v>
      </c>
      <c r="N1175" s="7" t="s">
        <v>55</v>
      </c>
      <c r="O1175" t="s">
        <v>24</v>
      </c>
      <c r="P1175" t="s">
        <v>1118</v>
      </c>
      <c r="Q1175" t="s">
        <v>970</v>
      </c>
      <c r="R1175" t="s">
        <v>971</v>
      </c>
    </row>
    <row r="1176" spans="1:18" hidden="1">
      <c r="A1176">
        <v>12</v>
      </c>
      <c r="B1176" s="4" t="s">
        <v>901</v>
      </c>
      <c r="C1176" s="4" t="s">
        <v>902</v>
      </c>
      <c r="D1176" s="4" t="s">
        <v>903</v>
      </c>
      <c r="E1176" s="4" t="s">
        <v>5804</v>
      </c>
      <c r="F1176" t="s">
        <v>588</v>
      </c>
      <c r="G1176" t="s">
        <v>588</v>
      </c>
      <c r="H1176" t="s">
        <v>53</v>
      </c>
      <c r="I1176" t="s">
        <v>53</v>
      </c>
      <c r="J1176" s="5" t="s">
        <v>53</v>
      </c>
      <c r="K1176" t="s">
        <v>547</v>
      </c>
      <c r="L1176" s="6">
        <v>44075</v>
      </c>
      <c r="M1176">
        <v>9</v>
      </c>
      <c r="N1176" s="7" t="s">
        <v>23</v>
      </c>
      <c r="O1176" t="s">
        <v>36</v>
      </c>
      <c r="P1176" t="s">
        <v>1119</v>
      </c>
      <c r="Q1176" t="s">
        <v>943</v>
      </c>
      <c r="R1176" t="s">
        <v>944</v>
      </c>
    </row>
    <row r="1177" spans="1:18" hidden="1">
      <c r="A1177">
        <v>12</v>
      </c>
      <c r="B1177" s="4" t="s">
        <v>901</v>
      </c>
      <c r="C1177" s="4" t="s">
        <v>902</v>
      </c>
      <c r="D1177" s="4" t="s">
        <v>903</v>
      </c>
      <c r="E1177" s="4" t="s">
        <v>5804</v>
      </c>
      <c r="F1177" t="s">
        <v>588</v>
      </c>
      <c r="G1177" t="s">
        <v>588</v>
      </c>
      <c r="H1177" t="s">
        <v>53</v>
      </c>
      <c r="I1177" t="s">
        <v>53</v>
      </c>
      <c r="J1177" s="5" t="s">
        <v>53</v>
      </c>
      <c r="K1177" t="s">
        <v>175</v>
      </c>
      <c r="L1177" s="6">
        <v>44166</v>
      </c>
      <c r="M1177">
        <v>12</v>
      </c>
      <c r="N1177" s="7" t="s">
        <v>30</v>
      </c>
      <c r="O1177" t="s">
        <v>24</v>
      </c>
      <c r="P1177" t="s">
        <v>1134</v>
      </c>
      <c r="Q1177" t="s">
        <v>970</v>
      </c>
      <c r="R1177" t="s">
        <v>971</v>
      </c>
    </row>
    <row r="1178" spans="1:18" hidden="1">
      <c r="A1178">
        <v>12</v>
      </c>
      <c r="B1178" s="4" t="s">
        <v>901</v>
      </c>
      <c r="C1178" s="4" t="s">
        <v>902</v>
      </c>
      <c r="D1178" s="4" t="s">
        <v>903</v>
      </c>
      <c r="E1178" s="4" t="s">
        <v>5804</v>
      </c>
      <c r="F1178" t="s">
        <v>588</v>
      </c>
      <c r="G1178" t="s">
        <v>588</v>
      </c>
      <c r="H1178" t="s">
        <v>53</v>
      </c>
      <c r="I1178" t="s">
        <v>53</v>
      </c>
      <c r="J1178" s="5" t="s">
        <v>53</v>
      </c>
      <c r="K1178" t="s">
        <v>102</v>
      </c>
      <c r="L1178" s="6">
        <v>44287</v>
      </c>
      <c r="M1178">
        <v>4</v>
      </c>
      <c r="N1178" s="7" t="s">
        <v>23</v>
      </c>
      <c r="O1178" t="s">
        <v>36</v>
      </c>
      <c r="P1178" t="s">
        <v>1136</v>
      </c>
      <c r="Q1178" t="s">
        <v>943</v>
      </c>
      <c r="R1178" t="s">
        <v>944</v>
      </c>
    </row>
    <row r="1179" spans="1:18" hidden="1">
      <c r="A1179">
        <v>12</v>
      </c>
      <c r="B1179" s="4" t="s">
        <v>901</v>
      </c>
      <c r="C1179" s="4" t="s">
        <v>1161</v>
      </c>
      <c r="D1179" s="4" t="s">
        <v>1374</v>
      </c>
      <c r="E1179" s="4" t="s">
        <v>5804</v>
      </c>
      <c r="F1179" t="s">
        <v>588</v>
      </c>
      <c r="G1179" t="s">
        <v>1407</v>
      </c>
      <c r="H1179" t="s">
        <v>53</v>
      </c>
      <c r="I1179" t="s">
        <v>53</v>
      </c>
      <c r="J1179" s="5" t="s">
        <v>53</v>
      </c>
      <c r="K1179" t="s">
        <v>182</v>
      </c>
      <c r="L1179" s="6">
        <v>44501</v>
      </c>
      <c r="M1179">
        <v>11</v>
      </c>
      <c r="N1179" s="7" t="s">
        <v>23</v>
      </c>
      <c r="O1179" t="s">
        <v>31</v>
      </c>
      <c r="P1179" t="s">
        <v>1408</v>
      </c>
      <c r="Q1179" t="s">
        <v>1376</v>
      </c>
      <c r="R1179" t="s">
        <v>1377</v>
      </c>
    </row>
    <row r="1180" spans="1:18" hidden="1">
      <c r="A1180">
        <v>12</v>
      </c>
      <c r="B1180" s="4" t="s">
        <v>901</v>
      </c>
      <c r="C1180" s="4" t="s">
        <v>1161</v>
      </c>
      <c r="D1180" s="4" t="s">
        <v>1374</v>
      </c>
      <c r="E1180" s="4" t="s">
        <v>5804</v>
      </c>
      <c r="F1180" t="s">
        <v>588</v>
      </c>
      <c r="G1180" t="s">
        <v>588</v>
      </c>
      <c r="H1180" t="s">
        <v>53</v>
      </c>
      <c r="I1180" t="s">
        <v>53</v>
      </c>
      <c r="J1180" s="5" t="s">
        <v>53</v>
      </c>
      <c r="K1180" t="s">
        <v>109</v>
      </c>
      <c r="L1180" s="6">
        <v>44531</v>
      </c>
      <c r="M1180">
        <v>12</v>
      </c>
      <c r="N1180" s="7" t="s">
        <v>30</v>
      </c>
      <c r="O1180" t="s">
        <v>36</v>
      </c>
      <c r="P1180" t="s">
        <v>1409</v>
      </c>
      <c r="Q1180" t="s">
        <v>1410</v>
      </c>
      <c r="R1180" t="s">
        <v>1411</v>
      </c>
    </row>
    <row r="1181" spans="1:18" hidden="1">
      <c r="A1181">
        <v>12</v>
      </c>
      <c r="B1181" s="4" t="s">
        <v>901</v>
      </c>
      <c r="C1181" s="4" t="s">
        <v>1600</v>
      </c>
      <c r="D1181" s="4" t="s">
        <v>1601</v>
      </c>
      <c r="E1181" s="4" t="s">
        <v>5804</v>
      </c>
      <c r="F1181" t="s">
        <v>588</v>
      </c>
      <c r="G1181" t="s">
        <v>588</v>
      </c>
      <c r="H1181" t="s">
        <v>53</v>
      </c>
      <c r="I1181" t="s">
        <v>53</v>
      </c>
      <c r="J1181" s="5" t="s">
        <v>53</v>
      </c>
      <c r="K1181" t="s">
        <v>60</v>
      </c>
      <c r="L1181" s="6">
        <v>42370</v>
      </c>
      <c r="M1181">
        <v>1</v>
      </c>
      <c r="N1181" s="7" t="s">
        <v>30</v>
      </c>
      <c r="O1181" t="s">
        <v>31</v>
      </c>
      <c r="P1181" t="s">
        <v>1602</v>
      </c>
      <c r="Q1181" t="s">
        <v>1603</v>
      </c>
      <c r="R1181" t="s">
        <v>1604</v>
      </c>
    </row>
    <row r="1182" spans="1:18" hidden="1">
      <c r="A1182">
        <v>12</v>
      </c>
      <c r="B1182" s="4" t="s">
        <v>901</v>
      </c>
      <c r="C1182" s="4" t="s">
        <v>1672</v>
      </c>
      <c r="D1182" s="4" t="s">
        <v>1673</v>
      </c>
      <c r="E1182" s="4" t="s">
        <v>5804</v>
      </c>
      <c r="F1182" t="s">
        <v>588</v>
      </c>
      <c r="G1182" t="s">
        <v>588</v>
      </c>
      <c r="H1182" t="s">
        <v>53</v>
      </c>
      <c r="I1182" t="s">
        <v>53</v>
      </c>
      <c r="J1182" s="5" t="s">
        <v>53</v>
      </c>
      <c r="K1182" t="s">
        <v>22</v>
      </c>
      <c r="L1182" s="6">
        <v>42979</v>
      </c>
      <c r="M1182">
        <v>9</v>
      </c>
      <c r="N1182" s="7" t="s">
        <v>23</v>
      </c>
      <c r="O1182" t="s">
        <v>31</v>
      </c>
      <c r="P1182" t="s">
        <v>1774</v>
      </c>
      <c r="Q1182" t="s">
        <v>1775</v>
      </c>
      <c r="R1182" t="s">
        <v>1776</v>
      </c>
    </row>
    <row r="1183" spans="1:18" hidden="1">
      <c r="A1183">
        <v>12</v>
      </c>
      <c r="B1183" s="4" t="s">
        <v>901</v>
      </c>
      <c r="C1183" s="4" t="s">
        <v>1672</v>
      </c>
      <c r="D1183" s="4" t="s">
        <v>1673</v>
      </c>
      <c r="E1183" s="4" t="s">
        <v>5804</v>
      </c>
      <c r="F1183" t="s">
        <v>588</v>
      </c>
      <c r="G1183" t="s">
        <v>1407</v>
      </c>
      <c r="H1183" t="s">
        <v>53</v>
      </c>
      <c r="I1183" t="s">
        <v>53</v>
      </c>
      <c r="J1183" s="5" t="s">
        <v>53</v>
      </c>
      <c r="K1183" t="s">
        <v>164</v>
      </c>
      <c r="L1183" s="6">
        <v>43617</v>
      </c>
      <c r="M1183">
        <v>6</v>
      </c>
      <c r="N1183" s="7" t="s">
        <v>55</v>
      </c>
      <c r="O1183" t="s">
        <v>31</v>
      </c>
      <c r="P1183" t="s">
        <v>1867</v>
      </c>
      <c r="Q1183" t="s">
        <v>1868</v>
      </c>
      <c r="R1183" t="s">
        <v>1760</v>
      </c>
    </row>
    <row r="1184" spans="1:18" hidden="1">
      <c r="A1184">
        <v>12</v>
      </c>
      <c r="B1184" s="4" t="s">
        <v>901</v>
      </c>
      <c r="C1184" s="4" t="s">
        <v>1672</v>
      </c>
      <c r="D1184" s="4" t="s">
        <v>1673</v>
      </c>
      <c r="E1184" s="4" t="s">
        <v>5804</v>
      </c>
      <c r="F1184" t="s">
        <v>588</v>
      </c>
      <c r="G1184" t="s">
        <v>588</v>
      </c>
      <c r="H1184" t="s">
        <v>53</v>
      </c>
      <c r="I1184" t="s">
        <v>53</v>
      </c>
      <c r="J1184" s="5" t="s">
        <v>53</v>
      </c>
      <c r="K1184" t="s">
        <v>304</v>
      </c>
      <c r="L1184" s="6">
        <v>43647</v>
      </c>
      <c r="M1184">
        <v>7</v>
      </c>
      <c r="N1184" s="7" t="s">
        <v>55</v>
      </c>
      <c r="O1184" t="s">
        <v>31</v>
      </c>
      <c r="P1184" t="s">
        <v>1869</v>
      </c>
      <c r="Q1184" t="s">
        <v>1870</v>
      </c>
      <c r="R1184" t="s">
        <v>926</v>
      </c>
    </row>
    <row r="1185" spans="1:18" hidden="1">
      <c r="A1185">
        <v>12</v>
      </c>
      <c r="B1185" s="4" t="s">
        <v>901</v>
      </c>
      <c r="C1185" s="4" t="s">
        <v>1672</v>
      </c>
      <c r="D1185" s="4" t="s">
        <v>1673</v>
      </c>
      <c r="E1185" s="4" t="s">
        <v>5804</v>
      </c>
      <c r="F1185" t="s">
        <v>588</v>
      </c>
      <c r="G1185" t="s">
        <v>588</v>
      </c>
      <c r="H1185" t="s">
        <v>53</v>
      </c>
      <c r="I1185" t="s">
        <v>53</v>
      </c>
      <c r="J1185" s="5" t="s">
        <v>53</v>
      </c>
      <c r="K1185" t="s">
        <v>369</v>
      </c>
      <c r="L1185" s="6">
        <v>44197</v>
      </c>
      <c r="M1185">
        <v>1</v>
      </c>
      <c r="N1185" s="7" t="s">
        <v>30</v>
      </c>
      <c r="O1185" t="s">
        <v>31</v>
      </c>
      <c r="P1185" t="s">
        <v>1918</v>
      </c>
      <c r="Q1185" t="s">
        <v>1870</v>
      </c>
      <c r="R1185" t="s">
        <v>926</v>
      </c>
    </row>
    <row r="1186" spans="1:18" hidden="1">
      <c r="A1186">
        <v>2</v>
      </c>
      <c r="B1186" s="4" t="s">
        <v>1952</v>
      </c>
      <c r="C1186" s="4" t="s">
        <v>2566</v>
      </c>
      <c r="D1186" s="4" t="s">
        <v>2567</v>
      </c>
      <c r="E1186" s="4" t="s">
        <v>5804</v>
      </c>
      <c r="F1186" t="s">
        <v>588</v>
      </c>
      <c r="G1186" t="s">
        <v>588</v>
      </c>
      <c r="H1186" t="s">
        <v>53</v>
      </c>
      <c r="I1186" t="s">
        <v>53</v>
      </c>
      <c r="J1186" s="5" t="s">
        <v>53</v>
      </c>
      <c r="K1186" t="s">
        <v>76</v>
      </c>
      <c r="L1186" s="6">
        <v>42856</v>
      </c>
      <c r="M1186">
        <v>5</v>
      </c>
      <c r="N1186" s="7" t="s">
        <v>23</v>
      </c>
      <c r="O1186" t="s">
        <v>88</v>
      </c>
      <c r="P1186" t="s">
        <v>2575</v>
      </c>
      <c r="Q1186" t="s">
        <v>2576</v>
      </c>
      <c r="R1186" t="s">
        <v>2577</v>
      </c>
    </row>
    <row r="1187" spans="1:18" hidden="1">
      <c r="A1187">
        <v>4</v>
      </c>
      <c r="B1187" s="4" t="s">
        <v>3127</v>
      </c>
      <c r="C1187" s="4" t="s">
        <v>3128</v>
      </c>
      <c r="D1187" s="4" t="s">
        <v>3247</v>
      </c>
      <c r="E1187" s="4" t="s">
        <v>5804</v>
      </c>
      <c r="F1187" t="s">
        <v>588</v>
      </c>
      <c r="G1187" t="s">
        <v>588</v>
      </c>
      <c r="H1187" t="s">
        <v>53</v>
      </c>
      <c r="I1187" t="s">
        <v>53</v>
      </c>
      <c r="J1187" s="5" t="s">
        <v>53</v>
      </c>
      <c r="K1187" t="s">
        <v>115</v>
      </c>
      <c r="L1187" s="6">
        <v>42461</v>
      </c>
      <c r="M1187">
        <v>4</v>
      </c>
      <c r="N1187" s="7" t="s">
        <v>23</v>
      </c>
      <c r="O1187" t="s">
        <v>31</v>
      </c>
      <c r="P1187" t="s">
        <v>3255</v>
      </c>
      <c r="Q1187" t="s">
        <v>3256</v>
      </c>
      <c r="R1187" t="s">
        <v>3257</v>
      </c>
    </row>
    <row r="1188" spans="1:18" hidden="1">
      <c r="A1188">
        <v>4</v>
      </c>
      <c r="B1188" s="4" t="s">
        <v>3127</v>
      </c>
      <c r="C1188" s="4" t="s">
        <v>3128</v>
      </c>
      <c r="D1188" s="4" t="s">
        <v>3247</v>
      </c>
      <c r="E1188" s="4" t="s">
        <v>5804</v>
      </c>
      <c r="F1188" t="s">
        <v>588</v>
      </c>
      <c r="G1188" t="s">
        <v>588</v>
      </c>
      <c r="H1188" t="s">
        <v>53</v>
      </c>
      <c r="I1188" t="s">
        <v>53</v>
      </c>
      <c r="J1188" s="5" t="s">
        <v>53</v>
      </c>
      <c r="K1188" t="s">
        <v>311</v>
      </c>
      <c r="L1188" s="6">
        <v>44256</v>
      </c>
      <c r="M1188">
        <v>3</v>
      </c>
      <c r="N1188" s="7" t="s">
        <v>23</v>
      </c>
      <c r="O1188" t="s">
        <v>31</v>
      </c>
      <c r="P1188" t="s">
        <v>3365</v>
      </c>
      <c r="Q1188" t="s">
        <v>3366</v>
      </c>
      <c r="R1188" t="s">
        <v>3257</v>
      </c>
    </row>
    <row r="1189" spans="1:18" hidden="1">
      <c r="A1189">
        <v>4</v>
      </c>
      <c r="B1189" s="4" t="s">
        <v>3127</v>
      </c>
      <c r="C1189" s="4" t="s">
        <v>3374</v>
      </c>
      <c r="D1189" s="4" t="s">
        <v>3375</v>
      </c>
      <c r="E1189" s="4" t="s">
        <v>5804</v>
      </c>
      <c r="F1189" t="s">
        <v>588</v>
      </c>
      <c r="G1189" t="s">
        <v>588</v>
      </c>
      <c r="H1189" t="s">
        <v>53</v>
      </c>
      <c r="I1189" t="s">
        <v>53</v>
      </c>
      <c r="J1189" s="5" t="s">
        <v>53</v>
      </c>
      <c r="K1189" t="s">
        <v>547</v>
      </c>
      <c r="L1189" s="6">
        <v>44075</v>
      </c>
      <c r="M1189">
        <v>9</v>
      </c>
      <c r="N1189" s="7" t="s">
        <v>23</v>
      </c>
      <c r="O1189" t="s">
        <v>24</v>
      </c>
      <c r="P1189" t="s">
        <v>3488</v>
      </c>
      <c r="Q1189" t="s">
        <v>3489</v>
      </c>
      <c r="R1189" t="s">
        <v>3490</v>
      </c>
    </row>
    <row r="1190" spans="1:18" hidden="1">
      <c r="A1190">
        <v>4</v>
      </c>
      <c r="B1190" s="4" t="s">
        <v>3127</v>
      </c>
      <c r="C1190" s="4" t="s">
        <v>3597</v>
      </c>
      <c r="D1190" s="4" t="s">
        <v>3660</v>
      </c>
      <c r="E1190" s="4" t="s">
        <v>5804</v>
      </c>
      <c r="F1190" t="s">
        <v>588</v>
      </c>
      <c r="G1190" t="s">
        <v>588</v>
      </c>
      <c r="H1190" t="s">
        <v>53</v>
      </c>
      <c r="I1190" t="s">
        <v>53</v>
      </c>
      <c r="J1190" s="5" t="s">
        <v>53</v>
      </c>
      <c r="K1190" t="s">
        <v>119</v>
      </c>
      <c r="L1190" s="6">
        <v>42552</v>
      </c>
      <c r="M1190">
        <v>7</v>
      </c>
      <c r="N1190" s="7" t="s">
        <v>55</v>
      </c>
      <c r="O1190" t="s">
        <v>31</v>
      </c>
      <c r="P1190" t="s">
        <v>3679</v>
      </c>
      <c r="Q1190" t="s">
        <v>3680</v>
      </c>
      <c r="R1190" t="s">
        <v>3681</v>
      </c>
    </row>
    <row r="1191" spans="1:18" hidden="1">
      <c r="A1191">
        <v>4</v>
      </c>
      <c r="B1191" s="4" t="s">
        <v>3127</v>
      </c>
      <c r="C1191" s="4" t="s">
        <v>3597</v>
      </c>
      <c r="D1191" s="4" t="s">
        <v>3660</v>
      </c>
      <c r="E1191" s="4" t="s">
        <v>5804</v>
      </c>
      <c r="F1191" t="s">
        <v>588</v>
      </c>
      <c r="G1191" t="s">
        <v>588</v>
      </c>
      <c r="H1191" t="s">
        <v>53</v>
      </c>
      <c r="I1191" t="s">
        <v>53</v>
      </c>
      <c r="J1191" s="5" t="s">
        <v>53</v>
      </c>
      <c r="K1191" t="s">
        <v>539</v>
      </c>
      <c r="L1191" s="6">
        <v>43922</v>
      </c>
      <c r="M1191">
        <v>4</v>
      </c>
      <c r="N1191" s="7" t="s">
        <v>23</v>
      </c>
      <c r="O1191" t="s">
        <v>31</v>
      </c>
      <c r="P1191" t="s">
        <v>3752</v>
      </c>
      <c r="Q1191" t="s">
        <v>3737</v>
      </c>
      <c r="R1191" t="s">
        <v>3601</v>
      </c>
    </row>
    <row r="1192" spans="1:18" hidden="1">
      <c r="A1192">
        <v>4</v>
      </c>
      <c r="B1192" s="4" t="s">
        <v>3127</v>
      </c>
      <c r="C1192" s="4" t="s">
        <v>3789</v>
      </c>
      <c r="D1192" s="4" t="s">
        <v>3815</v>
      </c>
      <c r="E1192" s="4" t="s">
        <v>5804</v>
      </c>
      <c r="F1192" t="s">
        <v>588</v>
      </c>
      <c r="G1192" t="s">
        <v>588</v>
      </c>
      <c r="H1192" t="s">
        <v>53</v>
      </c>
      <c r="I1192" t="s">
        <v>53</v>
      </c>
      <c r="J1192" s="5" t="s">
        <v>53</v>
      </c>
      <c r="K1192" t="s">
        <v>369</v>
      </c>
      <c r="L1192" s="6">
        <v>44197</v>
      </c>
      <c r="M1192">
        <v>1</v>
      </c>
      <c r="N1192" s="7" t="s">
        <v>30</v>
      </c>
      <c r="O1192" t="s">
        <v>31</v>
      </c>
      <c r="P1192" t="s">
        <v>3916</v>
      </c>
      <c r="Q1192" t="s">
        <v>3917</v>
      </c>
      <c r="R1192" t="s">
        <v>3918</v>
      </c>
    </row>
    <row r="1193" spans="1:18" hidden="1">
      <c r="A1193">
        <v>4</v>
      </c>
      <c r="B1193" s="4" t="s">
        <v>3127</v>
      </c>
      <c r="C1193" s="4" t="s">
        <v>4035</v>
      </c>
      <c r="D1193" s="4" t="s">
        <v>4080</v>
      </c>
      <c r="E1193" s="4" t="s">
        <v>5804</v>
      </c>
      <c r="F1193" t="s">
        <v>588</v>
      </c>
      <c r="G1193" t="s">
        <v>1407</v>
      </c>
      <c r="H1193" t="s">
        <v>53</v>
      </c>
      <c r="I1193" t="s">
        <v>53</v>
      </c>
      <c r="J1193" s="5" t="s">
        <v>53</v>
      </c>
      <c r="K1193" t="s">
        <v>168</v>
      </c>
      <c r="L1193" s="6">
        <v>43678</v>
      </c>
      <c r="M1193">
        <v>8</v>
      </c>
      <c r="N1193" s="7" t="s">
        <v>55</v>
      </c>
      <c r="O1193" t="s">
        <v>31</v>
      </c>
      <c r="P1193" t="s">
        <v>4153</v>
      </c>
      <c r="Q1193" t="s">
        <v>4154</v>
      </c>
      <c r="R1193" t="s">
        <v>4155</v>
      </c>
    </row>
    <row r="1194" spans="1:18" hidden="1">
      <c r="A1194">
        <v>4</v>
      </c>
      <c r="B1194" s="4" t="s">
        <v>3127</v>
      </c>
      <c r="C1194" s="4" t="s">
        <v>4207</v>
      </c>
      <c r="D1194" s="4" t="s">
        <v>4257</v>
      </c>
      <c r="E1194" s="4" t="s">
        <v>5804</v>
      </c>
      <c r="F1194" t="s">
        <v>588</v>
      </c>
      <c r="G1194" t="s">
        <v>588</v>
      </c>
      <c r="H1194" t="s">
        <v>53</v>
      </c>
      <c r="I1194" t="s">
        <v>53</v>
      </c>
      <c r="J1194" s="5" t="s">
        <v>53</v>
      </c>
      <c r="K1194" t="s">
        <v>156</v>
      </c>
      <c r="L1194" s="6">
        <v>43405</v>
      </c>
      <c r="M1194">
        <v>11</v>
      </c>
      <c r="N1194" s="7" t="s">
        <v>23</v>
      </c>
      <c r="O1194" t="s">
        <v>31</v>
      </c>
      <c r="P1194" t="s">
        <v>4417</v>
      </c>
      <c r="Q1194" t="s">
        <v>4418</v>
      </c>
      <c r="R1194" t="s">
        <v>4211</v>
      </c>
    </row>
    <row r="1195" spans="1:18" hidden="1">
      <c r="A1195">
        <v>4</v>
      </c>
      <c r="B1195" s="4" t="s">
        <v>3127</v>
      </c>
      <c r="C1195" s="4" t="s">
        <v>4207</v>
      </c>
      <c r="D1195" s="4" t="s">
        <v>4257</v>
      </c>
      <c r="E1195" s="4" t="s">
        <v>5804</v>
      </c>
      <c r="F1195" t="s">
        <v>588</v>
      </c>
      <c r="G1195" t="s">
        <v>588</v>
      </c>
      <c r="H1195" t="s">
        <v>53</v>
      </c>
      <c r="I1195" t="s">
        <v>53</v>
      </c>
      <c r="J1195" s="5" t="s">
        <v>53</v>
      </c>
      <c r="K1195" t="s">
        <v>1085</v>
      </c>
      <c r="L1195" s="6">
        <v>43862</v>
      </c>
      <c r="M1195">
        <v>2</v>
      </c>
      <c r="N1195" s="7" t="s">
        <v>30</v>
      </c>
      <c r="O1195" t="s">
        <v>31</v>
      </c>
      <c r="P1195" t="s">
        <v>4509</v>
      </c>
      <c r="Q1195" t="s">
        <v>4510</v>
      </c>
      <c r="R1195" t="s">
        <v>4211</v>
      </c>
    </row>
    <row r="1196" spans="1:18" hidden="1">
      <c r="A1196">
        <v>4</v>
      </c>
      <c r="B1196" s="4" t="s">
        <v>3127</v>
      </c>
      <c r="C1196" s="4" t="s">
        <v>4207</v>
      </c>
      <c r="D1196" s="4" t="s">
        <v>4257</v>
      </c>
      <c r="E1196" s="4" t="s">
        <v>5804</v>
      </c>
      <c r="F1196" t="s">
        <v>588</v>
      </c>
      <c r="G1196" t="s">
        <v>588</v>
      </c>
      <c r="H1196" t="s">
        <v>53</v>
      </c>
      <c r="I1196" t="s">
        <v>53</v>
      </c>
      <c r="J1196" s="5" t="s">
        <v>53</v>
      </c>
      <c r="K1196" t="s">
        <v>171</v>
      </c>
      <c r="L1196" s="6">
        <v>44013</v>
      </c>
      <c r="M1196">
        <v>7</v>
      </c>
      <c r="N1196" s="7" t="s">
        <v>55</v>
      </c>
      <c r="O1196" t="s">
        <v>31</v>
      </c>
      <c r="P1196" t="s">
        <v>4538</v>
      </c>
      <c r="Q1196" t="s">
        <v>4539</v>
      </c>
      <c r="R1196" t="s">
        <v>4211</v>
      </c>
    </row>
    <row r="1197" spans="1:18" hidden="1">
      <c r="A1197">
        <v>5</v>
      </c>
      <c r="B1197" s="4" t="s">
        <v>4600</v>
      </c>
      <c r="C1197" s="4" t="s">
        <v>4601</v>
      </c>
      <c r="D1197" s="4" t="s">
        <v>4635</v>
      </c>
      <c r="E1197" s="4" t="s">
        <v>5804</v>
      </c>
      <c r="F1197" t="s">
        <v>588</v>
      </c>
      <c r="G1197" t="s">
        <v>588</v>
      </c>
      <c r="H1197" t="s">
        <v>53</v>
      </c>
      <c r="I1197" t="s">
        <v>53</v>
      </c>
      <c r="J1197" s="5" t="s">
        <v>53</v>
      </c>
      <c r="K1197" t="s">
        <v>175</v>
      </c>
      <c r="L1197" s="6">
        <v>44166</v>
      </c>
      <c r="M1197">
        <v>12</v>
      </c>
      <c r="N1197" s="7" t="s">
        <v>30</v>
      </c>
      <c r="O1197" t="s">
        <v>31</v>
      </c>
      <c r="P1197" t="s">
        <v>4730</v>
      </c>
      <c r="Q1197" t="s">
        <v>4731</v>
      </c>
      <c r="R1197" t="s">
        <v>4732</v>
      </c>
    </row>
    <row r="1198" spans="1:18" hidden="1">
      <c r="A1198">
        <v>5</v>
      </c>
      <c r="B1198" s="4" t="s">
        <v>4600</v>
      </c>
      <c r="C1198" s="4" t="s">
        <v>4601</v>
      </c>
      <c r="D1198" s="4" t="s">
        <v>4748</v>
      </c>
      <c r="E1198" s="4" t="s">
        <v>5804</v>
      </c>
      <c r="F1198" t="s">
        <v>588</v>
      </c>
      <c r="G1198" t="s">
        <v>588</v>
      </c>
      <c r="H1198" t="s">
        <v>53</v>
      </c>
      <c r="I1198" t="s">
        <v>53</v>
      </c>
      <c r="J1198" s="5" t="s">
        <v>53</v>
      </c>
      <c r="K1198" t="s">
        <v>168</v>
      </c>
      <c r="L1198" s="6">
        <v>43678</v>
      </c>
      <c r="M1198">
        <v>8</v>
      </c>
      <c r="N1198" s="7" t="s">
        <v>55</v>
      </c>
      <c r="O1198" t="s">
        <v>31</v>
      </c>
      <c r="P1198" t="s">
        <v>4815</v>
      </c>
      <c r="Q1198" t="s">
        <v>4816</v>
      </c>
      <c r="R1198" t="s">
        <v>4817</v>
      </c>
    </row>
    <row r="1199" spans="1:18" hidden="1">
      <c r="A1199">
        <v>5</v>
      </c>
      <c r="B1199" s="4" t="s">
        <v>4600</v>
      </c>
      <c r="C1199" s="4" t="s">
        <v>4601</v>
      </c>
      <c r="D1199" s="4" t="s">
        <v>4853</v>
      </c>
      <c r="E1199" s="4" t="s">
        <v>5804</v>
      </c>
      <c r="F1199" t="s">
        <v>588</v>
      </c>
      <c r="G1199" t="s">
        <v>588</v>
      </c>
      <c r="H1199" t="s">
        <v>53</v>
      </c>
      <c r="I1199" t="s">
        <v>53</v>
      </c>
      <c r="J1199" s="5" t="s">
        <v>53</v>
      </c>
      <c r="K1199" t="s">
        <v>128</v>
      </c>
      <c r="L1199" s="6">
        <v>42795</v>
      </c>
      <c r="M1199">
        <v>3</v>
      </c>
      <c r="N1199" s="7" t="s">
        <v>23</v>
      </c>
      <c r="O1199" t="s">
        <v>31</v>
      </c>
      <c r="P1199" t="s">
        <v>4884</v>
      </c>
      <c r="Q1199" t="s">
        <v>4875</v>
      </c>
      <c r="R1199" t="s">
        <v>4876</v>
      </c>
    </row>
    <row r="1200" spans="1:18" hidden="1">
      <c r="A1200">
        <v>5</v>
      </c>
      <c r="B1200" s="4" t="s">
        <v>4600</v>
      </c>
      <c r="C1200" s="4" t="s">
        <v>4933</v>
      </c>
      <c r="D1200" s="4" t="s">
        <v>4934</v>
      </c>
      <c r="E1200" s="4" t="s">
        <v>5804</v>
      </c>
      <c r="F1200" t="s">
        <v>588</v>
      </c>
      <c r="G1200" t="s">
        <v>588</v>
      </c>
      <c r="H1200" t="s">
        <v>53</v>
      </c>
      <c r="I1200" t="s">
        <v>53</v>
      </c>
      <c r="J1200" s="5" t="s">
        <v>53</v>
      </c>
      <c r="K1200" t="s">
        <v>369</v>
      </c>
      <c r="L1200" s="6">
        <v>44197</v>
      </c>
      <c r="M1200">
        <v>1</v>
      </c>
      <c r="N1200" s="7" t="s">
        <v>30</v>
      </c>
      <c r="O1200" t="s">
        <v>31</v>
      </c>
      <c r="P1200" t="s">
        <v>5005</v>
      </c>
      <c r="Q1200" t="s">
        <v>5006</v>
      </c>
      <c r="R1200" t="s">
        <v>5007</v>
      </c>
    </row>
    <row r="1201" spans="1:18" hidden="1">
      <c r="A1201">
        <v>5</v>
      </c>
      <c r="B1201" s="4" t="s">
        <v>4600</v>
      </c>
      <c r="C1201" s="4" t="s">
        <v>4933</v>
      </c>
      <c r="D1201" s="4" t="s">
        <v>5014</v>
      </c>
      <c r="E1201" s="4" t="s">
        <v>5804</v>
      </c>
      <c r="F1201" t="s">
        <v>588</v>
      </c>
      <c r="G1201" t="s">
        <v>588</v>
      </c>
      <c r="H1201" t="s">
        <v>53</v>
      </c>
      <c r="I1201" t="s">
        <v>53</v>
      </c>
      <c r="J1201" s="5" t="s">
        <v>53</v>
      </c>
      <c r="K1201" t="s">
        <v>115</v>
      </c>
      <c r="L1201" s="6">
        <v>42461</v>
      </c>
      <c r="M1201">
        <v>4</v>
      </c>
      <c r="N1201" s="7" t="s">
        <v>23</v>
      </c>
      <c r="O1201" t="s">
        <v>512</v>
      </c>
      <c r="P1201" t="s">
        <v>5036</v>
      </c>
      <c r="Q1201" t="s">
        <v>5037</v>
      </c>
      <c r="R1201" t="s">
        <v>5038</v>
      </c>
    </row>
    <row r="1202" spans="1:18" hidden="1">
      <c r="A1202">
        <v>5</v>
      </c>
      <c r="B1202" s="4" t="s">
        <v>4600</v>
      </c>
      <c r="C1202" s="4" t="s">
        <v>4933</v>
      </c>
      <c r="D1202" s="4" t="s">
        <v>5014</v>
      </c>
      <c r="E1202" s="4" t="s">
        <v>5804</v>
      </c>
      <c r="F1202" t="s">
        <v>588</v>
      </c>
      <c r="G1202" t="s">
        <v>588</v>
      </c>
      <c r="H1202" t="s">
        <v>53</v>
      </c>
      <c r="I1202" t="s">
        <v>53</v>
      </c>
      <c r="J1202" s="5" t="s">
        <v>53</v>
      </c>
      <c r="K1202" t="s">
        <v>124</v>
      </c>
      <c r="L1202" s="6">
        <v>42767</v>
      </c>
      <c r="M1202">
        <v>2</v>
      </c>
      <c r="N1202" s="7" t="s">
        <v>30</v>
      </c>
      <c r="O1202" t="s">
        <v>36</v>
      </c>
      <c r="P1202" t="s">
        <v>5089</v>
      </c>
      <c r="Q1202" t="s">
        <v>5090</v>
      </c>
      <c r="R1202" t="s">
        <v>5091</v>
      </c>
    </row>
    <row r="1203" spans="1:18" hidden="1">
      <c r="A1203">
        <v>5</v>
      </c>
      <c r="B1203" s="4" t="s">
        <v>4600</v>
      </c>
      <c r="C1203" s="4" t="s">
        <v>4933</v>
      </c>
      <c r="D1203" s="4" t="s">
        <v>5014</v>
      </c>
      <c r="E1203" s="4" t="s">
        <v>5804</v>
      </c>
      <c r="F1203" t="s">
        <v>588</v>
      </c>
      <c r="G1203" t="s">
        <v>588</v>
      </c>
      <c r="H1203" t="s">
        <v>53</v>
      </c>
      <c r="I1203" t="s">
        <v>53</v>
      </c>
      <c r="J1203" s="5" t="s">
        <v>53</v>
      </c>
      <c r="K1203" t="s">
        <v>80</v>
      </c>
      <c r="L1203" s="6">
        <v>42917</v>
      </c>
      <c r="M1203">
        <v>7</v>
      </c>
      <c r="N1203" s="7" t="s">
        <v>55</v>
      </c>
      <c r="O1203" t="s">
        <v>31</v>
      </c>
      <c r="P1203" t="s">
        <v>5131</v>
      </c>
      <c r="Q1203" t="s">
        <v>4691</v>
      </c>
      <c r="R1203" t="s">
        <v>4692</v>
      </c>
    </row>
    <row r="1204" spans="1:18" hidden="1">
      <c r="A1204">
        <v>5</v>
      </c>
      <c r="B1204" s="4" t="s">
        <v>4600</v>
      </c>
      <c r="C1204" s="4" t="s">
        <v>4933</v>
      </c>
      <c r="D1204" s="4" t="s">
        <v>5014</v>
      </c>
      <c r="E1204" s="4" t="s">
        <v>5804</v>
      </c>
      <c r="F1204" t="s">
        <v>588</v>
      </c>
      <c r="G1204" t="s">
        <v>588</v>
      </c>
      <c r="H1204" t="s">
        <v>53</v>
      </c>
      <c r="I1204" t="s">
        <v>53</v>
      </c>
      <c r="J1204" s="5" t="s">
        <v>53</v>
      </c>
      <c r="K1204" t="s">
        <v>35</v>
      </c>
      <c r="L1204" s="6">
        <v>43160</v>
      </c>
      <c r="M1204">
        <v>3</v>
      </c>
      <c r="N1204" s="7" t="s">
        <v>23</v>
      </c>
      <c r="O1204" t="s">
        <v>31</v>
      </c>
      <c r="P1204" t="s">
        <v>5168</v>
      </c>
      <c r="Q1204" t="s">
        <v>5169</v>
      </c>
      <c r="R1204" t="s">
        <v>5170</v>
      </c>
    </row>
    <row r="1205" spans="1:18" hidden="1">
      <c r="A1205">
        <v>5</v>
      </c>
      <c r="B1205" s="4" t="s">
        <v>4600</v>
      </c>
      <c r="C1205" s="4" t="s">
        <v>4933</v>
      </c>
      <c r="D1205" s="4" t="s">
        <v>5014</v>
      </c>
      <c r="E1205" s="4" t="s">
        <v>5804</v>
      </c>
      <c r="F1205" t="s">
        <v>588</v>
      </c>
      <c r="G1205" t="s">
        <v>588</v>
      </c>
      <c r="H1205" t="s">
        <v>53</v>
      </c>
      <c r="I1205" t="s">
        <v>53</v>
      </c>
      <c r="J1205" s="5" t="s">
        <v>53</v>
      </c>
      <c r="K1205" t="s">
        <v>839</v>
      </c>
      <c r="L1205" s="6">
        <v>43800</v>
      </c>
      <c r="M1205">
        <v>12</v>
      </c>
      <c r="N1205" s="7" t="s">
        <v>30</v>
      </c>
      <c r="O1205" t="s">
        <v>36</v>
      </c>
      <c r="P1205" t="s">
        <v>5311</v>
      </c>
      <c r="Q1205" t="s">
        <v>5312</v>
      </c>
      <c r="R1205" t="s">
        <v>5313</v>
      </c>
    </row>
    <row r="1206" spans="1:18" hidden="1">
      <c r="A1206">
        <v>5</v>
      </c>
      <c r="B1206" s="4" t="s">
        <v>4600</v>
      </c>
      <c r="C1206" s="4" t="s">
        <v>4933</v>
      </c>
      <c r="D1206" s="4" t="s">
        <v>5014</v>
      </c>
      <c r="E1206" s="4" t="s">
        <v>5804</v>
      </c>
      <c r="F1206" t="s">
        <v>588</v>
      </c>
      <c r="G1206" t="s">
        <v>588</v>
      </c>
      <c r="H1206" t="s">
        <v>53</v>
      </c>
      <c r="I1206" t="s">
        <v>53</v>
      </c>
      <c r="J1206" s="5" t="s">
        <v>53</v>
      </c>
      <c r="K1206" t="s">
        <v>99</v>
      </c>
      <c r="L1206" s="6">
        <v>43891</v>
      </c>
      <c r="M1206">
        <v>3</v>
      </c>
      <c r="N1206" s="7" t="s">
        <v>23</v>
      </c>
      <c r="O1206" t="s">
        <v>31</v>
      </c>
      <c r="P1206" t="s">
        <v>5325</v>
      </c>
      <c r="Q1206" t="s">
        <v>5326</v>
      </c>
      <c r="R1206" t="s">
        <v>5327</v>
      </c>
    </row>
    <row r="1207" spans="1:18" hidden="1">
      <c r="A1207">
        <v>5</v>
      </c>
      <c r="B1207" s="4" t="s">
        <v>4600</v>
      </c>
      <c r="C1207" s="4" t="s">
        <v>4933</v>
      </c>
      <c r="D1207" s="4" t="s">
        <v>5014</v>
      </c>
      <c r="E1207" s="4" t="s">
        <v>5804</v>
      </c>
      <c r="F1207" t="s">
        <v>588</v>
      </c>
      <c r="G1207" t="s">
        <v>588</v>
      </c>
      <c r="H1207" t="s">
        <v>53</v>
      </c>
      <c r="I1207" t="s">
        <v>53</v>
      </c>
      <c r="J1207" s="5" t="s">
        <v>53</v>
      </c>
      <c r="K1207" t="s">
        <v>547</v>
      </c>
      <c r="L1207" s="6">
        <v>44075</v>
      </c>
      <c r="M1207">
        <v>9</v>
      </c>
      <c r="N1207" s="7" t="s">
        <v>23</v>
      </c>
      <c r="O1207" t="s">
        <v>31</v>
      </c>
      <c r="P1207" t="s">
        <v>5344</v>
      </c>
      <c r="Q1207" t="s">
        <v>4691</v>
      </c>
      <c r="R1207" t="s">
        <v>4692</v>
      </c>
    </row>
    <row r="1208" spans="1:18" hidden="1">
      <c r="A1208">
        <v>5</v>
      </c>
      <c r="B1208" s="4" t="s">
        <v>4600</v>
      </c>
      <c r="C1208" s="4" t="s">
        <v>4933</v>
      </c>
      <c r="D1208" s="4" t="s">
        <v>5014</v>
      </c>
      <c r="E1208" s="4" t="s">
        <v>5804</v>
      </c>
      <c r="F1208" t="s">
        <v>588</v>
      </c>
      <c r="G1208" t="s">
        <v>1407</v>
      </c>
      <c r="H1208" t="s">
        <v>53</v>
      </c>
      <c r="I1208" t="s">
        <v>53</v>
      </c>
      <c r="J1208" s="5" t="s">
        <v>53</v>
      </c>
      <c r="K1208" t="s">
        <v>178</v>
      </c>
      <c r="L1208" s="6">
        <v>44228</v>
      </c>
      <c r="M1208">
        <v>2</v>
      </c>
      <c r="N1208" s="7" t="s">
        <v>30</v>
      </c>
      <c r="O1208" t="s">
        <v>31</v>
      </c>
      <c r="P1208" t="s">
        <v>5356</v>
      </c>
      <c r="Q1208" t="s">
        <v>5357</v>
      </c>
      <c r="R1208" t="s">
        <v>5186</v>
      </c>
    </row>
    <row r="1209" spans="1:18" hidden="1">
      <c r="A1209">
        <v>6</v>
      </c>
      <c r="B1209" s="4" t="s">
        <v>5462</v>
      </c>
      <c r="C1209" s="4" t="s">
        <v>5463</v>
      </c>
      <c r="D1209" s="4" t="s">
        <v>5464</v>
      </c>
      <c r="E1209" s="4" t="s">
        <v>5804</v>
      </c>
      <c r="F1209" t="s">
        <v>588</v>
      </c>
      <c r="G1209" t="s">
        <v>588</v>
      </c>
      <c r="H1209" t="s">
        <v>53</v>
      </c>
      <c r="I1209" t="s">
        <v>53</v>
      </c>
      <c r="J1209" s="5" t="s">
        <v>53</v>
      </c>
      <c r="K1209" t="s">
        <v>292</v>
      </c>
      <c r="L1209" s="6">
        <v>43191</v>
      </c>
      <c r="M1209">
        <v>4</v>
      </c>
      <c r="N1209" s="7" t="s">
        <v>23</v>
      </c>
      <c r="O1209" t="s">
        <v>36</v>
      </c>
      <c r="P1209" t="s">
        <v>5475</v>
      </c>
      <c r="Q1209" t="s">
        <v>5476</v>
      </c>
      <c r="R1209" t="s">
        <v>5477</v>
      </c>
    </row>
    <row r="1210" spans="1:18" hidden="1">
      <c r="A1210">
        <v>7</v>
      </c>
      <c r="B1210" s="4" t="s">
        <v>5586</v>
      </c>
      <c r="C1210" s="4" t="s">
        <v>5587</v>
      </c>
      <c r="D1210" s="4" t="s">
        <v>5588</v>
      </c>
      <c r="E1210" s="4" t="s">
        <v>5804</v>
      </c>
      <c r="F1210" t="s">
        <v>588</v>
      </c>
      <c r="G1210" t="s">
        <v>588</v>
      </c>
      <c r="H1210" t="s">
        <v>53</v>
      </c>
      <c r="I1210" t="s">
        <v>53</v>
      </c>
      <c r="J1210" s="5" t="s">
        <v>53</v>
      </c>
      <c r="K1210" t="s">
        <v>85</v>
      </c>
      <c r="L1210" s="6">
        <v>43009</v>
      </c>
      <c r="M1210">
        <v>10</v>
      </c>
      <c r="N1210" s="7" t="s">
        <v>23</v>
      </c>
      <c r="O1210" t="s">
        <v>36</v>
      </c>
      <c r="P1210" t="s">
        <v>5589</v>
      </c>
      <c r="Q1210" t="s">
        <v>5590</v>
      </c>
      <c r="R1210" t="s">
        <v>5474</v>
      </c>
    </row>
    <row r="1211" spans="1:18" hidden="1">
      <c r="A1211">
        <v>7</v>
      </c>
      <c r="B1211" s="4" t="s">
        <v>5586</v>
      </c>
      <c r="C1211" s="4" t="s">
        <v>5632</v>
      </c>
      <c r="D1211" s="4" t="s">
        <v>5633</v>
      </c>
      <c r="E1211" s="4" t="s">
        <v>5804</v>
      </c>
      <c r="F1211" t="s">
        <v>588</v>
      </c>
      <c r="G1211" t="s">
        <v>588</v>
      </c>
      <c r="H1211" t="s">
        <v>53</v>
      </c>
      <c r="I1211" t="s">
        <v>53</v>
      </c>
      <c r="J1211" s="5" t="s">
        <v>53</v>
      </c>
      <c r="K1211" t="s">
        <v>159</v>
      </c>
      <c r="L1211" s="6">
        <v>43586</v>
      </c>
      <c r="M1211">
        <v>5</v>
      </c>
      <c r="N1211" s="7" t="s">
        <v>23</v>
      </c>
      <c r="O1211" t="s">
        <v>36</v>
      </c>
      <c r="P1211" t="s">
        <v>5661</v>
      </c>
      <c r="Q1211" t="s">
        <v>5662</v>
      </c>
      <c r="R1211" t="s">
        <v>5663</v>
      </c>
    </row>
    <row r="1212" spans="1:18" hidden="1">
      <c r="A1212">
        <v>7</v>
      </c>
      <c r="B1212" s="4" t="s">
        <v>5586</v>
      </c>
      <c r="C1212" s="4" t="s">
        <v>5632</v>
      </c>
      <c r="D1212" s="4" t="s">
        <v>5633</v>
      </c>
      <c r="E1212" s="4" t="s">
        <v>5804</v>
      </c>
      <c r="F1212" t="s">
        <v>588</v>
      </c>
      <c r="G1212" t="s">
        <v>1407</v>
      </c>
      <c r="H1212" t="s">
        <v>53</v>
      </c>
      <c r="I1212" t="s">
        <v>53</v>
      </c>
      <c r="J1212" s="5" t="s">
        <v>53</v>
      </c>
      <c r="K1212" t="s">
        <v>691</v>
      </c>
      <c r="L1212" s="6">
        <v>43770</v>
      </c>
      <c r="M1212">
        <v>11</v>
      </c>
      <c r="N1212" s="7" t="s">
        <v>23</v>
      </c>
      <c r="O1212" t="s">
        <v>31</v>
      </c>
      <c r="P1212" t="s">
        <v>5664</v>
      </c>
      <c r="Q1212" t="s">
        <v>5665</v>
      </c>
      <c r="R1212" t="s">
        <v>5666</v>
      </c>
    </row>
    <row r="1213" spans="1:18" hidden="1">
      <c r="A1213">
        <v>7</v>
      </c>
      <c r="B1213" s="4" t="s">
        <v>5586</v>
      </c>
      <c r="C1213" s="4" t="s">
        <v>5632</v>
      </c>
      <c r="D1213" s="4" t="s">
        <v>5633</v>
      </c>
      <c r="E1213" s="4" t="s">
        <v>5804</v>
      </c>
      <c r="F1213" t="s">
        <v>588</v>
      </c>
      <c r="G1213" t="s">
        <v>588</v>
      </c>
      <c r="H1213" t="s">
        <v>53</v>
      </c>
      <c r="I1213" t="s">
        <v>53</v>
      </c>
      <c r="J1213" s="5" t="s">
        <v>53</v>
      </c>
      <c r="K1213" t="s">
        <v>753</v>
      </c>
      <c r="L1213" s="6">
        <v>44348</v>
      </c>
      <c r="M1213">
        <v>6</v>
      </c>
      <c r="N1213" s="7" t="s">
        <v>55</v>
      </c>
      <c r="O1213" t="s">
        <v>66</v>
      </c>
      <c r="P1213" t="s">
        <v>5672</v>
      </c>
      <c r="Q1213" t="s">
        <v>5673</v>
      </c>
      <c r="R1213" t="s">
        <v>5674</v>
      </c>
    </row>
    <row r="1214" spans="1:18" hidden="1">
      <c r="A1214">
        <v>8</v>
      </c>
      <c r="B1214" s="4" t="s">
        <v>5679</v>
      </c>
      <c r="C1214" s="4" t="s">
        <v>5716</v>
      </c>
      <c r="D1214" s="4" t="s">
        <v>5717</v>
      </c>
      <c r="E1214" s="4" t="s">
        <v>5805</v>
      </c>
      <c r="F1214" t="s">
        <v>588</v>
      </c>
      <c r="G1214" t="s">
        <v>588</v>
      </c>
      <c r="H1214" t="s">
        <v>53</v>
      </c>
      <c r="I1214" t="s">
        <v>53</v>
      </c>
      <c r="J1214" s="5" t="s">
        <v>53</v>
      </c>
      <c r="K1214" t="s">
        <v>749</v>
      </c>
      <c r="L1214" s="6">
        <v>44136</v>
      </c>
      <c r="M1214">
        <v>11</v>
      </c>
      <c r="N1214" s="7" t="s">
        <v>23</v>
      </c>
      <c r="O1214" t="s">
        <v>24</v>
      </c>
      <c r="P1214" t="s">
        <v>5718</v>
      </c>
      <c r="Q1214" t="s">
        <v>5719</v>
      </c>
      <c r="R1214" t="s">
        <v>5720</v>
      </c>
    </row>
    <row r="1215" spans="1:18" hidden="1">
      <c r="A1215">
        <v>2</v>
      </c>
      <c r="B1215" s="4" t="s">
        <v>1952</v>
      </c>
      <c r="C1215" s="4" t="s">
        <v>1953</v>
      </c>
      <c r="D1215" s="4" t="s">
        <v>1954</v>
      </c>
      <c r="E1215" s="4" t="s">
        <v>5804</v>
      </c>
      <c r="F1215" t="s">
        <v>1999</v>
      </c>
      <c r="G1215" t="s">
        <v>1999</v>
      </c>
      <c r="H1215" t="s">
        <v>21</v>
      </c>
      <c r="I1215">
        <v>11</v>
      </c>
      <c r="J1215" s="5">
        <v>0.03</v>
      </c>
      <c r="K1215" t="s">
        <v>22</v>
      </c>
      <c r="L1215" s="6">
        <v>42979</v>
      </c>
      <c r="M1215">
        <v>9</v>
      </c>
      <c r="N1215" s="7" t="s">
        <v>23</v>
      </c>
      <c r="O1215" t="s">
        <v>31</v>
      </c>
      <c r="P1215" t="s">
        <v>2000</v>
      </c>
      <c r="Q1215" t="s">
        <v>2001</v>
      </c>
      <c r="R1215" t="s">
        <v>1272</v>
      </c>
    </row>
    <row r="1216" spans="1:18" hidden="1">
      <c r="A1216">
        <v>2</v>
      </c>
      <c r="B1216" s="4" t="s">
        <v>1952</v>
      </c>
      <c r="C1216" s="4" t="s">
        <v>1953</v>
      </c>
      <c r="D1216" s="4" t="s">
        <v>2072</v>
      </c>
      <c r="E1216" s="4" t="s">
        <v>5804</v>
      </c>
      <c r="F1216" t="s">
        <v>1999</v>
      </c>
      <c r="G1216" t="s">
        <v>1999</v>
      </c>
      <c r="H1216" t="s">
        <v>21</v>
      </c>
      <c r="I1216">
        <v>11</v>
      </c>
      <c r="J1216" s="5">
        <v>0.03</v>
      </c>
      <c r="K1216" t="s">
        <v>218</v>
      </c>
      <c r="L1216" s="6">
        <v>42614</v>
      </c>
      <c r="M1216">
        <v>9</v>
      </c>
      <c r="N1216" s="7" t="s">
        <v>23</v>
      </c>
      <c r="O1216" t="s">
        <v>24</v>
      </c>
      <c r="P1216" t="s">
        <v>2093</v>
      </c>
      <c r="Q1216" t="s">
        <v>2094</v>
      </c>
      <c r="R1216" t="s">
        <v>2095</v>
      </c>
    </row>
    <row r="1217" spans="1:18" hidden="1">
      <c r="A1217">
        <v>2</v>
      </c>
      <c r="B1217" s="4" t="s">
        <v>1952</v>
      </c>
      <c r="C1217" s="4" t="s">
        <v>1953</v>
      </c>
      <c r="D1217" s="4" t="s">
        <v>2072</v>
      </c>
      <c r="E1217" s="4" t="s">
        <v>5804</v>
      </c>
      <c r="F1217" t="s">
        <v>1999</v>
      </c>
      <c r="G1217" t="s">
        <v>1999</v>
      </c>
      <c r="H1217" t="s">
        <v>21</v>
      </c>
      <c r="I1217">
        <v>11</v>
      </c>
      <c r="J1217" s="5">
        <v>0.03</v>
      </c>
      <c r="K1217" t="s">
        <v>422</v>
      </c>
      <c r="L1217" s="6">
        <v>42736</v>
      </c>
      <c r="M1217">
        <v>1</v>
      </c>
      <c r="N1217" s="7" t="s">
        <v>30</v>
      </c>
      <c r="O1217" t="s">
        <v>31</v>
      </c>
      <c r="P1217" t="s">
        <v>2107</v>
      </c>
      <c r="Q1217" t="s">
        <v>2108</v>
      </c>
      <c r="R1217" t="s">
        <v>2109</v>
      </c>
    </row>
    <row r="1218" spans="1:18" hidden="1">
      <c r="A1218">
        <v>2</v>
      </c>
      <c r="B1218" s="4" t="s">
        <v>1952</v>
      </c>
      <c r="C1218" s="4" t="s">
        <v>1953</v>
      </c>
      <c r="D1218" s="4" t="s">
        <v>2072</v>
      </c>
      <c r="E1218" s="4" t="s">
        <v>5804</v>
      </c>
      <c r="F1218" t="s">
        <v>1999</v>
      </c>
      <c r="G1218" t="s">
        <v>1999</v>
      </c>
      <c r="H1218" t="s">
        <v>21</v>
      </c>
      <c r="I1218">
        <v>11</v>
      </c>
      <c r="J1218" s="5">
        <v>0.03</v>
      </c>
      <c r="K1218" t="s">
        <v>128</v>
      </c>
      <c r="L1218" s="6">
        <v>42795</v>
      </c>
      <c r="M1218">
        <v>3</v>
      </c>
      <c r="N1218" s="7" t="s">
        <v>23</v>
      </c>
      <c r="O1218" t="s">
        <v>31</v>
      </c>
      <c r="P1218" t="s">
        <v>2112</v>
      </c>
      <c r="Q1218" t="s">
        <v>2113</v>
      </c>
      <c r="R1218" t="s">
        <v>2114</v>
      </c>
    </row>
    <row r="1219" spans="1:18" hidden="1">
      <c r="A1219">
        <v>2</v>
      </c>
      <c r="B1219" s="4" t="s">
        <v>1952</v>
      </c>
      <c r="C1219" s="4" t="s">
        <v>1953</v>
      </c>
      <c r="D1219" s="4" t="s">
        <v>2072</v>
      </c>
      <c r="E1219" s="4" t="s">
        <v>5804</v>
      </c>
      <c r="F1219" t="s">
        <v>1999</v>
      </c>
      <c r="G1219" t="s">
        <v>1999</v>
      </c>
      <c r="H1219" t="s">
        <v>21</v>
      </c>
      <c r="I1219">
        <v>11</v>
      </c>
      <c r="J1219" s="5">
        <v>0.03</v>
      </c>
      <c r="K1219" t="s">
        <v>93</v>
      </c>
      <c r="L1219" s="6">
        <v>43282</v>
      </c>
      <c r="M1219">
        <v>7</v>
      </c>
      <c r="N1219" s="7" t="s">
        <v>55</v>
      </c>
      <c r="O1219" t="s">
        <v>31</v>
      </c>
      <c r="P1219" t="s">
        <v>2140</v>
      </c>
      <c r="Q1219" t="s">
        <v>2141</v>
      </c>
      <c r="R1219" t="s">
        <v>2109</v>
      </c>
    </row>
    <row r="1220" spans="1:18" hidden="1">
      <c r="A1220">
        <v>2</v>
      </c>
      <c r="B1220" s="4" t="s">
        <v>1952</v>
      </c>
      <c r="C1220" s="4" t="s">
        <v>1953</v>
      </c>
      <c r="D1220" s="4" t="s">
        <v>2072</v>
      </c>
      <c r="E1220" s="4" t="s">
        <v>5804</v>
      </c>
      <c r="F1220" t="s">
        <v>1999</v>
      </c>
      <c r="G1220" t="s">
        <v>1999</v>
      </c>
      <c r="H1220" t="s">
        <v>21</v>
      </c>
      <c r="I1220">
        <v>11</v>
      </c>
      <c r="J1220" s="5">
        <v>0.03</v>
      </c>
      <c r="K1220" t="s">
        <v>146</v>
      </c>
      <c r="L1220" s="6">
        <v>43313</v>
      </c>
      <c r="M1220">
        <v>8</v>
      </c>
      <c r="N1220" s="7" t="s">
        <v>55</v>
      </c>
      <c r="O1220" t="s">
        <v>31</v>
      </c>
      <c r="P1220" t="s">
        <v>2143</v>
      </c>
      <c r="Q1220" t="s">
        <v>2144</v>
      </c>
      <c r="R1220" t="s">
        <v>2145</v>
      </c>
    </row>
    <row r="1221" spans="1:18" hidden="1">
      <c r="A1221">
        <v>2</v>
      </c>
      <c r="B1221" s="4" t="s">
        <v>1952</v>
      </c>
      <c r="C1221" s="4" t="s">
        <v>1953</v>
      </c>
      <c r="D1221" s="4" t="s">
        <v>2072</v>
      </c>
      <c r="E1221" s="4" t="s">
        <v>5804</v>
      </c>
      <c r="F1221" t="s">
        <v>1999</v>
      </c>
      <c r="G1221" t="s">
        <v>1999</v>
      </c>
      <c r="H1221" t="s">
        <v>21</v>
      </c>
      <c r="I1221">
        <v>11</v>
      </c>
      <c r="J1221" s="5">
        <v>0.03</v>
      </c>
      <c r="K1221" t="s">
        <v>267</v>
      </c>
      <c r="L1221" s="6">
        <v>44044</v>
      </c>
      <c r="M1221">
        <v>8</v>
      </c>
      <c r="N1221" s="7" t="s">
        <v>55</v>
      </c>
      <c r="O1221" t="s">
        <v>31</v>
      </c>
      <c r="P1221" t="s">
        <v>2196</v>
      </c>
      <c r="Q1221" t="s">
        <v>2141</v>
      </c>
      <c r="R1221" t="s">
        <v>2109</v>
      </c>
    </row>
    <row r="1222" spans="1:18" hidden="1">
      <c r="A1222">
        <v>2</v>
      </c>
      <c r="B1222" s="4" t="s">
        <v>1952</v>
      </c>
      <c r="C1222" s="4" t="s">
        <v>1953</v>
      </c>
      <c r="D1222" s="4" t="s">
        <v>2224</v>
      </c>
      <c r="E1222" s="4" t="s">
        <v>5804</v>
      </c>
      <c r="F1222" t="s">
        <v>1999</v>
      </c>
      <c r="G1222" t="s">
        <v>1999</v>
      </c>
      <c r="H1222" t="s">
        <v>21</v>
      </c>
      <c r="I1222">
        <v>11</v>
      </c>
      <c r="J1222" s="5">
        <v>0.03</v>
      </c>
      <c r="K1222" t="s">
        <v>357</v>
      </c>
      <c r="L1222" s="6">
        <v>43739</v>
      </c>
      <c r="M1222">
        <v>10</v>
      </c>
      <c r="N1222" s="7" t="s">
        <v>23</v>
      </c>
      <c r="O1222" t="s">
        <v>31</v>
      </c>
      <c r="P1222" t="s">
        <v>2306</v>
      </c>
      <c r="Q1222" t="s">
        <v>2270</v>
      </c>
      <c r="R1222" t="s">
        <v>2242</v>
      </c>
    </row>
    <row r="1223" spans="1:18" hidden="1">
      <c r="A1223">
        <v>2</v>
      </c>
      <c r="B1223" s="4" t="s">
        <v>1952</v>
      </c>
      <c r="C1223" s="4" t="s">
        <v>2349</v>
      </c>
      <c r="D1223" s="4" t="s">
        <v>2364</v>
      </c>
      <c r="E1223" s="4" t="s">
        <v>5804</v>
      </c>
      <c r="F1223" t="s">
        <v>1999</v>
      </c>
      <c r="G1223" t="s">
        <v>1999</v>
      </c>
      <c r="H1223" t="s">
        <v>21</v>
      </c>
      <c r="I1223">
        <v>11</v>
      </c>
      <c r="J1223" s="5">
        <v>0.03</v>
      </c>
      <c r="K1223" t="s">
        <v>85</v>
      </c>
      <c r="L1223" s="6">
        <v>43009</v>
      </c>
      <c r="M1223">
        <v>10</v>
      </c>
      <c r="N1223" s="7" t="s">
        <v>23</v>
      </c>
      <c r="O1223" t="s">
        <v>31</v>
      </c>
      <c r="P1223" t="s">
        <v>2384</v>
      </c>
      <c r="Q1223" t="s">
        <v>2385</v>
      </c>
      <c r="R1223" t="s">
        <v>2386</v>
      </c>
    </row>
    <row r="1224" spans="1:18" hidden="1">
      <c r="A1224">
        <v>2</v>
      </c>
      <c r="B1224" s="4" t="s">
        <v>1952</v>
      </c>
      <c r="C1224" s="4" t="s">
        <v>2566</v>
      </c>
      <c r="D1224" s="4" t="s">
        <v>2620</v>
      </c>
      <c r="E1224" s="4" t="s">
        <v>5804</v>
      </c>
      <c r="F1224" t="s">
        <v>1999</v>
      </c>
      <c r="G1224" t="s">
        <v>1999</v>
      </c>
      <c r="H1224" t="s">
        <v>21</v>
      </c>
      <c r="I1224">
        <v>11</v>
      </c>
      <c r="J1224" s="5">
        <v>0.03</v>
      </c>
      <c r="K1224" t="s">
        <v>365</v>
      </c>
      <c r="L1224" s="6">
        <v>44105</v>
      </c>
      <c r="M1224">
        <v>10</v>
      </c>
      <c r="N1224" s="7" t="s">
        <v>23</v>
      </c>
      <c r="O1224" t="s">
        <v>66</v>
      </c>
      <c r="P1224" t="s">
        <v>2708</v>
      </c>
      <c r="Q1224" t="s">
        <v>2709</v>
      </c>
      <c r="R1224" t="s">
        <v>2710</v>
      </c>
    </row>
    <row r="1225" spans="1:18">
      <c r="A1225">
        <v>3</v>
      </c>
      <c r="B1225" s="4" t="s">
        <v>2764</v>
      </c>
      <c r="C1225" s="4" t="s">
        <v>2765</v>
      </c>
      <c r="D1225" s="4" t="s">
        <v>3092</v>
      </c>
      <c r="E1225" s="4" t="s">
        <v>5804</v>
      </c>
      <c r="F1225" t="s">
        <v>1999</v>
      </c>
      <c r="G1225" t="s">
        <v>1999</v>
      </c>
      <c r="H1225" t="s">
        <v>21</v>
      </c>
      <c r="I1225">
        <v>11</v>
      </c>
      <c r="J1225" s="5">
        <v>0.03</v>
      </c>
      <c r="K1225" t="s">
        <v>278</v>
      </c>
      <c r="L1225" s="6">
        <v>42675</v>
      </c>
      <c r="M1225">
        <v>11</v>
      </c>
      <c r="N1225" s="7" t="s">
        <v>23</v>
      </c>
      <c r="O1225" t="s">
        <v>193</v>
      </c>
      <c r="P1225" t="s">
        <v>3098</v>
      </c>
      <c r="Q1225" t="s">
        <v>3099</v>
      </c>
      <c r="R1225" t="s">
        <v>3100</v>
      </c>
    </row>
    <row r="1226" spans="1:18" hidden="1">
      <c r="A1226">
        <v>12</v>
      </c>
      <c r="B1226" s="4" t="s">
        <v>901</v>
      </c>
      <c r="C1226" s="4" t="s">
        <v>1463</v>
      </c>
      <c r="D1226" s="4" t="s">
        <v>1464</v>
      </c>
      <c r="E1226" s="4" t="s">
        <v>5804</v>
      </c>
      <c r="F1226" t="s">
        <v>1533</v>
      </c>
      <c r="G1226" t="s">
        <v>1533</v>
      </c>
      <c r="H1226" t="s">
        <v>53</v>
      </c>
      <c r="I1226" t="s">
        <v>53</v>
      </c>
      <c r="J1226" s="5" t="s">
        <v>53</v>
      </c>
      <c r="K1226" t="s">
        <v>1534</v>
      </c>
      <c r="L1226" s="6" t="s">
        <v>673</v>
      </c>
      <c r="M1226" t="e">
        <v>#VALUE!</v>
      </c>
      <c r="N1226" s="7" t="e">
        <v>#VALUE!</v>
      </c>
      <c r="O1226" t="s">
        <v>31</v>
      </c>
      <c r="P1226" t="s">
        <v>1535</v>
      </c>
      <c r="Q1226" t="s">
        <v>1536</v>
      </c>
      <c r="R1226" t="s">
        <v>1537</v>
      </c>
    </row>
    <row r="1227" spans="1:18" hidden="1">
      <c r="A1227">
        <v>12</v>
      </c>
      <c r="B1227" s="4" t="s">
        <v>901</v>
      </c>
      <c r="C1227" s="4" t="s">
        <v>1463</v>
      </c>
      <c r="D1227" s="4" t="s">
        <v>1538</v>
      </c>
      <c r="E1227" s="4" t="s">
        <v>5804</v>
      </c>
      <c r="F1227" t="s">
        <v>1533</v>
      </c>
      <c r="G1227" t="s">
        <v>1533</v>
      </c>
      <c r="H1227" t="s">
        <v>53</v>
      </c>
      <c r="I1227" t="s">
        <v>53</v>
      </c>
      <c r="J1227" s="5" t="s">
        <v>53</v>
      </c>
      <c r="K1227" t="s">
        <v>124</v>
      </c>
      <c r="L1227" s="6">
        <v>42767</v>
      </c>
      <c r="M1227">
        <v>2</v>
      </c>
      <c r="N1227" s="7" t="s">
        <v>30</v>
      </c>
      <c r="O1227" t="s">
        <v>31</v>
      </c>
      <c r="P1227" t="s">
        <v>1542</v>
      </c>
      <c r="Q1227" t="s">
        <v>1543</v>
      </c>
      <c r="R1227" t="s">
        <v>1544</v>
      </c>
    </row>
    <row r="1228" spans="1:18" hidden="1">
      <c r="A1228">
        <v>12</v>
      </c>
      <c r="B1228" s="4" t="s">
        <v>901</v>
      </c>
      <c r="C1228" s="4" t="s">
        <v>1463</v>
      </c>
      <c r="D1228" s="4" t="s">
        <v>1538</v>
      </c>
      <c r="E1228" s="4" t="s">
        <v>5804</v>
      </c>
      <c r="F1228" t="s">
        <v>1533</v>
      </c>
      <c r="G1228" t="s">
        <v>1533</v>
      </c>
      <c r="H1228" t="s">
        <v>53</v>
      </c>
      <c r="I1228" t="s">
        <v>53</v>
      </c>
      <c r="J1228" s="5" t="s">
        <v>53</v>
      </c>
      <c r="K1228" t="s">
        <v>797</v>
      </c>
      <c r="L1228" s="6">
        <v>43252</v>
      </c>
      <c r="M1228">
        <v>6</v>
      </c>
      <c r="N1228" s="7" t="s">
        <v>55</v>
      </c>
      <c r="O1228" t="s">
        <v>31</v>
      </c>
      <c r="P1228" t="s">
        <v>1545</v>
      </c>
      <c r="Q1228" t="s">
        <v>1546</v>
      </c>
      <c r="R1228" t="s">
        <v>1547</v>
      </c>
    </row>
    <row r="1229" spans="1:18" hidden="1">
      <c r="A1229">
        <v>12</v>
      </c>
      <c r="B1229" s="4" t="s">
        <v>901</v>
      </c>
      <c r="C1229" s="4" t="s">
        <v>1463</v>
      </c>
      <c r="D1229" s="4" t="s">
        <v>1538</v>
      </c>
      <c r="E1229" s="4" t="s">
        <v>5804</v>
      </c>
      <c r="F1229" t="s">
        <v>1533</v>
      </c>
      <c r="G1229" t="s">
        <v>1533</v>
      </c>
      <c r="H1229" t="s">
        <v>53</v>
      </c>
      <c r="I1229" t="s">
        <v>53</v>
      </c>
      <c r="J1229" s="5" t="s">
        <v>53</v>
      </c>
      <c r="K1229" t="s">
        <v>245</v>
      </c>
      <c r="L1229" s="6">
        <v>43466</v>
      </c>
      <c r="M1229">
        <v>1</v>
      </c>
      <c r="N1229" s="7" t="s">
        <v>30</v>
      </c>
      <c r="O1229" t="s">
        <v>88</v>
      </c>
      <c r="P1229" t="s">
        <v>1548</v>
      </c>
      <c r="Q1229" t="s">
        <v>1549</v>
      </c>
      <c r="R1229" t="s">
        <v>1550</v>
      </c>
    </row>
    <row r="1230" spans="1:18" hidden="1">
      <c r="A1230">
        <v>12</v>
      </c>
      <c r="B1230" s="4" t="s">
        <v>901</v>
      </c>
      <c r="C1230" s="4" t="s">
        <v>1463</v>
      </c>
      <c r="D1230" s="4" t="s">
        <v>1538</v>
      </c>
      <c r="E1230" s="4" t="s">
        <v>5804</v>
      </c>
      <c r="F1230" t="s">
        <v>1533</v>
      </c>
      <c r="G1230" t="s">
        <v>1533</v>
      </c>
      <c r="H1230" t="s">
        <v>53</v>
      </c>
      <c r="I1230" t="s">
        <v>53</v>
      </c>
      <c r="J1230" s="5" t="s">
        <v>53</v>
      </c>
      <c r="K1230" t="s">
        <v>168</v>
      </c>
      <c r="L1230" s="6">
        <v>43678</v>
      </c>
      <c r="M1230">
        <v>8</v>
      </c>
      <c r="N1230" s="7" t="s">
        <v>55</v>
      </c>
      <c r="O1230" t="s">
        <v>66</v>
      </c>
      <c r="P1230" t="s">
        <v>1551</v>
      </c>
      <c r="Q1230" t="s">
        <v>1552</v>
      </c>
      <c r="R1230" t="s">
        <v>1553</v>
      </c>
    </row>
    <row r="1231" spans="1:18" hidden="1">
      <c r="A1231">
        <v>12</v>
      </c>
      <c r="B1231" s="4" t="s">
        <v>901</v>
      </c>
      <c r="C1231" s="4" t="s">
        <v>1463</v>
      </c>
      <c r="D1231" s="4" t="s">
        <v>1538</v>
      </c>
      <c r="E1231" s="4" t="s">
        <v>5804</v>
      </c>
      <c r="F1231" t="s">
        <v>1533</v>
      </c>
      <c r="G1231" t="s">
        <v>1533</v>
      </c>
      <c r="H1231" t="s">
        <v>53</v>
      </c>
      <c r="I1231" t="s">
        <v>53</v>
      </c>
      <c r="J1231" s="5" t="s">
        <v>53</v>
      </c>
      <c r="K1231" t="s">
        <v>547</v>
      </c>
      <c r="L1231" s="6">
        <v>44075</v>
      </c>
      <c r="M1231">
        <v>9</v>
      </c>
      <c r="N1231" s="7" t="s">
        <v>23</v>
      </c>
      <c r="O1231" t="s">
        <v>31</v>
      </c>
      <c r="P1231" t="s">
        <v>1554</v>
      </c>
      <c r="Q1231" t="s">
        <v>1555</v>
      </c>
      <c r="R1231" t="s">
        <v>1556</v>
      </c>
    </row>
    <row r="1232" spans="1:18" hidden="1">
      <c r="A1232">
        <v>2</v>
      </c>
      <c r="B1232" s="4" t="s">
        <v>1952</v>
      </c>
      <c r="C1232" s="4" t="s">
        <v>1953</v>
      </c>
      <c r="D1232" s="4" t="s">
        <v>2072</v>
      </c>
      <c r="E1232" s="4" t="s">
        <v>5804</v>
      </c>
      <c r="F1232" t="s">
        <v>1533</v>
      </c>
      <c r="G1232" t="s">
        <v>1533</v>
      </c>
      <c r="H1232" t="s">
        <v>53</v>
      </c>
      <c r="I1232" t="s">
        <v>53</v>
      </c>
      <c r="J1232" s="5" t="s">
        <v>53</v>
      </c>
      <c r="K1232" t="s">
        <v>839</v>
      </c>
      <c r="L1232" s="6">
        <v>43800</v>
      </c>
      <c r="M1232">
        <v>12</v>
      </c>
      <c r="N1232" s="7" t="s">
        <v>30</v>
      </c>
      <c r="O1232" t="s">
        <v>88</v>
      </c>
      <c r="P1232" t="s">
        <v>2177</v>
      </c>
      <c r="Q1232" t="s">
        <v>2178</v>
      </c>
      <c r="R1232" t="s">
        <v>2179</v>
      </c>
    </row>
    <row r="1233" spans="1:18" hidden="1">
      <c r="A1233">
        <v>2</v>
      </c>
      <c r="B1233" s="4" t="s">
        <v>1952</v>
      </c>
      <c r="C1233" s="4" t="s">
        <v>2566</v>
      </c>
      <c r="D1233" s="4" t="s">
        <v>2620</v>
      </c>
      <c r="E1233" s="4" t="s">
        <v>5804</v>
      </c>
      <c r="F1233" t="s">
        <v>1533</v>
      </c>
      <c r="G1233" t="s">
        <v>1533</v>
      </c>
      <c r="H1233" t="s">
        <v>53</v>
      </c>
      <c r="I1233" t="s">
        <v>53</v>
      </c>
      <c r="J1233" s="5" t="s">
        <v>53</v>
      </c>
      <c r="K1233" t="s">
        <v>124</v>
      </c>
      <c r="L1233" s="6">
        <v>42767</v>
      </c>
      <c r="M1233">
        <v>2</v>
      </c>
      <c r="N1233" s="7" t="s">
        <v>30</v>
      </c>
      <c r="O1233" t="s">
        <v>88</v>
      </c>
      <c r="P1233" t="s">
        <v>2648</v>
      </c>
      <c r="Q1233" t="s">
        <v>2649</v>
      </c>
      <c r="R1233" t="s">
        <v>2650</v>
      </c>
    </row>
    <row r="1234" spans="1:18" hidden="1">
      <c r="A1234">
        <v>4</v>
      </c>
      <c r="B1234" s="4" t="s">
        <v>3127</v>
      </c>
      <c r="C1234" s="4" t="s">
        <v>3128</v>
      </c>
      <c r="D1234" s="4" t="s">
        <v>3129</v>
      </c>
      <c r="E1234" s="4" t="s">
        <v>5804</v>
      </c>
      <c r="F1234" t="s">
        <v>1533</v>
      </c>
      <c r="G1234" t="s">
        <v>1533</v>
      </c>
      <c r="H1234" t="s">
        <v>53</v>
      </c>
      <c r="I1234" t="s">
        <v>53</v>
      </c>
      <c r="J1234" s="5" t="s">
        <v>53</v>
      </c>
      <c r="K1234" t="s">
        <v>29</v>
      </c>
      <c r="L1234" s="6">
        <v>43070</v>
      </c>
      <c r="M1234">
        <v>12</v>
      </c>
      <c r="N1234" s="7" t="s">
        <v>30</v>
      </c>
      <c r="O1234" t="s">
        <v>88</v>
      </c>
      <c r="P1234" t="s">
        <v>3155</v>
      </c>
      <c r="Q1234" t="s">
        <v>3156</v>
      </c>
      <c r="R1234" t="s">
        <v>3157</v>
      </c>
    </row>
    <row r="1235" spans="1:18" hidden="1">
      <c r="A1235">
        <v>4</v>
      </c>
      <c r="B1235" s="4" t="s">
        <v>3127</v>
      </c>
      <c r="C1235" s="4" t="s">
        <v>3128</v>
      </c>
      <c r="D1235" s="4" t="s">
        <v>3129</v>
      </c>
      <c r="E1235" s="4" t="s">
        <v>5804</v>
      </c>
      <c r="F1235" t="s">
        <v>1533</v>
      </c>
      <c r="G1235" t="s">
        <v>1533</v>
      </c>
      <c r="H1235" t="s">
        <v>53</v>
      </c>
      <c r="I1235" t="s">
        <v>53</v>
      </c>
      <c r="J1235" s="5" t="s">
        <v>53</v>
      </c>
      <c r="K1235" t="s">
        <v>159</v>
      </c>
      <c r="L1235" s="6">
        <v>43586</v>
      </c>
      <c r="M1235">
        <v>5</v>
      </c>
      <c r="N1235" s="7" t="s">
        <v>23</v>
      </c>
      <c r="O1235" t="s">
        <v>31</v>
      </c>
      <c r="P1235" t="s">
        <v>3163</v>
      </c>
      <c r="Q1235" t="s">
        <v>3164</v>
      </c>
      <c r="R1235" t="s">
        <v>3165</v>
      </c>
    </row>
    <row r="1236" spans="1:18" hidden="1">
      <c r="A1236">
        <v>4</v>
      </c>
      <c r="B1236" s="4" t="s">
        <v>3127</v>
      </c>
      <c r="C1236" s="4" t="s">
        <v>3128</v>
      </c>
      <c r="D1236" s="4" t="s">
        <v>3247</v>
      </c>
      <c r="E1236" s="4" t="s">
        <v>5804</v>
      </c>
      <c r="F1236" t="s">
        <v>1533</v>
      </c>
      <c r="G1236" t="s">
        <v>1533</v>
      </c>
      <c r="H1236" t="s">
        <v>53</v>
      </c>
      <c r="I1236" t="s">
        <v>53</v>
      </c>
      <c r="J1236" s="5" t="s">
        <v>53</v>
      </c>
      <c r="K1236" t="s">
        <v>71</v>
      </c>
      <c r="L1236" s="6">
        <v>42522</v>
      </c>
      <c r="M1236">
        <v>6</v>
      </c>
      <c r="N1236" s="7" t="s">
        <v>55</v>
      </c>
      <c r="O1236" t="s">
        <v>31</v>
      </c>
      <c r="P1236" t="s">
        <v>3265</v>
      </c>
      <c r="Q1236" t="s">
        <v>3266</v>
      </c>
      <c r="R1236" t="s">
        <v>3267</v>
      </c>
    </row>
    <row r="1237" spans="1:18" hidden="1">
      <c r="A1237">
        <v>4</v>
      </c>
      <c r="B1237" s="4" t="s">
        <v>3127</v>
      </c>
      <c r="C1237" s="4" t="s">
        <v>3128</v>
      </c>
      <c r="D1237" s="4" t="s">
        <v>3247</v>
      </c>
      <c r="E1237" s="4" t="s">
        <v>5804</v>
      </c>
      <c r="F1237" t="s">
        <v>1533</v>
      </c>
      <c r="G1237" t="s">
        <v>1533</v>
      </c>
      <c r="H1237" t="s">
        <v>53</v>
      </c>
      <c r="I1237" t="s">
        <v>53</v>
      </c>
      <c r="J1237" s="5" t="s">
        <v>53</v>
      </c>
      <c r="K1237" t="s">
        <v>422</v>
      </c>
      <c r="L1237" s="6">
        <v>42736</v>
      </c>
      <c r="M1237">
        <v>1</v>
      </c>
      <c r="N1237" s="7" t="s">
        <v>30</v>
      </c>
      <c r="O1237" t="s">
        <v>88</v>
      </c>
      <c r="P1237" t="s">
        <v>3291</v>
      </c>
      <c r="Q1237" t="s">
        <v>3292</v>
      </c>
      <c r="R1237" t="s">
        <v>3293</v>
      </c>
    </row>
    <row r="1238" spans="1:18" hidden="1">
      <c r="A1238">
        <v>4</v>
      </c>
      <c r="B1238" s="4" t="s">
        <v>3127</v>
      </c>
      <c r="C1238" s="4" t="s">
        <v>3374</v>
      </c>
      <c r="D1238" s="4" t="s">
        <v>3375</v>
      </c>
      <c r="E1238" s="4" t="s">
        <v>5804</v>
      </c>
      <c r="F1238" t="s">
        <v>1533</v>
      </c>
      <c r="G1238" t="s">
        <v>1533</v>
      </c>
      <c r="H1238" t="s">
        <v>53</v>
      </c>
      <c r="I1238" t="s">
        <v>53</v>
      </c>
      <c r="J1238" s="5" t="s">
        <v>53</v>
      </c>
      <c r="K1238" t="s">
        <v>156</v>
      </c>
      <c r="L1238" s="6">
        <v>43405</v>
      </c>
      <c r="M1238">
        <v>11</v>
      </c>
      <c r="N1238" s="7" t="s">
        <v>23</v>
      </c>
      <c r="O1238" t="s">
        <v>31</v>
      </c>
      <c r="P1238" t="s">
        <v>3448</v>
      </c>
      <c r="Q1238" t="s">
        <v>3449</v>
      </c>
      <c r="R1238" t="s">
        <v>3450</v>
      </c>
    </row>
    <row r="1239" spans="1:18" hidden="1">
      <c r="A1239">
        <v>4</v>
      </c>
      <c r="B1239" s="4" t="s">
        <v>3127</v>
      </c>
      <c r="C1239" s="4" t="s">
        <v>3506</v>
      </c>
      <c r="D1239" s="4" t="s">
        <v>3507</v>
      </c>
      <c r="E1239" s="4" t="s">
        <v>5804</v>
      </c>
      <c r="F1239" t="s">
        <v>1533</v>
      </c>
      <c r="G1239" t="s">
        <v>1533</v>
      </c>
      <c r="H1239" t="s">
        <v>53</v>
      </c>
      <c r="I1239" t="s">
        <v>53</v>
      </c>
      <c r="J1239" s="5" t="s">
        <v>53</v>
      </c>
      <c r="K1239" t="s">
        <v>218</v>
      </c>
      <c r="L1239" s="6">
        <v>42614</v>
      </c>
      <c r="M1239">
        <v>9</v>
      </c>
      <c r="N1239" s="7" t="s">
        <v>23</v>
      </c>
      <c r="O1239" t="s">
        <v>31</v>
      </c>
      <c r="P1239" t="s">
        <v>3522</v>
      </c>
      <c r="Q1239" t="s">
        <v>3523</v>
      </c>
      <c r="R1239" t="s">
        <v>3524</v>
      </c>
    </row>
    <row r="1240" spans="1:18" hidden="1">
      <c r="A1240">
        <v>4</v>
      </c>
      <c r="B1240" s="4" t="s">
        <v>3127</v>
      </c>
      <c r="C1240" s="4" t="s">
        <v>3789</v>
      </c>
      <c r="D1240" s="4" t="s">
        <v>3790</v>
      </c>
      <c r="E1240" s="4" t="s">
        <v>5804</v>
      </c>
      <c r="F1240" t="s">
        <v>1533</v>
      </c>
      <c r="G1240" t="s">
        <v>1533</v>
      </c>
      <c r="H1240" t="s">
        <v>53</v>
      </c>
      <c r="I1240" t="s">
        <v>53</v>
      </c>
      <c r="J1240" s="5" t="s">
        <v>53</v>
      </c>
      <c r="K1240" t="s">
        <v>645</v>
      </c>
      <c r="L1240" s="6">
        <v>44440</v>
      </c>
      <c r="M1240">
        <v>9</v>
      </c>
      <c r="N1240" s="7" t="s">
        <v>23</v>
      </c>
      <c r="O1240" t="s">
        <v>31</v>
      </c>
      <c r="P1240" t="s">
        <v>3809</v>
      </c>
      <c r="Q1240" t="s">
        <v>3810</v>
      </c>
      <c r="R1240" t="s">
        <v>3811</v>
      </c>
    </row>
    <row r="1241" spans="1:18" hidden="1">
      <c r="A1241">
        <v>4</v>
      </c>
      <c r="B1241" s="4" t="s">
        <v>3127</v>
      </c>
      <c r="C1241" s="4" t="s">
        <v>3789</v>
      </c>
      <c r="D1241" s="4" t="s">
        <v>3815</v>
      </c>
      <c r="E1241" s="4" t="s">
        <v>5804</v>
      </c>
      <c r="F1241" t="s">
        <v>1533</v>
      </c>
      <c r="G1241" t="s">
        <v>1533</v>
      </c>
      <c r="H1241" t="s">
        <v>53</v>
      </c>
      <c r="I1241" t="s">
        <v>53</v>
      </c>
      <c r="J1241" s="5" t="s">
        <v>53</v>
      </c>
      <c r="K1241" t="s">
        <v>22</v>
      </c>
      <c r="L1241" s="6">
        <v>42979</v>
      </c>
      <c r="M1241">
        <v>9</v>
      </c>
      <c r="N1241" s="7" t="s">
        <v>23</v>
      </c>
      <c r="O1241" t="s">
        <v>24</v>
      </c>
      <c r="P1241" t="s">
        <v>3860</v>
      </c>
      <c r="Q1241" t="s">
        <v>3847</v>
      </c>
      <c r="R1241" t="s">
        <v>3845</v>
      </c>
    </row>
    <row r="1242" spans="1:18" hidden="1">
      <c r="A1242">
        <v>4</v>
      </c>
      <c r="B1242" s="4" t="s">
        <v>3127</v>
      </c>
      <c r="C1242" s="4" t="s">
        <v>4035</v>
      </c>
      <c r="D1242" s="4" t="s">
        <v>4036</v>
      </c>
      <c r="E1242" s="4" t="s">
        <v>5804</v>
      </c>
      <c r="F1242" t="s">
        <v>1533</v>
      </c>
      <c r="G1242" t="s">
        <v>1533</v>
      </c>
      <c r="H1242" t="s">
        <v>53</v>
      </c>
      <c r="I1242" t="s">
        <v>53</v>
      </c>
      <c r="J1242" s="5" t="s">
        <v>53</v>
      </c>
      <c r="K1242" t="s">
        <v>142</v>
      </c>
      <c r="L1242" s="6">
        <v>43101</v>
      </c>
      <c r="M1242">
        <v>1</v>
      </c>
      <c r="N1242" s="7" t="s">
        <v>30</v>
      </c>
      <c r="O1242" t="s">
        <v>31</v>
      </c>
      <c r="P1242" t="s">
        <v>4053</v>
      </c>
      <c r="Q1242" t="s">
        <v>4054</v>
      </c>
      <c r="R1242" t="s">
        <v>4055</v>
      </c>
    </row>
    <row r="1243" spans="1:18" hidden="1">
      <c r="A1243">
        <v>4</v>
      </c>
      <c r="B1243" s="4" t="s">
        <v>3127</v>
      </c>
      <c r="C1243" s="4" t="s">
        <v>4035</v>
      </c>
      <c r="D1243" s="4" t="s">
        <v>4036</v>
      </c>
      <c r="E1243" s="4" t="s">
        <v>5804</v>
      </c>
      <c r="F1243" t="s">
        <v>1533</v>
      </c>
      <c r="G1243" t="s">
        <v>1533</v>
      </c>
      <c r="H1243" t="s">
        <v>53</v>
      </c>
      <c r="I1243" t="s">
        <v>53</v>
      </c>
      <c r="J1243" s="5" t="s">
        <v>53</v>
      </c>
      <c r="K1243" t="s">
        <v>35</v>
      </c>
      <c r="L1243" s="6">
        <v>43160</v>
      </c>
      <c r="M1243">
        <v>3</v>
      </c>
      <c r="N1243" s="7" t="s">
        <v>23</v>
      </c>
      <c r="O1243" t="s">
        <v>31</v>
      </c>
      <c r="P1243" t="s">
        <v>4056</v>
      </c>
      <c r="Q1243" t="s">
        <v>4054</v>
      </c>
      <c r="R1243" t="s">
        <v>4055</v>
      </c>
    </row>
    <row r="1244" spans="1:18" hidden="1">
      <c r="A1244">
        <v>4</v>
      </c>
      <c r="B1244" s="4" t="s">
        <v>3127</v>
      </c>
      <c r="C1244" s="4" t="s">
        <v>4035</v>
      </c>
      <c r="D1244" s="4" t="s">
        <v>4080</v>
      </c>
      <c r="E1244" s="4" t="s">
        <v>5804</v>
      </c>
      <c r="F1244" t="s">
        <v>1533</v>
      </c>
      <c r="G1244" t="s">
        <v>1533</v>
      </c>
      <c r="H1244" t="s">
        <v>53</v>
      </c>
      <c r="I1244" t="s">
        <v>53</v>
      </c>
      <c r="J1244" s="5" t="s">
        <v>53</v>
      </c>
      <c r="K1244" t="s">
        <v>204</v>
      </c>
      <c r="L1244" s="6">
        <v>43831</v>
      </c>
      <c r="M1244">
        <v>1</v>
      </c>
      <c r="N1244" s="7" t="s">
        <v>30</v>
      </c>
      <c r="O1244" t="s">
        <v>31</v>
      </c>
      <c r="P1244" t="s">
        <v>4159</v>
      </c>
      <c r="Q1244" t="s">
        <v>4160</v>
      </c>
      <c r="R1244" t="s">
        <v>4161</v>
      </c>
    </row>
    <row r="1245" spans="1:18" hidden="1">
      <c r="A1245">
        <v>5</v>
      </c>
      <c r="B1245" s="4" t="s">
        <v>4600</v>
      </c>
      <c r="C1245" s="4" t="s">
        <v>4601</v>
      </c>
      <c r="D1245" s="4" t="s">
        <v>4602</v>
      </c>
      <c r="E1245" s="4" t="s">
        <v>5804</v>
      </c>
      <c r="F1245" t="s">
        <v>1533</v>
      </c>
      <c r="G1245" t="s">
        <v>1533</v>
      </c>
      <c r="H1245" t="s">
        <v>53</v>
      </c>
      <c r="I1245" t="s">
        <v>53</v>
      </c>
      <c r="J1245" s="5" t="s">
        <v>53</v>
      </c>
      <c r="K1245" t="s">
        <v>234</v>
      </c>
      <c r="L1245" s="6">
        <v>42826</v>
      </c>
      <c r="M1245">
        <v>4</v>
      </c>
      <c r="N1245" s="7" t="s">
        <v>23</v>
      </c>
      <c r="O1245" t="s">
        <v>31</v>
      </c>
      <c r="P1245" t="s">
        <v>4617</v>
      </c>
      <c r="Q1245" t="s">
        <v>4618</v>
      </c>
      <c r="R1245" t="s">
        <v>4619</v>
      </c>
    </row>
    <row r="1246" spans="1:18" hidden="1">
      <c r="A1246">
        <v>5</v>
      </c>
      <c r="B1246" s="4" t="s">
        <v>4600</v>
      </c>
      <c r="C1246" s="4" t="s">
        <v>4933</v>
      </c>
      <c r="D1246" s="4" t="s">
        <v>5014</v>
      </c>
      <c r="E1246" s="4" t="s">
        <v>5804</v>
      </c>
      <c r="F1246" t="s">
        <v>1533</v>
      </c>
      <c r="G1246" t="s">
        <v>1533</v>
      </c>
      <c r="H1246" t="s">
        <v>53</v>
      </c>
      <c r="I1246" t="s">
        <v>53</v>
      </c>
      <c r="J1246" s="5" t="s">
        <v>53</v>
      </c>
      <c r="K1246" t="s">
        <v>85</v>
      </c>
      <c r="L1246" s="6">
        <v>43009</v>
      </c>
      <c r="M1246">
        <v>10</v>
      </c>
      <c r="N1246" s="7" t="s">
        <v>23</v>
      </c>
      <c r="O1246" t="s">
        <v>31</v>
      </c>
      <c r="P1246" t="s">
        <v>5151</v>
      </c>
      <c r="Q1246" t="s">
        <v>5152</v>
      </c>
      <c r="R1246" t="s">
        <v>5153</v>
      </c>
    </row>
    <row r="1247" spans="1:18" hidden="1">
      <c r="A1247">
        <v>5</v>
      </c>
      <c r="B1247" s="4" t="s">
        <v>4600</v>
      </c>
      <c r="C1247" s="4" t="s">
        <v>4933</v>
      </c>
      <c r="D1247" s="4" t="s">
        <v>5014</v>
      </c>
      <c r="E1247" s="4" t="s">
        <v>5804</v>
      </c>
      <c r="F1247" t="s">
        <v>1533</v>
      </c>
      <c r="G1247" t="s">
        <v>1533</v>
      </c>
      <c r="H1247" t="s">
        <v>53</v>
      </c>
      <c r="I1247" t="s">
        <v>53</v>
      </c>
      <c r="J1247" s="5" t="s">
        <v>53</v>
      </c>
      <c r="K1247" t="s">
        <v>146</v>
      </c>
      <c r="L1247" s="6">
        <v>43313</v>
      </c>
      <c r="M1247">
        <v>8</v>
      </c>
      <c r="N1247" s="7" t="s">
        <v>55</v>
      </c>
      <c r="O1247" t="s">
        <v>31</v>
      </c>
      <c r="P1247" t="s">
        <v>5202</v>
      </c>
      <c r="Q1247" t="s">
        <v>5203</v>
      </c>
      <c r="R1247" t="s">
        <v>5153</v>
      </c>
    </row>
    <row r="1248" spans="1:18" hidden="1">
      <c r="A1248">
        <v>5</v>
      </c>
      <c r="B1248" s="4" t="s">
        <v>4600</v>
      </c>
      <c r="C1248" s="4" t="s">
        <v>4933</v>
      </c>
      <c r="D1248" s="4" t="s">
        <v>5014</v>
      </c>
      <c r="E1248" s="4" t="s">
        <v>5804</v>
      </c>
      <c r="F1248" t="s">
        <v>1533</v>
      </c>
      <c r="G1248" t="s">
        <v>1533</v>
      </c>
      <c r="H1248" t="s">
        <v>53</v>
      </c>
      <c r="I1248" t="s">
        <v>53</v>
      </c>
      <c r="J1248" s="5" t="s">
        <v>53</v>
      </c>
      <c r="K1248" t="s">
        <v>43</v>
      </c>
      <c r="L1248" s="6">
        <v>43525</v>
      </c>
      <c r="M1248">
        <v>3</v>
      </c>
      <c r="N1248" s="7" t="s">
        <v>23</v>
      </c>
      <c r="O1248" t="s">
        <v>88</v>
      </c>
      <c r="P1248" t="s">
        <v>5249</v>
      </c>
      <c r="Q1248" t="s">
        <v>5250</v>
      </c>
      <c r="R1248" t="s">
        <v>5251</v>
      </c>
    </row>
    <row r="1249" spans="1:18" hidden="1">
      <c r="A1249">
        <v>5</v>
      </c>
      <c r="B1249" s="4" t="s">
        <v>4600</v>
      </c>
      <c r="C1249" s="4" t="s">
        <v>4933</v>
      </c>
      <c r="D1249" s="4" t="s">
        <v>5014</v>
      </c>
      <c r="E1249" s="4" t="s">
        <v>5804</v>
      </c>
      <c r="F1249" t="s">
        <v>1533</v>
      </c>
      <c r="G1249" t="s">
        <v>1533</v>
      </c>
      <c r="H1249" t="s">
        <v>53</v>
      </c>
      <c r="I1249" t="s">
        <v>53</v>
      </c>
      <c r="J1249" s="5" t="s">
        <v>53</v>
      </c>
      <c r="K1249" t="s">
        <v>204</v>
      </c>
      <c r="L1249" s="6">
        <v>43831</v>
      </c>
      <c r="M1249">
        <v>1</v>
      </c>
      <c r="N1249" s="7" t="s">
        <v>30</v>
      </c>
      <c r="O1249" t="s">
        <v>31</v>
      </c>
      <c r="P1249" t="s">
        <v>5316</v>
      </c>
      <c r="Q1249" t="s">
        <v>5317</v>
      </c>
      <c r="R1249" t="s">
        <v>5153</v>
      </c>
    </row>
    <row r="1250" spans="1:18" hidden="1">
      <c r="A1250">
        <v>12</v>
      </c>
      <c r="B1250" s="4" t="s">
        <v>901</v>
      </c>
      <c r="C1250" s="4" t="s">
        <v>902</v>
      </c>
      <c r="D1250" s="4" t="s">
        <v>903</v>
      </c>
      <c r="E1250" s="4" t="s">
        <v>5804</v>
      </c>
      <c r="F1250" t="s">
        <v>904</v>
      </c>
      <c r="G1250" t="s">
        <v>905</v>
      </c>
      <c r="H1250" t="s">
        <v>53</v>
      </c>
      <c r="I1250" t="s">
        <v>53</v>
      </c>
      <c r="J1250" s="5" t="s">
        <v>53</v>
      </c>
      <c r="K1250" t="s">
        <v>906</v>
      </c>
      <c r="L1250" s="6">
        <v>42309</v>
      </c>
      <c r="M1250">
        <v>11</v>
      </c>
      <c r="N1250" s="7" t="s">
        <v>23</v>
      </c>
      <c r="O1250" t="s">
        <v>31</v>
      </c>
      <c r="P1250" t="s">
        <v>907</v>
      </c>
      <c r="Q1250" t="s">
        <v>908</v>
      </c>
      <c r="R1250" t="s">
        <v>909</v>
      </c>
    </row>
    <row r="1251" spans="1:18" hidden="1">
      <c r="A1251">
        <v>12</v>
      </c>
      <c r="B1251" s="4" t="s">
        <v>901</v>
      </c>
      <c r="C1251" s="4" t="s">
        <v>902</v>
      </c>
      <c r="D1251" s="4" t="s">
        <v>903</v>
      </c>
      <c r="E1251" s="4" t="s">
        <v>5804</v>
      </c>
      <c r="F1251" t="s">
        <v>904</v>
      </c>
      <c r="G1251" t="s">
        <v>910</v>
      </c>
      <c r="H1251" t="s">
        <v>21</v>
      </c>
      <c r="I1251">
        <v>3</v>
      </c>
      <c r="J1251" s="5">
        <v>7.0999999999999994E-2</v>
      </c>
      <c r="K1251" t="s">
        <v>60</v>
      </c>
      <c r="L1251" s="6">
        <v>42370</v>
      </c>
      <c r="M1251">
        <v>1</v>
      </c>
      <c r="N1251" s="7" t="s">
        <v>30</v>
      </c>
      <c r="O1251" t="s">
        <v>31</v>
      </c>
      <c r="P1251" t="s">
        <v>911</v>
      </c>
      <c r="Q1251" t="s">
        <v>912</v>
      </c>
      <c r="R1251" t="s">
        <v>913</v>
      </c>
    </row>
    <row r="1252" spans="1:18" hidden="1">
      <c r="A1252">
        <v>12</v>
      </c>
      <c r="B1252" s="4" t="s">
        <v>901</v>
      </c>
      <c r="C1252" s="4" t="s">
        <v>902</v>
      </c>
      <c r="D1252" s="4" t="s">
        <v>903</v>
      </c>
      <c r="E1252" s="4" t="s">
        <v>5804</v>
      </c>
      <c r="F1252" t="s">
        <v>904</v>
      </c>
      <c r="G1252" t="s">
        <v>905</v>
      </c>
      <c r="H1252" t="s">
        <v>53</v>
      </c>
      <c r="I1252" t="s">
        <v>53</v>
      </c>
      <c r="J1252" s="5" t="s">
        <v>53</v>
      </c>
      <c r="K1252" t="s">
        <v>701</v>
      </c>
      <c r="L1252" s="6">
        <v>42491</v>
      </c>
      <c r="M1252">
        <v>5</v>
      </c>
      <c r="N1252" s="7" t="s">
        <v>23</v>
      </c>
      <c r="O1252" t="s">
        <v>31</v>
      </c>
      <c r="P1252" t="s">
        <v>935</v>
      </c>
      <c r="Q1252" t="s">
        <v>912</v>
      </c>
      <c r="R1252" t="s">
        <v>913</v>
      </c>
    </row>
    <row r="1253" spans="1:18" hidden="1">
      <c r="A1253">
        <v>12</v>
      </c>
      <c r="B1253" s="4" t="s">
        <v>901</v>
      </c>
      <c r="C1253" s="4" t="s">
        <v>902</v>
      </c>
      <c r="D1253" s="4" t="s">
        <v>903</v>
      </c>
      <c r="E1253" s="4" t="s">
        <v>5804</v>
      </c>
      <c r="F1253" t="s">
        <v>904</v>
      </c>
      <c r="G1253" t="s">
        <v>936</v>
      </c>
      <c r="H1253" t="s">
        <v>21</v>
      </c>
      <c r="I1253">
        <v>3</v>
      </c>
      <c r="J1253" s="5">
        <v>7.0999999999999994E-2</v>
      </c>
      <c r="K1253" t="s">
        <v>701</v>
      </c>
      <c r="L1253" s="6">
        <v>42491</v>
      </c>
      <c r="M1253">
        <v>5</v>
      </c>
      <c r="N1253" s="7" t="s">
        <v>23</v>
      </c>
      <c r="O1253" t="s">
        <v>31</v>
      </c>
      <c r="P1253" t="s">
        <v>937</v>
      </c>
      <c r="Q1253" t="s">
        <v>938</v>
      </c>
      <c r="R1253" t="s">
        <v>939</v>
      </c>
    </row>
    <row r="1254" spans="1:18" hidden="1">
      <c r="A1254">
        <v>12</v>
      </c>
      <c r="B1254" s="4" t="s">
        <v>901</v>
      </c>
      <c r="C1254" s="4" t="s">
        <v>902</v>
      </c>
      <c r="D1254" s="4" t="s">
        <v>903</v>
      </c>
      <c r="E1254" s="4" t="s">
        <v>5804</v>
      </c>
      <c r="F1254" t="s">
        <v>904</v>
      </c>
      <c r="G1254" t="s">
        <v>910</v>
      </c>
      <c r="H1254" t="s">
        <v>21</v>
      </c>
      <c r="I1254">
        <v>3</v>
      </c>
      <c r="J1254" s="5">
        <v>7.0999999999999994E-2</v>
      </c>
      <c r="K1254" t="s">
        <v>71</v>
      </c>
      <c r="L1254" s="6">
        <v>42522</v>
      </c>
      <c r="M1254">
        <v>6</v>
      </c>
      <c r="N1254" s="7" t="s">
        <v>55</v>
      </c>
      <c r="O1254" t="s">
        <v>31</v>
      </c>
      <c r="P1254" t="s">
        <v>940</v>
      </c>
      <c r="Q1254" t="s">
        <v>941</v>
      </c>
      <c r="R1254" t="s">
        <v>917</v>
      </c>
    </row>
    <row r="1255" spans="1:18" hidden="1">
      <c r="A1255">
        <v>12</v>
      </c>
      <c r="B1255" s="4" t="s">
        <v>901</v>
      </c>
      <c r="C1255" s="4" t="s">
        <v>902</v>
      </c>
      <c r="D1255" s="4" t="s">
        <v>903</v>
      </c>
      <c r="E1255" s="4" t="s">
        <v>5804</v>
      </c>
      <c r="F1255" t="s">
        <v>904</v>
      </c>
      <c r="G1255" t="s">
        <v>910</v>
      </c>
      <c r="H1255" t="s">
        <v>21</v>
      </c>
      <c r="I1255">
        <v>3</v>
      </c>
      <c r="J1255" s="5">
        <v>7.0999999999999994E-2</v>
      </c>
      <c r="K1255" t="s">
        <v>218</v>
      </c>
      <c r="L1255" s="6">
        <v>42614</v>
      </c>
      <c r="M1255">
        <v>9</v>
      </c>
      <c r="N1255" s="7" t="s">
        <v>23</v>
      </c>
      <c r="O1255" t="s">
        <v>31</v>
      </c>
      <c r="P1255" t="s">
        <v>948</v>
      </c>
      <c r="Q1255" t="s">
        <v>949</v>
      </c>
      <c r="R1255" t="s">
        <v>917</v>
      </c>
    </row>
    <row r="1256" spans="1:18" hidden="1">
      <c r="A1256">
        <v>12</v>
      </c>
      <c r="B1256" s="4" t="s">
        <v>901</v>
      </c>
      <c r="C1256" s="4" t="s">
        <v>902</v>
      </c>
      <c r="D1256" s="4" t="s">
        <v>903</v>
      </c>
      <c r="E1256" s="4" t="s">
        <v>5804</v>
      </c>
      <c r="F1256" t="s">
        <v>904</v>
      </c>
      <c r="G1256" t="s">
        <v>987</v>
      </c>
      <c r="H1256" t="s">
        <v>53</v>
      </c>
      <c r="I1256" t="s">
        <v>53</v>
      </c>
      <c r="J1256" s="5" t="s">
        <v>53</v>
      </c>
      <c r="K1256" t="s">
        <v>128</v>
      </c>
      <c r="L1256" s="6">
        <v>42795</v>
      </c>
      <c r="M1256">
        <v>3</v>
      </c>
      <c r="N1256" s="7" t="s">
        <v>23</v>
      </c>
      <c r="O1256" t="s">
        <v>31</v>
      </c>
      <c r="P1256" t="s">
        <v>988</v>
      </c>
      <c r="Q1256" t="s">
        <v>912</v>
      </c>
      <c r="R1256" t="s">
        <v>913</v>
      </c>
    </row>
    <row r="1257" spans="1:18" hidden="1">
      <c r="A1257">
        <v>12</v>
      </c>
      <c r="B1257" s="4" t="s">
        <v>901</v>
      </c>
      <c r="C1257" s="4" t="s">
        <v>902</v>
      </c>
      <c r="D1257" s="4" t="s">
        <v>903</v>
      </c>
      <c r="E1257" s="4" t="s">
        <v>5804</v>
      </c>
      <c r="F1257" t="s">
        <v>904</v>
      </c>
      <c r="G1257" t="s">
        <v>910</v>
      </c>
      <c r="H1257" t="s">
        <v>21</v>
      </c>
      <c r="I1257">
        <v>3</v>
      </c>
      <c r="J1257" s="5">
        <v>7.0999999999999994E-2</v>
      </c>
      <c r="K1257" t="s">
        <v>80</v>
      </c>
      <c r="L1257" s="6">
        <v>42917</v>
      </c>
      <c r="M1257">
        <v>7</v>
      </c>
      <c r="N1257" s="7" t="s">
        <v>55</v>
      </c>
      <c r="O1257" t="s">
        <v>31</v>
      </c>
      <c r="P1257" t="s">
        <v>996</v>
      </c>
      <c r="Q1257" t="s">
        <v>997</v>
      </c>
      <c r="R1257" t="s">
        <v>998</v>
      </c>
    </row>
    <row r="1258" spans="1:18" hidden="1">
      <c r="A1258">
        <v>12</v>
      </c>
      <c r="B1258" s="4" t="s">
        <v>901</v>
      </c>
      <c r="C1258" s="4" t="s">
        <v>902</v>
      </c>
      <c r="D1258" s="4" t="s">
        <v>903</v>
      </c>
      <c r="E1258" s="4" t="s">
        <v>5804</v>
      </c>
      <c r="F1258" t="s">
        <v>904</v>
      </c>
      <c r="G1258" t="s">
        <v>910</v>
      </c>
      <c r="H1258" t="s">
        <v>21</v>
      </c>
      <c r="I1258">
        <v>3</v>
      </c>
      <c r="J1258" s="5">
        <v>7.0999999999999994E-2</v>
      </c>
      <c r="K1258" t="s">
        <v>85</v>
      </c>
      <c r="L1258" s="6">
        <v>43009</v>
      </c>
      <c r="M1258">
        <v>10</v>
      </c>
      <c r="N1258" s="7" t="s">
        <v>23</v>
      </c>
      <c r="O1258" t="s">
        <v>31</v>
      </c>
      <c r="P1258" t="s">
        <v>999</v>
      </c>
      <c r="Q1258" t="s">
        <v>912</v>
      </c>
      <c r="R1258" t="s">
        <v>913</v>
      </c>
    </row>
    <row r="1259" spans="1:18" hidden="1">
      <c r="A1259">
        <v>12</v>
      </c>
      <c r="B1259" s="4" t="s">
        <v>901</v>
      </c>
      <c r="C1259" s="4" t="s">
        <v>902</v>
      </c>
      <c r="D1259" s="4" t="s">
        <v>903</v>
      </c>
      <c r="E1259" s="4" t="s">
        <v>5804</v>
      </c>
      <c r="F1259" t="s">
        <v>904</v>
      </c>
      <c r="G1259" t="s">
        <v>910</v>
      </c>
      <c r="H1259" t="s">
        <v>21</v>
      </c>
      <c r="I1259">
        <v>3</v>
      </c>
      <c r="J1259" s="5">
        <v>7.0999999999999994E-2</v>
      </c>
      <c r="K1259" t="s">
        <v>87</v>
      </c>
      <c r="L1259" s="6">
        <v>43040</v>
      </c>
      <c r="M1259">
        <v>11</v>
      </c>
      <c r="N1259" s="7" t="s">
        <v>23</v>
      </c>
      <c r="O1259" t="s">
        <v>31</v>
      </c>
      <c r="P1259" t="s">
        <v>1004</v>
      </c>
      <c r="Q1259" t="s">
        <v>912</v>
      </c>
      <c r="R1259" t="s">
        <v>913</v>
      </c>
    </row>
    <row r="1260" spans="1:18" hidden="1">
      <c r="A1260">
        <v>12</v>
      </c>
      <c r="B1260" s="4" t="s">
        <v>901</v>
      </c>
      <c r="C1260" s="4" t="s">
        <v>902</v>
      </c>
      <c r="D1260" s="4" t="s">
        <v>903</v>
      </c>
      <c r="E1260" s="4" t="s">
        <v>5804</v>
      </c>
      <c r="F1260" t="s">
        <v>904</v>
      </c>
      <c r="G1260" t="s">
        <v>905</v>
      </c>
      <c r="H1260" t="s">
        <v>53</v>
      </c>
      <c r="I1260" t="s">
        <v>53</v>
      </c>
      <c r="J1260" s="5" t="s">
        <v>53</v>
      </c>
      <c r="K1260" t="s">
        <v>1012</v>
      </c>
      <c r="L1260" s="6">
        <v>43132</v>
      </c>
      <c r="M1260">
        <v>2</v>
      </c>
      <c r="N1260" s="7" t="s">
        <v>30</v>
      </c>
      <c r="O1260" t="s">
        <v>31</v>
      </c>
      <c r="P1260" t="s">
        <v>1014</v>
      </c>
      <c r="Q1260" t="s">
        <v>1015</v>
      </c>
      <c r="R1260" t="s">
        <v>1016</v>
      </c>
    </row>
    <row r="1261" spans="1:18" hidden="1">
      <c r="A1261">
        <v>12</v>
      </c>
      <c r="B1261" s="4" t="s">
        <v>901</v>
      </c>
      <c r="C1261" s="4" t="s">
        <v>902</v>
      </c>
      <c r="D1261" s="4" t="s">
        <v>903</v>
      </c>
      <c r="E1261" s="4" t="s">
        <v>5804</v>
      </c>
      <c r="F1261" t="s">
        <v>904</v>
      </c>
      <c r="G1261" t="s">
        <v>936</v>
      </c>
      <c r="H1261" t="s">
        <v>21</v>
      </c>
      <c r="I1261">
        <v>3</v>
      </c>
      <c r="J1261" s="5">
        <v>7.0999999999999994E-2</v>
      </c>
      <c r="K1261" t="s">
        <v>35</v>
      </c>
      <c r="L1261" s="6">
        <v>43160</v>
      </c>
      <c r="M1261">
        <v>3</v>
      </c>
      <c r="N1261" s="7" t="s">
        <v>23</v>
      </c>
      <c r="O1261" t="s">
        <v>31</v>
      </c>
      <c r="P1261" t="s">
        <v>1021</v>
      </c>
      <c r="Q1261" t="s">
        <v>938</v>
      </c>
      <c r="R1261" t="s">
        <v>939</v>
      </c>
    </row>
    <row r="1262" spans="1:18" hidden="1">
      <c r="A1262">
        <v>12</v>
      </c>
      <c r="B1262" s="4" t="s">
        <v>901</v>
      </c>
      <c r="C1262" s="4" t="s">
        <v>902</v>
      </c>
      <c r="D1262" s="4" t="s">
        <v>903</v>
      </c>
      <c r="E1262" s="4" t="s">
        <v>5804</v>
      </c>
      <c r="F1262" t="s">
        <v>904</v>
      </c>
      <c r="G1262" t="s">
        <v>936</v>
      </c>
      <c r="H1262" t="s">
        <v>21</v>
      </c>
      <c r="I1262">
        <v>3</v>
      </c>
      <c r="J1262" s="5">
        <v>7.0999999999999994E-2</v>
      </c>
      <c r="K1262" t="s">
        <v>35</v>
      </c>
      <c r="L1262" s="6">
        <v>43160</v>
      </c>
      <c r="M1262">
        <v>3</v>
      </c>
      <c r="N1262" s="7" t="s">
        <v>23</v>
      </c>
      <c r="O1262" t="s">
        <v>31</v>
      </c>
      <c r="P1262" t="s">
        <v>1022</v>
      </c>
      <c r="Q1262" t="s">
        <v>938</v>
      </c>
      <c r="R1262" t="s">
        <v>939</v>
      </c>
    </row>
    <row r="1263" spans="1:18" hidden="1">
      <c r="A1263">
        <v>12</v>
      </c>
      <c r="B1263" s="4" t="s">
        <v>901</v>
      </c>
      <c r="C1263" s="4" t="s">
        <v>902</v>
      </c>
      <c r="D1263" s="4" t="s">
        <v>903</v>
      </c>
      <c r="E1263" s="4" t="s">
        <v>5804</v>
      </c>
      <c r="F1263" t="s">
        <v>904</v>
      </c>
      <c r="G1263" t="s">
        <v>910</v>
      </c>
      <c r="H1263" t="s">
        <v>21</v>
      </c>
      <c r="I1263">
        <v>3</v>
      </c>
      <c r="J1263" s="5">
        <v>7.0999999999999994E-2</v>
      </c>
      <c r="K1263" t="s">
        <v>295</v>
      </c>
      <c r="L1263" s="6">
        <v>43221</v>
      </c>
      <c r="M1263">
        <v>5</v>
      </c>
      <c r="N1263" s="7" t="s">
        <v>23</v>
      </c>
      <c r="O1263" t="s">
        <v>31</v>
      </c>
      <c r="P1263" t="s">
        <v>1032</v>
      </c>
      <c r="Q1263" t="s">
        <v>938</v>
      </c>
      <c r="R1263" t="s">
        <v>1033</v>
      </c>
    </row>
    <row r="1264" spans="1:18" hidden="1">
      <c r="A1264">
        <v>12</v>
      </c>
      <c r="B1264" s="4" t="s">
        <v>901</v>
      </c>
      <c r="C1264" s="4" t="s">
        <v>902</v>
      </c>
      <c r="D1264" s="4" t="s">
        <v>903</v>
      </c>
      <c r="E1264" s="4" t="s">
        <v>5804</v>
      </c>
      <c r="F1264" t="s">
        <v>904</v>
      </c>
      <c r="G1264" t="s">
        <v>910</v>
      </c>
      <c r="H1264" t="s">
        <v>21</v>
      </c>
      <c r="I1264">
        <v>3</v>
      </c>
      <c r="J1264" s="5">
        <v>7.0999999999999994E-2</v>
      </c>
      <c r="K1264" t="s">
        <v>146</v>
      </c>
      <c r="L1264" s="6">
        <v>43313</v>
      </c>
      <c r="M1264">
        <v>8</v>
      </c>
      <c r="N1264" s="7" t="s">
        <v>55</v>
      </c>
      <c r="O1264" t="s">
        <v>31</v>
      </c>
      <c r="P1264" t="s">
        <v>1049</v>
      </c>
      <c r="Q1264" t="s">
        <v>912</v>
      </c>
      <c r="R1264" t="s">
        <v>913</v>
      </c>
    </row>
    <row r="1265" spans="1:18" hidden="1">
      <c r="A1265">
        <v>12</v>
      </c>
      <c r="B1265" s="4" t="s">
        <v>901</v>
      </c>
      <c r="C1265" s="4" t="s">
        <v>902</v>
      </c>
      <c r="D1265" s="4" t="s">
        <v>903</v>
      </c>
      <c r="E1265" s="4" t="s">
        <v>5804</v>
      </c>
      <c r="F1265" t="s">
        <v>904</v>
      </c>
      <c r="G1265" t="s">
        <v>910</v>
      </c>
      <c r="H1265" t="s">
        <v>21</v>
      </c>
      <c r="I1265">
        <v>3</v>
      </c>
      <c r="J1265" s="5">
        <v>7.0999999999999994E-2</v>
      </c>
      <c r="K1265" t="s">
        <v>1050</v>
      </c>
      <c r="L1265" s="6">
        <v>43313</v>
      </c>
      <c r="M1265">
        <v>8</v>
      </c>
      <c r="N1265" s="7" t="s">
        <v>55</v>
      </c>
      <c r="O1265" t="s">
        <v>31</v>
      </c>
      <c r="P1265" t="s">
        <v>1051</v>
      </c>
      <c r="Q1265" t="s">
        <v>941</v>
      </c>
      <c r="R1265" t="s">
        <v>917</v>
      </c>
    </row>
    <row r="1266" spans="1:18" hidden="1">
      <c r="A1266">
        <v>12</v>
      </c>
      <c r="B1266" s="4" t="s">
        <v>901</v>
      </c>
      <c r="C1266" s="4" t="s">
        <v>902</v>
      </c>
      <c r="D1266" s="4" t="s">
        <v>903</v>
      </c>
      <c r="E1266" s="4" t="s">
        <v>5804</v>
      </c>
      <c r="F1266" t="s">
        <v>904</v>
      </c>
      <c r="G1266" t="s">
        <v>910</v>
      </c>
      <c r="H1266" t="s">
        <v>21</v>
      </c>
      <c r="I1266">
        <v>3</v>
      </c>
      <c r="J1266" s="5">
        <v>7.0999999999999994E-2</v>
      </c>
      <c r="K1266" t="s">
        <v>395</v>
      </c>
      <c r="L1266" s="6">
        <v>43497</v>
      </c>
      <c r="M1266">
        <v>2</v>
      </c>
      <c r="N1266" s="7" t="s">
        <v>30</v>
      </c>
      <c r="O1266" t="s">
        <v>31</v>
      </c>
      <c r="P1266" t="s">
        <v>1062</v>
      </c>
      <c r="Q1266" t="s">
        <v>912</v>
      </c>
      <c r="R1266" t="s">
        <v>913</v>
      </c>
    </row>
    <row r="1267" spans="1:18" hidden="1">
      <c r="A1267">
        <v>12</v>
      </c>
      <c r="B1267" s="4" t="s">
        <v>901</v>
      </c>
      <c r="C1267" s="4" t="s">
        <v>902</v>
      </c>
      <c r="D1267" s="4" t="s">
        <v>903</v>
      </c>
      <c r="E1267" s="4" t="s">
        <v>5804</v>
      </c>
      <c r="F1267" t="s">
        <v>904</v>
      </c>
      <c r="G1267" t="s">
        <v>936</v>
      </c>
      <c r="H1267" t="s">
        <v>21</v>
      </c>
      <c r="I1267">
        <v>3</v>
      </c>
      <c r="J1267" s="5">
        <v>7.0999999999999994E-2</v>
      </c>
      <c r="K1267" t="s">
        <v>395</v>
      </c>
      <c r="L1267" s="6">
        <v>43497</v>
      </c>
      <c r="M1267">
        <v>2</v>
      </c>
      <c r="N1267" s="7" t="s">
        <v>30</v>
      </c>
      <c r="O1267" t="s">
        <v>31</v>
      </c>
      <c r="P1267" t="s">
        <v>1063</v>
      </c>
      <c r="Q1267" t="s">
        <v>938</v>
      </c>
      <c r="R1267" t="s">
        <v>939</v>
      </c>
    </row>
    <row r="1268" spans="1:18" hidden="1">
      <c r="A1268">
        <v>12</v>
      </c>
      <c r="B1268" s="4" t="s">
        <v>901</v>
      </c>
      <c r="C1268" s="4" t="s">
        <v>902</v>
      </c>
      <c r="D1268" s="4" t="s">
        <v>903</v>
      </c>
      <c r="E1268" s="4" t="s">
        <v>5804</v>
      </c>
      <c r="F1268" t="s">
        <v>904</v>
      </c>
      <c r="G1268" t="s">
        <v>910</v>
      </c>
      <c r="H1268" t="s">
        <v>21</v>
      </c>
      <c r="I1268">
        <v>3</v>
      </c>
      <c r="J1268" s="5">
        <v>7.0999999999999994E-2</v>
      </c>
      <c r="K1268" t="s">
        <v>43</v>
      </c>
      <c r="L1268" s="6">
        <v>43525</v>
      </c>
      <c r="M1268">
        <v>3</v>
      </c>
      <c r="N1268" s="7" t="s">
        <v>23</v>
      </c>
      <c r="O1268" t="s">
        <v>31</v>
      </c>
      <c r="P1268" t="s">
        <v>1064</v>
      </c>
      <c r="Q1268" t="s">
        <v>1065</v>
      </c>
      <c r="R1268" t="s">
        <v>917</v>
      </c>
    </row>
    <row r="1269" spans="1:18" hidden="1">
      <c r="A1269">
        <v>12</v>
      </c>
      <c r="B1269" s="4" t="s">
        <v>901</v>
      </c>
      <c r="C1269" s="4" t="s">
        <v>902</v>
      </c>
      <c r="D1269" s="4" t="s">
        <v>903</v>
      </c>
      <c r="E1269" s="4" t="s">
        <v>5804</v>
      </c>
      <c r="F1269" t="s">
        <v>904</v>
      </c>
      <c r="G1269" t="s">
        <v>910</v>
      </c>
      <c r="H1269" t="s">
        <v>21</v>
      </c>
      <c r="I1269">
        <v>3</v>
      </c>
      <c r="J1269" s="5">
        <v>7.0999999999999994E-2</v>
      </c>
      <c r="K1269" t="s">
        <v>357</v>
      </c>
      <c r="L1269" s="6">
        <v>43739</v>
      </c>
      <c r="M1269">
        <v>10</v>
      </c>
      <c r="N1269" s="7" t="s">
        <v>23</v>
      </c>
      <c r="O1269" t="s">
        <v>31</v>
      </c>
      <c r="P1269" t="s">
        <v>1077</v>
      </c>
      <c r="Q1269" t="s">
        <v>1067</v>
      </c>
      <c r="R1269" t="s">
        <v>1068</v>
      </c>
    </row>
    <row r="1270" spans="1:18" hidden="1">
      <c r="A1270">
        <v>12</v>
      </c>
      <c r="B1270" s="4" t="s">
        <v>901</v>
      </c>
      <c r="C1270" s="4" t="s">
        <v>902</v>
      </c>
      <c r="D1270" s="4" t="s">
        <v>903</v>
      </c>
      <c r="E1270" s="4" t="s">
        <v>5804</v>
      </c>
      <c r="F1270" t="s">
        <v>904</v>
      </c>
      <c r="G1270" t="s">
        <v>910</v>
      </c>
      <c r="H1270" t="s">
        <v>21</v>
      </c>
      <c r="I1270">
        <v>3</v>
      </c>
      <c r="J1270" s="5">
        <v>7.0999999999999994E-2</v>
      </c>
      <c r="K1270" t="s">
        <v>1085</v>
      </c>
      <c r="L1270" s="6">
        <v>43862</v>
      </c>
      <c r="M1270">
        <v>2</v>
      </c>
      <c r="N1270" s="7" t="s">
        <v>30</v>
      </c>
      <c r="O1270" t="s">
        <v>31</v>
      </c>
      <c r="P1270" t="s">
        <v>1086</v>
      </c>
      <c r="Q1270" t="s">
        <v>912</v>
      </c>
      <c r="R1270" t="s">
        <v>913</v>
      </c>
    </row>
    <row r="1271" spans="1:18" hidden="1">
      <c r="A1271">
        <v>12</v>
      </c>
      <c r="B1271" s="4" t="s">
        <v>901</v>
      </c>
      <c r="C1271" s="4" t="s">
        <v>902</v>
      </c>
      <c r="D1271" s="4" t="s">
        <v>903</v>
      </c>
      <c r="E1271" s="4" t="s">
        <v>5804</v>
      </c>
      <c r="F1271" t="s">
        <v>904</v>
      </c>
      <c r="G1271" t="s">
        <v>987</v>
      </c>
      <c r="H1271" t="s">
        <v>53</v>
      </c>
      <c r="I1271" t="s">
        <v>53</v>
      </c>
      <c r="J1271" s="5" t="s">
        <v>53</v>
      </c>
      <c r="K1271" t="s">
        <v>99</v>
      </c>
      <c r="L1271" s="6">
        <v>43891</v>
      </c>
      <c r="M1271">
        <v>3</v>
      </c>
      <c r="N1271" s="7" t="s">
        <v>23</v>
      </c>
      <c r="O1271" t="s">
        <v>31</v>
      </c>
      <c r="P1271" t="s">
        <v>1092</v>
      </c>
      <c r="Q1271" t="s">
        <v>912</v>
      </c>
      <c r="R1271" t="s">
        <v>913</v>
      </c>
    </row>
    <row r="1272" spans="1:18" hidden="1">
      <c r="A1272">
        <v>12</v>
      </c>
      <c r="B1272" s="4" t="s">
        <v>901</v>
      </c>
      <c r="C1272" s="4" t="s">
        <v>902</v>
      </c>
      <c r="D1272" s="4" t="s">
        <v>903</v>
      </c>
      <c r="E1272" s="4" t="s">
        <v>5804</v>
      </c>
      <c r="F1272" t="s">
        <v>904</v>
      </c>
      <c r="G1272" t="s">
        <v>910</v>
      </c>
      <c r="H1272" t="s">
        <v>21</v>
      </c>
      <c r="I1272">
        <v>3</v>
      </c>
      <c r="J1272" s="5">
        <v>7.0999999999999994E-2</v>
      </c>
      <c r="K1272" t="s">
        <v>251</v>
      </c>
      <c r="L1272" s="6">
        <v>43952</v>
      </c>
      <c r="M1272">
        <v>5</v>
      </c>
      <c r="N1272" s="7" t="s">
        <v>23</v>
      </c>
      <c r="O1272" t="s">
        <v>31</v>
      </c>
      <c r="P1272" t="s">
        <v>1100</v>
      </c>
      <c r="Q1272" t="s">
        <v>912</v>
      </c>
      <c r="R1272" t="s">
        <v>913</v>
      </c>
    </row>
    <row r="1273" spans="1:18" hidden="1">
      <c r="A1273">
        <v>12</v>
      </c>
      <c r="B1273" s="4" t="s">
        <v>901</v>
      </c>
      <c r="C1273" s="4" t="s">
        <v>902</v>
      </c>
      <c r="D1273" s="4" t="s">
        <v>903</v>
      </c>
      <c r="E1273" s="4" t="s">
        <v>5804</v>
      </c>
      <c r="F1273" t="s">
        <v>904</v>
      </c>
      <c r="G1273" t="s">
        <v>910</v>
      </c>
      <c r="H1273" t="s">
        <v>21</v>
      </c>
      <c r="I1273">
        <v>3</v>
      </c>
      <c r="J1273" s="5">
        <v>7.0999999999999994E-2</v>
      </c>
      <c r="K1273" t="s">
        <v>251</v>
      </c>
      <c r="L1273" s="6">
        <v>43952</v>
      </c>
      <c r="M1273">
        <v>5</v>
      </c>
      <c r="N1273" s="7" t="s">
        <v>23</v>
      </c>
      <c r="O1273" t="s">
        <v>31</v>
      </c>
      <c r="P1273" t="s">
        <v>1101</v>
      </c>
      <c r="Q1273" t="s">
        <v>912</v>
      </c>
      <c r="R1273" t="s">
        <v>913</v>
      </c>
    </row>
    <row r="1274" spans="1:18" hidden="1">
      <c r="A1274">
        <v>12</v>
      </c>
      <c r="B1274" s="4" t="s">
        <v>901</v>
      </c>
      <c r="C1274" s="4" t="s">
        <v>902</v>
      </c>
      <c r="D1274" s="4" t="s">
        <v>903</v>
      </c>
      <c r="E1274" s="4" t="s">
        <v>5804</v>
      </c>
      <c r="F1274" t="s">
        <v>904</v>
      </c>
      <c r="G1274" t="s">
        <v>910</v>
      </c>
      <c r="H1274" t="s">
        <v>21</v>
      </c>
      <c r="I1274">
        <v>3</v>
      </c>
      <c r="J1274" s="5">
        <v>7.0999999999999994E-2</v>
      </c>
      <c r="K1274" t="s">
        <v>251</v>
      </c>
      <c r="L1274" s="6">
        <v>43952</v>
      </c>
      <c r="M1274">
        <v>5</v>
      </c>
      <c r="N1274" s="7" t="s">
        <v>23</v>
      </c>
      <c r="O1274" t="s">
        <v>31</v>
      </c>
      <c r="P1274" t="s">
        <v>1102</v>
      </c>
      <c r="Q1274" t="s">
        <v>912</v>
      </c>
      <c r="R1274" t="s">
        <v>913</v>
      </c>
    </row>
    <row r="1275" spans="1:18" hidden="1">
      <c r="A1275">
        <v>12</v>
      </c>
      <c r="B1275" s="4" t="s">
        <v>901</v>
      </c>
      <c r="C1275" s="4" t="s">
        <v>902</v>
      </c>
      <c r="D1275" s="4" t="s">
        <v>903</v>
      </c>
      <c r="E1275" s="4" t="s">
        <v>5804</v>
      </c>
      <c r="F1275" t="s">
        <v>904</v>
      </c>
      <c r="G1275" t="s">
        <v>987</v>
      </c>
      <c r="H1275" t="s">
        <v>53</v>
      </c>
      <c r="I1275" t="s">
        <v>53</v>
      </c>
      <c r="J1275" s="5" t="s">
        <v>53</v>
      </c>
      <c r="K1275" t="s">
        <v>251</v>
      </c>
      <c r="L1275" s="6">
        <v>43952</v>
      </c>
      <c r="M1275">
        <v>5</v>
      </c>
      <c r="N1275" s="7" t="s">
        <v>23</v>
      </c>
      <c r="O1275" t="s">
        <v>31</v>
      </c>
      <c r="P1275" t="s">
        <v>1104</v>
      </c>
      <c r="Q1275" t="s">
        <v>912</v>
      </c>
      <c r="R1275" t="s">
        <v>913</v>
      </c>
    </row>
    <row r="1276" spans="1:18" hidden="1">
      <c r="A1276">
        <v>12</v>
      </c>
      <c r="B1276" s="4" t="s">
        <v>901</v>
      </c>
      <c r="C1276" s="4" t="s">
        <v>902</v>
      </c>
      <c r="D1276" s="4" t="s">
        <v>903</v>
      </c>
      <c r="E1276" s="4" t="s">
        <v>5804</v>
      </c>
      <c r="F1276" t="s">
        <v>904</v>
      </c>
      <c r="G1276" t="s">
        <v>910</v>
      </c>
      <c r="H1276" t="s">
        <v>21</v>
      </c>
      <c r="I1276">
        <v>3</v>
      </c>
      <c r="J1276" s="5">
        <v>7.0999999999999994E-2</v>
      </c>
      <c r="K1276" t="s">
        <v>365</v>
      </c>
      <c r="L1276" s="6">
        <v>44105</v>
      </c>
      <c r="M1276">
        <v>10</v>
      </c>
      <c r="N1276" s="7" t="s">
        <v>23</v>
      </c>
      <c r="O1276" t="s">
        <v>31</v>
      </c>
      <c r="P1276" t="s">
        <v>1122</v>
      </c>
      <c r="Q1276" t="s">
        <v>941</v>
      </c>
      <c r="R1276" t="s">
        <v>917</v>
      </c>
    </row>
    <row r="1277" spans="1:18" hidden="1">
      <c r="A1277">
        <v>12</v>
      </c>
      <c r="B1277" s="4" t="s">
        <v>901</v>
      </c>
      <c r="C1277" s="4" t="s">
        <v>902</v>
      </c>
      <c r="D1277" s="4" t="s">
        <v>903</v>
      </c>
      <c r="E1277" s="4" t="s">
        <v>5804</v>
      </c>
      <c r="F1277" t="s">
        <v>904</v>
      </c>
      <c r="G1277" t="s">
        <v>905</v>
      </c>
      <c r="H1277" t="s">
        <v>53</v>
      </c>
      <c r="I1277" t="s">
        <v>53</v>
      </c>
      <c r="J1277" s="5" t="s">
        <v>53</v>
      </c>
      <c r="K1277" t="s">
        <v>753</v>
      </c>
      <c r="L1277" s="6">
        <v>44348</v>
      </c>
      <c r="M1277">
        <v>6</v>
      </c>
      <c r="N1277" s="7" t="s">
        <v>55</v>
      </c>
      <c r="O1277" t="s">
        <v>31</v>
      </c>
      <c r="P1277" t="s">
        <v>1137</v>
      </c>
      <c r="Q1277" t="s">
        <v>1138</v>
      </c>
      <c r="R1277" t="s">
        <v>1139</v>
      </c>
    </row>
    <row r="1278" spans="1:18" hidden="1">
      <c r="A1278">
        <v>12</v>
      </c>
      <c r="B1278" s="4" t="s">
        <v>901</v>
      </c>
      <c r="C1278" s="4" t="s">
        <v>902</v>
      </c>
      <c r="D1278" s="4" t="s">
        <v>903</v>
      </c>
      <c r="E1278" s="4" t="s">
        <v>5804</v>
      </c>
      <c r="F1278" t="s">
        <v>904</v>
      </c>
      <c r="G1278" t="s">
        <v>910</v>
      </c>
      <c r="H1278" t="s">
        <v>21</v>
      </c>
      <c r="I1278">
        <v>3</v>
      </c>
      <c r="J1278" s="5">
        <v>7.0999999999999994E-2</v>
      </c>
      <c r="K1278" t="s">
        <v>377</v>
      </c>
      <c r="L1278" s="6">
        <v>44470</v>
      </c>
      <c r="M1278">
        <v>10</v>
      </c>
      <c r="N1278" s="7" t="s">
        <v>23</v>
      </c>
      <c r="O1278" t="s">
        <v>31</v>
      </c>
      <c r="P1278" t="s">
        <v>1147</v>
      </c>
      <c r="Q1278" t="s">
        <v>912</v>
      </c>
      <c r="R1278" t="s">
        <v>913</v>
      </c>
    </row>
    <row r="1279" spans="1:18" hidden="1">
      <c r="A1279">
        <v>12</v>
      </c>
      <c r="B1279" s="4" t="s">
        <v>901</v>
      </c>
      <c r="C1279" s="4" t="s">
        <v>902</v>
      </c>
      <c r="D1279" s="4" t="s">
        <v>903</v>
      </c>
      <c r="E1279" s="4" t="s">
        <v>5804</v>
      </c>
      <c r="F1279" t="s">
        <v>904</v>
      </c>
      <c r="G1279" t="s">
        <v>910</v>
      </c>
      <c r="H1279" t="s">
        <v>21</v>
      </c>
      <c r="I1279">
        <v>3</v>
      </c>
      <c r="J1279" s="5">
        <v>7.0999999999999994E-2</v>
      </c>
      <c r="K1279" t="s">
        <v>182</v>
      </c>
      <c r="L1279" s="6">
        <v>44501</v>
      </c>
      <c r="M1279">
        <v>11</v>
      </c>
      <c r="N1279" s="7" t="s">
        <v>23</v>
      </c>
      <c r="O1279" t="s">
        <v>88</v>
      </c>
      <c r="P1279" t="s">
        <v>1148</v>
      </c>
      <c r="Q1279" t="s">
        <v>1149</v>
      </c>
      <c r="R1279" t="s">
        <v>1150</v>
      </c>
    </row>
    <row r="1280" spans="1:18" hidden="1">
      <c r="A1280">
        <v>12</v>
      </c>
      <c r="B1280" s="4" t="s">
        <v>901</v>
      </c>
      <c r="C1280" s="4" t="s">
        <v>902</v>
      </c>
      <c r="D1280" s="4" t="s">
        <v>903</v>
      </c>
      <c r="E1280" s="4" t="s">
        <v>5804</v>
      </c>
      <c r="F1280" t="s">
        <v>904</v>
      </c>
      <c r="G1280" t="s">
        <v>936</v>
      </c>
      <c r="H1280" t="s">
        <v>21</v>
      </c>
      <c r="I1280">
        <v>3</v>
      </c>
      <c r="J1280" s="5">
        <v>7.0999999999999994E-2</v>
      </c>
      <c r="K1280" t="s">
        <v>1151</v>
      </c>
      <c r="L1280" s="6" t="s">
        <v>673</v>
      </c>
      <c r="M1280" t="e">
        <v>#VALUE!</v>
      </c>
      <c r="N1280" s="7" t="e">
        <v>#VALUE!</v>
      </c>
      <c r="O1280" t="s">
        <v>31</v>
      </c>
      <c r="P1280" t="s">
        <v>1152</v>
      </c>
      <c r="Q1280" t="s">
        <v>938</v>
      </c>
      <c r="R1280" t="s">
        <v>939</v>
      </c>
    </row>
    <row r="1281" spans="1:18" hidden="1">
      <c r="A1281">
        <v>12</v>
      </c>
      <c r="B1281" s="4" t="s">
        <v>901</v>
      </c>
      <c r="C1281" s="4" t="s">
        <v>902</v>
      </c>
      <c r="D1281" s="4" t="s">
        <v>903</v>
      </c>
      <c r="E1281" s="4" t="s">
        <v>5804</v>
      </c>
      <c r="F1281" t="s">
        <v>904</v>
      </c>
      <c r="G1281" t="s">
        <v>910</v>
      </c>
      <c r="H1281" t="s">
        <v>21</v>
      </c>
      <c r="I1281">
        <v>3</v>
      </c>
      <c r="J1281" s="5">
        <v>7.0999999999999994E-2</v>
      </c>
      <c r="K1281" t="s">
        <v>1153</v>
      </c>
      <c r="L1281" s="6" t="s">
        <v>673</v>
      </c>
      <c r="M1281" t="e">
        <v>#VALUE!</v>
      </c>
      <c r="N1281" s="7" t="e">
        <v>#VALUE!</v>
      </c>
      <c r="O1281" t="s">
        <v>31</v>
      </c>
      <c r="P1281" t="s">
        <v>1154</v>
      </c>
      <c r="Q1281" t="s">
        <v>1155</v>
      </c>
      <c r="R1281" t="s">
        <v>1156</v>
      </c>
    </row>
    <row r="1282" spans="1:18" hidden="1">
      <c r="A1282">
        <v>12</v>
      </c>
      <c r="B1282" s="4" t="s">
        <v>901</v>
      </c>
      <c r="C1282" s="4" t="s">
        <v>1414</v>
      </c>
      <c r="D1282" s="4" t="s">
        <v>1420</v>
      </c>
      <c r="E1282" s="4" t="s">
        <v>5804</v>
      </c>
      <c r="F1282" t="s">
        <v>904</v>
      </c>
      <c r="G1282" t="s">
        <v>905</v>
      </c>
      <c r="H1282" t="s">
        <v>53</v>
      </c>
      <c r="I1282" t="s">
        <v>53</v>
      </c>
      <c r="J1282" s="5" t="s">
        <v>53</v>
      </c>
      <c r="K1282" t="s">
        <v>319</v>
      </c>
      <c r="L1282" s="6">
        <v>42583</v>
      </c>
      <c r="M1282">
        <v>8</v>
      </c>
      <c r="N1282" s="7" t="s">
        <v>55</v>
      </c>
      <c r="O1282" t="s">
        <v>31</v>
      </c>
      <c r="P1282" t="s">
        <v>1421</v>
      </c>
      <c r="Q1282" t="s">
        <v>1422</v>
      </c>
      <c r="R1282" t="s">
        <v>1423</v>
      </c>
    </row>
    <row r="1283" spans="1:18" hidden="1">
      <c r="A1283">
        <v>12</v>
      </c>
      <c r="B1283" s="4" t="s">
        <v>901</v>
      </c>
      <c r="C1283" s="4" t="s">
        <v>1672</v>
      </c>
      <c r="D1283" s="4" t="s">
        <v>1673</v>
      </c>
      <c r="E1283" s="4" t="s">
        <v>5804</v>
      </c>
      <c r="F1283" t="s">
        <v>904</v>
      </c>
      <c r="G1283" t="s">
        <v>910</v>
      </c>
      <c r="H1283" t="s">
        <v>21</v>
      </c>
      <c r="I1283">
        <v>3</v>
      </c>
      <c r="J1283" s="5">
        <v>7.0999999999999994E-2</v>
      </c>
      <c r="K1283" t="s">
        <v>1674</v>
      </c>
      <c r="L1283" s="6">
        <v>42005</v>
      </c>
      <c r="M1283">
        <v>1</v>
      </c>
      <c r="N1283" s="7" t="s">
        <v>30</v>
      </c>
      <c r="O1283" t="s">
        <v>31</v>
      </c>
      <c r="P1283" t="s">
        <v>1675</v>
      </c>
      <c r="Q1283" t="s">
        <v>1676</v>
      </c>
      <c r="R1283" t="s">
        <v>1677</v>
      </c>
    </row>
    <row r="1284" spans="1:18" hidden="1">
      <c r="A1284">
        <v>12</v>
      </c>
      <c r="B1284" s="4" t="s">
        <v>901</v>
      </c>
      <c r="C1284" s="4" t="s">
        <v>1672</v>
      </c>
      <c r="D1284" s="4" t="s">
        <v>1673</v>
      </c>
      <c r="E1284" s="4" t="s">
        <v>5804</v>
      </c>
      <c r="F1284" t="s">
        <v>904</v>
      </c>
      <c r="G1284" t="s">
        <v>910</v>
      </c>
      <c r="H1284" t="s">
        <v>21</v>
      </c>
      <c r="I1284">
        <v>3</v>
      </c>
      <c r="J1284" s="5">
        <v>7.0999999999999994E-2</v>
      </c>
      <c r="K1284" t="s">
        <v>365</v>
      </c>
      <c r="L1284" s="6">
        <v>44105</v>
      </c>
      <c r="M1284">
        <v>10</v>
      </c>
      <c r="N1284" s="7" t="s">
        <v>23</v>
      </c>
      <c r="O1284" t="s">
        <v>31</v>
      </c>
      <c r="P1284" t="s">
        <v>1907</v>
      </c>
      <c r="Q1284" t="s">
        <v>1908</v>
      </c>
      <c r="R1284" t="s">
        <v>1909</v>
      </c>
    </row>
    <row r="1285" spans="1:18" hidden="1">
      <c r="A1285">
        <v>2</v>
      </c>
      <c r="B1285" s="4" t="s">
        <v>1952</v>
      </c>
      <c r="C1285" s="4" t="s">
        <v>1953</v>
      </c>
      <c r="D1285" s="4" t="s">
        <v>1954</v>
      </c>
      <c r="E1285" s="4" t="s">
        <v>5804</v>
      </c>
      <c r="F1285" t="s">
        <v>904</v>
      </c>
      <c r="G1285" t="s">
        <v>910</v>
      </c>
      <c r="H1285" t="s">
        <v>21</v>
      </c>
      <c r="I1285">
        <v>3</v>
      </c>
      <c r="J1285" s="5">
        <v>7.0999999999999994E-2</v>
      </c>
      <c r="K1285" t="s">
        <v>245</v>
      </c>
      <c r="L1285" s="6">
        <v>43466</v>
      </c>
      <c r="M1285">
        <v>1</v>
      </c>
      <c r="N1285" s="7" t="s">
        <v>30</v>
      </c>
      <c r="O1285" t="s">
        <v>31</v>
      </c>
      <c r="P1285" t="s">
        <v>2048</v>
      </c>
      <c r="Q1285" t="s">
        <v>2049</v>
      </c>
      <c r="R1285" t="s">
        <v>2050</v>
      </c>
    </row>
    <row r="1286" spans="1:18" hidden="1">
      <c r="A1286">
        <v>2</v>
      </c>
      <c r="B1286" s="4" t="s">
        <v>1952</v>
      </c>
      <c r="C1286" s="4" t="s">
        <v>2566</v>
      </c>
      <c r="D1286" s="4" t="s">
        <v>2620</v>
      </c>
      <c r="E1286" s="4" t="s">
        <v>5804</v>
      </c>
      <c r="F1286" t="s">
        <v>904</v>
      </c>
      <c r="G1286" t="s">
        <v>910</v>
      </c>
      <c r="H1286" t="s">
        <v>21</v>
      </c>
      <c r="I1286">
        <v>3</v>
      </c>
      <c r="J1286" s="5">
        <v>7.0999999999999994E-2</v>
      </c>
      <c r="K1286" t="s">
        <v>76</v>
      </c>
      <c r="L1286" s="6">
        <v>42856</v>
      </c>
      <c r="M1286">
        <v>5</v>
      </c>
      <c r="N1286" s="7" t="s">
        <v>23</v>
      </c>
      <c r="O1286" t="s">
        <v>31</v>
      </c>
      <c r="P1286" t="s">
        <v>2652</v>
      </c>
      <c r="Q1286" t="s">
        <v>2653</v>
      </c>
      <c r="R1286" t="s">
        <v>2654</v>
      </c>
    </row>
    <row r="1287" spans="1:18" hidden="1">
      <c r="A1287">
        <v>2</v>
      </c>
      <c r="B1287" s="4" t="s">
        <v>1952</v>
      </c>
      <c r="C1287" s="4" t="s">
        <v>2566</v>
      </c>
      <c r="D1287" s="4" t="s">
        <v>2735</v>
      </c>
      <c r="E1287" s="4" t="s">
        <v>5804</v>
      </c>
      <c r="F1287" t="s">
        <v>904</v>
      </c>
      <c r="G1287" t="s">
        <v>987</v>
      </c>
      <c r="H1287" t="s">
        <v>53</v>
      </c>
      <c r="I1287" t="s">
        <v>53</v>
      </c>
      <c r="J1287" s="5" t="s">
        <v>53</v>
      </c>
      <c r="K1287" t="s">
        <v>29</v>
      </c>
      <c r="L1287" s="6">
        <v>43070</v>
      </c>
      <c r="M1287">
        <v>12</v>
      </c>
      <c r="N1287" s="7" t="s">
        <v>30</v>
      </c>
      <c r="O1287" t="s">
        <v>979</v>
      </c>
      <c r="P1287" t="s">
        <v>2745</v>
      </c>
      <c r="Q1287" t="s">
        <v>2746</v>
      </c>
      <c r="R1287" t="s">
        <v>2747</v>
      </c>
    </row>
    <row r="1288" spans="1:18">
      <c r="A1288">
        <v>3</v>
      </c>
      <c r="B1288" s="4" t="s">
        <v>2764</v>
      </c>
      <c r="C1288" s="4" t="s">
        <v>2765</v>
      </c>
      <c r="D1288" s="4" t="s">
        <v>2816</v>
      </c>
      <c r="E1288" s="4" t="s">
        <v>5804</v>
      </c>
      <c r="F1288" t="s">
        <v>904</v>
      </c>
      <c r="G1288" t="s">
        <v>910</v>
      </c>
      <c r="H1288" t="s">
        <v>21</v>
      </c>
      <c r="I1288">
        <v>3</v>
      </c>
      <c r="J1288" s="5">
        <v>7.0999999999999994E-2</v>
      </c>
      <c r="K1288" t="s">
        <v>234</v>
      </c>
      <c r="L1288" s="6">
        <v>42826</v>
      </c>
      <c r="M1288">
        <v>4</v>
      </c>
      <c r="N1288" s="7" t="s">
        <v>23</v>
      </c>
      <c r="O1288" t="s">
        <v>31</v>
      </c>
      <c r="P1288" t="s">
        <v>2872</v>
      </c>
      <c r="Q1288" t="s">
        <v>2826</v>
      </c>
      <c r="R1288" t="s">
        <v>2827</v>
      </c>
    </row>
    <row r="1289" spans="1:18">
      <c r="A1289">
        <v>3</v>
      </c>
      <c r="B1289" s="4" t="s">
        <v>2764</v>
      </c>
      <c r="C1289" s="4" t="s">
        <v>2765</v>
      </c>
      <c r="D1289" s="4" t="s">
        <v>2816</v>
      </c>
      <c r="E1289" s="4" t="s">
        <v>5804</v>
      </c>
      <c r="F1289" t="s">
        <v>904</v>
      </c>
      <c r="G1289" t="s">
        <v>910</v>
      </c>
      <c r="H1289" t="s">
        <v>21</v>
      </c>
      <c r="I1289">
        <v>3</v>
      </c>
      <c r="J1289" s="5">
        <v>7.0999999999999994E-2</v>
      </c>
      <c r="K1289" t="s">
        <v>85</v>
      </c>
      <c r="L1289" s="6">
        <v>43009</v>
      </c>
      <c r="M1289">
        <v>10</v>
      </c>
      <c r="N1289" s="7" t="s">
        <v>23</v>
      </c>
      <c r="O1289" t="s">
        <v>31</v>
      </c>
      <c r="P1289" t="s">
        <v>2904</v>
      </c>
      <c r="Q1289" t="s">
        <v>2826</v>
      </c>
      <c r="R1289" t="s">
        <v>2827</v>
      </c>
    </row>
    <row r="1290" spans="1:18">
      <c r="A1290">
        <v>3</v>
      </c>
      <c r="B1290" s="4" t="s">
        <v>2764</v>
      </c>
      <c r="C1290" s="4" t="s">
        <v>2765</v>
      </c>
      <c r="D1290" s="4" t="s">
        <v>2816</v>
      </c>
      <c r="E1290" s="4" t="s">
        <v>5804</v>
      </c>
      <c r="F1290" t="s">
        <v>904</v>
      </c>
      <c r="G1290" t="s">
        <v>987</v>
      </c>
      <c r="H1290" t="s">
        <v>53</v>
      </c>
      <c r="I1290" t="s">
        <v>53</v>
      </c>
      <c r="J1290" s="5" t="s">
        <v>53</v>
      </c>
      <c r="K1290" t="s">
        <v>43</v>
      </c>
      <c r="L1290" s="6">
        <v>43525</v>
      </c>
      <c r="M1290">
        <v>3</v>
      </c>
      <c r="N1290" s="7" t="s">
        <v>23</v>
      </c>
      <c r="O1290" t="s">
        <v>979</v>
      </c>
      <c r="P1290" t="s">
        <v>2957</v>
      </c>
      <c r="Q1290" t="s">
        <v>2958</v>
      </c>
      <c r="R1290" t="s">
        <v>2959</v>
      </c>
    </row>
    <row r="1291" spans="1:18">
      <c r="A1291">
        <v>3</v>
      </c>
      <c r="B1291" s="4" t="s">
        <v>2764</v>
      </c>
      <c r="C1291" s="4" t="s">
        <v>2765</v>
      </c>
      <c r="D1291" s="4" t="s">
        <v>2816</v>
      </c>
      <c r="E1291" s="4" t="s">
        <v>5804</v>
      </c>
      <c r="F1291" t="s">
        <v>904</v>
      </c>
      <c r="G1291" t="s">
        <v>910</v>
      </c>
      <c r="H1291" t="s">
        <v>21</v>
      </c>
      <c r="I1291">
        <v>3</v>
      </c>
      <c r="J1291" s="5">
        <v>7.0999999999999994E-2</v>
      </c>
      <c r="K1291" t="s">
        <v>2168</v>
      </c>
      <c r="L1291" s="6">
        <v>43709</v>
      </c>
      <c r="M1291">
        <v>9</v>
      </c>
      <c r="N1291" s="7" t="s">
        <v>23</v>
      </c>
      <c r="O1291" t="s">
        <v>31</v>
      </c>
      <c r="P1291" t="s">
        <v>2982</v>
      </c>
      <c r="Q1291" t="s">
        <v>2826</v>
      </c>
      <c r="R1291" t="s">
        <v>2827</v>
      </c>
    </row>
    <row r="1292" spans="1:18">
      <c r="A1292">
        <v>3</v>
      </c>
      <c r="B1292" s="4" t="s">
        <v>2764</v>
      </c>
      <c r="C1292" s="4" t="s">
        <v>2765</v>
      </c>
      <c r="D1292" s="4" t="s">
        <v>2816</v>
      </c>
      <c r="E1292" s="4" t="s">
        <v>5804</v>
      </c>
      <c r="F1292" t="s">
        <v>904</v>
      </c>
      <c r="G1292" t="s">
        <v>910</v>
      </c>
      <c r="H1292" t="s">
        <v>21</v>
      </c>
      <c r="I1292">
        <v>3</v>
      </c>
      <c r="J1292" s="5">
        <v>7.0999999999999994E-2</v>
      </c>
      <c r="K1292" t="s">
        <v>102</v>
      </c>
      <c r="L1292" s="6">
        <v>44287</v>
      </c>
      <c r="M1292">
        <v>4</v>
      </c>
      <c r="N1292" s="7" t="s">
        <v>23</v>
      </c>
      <c r="O1292" t="s">
        <v>31</v>
      </c>
      <c r="P1292" t="s">
        <v>3063</v>
      </c>
      <c r="Q1292" t="s">
        <v>2826</v>
      </c>
      <c r="R1292" t="s">
        <v>2827</v>
      </c>
    </row>
    <row r="1293" spans="1:18">
      <c r="A1293">
        <v>3</v>
      </c>
      <c r="B1293" s="4" t="s">
        <v>2764</v>
      </c>
      <c r="C1293" s="4" t="s">
        <v>2765</v>
      </c>
      <c r="D1293" s="4" t="s">
        <v>2816</v>
      </c>
      <c r="E1293" s="4" t="s">
        <v>5804</v>
      </c>
      <c r="F1293" t="s">
        <v>904</v>
      </c>
      <c r="G1293" t="s">
        <v>905</v>
      </c>
      <c r="H1293" t="s">
        <v>53</v>
      </c>
      <c r="I1293" t="s">
        <v>53</v>
      </c>
      <c r="J1293" s="5" t="s">
        <v>53</v>
      </c>
      <c r="K1293" t="s">
        <v>753</v>
      </c>
      <c r="L1293" s="6">
        <v>44348</v>
      </c>
      <c r="M1293">
        <v>6</v>
      </c>
      <c r="N1293" s="7" t="s">
        <v>55</v>
      </c>
      <c r="O1293" t="s">
        <v>31</v>
      </c>
      <c r="P1293" t="s">
        <v>3069</v>
      </c>
      <c r="Q1293" t="s">
        <v>3070</v>
      </c>
      <c r="R1293" t="s">
        <v>3071</v>
      </c>
    </row>
    <row r="1294" spans="1:18" hidden="1">
      <c r="A1294">
        <v>4</v>
      </c>
      <c r="B1294" s="4" t="s">
        <v>3127</v>
      </c>
      <c r="C1294" s="4" t="s">
        <v>3128</v>
      </c>
      <c r="D1294" s="4" t="s">
        <v>3247</v>
      </c>
      <c r="E1294" s="4" t="s">
        <v>5804</v>
      </c>
      <c r="F1294" t="s">
        <v>904</v>
      </c>
      <c r="G1294" t="s">
        <v>910</v>
      </c>
      <c r="H1294" t="s">
        <v>21</v>
      </c>
      <c r="I1294">
        <v>3</v>
      </c>
      <c r="J1294" s="5">
        <v>7.0999999999999994E-2</v>
      </c>
      <c r="K1294" t="s">
        <v>304</v>
      </c>
      <c r="L1294" s="6">
        <v>43647</v>
      </c>
      <c r="M1294">
        <v>7</v>
      </c>
      <c r="N1294" s="7" t="s">
        <v>55</v>
      </c>
      <c r="O1294" t="s">
        <v>88</v>
      </c>
      <c r="P1294" t="s">
        <v>3352</v>
      </c>
      <c r="Q1294" t="s">
        <v>3353</v>
      </c>
      <c r="R1294" t="s">
        <v>3354</v>
      </c>
    </row>
    <row r="1295" spans="1:18" hidden="1">
      <c r="A1295">
        <v>4</v>
      </c>
      <c r="B1295" s="4" t="s">
        <v>3127</v>
      </c>
      <c r="C1295" s="4" t="s">
        <v>3374</v>
      </c>
      <c r="D1295" s="4" t="s">
        <v>3375</v>
      </c>
      <c r="E1295" s="4" t="s">
        <v>5804</v>
      </c>
      <c r="F1295" t="s">
        <v>904</v>
      </c>
      <c r="G1295" t="s">
        <v>936</v>
      </c>
      <c r="H1295" t="s">
        <v>21</v>
      </c>
      <c r="I1295">
        <v>3</v>
      </c>
      <c r="J1295" s="5">
        <v>7.0999999999999994E-2</v>
      </c>
      <c r="K1295" t="s">
        <v>65</v>
      </c>
      <c r="L1295" s="6">
        <v>42430</v>
      </c>
      <c r="M1295">
        <v>3</v>
      </c>
      <c r="N1295" s="7" t="s">
        <v>23</v>
      </c>
      <c r="O1295" t="s">
        <v>31</v>
      </c>
      <c r="P1295" t="s">
        <v>3379</v>
      </c>
      <c r="Q1295" t="s">
        <v>3380</v>
      </c>
      <c r="R1295" t="s">
        <v>3381</v>
      </c>
    </row>
    <row r="1296" spans="1:18" hidden="1">
      <c r="A1296">
        <v>4</v>
      </c>
      <c r="B1296" s="4" t="s">
        <v>3127</v>
      </c>
      <c r="C1296" s="4" t="s">
        <v>3374</v>
      </c>
      <c r="D1296" s="4" t="s">
        <v>3375</v>
      </c>
      <c r="E1296" s="4" t="s">
        <v>5804</v>
      </c>
      <c r="F1296" t="s">
        <v>904</v>
      </c>
      <c r="G1296" t="s">
        <v>910</v>
      </c>
      <c r="H1296" t="s">
        <v>21</v>
      </c>
      <c r="I1296">
        <v>3</v>
      </c>
      <c r="J1296" s="5">
        <v>7.0999999999999994E-2</v>
      </c>
      <c r="K1296" t="s">
        <v>65</v>
      </c>
      <c r="L1296" s="6">
        <v>42430</v>
      </c>
      <c r="M1296">
        <v>3</v>
      </c>
      <c r="N1296" s="7" t="s">
        <v>23</v>
      </c>
      <c r="O1296" t="s">
        <v>31</v>
      </c>
      <c r="P1296" t="s">
        <v>3385</v>
      </c>
      <c r="Q1296" t="s">
        <v>3386</v>
      </c>
      <c r="R1296" t="s">
        <v>3387</v>
      </c>
    </row>
    <row r="1297" spans="1:18" hidden="1">
      <c r="A1297">
        <v>4</v>
      </c>
      <c r="B1297" s="4" t="s">
        <v>3127</v>
      </c>
      <c r="C1297" s="4" t="s">
        <v>3374</v>
      </c>
      <c r="D1297" s="4" t="s">
        <v>3375</v>
      </c>
      <c r="E1297" s="4" t="s">
        <v>5804</v>
      </c>
      <c r="F1297" t="s">
        <v>904</v>
      </c>
      <c r="G1297" t="s">
        <v>910</v>
      </c>
      <c r="H1297" t="s">
        <v>21</v>
      </c>
      <c r="I1297">
        <v>3</v>
      </c>
      <c r="J1297" s="5">
        <v>7.0999999999999994E-2</v>
      </c>
      <c r="K1297" t="s">
        <v>319</v>
      </c>
      <c r="L1297" s="6">
        <v>42583</v>
      </c>
      <c r="M1297">
        <v>8</v>
      </c>
      <c r="N1297" s="7" t="s">
        <v>55</v>
      </c>
      <c r="O1297" t="s">
        <v>31</v>
      </c>
      <c r="P1297" t="s">
        <v>3394</v>
      </c>
      <c r="Q1297" t="s">
        <v>3395</v>
      </c>
      <c r="R1297" t="s">
        <v>3396</v>
      </c>
    </row>
    <row r="1298" spans="1:18" hidden="1">
      <c r="A1298">
        <v>4</v>
      </c>
      <c r="B1298" s="4" t="s">
        <v>3127</v>
      </c>
      <c r="C1298" s="4" t="s">
        <v>3374</v>
      </c>
      <c r="D1298" s="4" t="s">
        <v>3375</v>
      </c>
      <c r="E1298" s="4" t="s">
        <v>5804</v>
      </c>
      <c r="F1298" t="s">
        <v>904</v>
      </c>
      <c r="G1298" t="s">
        <v>910</v>
      </c>
      <c r="H1298" t="s">
        <v>21</v>
      </c>
      <c r="I1298">
        <v>3</v>
      </c>
      <c r="J1298" s="5">
        <v>7.0999999999999994E-2</v>
      </c>
      <c r="K1298" t="s">
        <v>80</v>
      </c>
      <c r="L1298" s="6">
        <v>42917</v>
      </c>
      <c r="M1298">
        <v>7</v>
      </c>
      <c r="N1298" s="7" t="s">
        <v>55</v>
      </c>
      <c r="O1298" t="s">
        <v>31</v>
      </c>
      <c r="P1298" t="s">
        <v>3415</v>
      </c>
      <c r="Q1298" t="s">
        <v>3416</v>
      </c>
      <c r="R1298" t="s">
        <v>3387</v>
      </c>
    </row>
    <row r="1299" spans="1:18" hidden="1">
      <c r="A1299">
        <v>4</v>
      </c>
      <c r="B1299" s="4" t="s">
        <v>3127</v>
      </c>
      <c r="C1299" s="4" t="s">
        <v>3374</v>
      </c>
      <c r="D1299" s="4" t="s">
        <v>3375</v>
      </c>
      <c r="E1299" s="4" t="s">
        <v>5804</v>
      </c>
      <c r="F1299" t="s">
        <v>904</v>
      </c>
      <c r="G1299" t="s">
        <v>910</v>
      </c>
      <c r="H1299" t="s">
        <v>21</v>
      </c>
      <c r="I1299">
        <v>3</v>
      </c>
      <c r="J1299" s="5">
        <v>7.0999999999999994E-2</v>
      </c>
      <c r="K1299" t="s">
        <v>22</v>
      </c>
      <c r="L1299" s="6">
        <v>42979</v>
      </c>
      <c r="M1299">
        <v>9</v>
      </c>
      <c r="N1299" s="7" t="s">
        <v>23</v>
      </c>
      <c r="O1299" t="s">
        <v>31</v>
      </c>
      <c r="P1299" t="s">
        <v>3421</v>
      </c>
      <c r="Q1299" t="s">
        <v>3386</v>
      </c>
      <c r="R1299" t="s">
        <v>3387</v>
      </c>
    </row>
    <row r="1300" spans="1:18" hidden="1">
      <c r="A1300">
        <v>4</v>
      </c>
      <c r="B1300" s="4" t="s">
        <v>3127</v>
      </c>
      <c r="C1300" s="4" t="s">
        <v>3374</v>
      </c>
      <c r="D1300" s="4" t="s">
        <v>3375</v>
      </c>
      <c r="E1300" s="4" t="s">
        <v>5804</v>
      </c>
      <c r="F1300" t="s">
        <v>904</v>
      </c>
      <c r="G1300" t="s">
        <v>910</v>
      </c>
      <c r="H1300" t="s">
        <v>21</v>
      </c>
      <c r="I1300">
        <v>3</v>
      </c>
      <c r="J1300" s="5">
        <v>7.0999999999999994E-2</v>
      </c>
      <c r="K1300" t="s">
        <v>43</v>
      </c>
      <c r="L1300" s="6">
        <v>43525</v>
      </c>
      <c r="M1300">
        <v>3</v>
      </c>
      <c r="N1300" s="7" t="s">
        <v>23</v>
      </c>
      <c r="O1300" t="s">
        <v>31</v>
      </c>
      <c r="P1300" t="s">
        <v>3451</v>
      </c>
      <c r="Q1300" t="s">
        <v>3386</v>
      </c>
      <c r="R1300" t="s">
        <v>3387</v>
      </c>
    </row>
    <row r="1301" spans="1:18" hidden="1">
      <c r="A1301">
        <v>4</v>
      </c>
      <c r="B1301" s="4" t="s">
        <v>3127</v>
      </c>
      <c r="C1301" s="4" t="s">
        <v>3374</v>
      </c>
      <c r="D1301" s="4" t="s">
        <v>3375</v>
      </c>
      <c r="E1301" s="4" t="s">
        <v>5804</v>
      </c>
      <c r="F1301" t="s">
        <v>904</v>
      </c>
      <c r="G1301" t="s">
        <v>987</v>
      </c>
      <c r="H1301" t="s">
        <v>53</v>
      </c>
      <c r="I1301" t="s">
        <v>53</v>
      </c>
      <c r="J1301" s="5" t="s">
        <v>53</v>
      </c>
      <c r="K1301" t="s">
        <v>654</v>
      </c>
      <c r="L1301" s="6">
        <v>43556</v>
      </c>
      <c r="M1301">
        <v>4</v>
      </c>
      <c r="N1301" s="7" t="s">
        <v>23</v>
      </c>
      <c r="O1301" t="s">
        <v>223</v>
      </c>
      <c r="P1301" t="s">
        <v>3452</v>
      </c>
      <c r="Q1301" t="s">
        <v>3453</v>
      </c>
      <c r="R1301" t="s">
        <v>3454</v>
      </c>
    </row>
    <row r="1302" spans="1:18" hidden="1">
      <c r="A1302">
        <v>4</v>
      </c>
      <c r="B1302" s="4" t="s">
        <v>3127</v>
      </c>
      <c r="C1302" s="4" t="s">
        <v>3374</v>
      </c>
      <c r="D1302" s="4" t="s">
        <v>3375</v>
      </c>
      <c r="E1302" s="4" t="s">
        <v>5804</v>
      </c>
      <c r="F1302" t="s">
        <v>904</v>
      </c>
      <c r="G1302" t="s">
        <v>910</v>
      </c>
      <c r="H1302" t="s">
        <v>21</v>
      </c>
      <c r="I1302">
        <v>3</v>
      </c>
      <c r="J1302" s="5">
        <v>7.0999999999999994E-2</v>
      </c>
      <c r="K1302" t="s">
        <v>654</v>
      </c>
      <c r="L1302" s="6">
        <v>43556</v>
      </c>
      <c r="M1302">
        <v>4</v>
      </c>
      <c r="N1302" s="7" t="s">
        <v>23</v>
      </c>
      <c r="O1302" t="s">
        <v>31</v>
      </c>
      <c r="P1302" t="s">
        <v>3455</v>
      </c>
      <c r="Q1302" t="s">
        <v>3386</v>
      </c>
      <c r="R1302" t="s">
        <v>3387</v>
      </c>
    </row>
    <row r="1303" spans="1:18" hidden="1">
      <c r="A1303">
        <v>4</v>
      </c>
      <c r="B1303" s="4" t="s">
        <v>3127</v>
      </c>
      <c r="C1303" s="4" t="s">
        <v>3374</v>
      </c>
      <c r="D1303" s="4" t="s">
        <v>3375</v>
      </c>
      <c r="E1303" s="4" t="s">
        <v>5804</v>
      </c>
      <c r="F1303" t="s">
        <v>904</v>
      </c>
      <c r="G1303" t="s">
        <v>910</v>
      </c>
      <c r="H1303" t="s">
        <v>21</v>
      </c>
      <c r="I1303">
        <v>3</v>
      </c>
      <c r="J1303" s="5">
        <v>7.0999999999999994E-2</v>
      </c>
      <c r="K1303" t="s">
        <v>164</v>
      </c>
      <c r="L1303" s="6">
        <v>43617</v>
      </c>
      <c r="M1303">
        <v>6</v>
      </c>
      <c r="N1303" s="7" t="s">
        <v>55</v>
      </c>
      <c r="O1303" t="s">
        <v>31</v>
      </c>
      <c r="P1303" t="s">
        <v>3460</v>
      </c>
      <c r="Q1303" t="s">
        <v>3386</v>
      </c>
      <c r="R1303" t="s">
        <v>3387</v>
      </c>
    </row>
    <row r="1304" spans="1:18" hidden="1">
      <c r="A1304">
        <v>4</v>
      </c>
      <c r="B1304" s="4" t="s">
        <v>3127</v>
      </c>
      <c r="C1304" s="4" t="s">
        <v>3374</v>
      </c>
      <c r="D1304" s="4" t="s">
        <v>3375</v>
      </c>
      <c r="E1304" s="4" t="s">
        <v>5804</v>
      </c>
      <c r="F1304" t="s">
        <v>904</v>
      </c>
      <c r="G1304" t="s">
        <v>910</v>
      </c>
      <c r="H1304" t="s">
        <v>21</v>
      </c>
      <c r="I1304">
        <v>3</v>
      </c>
      <c r="J1304" s="5">
        <v>7.0999999999999994E-2</v>
      </c>
      <c r="K1304" t="s">
        <v>357</v>
      </c>
      <c r="L1304" s="6">
        <v>43739</v>
      </c>
      <c r="M1304">
        <v>10</v>
      </c>
      <c r="N1304" s="7" t="s">
        <v>23</v>
      </c>
      <c r="O1304" t="s">
        <v>31</v>
      </c>
      <c r="P1304" t="s">
        <v>3472</v>
      </c>
      <c r="Q1304" t="s">
        <v>3473</v>
      </c>
      <c r="R1304" t="s">
        <v>3381</v>
      </c>
    </row>
    <row r="1305" spans="1:18" hidden="1">
      <c r="A1305">
        <v>4</v>
      </c>
      <c r="B1305" s="4" t="s">
        <v>3127</v>
      </c>
      <c r="C1305" s="4" t="s">
        <v>3374</v>
      </c>
      <c r="D1305" s="4" t="s">
        <v>3375</v>
      </c>
      <c r="E1305" s="4" t="s">
        <v>5804</v>
      </c>
      <c r="F1305" t="s">
        <v>904</v>
      </c>
      <c r="G1305" t="s">
        <v>910</v>
      </c>
      <c r="H1305" t="s">
        <v>21</v>
      </c>
      <c r="I1305">
        <v>3</v>
      </c>
      <c r="J1305" s="5">
        <v>7.0999999999999994E-2</v>
      </c>
      <c r="K1305" t="s">
        <v>251</v>
      </c>
      <c r="L1305" s="6">
        <v>43952</v>
      </c>
      <c r="M1305">
        <v>5</v>
      </c>
      <c r="N1305" s="7" t="s">
        <v>23</v>
      </c>
      <c r="O1305" t="s">
        <v>31</v>
      </c>
      <c r="P1305" t="s">
        <v>3487</v>
      </c>
      <c r="Q1305" t="s">
        <v>3386</v>
      </c>
      <c r="R1305" t="s">
        <v>3387</v>
      </c>
    </row>
    <row r="1306" spans="1:18" hidden="1">
      <c r="A1306">
        <v>4</v>
      </c>
      <c r="B1306" s="4" t="s">
        <v>3127</v>
      </c>
      <c r="C1306" s="4" t="s">
        <v>3374</v>
      </c>
      <c r="D1306" s="4" t="s">
        <v>3375</v>
      </c>
      <c r="E1306" s="4" t="s">
        <v>5804</v>
      </c>
      <c r="F1306" t="s">
        <v>904</v>
      </c>
      <c r="G1306" t="s">
        <v>910</v>
      </c>
      <c r="H1306" t="s">
        <v>21</v>
      </c>
      <c r="I1306">
        <v>3</v>
      </c>
      <c r="J1306" s="5">
        <v>7.0999999999999994E-2</v>
      </c>
      <c r="K1306" t="s">
        <v>547</v>
      </c>
      <c r="L1306" s="6">
        <v>44075</v>
      </c>
      <c r="M1306">
        <v>9</v>
      </c>
      <c r="N1306" s="7" t="s">
        <v>23</v>
      </c>
      <c r="O1306" t="s">
        <v>31</v>
      </c>
      <c r="P1306" t="s">
        <v>3491</v>
      </c>
      <c r="Q1306" t="s">
        <v>3410</v>
      </c>
      <c r="R1306" t="s">
        <v>3411</v>
      </c>
    </row>
    <row r="1307" spans="1:18" hidden="1">
      <c r="A1307">
        <v>4</v>
      </c>
      <c r="B1307" s="4" t="s">
        <v>3127</v>
      </c>
      <c r="C1307" s="4" t="s">
        <v>3374</v>
      </c>
      <c r="D1307" s="4" t="s">
        <v>3375</v>
      </c>
      <c r="E1307" s="4" t="s">
        <v>5804</v>
      </c>
      <c r="F1307" t="s">
        <v>904</v>
      </c>
      <c r="G1307" t="s">
        <v>910</v>
      </c>
      <c r="H1307" t="s">
        <v>21</v>
      </c>
      <c r="I1307">
        <v>3</v>
      </c>
      <c r="J1307" s="5">
        <v>7.0999999999999994E-2</v>
      </c>
      <c r="K1307" t="s">
        <v>547</v>
      </c>
      <c r="L1307" s="6">
        <v>44075</v>
      </c>
      <c r="M1307">
        <v>9</v>
      </c>
      <c r="N1307" s="7" t="s">
        <v>23</v>
      </c>
      <c r="O1307" t="s">
        <v>31</v>
      </c>
      <c r="P1307" t="s">
        <v>3493</v>
      </c>
      <c r="Q1307" t="s">
        <v>3386</v>
      </c>
      <c r="R1307" t="s">
        <v>3387</v>
      </c>
    </row>
    <row r="1308" spans="1:18" hidden="1">
      <c r="A1308">
        <v>4</v>
      </c>
      <c r="B1308" s="4" t="s">
        <v>3127</v>
      </c>
      <c r="C1308" s="4" t="s">
        <v>3374</v>
      </c>
      <c r="D1308" s="4" t="s">
        <v>3375</v>
      </c>
      <c r="E1308" s="4" t="s">
        <v>5804</v>
      </c>
      <c r="F1308" t="s">
        <v>904</v>
      </c>
      <c r="G1308" t="s">
        <v>910</v>
      </c>
      <c r="H1308" t="s">
        <v>21</v>
      </c>
      <c r="I1308">
        <v>3</v>
      </c>
      <c r="J1308" s="5">
        <v>7.0999999999999994E-2</v>
      </c>
      <c r="K1308" t="s">
        <v>749</v>
      </c>
      <c r="L1308" s="6">
        <v>44136</v>
      </c>
      <c r="M1308">
        <v>11</v>
      </c>
      <c r="N1308" s="7" t="s">
        <v>23</v>
      </c>
      <c r="O1308" t="s">
        <v>31</v>
      </c>
      <c r="P1308" t="s">
        <v>3499</v>
      </c>
      <c r="Q1308" t="s">
        <v>3446</v>
      </c>
      <c r="R1308" t="s">
        <v>3447</v>
      </c>
    </row>
    <row r="1309" spans="1:18" hidden="1">
      <c r="A1309">
        <v>4</v>
      </c>
      <c r="B1309" s="4" t="s">
        <v>3127</v>
      </c>
      <c r="C1309" s="4" t="s">
        <v>3374</v>
      </c>
      <c r="D1309" s="4" t="s">
        <v>3375</v>
      </c>
      <c r="E1309" s="4" t="s">
        <v>5804</v>
      </c>
      <c r="F1309" t="s">
        <v>904</v>
      </c>
      <c r="G1309" t="s">
        <v>910</v>
      </c>
      <c r="H1309" t="s">
        <v>21</v>
      </c>
      <c r="I1309">
        <v>3</v>
      </c>
      <c r="J1309" s="5">
        <v>7.0999999999999994E-2</v>
      </c>
      <c r="K1309" t="s">
        <v>749</v>
      </c>
      <c r="L1309" s="6">
        <v>44136</v>
      </c>
      <c r="M1309">
        <v>11</v>
      </c>
      <c r="N1309" s="7" t="s">
        <v>23</v>
      </c>
      <c r="O1309" t="s">
        <v>31</v>
      </c>
      <c r="P1309" t="s">
        <v>3500</v>
      </c>
      <c r="Q1309" t="s">
        <v>3386</v>
      </c>
      <c r="R1309" t="s">
        <v>3387</v>
      </c>
    </row>
    <row r="1310" spans="1:18" hidden="1">
      <c r="A1310">
        <v>4</v>
      </c>
      <c r="B1310" s="4" t="s">
        <v>3127</v>
      </c>
      <c r="C1310" s="4" t="s">
        <v>3374</v>
      </c>
      <c r="D1310" s="4" t="s">
        <v>3375</v>
      </c>
      <c r="E1310" s="4" t="s">
        <v>5804</v>
      </c>
      <c r="F1310" t="s">
        <v>904</v>
      </c>
      <c r="G1310" t="s">
        <v>910</v>
      </c>
      <c r="H1310" t="s">
        <v>21</v>
      </c>
      <c r="I1310">
        <v>3</v>
      </c>
      <c r="J1310" s="5">
        <v>7.0999999999999994E-2</v>
      </c>
      <c r="K1310" t="s">
        <v>645</v>
      </c>
      <c r="L1310" s="6">
        <v>44440</v>
      </c>
      <c r="M1310">
        <v>9</v>
      </c>
      <c r="N1310" s="7" t="s">
        <v>23</v>
      </c>
      <c r="O1310" t="s">
        <v>31</v>
      </c>
      <c r="P1310" t="s">
        <v>3505</v>
      </c>
      <c r="Q1310" t="s">
        <v>3386</v>
      </c>
      <c r="R1310" t="s">
        <v>3387</v>
      </c>
    </row>
    <row r="1311" spans="1:18" hidden="1">
      <c r="A1311">
        <v>4</v>
      </c>
      <c r="B1311" s="4" t="s">
        <v>3127</v>
      </c>
      <c r="C1311" s="4" t="s">
        <v>3506</v>
      </c>
      <c r="D1311" s="4" t="s">
        <v>3572</v>
      </c>
      <c r="E1311" s="4" t="s">
        <v>5804</v>
      </c>
      <c r="F1311" t="s">
        <v>904</v>
      </c>
      <c r="G1311" t="s">
        <v>987</v>
      </c>
      <c r="H1311" t="s">
        <v>53</v>
      </c>
      <c r="I1311" t="s">
        <v>53</v>
      </c>
      <c r="J1311" s="5" t="s">
        <v>53</v>
      </c>
      <c r="K1311" t="s">
        <v>298</v>
      </c>
      <c r="L1311" s="6">
        <v>43344</v>
      </c>
      <c r="M1311">
        <v>9</v>
      </c>
      <c r="N1311" s="7" t="s">
        <v>23</v>
      </c>
      <c r="O1311" t="s">
        <v>31</v>
      </c>
      <c r="P1311" t="s">
        <v>3589</v>
      </c>
      <c r="Q1311" t="s">
        <v>3532</v>
      </c>
      <c r="R1311" t="s">
        <v>3533</v>
      </c>
    </row>
    <row r="1312" spans="1:18" hidden="1">
      <c r="A1312">
        <v>4</v>
      </c>
      <c r="B1312" s="4" t="s">
        <v>3127</v>
      </c>
      <c r="C1312" s="4" t="s">
        <v>3597</v>
      </c>
      <c r="D1312" s="4" t="s">
        <v>3598</v>
      </c>
      <c r="E1312" s="4" t="s">
        <v>5804</v>
      </c>
      <c r="F1312" t="s">
        <v>904</v>
      </c>
      <c r="G1312" t="s">
        <v>910</v>
      </c>
      <c r="H1312" t="s">
        <v>21</v>
      </c>
      <c r="I1312">
        <v>3</v>
      </c>
      <c r="J1312" s="5">
        <v>7.0999999999999994E-2</v>
      </c>
      <c r="K1312" t="s">
        <v>267</v>
      </c>
      <c r="L1312" s="6">
        <v>44044</v>
      </c>
      <c r="M1312">
        <v>8</v>
      </c>
      <c r="N1312" s="7" t="s">
        <v>55</v>
      </c>
      <c r="O1312" t="s">
        <v>31</v>
      </c>
      <c r="P1312" t="s">
        <v>3612</v>
      </c>
      <c r="Q1312" t="s">
        <v>3613</v>
      </c>
      <c r="R1312" t="s">
        <v>3614</v>
      </c>
    </row>
    <row r="1313" spans="1:18" hidden="1">
      <c r="A1313">
        <v>4</v>
      </c>
      <c r="B1313" s="4" t="s">
        <v>3127</v>
      </c>
      <c r="C1313" s="4" t="s">
        <v>3597</v>
      </c>
      <c r="D1313" s="4" t="s">
        <v>3660</v>
      </c>
      <c r="E1313" s="4" t="s">
        <v>5804</v>
      </c>
      <c r="F1313" t="s">
        <v>904</v>
      </c>
      <c r="G1313" t="s">
        <v>910</v>
      </c>
      <c r="H1313" t="s">
        <v>21</v>
      </c>
      <c r="I1313">
        <v>3</v>
      </c>
      <c r="J1313" s="5">
        <v>7.0999999999999994E-2</v>
      </c>
      <c r="K1313" t="s">
        <v>76</v>
      </c>
      <c r="L1313" s="6">
        <v>42856</v>
      </c>
      <c r="M1313">
        <v>5</v>
      </c>
      <c r="N1313" s="7" t="s">
        <v>23</v>
      </c>
      <c r="O1313" t="s">
        <v>31</v>
      </c>
      <c r="P1313" t="s">
        <v>3699</v>
      </c>
      <c r="Q1313" t="s">
        <v>3700</v>
      </c>
      <c r="R1313" t="s">
        <v>3614</v>
      </c>
    </row>
    <row r="1314" spans="1:18" hidden="1">
      <c r="A1314">
        <v>4</v>
      </c>
      <c r="B1314" s="4" t="s">
        <v>3127</v>
      </c>
      <c r="C1314" s="4" t="s">
        <v>3597</v>
      </c>
      <c r="D1314" s="4" t="s">
        <v>3660</v>
      </c>
      <c r="E1314" s="4" t="s">
        <v>5804</v>
      </c>
      <c r="F1314" t="s">
        <v>904</v>
      </c>
      <c r="G1314" t="s">
        <v>910</v>
      </c>
      <c r="H1314" t="s">
        <v>21</v>
      </c>
      <c r="I1314">
        <v>3</v>
      </c>
      <c r="J1314" s="5">
        <v>7.0999999999999994E-2</v>
      </c>
      <c r="K1314" t="s">
        <v>85</v>
      </c>
      <c r="L1314" s="6">
        <v>43009</v>
      </c>
      <c r="M1314">
        <v>10</v>
      </c>
      <c r="N1314" s="7" t="s">
        <v>23</v>
      </c>
      <c r="O1314" t="s">
        <v>31</v>
      </c>
      <c r="P1314" t="s">
        <v>3715</v>
      </c>
      <c r="Q1314" t="s">
        <v>3716</v>
      </c>
      <c r="R1314" t="s">
        <v>3717</v>
      </c>
    </row>
    <row r="1315" spans="1:18" hidden="1">
      <c r="A1315">
        <v>4</v>
      </c>
      <c r="B1315" s="4" t="s">
        <v>3127</v>
      </c>
      <c r="C1315" s="4" t="s">
        <v>3597</v>
      </c>
      <c r="D1315" s="4" t="s">
        <v>3660</v>
      </c>
      <c r="E1315" s="4" t="s">
        <v>5804</v>
      </c>
      <c r="F1315" t="s">
        <v>904</v>
      </c>
      <c r="G1315" t="s">
        <v>910</v>
      </c>
      <c r="H1315" t="s">
        <v>21</v>
      </c>
      <c r="I1315">
        <v>3</v>
      </c>
      <c r="J1315" s="5">
        <v>7.0999999999999994E-2</v>
      </c>
      <c r="K1315" t="s">
        <v>292</v>
      </c>
      <c r="L1315" s="6">
        <v>43191</v>
      </c>
      <c r="M1315">
        <v>4</v>
      </c>
      <c r="N1315" s="7" t="s">
        <v>23</v>
      </c>
      <c r="O1315" t="s">
        <v>31</v>
      </c>
      <c r="P1315" t="s">
        <v>3722</v>
      </c>
      <c r="Q1315" t="s">
        <v>3700</v>
      </c>
      <c r="R1315" t="s">
        <v>3614</v>
      </c>
    </row>
    <row r="1316" spans="1:18" hidden="1">
      <c r="A1316">
        <v>4</v>
      </c>
      <c r="B1316" s="4" t="s">
        <v>3127</v>
      </c>
      <c r="C1316" s="4" t="s">
        <v>3597</v>
      </c>
      <c r="D1316" s="4" t="s">
        <v>3660</v>
      </c>
      <c r="E1316" s="4" t="s">
        <v>5804</v>
      </c>
      <c r="F1316" t="s">
        <v>904</v>
      </c>
      <c r="G1316" t="s">
        <v>910</v>
      </c>
      <c r="H1316" t="s">
        <v>21</v>
      </c>
      <c r="I1316">
        <v>3</v>
      </c>
      <c r="J1316" s="5">
        <v>7.0999999999999994E-2</v>
      </c>
      <c r="K1316" t="s">
        <v>654</v>
      </c>
      <c r="L1316" s="6">
        <v>43556</v>
      </c>
      <c r="M1316">
        <v>4</v>
      </c>
      <c r="N1316" s="7" t="s">
        <v>23</v>
      </c>
      <c r="O1316" t="s">
        <v>31</v>
      </c>
      <c r="P1316" t="s">
        <v>3734</v>
      </c>
      <c r="Q1316" t="s">
        <v>3700</v>
      </c>
      <c r="R1316" t="s">
        <v>3614</v>
      </c>
    </row>
    <row r="1317" spans="1:18" hidden="1">
      <c r="A1317">
        <v>4</v>
      </c>
      <c r="B1317" s="4" t="s">
        <v>3127</v>
      </c>
      <c r="C1317" s="4" t="s">
        <v>3597</v>
      </c>
      <c r="D1317" s="4" t="s">
        <v>3660</v>
      </c>
      <c r="E1317" s="4" t="s">
        <v>5804</v>
      </c>
      <c r="F1317" t="s">
        <v>904</v>
      </c>
      <c r="G1317" t="s">
        <v>910</v>
      </c>
      <c r="H1317" t="s">
        <v>21</v>
      </c>
      <c r="I1317">
        <v>3</v>
      </c>
      <c r="J1317" s="5">
        <v>7.0999999999999994E-2</v>
      </c>
      <c r="K1317" t="s">
        <v>365</v>
      </c>
      <c r="L1317" s="6">
        <v>44105</v>
      </c>
      <c r="M1317">
        <v>10</v>
      </c>
      <c r="N1317" s="7" t="s">
        <v>23</v>
      </c>
      <c r="O1317" t="s">
        <v>31</v>
      </c>
      <c r="P1317" t="s">
        <v>3765</v>
      </c>
      <c r="Q1317" t="s">
        <v>3700</v>
      </c>
      <c r="R1317" t="s">
        <v>3614</v>
      </c>
    </row>
    <row r="1318" spans="1:18" hidden="1">
      <c r="A1318">
        <v>4</v>
      </c>
      <c r="B1318" s="4" t="s">
        <v>3127</v>
      </c>
      <c r="C1318" s="4" t="s">
        <v>3597</v>
      </c>
      <c r="D1318" s="4" t="s">
        <v>3660</v>
      </c>
      <c r="E1318" s="4" t="s">
        <v>5804</v>
      </c>
      <c r="F1318" t="s">
        <v>904</v>
      </c>
      <c r="G1318" t="s">
        <v>910</v>
      </c>
      <c r="H1318" t="s">
        <v>21</v>
      </c>
      <c r="I1318">
        <v>3</v>
      </c>
      <c r="J1318" s="5">
        <v>7.0999999999999994E-2</v>
      </c>
      <c r="K1318" t="s">
        <v>369</v>
      </c>
      <c r="L1318" s="6">
        <v>44197</v>
      </c>
      <c r="M1318">
        <v>1</v>
      </c>
      <c r="N1318" s="7" t="s">
        <v>30</v>
      </c>
      <c r="O1318" t="s">
        <v>31</v>
      </c>
      <c r="P1318" t="s">
        <v>3773</v>
      </c>
      <c r="Q1318" t="s">
        <v>3700</v>
      </c>
      <c r="R1318" t="s">
        <v>3614</v>
      </c>
    </row>
    <row r="1319" spans="1:18" hidden="1">
      <c r="A1319">
        <v>4</v>
      </c>
      <c r="B1319" s="4" t="s">
        <v>3127</v>
      </c>
      <c r="C1319" s="4" t="s">
        <v>3789</v>
      </c>
      <c r="D1319" s="4" t="s">
        <v>3790</v>
      </c>
      <c r="E1319" s="4" t="s">
        <v>5804</v>
      </c>
      <c r="F1319" t="s">
        <v>904</v>
      </c>
      <c r="G1319" t="s">
        <v>936</v>
      </c>
      <c r="H1319" t="s">
        <v>21</v>
      </c>
      <c r="I1319">
        <v>3</v>
      </c>
      <c r="J1319" s="5">
        <v>7.0999999999999994E-2</v>
      </c>
      <c r="K1319" t="s">
        <v>168</v>
      </c>
      <c r="L1319" s="6">
        <v>43678</v>
      </c>
      <c r="M1319">
        <v>8</v>
      </c>
      <c r="N1319" s="7" t="s">
        <v>55</v>
      </c>
      <c r="O1319" t="s">
        <v>31</v>
      </c>
      <c r="P1319" t="s">
        <v>3803</v>
      </c>
      <c r="Q1319" t="s">
        <v>3804</v>
      </c>
      <c r="R1319" t="s">
        <v>3805</v>
      </c>
    </row>
    <row r="1320" spans="1:18" hidden="1">
      <c r="A1320">
        <v>4</v>
      </c>
      <c r="B1320" s="4" t="s">
        <v>3127</v>
      </c>
      <c r="C1320" s="4" t="s">
        <v>3789</v>
      </c>
      <c r="D1320" s="4" t="s">
        <v>3790</v>
      </c>
      <c r="E1320" s="4" t="s">
        <v>5804</v>
      </c>
      <c r="F1320" t="s">
        <v>904</v>
      </c>
      <c r="G1320" t="s">
        <v>905</v>
      </c>
      <c r="H1320" t="s">
        <v>53</v>
      </c>
      <c r="I1320" t="s">
        <v>53</v>
      </c>
      <c r="J1320" s="5" t="s">
        <v>53</v>
      </c>
      <c r="K1320" t="s">
        <v>109</v>
      </c>
      <c r="L1320" s="6">
        <v>44531</v>
      </c>
      <c r="M1320">
        <v>12</v>
      </c>
      <c r="N1320" s="7" t="s">
        <v>30</v>
      </c>
      <c r="O1320" t="s">
        <v>31</v>
      </c>
      <c r="P1320" t="s">
        <v>3812</v>
      </c>
      <c r="Q1320" t="s">
        <v>3813</v>
      </c>
      <c r="R1320" t="s">
        <v>3814</v>
      </c>
    </row>
    <row r="1321" spans="1:18" hidden="1">
      <c r="A1321">
        <v>4</v>
      </c>
      <c r="B1321" s="4" t="s">
        <v>3127</v>
      </c>
      <c r="C1321" s="4" t="s">
        <v>3789</v>
      </c>
      <c r="D1321" s="4" t="s">
        <v>3815</v>
      </c>
      <c r="E1321" s="4" t="s">
        <v>5804</v>
      </c>
      <c r="F1321" t="s">
        <v>904</v>
      </c>
      <c r="G1321" t="s">
        <v>910</v>
      </c>
      <c r="H1321" t="s">
        <v>21</v>
      </c>
      <c r="I1321">
        <v>3</v>
      </c>
      <c r="J1321" s="5">
        <v>7.0999999999999994E-2</v>
      </c>
      <c r="K1321" t="s">
        <v>85</v>
      </c>
      <c r="L1321" s="6">
        <v>43009</v>
      </c>
      <c r="M1321">
        <v>10</v>
      </c>
      <c r="N1321" s="7" t="s">
        <v>23</v>
      </c>
      <c r="O1321" t="s">
        <v>31</v>
      </c>
      <c r="P1321" t="s">
        <v>3868</v>
      </c>
      <c r="Q1321" t="s">
        <v>3840</v>
      </c>
      <c r="R1321" t="s">
        <v>3814</v>
      </c>
    </row>
    <row r="1322" spans="1:18" hidden="1">
      <c r="A1322">
        <v>4</v>
      </c>
      <c r="B1322" s="4" t="s">
        <v>3127</v>
      </c>
      <c r="C1322" s="4" t="s">
        <v>3789</v>
      </c>
      <c r="D1322" s="4" t="s">
        <v>3815</v>
      </c>
      <c r="E1322" s="4" t="s">
        <v>5804</v>
      </c>
      <c r="F1322" t="s">
        <v>904</v>
      </c>
      <c r="G1322" t="s">
        <v>910</v>
      </c>
      <c r="H1322" t="s">
        <v>21</v>
      </c>
      <c r="I1322">
        <v>3</v>
      </c>
      <c r="J1322" s="5">
        <v>7.0999999999999994E-2</v>
      </c>
      <c r="K1322" t="s">
        <v>267</v>
      </c>
      <c r="L1322" s="6">
        <v>44044</v>
      </c>
      <c r="M1322">
        <v>8</v>
      </c>
      <c r="N1322" s="7" t="s">
        <v>55</v>
      </c>
      <c r="O1322" t="s">
        <v>31</v>
      </c>
      <c r="P1322" t="s">
        <v>3906</v>
      </c>
      <c r="Q1322" t="s">
        <v>3907</v>
      </c>
      <c r="R1322" t="s">
        <v>3814</v>
      </c>
    </row>
    <row r="1323" spans="1:18" hidden="1">
      <c r="A1323">
        <v>4</v>
      </c>
      <c r="B1323" s="4" t="s">
        <v>3127</v>
      </c>
      <c r="C1323" s="4" t="s">
        <v>3789</v>
      </c>
      <c r="D1323" s="4" t="s">
        <v>3815</v>
      </c>
      <c r="E1323" s="4" t="s">
        <v>5804</v>
      </c>
      <c r="F1323" t="s">
        <v>904</v>
      </c>
      <c r="G1323" t="s">
        <v>910</v>
      </c>
      <c r="H1323" t="s">
        <v>21</v>
      </c>
      <c r="I1323">
        <v>3</v>
      </c>
      <c r="J1323" s="5">
        <v>7.0999999999999994E-2</v>
      </c>
      <c r="K1323" t="s">
        <v>182</v>
      </c>
      <c r="L1323" s="6">
        <v>44501</v>
      </c>
      <c r="M1323">
        <v>11</v>
      </c>
      <c r="N1323" s="7" t="s">
        <v>23</v>
      </c>
      <c r="O1323" t="s">
        <v>31</v>
      </c>
      <c r="P1323" t="s">
        <v>3932</v>
      </c>
      <c r="Q1323" t="s">
        <v>3933</v>
      </c>
      <c r="R1323" t="s">
        <v>3934</v>
      </c>
    </row>
    <row r="1324" spans="1:18" hidden="1">
      <c r="A1324">
        <v>4</v>
      </c>
      <c r="B1324" s="4" t="s">
        <v>3127</v>
      </c>
      <c r="C1324" s="4" t="s">
        <v>4035</v>
      </c>
      <c r="D1324" s="4" t="s">
        <v>4080</v>
      </c>
      <c r="E1324" s="4" t="s">
        <v>5804</v>
      </c>
      <c r="F1324" t="s">
        <v>904</v>
      </c>
      <c r="G1324" t="s">
        <v>910</v>
      </c>
      <c r="H1324" t="s">
        <v>21</v>
      </c>
      <c r="I1324">
        <v>3</v>
      </c>
      <c r="J1324" s="5">
        <v>7.0999999999999994E-2</v>
      </c>
      <c r="K1324" t="s">
        <v>99</v>
      </c>
      <c r="L1324" s="6">
        <v>43891</v>
      </c>
      <c r="M1324">
        <v>3</v>
      </c>
      <c r="N1324" s="7" t="s">
        <v>23</v>
      </c>
      <c r="O1324" t="s">
        <v>31</v>
      </c>
      <c r="P1324" t="s">
        <v>4172</v>
      </c>
      <c r="Q1324" t="s">
        <v>4173</v>
      </c>
      <c r="R1324" t="s">
        <v>4174</v>
      </c>
    </row>
    <row r="1325" spans="1:18" hidden="1">
      <c r="A1325">
        <v>4</v>
      </c>
      <c r="B1325" s="4" t="s">
        <v>3127</v>
      </c>
      <c r="C1325" s="4" t="s">
        <v>4207</v>
      </c>
      <c r="D1325" s="4" t="s">
        <v>4208</v>
      </c>
      <c r="E1325" s="4" t="s">
        <v>5804</v>
      </c>
      <c r="F1325" t="s">
        <v>904</v>
      </c>
      <c r="G1325" t="s">
        <v>910</v>
      </c>
      <c r="H1325" t="s">
        <v>21</v>
      </c>
      <c r="I1325">
        <v>3</v>
      </c>
      <c r="J1325" s="5">
        <v>7.0999999999999994E-2</v>
      </c>
      <c r="K1325" t="s">
        <v>115</v>
      </c>
      <c r="L1325" s="6">
        <v>42461</v>
      </c>
      <c r="M1325">
        <v>4</v>
      </c>
      <c r="N1325" s="7" t="s">
        <v>23</v>
      </c>
      <c r="O1325" t="s">
        <v>31</v>
      </c>
      <c r="P1325" t="s">
        <v>4212</v>
      </c>
      <c r="Q1325" t="s">
        <v>4213</v>
      </c>
      <c r="R1325" t="s">
        <v>4174</v>
      </c>
    </row>
    <row r="1326" spans="1:18" hidden="1">
      <c r="A1326">
        <v>4</v>
      </c>
      <c r="B1326" s="4" t="s">
        <v>3127</v>
      </c>
      <c r="C1326" s="4" t="s">
        <v>4207</v>
      </c>
      <c r="D1326" s="4" t="s">
        <v>4208</v>
      </c>
      <c r="E1326" s="4" t="s">
        <v>5804</v>
      </c>
      <c r="F1326" t="s">
        <v>904</v>
      </c>
      <c r="G1326" t="s">
        <v>910</v>
      </c>
      <c r="H1326" t="s">
        <v>21</v>
      </c>
      <c r="I1326">
        <v>3</v>
      </c>
      <c r="J1326" s="5">
        <v>7.0999999999999994E-2</v>
      </c>
      <c r="K1326" t="s">
        <v>701</v>
      </c>
      <c r="L1326" s="6">
        <v>42491</v>
      </c>
      <c r="M1326">
        <v>5</v>
      </c>
      <c r="N1326" s="7" t="s">
        <v>23</v>
      </c>
      <c r="O1326" t="s">
        <v>31</v>
      </c>
      <c r="P1326" t="s">
        <v>4214</v>
      </c>
      <c r="Q1326" t="s">
        <v>4173</v>
      </c>
      <c r="R1326" t="s">
        <v>4215</v>
      </c>
    </row>
    <row r="1327" spans="1:18" hidden="1">
      <c r="A1327">
        <v>4</v>
      </c>
      <c r="B1327" s="4" t="s">
        <v>3127</v>
      </c>
      <c r="C1327" s="4" t="s">
        <v>4207</v>
      </c>
      <c r="D1327" s="4" t="s">
        <v>4208</v>
      </c>
      <c r="E1327" s="4" t="s">
        <v>5804</v>
      </c>
      <c r="F1327" t="s">
        <v>904</v>
      </c>
      <c r="G1327" t="s">
        <v>987</v>
      </c>
      <c r="H1327" t="s">
        <v>53</v>
      </c>
      <c r="I1327" t="s">
        <v>53</v>
      </c>
      <c r="J1327" s="5" t="s">
        <v>53</v>
      </c>
      <c r="K1327" t="s">
        <v>80</v>
      </c>
      <c r="L1327" s="6">
        <v>42917</v>
      </c>
      <c r="M1327">
        <v>7</v>
      </c>
      <c r="N1327" s="7" t="s">
        <v>55</v>
      </c>
      <c r="O1327" t="s">
        <v>36</v>
      </c>
      <c r="P1327" t="s">
        <v>4222</v>
      </c>
      <c r="Q1327" t="s">
        <v>4223</v>
      </c>
      <c r="R1327" t="s">
        <v>4224</v>
      </c>
    </row>
    <row r="1328" spans="1:18" hidden="1">
      <c r="A1328">
        <v>4</v>
      </c>
      <c r="B1328" s="4" t="s">
        <v>3127</v>
      </c>
      <c r="C1328" s="4" t="s">
        <v>4207</v>
      </c>
      <c r="D1328" s="4" t="s">
        <v>4208</v>
      </c>
      <c r="E1328" s="4" t="s">
        <v>5804</v>
      </c>
      <c r="F1328" t="s">
        <v>904</v>
      </c>
      <c r="G1328" t="s">
        <v>910</v>
      </c>
      <c r="H1328" t="s">
        <v>21</v>
      </c>
      <c r="I1328">
        <v>3</v>
      </c>
      <c r="J1328" s="5">
        <v>7.0999999999999994E-2</v>
      </c>
      <c r="K1328" t="s">
        <v>295</v>
      </c>
      <c r="L1328" s="6">
        <v>43221</v>
      </c>
      <c r="M1328">
        <v>5</v>
      </c>
      <c r="N1328" s="7" t="s">
        <v>23</v>
      </c>
      <c r="O1328" t="s">
        <v>31</v>
      </c>
      <c r="P1328" t="s">
        <v>4226</v>
      </c>
      <c r="Q1328" t="s">
        <v>4227</v>
      </c>
      <c r="R1328" t="s">
        <v>4228</v>
      </c>
    </row>
    <row r="1329" spans="1:18" hidden="1">
      <c r="A1329">
        <v>4</v>
      </c>
      <c r="B1329" s="4" t="s">
        <v>3127</v>
      </c>
      <c r="C1329" s="4" t="s">
        <v>4207</v>
      </c>
      <c r="D1329" s="4" t="s">
        <v>4208</v>
      </c>
      <c r="E1329" s="4" t="s">
        <v>5804</v>
      </c>
      <c r="F1329" t="s">
        <v>904</v>
      </c>
      <c r="G1329" t="s">
        <v>936</v>
      </c>
      <c r="H1329" t="s">
        <v>21</v>
      </c>
      <c r="I1329">
        <v>3</v>
      </c>
      <c r="J1329" s="5">
        <v>7.0999999999999994E-2</v>
      </c>
      <c r="K1329" t="s">
        <v>93</v>
      </c>
      <c r="L1329" s="6">
        <v>43282</v>
      </c>
      <c r="M1329">
        <v>7</v>
      </c>
      <c r="N1329" s="7" t="s">
        <v>55</v>
      </c>
      <c r="O1329" t="s">
        <v>31</v>
      </c>
      <c r="P1329" t="s">
        <v>4229</v>
      </c>
      <c r="Q1329" t="s">
        <v>3804</v>
      </c>
      <c r="R1329" t="s">
        <v>4174</v>
      </c>
    </row>
    <row r="1330" spans="1:18" hidden="1">
      <c r="A1330">
        <v>4</v>
      </c>
      <c r="B1330" s="4" t="s">
        <v>3127</v>
      </c>
      <c r="C1330" s="4" t="s">
        <v>4207</v>
      </c>
      <c r="D1330" s="4" t="s">
        <v>4208</v>
      </c>
      <c r="E1330" s="4" t="s">
        <v>5804</v>
      </c>
      <c r="F1330" t="s">
        <v>904</v>
      </c>
      <c r="G1330" t="s">
        <v>910</v>
      </c>
      <c r="H1330" t="s">
        <v>21</v>
      </c>
      <c r="I1330">
        <v>3</v>
      </c>
      <c r="J1330" s="5">
        <v>7.0999999999999994E-2</v>
      </c>
      <c r="K1330" t="s">
        <v>156</v>
      </c>
      <c r="L1330" s="6">
        <v>43405</v>
      </c>
      <c r="M1330">
        <v>11</v>
      </c>
      <c r="N1330" s="7" t="s">
        <v>23</v>
      </c>
      <c r="O1330" t="s">
        <v>31</v>
      </c>
      <c r="P1330" t="s">
        <v>4233</v>
      </c>
      <c r="Q1330" t="s">
        <v>4234</v>
      </c>
      <c r="R1330" t="s">
        <v>4228</v>
      </c>
    </row>
    <row r="1331" spans="1:18" hidden="1">
      <c r="A1331">
        <v>4</v>
      </c>
      <c r="B1331" s="4" t="s">
        <v>3127</v>
      </c>
      <c r="C1331" s="4" t="s">
        <v>4207</v>
      </c>
      <c r="D1331" s="4" t="s">
        <v>4208</v>
      </c>
      <c r="E1331" s="4" t="s">
        <v>5804</v>
      </c>
      <c r="F1331" t="s">
        <v>904</v>
      </c>
      <c r="G1331" t="s">
        <v>910</v>
      </c>
      <c r="H1331" t="s">
        <v>21</v>
      </c>
      <c r="I1331">
        <v>3</v>
      </c>
      <c r="J1331" s="5">
        <v>7.0999999999999994E-2</v>
      </c>
      <c r="K1331" t="s">
        <v>156</v>
      </c>
      <c r="L1331" s="6">
        <v>43405</v>
      </c>
      <c r="M1331">
        <v>11</v>
      </c>
      <c r="N1331" s="7" t="s">
        <v>23</v>
      </c>
      <c r="O1331" t="s">
        <v>31</v>
      </c>
      <c r="P1331" t="s">
        <v>4235</v>
      </c>
      <c r="Q1331" t="s">
        <v>4213</v>
      </c>
      <c r="R1331" t="s">
        <v>4215</v>
      </c>
    </row>
    <row r="1332" spans="1:18" hidden="1">
      <c r="A1332">
        <v>4</v>
      </c>
      <c r="B1332" s="4" t="s">
        <v>3127</v>
      </c>
      <c r="C1332" s="4" t="s">
        <v>4207</v>
      </c>
      <c r="D1332" s="4" t="s">
        <v>4208</v>
      </c>
      <c r="E1332" s="4" t="s">
        <v>5804</v>
      </c>
      <c r="F1332" t="s">
        <v>904</v>
      </c>
      <c r="G1332" t="s">
        <v>936</v>
      </c>
      <c r="H1332" t="s">
        <v>21</v>
      </c>
      <c r="I1332">
        <v>3</v>
      </c>
      <c r="J1332" s="5">
        <v>7.0999999999999994E-2</v>
      </c>
      <c r="K1332" t="s">
        <v>2307</v>
      </c>
      <c r="L1332" s="6">
        <v>43770</v>
      </c>
      <c r="M1332">
        <v>11</v>
      </c>
      <c r="N1332" s="7" t="s">
        <v>23</v>
      </c>
      <c r="O1332" t="s">
        <v>31</v>
      </c>
      <c r="P1332" t="s">
        <v>4241</v>
      </c>
      <c r="Q1332" t="s">
        <v>3804</v>
      </c>
      <c r="R1332" t="s">
        <v>4174</v>
      </c>
    </row>
    <row r="1333" spans="1:18" hidden="1">
      <c r="A1333">
        <v>4</v>
      </c>
      <c r="B1333" s="4" t="s">
        <v>3127</v>
      </c>
      <c r="C1333" s="4" t="s">
        <v>4207</v>
      </c>
      <c r="D1333" s="4" t="s">
        <v>4208</v>
      </c>
      <c r="E1333" s="4" t="s">
        <v>5804</v>
      </c>
      <c r="F1333" t="s">
        <v>904</v>
      </c>
      <c r="G1333" t="s">
        <v>987</v>
      </c>
      <c r="H1333" t="s">
        <v>53</v>
      </c>
      <c r="I1333" t="s">
        <v>53</v>
      </c>
      <c r="J1333" s="5" t="s">
        <v>53</v>
      </c>
      <c r="K1333" t="s">
        <v>547</v>
      </c>
      <c r="L1333" s="6">
        <v>44075</v>
      </c>
      <c r="M1333">
        <v>9</v>
      </c>
      <c r="N1333" s="7" t="s">
        <v>23</v>
      </c>
      <c r="O1333" t="s">
        <v>31</v>
      </c>
      <c r="P1333" t="s">
        <v>4245</v>
      </c>
      <c r="Q1333" t="s">
        <v>4246</v>
      </c>
      <c r="R1333" t="s">
        <v>4247</v>
      </c>
    </row>
    <row r="1334" spans="1:18" hidden="1">
      <c r="A1334">
        <v>4</v>
      </c>
      <c r="B1334" s="4" t="s">
        <v>3127</v>
      </c>
      <c r="C1334" s="4" t="s">
        <v>4207</v>
      </c>
      <c r="D1334" s="4" t="s">
        <v>4208</v>
      </c>
      <c r="E1334" s="4" t="s">
        <v>5804</v>
      </c>
      <c r="F1334" t="s">
        <v>904</v>
      </c>
      <c r="G1334" t="s">
        <v>910</v>
      </c>
      <c r="H1334" t="s">
        <v>21</v>
      </c>
      <c r="I1334">
        <v>3</v>
      </c>
      <c r="J1334" s="5">
        <v>7.0999999999999994E-2</v>
      </c>
      <c r="K1334" t="s">
        <v>547</v>
      </c>
      <c r="L1334" s="6">
        <v>44075</v>
      </c>
      <c r="M1334">
        <v>9</v>
      </c>
      <c r="N1334" s="7" t="s">
        <v>23</v>
      </c>
      <c r="O1334" t="s">
        <v>31</v>
      </c>
      <c r="P1334" t="s">
        <v>4248</v>
      </c>
      <c r="Q1334" t="s">
        <v>4213</v>
      </c>
      <c r="R1334" t="s">
        <v>4174</v>
      </c>
    </row>
    <row r="1335" spans="1:18" hidden="1">
      <c r="A1335">
        <v>4</v>
      </c>
      <c r="B1335" s="4" t="s">
        <v>3127</v>
      </c>
      <c r="C1335" s="4" t="s">
        <v>4207</v>
      </c>
      <c r="D1335" s="4" t="s">
        <v>4208</v>
      </c>
      <c r="E1335" s="4" t="s">
        <v>5804</v>
      </c>
      <c r="F1335" t="s">
        <v>904</v>
      </c>
      <c r="G1335" t="s">
        <v>910</v>
      </c>
      <c r="H1335" t="s">
        <v>21</v>
      </c>
      <c r="I1335">
        <v>3</v>
      </c>
      <c r="J1335" s="5">
        <v>7.0999999999999994E-2</v>
      </c>
      <c r="K1335" t="s">
        <v>102</v>
      </c>
      <c r="L1335" s="6">
        <v>44287</v>
      </c>
      <c r="M1335">
        <v>4</v>
      </c>
      <c r="N1335" s="7" t="s">
        <v>23</v>
      </c>
      <c r="O1335" t="s">
        <v>31</v>
      </c>
      <c r="P1335" t="s">
        <v>4252</v>
      </c>
      <c r="Q1335" t="s">
        <v>4253</v>
      </c>
      <c r="R1335" t="s">
        <v>4228</v>
      </c>
    </row>
    <row r="1336" spans="1:18" hidden="1">
      <c r="A1336">
        <v>4</v>
      </c>
      <c r="B1336" s="4" t="s">
        <v>3127</v>
      </c>
      <c r="C1336" s="4" t="s">
        <v>4207</v>
      </c>
      <c r="D1336" s="4" t="s">
        <v>4208</v>
      </c>
      <c r="E1336" s="4" t="s">
        <v>5804</v>
      </c>
      <c r="F1336" t="s">
        <v>904</v>
      </c>
      <c r="G1336" t="s">
        <v>910</v>
      </c>
      <c r="H1336" t="s">
        <v>21</v>
      </c>
      <c r="I1336">
        <v>3</v>
      </c>
      <c r="J1336" s="5">
        <v>7.0999999999999994E-2</v>
      </c>
      <c r="K1336" t="s">
        <v>182</v>
      </c>
      <c r="L1336" s="6">
        <v>44501</v>
      </c>
      <c r="M1336">
        <v>11</v>
      </c>
      <c r="N1336" s="7" t="s">
        <v>23</v>
      </c>
      <c r="O1336" t="s">
        <v>31</v>
      </c>
      <c r="P1336" t="s">
        <v>4256</v>
      </c>
      <c r="Q1336" t="s">
        <v>4253</v>
      </c>
      <c r="R1336" t="s">
        <v>4228</v>
      </c>
    </row>
    <row r="1337" spans="1:18" hidden="1">
      <c r="A1337">
        <v>4</v>
      </c>
      <c r="B1337" s="4" t="s">
        <v>3127</v>
      </c>
      <c r="C1337" s="4" t="s">
        <v>4207</v>
      </c>
      <c r="D1337" s="4" t="s">
        <v>4257</v>
      </c>
      <c r="E1337" s="4" t="s">
        <v>5804</v>
      </c>
      <c r="F1337" t="s">
        <v>904</v>
      </c>
      <c r="G1337" t="s">
        <v>910</v>
      </c>
      <c r="H1337" t="s">
        <v>21</v>
      </c>
      <c r="I1337">
        <v>3</v>
      </c>
      <c r="J1337" s="5">
        <v>7.0999999999999994E-2</v>
      </c>
      <c r="K1337" t="s">
        <v>208</v>
      </c>
      <c r="L1337" s="6">
        <v>42125</v>
      </c>
      <c r="M1337">
        <v>5</v>
      </c>
      <c r="N1337" s="7" t="s">
        <v>23</v>
      </c>
      <c r="O1337" t="s">
        <v>31</v>
      </c>
      <c r="P1337" t="s">
        <v>4258</v>
      </c>
      <c r="Q1337" t="s">
        <v>3859</v>
      </c>
      <c r="R1337" t="s">
        <v>4228</v>
      </c>
    </row>
    <row r="1338" spans="1:18" hidden="1">
      <c r="A1338">
        <v>4</v>
      </c>
      <c r="B1338" s="4" t="s">
        <v>3127</v>
      </c>
      <c r="C1338" s="4" t="s">
        <v>4207</v>
      </c>
      <c r="D1338" s="4" t="s">
        <v>4257</v>
      </c>
      <c r="E1338" s="4" t="s">
        <v>5804</v>
      </c>
      <c r="F1338" t="s">
        <v>904</v>
      </c>
      <c r="G1338" t="s">
        <v>905</v>
      </c>
      <c r="H1338" t="s">
        <v>53</v>
      </c>
      <c r="I1338" t="s">
        <v>53</v>
      </c>
      <c r="J1338" s="5" t="s">
        <v>53</v>
      </c>
      <c r="K1338" t="s">
        <v>558</v>
      </c>
      <c r="L1338" s="6">
        <v>42339</v>
      </c>
      <c r="M1338">
        <v>12</v>
      </c>
      <c r="N1338" s="7" t="s">
        <v>30</v>
      </c>
      <c r="O1338" t="s">
        <v>31</v>
      </c>
      <c r="P1338" t="s">
        <v>4262</v>
      </c>
      <c r="Q1338" t="s">
        <v>3859</v>
      </c>
      <c r="R1338" t="s">
        <v>4263</v>
      </c>
    </row>
    <row r="1339" spans="1:18" hidden="1">
      <c r="A1339">
        <v>4</v>
      </c>
      <c r="B1339" s="4" t="s">
        <v>3127</v>
      </c>
      <c r="C1339" s="4" t="s">
        <v>4207</v>
      </c>
      <c r="D1339" s="4" t="s">
        <v>4257</v>
      </c>
      <c r="E1339" s="4" t="s">
        <v>5804</v>
      </c>
      <c r="F1339" t="s">
        <v>904</v>
      </c>
      <c r="G1339" t="s">
        <v>936</v>
      </c>
      <c r="H1339" t="s">
        <v>21</v>
      </c>
      <c r="I1339">
        <v>3</v>
      </c>
      <c r="J1339" s="5">
        <v>7.0999999999999994E-2</v>
      </c>
      <c r="K1339" t="s">
        <v>382</v>
      </c>
      <c r="L1339" s="6">
        <v>42401</v>
      </c>
      <c r="M1339">
        <v>2</v>
      </c>
      <c r="N1339" s="7" t="s">
        <v>30</v>
      </c>
      <c r="O1339" t="s">
        <v>31</v>
      </c>
      <c r="P1339" t="s">
        <v>4273</v>
      </c>
      <c r="Q1339" t="s">
        <v>4173</v>
      </c>
      <c r="R1339" t="s">
        <v>4174</v>
      </c>
    </row>
    <row r="1340" spans="1:18" hidden="1">
      <c r="A1340">
        <v>4</v>
      </c>
      <c r="B1340" s="4" t="s">
        <v>3127</v>
      </c>
      <c r="C1340" s="4" t="s">
        <v>4207</v>
      </c>
      <c r="D1340" s="4" t="s">
        <v>4257</v>
      </c>
      <c r="E1340" s="4" t="s">
        <v>5804</v>
      </c>
      <c r="F1340" t="s">
        <v>904</v>
      </c>
      <c r="G1340" t="s">
        <v>936</v>
      </c>
      <c r="H1340" t="s">
        <v>21</v>
      </c>
      <c r="I1340">
        <v>3</v>
      </c>
      <c r="J1340" s="5">
        <v>7.0999999999999994E-2</v>
      </c>
      <c r="K1340" t="s">
        <v>65</v>
      </c>
      <c r="L1340" s="6">
        <v>42430</v>
      </c>
      <c r="M1340">
        <v>3</v>
      </c>
      <c r="N1340" s="7" t="s">
        <v>23</v>
      </c>
      <c r="O1340" t="s">
        <v>31</v>
      </c>
      <c r="P1340" t="s">
        <v>4276</v>
      </c>
      <c r="Q1340" t="s">
        <v>3804</v>
      </c>
      <c r="R1340" t="s">
        <v>4174</v>
      </c>
    </row>
    <row r="1341" spans="1:18" hidden="1">
      <c r="A1341">
        <v>4</v>
      </c>
      <c r="B1341" s="4" t="s">
        <v>3127</v>
      </c>
      <c r="C1341" s="4" t="s">
        <v>4207</v>
      </c>
      <c r="D1341" s="4" t="s">
        <v>4257</v>
      </c>
      <c r="E1341" s="4" t="s">
        <v>5804</v>
      </c>
      <c r="F1341" t="s">
        <v>904</v>
      </c>
      <c r="G1341" t="s">
        <v>910</v>
      </c>
      <c r="H1341" t="s">
        <v>21</v>
      </c>
      <c r="I1341">
        <v>3</v>
      </c>
      <c r="J1341" s="5">
        <v>7.0999999999999994E-2</v>
      </c>
      <c r="K1341" t="s">
        <v>115</v>
      </c>
      <c r="L1341" s="6">
        <v>42461</v>
      </c>
      <c r="M1341">
        <v>4</v>
      </c>
      <c r="N1341" s="7" t="s">
        <v>23</v>
      </c>
      <c r="O1341" t="s">
        <v>31</v>
      </c>
      <c r="P1341" t="s">
        <v>4277</v>
      </c>
      <c r="Q1341" t="s">
        <v>3804</v>
      </c>
      <c r="R1341" t="s">
        <v>4174</v>
      </c>
    </row>
    <row r="1342" spans="1:18" hidden="1">
      <c r="A1342">
        <v>4</v>
      </c>
      <c r="B1342" s="4" t="s">
        <v>3127</v>
      </c>
      <c r="C1342" s="4" t="s">
        <v>4207</v>
      </c>
      <c r="D1342" s="4" t="s">
        <v>4257</v>
      </c>
      <c r="E1342" s="4" t="s">
        <v>5804</v>
      </c>
      <c r="F1342" t="s">
        <v>904</v>
      </c>
      <c r="G1342" t="s">
        <v>987</v>
      </c>
      <c r="H1342" t="s">
        <v>53</v>
      </c>
      <c r="I1342" t="s">
        <v>53</v>
      </c>
      <c r="J1342" s="5" t="s">
        <v>53</v>
      </c>
      <c r="K1342" t="s">
        <v>701</v>
      </c>
      <c r="L1342" s="6">
        <v>42491</v>
      </c>
      <c r="M1342">
        <v>5</v>
      </c>
      <c r="N1342" s="7" t="s">
        <v>23</v>
      </c>
      <c r="O1342" t="s">
        <v>24</v>
      </c>
      <c r="P1342" t="s">
        <v>4286</v>
      </c>
      <c r="Q1342" t="s">
        <v>4287</v>
      </c>
      <c r="R1342" t="s">
        <v>4288</v>
      </c>
    </row>
    <row r="1343" spans="1:18" hidden="1">
      <c r="A1343">
        <v>4</v>
      </c>
      <c r="B1343" s="4" t="s">
        <v>3127</v>
      </c>
      <c r="C1343" s="4" t="s">
        <v>4207</v>
      </c>
      <c r="D1343" s="4" t="s">
        <v>4257</v>
      </c>
      <c r="E1343" s="4" t="s">
        <v>5804</v>
      </c>
      <c r="F1343" t="s">
        <v>904</v>
      </c>
      <c r="G1343" t="s">
        <v>910</v>
      </c>
      <c r="H1343" t="s">
        <v>21</v>
      </c>
      <c r="I1343">
        <v>3</v>
      </c>
      <c r="J1343" s="5">
        <v>7.0999999999999994E-2</v>
      </c>
      <c r="K1343" t="s">
        <v>701</v>
      </c>
      <c r="L1343" s="6">
        <v>42491</v>
      </c>
      <c r="M1343">
        <v>5</v>
      </c>
      <c r="N1343" s="7" t="s">
        <v>23</v>
      </c>
      <c r="O1343" t="s">
        <v>31</v>
      </c>
      <c r="P1343" t="s">
        <v>4289</v>
      </c>
      <c r="Q1343" t="s">
        <v>3804</v>
      </c>
      <c r="R1343" t="s">
        <v>4174</v>
      </c>
    </row>
    <row r="1344" spans="1:18" hidden="1">
      <c r="A1344">
        <v>4</v>
      </c>
      <c r="B1344" s="4" t="s">
        <v>3127</v>
      </c>
      <c r="C1344" s="4" t="s">
        <v>4207</v>
      </c>
      <c r="D1344" s="4" t="s">
        <v>4257</v>
      </c>
      <c r="E1344" s="4" t="s">
        <v>5804</v>
      </c>
      <c r="F1344" t="s">
        <v>904</v>
      </c>
      <c r="G1344" t="s">
        <v>910</v>
      </c>
      <c r="H1344" t="s">
        <v>21</v>
      </c>
      <c r="I1344">
        <v>3</v>
      </c>
      <c r="J1344" s="5">
        <v>7.0999999999999994E-2</v>
      </c>
      <c r="K1344" t="s">
        <v>701</v>
      </c>
      <c r="L1344" s="6">
        <v>42491</v>
      </c>
      <c r="M1344">
        <v>5</v>
      </c>
      <c r="N1344" s="7" t="s">
        <v>23</v>
      </c>
      <c r="O1344" t="s">
        <v>31</v>
      </c>
      <c r="P1344" t="s">
        <v>4290</v>
      </c>
      <c r="Q1344" t="s">
        <v>4291</v>
      </c>
      <c r="R1344" t="s">
        <v>4261</v>
      </c>
    </row>
    <row r="1345" spans="1:18" hidden="1">
      <c r="A1345">
        <v>4</v>
      </c>
      <c r="B1345" s="4" t="s">
        <v>3127</v>
      </c>
      <c r="C1345" s="4" t="s">
        <v>4207</v>
      </c>
      <c r="D1345" s="4" t="s">
        <v>4257</v>
      </c>
      <c r="E1345" s="4" t="s">
        <v>5804</v>
      </c>
      <c r="F1345" t="s">
        <v>904</v>
      </c>
      <c r="G1345" t="s">
        <v>910</v>
      </c>
      <c r="H1345" t="s">
        <v>21</v>
      </c>
      <c r="I1345">
        <v>3</v>
      </c>
      <c r="J1345" s="5">
        <v>7.0999999999999994E-2</v>
      </c>
      <c r="K1345" t="s">
        <v>701</v>
      </c>
      <c r="L1345" s="6">
        <v>42491</v>
      </c>
      <c r="M1345">
        <v>5</v>
      </c>
      <c r="N1345" s="7" t="s">
        <v>23</v>
      </c>
      <c r="O1345" t="s">
        <v>31</v>
      </c>
      <c r="P1345" t="s">
        <v>4293</v>
      </c>
      <c r="Q1345" t="s">
        <v>3859</v>
      </c>
      <c r="R1345" t="s">
        <v>4228</v>
      </c>
    </row>
    <row r="1346" spans="1:18" hidden="1">
      <c r="A1346">
        <v>4</v>
      </c>
      <c r="B1346" s="4" t="s">
        <v>3127</v>
      </c>
      <c r="C1346" s="4" t="s">
        <v>4207</v>
      </c>
      <c r="D1346" s="4" t="s">
        <v>4257</v>
      </c>
      <c r="E1346" s="4" t="s">
        <v>5804</v>
      </c>
      <c r="F1346" t="s">
        <v>904</v>
      </c>
      <c r="G1346" t="s">
        <v>936</v>
      </c>
      <c r="H1346" t="s">
        <v>21</v>
      </c>
      <c r="I1346">
        <v>3</v>
      </c>
      <c r="J1346" s="5">
        <v>7.0999999999999994E-2</v>
      </c>
      <c r="K1346" t="s">
        <v>701</v>
      </c>
      <c r="L1346" s="6">
        <v>42491</v>
      </c>
      <c r="M1346">
        <v>5</v>
      </c>
      <c r="N1346" s="7" t="s">
        <v>23</v>
      </c>
      <c r="O1346" t="s">
        <v>31</v>
      </c>
      <c r="P1346" t="s">
        <v>4294</v>
      </c>
      <c r="Q1346" t="s">
        <v>4173</v>
      </c>
      <c r="R1346" t="s">
        <v>4174</v>
      </c>
    </row>
    <row r="1347" spans="1:18" hidden="1">
      <c r="A1347">
        <v>4</v>
      </c>
      <c r="B1347" s="4" t="s">
        <v>3127</v>
      </c>
      <c r="C1347" s="4" t="s">
        <v>4207</v>
      </c>
      <c r="D1347" s="4" t="s">
        <v>4257</v>
      </c>
      <c r="E1347" s="4" t="s">
        <v>5804</v>
      </c>
      <c r="F1347" t="s">
        <v>904</v>
      </c>
      <c r="G1347" t="s">
        <v>910</v>
      </c>
      <c r="H1347" t="s">
        <v>21</v>
      </c>
      <c r="I1347">
        <v>3</v>
      </c>
      <c r="J1347" s="5">
        <v>7.0999999999999994E-2</v>
      </c>
      <c r="K1347" t="s">
        <v>71</v>
      </c>
      <c r="L1347" s="6">
        <v>42522</v>
      </c>
      <c r="M1347">
        <v>6</v>
      </c>
      <c r="N1347" s="7" t="s">
        <v>55</v>
      </c>
      <c r="O1347" t="s">
        <v>31</v>
      </c>
      <c r="P1347" t="s">
        <v>4298</v>
      </c>
      <c r="Q1347" t="s">
        <v>3859</v>
      </c>
      <c r="R1347" t="s">
        <v>4228</v>
      </c>
    </row>
    <row r="1348" spans="1:18" hidden="1">
      <c r="A1348">
        <v>4</v>
      </c>
      <c r="B1348" s="4" t="s">
        <v>3127</v>
      </c>
      <c r="C1348" s="4" t="s">
        <v>4207</v>
      </c>
      <c r="D1348" s="4" t="s">
        <v>4257</v>
      </c>
      <c r="E1348" s="4" t="s">
        <v>5804</v>
      </c>
      <c r="F1348" t="s">
        <v>904</v>
      </c>
      <c r="G1348" t="s">
        <v>910</v>
      </c>
      <c r="H1348" t="s">
        <v>21</v>
      </c>
      <c r="I1348">
        <v>3</v>
      </c>
      <c r="J1348" s="5">
        <v>7.0999999999999994E-2</v>
      </c>
      <c r="K1348" t="s">
        <v>71</v>
      </c>
      <c r="L1348" s="6">
        <v>42522</v>
      </c>
      <c r="M1348">
        <v>6</v>
      </c>
      <c r="N1348" s="7" t="s">
        <v>55</v>
      </c>
      <c r="O1348" t="s">
        <v>31</v>
      </c>
      <c r="P1348" t="s">
        <v>4299</v>
      </c>
      <c r="Q1348" t="s">
        <v>4300</v>
      </c>
      <c r="R1348" t="s">
        <v>4228</v>
      </c>
    </row>
    <row r="1349" spans="1:18" hidden="1">
      <c r="A1349">
        <v>4</v>
      </c>
      <c r="B1349" s="4" t="s">
        <v>3127</v>
      </c>
      <c r="C1349" s="4" t="s">
        <v>4207</v>
      </c>
      <c r="D1349" s="4" t="s">
        <v>4257</v>
      </c>
      <c r="E1349" s="4" t="s">
        <v>5804</v>
      </c>
      <c r="F1349" t="s">
        <v>904</v>
      </c>
      <c r="G1349" t="s">
        <v>936</v>
      </c>
      <c r="H1349" t="s">
        <v>21</v>
      </c>
      <c r="I1349">
        <v>3</v>
      </c>
      <c r="J1349" s="5">
        <v>7.0999999999999994E-2</v>
      </c>
      <c r="K1349" t="s">
        <v>119</v>
      </c>
      <c r="L1349" s="6">
        <v>42552</v>
      </c>
      <c r="M1349">
        <v>7</v>
      </c>
      <c r="N1349" s="7" t="s">
        <v>55</v>
      </c>
      <c r="O1349" t="s">
        <v>31</v>
      </c>
      <c r="P1349" t="s">
        <v>4301</v>
      </c>
      <c r="Q1349" t="s">
        <v>3804</v>
      </c>
      <c r="R1349" t="s">
        <v>4174</v>
      </c>
    </row>
    <row r="1350" spans="1:18" hidden="1">
      <c r="A1350">
        <v>4</v>
      </c>
      <c r="B1350" s="4" t="s">
        <v>3127</v>
      </c>
      <c r="C1350" s="4" t="s">
        <v>4207</v>
      </c>
      <c r="D1350" s="4" t="s">
        <v>4257</v>
      </c>
      <c r="E1350" s="4" t="s">
        <v>5804</v>
      </c>
      <c r="F1350" t="s">
        <v>904</v>
      </c>
      <c r="G1350" t="s">
        <v>910</v>
      </c>
      <c r="H1350" t="s">
        <v>21</v>
      </c>
      <c r="I1350">
        <v>3</v>
      </c>
      <c r="J1350" s="5">
        <v>7.0999999999999994E-2</v>
      </c>
      <c r="K1350" t="s">
        <v>218</v>
      </c>
      <c r="L1350" s="6">
        <v>42614</v>
      </c>
      <c r="M1350">
        <v>9</v>
      </c>
      <c r="N1350" s="7" t="s">
        <v>23</v>
      </c>
      <c r="O1350" t="s">
        <v>31</v>
      </c>
      <c r="P1350" t="s">
        <v>4307</v>
      </c>
      <c r="Q1350" t="s">
        <v>4291</v>
      </c>
      <c r="R1350" t="s">
        <v>4261</v>
      </c>
    </row>
    <row r="1351" spans="1:18" hidden="1">
      <c r="A1351">
        <v>4</v>
      </c>
      <c r="B1351" s="4" t="s">
        <v>3127</v>
      </c>
      <c r="C1351" s="4" t="s">
        <v>4207</v>
      </c>
      <c r="D1351" s="4" t="s">
        <v>4257</v>
      </c>
      <c r="E1351" s="4" t="s">
        <v>5804</v>
      </c>
      <c r="F1351" t="s">
        <v>904</v>
      </c>
      <c r="G1351" t="s">
        <v>910</v>
      </c>
      <c r="H1351" t="s">
        <v>21</v>
      </c>
      <c r="I1351">
        <v>3</v>
      </c>
      <c r="J1351" s="5">
        <v>7.0999999999999994E-2</v>
      </c>
      <c r="K1351" t="s">
        <v>218</v>
      </c>
      <c r="L1351" s="6">
        <v>42614</v>
      </c>
      <c r="M1351">
        <v>9</v>
      </c>
      <c r="N1351" s="7" t="s">
        <v>23</v>
      </c>
      <c r="O1351" t="s">
        <v>31</v>
      </c>
      <c r="P1351" t="s">
        <v>4308</v>
      </c>
      <c r="Q1351" t="s">
        <v>4291</v>
      </c>
      <c r="R1351" t="s">
        <v>4261</v>
      </c>
    </row>
    <row r="1352" spans="1:18" hidden="1">
      <c r="A1352">
        <v>4</v>
      </c>
      <c r="B1352" s="4" t="s">
        <v>3127</v>
      </c>
      <c r="C1352" s="4" t="s">
        <v>4207</v>
      </c>
      <c r="D1352" s="4" t="s">
        <v>4257</v>
      </c>
      <c r="E1352" s="4" t="s">
        <v>5804</v>
      </c>
      <c r="F1352" t="s">
        <v>904</v>
      </c>
      <c r="G1352" t="s">
        <v>910</v>
      </c>
      <c r="H1352" t="s">
        <v>21</v>
      </c>
      <c r="I1352">
        <v>3</v>
      </c>
      <c r="J1352" s="5">
        <v>7.0999999999999994E-2</v>
      </c>
      <c r="K1352" t="s">
        <v>220</v>
      </c>
      <c r="L1352" s="6">
        <v>42644</v>
      </c>
      <c r="M1352">
        <v>10</v>
      </c>
      <c r="N1352" s="7" t="s">
        <v>23</v>
      </c>
      <c r="O1352" t="s">
        <v>31</v>
      </c>
      <c r="P1352" t="s">
        <v>4309</v>
      </c>
      <c r="Q1352" t="s">
        <v>4173</v>
      </c>
      <c r="R1352" t="s">
        <v>4174</v>
      </c>
    </row>
    <row r="1353" spans="1:18" hidden="1">
      <c r="A1353">
        <v>4</v>
      </c>
      <c r="B1353" s="4" t="s">
        <v>3127</v>
      </c>
      <c r="C1353" s="4" t="s">
        <v>4207</v>
      </c>
      <c r="D1353" s="4" t="s">
        <v>4257</v>
      </c>
      <c r="E1353" s="4" t="s">
        <v>5804</v>
      </c>
      <c r="F1353" t="s">
        <v>904</v>
      </c>
      <c r="G1353" t="s">
        <v>936</v>
      </c>
      <c r="H1353" t="s">
        <v>21</v>
      </c>
      <c r="I1353">
        <v>3</v>
      </c>
      <c r="J1353" s="5">
        <v>7.0999999999999994E-2</v>
      </c>
      <c r="K1353" t="s">
        <v>278</v>
      </c>
      <c r="L1353" s="6">
        <v>42675</v>
      </c>
      <c r="M1353">
        <v>11</v>
      </c>
      <c r="N1353" s="7" t="s">
        <v>23</v>
      </c>
      <c r="O1353" t="s">
        <v>31</v>
      </c>
      <c r="P1353" t="s">
        <v>4315</v>
      </c>
      <c r="Q1353" t="s">
        <v>4173</v>
      </c>
      <c r="R1353" t="s">
        <v>4174</v>
      </c>
    </row>
    <row r="1354" spans="1:18" hidden="1">
      <c r="A1354">
        <v>4</v>
      </c>
      <c r="B1354" s="4" t="s">
        <v>3127</v>
      </c>
      <c r="C1354" s="4" t="s">
        <v>4207</v>
      </c>
      <c r="D1354" s="4" t="s">
        <v>4257</v>
      </c>
      <c r="E1354" s="4" t="s">
        <v>5804</v>
      </c>
      <c r="F1354" t="s">
        <v>904</v>
      </c>
      <c r="G1354" t="s">
        <v>910</v>
      </c>
      <c r="H1354" t="s">
        <v>21</v>
      </c>
      <c r="I1354">
        <v>3</v>
      </c>
      <c r="J1354" s="5">
        <v>7.0999999999999994E-2</v>
      </c>
      <c r="K1354" t="s">
        <v>477</v>
      </c>
      <c r="L1354" s="6">
        <v>42705</v>
      </c>
      <c r="M1354">
        <v>12</v>
      </c>
      <c r="N1354" s="7" t="s">
        <v>30</v>
      </c>
      <c r="O1354" t="s">
        <v>31</v>
      </c>
      <c r="P1354" t="s">
        <v>4326</v>
      </c>
      <c r="Q1354" t="s">
        <v>4291</v>
      </c>
      <c r="R1354" t="s">
        <v>4261</v>
      </c>
    </row>
    <row r="1355" spans="1:18" hidden="1">
      <c r="A1355">
        <v>4</v>
      </c>
      <c r="B1355" s="4" t="s">
        <v>3127</v>
      </c>
      <c r="C1355" s="4" t="s">
        <v>4207</v>
      </c>
      <c r="D1355" s="4" t="s">
        <v>4257</v>
      </c>
      <c r="E1355" s="4" t="s">
        <v>5804</v>
      </c>
      <c r="F1355" t="s">
        <v>904</v>
      </c>
      <c r="G1355" t="s">
        <v>910</v>
      </c>
      <c r="H1355" t="s">
        <v>21</v>
      </c>
      <c r="I1355">
        <v>3</v>
      </c>
      <c r="J1355" s="5">
        <v>7.0999999999999994E-2</v>
      </c>
      <c r="K1355" t="s">
        <v>477</v>
      </c>
      <c r="L1355" s="6">
        <v>42705</v>
      </c>
      <c r="M1355">
        <v>12</v>
      </c>
      <c r="N1355" s="7" t="s">
        <v>30</v>
      </c>
      <c r="O1355" t="s">
        <v>31</v>
      </c>
      <c r="P1355" t="s">
        <v>4327</v>
      </c>
      <c r="Q1355" t="s">
        <v>4173</v>
      </c>
      <c r="R1355" t="s">
        <v>4174</v>
      </c>
    </row>
    <row r="1356" spans="1:18" hidden="1">
      <c r="A1356">
        <v>4</v>
      </c>
      <c r="B1356" s="4" t="s">
        <v>3127</v>
      </c>
      <c r="C1356" s="4" t="s">
        <v>4207</v>
      </c>
      <c r="D1356" s="4" t="s">
        <v>4257</v>
      </c>
      <c r="E1356" s="4" t="s">
        <v>5804</v>
      </c>
      <c r="F1356" t="s">
        <v>904</v>
      </c>
      <c r="G1356" t="s">
        <v>910</v>
      </c>
      <c r="H1356" t="s">
        <v>21</v>
      </c>
      <c r="I1356">
        <v>3</v>
      </c>
      <c r="J1356" s="5">
        <v>7.0999999999999994E-2</v>
      </c>
      <c r="K1356" t="s">
        <v>124</v>
      </c>
      <c r="L1356" s="6">
        <v>42767</v>
      </c>
      <c r="M1356">
        <v>2</v>
      </c>
      <c r="N1356" s="7" t="s">
        <v>30</v>
      </c>
      <c r="O1356" t="s">
        <v>31</v>
      </c>
      <c r="P1356" t="s">
        <v>4340</v>
      </c>
      <c r="Q1356" t="s">
        <v>3804</v>
      </c>
      <c r="R1356" t="s">
        <v>4174</v>
      </c>
    </row>
    <row r="1357" spans="1:18" hidden="1">
      <c r="A1357">
        <v>4</v>
      </c>
      <c r="B1357" s="4" t="s">
        <v>3127</v>
      </c>
      <c r="C1357" s="4" t="s">
        <v>4207</v>
      </c>
      <c r="D1357" s="4" t="s">
        <v>4257</v>
      </c>
      <c r="E1357" s="4" t="s">
        <v>5804</v>
      </c>
      <c r="F1357" t="s">
        <v>904</v>
      </c>
      <c r="G1357" t="s">
        <v>987</v>
      </c>
      <c r="H1357" t="s">
        <v>53</v>
      </c>
      <c r="I1357" t="s">
        <v>53</v>
      </c>
      <c r="J1357" s="5" t="s">
        <v>53</v>
      </c>
      <c r="K1357" t="s">
        <v>124</v>
      </c>
      <c r="L1357" s="6">
        <v>42767</v>
      </c>
      <c r="M1357">
        <v>2</v>
      </c>
      <c r="N1357" s="7" t="s">
        <v>30</v>
      </c>
      <c r="O1357" t="s">
        <v>979</v>
      </c>
      <c r="P1357" t="s">
        <v>4341</v>
      </c>
      <c r="Q1357" t="s">
        <v>4342</v>
      </c>
      <c r="R1357" t="s">
        <v>4343</v>
      </c>
    </row>
    <row r="1358" spans="1:18" hidden="1">
      <c r="A1358">
        <v>4</v>
      </c>
      <c r="B1358" s="4" t="s">
        <v>3127</v>
      </c>
      <c r="C1358" s="4" t="s">
        <v>4207</v>
      </c>
      <c r="D1358" s="4" t="s">
        <v>4257</v>
      </c>
      <c r="E1358" s="4" t="s">
        <v>5804</v>
      </c>
      <c r="F1358" t="s">
        <v>904</v>
      </c>
      <c r="G1358" t="s">
        <v>936</v>
      </c>
      <c r="H1358" t="s">
        <v>21</v>
      </c>
      <c r="I1358">
        <v>3</v>
      </c>
      <c r="J1358" s="5">
        <v>7.0999999999999994E-2</v>
      </c>
      <c r="K1358" t="s">
        <v>128</v>
      </c>
      <c r="L1358" s="6">
        <v>42795</v>
      </c>
      <c r="M1358">
        <v>3</v>
      </c>
      <c r="N1358" s="7" t="s">
        <v>23</v>
      </c>
      <c r="O1358" t="s">
        <v>31</v>
      </c>
      <c r="P1358" t="s">
        <v>4345</v>
      </c>
      <c r="Q1358" t="s">
        <v>3804</v>
      </c>
      <c r="R1358" t="s">
        <v>4174</v>
      </c>
    </row>
    <row r="1359" spans="1:18" hidden="1">
      <c r="A1359">
        <v>4</v>
      </c>
      <c r="B1359" s="4" t="s">
        <v>3127</v>
      </c>
      <c r="C1359" s="4" t="s">
        <v>4207</v>
      </c>
      <c r="D1359" s="4" t="s">
        <v>4257</v>
      </c>
      <c r="E1359" s="4" t="s">
        <v>5804</v>
      </c>
      <c r="F1359" t="s">
        <v>904</v>
      </c>
      <c r="G1359" t="s">
        <v>936</v>
      </c>
      <c r="H1359" t="s">
        <v>21</v>
      </c>
      <c r="I1359">
        <v>3</v>
      </c>
      <c r="J1359" s="5">
        <v>7.0999999999999994E-2</v>
      </c>
      <c r="K1359" t="s">
        <v>128</v>
      </c>
      <c r="L1359" s="6">
        <v>42795</v>
      </c>
      <c r="M1359">
        <v>3</v>
      </c>
      <c r="N1359" s="7" t="s">
        <v>23</v>
      </c>
      <c r="O1359" t="s">
        <v>31</v>
      </c>
      <c r="P1359" t="s">
        <v>4346</v>
      </c>
      <c r="Q1359" t="s">
        <v>4173</v>
      </c>
      <c r="R1359" t="s">
        <v>4174</v>
      </c>
    </row>
    <row r="1360" spans="1:18" hidden="1">
      <c r="A1360">
        <v>4</v>
      </c>
      <c r="B1360" s="4" t="s">
        <v>3127</v>
      </c>
      <c r="C1360" s="4" t="s">
        <v>4207</v>
      </c>
      <c r="D1360" s="4" t="s">
        <v>4257</v>
      </c>
      <c r="E1360" s="4" t="s">
        <v>5804</v>
      </c>
      <c r="F1360" t="s">
        <v>904</v>
      </c>
      <c r="G1360" t="s">
        <v>987</v>
      </c>
      <c r="H1360" t="s">
        <v>53</v>
      </c>
      <c r="I1360" t="s">
        <v>53</v>
      </c>
      <c r="J1360" s="5" t="s">
        <v>53</v>
      </c>
      <c r="K1360" t="s">
        <v>128</v>
      </c>
      <c r="L1360" s="6">
        <v>42795</v>
      </c>
      <c r="M1360">
        <v>3</v>
      </c>
      <c r="N1360" s="7" t="s">
        <v>23</v>
      </c>
      <c r="O1360" t="s">
        <v>31</v>
      </c>
      <c r="P1360" t="s">
        <v>4347</v>
      </c>
      <c r="Q1360" t="s">
        <v>4173</v>
      </c>
      <c r="R1360" t="s">
        <v>4348</v>
      </c>
    </row>
    <row r="1361" spans="1:18" hidden="1">
      <c r="A1361">
        <v>4</v>
      </c>
      <c r="B1361" s="4" t="s">
        <v>3127</v>
      </c>
      <c r="C1361" s="4" t="s">
        <v>4207</v>
      </c>
      <c r="D1361" s="4" t="s">
        <v>4257</v>
      </c>
      <c r="E1361" s="4" t="s">
        <v>5804</v>
      </c>
      <c r="F1361" t="s">
        <v>904</v>
      </c>
      <c r="G1361" t="s">
        <v>936</v>
      </c>
      <c r="H1361" t="s">
        <v>21</v>
      </c>
      <c r="I1361">
        <v>3</v>
      </c>
      <c r="J1361" s="5">
        <v>7.0999999999999994E-2</v>
      </c>
      <c r="K1361" t="s">
        <v>234</v>
      </c>
      <c r="L1361" s="6">
        <v>42826</v>
      </c>
      <c r="M1361">
        <v>4</v>
      </c>
      <c r="N1361" s="7" t="s">
        <v>23</v>
      </c>
      <c r="O1361" t="s">
        <v>31</v>
      </c>
      <c r="P1361" t="s">
        <v>4349</v>
      </c>
      <c r="Q1361" t="s">
        <v>3804</v>
      </c>
      <c r="R1361" t="s">
        <v>4174</v>
      </c>
    </row>
    <row r="1362" spans="1:18" hidden="1">
      <c r="A1362">
        <v>4</v>
      </c>
      <c r="B1362" s="4" t="s">
        <v>3127</v>
      </c>
      <c r="C1362" s="4" t="s">
        <v>4207</v>
      </c>
      <c r="D1362" s="4" t="s">
        <v>4257</v>
      </c>
      <c r="E1362" s="4" t="s">
        <v>5804</v>
      </c>
      <c r="F1362" t="s">
        <v>904</v>
      </c>
      <c r="G1362" t="s">
        <v>936</v>
      </c>
      <c r="H1362" t="s">
        <v>21</v>
      </c>
      <c r="I1362">
        <v>3</v>
      </c>
      <c r="J1362" s="5">
        <v>7.0999999999999994E-2</v>
      </c>
      <c r="K1362" t="s">
        <v>234</v>
      </c>
      <c r="L1362" s="6">
        <v>42826</v>
      </c>
      <c r="M1362">
        <v>4</v>
      </c>
      <c r="N1362" s="7" t="s">
        <v>23</v>
      </c>
      <c r="O1362" t="s">
        <v>31</v>
      </c>
      <c r="P1362" t="s">
        <v>4350</v>
      </c>
      <c r="Q1362" t="s">
        <v>4173</v>
      </c>
      <c r="R1362" t="s">
        <v>4174</v>
      </c>
    </row>
    <row r="1363" spans="1:18" hidden="1">
      <c r="A1363">
        <v>4</v>
      </c>
      <c r="B1363" s="4" t="s">
        <v>3127</v>
      </c>
      <c r="C1363" s="4" t="s">
        <v>4207</v>
      </c>
      <c r="D1363" s="4" t="s">
        <v>4257</v>
      </c>
      <c r="E1363" s="4" t="s">
        <v>5804</v>
      </c>
      <c r="F1363" t="s">
        <v>904</v>
      </c>
      <c r="G1363" t="s">
        <v>910</v>
      </c>
      <c r="H1363" t="s">
        <v>21</v>
      </c>
      <c r="I1363">
        <v>3</v>
      </c>
      <c r="J1363" s="5">
        <v>7.0999999999999994E-2</v>
      </c>
      <c r="K1363" t="s">
        <v>76</v>
      </c>
      <c r="L1363" s="6">
        <v>42856</v>
      </c>
      <c r="M1363">
        <v>5</v>
      </c>
      <c r="N1363" s="7" t="s">
        <v>23</v>
      </c>
      <c r="O1363" t="s">
        <v>31</v>
      </c>
      <c r="P1363" t="s">
        <v>4351</v>
      </c>
      <c r="Q1363" t="s">
        <v>3804</v>
      </c>
      <c r="R1363" t="s">
        <v>4174</v>
      </c>
    </row>
    <row r="1364" spans="1:18" hidden="1">
      <c r="A1364">
        <v>4</v>
      </c>
      <c r="B1364" s="4" t="s">
        <v>3127</v>
      </c>
      <c r="C1364" s="4" t="s">
        <v>4207</v>
      </c>
      <c r="D1364" s="4" t="s">
        <v>4257</v>
      </c>
      <c r="E1364" s="4" t="s">
        <v>5804</v>
      </c>
      <c r="F1364" t="s">
        <v>904</v>
      </c>
      <c r="G1364" t="s">
        <v>910</v>
      </c>
      <c r="H1364" t="s">
        <v>21</v>
      </c>
      <c r="I1364">
        <v>3</v>
      </c>
      <c r="J1364" s="5">
        <v>7.0999999999999994E-2</v>
      </c>
      <c r="K1364" t="s">
        <v>681</v>
      </c>
      <c r="L1364" s="6">
        <v>42887</v>
      </c>
      <c r="M1364">
        <v>6</v>
      </c>
      <c r="N1364" s="7" t="s">
        <v>55</v>
      </c>
      <c r="O1364" t="s">
        <v>31</v>
      </c>
      <c r="P1364" t="s">
        <v>4354</v>
      </c>
      <c r="Q1364" t="s">
        <v>3804</v>
      </c>
      <c r="R1364" t="s">
        <v>4174</v>
      </c>
    </row>
    <row r="1365" spans="1:18" hidden="1">
      <c r="A1365">
        <v>4</v>
      </c>
      <c r="B1365" s="4" t="s">
        <v>3127</v>
      </c>
      <c r="C1365" s="4" t="s">
        <v>4207</v>
      </c>
      <c r="D1365" s="4" t="s">
        <v>4257</v>
      </c>
      <c r="E1365" s="4" t="s">
        <v>5804</v>
      </c>
      <c r="F1365" t="s">
        <v>904</v>
      </c>
      <c r="G1365" t="s">
        <v>936</v>
      </c>
      <c r="H1365" t="s">
        <v>21</v>
      </c>
      <c r="I1365">
        <v>3</v>
      </c>
      <c r="J1365" s="5">
        <v>7.0999999999999994E-2</v>
      </c>
      <c r="K1365" t="s">
        <v>80</v>
      </c>
      <c r="L1365" s="6">
        <v>42917</v>
      </c>
      <c r="M1365">
        <v>7</v>
      </c>
      <c r="N1365" s="7" t="s">
        <v>55</v>
      </c>
      <c r="O1365" t="s">
        <v>31</v>
      </c>
      <c r="P1365" t="s">
        <v>4355</v>
      </c>
      <c r="Q1365" t="s">
        <v>4173</v>
      </c>
      <c r="R1365" t="s">
        <v>4174</v>
      </c>
    </row>
    <row r="1366" spans="1:18" hidden="1">
      <c r="A1366">
        <v>4</v>
      </c>
      <c r="B1366" s="4" t="s">
        <v>3127</v>
      </c>
      <c r="C1366" s="4" t="s">
        <v>4207</v>
      </c>
      <c r="D1366" s="4" t="s">
        <v>4257</v>
      </c>
      <c r="E1366" s="4" t="s">
        <v>5804</v>
      </c>
      <c r="F1366" t="s">
        <v>904</v>
      </c>
      <c r="G1366" t="s">
        <v>910</v>
      </c>
      <c r="H1366" t="s">
        <v>21</v>
      </c>
      <c r="I1366">
        <v>3</v>
      </c>
      <c r="J1366" s="5">
        <v>7.0999999999999994E-2</v>
      </c>
      <c r="K1366" t="s">
        <v>83</v>
      </c>
      <c r="L1366" s="6">
        <v>42948</v>
      </c>
      <c r="M1366">
        <v>8</v>
      </c>
      <c r="N1366" s="7" t="s">
        <v>55</v>
      </c>
      <c r="O1366" t="s">
        <v>31</v>
      </c>
      <c r="P1366" t="s">
        <v>4356</v>
      </c>
      <c r="Q1366" t="s">
        <v>4173</v>
      </c>
      <c r="R1366" t="s">
        <v>4174</v>
      </c>
    </row>
    <row r="1367" spans="1:18" hidden="1">
      <c r="A1367">
        <v>4</v>
      </c>
      <c r="B1367" s="4" t="s">
        <v>3127</v>
      </c>
      <c r="C1367" s="4" t="s">
        <v>4207</v>
      </c>
      <c r="D1367" s="4" t="s">
        <v>4257</v>
      </c>
      <c r="E1367" s="4" t="s">
        <v>5804</v>
      </c>
      <c r="F1367" t="s">
        <v>904</v>
      </c>
      <c r="G1367" t="s">
        <v>905</v>
      </c>
      <c r="H1367" t="s">
        <v>53</v>
      </c>
      <c r="I1367" t="s">
        <v>53</v>
      </c>
      <c r="J1367" s="5" t="s">
        <v>53</v>
      </c>
      <c r="K1367" t="s">
        <v>22</v>
      </c>
      <c r="L1367" s="6">
        <v>42979</v>
      </c>
      <c r="M1367">
        <v>9</v>
      </c>
      <c r="N1367" s="7" t="s">
        <v>23</v>
      </c>
      <c r="O1367" t="s">
        <v>31</v>
      </c>
      <c r="P1367" t="s">
        <v>4358</v>
      </c>
      <c r="Q1367" t="s">
        <v>4359</v>
      </c>
      <c r="R1367" t="s">
        <v>4263</v>
      </c>
    </row>
    <row r="1368" spans="1:18" hidden="1">
      <c r="A1368">
        <v>4</v>
      </c>
      <c r="B1368" s="4" t="s">
        <v>3127</v>
      </c>
      <c r="C1368" s="4" t="s">
        <v>4207</v>
      </c>
      <c r="D1368" s="4" t="s">
        <v>4257</v>
      </c>
      <c r="E1368" s="4" t="s">
        <v>5804</v>
      </c>
      <c r="F1368" t="s">
        <v>904</v>
      </c>
      <c r="G1368" t="s">
        <v>936</v>
      </c>
      <c r="H1368" t="s">
        <v>21</v>
      </c>
      <c r="I1368">
        <v>3</v>
      </c>
      <c r="J1368" s="5">
        <v>7.0999999999999994E-2</v>
      </c>
      <c r="K1368" t="s">
        <v>22</v>
      </c>
      <c r="L1368" s="6">
        <v>42979</v>
      </c>
      <c r="M1368">
        <v>9</v>
      </c>
      <c r="N1368" s="7" t="s">
        <v>23</v>
      </c>
      <c r="O1368" t="s">
        <v>31</v>
      </c>
      <c r="P1368" t="s">
        <v>4360</v>
      </c>
      <c r="Q1368" t="s">
        <v>3804</v>
      </c>
      <c r="R1368" t="s">
        <v>4174</v>
      </c>
    </row>
    <row r="1369" spans="1:18" hidden="1">
      <c r="A1369">
        <v>4</v>
      </c>
      <c r="B1369" s="4" t="s">
        <v>3127</v>
      </c>
      <c r="C1369" s="4" t="s">
        <v>4207</v>
      </c>
      <c r="D1369" s="4" t="s">
        <v>4257</v>
      </c>
      <c r="E1369" s="4" t="s">
        <v>5804</v>
      </c>
      <c r="F1369" t="s">
        <v>904</v>
      </c>
      <c r="G1369" t="s">
        <v>910</v>
      </c>
      <c r="H1369" t="s">
        <v>21</v>
      </c>
      <c r="I1369">
        <v>3</v>
      </c>
      <c r="J1369" s="5">
        <v>7.0999999999999994E-2</v>
      </c>
      <c r="K1369" t="s">
        <v>22</v>
      </c>
      <c r="L1369" s="6">
        <v>42979</v>
      </c>
      <c r="M1369">
        <v>9</v>
      </c>
      <c r="N1369" s="7" t="s">
        <v>23</v>
      </c>
      <c r="O1369" t="s">
        <v>31</v>
      </c>
      <c r="P1369" t="s">
        <v>4361</v>
      </c>
      <c r="Q1369" t="s">
        <v>3859</v>
      </c>
      <c r="R1369" t="s">
        <v>4228</v>
      </c>
    </row>
    <row r="1370" spans="1:18" hidden="1">
      <c r="A1370">
        <v>4</v>
      </c>
      <c r="B1370" s="4" t="s">
        <v>3127</v>
      </c>
      <c r="C1370" s="4" t="s">
        <v>4207</v>
      </c>
      <c r="D1370" s="4" t="s">
        <v>4257</v>
      </c>
      <c r="E1370" s="4" t="s">
        <v>5804</v>
      </c>
      <c r="F1370" t="s">
        <v>904</v>
      </c>
      <c r="G1370" t="s">
        <v>910</v>
      </c>
      <c r="H1370" t="s">
        <v>21</v>
      </c>
      <c r="I1370">
        <v>3</v>
      </c>
      <c r="J1370" s="5">
        <v>7.0999999999999994E-2</v>
      </c>
      <c r="K1370" t="s">
        <v>85</v>
      </c>
      <c r="L1370" s="6">
        <v>43009</v>
      </c>
      <c r="M1370">
        <v>10</v>
      </c>
      <c r="N1370" s="7" t="s">
        <v>23</v>
      </c>
      <c r="O1370" t="s">
        <v>31</v>
      </c>
      <c r="P1370" t="s">
        <v>4362</v>
      </c>
      <c r="Q1370" t="s">
        <v>4363</v>
      </c>
      <c r="R1370" t="s">
        <v>4228</v>
      </c>
    </row>
    <row r="1371" spans="1:18" hidden="1">
      <c r="A1371">
        <v>4</v>
      </c>
      <c r="B1371" s="4" t="s">
        <v>3127</v>
      </c>
      <c r="C1371" s="4" t="s">
        <v>4207</v>
      </c>
      <c r="D1371" s="4" t="s">
        <v>4257</v>
      </c>
      <c r="E1371" s="4" t="s">
        <v>5804</v>
      </c>
      <c r="F1371" t="s">
        <v>904</v>
      </c>
      <c r="G1371" t="s">
        <v>936</v>
      </c>
      <c r="H1371" t="s">
        <v>21</v>
      </c>
      <c r="I1371">
        <v>3</v>
      </c>
      <c r="J1371" s="5">
        <v>7.0999999999999994E-2</v>
      </c>
      <c r="K1371" t="s">
        <v>87</v>
      </c>
      <c r="L1371" s="6">
        <v>43040</v>
      </c>
      <c r="M1371">
        <v>11</v>
      </c>
      <c r="N1371" s="7" t="s">
        <v>23</v>
      </c>
      <c r="O1371" t="s">
        <v>31</v>
      </c>
      <c r="P1371" t="s">
        <v>4368</v>
      </c>
      <c r="Q1371" t="s">
        <v>4173</v>
      </c>
      <c r="R1371" t="s">
        <v>4174</v>
      </c>
    </row>
    <row r="1372" spans="1:18" hidden="1">
      <c r="A1372">
        <v>4</v>
      </c>
      <c r="B1372" s="4" t="s">
        <v>3127</v>
      </c>
      <c r="C1372" s="4" t="s">
        <v>4207</v>
      </c>
      <c r="D1372" s="4" t="s">
        <v>4257</v>
      </c>
      <c r="E1372" s="4" t="s">
        <v>5804</v>
      </c>
      <c r="F1372" t="s">
        <v>904</v>
      </c>
      <c r="G1372" t="s">
        <v>910</v>
      </c>
      <c r="H1372" t="s">
        <v>21</v>
      </c>
      <c r="I1372">
        <v>3</v>
      </c>
      <c r="J1372" s="5">
        <v>7.0999999999999994E-2</v>
      </c>
      <c r="K1372" t="s">
        <v>29</v>
      </c>
      <c r="L1372" s="6">
        <v>43070</v>
      </c>
      <c r="M1372">
        <v>12</v>
      </c>
      <c r="N1372" s="7" t="s">
        <v>30</v>
      </c>
      <c r="O1372" t="s">
        <v>31</v>
      </c>
      <c r="P1372" t="s">
        <v>4371</v>
      </c>
      <c r="Q1372" t="s">
        <v>3804</v>
      </c>
      <c r="R1372" t="s">
        <v>4174</v>
      </c>
    </row>
    <row r="1373" spans="1:18" hidden="1">
      <c r="A1373">
        <v>4</v>
      </c>
      <c r="B1373" s="4" t="s">
        <v>3127</v>
      </c>
      <c r="C1373" s="4" t="s">
        <v>4207</v>
      </c>
      <c r="D1373" s="4" t="s">
        <v>4257</v>
      </c>
      <c r="E1373" s="4" t="s">
        <v>5804</v>
      </c>
      <c r="F1373" t="s">
        <v>904</v>
      </c>
      <c r="G1373" t="s">
        <v>910</v>
      </c>
      <c r="H1373" t="s">
        <v>21</v>
      </c>
      <c r="I1373">
        <v>3</v>
      </c>
      <c r="J1373" s="5">
        <v>7.0999999999999994E-2</v>
      </c>
      <c r="K1373" t="s">
        <v>142</v>
      </c>
      <c r="L1373" s="6">
        <v>43101</v>
      </c>
      <c r="M1373">
        <v>1</v>
      </c>
      <c r="N1373" s="7" t="s">
        <v>30</v>
      </c>
      <c r="O1373" t="s">
        <v>31</v>
      </c>
      <c r="P1373" t="s">
        <v>4375</v>
      </c>
      <c r="Q1373" t="s">
        <v>3804</v>
      </c>
      <c r="R1373" t="s">
        <v>4174</v>
      </c>
    </row>
    <row r="1374" spans="1:18" hidden="1">
      <c r="A1374">
        <v>4</v>
      </c>
      <c r="B1374" s="4" t="s">
        <v>3127</v>
      </c>
      <c r="C1374" s="4" t="s">
        <v>4207</v>
      </c>
      <c r="D1374" s="4" t="s">
        <v>4257</v>
      </c>
      <c r="E1374" s="4" t="s">
        <v>5804</v>
      </c>
      <c r="F1374" t="s">
        <v>904</v>
      </c>
      <c r="G1374" t="s">
        <v>987</v>
      </c>
      <c r="H1374" t="s">
        <v>53</v>
      </c>
      <c r="I1374" t="s">
        <v>53</v>
      </c>
      <c r="J1374" s="5" t="s">
        <v>53</v>
      </c>
      <c r="K1374" t="s">
        <v>142</v>
      </c>
      <c r="L1374" s="6">
        <v>43101</v>
      </c>
      <c r="M1374">
        <v>1</v>
      </c>
      <c r="N1374" s="7" t="s">
        <v>30</v>
      </c>
      <c r="O1374" t="s">
        <v>31</v>
      </c>
      <c r="P1374" t="s">
        <v>4376</v>
      </c>
      <c r="Q1374" t="s">
        <v>4173</v>
      </c>
      <c r="R1374" t="s">
        <v>4348</v>
      </c>
    </row>
    <row r="1375" spans="1:18" hidden="1">
      <c r="A1375">
        <v>4</v>
      </c>
      <c r="B1375" s="4" t="s">
        <v>3127</v>
      </c>
      <c r="C1375" s="4" t="s">
        <v>4207</v>
      </c>
      <c r="D1375" s="4" t="s">
        <v>4257</v>
      </c>
      <c r="E1375" s="4" t="s">
        <v>5804</v>
      </c>
      <c r="F1375" t="s">
        <v>904</v>
      </c>
      <c r="G1375" t="s">
        <v>910</v>
      </c>
      <c r="H1375" t="s">
        <v>21</v>
      </c>
      <c r="I1375">
        <v>3</v>
      </c>
      <c r="J1375" s="5">
        <v>7.0999999999999994E-2</v>
      </c>
      <c r="K1375" t="s">
        <v>1012</v>
      </c>
      <c r="L1375" s="6">
        <v>43132</v>
      </c>
      <c r="M1375">
        <v>2</v>
      </c>
      <c r="N1375" s="7" t="s">
        <v>30</v>
      </c>
      <c r="O1375" t="s">
        <v>31</v>
      </c>
      <c r="P1375" t="s">
        <v>4377</v>
      </c>
      <c r="Q1375" t="s">
        <v>3859</v>
      </c>
      <c r="R1375" t="s">
        <v>4228</v>
      </c>
    </row>
    <row r="1376" spans="1:18" hidden="1">
      <c r="A1376">
        <v>4</v>
      </c>
      <c r="B1376" s="4" t="s">
        <v>3127</v>
      </c>
      <c r="C1376" s="4" t="s">
        <v>4207</v>
      </c>
      <c r="D1376" s="4" t="s">
        <v>4257</v>
      </c>
      <c r="E1376" s="4" t="s">
        <v>5804</v>
      </c>
      <c r="F1376" t="s">
        <v>904</v>
      </c>
      <c r="G1376" t="s">
        <v>936</v>
      </c>
      <c r="H1376" t="s">
        <v>21</v>
      </c>
      <c r="I1376">
        <v>3</v>
      </c>
      <c r="J1376" s="5">
        <v>7.0999999999999994E-2</v>
      </c>
      <c r="K1376" t="s">
        <v>1012</v>
      </c>
      <c r="L1376" s="6">
        <v>43132</v>
      </c>
      <c r="M1376">
        <v>2</v>
      </c>
      <c r="N1376" s="7" t="s">
        <v>30</v>
      </c>
      <c r="O1376" t="s">
        <v>31</v>
      </c>
      <c r="P1376" t="s">
        <v>4378</v>
      </c>
      <c r="Q1376" t="s">
        <v>4173</v>
      </c>
      <c r="R1376" t="s">
        <v>4174</v>
      </c>
    </row>
    <row r="1377" spans="1:18" hidden="1">
      <c r="A1377">
        <v>4</v>
      </c>
      <c r="B1377" s="4" t="s">
        <v>3127</v>
      </c>
      <c r="C1377" s="4" t="s">
        <v>4207</v>
      </c>
      <c r="D1377" s="4" t="s">
        <v>4257</v>
      </c>
      <c r="E1377" s="4" t="s">
        <v>5804</v>
      </c>
      <c r="F1377" t="s">
        <v>904</v>
      </c>
      <c r="G1377" t="s">
        <v>936</v>
      </c>
      <c r="H1377" t="s">
        <v>21</v>
      </c>
      <c r="I1377">
        <v>3</v>
      </c>
      <c r="J1377" s="5">
        <v>7.0999999999999994E-2</v>
      </c>
      <c r="K1377" t="s">
        <v>35</v>
      </c>
      <c r="L1377" s="6">
        <v>43160</v>
      </c>
      <c r="M1377">
        <v>3</v>
      </c>
      <c r="N1377" s="7" t="s">
        <v>23</v>
      </c>
      <c r="O1377" t="s">
        <v>31</v>
      </c>
      <c r="P1377" t="s">
        <v>4385</v>
      </c>
      <c r="Q1377" t="s">
        <v>4173</v>
      </c>
      <c r="R1377" t="s">
        <v>4174</v>
      </c>
    </row>
    <row r="1378" spans="1:18" hidden="1">
      <c r="A1378">
        <v>4</v>
      </c>
      <c r="B1378" s="4" t="s">
        <v>3127</v>
      </c>
      <c r="C1378" s="4" t="s">
        <v>4207</v>
      </c>
      <c r="D1378" s="4" t="s">
        <v>4257</v>
      </c>
      <c r="E1378" s="4" t="s">
        <v>5804</v>
      </c>
      <c r="F1378" t="s">
        <v>904</v>
      </c>
      <c r="G1378" t="s">
        <v>936</v>
      </c>
      <c r="H1378" t="s">
        <v>21</v>
      </c>
      <c r="I1378">
        <v>3</v>
      </c>
      <c r="J1378" s="5">
        <v>7.0999999999999994E-2</v>
      </c>
      <c r="K1378" t="s">
        <v>35</v>
      </c>
      <c r="L1378" s="6">
        <v>43160</v>
      </c>
      <c r="M1378">
        <v>3</v>
      </c>
      <c r="N1378" s="7" t="s">
        <v>23</v>
      </c>
      <c r="O1378" t="s">
        <v>31</v>
      </c>
      <c r="P1378" t="s">
        <v>4386</v>
      </c>
      <c r="Q1378" t="s">
        <v>4173</v>
      </c>
      <c r="R1378" t="s">
        <v>4174</v>
      </c>
    </row>
    <row r="1379" spans="1:18" hidden="1">
      <c r="A1379">
        <v>4</v>
      </c>
      <c r="B1379" s="4" t="s">
        <v>3127</v>
      </c>
      <c r="C1379" s="4" t="s">
        <v>4207</v>
      </c>
      <c r="D1379" s="4" t="s">
        <v>4257</v>
      </c>
      <c r="E1379" s="4" t="s">
        <v>5804</v>
      </c>
      <c r="F1379" t="s">
        <v>904</v>
      </c>
      <c r="G1379" t="s">
        <v>910</v>
      </c>
      <c r="H1379" t="s">
        <v>21</v>
      </c>
      <c r="I1379">
        <v>3</v>
      </c>
      <c r="J1379" s="5">
        <v>7.0999999999999994E-2</v>
      </c>
      <c r="K1379" t="s">
        <v>35</v>
      </c>
      <c r="L1379" s="6">
        <v>43160</v>
      </c>
      <c r="M1379">
        <v>3</v>
      </c>
      <c r="N1379" s="7" t="s">
        <v>23</v>
      </c>
      <c r="O1379" t="s">
        <v>31</v>
      </c>
      <c r="P1379" t="s">
        <v>4387</v>
      </c>
      <c r="Q1379" t="s">
        <v>4173</v>
      </c>
      <c r="R1379" t="s">
        <v>4174</v>
      </c>
    </row>
    <row r="1380" spans="1:18" hidden="1">
      <c r="A1380">
        <v>4</v>
      </c>
      <c r="B1380" s="4" t="s">
        <v>3127</v>
      </c>
      <c r="C1380" s="4" t="s">
        <v>4207</v>
      </c>
      <c r="D1380" s="4" t="s">
        <v>4257</v>
      </c>
      <c r="E1380" s="4" t="s">
        <v>5804</v>
      </c>
      <c r="F1380" t="s">
        <v>904</v>
      </c>
      <c r="G1380" t="s">
        <v>936</v>
      </c>
      <c r="H1380" t="s">
        <v>21</v>
      </c>
      <c r="I1380">
        <v>3</v>
      </c>
      <c r="J1380" s="5">
        <v>7.0999999999999994E-2</v>
      </c>
      <c r="K1380" t="s">
        <v>292</v>
      </c>
      <c r="L1380" s="6">
        <v>43191</v>
      </c>
      <c r="M1380">
        <v>4</v>
      </c>
      <c r="N1380" s="7" t="s">
        <v>23</v>
      </c>
      <c r="O1380" t="s">
        <v>31</v>
      </c>
      <c r="P1380" t="s">
        <v>4390</v>
      </c>
      <c r="Q1380" t="s">
        <v>3804</v>
      </c>
      <c r="R1380" t="s">
        <v>4174</v>
      </c>
    </row>
    <row r="1381" spans="1:18" hidden="1">
      <c r="A1381">
        <v>4</v>
      </c>
      <c r="B1381" s="4" t="s">
        <v>3127</v>
      </c>
      <c r="C1381" s="4" t="s">
        <v>4207</v>
      </c>
      <c r="D1381" s="4" t="s">
        <v>4257</v>
      </c>
      <c r="E1381" s="4" t="s">
        <v>5804</v>
      </c>
      <c r="F1381" t="s">
        <v>904</v>
      </c>
      <c r="G1381" t="s">
        <v>910</v>
      </c>
      <c r="H1381" t="s">
        <v>21</v>
      </c>
      <c r="I1381">
        <v>3</v>
      </c>
      <c r="J1381" s="5">
        <v>7.0999999999999994E-2</v>
      </c>
      <c r="K1381" t="s">
        <v>295</v>
      </c>
      <c r="L1381" s="6">
        <v>43221</v>
      </c>
      <c r="M1381">
        <v>5</v>
      </c>
      <c r="N1381" s="7" t="s">
        <v>23</v>
      </c>
      <c r="O1381" t="s">
        <v>31</v>
      </c>
      <c r="P1381" t="s">
        <v>4394</v>
      </c>
      <c r="Q1381" t="s">
        <v>3804</v>
      </c>
      <c r="R1381" t="s">
        <v>4174</v>
      </c>
    </row>
    <row r="1382" spans="1:18" hidden="1">
      <c r="A1382">
        <v>4</v>
      </c>
      <c r="B1382" s="4" t="s">
        <v>3127</v>
      </c>
      <c r="C1382" s="4" t="s">
        <v>4207</v>
      </c>
      <c r="D1382" s="4" t="s">
        <v>4257</v>
      </c>
      <c r="E1382" s="4" t="s">
        <v>5804</v>
      </c>
      <c r="F1382" t="s">
        <v>904</v>
      </c>
      <c r="G1382" t="s">
        <v>936</v>
      </c>
      <c r="H1382" t="s">
        <v>21</v>
      </c>
      <c r="I1382">
        <v>3</v>
      </c>
      <c r="J1382" s="5">
        <v>7.0999999999999994E-2</v>
      </c>
      <c r="K1382" t="s">
        <v>295</v>
      </c>
      <c r="L1382" s="6">
        <v>43221</v>
      </c>
      <c r="M1382">
        <v>5</v>
      </c>
      <c r="N1382" s="7" t="s">
        <v>23</v>
      </c>
      <c r="O1382" t="s">
        <v>31</v>
      </c>
      <c r="P1382" t="s">
        <v>4395</v>
      </c>
      <c r="Q1382" t="s">
        <v>4173</v>
      </c>
      <c r="R1382" t="s">
        <v>4174</v>
      </c>
    </row>
    <row r="1383" spans="1:18" hidden="1">
      <c r="A1383">
        <v>4</v>
      </c>
      <c r="B1383" s="4" t="s">
        <v>3127</v>
      </c>
      <c r="C1383" s="4" t="s">
        <v>4207</v>
      </c>
      <c r="D1383" s="4" t="s">
        <v>4257</v>
      </c>
      <c r="E1383" s="4" t="s">
        <v>5804</v>
      </c>
      <c r="F1383" t="s">
        <v>904</v>
      </c>
      <c r="G1383" t="s">
        <v>936</v>
      </c>
      <c r="H1383" t="s">
        <v>21</v>
      </c>
      <c r="I1383">
        <v>3</v>
      </c>
      <c r="J1383" s="5">
        <v>7.0999999999999994E-2</v>
      </c>
      <c r="K1383" t="s">
        <v>797</v>
      </c>
      <c r="L1383" s="6">
        <v>43252</v>
      </c>
      <c r="M1383">
        <v>6</v>
      </c>
      <c r="N1383" s="7" t="s">
        <v>55</v>
      </c>
      <c r="O1383" t="s">
        <v>31</v>
      </c>
      <c r="P1383" t="s">
        <v>4399</v>
      </c>
      <c r="Q1383" t="s">
        <v>3804</v>
      </c>
      <c r="R1383" t="s">
        <v>4174</v>
      </c>
    </row>
    <row r="1384" spans="1:18" hidden="1">
      <c r="A1384">
        <v>4</v>
      </c>
      <c r="B1384" s="4" t="s">
        <v>3127</v>
      </c>
      <c r="C1384" s="4" t="s">
        <v>4207</v>
      </c>
      <c r="D1384" s="4" t="s">
        <v>4257</v>
      </c>
      <c r="E1384" s="4" t="s">
        <v>5804</v>
      </c>
      <c r="F1384" t="s">
        <v>904</v>
      </c>
      <c r="G1384" t="s">
        <v>936</v>
      </c>
      <c r="H1384" t="s">
        <v>21</v>
      </c>
      <c r="I1384">
        <v>3</v>
      </c>
      <c r="J1384" s="5">
        <v>7.0999999999999994E-2</v>
      </c>
      <c r="K1384" t="s">
        <v>93</v>
      </c>
      <c r="L1384" s="6">
        <v>43282</v>
      </c>
      <c r="M1384">
        <v>7</v>
      </c>
      <c r="N1384" s="7" t="s">
        <v>55</v>
      </c>
      <c r="O1384" t="s">
        <v>31</v>
      </c>
      <c r="P1384" t="s">
        <v>4403</v>
      </c>
      <c r="Q1384" t="s">
        <v>4173</v>
      </c>
      <c r="R1384" t="s">
        <v>4174</v>
      </c>
    </row>
    <row r="1385" spans="1:18" hidden="1">
      <c r="A1385">
        <v>4</v>
      </c>
      <c r="B1385" s="4" t="s">
        <v>3127</v>
      </c>
      <c r="C1385" s="4" t="s">
        <v>4207</v>
      </c>
      <c r="D1385" s="4" t="s">
        <v>4257</v>
      </c>
      <c r="E1385" s="4" t="s">
        <v>5804</v>
      </c>
      <c r="F1385" t="s">
        <v>904</v>
      </c>
      <c r="G1385" t="s">
        <v>987</v>
      </c>
      <c r="H1385" t="s">
        <v>53</v>
      </c>
      <c r="I1385" t="s">
        <v>53</v>
      </c>
      <c r="J1385" s="5" t="s">
        <v>53</v>
      </c>
      <c r="K1385" t="s">
        <v>146</v>
      </c>
      <c r="L1385" s="6">
        <v>43313</v>
      </c>
      <c r="M1385">
        <v>8</v>
      </c>
      <c r="N1385" s="7" t="s">
        <v>55</v>
      </c>
      <c r="O1385" t="s">
        <v>31</v>
      </c>
      <c r="P1385" t="s">
        <v>4405</v>
      </c>
      <c r="Q1385" t="s">
        <v>3804</v>
      </c>
      <c r="R1385" t="s">
        <v>4348</v>
      </c>
    </row>
    <row r="1386" spans="1:18" hidden="1">
      <c r="A1386">
        <v>4</v>
      </c>
      <c r="B1386" s="4" t="s">
        <v>3127</v>
      </c>
      <c r="C1386" s="4" t="s">
        <v>4207</v>
      </c>
      <c r="D1386" s="4" t="s">
        <v>4257</v>
      </c>
      <c r="E1386" s="4" t="s">
        <v>5804</v>
      </c>
      <c r="F1386" t="s">
        <v>904</v>
      </c>
      <c r="G1386" t="s">
        <v>987</v>
      </c>
      <c r="H1386" t="s">
        <v>53</v>
      </c>
      <c r="I1386" t="s">
        <v>53</v>
      </c>
      <c r="J1386" s="5" t="s">
        <v>53</v>
      </c>
      <c r="K1386" t="s">
        <v>298</v>
      </c>
      <c r="L1386" s="6">
        <v>43344</v>
      </c>
      <c r="M1386">
        <v>9</v>
      </c>
      <c r="N1386" s="7" t="s">
        <v>23</v>
      </c>
      <c r="O1386" t="s">
        <v>31</v>
      </c>
      <c r="P1386" t="s">
        <v>4406</v>
      </c>
      <c r="Q1386" t="s">
        <v>4407</v>
      </c>
      <c r="R1386" t="s">
        <v>4408</v>
      </c>
    </row>
    <row r="1387" spans="1:18" hidden="1">
      <c r="A1387">
        <v>4</v>
      </c>
      <c r="B1387" s="4" t="s">
        <v>3127</v>
      </c>
      <c r="C1387" s="4" t="s">
        <v>4207</v>
      </c>
      <c r="D1387" s="4" t="s">
        <v>4257</v>
      </c>
      <c r="E1387" s="4" t="s">
        <v>5804</v>
      </c>
      <c r="F1387" t="s">
        <v>904</v>
      </c>
      <c r="G1387" t="s">
        <v>936</v>
      </c>
      <c r="H1387" t="s">
        <v>21</v>
      </c>
      <c r="I1387">
        <v>3</v>
      </c>
      <c r="J1387" s="5">
        <v>7.0999999999999994E-2</v>
      </c>
      <c r="K1387" t="s">
        <v>298</v>
      </c>
      <c r="L1387" s="6">
        <v>43344</v>
      </c>
      <c r="M1387">
        <v>9</v>
      </c>
      <c r="N1387" s="7" t="s">
        <v>23</v>
      </c>
      <c r="O1387" t="s">
        <v>31</v>
      </c>
      <c r="P1387" t="s">
        <v>4409</v>
      </c>
      <c r="Q1387" t="s">
        <v>3804</v>
      </c>
      <c r="R1387" t="s">
        <v>4174</v>
      </c>
    </row>
    <row r="1388" spans="1:18" hidden="1">
      <c r="A1388">
        <v>4</v>
      </c>
      <c r="B1388" s="4" t="s">
        <v>3127</v>
      </c>
      <c r="C1388" s="4" t="s">
        <v>4207</v>
      </c>
      <c r="D1388" s="4" t="s">
        <v>4257</v>
      </c>
      <c r="E1388" s="4" t="s">
        <v>5804</v>
      </c>
      <c r="F1388" t="s">
        <v>904</v>
      </c>
      <c r="G1388" t="s">
        <v>936</v>
      </c>
      <c r="H1388" t="s">
        <v>21</v>
      </c>
      <c r="I1388">
        <v>3</v>
      </c>
      <c r="J1388" s="5">
        <v>7.0999999999999994E-2</v>
      </c>
      <c r="K1388" t="s">
        <v>152</v>
      </c>
      <c r="L1388" s="6">
        <v>43374</v>
      </c>
      <c r="M1388">
        <v>10</v>
      </c>
      <c r="N1388" s="7" t="s">
        <v>23</v>
      </c>
      <c r="O1388" t="s">
        <v>31</v>
      </c>
      <c r="P1388" t="s">
        <v>4410</v>
      </c>
      <c r="Q1388" t="s">
        <v>3804</v>
      </c>
      <c r="R1388" t="s">
        <v>4174</v>
      </c>
    </row>
    <row r="1389" spans="1:18" hidden="1">
      <c r="A1389">
        <v>4</v>
      </c>
      <c r="B1389" s="4" t="s">
        <v>3127</v>
      </c>
      <c r="C1389" s="4" t="s">
        <v>4207</v>
      </c>
      <c r="D1389" s="4" t="s">
        <v>4257</v>
      </c>
      <c r="E1389" s="4" t="s">
        <v>5804</v>
      </c>
      <c r="F1389" t="s">
        <v>904</v>
      </c>
      <c r="G1389" t="s">
        <v>905</v>
      </c>
      <c r="H1389" t="s">
        <v>53</v>
      </c>
      <c r="I1389" t="s">
        <v>53</v>
      </c>
      <c r="J1389" s="5" t="s">
        <v>53</v>
      </c>
      <c r="K1389" t="s">
        <v>152</v>
      </c>
      <c r="L1389" s="6">
        <v>43374</v>
      </c>
      <c r="M1389">
        <v>10</v>
      </c>
      <c r="N1389" s="7" t="s">
        <v>23</v>
      </c>
      <c r="O1389" t="s">
        <v>31</v>
      </c>
      <c r="P1389" t="s">
        <v>4411</v>
      </c>
      <c r="Q1389" t="s">
        <v>4173</v>
      </c>
      <c r="R1389" t="s">
        <v>4412</v>
      </c>
    </row>
    <row r="1390" spans="1:18" hidden="1">
      <c r="A1390">
        <v>4</v>
      </c>
      <c r="B1390" s="4" t="s">
        <v>3127</v>
      </c>
      <c r="C1390" s="4" t="s">
        <v>4207</v>
      </c>
      <c r="D1390" s="4" t="s">
        <v>4257</v>
      </c>
      <c r="E1390" s="4" t="s">
        <v>5804</v>
      </c>
      <c r="F1390" t="s">
        <v>904</v>
      </c>
      <c r="G1390" t="s">
        <v>987</v>
      </c>
      <c r="H1390" t="s">
        <v>53</v>
      </c>
      <c r="I1390" t="s">
        <v>53</v>
      </c>
      <c r="J1390" s="5" t="s">
        <v>53</v>
      </c>
      <c r="K1390" t="s">
        <v>152</v>
      </c>
      <c r="L1390" s="6">
        <v>43374</v>
      </c>
      <c r="M1390">
        <v>10</v>
      </c>
      <c r="N1390" s="7" t="s">
        <v>23</v>
      </c>
      <c r="O1390" t="s">
        <v>31</v>
      </c>
      <c r="P1390" t="s">
        <v>4413</v>
      </c>
      <c r="Q1390" t="s">
        <v>4414</v>
      </c>
      <c r="R1390" t="s">
        <v>4415</v>
      </c>
    </row>
    <row r="1391" spans="1:18" hidden="1">
      <c r="A1391">
        <v>4</v>
      </c>
      <c r="B1391" s="4" t="s">
        <v>3127</v>
      </c>
      <c r="C1391" s="4" t="s">
        <v>4207</v>
      </c>
      <c r="D1391" s="4" t="s">
        <v>4257</v>
      </c>
      <c r="E1391" s="4" t="s">
        <v>5804</v>
      </c>
      <c r="F1391" t="s">
        <v>904</v>
      </c>
      <c r="G1391" t="s">
        <v>910</v>
      </c>
      <c r="H1391" t="s">
        <v>21</v>
      </c>
      <c r="I1391">
        <v>3</v>
      </c>
      <c r="J1391" s="5">
        <v>7.0999999999999994E-2</v>
      </c>
      <c r="K1391" t="s">
        <v>482</v>
      </c>
      <c r="L1391" s="6">
        <v>43435</v>
      </c>
      <c r="M1391">
        <v>12</v>
      </c>
      <c r="N1391" s="7" t="s">
        <v>30</v>
      </c>
      <c r="O1391" t="s">
        <v>31</v>
      </c>
      <c r="P1391" t="s">
        <v>4425</v>
      </c>
      <c r="Q1391" t="s">
        <v>3804</v>
      </c>
      <c r="R1391" t="s">
        <v>4174</v>
      </c>
    </row>
    <row r="1392" spans="1:18" hidden="1">
      <c r="A1392">
        <v>4</v>
      </c>
      <c r="B1392" s="4" t="s">
        <v>3127</v>
      </c>
      <c r="C1392" s="4" t="s">
        <v>4207</v>
      </c>
      <c r="D1392" s="4" t="s">
        <v>4257</v>
      </c>
      <c r="E1392" s="4" t="s">
        <v>5804</v>
      </c>
      <c r="F1392" t="s">
        <v>904</v>
      </c>
      <c r="G1392" t="s">
        <v>910</v>
      </c>
      <c r="H1392" t="s">
        <v>21</v>
      </c>
      <c r="I1392">
        <v>3</v>
      </c>
      <c r="J1392" s="5">
        <v>7.0999999999999994E-2</v>
      </c>
      <c r="K1392" t="s">
        <v>482</v>
      </c>
      <c r="L1392" s="6">
        <v>43435</v>
      </c>
      <c r="M1392">
        <v>12</v>
      </c>
      <c r="N1392" s="7" t="s">
        <v>30</v>
      </c>
      <c r="O1392" t="s">
        <v>31</v>
      </c>
      <c r="P1392" t="s">
        <v>4426</v>
      </c>
      <c r="Q1392" t="s">
        <v>3859</v>
      </c>
      <c r="R1392" t="s">
        <v>4228</v>
      </c>
    </row>
    <row r="1393" spans="1:18" hidden="1">
      <c r="A1393">
        <v>4</v>
      </c>
      <c r="B1393" s="4" t="s">
        <v>3127</v>
      </c>
      <c r="C1393" s="4" t="s">
        <v>4207</v>
      </c>
      <c r="D1393" s="4" t="s">
        <v>4257</v>
      </c>
      <c r="E1393" s="4" t="s">
        <v>5804</v>
      </c>
      <c r="F1393" t="s">
        <v>904</v>
      </c>
      <c r="G1393" t="s">
        <v>936</v>
      </c>
      <c r="H1393" t="s">
        <v>21</v>
      </c>
      <c r="I1393">
        <v>3</v>
      </c>
      <c r="J1393" s="5">
        <v>7.0999999999999994E-2</v>
      </c>
      <c r="K1393" t="s">
        <v>482</v>
      </c>
      <c r="L1393" s="6">
        <v>43435</v>
      </c>
      <c r="M1393">
        <v>12</v>
      </c>
      <c r="N1393" s="7" t="s">
        <v>30</v>
      </c>
      <c r="O1393" t="s">
        <v>31</v>
      </c>
      <c r="P1393" t="s">
        <v>4427</v>
      </c>
      <c r="Q1393" t="s">
        <v>4173</v>
      </c>
      <c r="R1393" t="s">
        <v>4174</v>
      </c>
    </row>
    <row r="1394" spans="1:18" hidden="1">
      <c r="A1394">
        <v>4</v>
      </c>
      <c r="B1394" s="4" t="s">
        <v>3127</v>
      </c>
      <c r="C1394" s="4" t="s">
        <v>4207</v>
      </c>
      <c r="D1394" s="4" t="s">
        <v>4257</v>
      </c>
      <c r="E1394" s="4" t="s">
        <v>5804</v>
      </c>
      <c r="F1394" t="s">
        <v>904</v>
      </c>
      <c r="G1394" t="s">
        <v>910</v>
      </c>
      <c r="H1394" t="s">
        <v>21</v>
      </c>
      <c r="I1394">
        <v>3</v>
      </c>
      <c r="J1394" s="5">
        <v>7.0999999999999994E-2</v>
      </c>
      <c r="K1394" t="s">
        <v>395</v>
      </c>
      <c r="L1394" s="6">
        <v>43497</v>
      </c>
      <c r="M1394">
        <v>2</v>
      </c>
      <c r="N1394" s="7" t="s">
        <v>30</v>
      </c>
      <c r="O1394" t="s">
        <v>31</v>
      </c>
      <c r="P1394" t="s">
        <v>4432</v>
      </c>
      <c r="Q1394" t="s">
        <v>4359</v>
      </c>
      <c r="R1394" t="s">
        <v>4228</v>
      </c>
    </row>
    <row r="1395" spans="1:18" hidden="1">
      <c r="A1395">
        <v>4</v>
      </c>
      <c r="B1395" s="4" t="s">
        <v>3127</v>
      </c>
      <c r="C1395" s="4" t="s">
        <v>4207</v>
      </c>
      <c r="D1395" s="4" t="s">
        <v>4257</v>
      </c>
      <c r="E1395" s="4" t="s">
        <v>5804</v>
      </c>
      <c r="F1395" t="s">
        <v>904</v>
      </c>
      <c r="G1395" t="s">
        <v>910</v>
      </c>
      <c r="H1395" t="s">
        <v>21</v>
      </c>
      <c r="I1395">
        <v>3</v>
      </c>
      <c r="J1395" s="5">
        <v>7.0999999999999994E-2</v>
      </c>
      <c r="K1395" t="s">
        <v>395</v>
      </c>
      <c r="L1395" s="6">
        <v>43497</v>
      </c>
      <c r="M1395">
        <v>2</v>
      </c>
      <c r="N1395" s="7" t="s">
        <v>30</v>
      </c>
      <c r="O1395" t="s">
        <v>31</v>
      </c>
      <c r="P1395" t="s">
        <v>4433</v>
      </c>
      <c r="Q1395" t="s">
        <v>4363</v>
      </c>
      <c r="R1395" t="s">
        <v>4228</v>
      </c>
    </row>
    <row r="1396" spans="1:18" hidden="1">
      <c r="A1396">
        <v>4</v>
      </c>
      <c r="B1396" s="4" t="s">
        <v>3127</v>
      </c>
      <c r="C1396" s="4" t="s">
        <v>4207</v>
      </c>
      <c r="D1396" s="4" t="s">
        <v>4257</v>
      </c>
      <c r="E1396" s="4" t="s">
        <v>5804</v>
      </c>
      <c r="F1396" t="s">
        <v>904</v>
      </c>
      <c r="G1396" t="s">
        <v>936</v>
      </c>
      <c r="H1396" t="s">
        <v>21</v>
      </c>
      <c r="I1396">
        <v>3</v>
      </c>
      <c r="J1396" s="5">
        <v>7.0999999999999994E-2</v>
      </c>
      <c r="K1396" t="s">
        <v>395</v>
      </c>
      <c r="L1396" s="6">
        <v>43497</v>
      </c>
      <c r="M1396">
        <v>2</v>
      </c>
      <c r="N1396" s="7" t="s">
        <v>30</v>
      </c>
      <c r="O1396" t="s">
        <v>31</v>
      </c>
      <c r="P1396" t="s">
        <v>4434</v>
      </c>
      <c r="Q1396" t="s">
        <v>4173</v>
      </c>
      <c r="R1396" t="s">
        <v>4174</v>
      </c>
    </row>
    <row r="1397" spans="1:18" hidden="1">
      <c r="A1397">
        <v>4</v>
      </c>
      <c r="B1397" s="4" t="s">
        <v>3127</v>
      </c>
      <c r="C1397" s="4" t="s">
        <v>4207</v>
      </c>
      <c r="D1397" s="4" t="s">
        <v>4257</v>
      </c>
      <c r="E1397" s="4" t="s">
        <v>5804</v>
      </c>
      <c r="F1397" t="s">
        <v>904</v>
      </c>
      <c r="G1397" t="s">
        <v>936</v>
      </c>
      <c r="H1397" t="s">
        <v>21</v>
      </c>
      <c r="I1397">
        <v>3</v>
      </c>
      <c r="J1397" s="5">
        <v>7.0999999999999994E-2</v>
      </c>
      <c r="K1397" t="s">
        <v>43</v>
      </c>
      <c r="L1397" s="6">
        <v>43525</v>
      </c>
      <c r="M1397">
        <v>3</v>
      </c>
      <c r="N1397" s="7" t="s">
        <v>23</v>
      </c>
      <c r="O1397" t="s">
        <v>31</v>
      </c>
      <c r="P1397" t="s">
        <v>4435</v>
      </c>
      <c r="Q1397" t="s">
        <v>4359</v>
      </c>
      <c r="R1397" t="s">
        <v>4436</v>
      </c>
    </row>
    <row r="1398" spans="1:18" hidden="1">
      <c r="A1398">
        <v>4</v>
      </c>
      <c r="B1398" s="4" t="s">
        <v>3127</v>
      </c>
      <c r="C1398" s="4" t="s">
        <v>4207</v>
      </c>
      <c r="D1398" s="4" t="s">
        <v>4257</v>
      </c>
      <c r="E1398" s="4" t="s">
        <v>5804</v>
      </c>
      <c r="F1398" t="s">
        <v>904</v>
      </c>
      <c r="G1398" t="s">
        <v>910</v>
      </c>
      <c r="H1398" t="s">
        <v>21</v>
      </c>
      <c r="I1398">
        <v>3</v>
      </c>
      <c r="J1398" s="5">
        <v>7.0999999999999994E-2</v>
      </c>
      <c r="K1398" t="s">
        <v>43</v>
      </c>
      <c r="L1398" s="6">
        <v>43525</v>
      </c>
      <c r="M1398">
        <v>3</v>
      </c>
      <c r="N1398" s="7" t="s">
        <v>23</v>
      </c>
      <c r="O1398" t="s">
        <v>31</v>
      </c>
      <c r="P1398" t="s">
        <v>4437</v>
      </c>
      <c r="Q1398" t="s">
        <v>3859</v>
      </c>
      <c r="R1398" t="s">
        <v>4228</v>
      </c>
    </row>
    <row r="1399" spans="1:18" hidden="1">
      <c r="A1399">
        <v>4</v>
      </c>
      <c r="B1399" s="4" t="s">
        <v>3127</v>
      </c>
      <c r="C1399" s="4" t="s">
        <v>4207</v>
      </c>
      <c r="D1399" s="4" t="s">
        <v>4257</v>
      </c>
      <c r="E1399" s="4" t="s">
        <v>5804</v>
      </c>
      <c r="F1399" t="s">
        <v>904</v>
      </c>
      <c r="G1399" t="s">
        <v>936</v>
      </c>
      <c r="H1399" t="s">
        <v>21</v>
      </c>
      <c r="I1399">
        <v>3</v>
      </c>
      <c r="J1399" s="5">
        <v>7.0999999999999994E-2</v>
      </c>
      <c r="K1399" t="s">
        <v>43</v>
      </c>
      <c r="L1399" s="6">
        <v>43525</v>
      </c>
      <c r="M1399">
        <v>3</v>
      </c>
      <c r="N1399" s="7" t="s">
        <v>23</v>
      </c>
      <c r="O1399" t="s">
        <v>31</v>
      </c>
      <c r="P1399" t="s">
        <v>4438</v>
      </c>
      <c r="Q1399" t="s">
        <v>4173</v>
      </c>
      <c r="R1399" t="s">
        <v>4174</v>
      </c>
    </row>
    <row r="1400" spans="1:18" hidden="1">
      <c r="A1400">
        <v>4</v>
      </c>
      <c r="B1400" s="4" t="s">
        <v>3127</v>
      </c>
      <c r="C1400" s="4" t="s">
        <v>4207</v>
      </c>
      <c r="D1400" s="4" t="s">
        <v>4257</v>
      </c>
      <c r="E1400" s="4" t="s">
        <v>5804</v>
      </c>
      <c r="F1400" t="s">
        <v>904</v>
      </c>
      <c r="G1400" t="s">
        <v>987</v>
      </c>
      <c r="H1400" t="s">
        <v>53</v>
      </c>
      <c r="I1400" t="s">
        <v>53</v>
      </c>
      <c r="J1400" s="5" t="s">
        <v>53</v>
      </c>
      <c r="K1400" t="s">
        <v>654</v>
      </c>
      <c r="L1400" s="6">
        <v>43556</v>
      </c>
      <c r="M1400">
        <v>4</v>
      </c>
      <c r="N1400" s="7" t="s">
        <v>23</v>
      </c>
      <c r="O1400" t="s">
        <v>223</v>
      </c>
      <c r="P1400" t="s">
        <v>4439</v>
      </c>
      <c r="Q1400" t="s">
        <v>4440</v>
      </c>
      <c r="R1400" t="s">
        <v>4441</v>
      </c>
    </row>
    <row r="1401" spans="1:18" hidden="1">
      <c r="A1401">
        <v>4</v>
      </c>
      <c r="B1401" s="4" t="s">
        <v>3127</v>
      </c>
      <c r="C1401" s="4" t="s">
        <v>4207</v>
      </c>
      <c r="D1401" s="4" t="s">
        <v>4257</v>
      </c>
      <c r="E1401" s="4" t="s">
        <v>5804</v>
      </c>
      <c r="F1401" t="s">
        <v>904</v>
      </c>
      <c r="G1401" t="s">
        <v>910</v>
      </c>
      <c r="H1401" t="s">
        <v>21</v>
      </c>
      <c r="I1401">
        <v>3</v>
      </c>
      <c r="J1401" s="5">
        <v>7.0999999999999994E-2</v>
      </c>
      <c r="K1401" t="s">
        <v>654</v>
      </c>
      <c r="L1401" s="6">
        <v>43556</v>
      </c>
      <c r="M1401">
        <v>4</v>
      </c>
      <c r="N1401" s="7" t="s">
        <v>23</v>
      </c>
      <c r="O1401" t="s">
        <v>31</v>
      </c>
      <c r="P1401" t="s">
        <v>4442</v>
      </c>
      <c r="Q1401" t="s">
        <v>4359</v>
      </c>
      <c r="R1401" t="s">
        <v>4228</v>
      </c>
    </row>
    <row r="1402" spans="1:18" hidden="1">
      <c r="A1402">
        <v>4</v>
      </c>
      <c r="B1402" s="4" t="s">
        <v>3127</v>
      </c>
      <c r="C1402" s="4" t="s">
        <v>4207</v>
      </c>
      <c r="D1402" s="4" t="s">
        <v>4257</v>
      </c>
      <c r="E1402" s="4" t="s">
        <v>5804</v>
      </c>
      <c r="F1402" t="s">
        <v>904</v>
      </c>
      <c r="G1402" t="s">
        <v>910</v>
      </c>
      <c r="H1402" t="s">
        <v>21</v>
      </c>
      <c r="I1402">
        <v>3</v>
      </c>
      <c r="J1402" s="5">
        <v>7.0999999999999994E-2</v>
      </c>
      <c r="K1402" t="s">
        <v>654</v>
      </c>
      <c r="L1402" s="6">
        <v>43556</v>
      </c>
      <c r="M1402">
        <v>4</v>
      </c>
      <c r="N1402" s="7" t="s">
        <v>23</v>
      </c>
      <c r="O1402" t="s">
        <v>31</v>
      </c>
      <c r="P1402" t="s">
        <v>4443</v>
      </c>
      <c r="Q1402" t="s">
        <v>3859</v>
      </c>
      <c r="R1402" t="s">
        <v>4228</v>
      </c>
    </row>
    <row r="1403" spans="1:18" hidden="1">
      <c r="A1403">
        <v>4</v>
      </c>
      <c r="B1403" s="4" t="s">
        <v>3127</v>
      </c>
      <c r="C1403" s="4" t="s">
        <v>4207</v>
      </c>
      <c r="D1403" s="4" t="s">
        <v>4257</v>
      </c>
      <c r="E1403" s="4" t="s">
        <v>5804</v>
      </c>
      <c r="F1403" t="s">
        <v>904</v>
      </c>
      <c r="G1403" t="s">
        <v>936</v>
      </c>
      <c r="H1403" t="s">
        <v>21</v>
      </c>
      <c r="I1403">
        <v>3</v>
      </c>
      <c r="J1403" s="5">
        <v>7.0999999999999994E-2</v>
      </c>
      <c r="K1403" t="s">
        <v>4444</v>
      </c>
      <c r="L1403" s="6">
        <v>43556</v>
      </c>
      <c r="M1403">
        <v>4</v>
      </c>
      <c r="N1403" s="7" t="s">
        <v>23</v>
      </c>
      <c r="O1403" t="s">
        <v>31</v>
      </c>
      <c r="P1403" t="s">
        <v>4445</v>
      </c>
      <c r="Q1403" t="s">
        <v>4173</v>
      </c>
      <c r="R1403" t="s">
        <v>4174</v>
      </c>
    </row>
    <row r="1404" spans="1:18" hidden="1">
      <c r="A1404">
        <v>4</v>
      </c>
      <c r="B1404" s="4" t="s">
        <v>3127</v>
      </c>
      <c r="C1404" s="4" t="s">
        <v>4207</v>
      </c>
      <c r="D1404" s="4" t="s">
        <v>4257</v>
      </c>
      <c r="E1404" s="4" t="s">
        <v>5804</v>
      </c>
      <c r="F1404" t="s">
        <v>904</v>
      </c>
      <c r="G1404" t="s">
        <v>936</v>
      </c>
      <c r="H1404" t="s">
        <v>21</v>
      </c>
      <c r="I1404">
        <v>3</v>
      </c>
      <c r="J1404" s="5">
        <v>7.0999999999999994E-2</v>
      </c>
      <c r="K1404" t="s">
        <v>654</v>
      </c>
      <c r="L1404" s="6">
        <v>43556</v>
      </c>
      <c r="M1404">
        <v>4</v>
      </c>
      <c r="N1404" s="7" t="s">
        <v>23</v>
      </c>
      <c r="O1404" t="s">
        <v>31</v>
      </c>
      <c r="P1404" t="s">
        <v>4446</v>
      </c>
      <c r="Q1404" t="s">
        <v>4173</v>
      </c>
      <c r="R1404" t="s">
        <v>4174</v>
      </c>
    </row>
    <row r="1405" spans="1:18" hidden="1">
      <c r="A1405">
        <v>4</v>
      </c>
      <c r="B1405" s="4" t="s">
        <v>3127</v>
      </c>
      <c r="C1405" s="4" t="s">
        <v>4207</v>
      </c>
      <c r="D1405" s="4" t="s">
        <v>4257</v>
      </c>
      <c r="E1405" s="4" t="s">
        <v>5804</v>
      </c>
      <c r="F1405" t="s">
        <v>904</v>
      </c>
      <c r="G1405" t="s">
        <v>936</v>
      </c>
      <c r="H1405" t="s">
        <v>21</v>
      </c>
      <c r="I1405">
        <v>3</v>
      </c>
      <c r="J1405" s="5">
        <v>7.0999999999999994E-2</v>
      </c>
      <c r="K1405" t="s">
        <v>654</v>
      </c>
      <c r="L1405" s="6">
        <v>43556</v>
      </c>
      <c r="M1405">
        <v>4</v>
      </c>
      <c r="N1405" s="7" t="s">
        <v>23</v>
      </c>
      <c r="O1405" t="s">
        <v>31</v>
      </c>
      <c r="P1405" t="s">
        <v>4447</v>
      </c>
      <c r="Q1405" t="s">
        <v>4173</v>
      </c>
      <c r="R1405" t="s">
        <v>4174</v>
      </c>
    </row>
    <row r="1406" spans="1:18" hidden="1">
      <c r="A1406">
        <v>4</v>
      </c>
      <c r="B1406" s="4" t="s">
        <v>3127</v>
      </c>
      <c r="C1406" s="4" t="s">
        <v>4207</v>
      </c>
      <c r="D1406" s="4" t="s">
        <v>4257</v>
      </c>
      <c r="E1406" s="4" t="s">
        <v>5804</v>
      </c>
      <c r="F1406" t="s">
        <v>904</v>
      </c>
      <c r="G1406" t="s">
        <v>936</v>
      </c>
      <c r="H1406" t="s">
        <v>21</v>
      </c>
      <c r="I1406">
        <v>3</v>
      </c>
      <c r="J1406" s="5">
        <v>7.0999999999999994E-2</v>
      </c>
      <c r="K1406" t="s">
        <v>654</v>
      </c>
      <c r="L1406" s="6">
        <v>43556</v>
      </c>
      <c r="M1406">
        <v>4</v>
      </c>
      <c r="N1406" s="7" t="s">
        <v>23</v>
      </c>
      <c r="O1406" t="s">
        <v>31</v>
      </c>
      <c r="P1406" t="s">
        <v>4448</v>
      </c>
      <c r="Q1406" t="s">
        <v>4173</v>
      </c>
      <c r="R1406" t="s">
        <v>4174</v>
      </c>
    </row>
    <row r="1407" spans="1:18" hidden="1">
      <c r="A1407">
        <v>4</v>
      </c>
      <c r="B1407" s="4" t="s">
        <v>3127</v>
      </c>
      <c r="C1407" s="4" t="s">
        <v>4207</v>
      </c>
      <c r="D1407" s="4" t="s">
        <v>4257</v>
      </c>
      <c r="E1407" s="4" t="s">
        <v>5804</v>
      </c>
      <c r="F1407" t="s">
        <v>904</v>
      </c>
      <c r="G1407" t="s">
        <v>936</v>
      </c>
      <c r="H1407" t="s">
        <v>21</v>
      </c>
      <c r="I1407">
        <v>3</v>
      </c>
      <c r="J1407" s="5">
        <v>7.0999999999999994E-2</v>
      </c>
      <c r="K1407" t="s">
        <v>159</v>
      </c>
      <c r="L1407" s="6">
        <v>43586</v>
      </c>
      <c r="M1407">
        <v>5</v>
      </c>
      <c r="N1407" s="7" t="s">
        <v>23</v>
      </c>
      <c r="O1407" t="s">
        <v>31</v>
      </c>
      <c r="P1407" t="s">
        <v>4452</v>
      </c>
      <c r="Q1407" t="s">
        <v>3804</v>
      </c>
      <c r="R1407" t="s">
        <v>4174</v>
      </c>
    </row>
    <row r="1408" spans="1:18" hidden="1">
      <c r="A1408">
        <v>4</v>
      </c>
      <c r="B1408" s="4" t="s">
        <v>3127</v>
      </c>
      <c r="C1408" s="4" t="s">
        <v>4207</v>
      </c>
      <c r="D1408" s="4" t="s">
        <v>4257</v>
      </c>
      <c r="E1408" s="4" t="s">
        <v>5804</v>
      </c>
      <c r="F1408" t="s">
        <v>904</v>
      </c>
      <c r="G1408" t="s">
        <v>910</v>
      </c>
      <c r="H1408" t="s">
        <v>21</v>
      </c>
      <c r="I1408">
        <v>3</v>
      </c>
      <c r="J1408" s="5">
        <v>7.0999999999999994E-2</v>
      </c>
      <c r="K1408" t="s">
        <v>159</v>
      </c>
      <c r="L1408" s="6">
        <v>43586</v>
      </c>
      <c r="M1408">
        <v>5</v>
      </c>
      <c r="N1408" s="7" t="s">
        <v>23</v>
      </c>
      <c r="O1408" t="s">
        <v>31</v>
      </c>
      <c r="P1408" t="s">
        <v>4453</v>
      </c>
      <c r="Q1408" t="s">
        <v>3804</v>
      </c>
      <c r="R1408" t="s">
        <v>4174</v>
      </c>
    </row>
    <row r="1409" spans="1:18" hidden="1">
      <c r="A1409">
        <v>4</v>
      </c>
      <c r="B1409" s="4" t="s">
        <v>3127</v>
      </c>
      <c r="C1409" s="4" t="s">
        <v>4207</v>
      </c>
      <c r="D1409" s="4" t="s">
        <v>4257</v>
      </c>
      <c r="E1409" s="4" t="s">
        <v>5804</v>
      </c>
      <c r="F1409" t="s">
        <v>904</v>
      </c>
      <c r="G1409" t="s">
        <v>910</v>
      </c>
      <c r="H1409" t="s">
        <v>21</v>
      </c>
      <c r="I1409">
        <v>3</v>
      </c>
      <c r="J1409" s="5">
        <v>7.0999999999999994E-2</v>
      </c>
      <c r="K1409" t="s">
        <v>159</v>
      </c>
      <c r="L1409" s="6">
        <v>43586</v>
      </c>
      <c r="M1409">
        <v>5</v>
      </c>
      <c r="N1409" s="7" t="s">
        <v>23</v>
      </c>
      <c r="O1409" t="s">
        <v>31</v>
      </c>
      <c r="P1409" t="s">
        <v>4454</v>
      </c>
      <c r="Q1409" t="s">
        <v>3859</v>
      </c>
      <c r="R1409" t="s">
        <v>4228</v>
      </c>
    </row>
    <row r="1410" spans="1:18" hidden="1">
      <c r="A1410">
        <v>4</v>
      </c>
      <c r="B1410" s="4" t="s">
        <v>3127</v>
      </c>
      <c r="C1410" s="4" t="s">
        <v>4207</v>
      </c>
      <c r="D1410" s="4" t="s">
        <v>4257</v>
      </c>
      <c r="E1410" s="4" t="s">
        <v>5804</v>
      </c>
      <c r="F1410" t="s">
        <v>904</v>
      </c>
      <c r="G1410" t="s">
        <v>936</v>
      </c>
      <c r="H1410" t="s">
        <v>21</v>
      </c>
      <c r="I1410">
        <v>3</v>
      </c>
      <c r="J1410" s="5">
        <v>7.0999999999999994E-2</v>
      </c>
      <c r="K1410" t="s">
        <v>159</v>
      </c>
      <c r="L1410" s="6">
        <v>43586</v>
      </c>
      <c r="M1410">
        <v>5</v>
      </c>
      <c r="N1410" s="7" t="s">
        <v>23</v>
      </c>
      <c r="O1410" t="s">
        <v>31</v>
      </c>
      <c r="P1410" t="s">
        <v>4455</v>
      </c>
      <c r="Q1410" t="s">
        <v>4173</v>
      </c>
      <c r="R1410" t="s">
        <v>4397</v>
      </c>
    </row>
    <row r="1411" spans="1:18" hidden="1">
      <c r="A1411">
        <v>4</v>
      </c>
      <c r="B1411" s="4" t="s">
        <v>3127</v>
      </c>
      <c r="C1411" s="4" t="s">
        <v>4207</v>
      </c>
      <c r="D1411" s="4" t="s">
        <v>4257</v>
      </c>
      <c r="E1411" s="4" t="s">
        <v>5804</v>
      </c>
      <c r="F1411" t="s">
        <v>904</v>
      </c>
      <c r="G1411" t="s">
        <v>936</v>
      </c>
      <c r="H1411" t="s">
        <v>21</v>
      </c>
      <c r="I1411">
        <v>3</v>
      </c>
      <c r="J1411" s="5">
        <v>7.0999999999999994E-2</v>
      </c>
      <c r="K1411" t="s">
        <v>164</v>
      </c>
      <c r="L1411" s="6">
        <v>43617</v>
      </c>
      <c r="M1411">
        <v>6</v>
      </c>
      <c r="N1411" s="7" t="s">
        <v>55</v>
      </c>
      <c r="O1411" t="s">
        <v>31</v>
      </c>
      <c r="P1411" t="s">
        <v>4457</v>
      </c>
      <c r="Q1411" t="s">
        <v>3804</v>
      </c>
      <c r="R1411" t="s">
        <v>4174</v>
      </c>
    </row>
    <row r="1412" spans="1:18" hidden="1">
      <c r="A1412">
        <v>4</v>
      </c>
      <c r="B1412" s="4" t="s">
        <v>3127</v>
      </c>
      <c r="C1412" s="4" t="s">
        <v>4207</v>
      </c>
      <c r="D1412" s="4" t="s">
        <v>4257</v>
      </c>
      <c r="E1412" s="4" t="s">
        <v>5804</v>
      </c>
      <c r="F1412" t="s">
        <v>904</v>
      </c>
      <c r="G1412" t="s">
        <v>910</v>
      </c>
      <c r="H1412" t="s">
        <v>21</v>
      </c>
      <c r="I1412">
        <v>3</v>
      </c>
      <c r="J1412" s="5">
        <v>7.0999999999999994E-2</v>
      </c>
      <c r="K1412" t="s">
        <v>164</v>
      </c>
      <c r="L1412" s="6">
        <v>43617</v>
      </c>
      <c r="M1412">
        <v>6</v>
      </c>
      <c r="N1412" s="7" t="s">
        <v>55</v>
      </c>
      <c r="O1412" t="s">
        <v>31</v>
      </c>
      <c r="P1412" t="s">
        <v>4458</v>
      </c>
      <c r="Q1412" t="s">
        <v>3804</v>
      </c>
      <c r="R1412" t="s">
        <v>4174</v>
      </c>
    </row>
    <row r="1413" spans="1:18" hidden="1">
      <c r="A1413">
        <v>4</v>
      </c>
      <c r="B1413" s="4" t="s">
        <v>3127</v>
      </c>
      <c r="C1413" s="4" t="s">
        <v>4207</v>
      </c>
      <c r="D1413" s="4" t="s">
        <v>4257</v>
      </c>
      <c r="E1413" s="4" t="s">
        <v>5804</v>
      </c>
      <c r="F1413" t="s">
        <v>904</v>
      </c>
      <c r="G1413" t="s">
        <v>936</v>
      </c>
      <c r="H1413" t="s">
        <v>21</v>
      </c>
      <c r="I1413">
        <v>3</v>
      </c>
      <c r="J1413" s="5">
        <v>7.0999999999999994E-2</v>
      </c>
      <c r="K1413" t="s">
        <v>164</v>
      </c>
      <c r="L1413" s="6">
        <v>43617</v>
      </c>
      <c r="M1413">
        <v>6</v>
      </c>
      <c r="N1413" s="7" t="s">
        <v>55</v>
      </c>
      <c r="O1413" t="s">
        <v>31</v>
      </c>
      <c r="P1413" t="s">
        <v>4459</v>
      </c>
      <c r="Q1413" t="s">
        <v>4173</v>
      </c>
      <c r="R1413" t="s">
        <v>4174</v>
      </c>
    </row>
    <row r="1414" spans="1:18" hidden="1">
      <c r="A1414">
        <v>4</v>
      </c>
      <c r="B1414" s="4" t="s">
        <v>3127</v>
      </c>
      <c r="C1414" s="4" t="s">
        <v>4207</v>
      </c>
      <c r="D1414" s="4" t="s">
        <v>4257</v>
      </c>
      <c r="E1414" s="4" t="s">
        <v>5804</v>
      </c>
      <c r="F1414" t="s">
        <v>904</v>
      </c>
      <c r="G1414" t="s">
        <v>936</v>
      </c>
      <c r="H1414" t="s">
        <v>21</v>
      </c>
      <c r="I1414">
        <v>3</v>
      </c>
      <c r="J1414" s="5">
        <v>7.0999999999999994E-2</v>
      </c>
      <c r="K1414" t="s">
        <v>304</v>
      </c>
      <c r="L1414" s="6">
        <v>43647</v>
      </c>
      <c r="M1414">
        <v>7</v>
      </c>
      <c r="N1414" s="7" t="s">
        <v>55</v>
      </c>
      <c r="O1414" t="s">
        <v>31</v>
      </c>
      <c r="P1414" t="s">
        <v>4467</v>
      </c>
      <c r="Q1414" t="s">
        <v>4173</v>
      </c>
      <c r="R1414" t="s">
        <v>4174</v>
      </c>
    </row>
    <row r="1415" spans="1:18" hidden="1">
      <c r="A1415">
        <v>4</v>
      </c>
      <c r="B1415" s="4" t="s">
        <v>3127</v>
      </c>
      <c r="C1415" s="4" t="s">
        <v>4207</v>
      </c>
      <c r="D1415" s="4" t="s">
        <v>4257</v>
      </c>
      <c r="E1415" s="4" t="s">
        <v>5804</v>
      </c>
      <c r="F1415" t="s">
        <v>904</v>
      </c>
      <c r="G1415" t="s">
        <v>936</v>
      </c>
      <c r="H1415" t="s">
        <v>21</v>
      </c>
      <c r="I1415">
        <v>3</v>
      </c>
      <c r="J1415" s="5">
        <v>7.0999999999999994E-2</v>
      </c>
      <c r="K1415" t="s">
        <v>304</v>
      </c>
      <c r="L1415" s="6">
        <v>43647</v>
      </c>
      <c r="M1415">
        <v>7</v>
      </c>
      <c r="N1415" s="7" t="s">
        <v>55</v>
      </c>
      <c r="O1415" t="s">
        <v>31</v>
      </c>
      <c r="P1415" t="s">
        <v>4468</v>
      </c>
      <c r="Q1415" t="s">
        <v>4173</v>
      </c>
      <c r="R1415" t="s">
        <v>4174</v>
      </c>
    </row>
    <row r="1416" spans="1:18" hidden="1">
      <c r="A1416">
        <v>4</v>
      </c>
      <c r="B1416" s="4" t="s">
        <v>3127</v>
      </c>
      <c r="C1416" s="4" t="s">
        <v>4207</v>
      </c>
      <c r="D1416" s="4" t="s">
        <v>4257</v>
      </c>
      <c r="E1416" s="4" t="s">
        <v>5804</v>
      </c>
      <c r="F1416" t="s">
        <v>904</v>
      </c>
      <c r="G1416" t="s">
        <v>910</v>
      </c>
      <c r="H1416" t="s">
        <v>21</v>
      </c>
      <c r="I1416">
        <v>3</v>
      </c>
      <c r="J1416" s="5">
        <v>7.0999999999999994E-2</v>
      </c>
      <c r="K1416" t="s">
        <v>304</v>
      </c>
      <c r="L1416" s="6">
        <v>43647</v>
      </c>
      <c r="M1416">
        <v>7</v>
      </c>
      <c r="N1416" s="7" t="s">
        <v>55</v>
      </c>
      <c r="O1416" t="s">
        <v>31</v>
      </c>
      <c r="P1416" t="s">
        <v>4469</v>
      </c>
      <c r="Q1416" t="s">
        <v>4173</v>
      </c>
      <c r="R1416" t="s">
        <v>4174</v>
      </c>
    </row>
    <row r="1417" spans="1:18" hidden="1">
      <c r="A1417">
        <v>4</v>
      </c>
      <c r="B1417" s="4" t="s">
        <v>3127</v>
      </c>
      <c r="C1417" s="4" t="s">
        <v>4207</v>
      </c>
      <c r="D1417" s="4" t="s">
        <v>4257</v>
      </c>
      <c r="E1417" s="4" t="s">
        <v>5804</v>
      </c>
      <c r="F1417" t="s">
        <v>904</v>
      </c>
      <c r="G1417" t="s">
        <v>910</v>
      </c>
      <c r="H1417" t="s">
        <v>21</v>
      </c>
      <c r="I1417">
        <v>3</v>
      </c>
      <c r="J1417" s="5">
        <v>7.0999999999999994E-2</v>
      </c>
      <c r="K1417" t="s">
        <v>168</v>
      </c>
      <c r="L1417" s="6">
        <v>43678</v>
      </c>
      <c r="M1417">
        <v>8</v>
      </c>
      <c r="N1417" s="7" t="s">
        <v>55</v>
      </c>
      <c r="O1417" t="s">
        <v>31</v>
      </c>
      <c r="P1417" t="s">
        <v>4473</v>
      </c>
      <c r="Q1417" t="s">
        <v>4291</v>
      </c>
      <c r="R1417" t="s">
        <v>4261</v>
      </c>
    </row>
    <row r="1418" spans="1:18" hidden="1">
      <c r="A1418">
        <v>4</v>
      </c>
      <c r="B1418" s="4" t="s">
        <v>3127</v>
      </c>
      <c r="C1418" s="4" t="s">
        <v>4207</v>
      </c>
      <c r="D1418" s="4" t="s">
        <v>4257</v>
      </c>
      <c r="E1418" s="4" t="s">
        <v>5804</v>
      </c>
      <c r="F1418" t="s">
        <v>904</v>
      </c>
      <c r="G1418" t="s">
        <v>936</v>
      </c>
      <c r="H1418" t="s">
        <v>21</v>
      </c>
      <c r="I1418">
        <v>3</v>
      </c>
      <c r="J1418" s="5">
        <v>7.0999999999999994E-2</v>
      </c>
      <c r="K1418" t="s">
        <v>168</v>
      </c>
      <c r="L1418" s="6">
        <v>43678</v>
      </c>
      <c r="M1418">
        <v>8</v>
      </c>
      <c r="N1418" s="7" t="s">
        <v>55</v>
      </c>
      <c r="O1418" t="s">
        <v>31</v>
      </c>
      <c r="P1418" t="s">
        <v>4474</v>
      </c>
      <c r="Q1418" t="s">
        <v>4173</v>
      </c>
      <c r="R1418" t="s">
        <v>4174</v>
      </c>
    </row>
    <row r="1419" spans="1:18" hidden="1">
      <c r="A1419">
        <v>4</v>
      </c>
      <c r="B1419" s="4" t="s">
        <v>3127</v>
      </c>
      <c r="C1419" s="4" t="s">
        <v>4207</v>
      </c>
      <c r="D1419" s="4" t="s">
        <v>4257</v>
      </c>
      <c r="E1419" s="4" t="s">
        <v>5804</v>
      </c>
      <c r="F1419" t="s">
        <v>904</v>
      </c>
      <c r="G1419" t="s">
        <v>910</v>
      </c>
      <c r="H1419" t="s">
        <v>21</v>
      </c>
      <c r="I1419">
        <v>3</v>
      </c>
      <c r="J1419" s="5">
        <v>7.0999999999999994E-2</v>
      </c>
      <c r="K1419" t="s">
        <v>168</v>
      </c>
      <c r="L1419" s="6">
        <v>43678</v>
      </c>
      <c r="M1419">
        <v>8</v>
      </c>
      <c r="N1419" s="7" t="s">
        <v>55</v>
      </c>
      <c r="O1419" t="s">
        <v>31</v>
      </c>
      <c r="P1419" t="s">
        <v>4475</v>
      </c>
      <c r="Q1419" t="s">
        <v>4173</v>
      </c>
      <c r="R1419" t="s">
        <v>4174</v>
      </c>
    </row>
    <row r="1420" spans="1:18" hidden="1">
      <c r="A1420">
        <v>4</v>
      </c>
      <c r="B1420" s="4" t="s">
        <v>3127</v>
      </c>
      <c r="C1420" s="4" t="s">
        <v>4207</v>
      </c>
      <c r="D1420" s="4" t="s">
        <v>4257</v>
      </c>
      <c r="E1420" s="4" t="s">
        <v>5804</v>
      </c>
      <c r="F1420" t="s">
        <v>904</v>
      </c>
      <c r="G1420" t="s">
        <v>910</v>
      </c>
      <c r="H1420" t="s">
        <v>21</v>
      </c>
      <c r="I1420">
        <v>3</v>
      </c>
      <c r="J1420" s="5">
        <v>7.0999999999999994E-2</v>
      </c>
      <c r="K1420" t="s">
        <v>726</v>
      </c>
      <c r="L1420" s="6">
        <v>43709</v>
      </c>
      <c r="M1420">
        <v>9</v>
      </c>
      <c r="N1420" s="7" t="s">
        <v>23</v>
      </c>
      <c r="O1420" t="s">
        <v>31</v>
      </c>
      <c r="P1420" t="s">
        <v>4476</v>
      </c>
      <c r="Q1420" t="s">
        <v>4291</v>
      </c>
      <c r="R1420" t="s">
        <v>4261</v>
      </c>
    </row>
    <row r="1421" spans="1:18" hidden="1">
      <c r="A1421">
        <v>4</v>
      </c>
      <c r="B1421" s="4" t="s">
        <v>3127</v>
      </c>
      <c r="C1421" s="4" t="s">
        <v>4207</v>
      </c>
      <c r="D1421" s="4" t="s">
        <v>4257</v>
      </c>
      <c r="E1421" s="4" t="s">
        <v>5804</v>
      </c>
      <c r="F1421" t="s">
        <v>904</v>
      </c>
      <c r="G1421" t="s">
        <v>910</v>
      </c>
      <c r="H1421" t="s">
        <v>21</v>
      </c>
      <c r="I1421">
        <v>3</v>
      </c>
      <c r="J1421" s="5">
        <v>7.0999999999999994E-2</v>
      </c>
      <c r="K1421" t="s">
        <v>726</v>
      </c>
      <c r="L1421" s="6">
        <v>43709</v>
      </c>
      <c r="M1421">
        <v>9</v>
      </c>
      <c r="N1421" s="7" t="s">
        <v>23</v>
      </c>
      <c r="O1421" t="s">
        <v>31</v>
      </c>
      <c r="P1421" t="s">
        <v>4477</v>
      </c>
      <c r="Q1421" t="s">
        <v>3859</v>
      </c>
      <c r="R1421" t="s">
        <v>4228</v>
      </c>
    </row>
    <row r="1422" spans="1:18" hidden="1">
      <c r="A1422">
        <v>4</v>
      </c>
      <c r="B1422" s="4" t="s">
        <v>3127</v>
      </c>
      <c r="C1422" s="4" t="s">
        <v>4207</v>
      </c>
      <c r="D1422" s="4" t="s">
        <v>4257</v>
      </c>
      <c r="E1422" s="4" t="s">
        <v>5804</v>
      </c>
      <c r="F1422" t="s">
        <v>904</v>
      </c>
      <c r="G1422" t="s">
        <v>936</v>
      </c>
      <c r="H1422" t="s">
        <v>21</v>
      </c>
      <c r="I1422">
        <v>3</v>
      </c>
      <c r="J1422" s="5">
        <v>7.0999999999999994E-2</v>
      </c>
      <c r="K1422" t="s">
        <v>726</v>
      </c>
      <c r="L1422" s="6">
        <v>43709</v>
      </c>
      <c r="M1422">
        <v>9</v>
      </c>
      <c r="N1422" s="7" t="s">
        <v>23</v>
      </c>
      <c r="O1422" t="s">
        <v>31</v>
      </c>
      <c r="P1422" t="s">
        <v>4478</v>
      </c>
      <c r="Q1422" t="s">
        <v>4173</v>
      </c>
      <c r="R1422" t="s">
        <v>4174</v>
      </c>
    </row>
    <row r="1423" spans="1:18" hidden="1">
      <c r="A1423">
        <v>4</v>
      </c>
      <c r="B1423" s="4" t="s">
        <v>3127</v>
      </c>
      <c r="C1423" s="4" t="s">
        <v>4207</v>
      </c>
      <c r="D1423" s="4" t="s">
        <v>4257</v>
      </c>
      <c r="E1423" s="4" t="s">
        <v>5804</v>
      </c>
      <c r="F1423" t="s">
        <v>904</v>
      </c>
      <c r="G1423" t="s">
        <v>905</v>
      </c>
      <c r="H1423" t="s">
        <v>53</v>
      </c>
      <c r="I1423" t="s">
        <v>53</v>
      </c>
      <c r="J1423" s="5" t="s">
        <v>53</v>
      </c>
      <c r="K1423" t="s">
        <v>726</v>
      </c>
      <c r="L1423" s="6">
        <v>43709</v>
      </c>
      <c r="M1423">
        <v>9</v>
      </c>
      <c r="N1423" s="7" t="s">
        <v>23</v>
      </c>
      <c r="O1423" t="s">
        <v>31</v>
      </c>
      <c r="P1423" t="s">
        <v>4479</v>
      </c>
      <c r="Q1423" t="s">
        <v>4173</v>
      </c>
      <c r="R1423" t="s">
        <v>4412</v>
      </c>
    </row>
    <row r="1424" spans="1:18" hidden="1">
      <c r="A1424">
        <v>4</v>
      </c>
      <c r="B1424" s="4" t="s">
        <v>3127</v>
      </c>
      <c r="C1424" s="4" t="s">
        <v>4207</v>
      </c>
      <c r="D1424" s="4" t="s">
        <v>4257</v>
      </c>
      <c r="E1424" s="4" t="s">
        <v>5804</v>
      </c>
      <c r="F1424" t="s">
        <v>904</v>
      </c>
      <c r="G1424" t="s">
        <v>936</v>
      </c>
      <c r="H1424" t="s">
        <v>21</v>
      </c>
      <c r="I1424">
        <v>3</v>
      </c>
      <c r="J1424" s="5">
        <v>7.0999999999999994E-2</v>
      </c>
      <c r="K1424" t="s">
        <v>4480</v>
      </c>
      <c r="L1424" s="6">
        <v>43739</v>
      </c>
      <c r="M1424">
        <v>10</v>
      </c>
      <c r="N1424" s="7" t="s">
        <v>23</v>
      </c>
      <c r="O1424" t="s">
        <v>31</v>
      </c>
      <c r="P1424" t="s">
        <v>4481</v>
      </c>
      <c r="Q1424" t="s">
        <v>3804</v>
      </c>
      <c r="R1424" t="s">
        <v>4174</v>
      </c>
    </row>
    <row r="1425" spans="1:18" hidden="1">
      <c r="A1425">
        <v>4</v>
      </c>
      <c r="B1425" s="4" t="s">
        <v>3127</v>
      </c>
      <c r="C1425" s="4" t="s">
        <v>4207</v>
      </c>
      <c r="D1425" s="4" t="s">
        <v>4257</v>
      </c>
      <c r="E1425" s="4" t="s">
        <v>5804</v>
      </c>
      <c r="F1425" t="s">
        <v>904</v>
      </c>
      <c r="G1425" t="s">
        <v>936</v>
      </c>
      <c r="H1425" t="s">
        <v>21</v>
      </c>
      <c r="I1425">
        <v>3</v>
      </c>
      <c r="J1425" s="5">
        <v>7.0999999999999994E-2</v>
      </c>
      <c r="K1425" t="s">
        <v>357</v>
      </c>
      <c r="L1425" s="6">
        <v>43739</v>
      </c>
      <c r="M1425">
        <v>10</v>
      </c>
      <c r="N1425" s="7" t="s">
        <v>23</v>
      </c>
      <c r="O1425" t="s">
        <v>31</v>
      </c>
      <c r="P1425" t="s">
        <v>4485</v>
      </c>
      <c r="Q1425" t="s">
        <v>3804</v>
      </c>
      <c r="R1425" t="s">
        <v>4174</v>
      </c>
    </row>
    <row r="1426" spans="1:18" hidden="1">
      <c r="A1426">
        <v>4</v>
      </c>
      <c r="B1426" s="4" t="s">
        <v>3127</v>
      </c>
      <c r="C1426" s="4" t="s">
        <v>4207</v>
      </c>
      <c r="D1426" s="4" t="s">
        <v>4257</v>
      </c>
      <c r="E1426" s="4" t="s">
        <v>5804</v>
      </c>
      <c r="F1426" t="s">
        <v>904</v>
      </c>
      <c r="G1426" t="s">
        <v>910</v>
      </c>
      <c r="H1426" t="s">
        <v>21</v>
      </c>
      <c r="I1426">
        <v>3</v>
      </c>
      <c r="J1426" s="5">
        <v>7.0999999999999994E-2</v>
      </c>
      <c r="K1426" t="s">
        <v>357</v>
      </c>
      <c r="L1426" s="6">
        <v>43739</v>
      </c>
      <c r="M1426">
        <v>10</v>
      </c>
      <c r="N1426" s="7" t="s">
        <v>23</v>
      </c>
      <c r="O1426" t="s">
        <v>31</v>
      </c>
      <c r="P1426" t="s">
        <v>4486</v>
      </c>
      <c r="Q1426" t="s">
        <v>3804</v>
      </c>
      <c r="R1426" t="s">
        <v>4174</v>
      </c>
    </row>
    <row r="1427" spans="1:18" hidden="1">
      <c r="A1427">
        <v>4</v>
      </c>
      <c r="B1427" s="4" t="s">
        <v>3127</v>
      </c>
      <c r="C1427" s="4" t="s">
        <v>4207</v>
      </c>
      <c r="D1427" s="4" t="s">
        <v>4257</v>
      </c>
      <c r="E1427" s="4" t="s">
        <v>5804</v>
      </c>
      <c r="F1427" t="s">
        <v>904</v>
      </c>
      <c r="G1427" t="s">
        <v>910</v>
      </c>
      <c r="H1427" t="s">
        <v>21</v>
      </c>
      <c r="I1427">
        <v>3</v>
      </c>
      <c r="J1427" s="5">
        <v>7.0999999999999994E-2</v>
      </c>
      <c r="K1427" t="s">
        <v>357</v>
      </c>
      <c r="L1427" s="6">
        <v>43739</v>
      </c>
      <c r="M1427">
        <v>10</v>
      </c>
      <c r="N1427" s="7" t="s">
        <v>23</v>
      </c>
      <c r="O1427" t="s">
        <v>31</v>
      </c>
      <c r="P1427" t="s">
        <v>4487</v>
      </c>
      <c r="Q1427" t="s">
        <v>3859</v>
      </c>
      <c r="R1427" t="s">
        <v>4228</v>
      </c>
    </row>
    <row r="1428" spans="1:18" hidden="1">
      <c r="A1428">
        <v>4</v>
      </c>
      <c r="B1428" s="4" t="s">
        <v>3127</v>
      </c>
      <c r="C1428" s="4" t="s">
        <v>4207</v>
      </c>
      <c r="D1428" s="4" t="s">
        <v>4257</v>
      </c>
      <c r="E1428" s="4" t="s">
        <v>5804</v>
      </c>
      <c r="F1428" t="s">
        <v>904</v>
      </c>
      <c r="G1428" t="s">
        <v>910</v>
      </c>
      <c r="H1428" t="s">
        <v>21</v>
      </c>
      <c r="I1428">
        <v>3</v>
      </c>
      <c r="J1428" s="5">
        <v>7.0999999999999994E-2</v>
      </c>
      <c r="K1428" t="s">
        <v>357</v>
      </c>
      <c r="L1428" s="6">
        <v>43739</v>
      </c>
      <c r="M1428">
        <v>10</v>
      </c>
      <c r="N1428" s="7" t="s">
        <v>23</v>
      </c>
      <c r="O1428" t="s">
        <v>31</v>
      </c>
      <c r="P1428" t="s">
        <v>4488</v>
      </c>
      <c r="Q1428" t="s">
        <v>3859</v>
      </c>
      <c r="R1428" t="s">
        <v>4228</v>
      </c>
    </row>
    <row r="1429" spans="1:18" hidden="1">
      <c r="A1429">
        <v>4</v>
      </c>
      <c r="B1429" s="4" t="s">
        <v>3127</v>
      </c>
      <c r="C1429" s="4" t="s">
        <v>4207</v>
      </c>
      <c r="D1429" s="4" t="s">
        <v>4257</v>
      </c>
      <c r="E1429" s="4" t="s">
        <v>5804</v>
      </c>
      <c r="F1429" t="s">
        <v>904</v>
      </c>
      <c r="G1429" t="s">
        <v>936</v>
      </c>
      <c r="H1429" t="s">
        <v>21</v>
      </c>
      <c r="I1429">
        <v>3</v>
      </c>
      <c r="J1429" s="5">
        <v>7.0999999999999994E-2</v>
      </c>
      <c r="K1429" t="s">
        <v>357</v>
      </c>
      <c r="L1429" s="6">
        <v>43739</v>
      </c>
      <c r="M1429">
        <v>10</v>
      </c>
      <c r="N1429" s="7" t="s">
        <v>23</v>
      </c>
      <c r="O1429" t="s">
        <v>31</v>
      </c>
      <c r="P1429" t="s">
        <v>4489</v>
      </c>
      <c r="Q1429" t="s">
        <v>4173</v>
      </c>
      <c r="R1429" t="s">
        <v>4174</v>
      </c>
    </row>
    <row r="1430" spans="1:18" hidden="1">
      <c r="A1430">
        <v>4</v>
      </c>
      <c r="B1430" s="4" t="s">
        <v>3127</v>
      </c>
      <c r="C1430" s="4" t="s">
        <v>4207</v>
      </c>
      <c r="D1430" s="4" t="s">
        <v>4257</v>
      </c>
      <c r="E1430" s="4" t="s">
        <v>5804</v>
      </c>
      <c r="F1430" t="s">
        <v>904</v>
      </c>
      <c r="G1430" t="s">
        <v>936</v>
      </c>
      <c r="H1430" t="s">
        <v>21</v>
      </c>
      <c r="I1430">
        <v>3</v>
      </c>
      <c r="J1430" s="5">
        <v>7.0999999999999994E-2</v>
      </c>
      <c r="K1430" t="s">
        <v>357</v>
      </c>
      <c r="L1430" s="6">
        <v>43739</v>
      </c>
      <c r="M1430">
        <v>10</v>
      </c>
      <c r="N1430" s="7" t="s">
        <v>23</v>
      </c>
      <c r="O1430" t="s">
        <v>31</v>
      </c>
      <c r="P1430" t="s">
        <v>4490</v>
      </c>
      <c r="Q1430" t="s">
        <v>4173</v>
      </c>
      <c r="R1430" t="s">
        <v>4174</v>
      </c>
    </row>
    <row r="1431" spans="1:18" hidden="1">
      <c r="A1431">
        <v>4</v>
      </c>
      <c r="B1431" s="4" t="s">
        <v>3127</v>
      </c>
      <c r="C1431" s="4" t="s">
        <v>4207</v>
      </c>
      <c r="D1431" s="4" t="s">
        <v>4257</v>
      </c>
      <c r="E1431" s="4" t="s">
        <v>5804</v>
      </c>
      <c r="F1431" t="s">
        <v>904</v>
      </c>
      <c r="G1431" t="s">
        <v>936</v>
      </c>
      <c r="H1431" t="s">
        <v>21</v>
      </c>
      <c r="I1431">
        <v>3</v>
      </c>
      <c r="J1431" s="5">
        <v>7.0999999999999994E-2</v>
      </c>
      <c r="K1431" t="s">
        <v>691</v>
      </c>
      <c r="L1431" s="6">
        <v>43770</v>
      </c>
      <c r="M1431">
        <v>11</v>
      </c>
      <c r="N1431" s="7" t="s">
        <v>23</v>
      </c>
      <c r="O1431" t="s">
        <v>31</v>
      </c>
      <c r="P1431" t="s">
        <v>4493</v>
      </c>
      <c r="Q1431" t="s">
        <v>3804</v>
      </c>
      <c r="R1431" t="s">
        <v>4174</v>
      </c>
    </row>
    <row r="1432" spans="1:18" hidden="1">
      <c r="A1432">
        <v>4</v>
      </c>
      <c r="B1432" s="4" t="s">
        <v>3127</v>
      </c>
      <c r="C1432" s="4" t="s">
        <v>4207</v>
      </c>
      <c r="D1432" s="4" t="s">
        <v>4257</v>
      </c>
      <c r="E1432" s="4" t="s">
        <v>5804</v>
      </c>
      <c r="F1432" t="s">
        <v>904</v>
      </c>
      <c r="G1432" t="s">
        <v>910</v>
      </c>
      <c r="H1432" t="s">
        <v>21</v>
      </c>
      <c r="I1432">
        <v>3</v>
      </c>
      <c r="J1432" s="5">
        <v>7.0999999999999994E-2</v>
      </c>
      <c r="K1432" t="s">
        <v>691</v>
      </c>
      <c r="L1432" s="6">
        <v>43770</v>
      </c>
      <c r="M1432">
        <v>11</v>
      </c>
      <c r="N1432" s="7" t="s">
        <v>23</v>
      </c>
      <c r="O1432" t="s">
        <v>31</v>
      </c>
      <c r="P1432" t="s">
        <v>4494</v>
      </c>
      <c r="Q1432" t="s">
        <v>4300</v>
      </c>
      <c r="R1432" t="s">
        <v>4228</v>
      </c>
    </row>
    <row r="1433" spans="1:18" hidden="1">
      <c r="A1433">
        <v>4</v>
      </c>
      <c r="B1433" s="4" t="s">
        <v>3127</v>
      </c>
      <c r="C1433" s="4" t="s">
        <v>4207</v>
      </c>
      <c r="D1433" s="4" t="s">
        <v>4257</v>
      </c>
      <c r="E1433" s="4" t="s">
        <v>5804</v>
      </c>
      <c r="F1433" t="s">
        <v>904</v>
      </c>
      <c r="G1433" t="s">
        <v>936</v>
      </c>
      <c r="H1433" t="s">
        <v>21</v>
      </c>
      <c r="I1433">
        <v>3</v>
      </c>
      <c r="J1433" s="5">
        <v>7.0999999999999994E-2</v>
      </c>
      <c r="K1433" t="s">
        <v>839</v>
      </c>
      <c r="L1433" s="6">
        <v>43800</v>
      </c>
      <c r="M1433">
        <v>12</v>
      </c>
      <c r="N1433" s="7" t="s">
        <v>30</v>
      </c>
      <c r="O1433" t="s">
        <v>31</v>
      </c>
      <c r="P1433" t="s">
        <v>4498</v>
      </c>
      <c r="Q1433" t="s">
        <v>3804</v>
      </c>
      <c r="R1433" t="s">
        <v>4174</v>
      </c>
    </row>
    <row r="1434" spans="1:18" hidden="1">
      <c r="A1434">
        <v>4</v>
      </c>
      <c r="B1434" s="4" t="s">
        <v>3127</v>
      </c>
      <c r="C1434" s="4" t="s">
        <v>4207</v>
      </c>
      <c r="D1434" s="4" t="s">
        <v>4257</v>
      </c>
      <c r="E1434" s="4" t="s">
        <v>5804</v>
      </c>
      <c r="F1434" t="s">
        <v>904</v>
      </c>
      <c r="G1434" t="s">
        <v>936</v>
      </c>
      <c r="H1434" t="s">
        <v>21</v>
      </c>
      <c r="I1434">
        <v>3</v>
      </c>
      <c r="J1434" s="5">
        <v>7.0999999999999994E-2</v>
      </c>
      <c r="K1434" t="s">
        <v>839</v>
      </c>
      <c r="L1434" s="6">
        <v>43800</v>
      </c>
      <c r="M1434">
        <v>12</v>
      </c>
      <c r="N1434" s="7" t="s">
        <v>30</v>
      </c>
      <c r="O1434" t="s">
        <v>31</v>
      </c>
      <c r="P1434" t="s">
        <v>4499</v>
      </c>
      <c r="Q1434" t="s">
        <v>3804</v>
      </c>
      <c r="R1434" t="s">
        <v>4174</v>
      </c>
    </row>
    <row r="1435" spans="1:18" hidden="1">
      <c r="A1435">
        <v>4</v>
      </c>
      <c r="B1435" s="4" t="s">
        <v>3127</v>
      </c>
      <c r="C1435" s="4" t="s">
        <v>4207</v>
      </c>
      <c r="D1435" s="4" t="s">
        <v>4257</v>
      </c>
      <c r="E1435" s="4" t="s">
        <v>5804</v>
      </c>
      <c r="F1435" t="s">
        <v>904</v>
      </c>
      <c r="G1435" t="s">
        <v>936</v>
      </c>
      <c r="H1435" t="s">
        <v>21</v>
      </c>
      <c r="I1435">
        <v>3</v>
      </c>
      <c r="J1435" s="5">
        <v>7.0999999999999994E-2</v>
      </c>
      <c r="K1435" t="s">
        <v>4500</v>
      </c>
      <c r="L1435" s="6">
        <v>43800</v>
      </c>
      <c r="M1435">
        <v>12</v>
      </c>
      <c r="N1435" s="7" t="s">
        <v>30</v>
      </c>
      <c r="O1435" t="s">
        <v>31</v>
      </c>
      <c r="P1435" t="s">
        <v>4501</v>
      </c>
      <c r="Q1435" t="s">
        <v>4173</v>
      </c>
      <c r="R1435" t="s">
        <v>4174</v>
      </c>
    </row>
    <row r="1436" spans="1:18" hidden="1">
      <c r="A1436">
        <v>4</v>
      </c>
      <c r="B1436" s="4" t="s">
        <v>3127</v>
      </c>
      <c r="C1436" s="4" t="s">
        <v>4207</v>
      </c>
      <c r="D1436" s="4" t="s">
        <v>4257</v>
      </c>
      <c r="E1436" s="4" t="s">
        <v>5804</v>
      </c>
      <c r="F1436" t="s">
        <v>904</v>
      </c>
      <c r="G1436" t="s">
        <v>987</v>
      </c>
      <c r="H1436" t="s">
        <v>53</v>
      </c>
      <c r="I1436" t="s">
        <v>53</v>
      </c>
      <c r="J1436" s="5" t="s">
        <v>53</v>
      </c>
      <c r="K1436" t="s">
        <v>839</v>
      </c>
      <c r="L1436" s="6">
        <v>43800</v>
      </c>
      <c r="M1436">
        <v>12</v>
      </c>
      <c r="N1436" s="7" t="s">
        <v>30</v>
      </c>
      <c r="O1436" t="s">
        <v>31</v>
      </c>
      <c r="P1436" t="s">
        <v>4502</v>
      </c>
      <c r="Q1436" t="s">
        <v>4503</v>
      </c>
      <c r="R1436" t="s">
        <v>4504</v>
      </c>
    </row>
    <row r="1437" spans="1:18" hidden="1">
      <c r="A1437">
        <v>4</v>
      </c>
      <c r="B1437" s="4" t="s">
        <v>3127</v>
      </c>
      <c r="C1437" s="4" t="s">
        <v>4207</v>
      </c>
      <c r="D1437" s="4" t="s">
        <v>4257</v>
      </c>
      <c r="E1437" s="4" t="s">
        <v>5804</v>
      </c>
      <c r="F1437" t="s">
        <v>904</v>
      </c>
      <c r="G1437" t="s">
        <v>987</v>
      </c>
      <c r="H1437" t="s">
        <v>53</v>
      </c>
      <c r="I1437" t="s">
        <v>53</v>
      </c>
      <c r="J1437" s="5" t="s">
        <v>53</v>
      </c>
      <c r="K1437" t="s">
        <v>204</v>
      </c>
      <c r="L1437" s="6">
        <v>43831</v>
      </c>
      <c r="M1437">
        <v>1</v>
      </c>
      <c r="N1437" s="7" t="s">
        <v>30</v>
      </c>
      <c r="O1437" t="s">
        <v>31</v>
      </c>
      <c r="P1437" t="s">
        <v>4506</v>
      </c>
      <c r="Q1437" t="s">
        <v>4414</v>
      </c>
      <c r="R1437" t="s">
        <v>4415</v>
      </c>
    </row>
    <row r="1438" spans="1:18" hidden="1">
      <c r="A1438">
        <v>4</v>
      </c>
      <c r="B1438" s="4" t="s">
        <v>3127</v>
      </c>
      <c r="C1438" s="4" t="s">
        <v>4207</v>
      </c>
      <c r="D1438" s="4" t="s">
        <v>4257</v>
      </c>
      <c r="E1438" s="4" t="s">
        <v>5804</v>
      </c>
      <c r="F1438" t="s">
        <v>904</v>
      </c>
      <c r="G1438" t="s">
        <v>936</v>
      </c>
      <c r="H1438" t="s">
        <v>21</v>
      </c>
      <c r="I1438">
        <v>3</v>
      </c>
      <c r="J1438" s="5">
        <v>7.0999999999999994E-2</v>
      </c>
      <c r="K1438" t="s">
        <v>1085</v>
      </c>
      <c r="L1438" s="6">
        <v>43862</v>
      </c>
      <c r="M1438">
        <v>2</v>
      </c>
      <c r="N1438" s="7" t="s">
        <v>30</v>
      </c>
      <c r="O1438" t="s">
        <v>31</v>
      </c>
      <c r="P1438" t="s">
        <v>4511</v>
      </c>
      <c r="Q1438" t="s">
        <v>3804</v>
      </c>
      <c r="R1438" t="s">
        <v>4174</v>
      </c>
    </row>
    <row r="1439" spans="1:18" hidden="1">
      <c r="A1439">
        <v>4</v>
      </c>
      <c r="B1439" s="4" t="s">
        <v>3127</v>
      </c>
      <c r="C1439" s="4" t="s">
        <v>4207</v>
      </c>
      <c r="D1439" s="4" t="s">
        <v>4257</v>
      </c>
      <c r="E1439" s="4" t="s">
        <v>5804</v>
      </c>
      <c r="F1439" t="s">
        <v>904</v>
      </c>
      <c r="G1439" t="s">
        <v>936</v>
      </c>
      <c r="H1439" t="s">
        <v>21</v>
      </c>
      <c r="I1439">
        <v>3</v>
      </c>
      <c r="J1439" s="5">
        <v>7.0999999999999994E-2</v>
      </c>
      <c r="K1439" t="s">
        <v>1085</v>
      </c>
      <c r="L1439" s="6">
        <v>43862</v>
      </c>
      <c r="M1439">
        <v>2</v>
      </c>
      <c r="N1439" s="7" t="s">
        <v>30</v>
      </c>
      <c r="O1439" t="s">
        <v>31</v>
      </c>
      <c r="P1439" t="s">
        <v>4512</v>
      </c>
      <c r="Q1439" t="s">
        <v>4173</v>
      </c>
      <c r="R1439" t="s">
        <v>4174</v>
      </c>
    </row>
    <row r="1440" spans="1:18" hidden="1">
      <c r="A1440">
        <v>4</v>
      </c>
      <c r="B1440" s="4" t="s">
        <v>3127</v>
      </c>
      <c r="C1440" s="4" t="s">
        <v>4207</v>
      </c>
      <c r="D1440" s="4" t="s">
        <v>4257</v>
      </c>
      <c r="E1440" s="4" t="s">
        <v>5804</v>
      </c>
      <c r="F1440" t="s">
        <v>904</v>
      </c>
      <c r="G1440" t="s">
        <v>936</v>
      </c>
      <c r="H1440" t="s">
        <v>21</v>
      </c>
      <c r="I1440">
        <v>3</v>
      </c>
      <c r="J1440" s="5">
        <v>7.0999999999999994E-2</v>
      </c>
      <c r="K1440" t="s">
        <v>99</v>
      </c>
      <c r="L1440" s="6">
        <v>43891</v>
      </c>
      <c r="M1440">
        <v>3</v>
      </c>
      <c r="N1440" s="7" t="s">
        <v>23</v>
      </c>
      <c r="O1440" t="s">
        <v>31</v>
      </c>
      <c r="P1440" t="s">
        <v>4519</v>
      </c>
      <c r="Q1440" t="s">
        <v>3804</v>
      </c>
      <c r="R1440" t="s">
        <v>4174</v>
      </c>
    </row>
    <row r="1441" spans="1:18" hidden="1">
      <c r="A1441">
        <v>4</v>
      </c>
      <c r="B1441" s="4" t="s">
        <v>3127</v>
      </c>
      <c r="C1441" s="4" t="s">
        <v>4207</v>
      </c>
      <c r="D1441" s="4" t="s">
        <v>4257</v>
      </c>
      <c r="E1441" s="4" t="s">
        <v>5804</v>
      </c>
      <c r="F1441" t="s">
        <v>904</v>
      </c>
      <c r="G1441" t="s">
        <v>910</v>
      </c>
      <c r="H1441" t="s">
        <v>21</v>
      </c>
      <c r="I1441">
        <v>3</v>
      </c>
      <c r="J1441" s="5">
        <v>7.0999999999999994E-2</v>
      </c>
      <c r="K1441" t="s">
        <v>99</v>
      </c>
      <c r="L1441" s="6">
        <v>43891</v>
      </c>
      <c r="M1441">
        <v>3</v>
      </c>
      <c r="N1441" s="7" t="s">
        <v>23</v>
      </c>
      <c r="O1441" t="s">
        <v>31</v>
      </c>
      <c r="P1441" t="s">
        <v>4520</v>
      </c>
      <c r="Q1441" t="s">
        <v>4173</v>
      </c>
      <c r="R1441" t="s">
        <v>4174</v>
      </c>
    </row>
    <row r="1442" spans="1:18" hidden="1">
      <c r="A1442">
        <v>4</v>
      </c>
      <c r="B1442" s="4" t="s">
        <v>3127</v>
      </c>
      <c r="C1442" s="4" t="s">
        <v>4207</v>
      </c>
      <c r="D1442" s="4" t="s">
        <v>4257</v>
      </c>
      <c r="E1442" s="4" t="s">
        <v>5804</v>
      </c>
      <c r="F1442" t="s">
        <v>904</v>
      </c>
      <c r="G1442" t="s">
        <v>910</v>
      </c>
      <c r="H1442" t="s">
        <v>21</v>
      </c>
      <c r="I1442">
        <v>3</v>
      </c>
      <c r="J1442" s="5">
        <v>7.0999999999999994E-2</v>
      </c>
      <c r="K1442" t="s">
        <v>99</v>
      </c>
      <c r="L1442" s="6">
        <v>43891</v>
      </c>
      <c r="M1442">
        <v>3</v>
      </c>
      <c r="N1442" s="7" t="s">
        <v>23</v>
      </c>
      <c r="O1442" t="s">
        <v>31</v>
      </c>
      <c r="P1442" t="s">
        <v>4521</v>
      </c>
      <c r="Q1442" t="s">
        <v>4173</v>
      </c>
      <c r="R1442" t="s">
        <v>4174</v>
      </c>
    </row>
    <row r="1443" spans="1:18" hidden="1">
      <c r="A1443">
        <v>4</v>
      </c>
      <c r="B1443" s="4" t="s">
        <v>3127</v>
      </c>
      <c r="C1443" s="4" t="s">
        <v>4207</v>
      </c>
      <c r="D1443" s="4" t="s">
        <v>4257</v>
      </c>
      <c r="E1443" s="4" t="s">
        <v>5804</v>
      </c>
      <c r="F1443" t="s">
        <v>904</v>
      </c>
      <c r="G1443" t="s">
        <v>936</v>
      </c>
      <c r="H1443" t="s">
        <v>21</v>
      </c>
      <c r="I1443">
        <v>3</v>
      </c>
      <c r="J1443" s="5">
        <v>7.0999999999999994E-2</v>
      </c>
      <c r="K1443" t="s">
        <v>539</v>
      </c>
      <c r="L1443" s="6">
        <v>43922</v>
      </c>
      <c r="M1443">
        <v>4</v>
      </c>
      <c r="N1443" s="7" t="s">
        <v>23</v>
      </c>
      <c r="O1443" t="s">
        <v>31</v>
      </c>
      <c r="P1443" t="s">
        <v>4522</v>
      </c>
      <c r="Q1443" t="s">
        <v>4173</v>
      </c>
      <c r="R1443" t="s">
        <v>4174</v>
      </c>
    </row>
    <row r="1444" spans="1:18" hidden="1">
      <c r="A1444">
        <v>4</v>
      </c>
      <c r="B1444" s="4" t="s">
        <v>3127</v>
      </c>
      <c r="C1444" s="4" t="s">
        <v>4207</v>
      </c>
      <c r="D1444" s="4" t="s">
        <v>4257</v>
      </c>
      <c r="E1444" s="4" t="s">
        <v>5804</v>
      </c>
      <c r="F1444" t="s">
        <v>904</v>
      </c>
      <c r="G1444" t="s">
        <v>910</v>
      </c>
      <c r="H1444" t="s">
        <v>21</v>
      </c>
      <c r="I1444">
        <v>3</v>
      </c>
      <c r="J1444" s="5">
        <v>7.0999999999999994E-2</v>
      </c>
      <c r="K1444" t="s">
        <v>251</v>
      </c>
      <c r="L1444" s="6">
        <v>43952</v>
      </c>
      <c r="M1444">
        <v>5</v>
      </c>
      <c r="N1444" s="7" t="s">
        <v>23</v>
      </c>
      <c r="O1444" t="s">
        <v>31</v>
      </c>
      <c r="P1444" t="s">
        <v>4524</v>
      </c>
      <c r="Q1444" t="s">
        <v>4291</v>
      </c>
      <c r="R1444" t="s">
        <v>4261</v>
      </c>
    </row>
    <row r="1445" spans="1:18" hidden="1">
      <c r="A1445">
        <v>4</v>
      </c>
      <c r="B1445" s="4" t="s">
        <v>3127</v>
      </c>
      <c r="C1445" s="4" t="s">
        <v>4207</v>
      </c>
      <c r="D1445" s="4" t="s">
        <v>4257</v>
      </c>
      <c r="E1445" s="4" t="s">
        <v>5804</v>
      </c>
      <c r="F1445" t="s">
        <v>904</v>
      </c>
      <c r="G1445" t="s">
        <v>910</v>
      </c>
      <c r="H1445" t="s">
        <v>21</v>
      </c>
      <c r="I1445">
        <v>3</v>
      </c>
      <c r="J1445" s="5">
        <v>7.0999999999999994E-2</v>
      </c>
      <c r="K1445" t="s">
        <v>251</v>
      </c>
      <c r="L1445" s="6">
        <v>43952</v>
      </c>
      <c r="M1445">
        <v>5</v>
      </c>
      <c r="N1445" s="7" t="s">
        <v>23</v>
      </c>
      <c r="O1445" t="s">
        <v>31</v>
      </c>
      <c r="P1445" t="s">
        <v>4525</v>
      </c>
      <c r="Q1445" t="s">
        <v>3859</v>
      </c>
      <c r="R1445" t="s">
        <v>4228</v>
      </c>
    </row>
    <row r="1446" spans="1:18" hidden="1">
      <c r="A1446">
        <v>4</v>
      </c>
      <c r="B1446" s="4" t="s">
        <v>3127</v>
      </c>
      <c r="C1446" s="4" t="s">
        <v>4207</v>
      </c>
      <c r="D1446" s="4" t="s">
        <v>4257</v>
      </c>
      <c r="E1446" s="4" t="s">
        <v>5804</v>
      </c>
      <c r="F1446" t="s">
        <v>904</v>
      </c>
      <c r="G1446" t="s">
        <v>936</v>
      </c>
      <c r="H1446" t="s">
        <v>21</v>
      </c>
      <c r="I1446">
        <v>3</v>
      </c>
      <c r="J1446" s="5">
        <v>7.0999999999999994E-2</v>
      </c>
      <c r="K1446" t="s">
        <v>255</v>
      </c>
      <c r="L1446" s="6">
        <v>43983</v>
      </c>
      <c r="M1446">
        <v>6</v>
      </c>
      <c r="N1446" s="7" t="s">
        <v>55</v>
      </c>
      <c r="O1446" t="s">
        <v>31</v>
      </c>
      <c r="P1446" t="s">
        <v>4529</v>
      </c>
      <c r="Q1446" t="s">
        <v>4173</v>
      </c>
      <c r="R1446" t="s">
        <v>4174</v>
      </c>
    </row>
    <row r="1447" spans="1:18" hidden="1">
      <c r="A1447">
        <v>4</v>
      </c>
      <c r="B1447" s="4" t="s">
        <v>3127</v>
      </c>
      <c r="C1447" s="4" t="s">
        <v>4207</v>
      </c>
      <c r="D1447" s="4" t="s">
        <v>4257</v>
      </c>
      <c r="E1447" s="4" t="s">
        <v>5804</v>
      </c>
      <c r="F1447" t="s">
        <v>904</v>
      </c>
      <c r="G1447" t="s">
        <v>905</v>
      </c>
      <c r="H1447" t="s">
        <v>53</v>
      </c>
      <c r="I1447" t="s">
        <v>53</v>
      </c>
      <c r="J1447" s="5" t="s">
        <v>53</v>
      </c>
      <c r="K1447" t="s">
        <v>255</v>
      </c>
      <c r="L1447" s="6">
        <v>43983</v>
      </c>
      <c r="M1447">
        <v>6</v>
      </c>
      <c r="N1447" s="7" t="s">
        <v>55</v>
      </c>
      <c r="O1447" t="s">
        <v>31</v>
      </c>
      <c r="P1447" t="s">
        <v>4530</v>
      </c>
      <c r="Q1447" t="s">
        <v>4173</v>
      </c>
      <c r="R1447" t="s">
        <v>4412</v>
      </c>
    </row>
    <row r="1448" spans="1:18" hidden="1">
      <c r="A1448">
        <v>4</v>
      </c>
      <c r="B1448" s="4" t="s">
        <v>3127</v>
      </c>
      <c r="C1448" s="4" t="s">
        <v>4207</v>
      </c>
      <c r="D1448" s="4" t="s">
        <v>4257</v>
      </c>
      <c r="E1448" s="4" t="s">
        <v>5804</v>
      </c>
      <c r="F1448" t="s">
        <v>904</v>
      </c>
      <c r="G1448" t="s">
        <v>936</v>
      </c>
      <c r="H1448" t="s">
        <v>21</v>
      </c>
      <c r="I1448">
        <v>3</v>
      </c>
      <c r="J1448" s="5">
        <v>7.0999999999999994E-2</v>
      </c>
      <c r="K1448" t="s">
        <v>171</v>
      </c>
      <c r="L1448" s="6">
        <v>44013</v>
      </c>
      <c r="M1448">
        <v>7</v>
      </c>
      <c r="N1448" s="7" t="s">
        <v>55</v>
      </c>
      <c r="O1448" t="s">
        <v>31</v>
      </c>
      <c r="P1448" t="s">
        <v>4540</v>
      </c>
      <c r="Q1448" t="s">
        <v>4173</v>
      </c>
      <c r="R1448" t="s">
        <v>4174</v>
      </c>
    </row>
    <row r="1449" spans="1:18" hidden="1">
      <c r="A1449">
        <v>4</v>
      </c>
      <c r="B1449" s="4" t="s">
        <v>3127</v>
      </c>
      <c r="C1449" s="4" t="s">
        <v>4207</v>
      </c>
      <c r="D1449" s="4" t="s">
        <v>4257</v>
      </c>
      <c r="E1449" s="4" t="s">
        <v>5804</v>
      </c>
      <c r="F1449" t="s">
        <v>904</v>
      </c>
      <c r="G1449" t="s">
        <v>905</v>
      </c>
      <c r="H1449" t="s">
        <v>53</v>
      </c>
      <c r="I1449" t="s">
        <v>53</v>
      </c>
      <c r="J1449" s="5" t="s">
        <v>53</v>
      </c>
      <c r="K1449" t="s">
        <v>171</v>
      </c>
      <c r="L1449" s="6">
        <v>44013</v>
      </c>
      <c r="M1449">
        <v>7</v>
      </c>
      <c r="N1449" s="7" t="s">
        <v>55</v>
      </c>
      <c r="O1449" t="s">
        <v>31</v>
      </c>
      <c r="P1449" t="s">
        <v>4541</v>
      </c>
      <c r="Q1449" t="s">
        <v>4173</v>
      </c>
      <c r="R1449" t="s">
        <v>4412</v>
      </c>
    </row>
    <row r="1450" spans="1:18" hidden="1">
      <c r="A1450">
        <v>4</v>
      </c>
      <c r="B1450" s="4" t="s">
        <v>3127</v>
      </c>
      <c r="C1450" s="4" t="s">
        <v>4207</v>
      </c>
      <c r="D1450" s="4" t="s">
        <v>4257</v>
      </c>
      <c r="E1450" s="4" t="s">
        <v>5804</v>
      </c>
      <c r="F1450" t="s">
        <v>904</v>
      </c>
      <c r="G1450" t="s">
        <v>910</v>
      </c>
      <c r="H1450" t="s">
        <v>21</v>
      </c>
      <c r="I1450">
        <v>3</v>
      </c>
      <c r="J1450" s="5">
        <v>7.0999999999999994E-2</v>
      </c>
      <c r="K1450" t="s">
        <v>267</v>
      </c>
      <c r="L1450" s="6">
        <v>44044</v>
      </c>
      <c r="M1450">
        <v>8</v>
      </c>
      <c r="N1450" s="7" t="s">
        <v>55</v>
      </c>
      <c r="O1450" t="s">
        <v>31</v>
      </c>
      <c r="P1450" t="s">
        <v>4543</v>
      </c>
      <c r="Q1450" t="s">
        <v>4359</v>
      </c>
      <c r="R1450" t="s">
        <v>4228</v>
      </c>
    </row>
    <row r="1451" spans="1:18" hidden="1">
      <c r="A1451">
        <v>4</v>
      </c>
      <c r="B1451" s="4" t="s">
        <v>3127</v>
      </c>
      <c r="C1451" s="4" t="s">
        <v>4207</v>
      </c>
      <c r="D1451" s="4" t="s">
        <v>4257</v>
      </c>
      <c r="E1451" s="4" t="s">
        <v>5804</v>
      </c>
      <c r="F1451" t="s">
        <v>904</v>
      </c>
      <c r="G1451" t="s">
        <v>910</v>
      </c>
      <c r="H1451" t="s">
        <v>21</v>
      </c>
      <c r="I1451">
        <v>3</v>
      </c>
      <c r="J1451" s="5">
        <v>7.0999999999999994E-2</v>
      </c>
      <c r="K1451" t="s">
        <v>267</v>
      </c>
      <c r="L1451" s="6">
        <v>44044</v>
      </c>
      <c r="M1451">
        <v>8</v>
      </c>
      <c r="N1451" s="7" t="s">
        <v>55</v>
      </c>
      <c r="O1451" t="s">
        <v>31</v>
      </c>
      <c r="P1451" t="s">
        <v>4544</v>
      </c>
      <c r="Q1451" t="s">
        <v>3859</v>
      </c>
      <c r="R1451" t="s">
        <v>4228</v>
      </c>
    </row>
    <row r="1452" spans="1:18" hidden="1">
      <c r="A1452">
        <v>4</v>
      </c>
      <c r="B1452" s="4" t="s">
        <v>3127</v>
      </c>
      <c r="C1452" s="4" t="s">
        <v>4207</v>
      </c>
      <c r="D1452" s="4" t="s">
        <v>4257</v>
      </c>
      <c r="E1452" s="4" t="s">
        <v>5804</v>
      </c>
      <c r="F1452" t="s">
        <v>904</v>
      </c>
      <c r="G1452" t="s">
        <v>936</v>
      </c>
      <c r="H1452" t="s">
        <v>21</v>
      </c>
      <c r="I1452">
        <v>3</v>
      </c>
      <c r="J1452" s="5">
        <v>7.0999999999999994E-2</v>
      </c>
      <c r="K1452" t="s">
        <v>267</v>
      </c>
      <c r="L1452" s="6">
        <v>44044</v>
      </c>
      <c r="M1452">
        <v>8</v>
      </c>
      <c r="N1452" s="7" t="s">
        <v>55</v>
      </c>
      <c r="O1452" t="s">
        <v>31</v>
      </c>
      <c r="P1452" t="s">
        <v>4545</v>
      </c>
      <c r="Q1452" t="s">
        <v>4173</v>
      </c>
      <c r="R1452" t="s">
        <v>4174</v>
      </c>
    </row>
    <row r="1453" spans="1:18" hidden="1">
      <c r="A1453">
        <v>4</v>
      </c>
      <c r="B1453" s="4" t="s">
        <v>3127</v>
      </c>
      <c r="C1453" s="4" t="s">
        <v>4207</v>
      </c>
      <c r="D1453" s="4" t="s">
        <v>4257</v>
      </c>
      <c r="E1453" s="4" t="s">
        <v>5804</v>
      </c>
      <c r="F1453" t="s">
        <v>904</v>
      </c>
      <c r="G1453" t="s">
        <v>936</v>
      </c>
      <c r="H1453" t="s">
        <v>21</v>
      </c>
      <c r="I1453">
        <v>3</v>
      </c>
      <c r="J1453" s="5">
        <v>7.0999999999999994E-2</v>
      </c>
      <c r="K1453" t="s">
        <v>267</v>
      </c>
      <c r="L1453" s="6">
        <v>44044</v>
      </c>
      <c r="M1453">
        <v>8</v>
      </c>
      <c r="N1453" s="7" t="s">
        <v>55</v>
      </c>
      <c r="O1453" t="s">
        <v>31</v>
      </c>
      <c r="P1453" t="s">
        <v>4546</v>
      </c>
      <c r="Q1453" t="s">
        <v>4173</v>
      </c>
      <c r="R1453" t="s">
        <v>4174</v>
      </c>
    </row>
    <row r="1454" spans="1:18" hidden="1">
      <c r="A1454">
        <v>4</v>
      </c>
      <c r="B1454" s="4" t="s">
        <v>3127</v>
      </c>
      <c r="C1454" s="4" t="s">
        <v>4207</v>
      </c>
      <c r="D1454" s="4" t="s">
        <v>4257</v>
      </c>
      <c r="E1454" s="4" t="s">
        <v>5804</v>
      </c>
      <c r="F1454" t="s">
        <v>904</v>
      </c>
      <c r="G1454" t="s">
        <v>910</v>
      </c>
      <c r="H1454" t="s">
        <v>21</v>
      </c>
      <c r="I1454">
        <v>3</v>
      </c>
      <c r="J1454" s="5">
        <v>7.0999999999999994E-2</v>
      </c>
      <c r="K1454" t="s">
        <v>267</v>
      </c>
      <c r="L1454" s="6">
        <v>44044</v>
      </c>
      <c r="M1454">
        <v>8</v>
      </c>
      <c r="N1454" s="7" t="s">
        <v>55</v>
      </c>
      <c r="O1454" t="s">
        <v>444</v>
      </c>
      <c r="P1454" t="s">
        <v>4547</v>
      </c>
      <c r="Q1454" t="s">
        <v>4548</v>
      </c>
      <c r="R1454" t="s">
        <v>446</v>
      </c>
    </row>
    <row r="1455" spans="1:18" hidden="1">
      <c r="A1455">
        <v>4</v>
      </c>
      <c r="B1455" s="4" t="s">
        <v>3127</v>
      </c>
      <c r="C1455" s="4" t="s">
        <v>4207</v>
      </c>
      <c r="D1455" s="4" t="s">
        <v>4257</v>
      </c>
      <c r="E1455" s="4" t="s">
        <v>5804</v>
      </c>
      <c r="F1455" t="s">
        <v>904</v>
      </c>
      <c r="G1455" t="s">
        <v>936</v>
      </c>
      <c r="H1455" t="s">
        <v>21</v>
      </c>
      <c r="I1455">
        <v>3</v>
      </c>
      <c r="J1455" s="5">
        <v>7.0999999999999994E-2</v>
      </c>
      <c r="K1455" t="s">
        <v>547</v>
      </c>
      <c r="L1455" s="6">
        <v>44075</v>
      </c>
      <c r="M1455">
        <v>9</v>
      </c>
      <c r="N1455" s="7" t="s">
        <v>23</v>
      </c>
      <c r="O1455" t="s">
        <v>31</v>
      </c>
      <c r="P1455" t="s">
        <v>4554</v>
      </c>
      <c r="Q1455" t="s">
        <v>3804</v>
      </c>
      <c r="R1455" t="s">
        <v>4174</v>
      </c>
    </row>
    <row r="1456" spans="1:18" hidden="1">
      <c r="A1456">
        <v>4</v>
      </c>
      <c r="B1456" s="4" t="s">
        <v>3127</v>
      </c>
      <c r="C1456" s="4" t="s">
        <v>4207</v>
      </c>
      <c r="D1456" s="4" t="s">
        <v>4257</v>
      </c>
      <c r="E1456" s="4" t="s">
        <v>5804</v>
      </c>
      <c r="F1456" t="s">
        <v>904</v>
      </c>
      <c r="G1456" t="s">
        <v>936</v>
      </c>
      <c r="H1456" t="s">
        <v>21</v>
      </c>
      <c r="I1456">
        <v>3</v>
      </c>
      <c r="J1456" s="5">
        <v>7.0999999999999994E-2</v>
      </c>
      <c r="K1456" t="s">
        <v>547</v>
      </c>
      <c r="L1456" s="6">
        <v>44075</v>
      </c>
      <c r="M1456">
        <v>9</v>
      </c>
      <c r="N1456" s="7" t="s">
        <v>23</v>
      </c>
      <c r="O1456" t="s">
        <v>31</v>
      </c>
      <c r="P1456" t="s">
        <v>4555</v>
      </c>
      <c r="Q1456" t="s">
        <v>3804</v>
      </c>
      <c r="R1456" t="s">
        <v>4174</v>
      </c>
    </row>
    <row r="1457" spans="1:18" hidden="1">
      <c r="A1457">
        <v>4</v>
      </c>
      <c r="B1457" s="4" t="s">
        <v>3127</v>
      </c>
      <c r="C1457" s="4" t="s">
        <v>4207</v>
      </c>
      <c r="D1457" s="4" t="s">
        <v>4257</v>
      </c>
      <c r="E1457" s="4" t="s">
        <v>5804</v>
      </c>
      <c r="F1457" t="s">
        <v>904</v>
      </c>
      <c r="G1457" t="s">
        <v>910</v>
      </c>
      <c r="H1457" t="s">
        <v>21</v>
      </c>
      <c r="I1457">
        <v>3</v>
      </c>
      <c r="J1457" s="5">
        <v>7.0999999999999994E-2</v>
      </c>
      <c r="K1457" t="s">
        <v>547</v>
      </c>
      <c r="L1457" s="6">
        <v>44075</v>
      </c>
      <c r="M1457">
        <v>9</v>
      </c>
      <c r="N1457" s="7" t="s">
        <v>23</v>
      </c>
      <c r="O1457" t="s">
        <v>31</v>
      </c>
      <c r="P1457" t="s">
        <v>4556</v>
      </c>
      <c r="Q1457" t="s">
        <v>3859</v>
      </c>
      <c r="R1457" t="s">
        <v>4228</v>
      </c>
    </row>
    <row r="1458" spans="1:18" hidden="1">
      <c r="A1458">
        <v>4</v>
      </c>
      <c r="B1458" s="4" t="s">
        <v>3127</v>
      </c>
      <c r="C1458" s="4" t="s">
        <v>4207</v>
      </c>
      <c r="D1458" s="4" t="s">
        <v>4257</v>
      </c>
      <c r="E1458" s="4" t="s">
        <v>5804</v>
      </c>
      <c r="F1458" t="s">
        <v>904</v>
      </c>
      <c r="G1458" t="s">
        <v>936</v>
      </c>
      <c r="H1458" t="s">
        <v>21</v>
      </c>
      <c r="I1458">
        <v>3</v>
      </c>
      <c r="J1458" s="5">
        <v>7.0999999999999994E-2</v>
      </c>
      <c r="K1458" t="s">
        <v>547</v>
      </c>
      <c r="L1458" s="6">
        <v>44075</v>
      </c>
      <c r="M1458">
        <v>9</v>
      </c>
      <c r="N1458" s="7" t="s">
        <v>23</v>
      </c>
      <c r="O1458" t="s">
        <v>31</v>
      </c>
      <c r="P1458" t="s">
        <v>4557</v>
      </c>
      <c r="Q1458" t="s">
        <v>4173</v>
      </c>
      <c r="R1458" t="s">
        <v>4174</v>
      </c>
    </row>
    <row r="1459" spans="1:18" hidden="1">
      <c r="A1459">
        <v>4</v>
      </c>
      <c r="B1459" s="4" t="s">
        <v>3127</v>
      </c>
      <c r="C1459" s="4" t="s">
        <v>4207</v>
      </c>
      <c r="D1459" s="4" t="s">
        <v>4257</v>
      </c>
      <c r="E1459" s="4" t="s">
        <v>5804</v>
      </c>
      <c r="F1459" t="s">
        <v>904</v>
      </c>
      <c r="G1459" t="s">
        <v>936</v>
      </c>
      <c r="H1459" t="s">
        <v>21</v>
      </c>
      <c r="I1459">
        <v>3</v>
      </c>
      <c r="J1459" s="5">
        <v>7.0999999999999994E-2</v>
      </c>
      <c r="K1459" t="s">
        <v>547</v>
      </c>
      <c r="L1459" s="6">
        <v>44075</v>
      </c>
      <c r="M1459">
        <v>9</v>
      </c>
      <c r="N1459" s="7" t="s">
        <v>23</v>
      </c>
      <c r="O1459" t="s">
        <v>31</v>
      </c>
      <c r="P1459" t="s">
        <v>4558</v>
      </c>
      <c r="Q1459" t="s">
        <v>4173</v>
      </c>
      <c r="R1459" t="s">
        <v>4174</v>
      </c>
    </row>
    <row r="1460" spans="1:18" hidden="1">
      <c r="A1460">
        <v>4</v>
      </c>
      <c r="B1460" s="4" t="s">
        <v>3127</v>
      </c>
      <c r="C1460" s="4" t="s">
        <v>4207</v>
      </c>
      <c r="D1460" s="4" t="s">
        <v>4257</v>
      </c>
      <c r="E1460" s="4" t="s">
        <v>5804</v>
      </c>
      <c r="F1460" t="s">
        <v>904</v>
      </c>
      <c r="G1460" t="s">
        <v>910</v>
      </c>
      <c r="H1460" t="s">
        <v>21</v>
      </c>
      <c r="I1460">
        <v>3</v>
      </c>
      <c r="J1460" s="5">
        <v>7.0999999999999994E-2</v>
      </c>
      <c r="K1460" t="s">
        <v>365</v>
      </c>
      <c r="L1460" s="6">
        <v>44105</v>
      </c>
      <c r="M1460">
        <v>10</v>
      </c>
      <c r="N1460" s="7" t="s">
        <v>23</v>
      </c>
      <c r="O1460" t="s">
        <v>31</v>
      </c>
      <c r="P1460" t="s">
        <v>4559</v>
      </c>
      <c r="Q1460" t="s">
        <v>4560</v>
      </c>
      <c r="R1460" t="s">
        <v>4561</v>
      </c>
    </row>
    <row r="1461" spans="1:18" hidden="1">
      <c r="A1461">
        <v>4</v>
      </c>
      <c r="B1461" s="4" t="s">
        <v>3127</v>
      </c>
      <c r="C1461" s="4" t="s">
        <v>4207</v>
      </c>
      <c r="D1461" s="4" t="s">
        <v>4257</v>
      </c>
      <c r="E1461" s="4" t="s">
        <v>5804</v>
      </c>
      <c r="F1461" t="s">
        <v>904</v>
      </c>
      <c r="G1461" t="s">
        <v>936</v>
      </c>
      <c r="H1461" t="s">
        <v>21</v>
      </c>
      <c r="I1461">
        <v>3</v>
      </c>
      <c r="J1461" s="5">
        <v>7.0999999999999994E-2</v>
      </c>
      <c r="K1461" t="s">
        <v>749</v>
      </c>
      <c r="L1461" s="6">
        <v>44136</v>
      </c>
      <c r="M1461">
        <v>11</v>
      </c>
      <c r="N1461" s="7" t="s">
        <v>23</v>
      </c>
      <c r="O1461" t="s">
        <v>31</v>
      </c>
      <c r="P1461" t="s">
        <v>4562</v>
      </c>
      <c r="Q1461" t="s">
        <v>3804</v>
      </c>
      <c r="R1461" t="s">
        <v>4174</v>
      </c>
    </row>
    <row r="1462" spans="1:18" hidden="1">
      <c r="A1462">
        <v>4</v>
      </c>
      <c r="B1462" s="4" t="s">
        <v>3127</v>
      </c>
      <c r="C1462" s="4" t="s">
        <v>4207</v>
      </c>
      <c r="D1462" s="4" t="s">
        <v>4257</v>
      </c>
      <c r="E1462" s="4" t="s">
        <v>5804</v>
      </c>
      <c r="F1462" t="s">
        <v>904</v>
      </c>
      <c r="G1462" t="s">
        <v>905</v>
      </c>
      <c r="H1462" t="s">
        <v>53</v>
      </c>
      <c r="I1462" t="s">
        <v>53</v>
      </c>
      <c r="J1462" s="5" t="s">
        <v>53</v>
      </c>
      <c r="K1462" t="s">
        <v>749</v>
      </c>
      <c r="L1462" s="6">
        <v>44136</v>
      </c>
      <c r="M1462">
        <v>11</v>
      </c>
      <c r="N1462" s="7" t="s">
        <v>23</v>
      </c>
      <c r="O1462" t="s">
        <v>31</v>
      </c>
      <c r="P1462" t="s">
        <v>4563</v>
      </c>
      <c r="Q1462" t="s">
        <v>3859</v>
      </c>
      <c r="R1462" t="s">
        <v>4263</v>
      </c>
    </row>
    <row r="1463" spans="1:18" hidden="1">
      <c r="A1463">
        <v>4</v>
      </c>
      <c r="B1463" s="4" t="s">
        <v>3127</v>
      </c>
      <c r="C1463" s="4" t="s">
        <v>4207</v>
      </c>
      <c r="D1463" s="4" t="s">
        <v>4257</v>
      </c>
      <c r="E1463" s="4" t="s">
        <v>5804</v>
      </c>
      <c r="F1463" t="s">
        <v>904</v>
      </c>
      <c r="G1463" t="s">
        <v>936</v>
      </c>
      <c r="H1463" t="s">
        <v>21</v>
      </c>
      <c r="I1463">
        <v>3</v>
      </c>
      <c r="J1463" s="5">
        <v>7.0999999999999994E-2</v>
      </c>
      <c r="K1463" t="s">
        <v>749</v>
      </c>
      <c r="L1463" s="6">
        <v>44136</v>
      </c>
      <c r="M1463">
        <v>11</v>
      </c>
      <c r="N1463" s="7" t="s">
        <v>23</v>
      </c>
      <c r="O1463" t="s">
        <v>31</v>
      </c>
      <c r="P1463" t="s">
        <v>4564</v>
      </c>
      <c r="Q1463" t="s">
        <v>4173</v>
      </c>
      <c r="R1463" t="s">
        <v>4174</v>
      </c>
    </row>
    <row r="1464" spans="1:18" hidden="1">
      <c r="A1464">
        <v>4</v>
      </c>
      <c r="B1464" s="4" t="s">
        <v>3127</v>
      </c>
      <c r="C1464" s="4" t="s">
        <v>4207</v>
      </c>
      <c r="D1464" s="4" t="s">
        <v>4257</v>
      </c>
      <c r="E1464" s="4" t="s">
        <v>5804</v>
      </c>
      <c r="F1464" t="s">
        <v>904</v>
      </c>
      <c r="G1464" t="s">
        <v>987</v>
      </c>
      <c r="H1464" t="s">
        <v>53</v>
      </c>
      <c r="I1464" t="s">
        <v>53</v>
      </c>
      <c r="J1464" s="5" t="s">
        <v>53</v>
      </c>
      <c r="K1464" t="s">
        <v>749</v>
      </c>
      <c r="L1464" s="6">
        <v>44136</v>
      </c>
      <c r="M1464">
        <v>11</v>
      </c>
      <c r="N1464" s="7" t="s">
        <v>23</v>
      </c>
      <c r="O1464" t="s">
        <v>31</v>
      </c>
      <c r="P1464" t="s">
        <v>4565</v>
      </c>
      <c r="Q1464" t="s">
        <v>4173</v>
      </c>
      <c r="R1464" t="s">
        <v>4348</v>
      </c>
    </row>
    <row r="1465" spans="1:18" hidden="1">
      <c r="A1465">
        <v>4</v>
      </c>
      <c r="B1465" s="4" t="s">
        <v>3127</v>
      </c>
      <c r="C1465" s="4" t="s">
        <v>4207</v>
      </c>
      <c r="D1465" s="4" t="s">
        <v>4257</v>
      </c>
      <c r="E1465" s="4" t="s">
        <v>5804</v>
      </c>
      <c r="F1465" t="s">
        <v>904</v>
      </c>
      <c r="G1465" t="s">
        <v>905</v>
      </c>
      <c r="H1465" t="s">
        <v>53</v>
      </c>
      <c r="I1465" t="s">
        <v>53</v>
      </c>
      <c r="J1465" s="5" t="s">
        <v>53</v>
      </c>
      <c r="K1465" t="s">
        <v>749</v>
      </c>
      <c r="L1465" s="6">
        <v>44136</v>
      </c>
      <c r="M1465">
        <v>11</v>
      </c>
      <c r="N1465" s="7" t="s">
        <v>23</v>
      </c>
      <c r="O1465" t="s">
        <v>31</v>
      </c>
      <c r="P1465" t="s">
        <v>4566</v>
      </c>
      <c r="Q1465" t="s">
        <v>4173</v>
      </c>
      <c r="R1465" t="s">
        <v>4412</v>
      </c>
    </row>
    <row r="1466" spans="1:18" hidden="1">
      <c r="A1466">
        <v>4</v>
      </c>
      <c r="B1466" s="4" t="s">
        <v>3127</v>
      </c>
      <c r="C1466" s="4" t="s">
        <v>4207</v>
      </c>
      <c r="D1466" s="4" t="s">
        <v>4257</v>
      </c>
      <c r="E1466" s="4" t="s">
        <v>5804</v>
      </c>
      <c r="F1466" t="s">
        <v>904</v>
      </c>
      <c r="G1466" t="s">
        <v>905</v>
      </c>
      <c r="H1466" t="s">
        <v>53</v>
      </c>
      <c r="I1466" t="s">
        <v>53</v>
      </c>
      <c r="J1466" s="5" t="s">
        <v>53</v>
      </c>
      <c r="K1466" t="s">
        <v>749</v>
      </c>
      <c r="L1466" s="6">
        <v>44136</v>
      </c>
      <c r="M1466">
        <v>11</v>
      </c>
      <c r="N1466" s="7" t="s">
        <v>23</v>
      </c>
      <c r="O1466" t="s">
        <v>31</v>
      </c>
      <c r="P1466" t="s">
        <v>4567</v>
      </c>
      <c r="Q1466" t="s">
        <v>4173</v>
      </c>
      <c r="R1466" t="s">
        <v>4412</v>
      </c>
    </row>
    <row r="1467" spans="1:18" hidden="1">
      <c r="A1467">
        <v>4</v>
      </c>
      <c r="B1467" s="4" t="s">
        <v>3127</v>
      </c>
      <c r="C1467" s="4" t="s">
        <v>4207</v>
      </c>
      <c r="D1467" s="4" t="s">
        <v>4257</v>
      </c>
      <c r="E1467" s="4" t="s">
        <v>5804</v>
      </c>
      <c r="F1467" t="s">
        <v>904</v>
      </c>
      <c r="G1467" t="s">
        <v>936</v>
      </c>
      <c r="H1467" t="s">
        <v>21</v>
      </c>
      <c r="I1467">
        <v>3</v>
      </c>
      <c r="J1467" s="5">
        <v>7.0999999999999994E-2</v>
      </c>
      <c r="K1467" t="s">
        <v>178</v>
      </c>
      <c r="L1467" s="6">
        <v>44228</v>
      </c>
      <c r="M1467">
        <v>2</v>
      </c>
      <c r="N1467" s="7" t="s">
        <v>30</v>
      </c>
      <c r="O1467" t="s">
        <v>31</v>
      </c>
      <c r="P1467" t="s">
        <v>4572</v>
      </c>
      <c r="Q1467" t="s">
        <v>4173</v>
      </c>
      <c r="R1467" t="s">
        <v>4174</v>
      </c>
    </row>
    <row r="1468" spans="1:18" hidden="1">
      <c r="A1468">
        <v>4</v>
      </c>
      <c r="B1468" s="4" t="s">
        <v>3127</v>
      </c>
      <c r="C1468" s="4" t="s">
        <v>4207</v>
      </c>
      <c r="D1468" s="4" t="s">
        <v>4257</v>
      </c>
      <c r="E1468" s="4" t="s">
        <v>5804</v>
      </c>
      <c r="F1468" t="s">
        <v>904</v>
      </c>
      <c r="G1468" t="s">
        <v>936</v>
      </c>
      <c r="H1468" t="s">
        <v>21</v>
      </c>
      <c r="I1468">
        <v>3</v>
      </c>
      <c r="J1468" s="5">
        <v>7.0999999999999994E-2</v>
      </c>
      <c r="K1468" t="s">
        <v>311</v>
      </c>
      <c r="L1468" s="6">
        <v>44256</v>
      </c>
      <c r="M1468">
        <v>3</v>
      </c>
      <c r="N1468" s="7" t="s">
        <v>23</v>
      </c>
      <c r="O1468" t="s">
        <v>31</v>
      </c>
      <c r="P1468" t="s">
        <v>4573</v>
      </c>
      <c r="Q1468" t="s">
        <v>4173</v>
      </c>
      <c r="R1468" t="s">
        <v>4174</v>
      </c>
    </row>
    <row r="1469" spans="1:18" hidden="1">
      <c r="A1469">
        <v>4</v>
      </c>
      <c r="B1469" s="4" t="s">
        <v>3127</v>
      </c>
      <c r="C1469" s="4" t="s">
        <v>4207</v>
      </c>
      <c r="D1469" s="4" t="s">
        <v>4257</v>
      </c>
      <c r="E1469" s="4" t="s">
        <v>5804</v>
      </c>
      <c r="F1469" t="s">
        <v>904</v>
      </c>
      <c r="G1469" t="s">
        <v>936</v>
      </c>
      <c r="H1469" t="s">
        <v>21</v>
      </c>
      <c r="I1469">
        <v>3</v>
      </c>
      <c r="J1469" s="5">
        <v>7.0999999999999994E-2</v>
      </c>
      <c r="K1469" t="s">
        <v>102</v>
      </c>
      <c r="L1469" s="6">
        <v>44287</v>
      </c>
      <c r="M1469">
        <v>4</v>
      </c>
      <c r="N1469" s="7" t="s">
        <v>23</v>
      </c>
      <c r="O1469" t="s">
        <v>31</v>
      </c>
      <c r="P1469" t="s">
        <v>4577</v>
      </c>
      <c r="Q1469" t="s">
        <v>4173</v>
      </c>
      <c r="R1469" t="s">
        <v>4174</v>
      </c>
    </row>
    <row r="1470" spans="1:18" hidden="1">
      <c r="A1470">
        <v>4</v>
      </c>
      <c r="B1470" s="4" t="s">
        <v>3127</v>
      </c>
      <c r="C1470" s="4" t="s">
        <v>4207</v>
      </c>
      <c r="D1470" s="4" t="s">
        <v>4257</v>
      </c>
      <c r="E1470" s="4" t="s">
        <v>5804</v>
      </c>
      <c r="F1470" t="s">
        <v>904</v>
      </c>
      <c r="G1470" t="s">
        <v>936</v>
      </c>
      <c r="H1470" t="s">
        <v>21</v>
      </c>
      <c r="I1470">
        <v>3</v>
      </c>
      <c r="J1470" s="5">
        <v>7.0999999999999994E-2</v>
      </c>
      <c r="K1470" t="s">
        <v>104</v>
      </c>
      <c r="L1470" s="6">
        <v>44317</v>
      </c>
      <c r="M1470">
        <v>5</v>
      </c>
      <c r="N1470" s="7" t="s">
        <v>23</v>
      </c>
      <c r="O1470" t="s">
        <v>31</v>
      </c>
      <c r="P1470" t="s">
        <v>4579</v>
      </c>
      <c r="Q1470" t="s">
        <v>3804</v>
      </c>
      <c r="R1470" t="s">
        <v>4174</v>
      </c>
    </row>
    <row r="1471" spans="1:18" hidden="1">
      <c r="A1471">
        <v>4</v>
      </c>
      <c r="B1471" s="4" t="s">
        <v>3127</v>
      </c>
      <c r="C1471" s="4" t="s">
        <v>4207</v>
      </c>
      <c r="D1471" s="4" t="s">
        <v>4257</v>
      </c>
      <c r="E1471" s="4" t="s">
        <v>5804</v>
      </c>
      <c r="F1471" t="s">
        <v>904</v>
      </c>
      <c r="G1471" t="s">
        <v>936</v>
      </c>
      <c r="H1471" t="s">
        <v>21</v>
      </c>
      <c r="I1471">
        <v>3</v>
      </c>
      <c r="J1471" s="5">
        <v>7.0999999999999994E-2</v>
      </c>
      <c r="K1471" t="s">
        <v>753</v>
      </c>
      <c r="L1471" s="6">
        <v>44348</v>
      </c>
      <c r="M1471">
        <v>6</v>
      </c>
      <c r="N1471" s="7" t="s">
        <v>55</v>
      </c>
      <c r="O1471" t="s">
        <v>31</v>
      </c>
      <c r="P1471" t="s">
        <v>4580</v>
      </c>
      <c r="Q1471" t="s">
        <v>3804</v>
      </c>
      <c r="R1471" t="s">
        <v>4174</v>
      </c>
    </row>
    <row r="1472" spans="1:18" hidden="1">
      <c r="A1472">
        <v>4</v>
      </c>
      <c r="B1472" s="4" t="s">
        <v>3127</v>
      </c>
      <c r="C1472" s="4" t="s">
        <v>4207</v>
      </c>
      <c r="D1472" s="4" t="s">
        <v>4257</v>
      </c>
      <c r="E1472" s="4" t="s">
        <v>5804</v>
      </c>
      <c r="F1472" t="s">
        <v>904</v>
      </c>
      <c r="G1472" t="s">
        <v>910</v>
      </c>
      <c r="H1472" t="s">
        <v>21</v>
      </c>
      <c r="I1472">
        <v>3</v>
      </c>
      <c r="J1472" s="5">
        <v>7.0999999999999994E-2</v>
      </c>
      <c r="K1472" t="s">
        <v>753</v>
      </c>
      <c r="L1472" s="6">
        <v>44348</v>
      </c>
      <c r="M1472">
        <v>6</v>
      </c>
      <c r="N1472" s="7" t="s">
        <v>55</v>
      </c>
      <c r="O1472" t="s">
        <v>31</v>
      </c>
      <c r="P1472" t="s">
        <v>4581</v>
      </c>
      <c r="Q1472" t="s">
        <v>3859</v>
      </c>
      <c r="R1472" t="s">
        <v>4228</v>
      </c>
    </row>
    <row r="1473" spans="1:18" hidden="1">
      <c r="A1473">
        <v>4</v>
      </c>
      <c r="B1473" s="4" t="s">
        <v>3127</v>
      </c>
      <c r="C1473" s="4" t="s">
        <v>4207</v>
      </c>
      <c r="D1473" s="4" t="s">
        <v>4257</v>
      </c>
      <c r="E1473" s="4" t="s">
        <v>5804</v>
      </c>
      <c r="F1473" t="s">
        <v>904</v>
      </c>
      <c r="G1473" t="s">
        <v>936</v>
      </c>
      <c r="H1473" t="s">
        <v>21</v>
      </c>
      <c r="I1473">
        <v>3</v>
      </c>
      <c r="J1473" s="5">
        <v>7.0999999999999994E-2</v>
      </c>
      <c r="K1473" t="s">
        <v>489</v>
      </c>
      <c r="L1473" s="6">
        <v>44409</v>
      </c>
      <c r="M1473">
        <v>8</v>
      </c>
      <c r="N1473" s="7" t="s">
        <v>55</v>
      </c>
      <c r="O1473" t="s">
        <v>31</v>
      </c>
      <c r="P1473" t="s">
        <v>4582</v>
      </c>
      <c r="Q1473" t="s">
        <v>3804</v>
      </c>
      <c r="R1473" t="s">
        <v>4174</v>
      </c>
    </row>
    <row r="1474" spans="1:18" hidden="1">
      <c r="A1474">
        <v>4</v>
      </c>
      <c r="B1474" s="4" t="s">
        <v>3127</v>
      </c>
      <c r="C1474" s="4" t="s">
        <v>4207</v>
      </c>
      <c r="D1474" s="4" t="s">
        <v>4257</v>
      </c>
      <c r="E1474" s="4" t="s">
        <v>5804</v>
      </c>
      <c r="F1474" t="s">
        <v>904</v>
      </c>
      <c r="G1474" t="s">
        <v>910</v>
      </c>
      <c r="H1474" t="s">
        <v>21</v>
      </c>
      <c r="I1474">
        <v>3</v>
      </c>
      <c r="J1474" s="5">
        <v>7.0999999999999994E-2</v>
      </c>
      <c r="K1474" t="s">
        <v>645</v>
      </c>
      <c r="L1474" s="6">
        <v>44440</v>
      </c>
      <c r="M1474">
        <v>9</v>
      </c>
      <c r="N1474" s="7" t="s">
        <v>23</v>
      </c>
      <c r="O1474" t="s">
        <v>31</v>
      </c>
      <c r="P1474" t="s">
        <v>4584</v>
      </c>
      <c r="Q1474" t="s">
        <v>4359</v>
      </c>
      <c r="R1474" t="s">
        <v>4228</v>
      </c>
    </row>
    <row r="1475" spans="1:18" hidden="1">
      <c r="A1475">
        <v>4</v>
      </c>
      <c r="B1475" s="4" t="s">
        <v>3127</v>
      </c>
      <c r="C1475" s="4" t="s">
        <v>4207</v>
      </c>
      <c r="D1475" s="4" t="s">
        <v>4257</v>
      </c>
      <c r="E1475" s="4" t="s">
        <v>5804</v>
      </c>
      <c r="F1475" t="s">
        <v>904</v>
      </c>
      <c r="G1475" t="s">
        <v>936</v>
      </c>
      <c r="H1475" t="s">
        <v>21</v>
      </c>
      <c r="I1475">
        <v>3</v>
      </c>
      <c r="J1475" s="5">
        <v>7.0999999999999994E-2</v>
      </c>
      <c r="K1475" t="s">
        <v>645</v>
      </c>
      <c r="L1475" s="6">
        <v>44440</v>
      </c>
      <c r="M1475">
        <v>9</v>
      </c>
      <c r="N1475" s="7" t="s">
        <v>23</v>
      </c>
      <c r="O1475" t="s">
        <v>31</v>
      </c>
      <c r="P1475" t="s">
        <v>4585</v>
      </c>
      <c r="Q1475" t="s">
        <v>4173</v>
      </c>
      <c r="R1475" t="s">
        <v>4174</v>
      </c>
    </row>
    <row r="1476" spans="1:18" hidden="1">
      <c r="A1476">
        <v>4</v>
      </c>
      <c r="B1476" s="4" t="s">
        <v>3127</v>
      </c>
      <c r="C1476" s="4" t="s">
        <v>4207</v>
      </c>
      <c r="D1476" s="4" t="s">
        <v>4257</v>
      </c>
      <c r="E1476" s="4" t="s">
        <v>5804</v>
      </c>
      <c r="F1476" t="s">
        <v>904</v>
      </c>
      <c r="G1476" t="s">
        <v>936</v>
      </c>
      <c r="H1476" t="s">
        <v>21</v>
      </c>
      <c r="I1476">
        <v>3</v>
      </c>
      <c r="J1476" s="5">
        <v>7.0999999999999994E-2</v>
      </c>
      <c r="K1476" t="s">
        <v>377</v>
      </c>
      <c r="L1476" s="6">
        <v>44470</v>
      </c>
      <c r="M1476">
        <v>10</v>
      </c>
      <c r="N1476" s="7" t="s">
        <v>23</v>
      </c>
      <c r="O1476" t="s">
        <v>31</v>
      </c>
      <c r="P1476" t="s">
        <v>4590</v>
      </c>
      <c r="Q1476" t="s">
        <v>3804</v>
      </c>
      <c r="R1476" t="s">
        <v>4174</v>
      </c>
    </row>
    <row r="1477" spans="1:18" hidden="1">
      <c r="A1477">
        <v>4</v>
      </c>
      <c r="B1477" s="4" t="s">
        <v>3127</v>
      </c>
      <c r="C1477" s="4" t="s">
        <v>4207</v>
      </c>
      <c r="D1477" s="4" t="s">
        <v>4257</v>
      </c>
      <c r="E1477" s="4" t="s">
        <v>5804</v>
      </c>
      <c r="F1477" t="s">
        <v>904</v>
      </c>
      <c r="G1477" t="s">
        <v>910</v>
      </c>
      <c r="H1477" t="s">
        <v>21</v>
      </c>
      <c r="I1477">
        <v>3</v>
      </c>
      <c r="J1477" s="5">
        <v>7.0999999999999994E-2</v>
      </c>
      <c r="K1477" t="s">
        <v>377</v>
      </c>
      <c r="L1477" s="6">
        <v>44470</v>
      </c>
      <c r="M1477">
        <v>10</v>
      </c>
      <c r="N1477" s="7" t="s">
        <v>23</v>
      </c>
      <c r="O1477" t="s">
        <v>31</v>
      </c>
      <c r="P1477" t="s">
        <v>4592</v>
      </c>
      <c r="Q1477" t="s">
        <v>4173</v>
      </c>
      <c r="R1477" t="s">
        <v>4174</v>
      </c>
    </row>
    <row r="1478" spans="1:18" hidden="1">
      <c r="A1478">
        <v>4</v>
      </c>
      <c r="B1478" s="4" t="s">
        <v>3127</v>
      </c>
      <c r="C1478" s="4" t="s">
        <v>4207</v>
      </c>
      <c r="D1478" s="4" t="s">
        <v>4257</v>
      </c>
      <c r="E1478" s="4" t="s">
        <v>5804</v>
      </c>
      <c r="F1478" t="s">
        <v>904</v>
      </c>
      <c r="G1478" t="s">
        <v>936</v>
      </c>
      <c r="H1478" t="s">
        <v>21</v>
      </c>
      <c r="I1478">
        <v>3</v>
      </c>
      <c r="J1478" s="5">
        <v>7.0999999999999994E-2</v>
      </c>
      <c r="K1478" t="s">
        <v>109</v>
      </c>
      <c r="L1478" s="6">
        <v>44531</v>
      </c>
      <c r="M1478">
        <v>12</v>
      </c>
      <c r="N1478" s="7" t="s">
        <v>30</v>
      </c>
      <c r="O1478" t="s">
        <v>31</v>
      </c>
      <c r="P1478" t="s">
        <v>4593</v>
      </c>
      <c r="Q1478" t="s">
        <v>3804</v>
      </c>
      <c r="R1478" t="s">
        <v>4174</v>
      </c>
    </row>
    <row r="1479" spans="1:18" hidden="1">
      <c r="A1479">
        <v>4</v>
      </c>
      <c r="B1479" s="4" t="s">
        <v>3127</v>
      </c>
      <c r="C1479" s="4" t="s">
        <v>4207</v>
      </c>
      <c r="D1479" s="4" t="s">
        <v>4257</v>
      </c>
      <c r="E1479" s="4" t="s">
        <v>5804</v>
      </c>
      <c r="F1479" t="s">
        <v>904</v>
      </c>
      <c r="G1479" t="s">
        <v>910</v>
      </c>
      <c r="H1479" t="s">
        <v>21</v>
      </c>
      <c r="I1479">
        <v>3</v>
      </c>
      <c r="J1479" s="5">
        <v>7.0999999999999994E-2</v>
      </c>
      <c r="K1479" t="s">
        <v>109</v>
      </c>
      <c r="L1479" s="6">
        <v>44531</v>
      </c>
      <c r="M1479">
        <v>12</v>
      </c>
      <c r="N1479" s="7" t="s">
        <v>30</v>
      </c>
      <c r="O1479" t="s">
        <v>31</v>
      </c>
      <c r="P1479" t="s">
        <v>4594</v>
      </c>
      <c r="Q1479" t="s">
        <v>4173</v>
      </c>
      <c r="R1479" t="s">
        <v>4174</v>
      </c>
    </row>
    <row r="1480" spans="1:18" hidden="1">
      <c r="A1480">
        <v>4</v>
      </c>
      <c r="B1480" s="4" t="s">
        <v>3127</v>
      </c>
      <c r="C1480" s="4" t="s">
        <v>4207</v>
      </c>
      <c r="D1480" s="4" t="s">
        <v>4257</v>
      </c>
      <c r="E1480" s="4" t="s">
        <v>5804</v>
      </c>
      <c r="F1480" t="s">
        <v>904</v>
      </c>
      <c r="G1480" t="s">
        <v>936</v>
      </c>
      <c r="H1480" t="s">
        <v>21</v>
      </c>
      <c r="I1480">
        <v>3</v>
      </c>
      <c r="J1480" s="5">
        <v>7.0999999999999994E-2</v>
      </c>
      <c r="K1480" t="s">
        <v>4595</v>
      </c>
      <c r="L1480" s="6" t="s">
        <v>673</v>
      </c>
      <c r="M1480" t="e">
        <v>#VALUE!</v>
      </c>
      <c r="N1480" s="7" t="e">
        <v>#VALUE!</v>
      </c>
      <c r="O1480" t="s">
        <v>31</v>
      </c>
      <c r="P1480" t="s">
        <v>4596</v>
      </c>
      <c r="Q1480" t="s">
        <v>4173</v>
      </c>
      <c r="R1480" t="s">
        <v>4174</v>
      </c>
    </row>
    <row r="1481" spans="1:18" hidden="1">
      <c r="A1481">
        <v>5</v>
      </c>
      <c r="B1481" s="4" t="s">
        <v>4600</v>
      </c>
      <c r="C1481" s="4" t="s">
        <v>4601</v>
      </c>
      <c r="D1481" s="4" t="s">
        <v>4602</v>
      </c>
      <c r="E1481" s="4" t="s">
        <v>5804</v>
      </c>
      <c r="F1481" t="s">
        <v>904</v>
      </c>
      <c r="G1481" t="s">
        <v>910</v>
      </c>
      <c r="H1481" t="s">
        <v>21</v>
      </c>
      <c r="I1481">
        <v>3</v>
      </c>
      <c r="J1481" s="5">
        <v>7.0999999999999994E-2</v>
      </c>
      <c r="K1481" t="s">
        <v>76</v>
      </c>
      <c r="L1481" s="6">
        <v>42856</v>
      </c>
      <c r="M1481">
        <v>5</v>
      </c>
      <c r="N1481" s="7" t="s">
        <v>23</v>
      </c>
      <c r="O1481" t="s">
        <v>31</v>
      </c>
      <c r="P1481" t="s">
        <v>4621</v>
      </c>
      <c r="Q1481" t="s">
        <v>4622</v>
      </c>
      <c r="R1481" t="s">
        <v>4623</v>
      </c>
    </row>
    <row r="1482" spans="1:18" hidden="1">
      <c r="A1482">
        <v>5</v>
      </c>
      <c r="B1482" s="4" t="s">
        <v>4600</v>
      </c>
      <c r="C1482" s="4" t="s">
        <v>4601</v>
      </c>
      <c r="D1482" s="4" t="s">
        <v>4635</v>
      </c>
      <c r="E1482" s="4" t="s">
        <v>5804</v>
      </c>
      <c r="F1482" t="s">
        <v>904</v>
      </c>
      <c r="G1482" t="s">
        <v>910</v>
      </c>
      <c r="H1482" t="s">
        <v>21</v>
      </c>
      <c r="I1482">
        <v>3</v>
      </c>
      <c r="J1482" s="5">
        <v>7.0999999999999994E-2</v>
      </c>
      <c r="K1482" t="s">
        <v>4636</v>
      </c>
      <c r="L1482" s="6">
        <v>41760</v>
      </c>
      <c r="M1482">
        <v>5</v>
      </c>
      <c r="N1482" s="7" t="s">
        <v>23</v>
      </c>
      <c r="O1482" t="s">
        <v>31</v>
      </c>
      <c r="P1482" t="s">
        <v>4637</v>
      </c>
      <c r="Q1482" t="s">
        <v>4638</v>
      </c>
      <c r="R1482" t="s">
        <v>4623</v>
      </c>
    </row>
    <row r="1483" spans="1:18" hidden="1">
      <c r="A1483">
        <v>5</v>
      </c>
      <c r="B1483" s="4" t="s">
        <v>4600</v>
      </c>
      <c r="C1483" s="4" t="s">
        <v>4601</v>
      </c>
      <c r="D1483" s="4" t="s">
        <v>4635</v>
      </c>
      <c r="E1483" s="4" t="s">
        <v>5804</v>
      </c>
      <c r="F1483" t="s">
        <v>904</v>
      </c>
      <c r="G1483" t="s">
        <v>910</v>
      </c>
      <c r="H1483" t="s">
        <v>21</v>
      </c>
      <c r="I1483">
        <v>3</v>
      </c>
      <c r="J1483" s="5">
        <v>7.0999999999999994E-2</v>
      </c>
      <c r="K1483" t="s">
        <v>71</v>
      </c>
      <c r="L1483" s="6">
        <v>42522</v>
      </c>
      <c r="M1483">
        <v>6</v>
      </c>
      <c r="N1483" s="7" t="s">
        <v>55</v>
      </c>
      <c r="O1483" t="s">
        <v>31</v>
      </c>
      <c r="P1483" t="s">
        <v>4645</v>
      </c>
      <c r="Q1483" t="s">
        <v>4646</v>
      </c>
      <c r="R1483" t="s">
        <v>4623</v>
      </c>
    </row>
    <row r="1484" spans="1:18" hidden="1">
      <c r="A1484">
        <v>5</v>
      </c>
      <c r="B1484" s="4" t="s">
        <v>4600</v>
      </c>
      <c r="C1484" s="4" t="s">
        <v>4601</v>
      </c>
      <c r="D1484" s="4" t="s">
        <v>4635</v>
      </c>
      <c r="E1484" s="4" t="s">
        <v>5804</v>
      </c>
      <c r="F1484" t="s">
        <v>904</v>
      </c>
      <c r="G1484" t="s">
        <v>910</v>
      </c>
      <c r="H1484" t="s">
        <v>21</v>
      </c>
      <c r="I1484">
        <v>3</v>
      </c>
      <c r="J1484" s="5">
        <v>7.0999999999999994E-2</v>
      </c>
      <c r="K1484" t="s">
        <v>278</v>
      </c>
      <c r="L1484" s="6">
        <v>42675</v>
      </c>
      <c r="M1484">
        <v>11</v>
      </c>
      <c r="N1484" s="7" t="s">
        <v>23</v>
      </c>
      <c r="O1484" t="s">
        <v>31</v>
      </c>
      <c r="P1484" t="s">
        <v>4654</v>
      </c>
      <c r="Q1484" t="s">
        <v>4646</v>
      </c>
      <c r="R1484" t="s">
        <v>4623</v>
      </c>
    </row>
    <row r="1485" spans="1:18" hidden="1">
      <c r="A1485">
        <v>5</v>
      </c>
      <c r="B1485" s="4" t="s">
        <v>4600</v>
      </c>
      <c r="C1485" s="4" t="s">
        <v>4601</v>
      </c>
      <c r="D1485" s="4" t="s">
        <v>4635</v>
      </c>
      <c r="E1485" s="4" t="s">
        <v>5804</v>
      </c>
      <c r="F1485" t="s">
        <v>904</v>
      </c>
      <c r="G1485" t="s">
        <v>905</v>
      </c>
      <c r="H1485" t="s">
        <v>53</v>
      </c>
      <c r="I1485" t="s">
        <v>53</v>
      </c>
      <c r="J1485" s="5" t="s">
        <v>53</v>
      </c>
      <c r="K1485" t="s">
        <v>395</v>
      </c>
      <c r="L1485" s="6">
        <v>43497</v>
      </c>
      <c r="M1485">
        <v>2</v>
      </c>
      <c r="N1485" s="7" t="s">
        <v>30</v>
      </c>
      <c r="O1485" t="s">
        <v>31</v>
      </c>
      <c r="P1485" t="s">
        <v>4690</v>
      </c>
      <c r="Q1485" t="s">
        <v>4691</v>
      </c>
      <c r="R1485" t="s">
        <v>4692</v>
      </c>
    </row>
    <row r="1486" spans="1:18" hidden="1">
      <c r="A1486">
        <v>5</v>
      </c>
      <c r="B1486" s="4" t="s">
        <v>4600</v>
      </c>
      <c r="C1486" s="4" t="s">
        <v>4601</v>
      </c>
      <c r="D1486" s="4" t="s">
        <v>4635</v>
      </c>
      <c r="E1486" s="4" t="s">
        <v>5804</v>
      </c>
      <c r="F1486" t="s">
        <v>904</v>
      </c>
      <c r="G1486" t="s">
        <v>905</v>
      </c>
      <c r="H1486" t="s">
        <v>53</v>
      </c>
      <c r="I1486" t="s">
        <v>53</v>
      </c>
      <c r="J1486" s="5" t="s">
        <v>53</v>
      </c>
      <c r="K1486" t="s">
        <v>171</v>
      </c>
      <c r="L1486" s="6">
        <v>44013</v>
      </c>
      <c r="M1486">
        <v>7</v>
      </c>
      <c r="N1486" s="7" t="s">
        <v>55</v>
      </c>
      <c r="O1486" t="s">
        <v>31</v>
      </c>
      <c r="P1486" t="s">
        <v>4729</v>
      </c>
      <c r="Q1486" t="s">
        <v>4691</v>
      </c>
      <c r="R1486" t="s">
        <v>4692</v>
      </c>
    </row>
    <row r="1487" spans="1:18" hidden="1">
      <c r="A1487">
        <v>5</v>
      </c>
      <c r="B1487" s="4" t="s">
        <v>4600</v>
      </c>
      <c r="C1487" s="4" t="s">
        <v>4601</v>
      </c>
      <c r="D1487" s="4" t="s">
        <v>4635</v>
      </c>
      <c r="E1487" s="4" t="s">
        <v>5804</v>
      </c>
      <c r="F1487" t="s">
        <v>904</v>
      </c>
      <c r="G1487" t="s">
        <v>936</v>
      </c>
      <c r="H1487" t="s">
        <v>21</v>
      </c>
      <c r="I1487">
        <v>3</v>
      </c>
      <c r="J1487" s="5">
        <v>7.0999999999999994E-2</v>
      </c>
      <c r="K1487" t="s">
        <v>175</v>
      </c>
      <c r="L1487" s="6">
        <v>44166</v>
      </c>
      <c r="M1487">
        <v>12</v>
      </c>
      <c r="N1487" s="7" t="s">
        <v>30</v>
      </c>
      <c r="O1487" t="s">
        <v>31</v>
      </c>
      <c r="P1487" t="s">
        <v>4733</v>
      </c>
      <c r="Q1487" t="s">
        <v>4734</v>
      </c>
      <c r="R1487" t="s">
        <v>4735</v>
      </c>
    </row>
    <row r="1488" spans="1:18" hidden="1">
      <c r="A1488">
        <v>5</v>
      </c>
      <c r="B1488" s="4" t="s">
        <v>4600</v>
      </c>
      <c r="C1488" s="4" t="s">
        <v>4601</v>
      </c>
      <c r="D1488" s="4" t="s">
        <v>4748</v>
      </c>
      <c r="E1488" s="4" t="s">
        <v>5804</v>
      </c>
      <c r="F1488" t="s">
        <v>904</v>
      </c>
      <c r="G1488" t="s">
        <v>905</v>
      </c>
      <c r="H1488" t="s">
        <v>53</v>
      </c>
      <c r="I1488" t="s">
        <v>53</v>
      </c>
      <c r="J1488" s="5" t="s">
        <v>53</v>
      </c>
      <c r="K1488" t="s">
        <v>124</v>
      </c>
      <c r="L1488" s="6">
        <v>42767</v>
      </c>
      <c r="M1488">
        <v>2</v>
      </c>
      <c r="N1488" s="7" t="s">
        <v>30</v>
      </c>
      <c r="O1488" t="s">
        <v>31</v>
      </c>
      <c r="P1488" t="s">
        <v>4776</v>
      </c>
      <c r="Q1488" t="s">
        <v>4691</v>
      </c>
      <c r="R1488" t="s">
        <v>4692</v>
      </c>
    </row>
    <row r="1489" spans="1:18" hidden="1">
      <c r="A1489">
        <v>5</v>
      </c>
      <c r="B1489" s="4" t="s">
        <v>4600</v>
      </c>
      <c r="C1489" s="4" t="s">
        <v>4601</v>
      </c>
      <c r="D1489" s="4" t="s">
        <v>4748</v>
      </c>
      <c r="E1489" s="4" t="s">
        <v>5804</v>
      </c>
      <c r="F1489" t="s">
        <v>904</v>
      </c>
      <c r="G1489" t="s">
        <v>987</v>
      </c>
      <c r="H1489" t="s">
        <v>53</v>
      </c>
      <c r="I1489" t="s">
        <v>53</v>
      </c>
      <c r="J1489" s="5" t="s">
        <v>53</v>
      </c>
      <c r="K1489" t="s">
        <v>76</v>
      </c>
      <c r="L1489" s="6">
        <v>42856</v>
      </c>
      <c r="M1489">
        <v>5</v>
      </c>
      <c r="N1489" s="7" t="s">
        <v>23</v>
      </c>
      <c r="O1489" t="s">
        <v>31</v>
      </c>
      <c r="P1489" t="s">
        <v>4782</v>
      </c>
      <c r="Q1489" t="s">
        <v>4783</v>
      </c>
      <c r="R1489" t="s">
        <v>4623</v>
      </c>
    </row>
    <row r="1490" spans="1:18" hidden="1">
      <c r="A1490">
        <v>5</v>
      </c>
      <c r="B1490" s="4" t="s">
        <v>4600</v>
      </c>
      <c r="C1490" s="4" t="s">
        <v>4601</v>
      </c>
      <c r="D1490" s="4" t="s">
        <v>4748</v>
      </c>
      <c r="E1490" s="4" t="s">
        <v>5804</v>
      </c>
      <c r="F1490" t="s">
        <v>904</v>
      </c>
      <c r="G1490" t="s">
        <v>910</v>
      </c>
      <c r="H1490" t="s">
        <v>21</v>
      </c>
      <c r="I1490">
        <v>3</v>
      </c>
      <c r="J1490" s="5">
        <v>7.0999999999999994E-2</v>
      </c>
      <c r="K1490" t="s">
        <v>839</v>
      </c>
      <c r="L1490" s="6">
        <v>43800</v>
      </c>
      <c r="M1490">
        <v>12</v>
      </c>
      <c r="N1490" s="7" t="s">
        <v>30</v>
      </c>
      <c r="O1490" t="s">
        <v>31</v>
      </c>
      <c r="P1490" t="s">
        <v>4822</v>
      </c>
      <c r="Q1490" t="s">
        <v>4823</v>
      </c>
      <c r="R1490" t="s">
        <v>4623</v>
      </c>
    </row>
    <row r="1491" spans="1:18" hidden="1">
      <c r="A1491">
        <v>5</v>
      </c>
      <c r="B1491" s="4" t="s">
        <v>4600</v>
      </c>
      <c r="C1491" s="4" t="s">
        <v>4933</v>
      </c>
      <c r="D1491" s="4" t="s">
        <v>4934</v>
      </c>
      <c r="E1491" s="4" t="s">
        <v>5804</v>
      </c>
      <c r="F1491" t="s">
        <v>904</v>
      </c>
      <c r="G1491" t="s">
        <v>910</v>
      </c>
      <c r="H1491" t="s">
        <v>21</v>
      </c>
      <c r="I1491">
        <v>3</v>
      </c>
      <c r="J1491" s="5">
        <v>7.0999999999999994E-2</v>
      </c>
      <c r="K1491" t="s">
        <v>43</v>
      </c>
      <c r="L1491" s="6">
        <v>43525</v>
      </c>
      <c r="M1491">
        <v>3</v>
      </c>
      <c r="N1491" s="7" t="s">
        <v>23</v>
      </c>
      <c r="O1491" t="s">
        <v>31</v>
      </c>
      <c r="P1491" t="s">
        <v>4981</v>
      </c>
      <c r="Q1491" t="s">
        <v>4982</v>
      </c>
      <c r="R1491" t="s">
        <v>4983</v>
      </c>
    </row>
    <row r="1492" spans="1:18" hidden="1">
      <c r="A1492">
        <v>5</v>
      </c>
      <c r="B1492" s="4" t="s">
        <v>4600</v>
      </c>
      <c r="C1492" s="4" t="s">
        <v>4933</v>
      </c>
      <c r="D1492" s="4" t="s">
        <v>4934</v>
      </c>
      <c r="E1492" s="4" t="s">
        <v>5804</v>
      </c>
      <c r="F1492" t="s">
        <v>904</v>
      </c>
      <c r="G1492" t="s">
        <v>936</v>
      </c>
      <c r="H1492" t="s">
        <v>21</v>
      </c>
      <c r="I1492">
        <v>3</v>
      </c>
      <c r="J1492" s="5">
        <v>7.0999999999999994E-2</v>
      </c>
      <c r="K1492" t="s">
        <v>164</v>
      </c>
      <c r="L1492" s="6">
        <v>43617</v>
      </c>
      <c r="M1492">
        <v>6</v>
      </c>
      <c r="N1492" s="7" t="s">
        <v>55</v>
      </c>
      <c r="O1492" t="s">
        <v>31</v>
      </c>
      <c r="P1492" t="s">
        <v>4990</v>
      </c>
      <c r="Q1492" t="s">
        <v>4734</v>
      </c>
      <c r="R1492" t="s">
        <v>4735</v>
      </c>
    </row>
    <row r="1493" spans="1:18" hidden="1">
      <c r="A1493">
        <v>5</v>
      </c>
      <c r="B1493" s="4" t="s">
        <v>4600</v>
      </c>
      <c r="C1493" s="4" t="s">
        <v>4933</v>
      </c>
      <c r="D1493" s="4" t="s">
        <v>4934</v>
      </c>
      <c r="E1493" s="4" t="s">
        <v>5804</v>
      </c>
      <c r="F1493" t="s">
        <v>904</v>
      </c>
      <c r="G1493" t="s">
        <v>936</v>
      </c>
      <c r="H1493" t="s">
        <v>21</v>
      </c>
      <c r="I1493">
        <v>3</v>
      </c>
      <c r="J1493" s="5">
        <v>7.0999999999999994E-2</v>
      </c>
      <c r="K1493" t="s">
        <v>377</v>
      </c>
      <c r="L1493" s="6">
        <v>44470</v>
      </c>
      <c r="M1493">
        <v>10</v>
      </c>
      <c r="N1493" s="7" t="s">
        <v>23</v>
      </c>
      <c r="O1493" t="s">
        <v>31</v>
      </c>
      <c r="P1493" t="s">
        <v>5011</v>
      </c>
      <c r="Q1493" t="s">
        <v>5012</v>
      </c>
      <c r="R1493" t="s">
        <v>5013</v>
      </c>
    </row>
    <row r="1494" spans="1:18" hidden="1">
      <c r="A1494">
        <v>5</v>
      </c>
      <c r="B1494" s="4" t="s">
        <v>4600</v>
      </c>
      <c r="C1494" s="4" t="s">
        <v>4933</v>
      </c>
      <c r="D1494" s="4" t="s">
        <v>5014</v>
      </c>
      <c r="E1494" s="4" t="s">
        <v>5804</v>
      </c>
      <c r="F1494" t="s">
        <v>904</v>
      </c>
      <c r="G1494" t="s">
        <v>910</v>
      </c>
      <c r="H1494" t="s">
        <v>21</v>
      </c>
      <c r="I1494">
        <v>3</v>
      </c>
      <c r="J1494" s="5">
        <v>7.0999999999999994E-2</v>
      </c>
      <c r="K1494" t="s">
        <v>558</v>
      </c>
      <c r="L1494" s="6">
        <v>42339</v>
      </c>
      <c r="M1494">
        <v>12</v>
      </c>
      <c r="N1494" s="7" t="s">
        <v>30</v>
      </c>
      <c r="O1494" t="s">
        <v>31</v>
      </c>
      <c r="P1494" t="s">
        <v>5027</v>
      </c>
      <c r="Q1494" t="s">
        <v>5028</v>
      </c>
      <c r="R1494" t="s">
        <v>5029</v>
      </c>
    </row>
    <row r="1495" spans="1:18" hidden="1">
      <c r="A1495">
        <v>5</v>
      </c>
      <c r="B1495" s="4" t="s">
        <v>4600</v>
      </c>
      <c r="C1495" s="4" t="s">
        <v>4933</v>
      </c>
      <c r="D1495" s="4" t="s">
        <v>5014</v>
      </c>
      <c r="E1495" s="4" t="s">
        <v>5804</v>
      </c>
      <c r="F1495" t="s">
        <v>904</v>
      </c>
      <c r="G1495" t="s">
        <v>910</v>
      </c>
      <c r="H1495" t="s">
        <v>21</v>
      </c>
      <c r="I1495">
        <v>3</v>
      </c>
      <c r="J1495" s="5">
        <v>7.0999999999999994E-2</v>
      </c>
      <c r="K1495" t="s">
        <v>278</v>
      </c>
      <c r="L1495" s="6">
        <v>42675</v>
      </c>
      <c r="M1495">
        <v>11</v>
      </c>
      <c r="N1495" s="7" t="s">
        <v>23</v>
      </c>
      <c r="O1495" t="s">
        <v>31</v>
      </c>
      <c r="P1495" t="s">
        <v>5082</v>
      </c>
      <c r="Q1495" t="s">
        <v>5083</v>
      </c>
      <c r="R1495" t="s">
        <v>5029</v>
      </c>
    </row>
    <row r="1496" spans="1:18" hidden="1">
      <c r="A1496">
        <v>5</v>
      </c>
      <c r="B1496" s="4" t="s">
        <v>4600</v>
      </c>
      <c r="C1496" s="4" t="s">
        <v>4933</v>
      </c>
      <c r="D1496" s="4" t="s">
        <v>5014</v>
      </c>
      <c r="E1496" s="4" t="s">
        <v>5804</v>
      </c>
      <c r="F1496" t="s">
        <v>904</v>
      </c>
      <c r="G1496" t="s">
        <v>936</v>
      </c>
      <c r="H1496" t="s">
        <v>21</v>
      </c>
      <c r="I1496">
        <v>3</v>
      </c>
      <c r="J1496" s="5">
        <v>7.0999999999999994E-2</v>
      </c>
      <c r="K1496" t="s">
        <v>80</v>
      </c>
      <c r="L1496" s="6">
        <v>42917</v>
      </c>
      <c r="M1496">
        <v>7</v>
      </c>
      <c r="N1496" s="7" t="s">
        <v>55</v>
      </c>
      <c r="O1496" t="s">
        <v>31</v>
      </c>
      <c r="P1496" t="s">
        <v>5128</v>
      </c>
      <c r="Q1496" t="s">
        <v>5129</v>
      </c>
      <c r="R1496" t="s">
        <v>5130</v>
      </c>
    </row>
    <row r="1497" spans="1:18" hidden="1">
      <c r="A1497">
        <v>5</v>
      </c>
      <c r="B1497" s="4" t="s">
        <v>4600</v>
      </c>
      <c r="C1497" s="4" t="s">
        <v>4933</v>
      </c>
      <c r="D1497" s="4" t="s">
        <v>5014</v>
      </c>
      <c r="E1497" s="4" t="s">
        <v>5804</v>
      </c>
      <c r="F1497" t="s">
        <v>904</v>
      </c>
      <c r="G1497" t="s">
        <v>910</v>
      </c>
      <c r="H1497" t="s">
        <v>21</v>
      </c>
      <c r="I1497">
        <v>3</v>
      </c>
      <c r="J1497" s="5">
        <v>7.0999999999999994E-2</v>
      </c>
      <c r="K1497" t="s">
        <v>83</v>
      </c>
      <c r="L1497" s="6">
        <v>42948</v>
      </c>
      <c r="M1497">
        <v>8</v>
      </c>
      <c r="N1497" s="7" t="s">
        <v>55</v>
      </c>
      <c r="O1497" t="s">
        <v>31</v>
      </c>
      <c r="P1497" t="s">
        <v>5132</v>
      </c>
      <c r="Q1497" t="s">
        <v>5133</v>
      </c>
      <c r="R1497" t="s">
        <v>5029</v>
      </c>
    </row>
    <row r="1498" spans="1:18" hidden="1">
      <c r="A1498">
        <v>5</v>
      </c>
      <c r="B1498" s="4" t="s">
        <v>4600</v>
      </c>
      <c r="C1498" s="4" t="s">
        <v>4933</v>
      </c>
      <c r="D1498" s="4" t="s">
        <v>5014</v>
      </c>
      <c r="E1498" s="4" t="s">
        <v>5804</v>
      </c>
      <c r="F1498" t="s">
        <v>904</v>
      </c>
      <c r="G1498" t="s">
        <v>936</v>
      </c>
      <c r="H1498" t="s">
        <v>21</v>
      </c>
      <c r="I1498">
        <v>3</v>
      </c>
      <c r="J1498" s="5">
        <v>7.0999999999999994E-2</v>
      </c>
      <c r="K1498" t="s">
        <v>146</v>
      </c>
      <c r="L1498" s="6">
        <v>43313</v>
      </c>
      <c r="M1498">
        <v>8</v>
      </c>
      <c r="N1498" s="7" t="s">
        <v>55</v>
      </c>
      <c r="O1498" t="s">
        <v>31</v>
      </c>
      <c r="P1498" t="s">
        <v>5205</v>
      </c>
      <c r="Q1498" t="s">
        <v>4734</v>
      </c>
      <c r="R1498" t="s">
        <v>4735</v>
      </c>
    </row>
    <row r="1499" spans="1:18" hidden="1">
      <c r="A1499">
        <v>5</v>
      </c>
      <c r="B1499" s="4" t="s">
        <v>4600</v>
      </c>
      <c r="C1499" s="4" t="s">
        <v>4933</v>
      </c>
      <c r="D1499" s="4" t="s">
        <v>5014</v>
      </c>
      <c r="E1499" s="4" t="s">
        <v>5804</v>
      </c>
      <c r="F1499" t="s">
        <v>904</v>
      </c>
      <c r="G1499" t="s">
        <v>936</v>
      </c>
      <c r="H1499" t="s">
        <v>21</v>
      </c>
      <c r="I1499">
        <v>3</v>
      </c>
      <c r="J1499" s="5">
        <v>7.0999999999999994E-2</v>
      </c>
      <c r="K1499" t="s">
        <v>245</v>
      </c>
      <c r="L1499" s="6">
        <v>43466</v>
      </c>
      <c r="M1499">
        <v>1</v>
      </c>
      <c r="N1499" s="7" t="s">
        <v>30</v>
      </c>
      <c r="O1499" t="s">
        <v>31</v>
      </c>
      <c r="P1499" t="s">
        <v>5237</v>
      </c>
      <c r="Q1499" t="s">
        <v>5238</v>
      </c>
      <c r="R1499" t="s">
        <v>2963</v>
      </c>
    </row>
    <row r="1500" spans="1:18" hidden="1">
      <c r="A1500">
        <v>5</v>
      </c>
      <c r="B1500" s="4" t="s">
        <v>4600</v>
      </c>
      <c r="C1500" s="4" t="s">
        <v>4933</v>
      </c>
      <c r="D1500" s="4" t="s">
        <v>5014</v>
      </c>
      <c r="E1500" s="4" t="s">
        <v>5804</v>
      </c>
      <c r="F1500" t="s">
        <v>904</v>
      </c>
      <c r="G1500" t="s">
        <v>905</v>
      </c>
      <c r="H1500" t="s">
        <v>53</v>
      </c>
      <c r="I1500" t="s">
        <v>53</v>
      </c>
      <c r="J1500" s="5" t="s">
        <v>53</v>
      </c>
      <c r="K1500" t="s">
        <v>5260</v>
      </c>
      <c r="L1500" s="6">
        <v>43556</v>
      </c>
      <c r="M1500">
        <v>4</v>
      </c>
      <c r="N1500" s="7" t="s">
        <v>23</v>
      </c>
      <c r="O1500" t="s">
        <v>31</v>
      </c>
      <c r="P1500" t="s">
        <v>5261</v>
      </c>
      <c r="Q1500" t="s">
        <v>4646</v>
      </c>
      <c r="R1500" t="s">
        <v>5262</v>
      </c>
    </row>
    <row r="1501" spans="1:18" hidden="1">
      <c r="A1501">
        <v>5</v>
      </c>
      <c r="B1501" s="4" t="s">
        <v>4600</v>
      </c>
      <c r="C1501" s="4" t="s">
        <v>4933</v>
      </c>
      <c r="D1501" s="4" t="s">
        <v>5014</v>
      </c>
      <c r="E1501" s="4" t="s">
        <v>5804</v>
      </c>
      <c r="F1501" t="s">
        <v>904</v>
      </c>
      <c r="G1501" t="s">
        <v>936</v>
      </c>
      <c r="H1501" t="s">
        <v>21</v>
      </c>
      <c r="I1501">
        <v>3</v>
      </c>
      <c r="J1501" s="5">
        <v>7.0999999999999994E-2</v>
      </c>
      <c r="K1501" t="s">
        <v>164</v>
      </c>
      <c r="L1501" s="6">
        <v>43617</v>
      </c>
      <c r="M1501">
        <v>6</v>
      </c>
      <c r="N1501" s="7" t="s">
        <v>55</v>
      </c>
      <c r="O1501" t="s">
        <v>31</v>
      </c>
      <c r="P1501" t="s">
        <v>5267</v>
      </c>
      <c r="Q1501" t="s">
        <v>5129</v>
      </c>
      <c r="R1501" t="s">
        <v>5130</v>
      </c>
    </row>
    <row r="1502" spans="1:18" hidden="1">
      <c r="A1502">
        <v>5</v>
      </c>
      <c r="B1502" s="4" t="s">
        <v>4600</v>
      </c>
      <c r="C1502" s="4" t="s">
        <v>4933</v>
      </c>
      <c r="D1502" s="4" t="s">
        <v>5014</v>
      </c>
      <c r="E1502" s="4" t="s">
        <v>5804</v>
      </c>
      <c r="F1502" t="s">
        <v>904</v>
      </c>
      <c r="G1502" t="s">
        <v>905</v>
      </c>
      <c r="H1502" t="s">
        <v>53</v>
      </c>
      <c r="I1502" t="s">
        <v>53</v>
      </c>
      <c r="J1502" s="5" t="s">
        <v>53</v>
      </c>
      <c r="K1502" t="s">
        <v>304</v>
      </c>
      <c r="L1502" s="6">
        <v>43647</v>
      </c>
      <c r="M1502">
        <v>7</v>
      </c>
      <c r="N1502" s="7" t="s">
        <v>55</v>
      </c>
      <c r="O1502" t="s">
        <v>31</v>
      </c>
      <c r="P1502" t="s">
        <v>5269</v>
      </c>
      <c r="Q1502" t="s">
        <v>5028</v>
      </c>
      <c r="R1502" t="s">
        <v>5262</v>
      </c>
    </row>
    <row r="1503" spans="1:18" hidden="1">
      <c r="A1503">
        <v>5</v>
      </c>
      <c r="B1503" s="4" t="s">
        <v>4600</v>
      </c>
      <c r="C1503" s="4" t="s">
        <v>4933</v>
      </c>
      <c r="D1503" s="4" t="s">
        <v>5014</v>
      </c>
      <c r="E1503" s="4" t="s">
        <v>5804</v>
      </c>
      <c r="F1503" t="s">
        <v>904</v>
      </c>
      <c r="G1503" t="s">
        <v>905</v>
      </c>
      <c r="H1503" t="s">
        <v>53</v>
      </c>
      <c r="I1503" t="s">
        <v>53</v>
      </c>
      <c r="J1503" s="5" t="s">
        <v>53</v>
      </c>
      <c r="K1503" t="s">
        <v>168</v>
      </c>
      <c r="L1503" s="6">
        <v>43678</v>
      </c>
      <c r="M1503">
        <v>8</v>
      </c>
      <c r="N1503" s="7" t="s">
        <v>55</v>
      </c>
      <c r="O1503" t="s">
        <v>31</v>
      </c>
      <c r="P1503" t="s">
        <v>5279</v>
      </c>
      <c r="Q1503" t="s">
        <v>5280</v>
      </c>
      <c r="R1503" t="s">
        <v>5262</v>
      </c>
    </row>
    <row r="1504" spans="1:18" hidden="1">
      <c r="A1504">
        <v>5</v>
      </c>
      <c r="B1504" s="4" t="s">
        <v>4600</v>
      </c>
      <c r="C1504" s="4" t="s">
        <v>4933</v>
      </c>
      <c r="D1504" s="4" t="s">
        <v>5014</v>
      </c>
      <c r="E1504" s="4" t="s">
        <v>5804</v>
      </c>
      <c r="F1504" t="s">
        <v>904</v>
      </c>
      <c r="G1504" t="s">
        <v>936</v>
      </c>
      <c r="H1504" t="s">
        <v>21</v>
      </c>
      <c r="I1504">
        <v>3</v>
      </c>
      <c r="J1504" s="5">
        <v>7.0999999999999994E-2</v>
      </c>
      <c r="K1504" t="s">
        <v>726</v>
      </c>
      <c r="L1504" s="6">
        <v>43709</v>
      </c>
      <c r="M1504">
        <v>9</v>
      </c>
      <c r="N1504" s="7" t="s">
        <v>23</v>
      </c>
      <c r="O1504" t="s">
        <v>31</v>
      </c>
      <c r="P1504" t="s">
        <v>5290</v>
      </c>
      <c r="Q1504" t="s">
        <v>4734</v>
      </c>
      <c r="R1504" t="s">
        <v>4735</v>
      </c>
    </row>
    <row r="1505" spans="1:18" hidden="1">
      <c r="A1505">
        <v>5</v>
      </c>
      <c r="B1505" s="4" t="s">
        <v>4600</v>
      </c>
      <c r="C1505" s="4" t="s">
        <v>4933</v>
      </c>
      <c r="D1505" s="4" t="s">
        <v>5014</v>
      </c>
      <c r="E1505" s="4" t="s">
        <v>5804</v>
      </c>
      <c r="F1505" t="s">
        <v>904</v>
      </c>
      <c r="G1505" t="s">
        <v>910</v>
      </c>
      <c r="H1505" t="s">
        <v>21</v>
      </c>
      <c r="I1505">
        <v>3</v>
      </c>
      <c r="J1505" s="5">
        <v>7.0999999999999994E-2</v>
      </c>
      <c r="K1505" t="s">
        <v>691</v>
      </c>
      <c r="L1505" s="6">
        <v>43770</v>
      </c>
      <c r="M1505">
        <v>11</v>
      </c>
      <c r="N1505" s="7" t="s">
        <v>23</v>
      </c>
      <c r="O1505" t="s">
        <v>31</v>
      </c>
      <c r="P1505" t="s">
        <v>5310</v>
      </c>
      <c r="Q1505" t="s">
        <v>4646</v>
      </c>
      <c r="R1505" t="s">
        <v>5029</v>
      </c>
    </row>
    <row r="1506" spans="1:18" hidden="1">
      <c r="A1506">
        <v>5</v>
      </c>
      <c r="B1506" s="4" t="s">
        <v>4600</v>
      </c>
      <c r="C1506" s="4" t="s">
        <v>4933</v>
      </c>
      <c r="D1506" s="4" t="s">
        <v>5014</v>
      </c>
      <c r="E1506" s="4" t="s">
        <v>5804</v>
      </c>
      <c r="F1506" t="s">
        <v>904</v>
      </c>
      <c r="G1506" t="s">
        <v>936</v>
      </c>
      <c r="H1506" t="s">
        <v>21</v>
      </c>
      <c r="I1506">
        <v>3</v>
      </c>
      <c r="J1506" s="5">
        <v>7.0999999999999994E-2</v>
      </c>
      <c r="K1506" t="s">
        <v>251</v>
      </c>
      <c r="L1506" s="6">
        <v>43952</v>
      </c>
      <c r="M1506">
        <v>5</v>
      </c>
      <c r="N1506" s="7" t="s">
        <v>23</v>
      </c>
      <c r="O1506" t="s">
        <v>31</v>
      </c>
      <c r="P1506" t="s">
        <v>5335</v>
      </c>
      <c r="Q1506" t="s">
        <v>4734</v>
      </c>
      <c r="R1506" t="s">
        <v>4735</v>
      </c>
    </row>
    <row r="1507" spans="1:18" hidden="1">
      <c r="A1507">
        <v>5</v>
      </c>
      <c r="B1507" s="4" t="s">
        <v>4600</v>
      </c>
      <c r="C1507" s="4" t="s">
        <v>4933</v>
      </c>
      <c r="D1507" s="4" t="s">
        <v>5014</v>
      </c>
      <c r="E1507" s="4" t="s">
        <v>5804</v>
      </c>
      <c r="F1507" t="s">
        <v>904</v>
      </c>
      <c r="G1507" t="s">
        <v>936</v>
      </c>
      <c r="H1507" t="s">
        <v>21</v>
      </c>
      <c r="I1507">
        <v>3</v>
      </c>
      <c r="J1507" s="5">
        <v>7.0999999999999994E-2</v>
      </c>
      <c r="K1507" t="s">
        <v>255</v>
      </c>
      <c r="L1507" s="6">
        <v>43983</v>
      </c>
      <c r="M1507">
        <v>6</v>
      </c>
      <c r="N1507" s="7" t="s">
        <v>55</v>
      </c>
      <c r="O1507" t="s">
        <v>31</v>
      </c>
      <c r="P1507" t="s">
        <v>5338</v>
      </c>
      <c r="Q1507" t="s">
        <v>5129</v>
      </c>
      <c r="R1507" t="s">
        <v>5130</v>
      </c>
    </row>
    <row r="1508" spans="1:18" hidden="1">
      <c r="A1508">
        <v>5</v>
      </c>
      <c r="B1508" s="4" t="s">
        <v>4600</v>
      </c>
      <c r="C1508" s="4" t="s">
        <v>4933</v>
      </c>
      <c r="D1508" s="4" t="s">
        <v>5014</v>
      </c>
      <c r="E1508" s="4" t="s">
        <v>5804</v>
      </c>
      <c r="F1508" t="s">
        <v>904</v>
      </c>
      <c r="G1508" t="s">
        <v>905</v>
      </c>
      <c r="H1508" t="s">
        <v>53</v>
      </c>
      <c r="I1508" t="s">
        <v>53</v>
      </c>
      <c r="J1508" s="5" t="s">
        <v>53</v>
      </c>
      <c r="K1508" t="s">
        <v>365</v>
      </c>
      <c r="L1508" s="6">
        <v>44105</v>
      </c>
      <c r="M1508">
        <v>10</v>
      </c>
      <c r="N1508" s="7" t="s">
        <v>23</v>
      </c>
      <c r="O1508" t="s">
        <v>31</v>
      </c>
      <c r="P1508" t="s">
        <v>5345</v>
      </c>
      <c r="Q1508" t="s">
        <v>4646</v>
      </c>
      <c r="R1508" t="s">
        <v>5262</v>
      </c>
    </row>
    <row r="1509" spans="1:18" hidden="1">
      <c r="A1509">
        <v>5</v>
      </c>
      <c r="B1509" s="4" t="s">
        <v>4600</v>
      </c>
      <c r="C1509" s="4" t="s">
        <v>4933</v>
      </c>
      <c r="D1509" s="4" t="s">
        <v>5014</v>
      </c>
      <c r="E1509" s="4" t="s">
        <v>5804</v>
      </c>
      <c r="F1509" t="s">
        <v>904</v>
      </c>
      <c r="G1509" t="s">
        <v>936</v>
      </c>
      <c r="H1509" t="s">
        <v>21</v>
      </c>
      <c r="I1509">
        <v>3</v>
      </c>
      <c r="J1509" s="5">
        <v>7.0999999999999994E-2</v>
      </c>
      <c r="K1509" t="s">
        <v>749</v>
      </c>
      <c r="L1509" s="6">
        <v>44136</v>
      </c>
      <c r="M1509">
        <v>11</v>
      </c>
      <c r="N1509" s="7" t="s">
        <v>23</v>
      </c>
      <c r="O1509" t="s">
        <v>31</v>
      </c>
      <c r="P1509" t="s">
        <v>5350</v>
      </c>
      <c r="Q1509" t="s">
        <v>5129</v>
      </c>
      <c r="R1509" t="s">
        <v>5130</v>
      </c>
    </row>
    <row r="1510" spans="1:18" hidden="1">
      <c r="A1510">
        <v>5</v>
      </c>
      <c r="B1510" s="4" t="s">
        <v>4600</v>
      </c>
      <c r="C1510" s="4" t="s">
        <v>4933</v>
      </c>
      <c r="D1510" s="4" t="s">
        <v>5014</v>
      </c>
      <c r="E1510" s="4" t="s">
        <v>5804</v>
      </c>
      <c r="F1510" t="s">
        <v>904</v>
      </c>
      <c r="G1510" t="s">
        <v>936</v>
      </c>
      <c r="H1510" t="s">
        <v>21</v>
      </c>
      <c r="I1510">
        <v>3</v>
      </c>
      <c r="J1510" s="5">
        <v>7.0999999999999994E-2</v>
      </c>
      <c r="K1510" t="s">
        <v>749</v>
      </c>
      <c r="L1510" s="6">
        <v>44136</v>
      </c>
      <c r="M1510">
        <v>11</v>
      </c>
      <c r="N1510" s="7" t="s">
        <v>23</v>
      </c>
      <c r="O1510" t="s">
        <v>31</v>
      </c>
      <c r="P1510" t="s">
        <v>5351</v>
      </c>
      <c r="Q1510" t="s">
        <v>4734</v>
      </c>
      <c r="R1510" t="s">
        <v>4735</v>
      </c>
    </row>
    <row r="1511" spans="1:18" hidden="1">
      <c r="A1511">
        <v>5</v>
      </c>
      <c r="B1511" s="4" t="s">
        <v>4600</v>
      </c>
      <c r="C1511" s="4" t="s">
        <v>5385</v>
      </c>
      <c r="D1511" s="4" t="s">
        <v>5386</v>
      </c>
      <c r="E1511" s="4" t="s">
        <v>5804</v>
      </c>
      <c r="F1511" t="s">
        <v>904</v>
      </c>
      <c r="G1511" t="s">
        <v>910</v>
      </c>
      <c r="H1511" t="s">
        <v>21</v>
      </c>
      <c r="I1511">
        <v>3</v>
      </c>
      <c r="J1511" s="5">
        <v>7.0999999999999994E-2</v>
      </c>
      <c r="K1511" t="s">
        <v>357</v>
      </c>
      <c r="L1511" s="6">
        <v>43739</v>
      </c>
      <c r="M1511">
        <v>10</v>
      </c>
      <c r="N1511" s="7" t="s">
        <v>23</v>
      </c>
      <c r="O1511" t="s">
        <v>31</v>
      </c>
      <c r="P1511" t="s">
        <v>5415</v>
      </c>
      <c r="Q1511" t="s">
        <v>5416</v>
      </c>
      <c r="R1511" t="s">
        <v>5417</v>
      </c>
    </row>
    <row r="1512" spans="1:18" hidden="1">
      <c r="A1512">
        <v>5</v>
      </c>
      <c r="B1512" s="4" t="s">
        <v>4600</v>
      </c>
      <c r="C1512" s="4" t="s">
        <v>5385</v>
      </c>
      <c r="D1512" s="4" t="s">
        <v>5386</v>
      </c>
      <c r="E1512" s="4" t="s">
        <v>5804</v>
      </c>
      <c r="F1512" t="s">
        <v>904</v>
      </c>
      <c r="G1512" t="s">
        <v>910</v>
      </c>
      <c r="H1512" t="s">
        <v>21</v>
      </c>
      <c r="I1512">
        <v>3</v>
      </c>
      <c r="J1512" s="5">
        <v>7.0999999999999994E-2</v>
      </c>
      <c r="K1512" t="s">
        <v>749</v>
      </c>
      <c r="L1512" s="6">
        <v>44136</v>
      </c>
      <c r="M1512">
        <v>11</v>
      </c>
      <c r="N1512" s="7" t="s">
        <v>23</v>
      </c>
      <c r="O1512" t="s">
        <v>31</v>
      </c>
      <c r="P1512" t="s">
        <v>5424</v>
      </c>
      <c r="Q1512" t="s">
        <v>5425</v>
      </c>
      <c r="R1512" t="s">
        <v>5029</v>
      </c>
    </row>
    <row r="1513" spans="1:18" hidden="1">
      <c r="A1513">
        <v>4</v>
      </c>
      <c r="B1513" s="4" t="s">
        <v>3127</v>
      </c>
      <c r="C1513" s="4" t="s">
        <v>3128</v>
      </c>
      <c r="D1513" s="4" t="s">
        <v>3129</v>
      </c>
      <c r="E1513" s="4" t="s">
        <v>5804</v>
      </c>
      <c r="F1513" t="s">
        <v>571</v>
      </c>
      <c r="G1513" t="s">
        <v>3142</v>
      </c>
      <c r="H1513" t="s">
        <v>21</v>
      </c>
      <c r="I1513">
        <v>4</v>
      </c>
      <c r="J1513" s="5">
        <v>6.9000000000000006E-2</v>
      </c>
      <c r="K1513" t="s">
        <v>124</v>
      </c>
      <c r="L1513" s="6">
        <v>42767</v>
      </c>
      <c r="M1513">
        <v>2</v>
      </c>
      <c r="N1513" s="7" t="s">
        <v>30</v>
      </c>
      <c r="O1513" t="s">
        <v>31</v>
      </c>
      <c r="P1513" t="s">
        <v>3143</v>
      </c>
      <c r="Q1513" t="s">
        <v>3144</v>
      </c>
      <c r="R1513" t="s">
        <v>3145</v>
      </c>
    </row>
    <row r="1514" spans="1:18" hidden="1">
      <c r="A1514">
        <v>4</v>
      </c>
      <c r="B1514" s="4" t="s">
        <v>3127</v>
      </c>
      <c r="C1514" s="4" t="s">
        <v>3128</v>
      </c>
      <c r="D1514" s="4" t="s">
        <v>3247</v>
      </c>
      <c r="E1514" s="4" t="s">
        <v>5804</v>
      </c>
      <c r="F1514" t="s">
        <v>571</v>
      </c>
      <c r="G1514" t="s">
        <v>3142</v>
      </c>
      <c r="H1514" t="s">
        <v>21</v>
      </c>
      <c r="I1514">
        <v>4</v>
      </c>
      <c r="J1514" s="5">
        <v>6.9000000000000006E-2</v>
      </c>
      <c r="K1514" t="s">
        <v>220</v>
      </c>
      <c r="L1514" s="6">
        <v>42644</v>
      </c>
      <c r="M1514">
        <v>10</v>
      </c>
      <c r="N1514" s="7" t="s">
        <v>23</v>
      </c>
      <c r="O1514" t="s">
        <v>31</v>
      </c>
      <c r="P1514" t="s">
        <v>3282</v>
      </c>
      <c r="Q1514" t="s">
        <v>3283</v>
      </c>
      <c r="R1514" t="s">
        <v>3145</v>
      </c>
    </row>
    <row r="1515" spans="1:18" hidden="1">
      <c r="A1515">
        <v>4</v>
      </c>
      <c r="B1515" s="4" t="s">
        <v>3127</v>
      </c>
      <c r="C1515" s="4" t="s">
        <v>3128</v>
      </c>
      <c r="D1515" s="4" t="s">
        <v>3247</v>
      </c>
      <c r="E1515" s="4" t="s">
        <v>5804</v>
      </c>
      <c r="F1515" t="s">
        <v>571</v>
      </c>
      <c r="G1515" t="s">
        <v>3142</v>
      </c>
      <c r="H1515" t="s">
        <v>21</v>
      </c>
      <c r="I1515">
        <v>4</v>
      </c>
      <c r="J1515" s="5">
        <v>6.9000000000000006E-2</v>
      </c>
      <c r="K1515" t="s">
        <v>83</v>
      </c>
      <c r="L1515" s="6">
        <v>42948</v>
      </c>
      <c r="M1515">
        <v>8</v>
      </c>
      <c r="N1515" s="7" t="s">
        <v>55</v>
      </c>
      <c r="O1515" t="s">
        <v>31</v>
      </c>
      <c r="P1515" t="s">
        <v>3308</v>
      </c>
      <c r="Q1515" t="s">
        <v>3283</v>
      </c>
      <c r="R1515" t="s">
        <v>3145</v>
      </c>
    </row>
    <row r="1516" spans="1:18" hidden="1">
      <c r="A1516">
        <v>4</v>
      </c>
      <c r="B1516" s="4" t="s">
        <v>3127</v>
      </c>
      <c r="C1516" s="4" t="s">
        <v>3128</v>
      </c>
      <c r="D1516" s="4" t="s">
        <v>3247</v>
      </c>
      <c r="E1516" s="4" t="s">
        <v>5804</v>
      </c>
      <c r="F1516" t="s">
        <v>571</v>
      </c>
      <c r="G1516" t="s">
        <v>3142</v>
      </c>
      <c r="H1516" t="s">
        <v>21</v>
      </c>
      <c r="I1516">
        <v>4</v>
      </c>
      <c r="J1516" s="5">
        <v>6.9000000000000006E-2</v>
      </c>
      <c r="K1516" t="s">
        <v>85</v>
      </c>
      <c r="L1516" s="6">
        <v>43009</v>
      </c>
      <c r="M1516">
        <v>10</v>
      </c>
      <c r="N1516" s="7" t="s">
        <v>23</v>
      </c>
      <c r="O1516" t="s">
        <v>31</v>
      </c>
      <c r="P1516" t="s">
        <v>3310</v>
      </c>
      <c r="Q1516" t="s">
        <v>3283</v>
      </c>
      <c r="R1516" t="s">
        <v>3145</v>
      </c>
    </row>
    <row r="1517" spans="1:18" hidden="1">
      <c r="A1517">
        <v>4</v>
      </c>
      <c r="B1517" s="4" t="s">
        <v>3127</v>
      </c>
      <c r="C1517" s="4" t="s">
        <v>3128</v>
      </c>
      <c r="D1517" s="4" t="s">
        <v>3247</v>
      </c>
      <c r="E1517" s="4" t="s">
        <v>5804</v>
      </c>
      <c r="F1517" t="s">
        <v>571</v>
      </c>
      <c r="G1517" t="s">
        <v>3142</v>
      </c>
      <c r="H1517" t="s">
        <v>21</v>
      </c>
      <c r="I1517">
        <v>4</v>
      </c>
      <c r="J1517" s="5">
        <v>6.9000000000000006E-2</v>
      </c>
      <c r="K1517" t="s">
        <v>87</v>
      </c>
      <c r="L1517" s="6">
        <v>43040</v>
      </c>
      <c r="M1517">
        <v>11</v>
      </c>
      <c r="N1517" s="7" t="s">
        <v>23</v>
      </c>
      <c r="O1517" t="s">
        <v>31</v>
      </c>
      <c r="P1517" t="s">
        <v>3311</v>
      </c>
      <c r="Q1517" t="s">
        <v>3312</v>
      </c>
      <c r="R1517" t="s">
        <v>3313</v>
      </c>
    </row>
    <row r="1518" spans="1:18" hidden="1">
      <c r="A1518">
        <v>4</v>
      </c>
      <c r="B1518" s="4" t="s">
        <v>3127</v>
      </c>
      <c r="C1518" s="4" t="s">
        <v>3128</v>
      </c>
      <c r="D1518" s="4" t="s">
        <v>3247</v>
      </c>
      <c r="E1518" s="4" t="s">
        <v>5804</v>
      </c>
      <c r="F1518" t="s">
        <v>571</v>
      </c>
      <c r="G1518" t="s">
        <v>3142</v>
      </c>
      <c r="H1518" t="s">
        <v>21</v>
      </c>
      <c r="I1518">
        <v>4</v>
      </c>
      <c r="J1518" s="5">
        <v>6.9000000000000006E-2</v>
      </c>
      <c r="K1518" t="s">
        <v>142</v>
      </c>
      <c r="L1518" s="6">
        <v>43101</v>
      </c>
      <c r="M1518">
        <v>1</v>
      </c>
      <c r="N1518" s="7" t="s">
        <v>30</v>
      </c>
      <c r="O1518" t="s">
        <v>31</v>
      </c>
      <c r="P1518" t="s">
        <v>3322</v>
      </c>
      <c r="Q1518" t="s">
        <v>3283</v>
      </c>
      <c r="R1518" t="s">
        <v>3145</v>
      </c>
    </row>
    <row r="1519" spans="1:18" hidden="1">
      <c r="A1519">
        <v>4</v>
      </c>
      <c r="B1519" s="4" t="s">
        <v>3127</v>
      </c>
      <c r="C1519" s="4" t="s">
        <v>3128</v>
      </c>
      <c r="D1519" s="4" t="s">
        <v>3247</v>
      </c>
      <c r="E1519" s="4" t="s">
        <v>5804</v>
      </c>
      <c r="F1519" t="s">
        <v>571</v>
      </c>
      <c r="G1519" t="s">
        <v>3142</v>
      </c>
      <c r="H1519" t="s">
        <v>21</v>
      </c>
      <c r="I1519">
        <v>4</v>
      </c>
      <c r="J1519" s="5">
        <v>6.9000000000000006E-2</v>
      </c>
      <c r="K1519" t="s">
        <v>295</v>
      </c>
      <c r="L1519" s="6">
        <v>43221</v>
      </c>
      <c r="M1519">
        <v>5</v>
      </c>
      <c r="N1519" s="7" t="s">
        <v>23</v>
      </c>
      <c r="O1519" t="s">
        <v>31</v>
      </c>
      <c r="P1519" t="s">
        <v>3334</v>
      </c>
      <c r="Q1519" t="s">
        <v>3283</v>
      </c>
      <c r="R1519" t="s">
        <v>3145</v>
      </c>
    </row>
    <row r="1520" spans="1:18" hidden="1">
      <c r="A1520">
        <v>4</v>
      </c>
      <c r="B1520" s="4" t="s">
        <v>3127</v>
      </c>
      <c r="C1520" s="4" t="s">
        <v>3128</v>
      </c>
      <c r="D1520" s="4" t="s">
        <v>3247</v>
      </c>
      <c r="E1520" s="4" t="s">
        <v>5804</v>
      </c>
      <c r="F1520" t="s">
        <v>571</v>
      </c>
      <c r="G1520" t="s">
        <v>3142</v>
      </c>
      <c r="H1520" t="s">
        <v>21</v>
      </c>
      <c r="I1520">
        <v>4</v>
      </c>
      <c r="J1520" s="5">
        <v>6.9000000000000006E-2</v>
      </c>
      <c r="K1520" t="s">
        <v>295</v>
      </c>
      <c r="L1520" s="6">
        <v>43221</v>
      </c>
      <c r="M1520">
        <v>5</v>
      </c>
      <c r="N1520" s="7" t="s">
        <v>23</v>
      </c>
      <c r="O1520" t="s">
        <v>31</v>
      </c>
      <c r="P1520" t="s">
        <v>3335</v>
      </c>
      <c r="Q1520" t="s">
        <v>3283</v>
      </c>
      <c r="R1520" t="s">
        <v>3145</v>
      </c>
    </row>
    <row r="1521" spans="1:18" hidden="1">
      <c r="A1521">
        <v>4</v>
      </c>
      <c r="B1521" s="4" t="s">
        <v>3127</v>
      </c>
      <c r="C1521" s="4" t="s">
        <v>3128</v>
      </c>
      <c r="D1521" s="4" t="s">
        <v>3247</v>
      </c>
      <c r="E1521" s="4" t="s">
        <v>5804</v>
      </c>
      <c r="F1521" t="s">
        <v>571</v>
      </c>
      <c r="G1521" t="s">
        <v>3142</v>
      </c>
      <c r="H1521" t="s">
        <v>21</v>
      </c>
      <c r="I1521">
        <v>4</v>
      </c>
      <c r="J1521" s="5">
        <v>6.9000000000000006E-2</v>
      </c>
      <c r="K1521" t="s">
        <v>104</v>
      </c>
      <c r="L1521" s="6">
        <v>44317</v>
      </c>
      <c r="M1521">
        <v>5</v>
      </c>
      <c r="N1521" s="7" t="s">
        <v>23</v>
      </c>
      <c r="O1521" t="s">
        <v>31</v>
      </c>
      <c r="P1521" t="s">
        <v>3368</v>
      </c>
      <c r="Q1521" t="s">
        <v>3283</v>
      </c>
      <c r="R1521" t="s">
        <v>3145</v>
      </c>
    </row>
    <row r="1522" spans="1:18" hidden="1">
      <c r="A1522">
        <v>4</v>
      </c>
      <c r="B1522" s="4" t="s">
        <v>3127</v>
      </c>
      <c r="C1522" s="4" t="s">
        <v>3128</v>
      </c>
      <c r="D1522" s="4" t="s">
        <v>3247</v>
      </c>
      <c r="E1522" s="4" t="s">
        <v>5804</v>
      </c>
      <c r="F1522" t="s">
        <v>571</v>
      </c>
      <c r="G1522" t="s">
        <v>3142</v>
      </c>
      <c r="H1522" t="s">
        <v>21</v>
      </c>
      <c r="I1522">
        <v>4</v>
      </c>
      <c r="J1522" s="5">
        <v>6.9000000000000006E-2</v>
      </c>
      <c r="K1522" t="s">
        <v>645</v>
      </c>
      <c r="L1522" s="6">
        <v>44440</v>
      </c>
      <c r="M1522">
        <v>9</v>
      </c>
      <c r="N1522" s="7" t="s">
        <v>23</v>
      </c>
      <c r="O1522" t="s">
        <v>31</v>
      </c>
      <c r="P1522" t="s">
        <v>3370</v>
      </c>
      <c r="Q1522" t="s">
        <v>3283</v>
      </c>
      <c r="R1522" t="s">
        <v>3145</v>
      </c>
    </row>
    <row r="1523" spans="1:18" hidden="1">
      <c r="A1523">
        <v>4</v>
      </c>
      <c r="B1523" s="4" t="s">
        <v>3127</v>
      </c>
      <c r="C1523" s="4" t="s">
        <v>3506</v>
      </c>
      <c r="D1523" s="4" t="s">
        <v>3572</v>
      </c>
      <c r="E1523" s="4" t="s">
        <v>5804</v>
      </c>
      <c r="F1523" t="s">
        <v>571</v>
      </c>
      <c r="G1523" t="s">
        <v>3142</v>
      </c>
      <c r="H1523" t="s">
        <v>21</v>
      </c>
      <c r="I1523">
        <v>4</v>
      </c>
      <c r="J1523" s="5">
        <v>6.9000000000000006E-2</v>
      </c>
      <c r="K1523" t="s">
        <v>83</v>
      </c>
      <c r="L1523" s="6">
        <v>42948</v>
      </c>
      <c r="M1523">
        <v>8</v>
      </c>
      <c r="N1523" s="7" t="s">
        <v>55</v>
      </c>
      <c r="O1523" t="s">
        <v>31</v>
      </c>
      <c r="P1523" t="s">
        <v>3581</v>
      </c>
      <c r="Q1523" t="s">
        <v>3582</v>
      </c>
      <c r="R1523" t="s">
        <v>3583</v>
      </c>
    </row>
    <row r="1524" spans="1:18" hidden="1">
      <c r="A1524">
        <v>4</v>
      </c>
      <c r="B1524" s="4" t="s">
        <v>3127</v>
      </c>
      <c r="C1524" s="4" t="s">
        <v>3597</v>
      </c>
      <c r="D1524" s="4" t="s">
        <v>3617</v>
      </c>
      <c r="E1524" s="4" t="s">
        <v>5804</v>
      </c>
      <c r="F1524" t="s">
        <v>571</v>
      </c>
      <c r="G1524" t="s">
        <v>3142</v>
      </c>
      <c r="H1524" t="s">
        <v>21</v>
      </c>
      <c r="I1524">
        <v>4</v>
      </c>
      <c r="J1524" s="5">
        <v>6.9000000000000006E-2</v>
      </c>
      <c r="K1524" t="s">
        <v>119</v>
      </c>
      <c r="L1524" s="6">
        <v>42552</v>
      </c>
      <c r="M1524">
        <v>7</v>
      </c>
      <c r="N1524" s="7" t="s">
        <v>55</v>
      </c>
      <c r="O1524" t="s">
        <v>31</v>
      </c>
      <c r="P1524" t="s">
        <v>3618</v>
      </c>
      <c r="Q1524" t="s">
        <v>3619</v>
      </c>
      <c r="R1524" t="s">
        <v>3145</v>
      </c>
    </row>
    <row r="1525" spans="1:18" hidden="1">
      <c r="A1525">
        <v>4</v>
      </c>
      <c r="B1525" s="4" t="s">
        <v>3127</v>
      </c>
      <c r="C1525" s="4" t="s">
        <v>3789</v>
      </c>
      <c r="D1525" s="4" t="s">
        <v>3815</v>
      </c>
      <c r="E1525" s="4" t="s">
        <v>5804</v>
      </c>
      <c r="F1525" t="s">
        <v>571</v>
      </c>
      <c r="G1525" t="s">
        <v>3142</v>
      </c>
      <c r="H1525" t="s">
        <v>21</v>
      </c>
      <c r="I1525">
        <v>4</v>
      </c>
      <c r="J1525" s="5">
        <v>6.9000000000000006E-2</v>
      </c>
      <c r="K1525" t="s">
        <v>119</v>
      </c>
      <c r="L1525" s="6">
        <v>42552</v>
      </c>
      <c r="M1525">
        <v>7</v>
      </c>
      <c r="N1525" s="7" t="s">
        <v>55</v>
      </c>
      <c r="O1525" t="s">
        <v>31</v>
      </c>
      <c r="P1525" t="s">
        <v>3834</v>
      </c>
      <c r="Q1525" t="s">
        <v>3835</v>
      </c>
      <c r="R1525" t="s">
        <v>3836</v>
      </c>
    </row>
    <row r="1526" spans="1:18" hidden="1">
      <c r="A1526">
        <v>4</v>
      </c>
      <c r="B1526" s="4" t="s">
        <v>3127</v>
      </c>
      <c r="C1526" s="4" t="s">
        <v>4035</v>
      </c>
      <c r="D1526" s="4" t="s">
        <v>4080</v>
      </c>
      <c r="E1526" s="4" t="s">
        <v>5804</v>
      </c>
      <c r="F1526" t="s">
        <v>571</v>
      </c>
      <c r="G1526" t="s">
        <v>3142</v>
      </c>
      <c r="H1526" t="s">
        <v>21</v>
      </c>
      <c r="I1526">
        <v>4</v>
      </c>
      <c r="J1526" s="5">
        <v>6.9000000000000006E-2</v>
      </c>
      <c r="K1526" t="s">
        <v>234</v>
      </c>
      <c r="L1526" s="6">
        <v>42826</v>
      </c>
      <c r="M1526">
        <v>4</v>
      </c>
      <c r="N1526" s="7" t="s">
        <v>23</v>
      </c>
      <c r="O1526" t="s">
        <v>31</v>
      </c>
      <c r="P1526" t="s">
        <v>4102</v>
      </c>
      <c r="Q1526" t="s">
        <v>4103</v>
      </c>
      <c r="R1526" t="s">
        <v>4104</v>
      </c>
    </row>
    <row r="1527" spans="1:18" hidden="1">
      <c r="A1527">
        <v>4</v>
      </c>
      <c r="B1527" s="4" t="s">
        <v>3127</v>
      </c>
      <c r="C1527" s="4" t="s">
        <v>4035</v>
      </c>
      <c r="D1527" s="4" t="s">
        <v>4080</v>
      </c>
      <c r="E1527" s="4" t="s">
        <v>5804</v>
      </c>
      <c r="F1527" t="s">
        <v>571</v>
      </c>
      <c r="G1527" t="s">
        <v>3142</v>
      </c>
      <c r="H1527" t="s">
        <v>21</v>
      </c>
      <c r="I1527">
        <v>4</v>
      </c>
      <c r="J1527" s="5">
        <v>6.9000000000000006E-2</v>
      </c>
      <c r="K1527" t="s">
        <v>311</v>
      </c>
      <c r="L1527" s="6">
        <v>44256</v>
      </c>
      <c r="M1527">
        <v>3</v>
      </c>
      <c r="N1527" s="7" t="s">
        <v>23</v>
      </c>
      <c r="O1527" t="s">
        <v>31</v>
      </c>
      <c r="P1527" t="s">
        <v>4197</v>
      </c>
      <c r="Q1527" t="s">
        <v>4103</v>
      </c>
      <c r="R1527" t="s">
        <v>4104</v>
      </c>
    </row>
    <row r="1528" spans="1:18" hidden="1">
      <c r="A1528">
        <v>5</v>
      </c>
      <c r="B1528" s="4" t="s">
        <v>4600</v>
      </c>
      <c r="C1528" s="4" t="s">
        <v>4601</v>
      </c>
      <c r="D1528" s="4" t="s">
        <v>4635</v>
      </c>
      <c r="E1528" s="4" t="s">
        <v>5804</v>
      </c>
      <c r="F1528" t="s">
        <v>571</v>
      </c>
      <c r="G1528" t="s">
        <v>3142</v>
      </c>
      <c r="H1528" t="s">
        <v>21</v>
      </c>
      <c r="I1528">
        <v>4</v>
      </c>
      <c r="J1528" s="5">
        <v>6.9000000000000006E-2</v>
      </c>
      <c r="K1528" t="s">
        <v>29</v>
      </c>
      <c r="L1528" s="6">
        <v>43070</v>
      </c>
      <c r="M1528">
        <v>12</v>
      </c>
      <c r="N1528" s="7" t="s">
        <v>30</v>
      </c>
      <c r="O1528" t="s">
        <v>31</v>
      </c>
      <c r="P1528" t="s">
        <v>4669</v>
      </c>
      <c r="Q1528" t="s">
        <v>4670</v>
      </c>
      <c r="R1528" t="s">
        <v>4671</v>
      </c>
    </row>
    <row r="1529" spans="1:18" hidden="1">
      <c r="A1529">
        <v>5</v>
      </c>
      <c r="B1529" s="4" t="s">
        <v>4600</v>
      </c>
      <c r="C1529" s="4" t="s">
        <v>4933</v>
      </c>
      <c r="D1529" s="4" t="s">
        <v>5014</v>
      </c>
      <c r="E1529" s="4" t="s">
        <v>5804</v>
      </c>
      <c r="F1529" t="s">
        <v>571</v>
      </c>
      <c r="G1529" t="s">
        <v>3142</v>
      </c>
      <c r="H1529" t="s">
        <v>21</v>
      </c>
      <c r="I1529">
        <v>4</v>
      </c>
      <c r="J1529" s="5">
        <v>6.9000000000000006E-2</v>
      </c>
      <c r="K1529" t="s">
        <v>701</v>
      </c>
      <c r="L1529" s="6">
        <v>42491</v>
      </c>
      <c r="M1529">
        <v>5</v>
      </c>
      <c r="N1529" s="7" t="s">
        <v>23</v>
      </c>
      <c r="O1529" t="s">
        <v>31</v>
      </c>
      <c r="P1529" t="s">
        <v>5041</v>
      </c>
      <c r="Q1529" t="s">
        <v>4670</v>
      </c>
      <c r="R1529" t="s">
        <v>4671</v>
      </c>
    </row>
    <row r="1530" spans="1:18" hidden="1">
      <c r="A1530">
        <v>1</v>
      </c>
      <c r="B1530" s="4" t="s">
        <v>16</v>
      </c>
      <c r="C1530" s="4" t="s">
        <v>17</v>
      </c>
      <c r="D1530" s="4" t="s">
        <v>113</v>
      </c>
      <c r="E1530" s="4" t="s">
        <v>5804</v>
      </c>
      <c r="F1530" t="s">
        <v>132</v>
      </c>
      <c r="G1530" t="s">
        <v>132</v>
      </c>
      <c r="H1530" t="s">
        <v>53</v>
      </c>
      <c r="I1530" t="s">
        <v>53</v>
      </c>
      <c r="J1530" s="5" t="s">
        <v>53</v>
      </c>
      <c r="K1530" t="s">
        <v>76</v>
      </c>
      <c r="L1530" s="6">
        <v>42856</v>
      </c>
      <c r="M1530">
        <v>5</v>
      </c>
      <c r="N1530" s="7" t="s">
        <v>23</v>
      </c>
      <c r="O1530" t="s">
        <v>24</v>
      </c>
      <c r="P1530" t="s">
        <v>133</v>
      </c>
      <c r="Q1530" t="s">
        <v>134</v>
      </c>
      <c r="R1530" t="s">
        <v>135</v>
      </c>
    </row>
    <row r="1531" spans="1:18" hidden="1">
      <c r="A1531">
        <v>10</v>
      </c>
      <c r="B1531" s="4" t="s">
        <v>505</v>
      </c>
      <c r="C1531" s="4" t="s">
        <v>523</v>
      </c>
      <c r="D1531" s="4" t="s">
        <v>524</v>
      </c>
      <c r="E1531" s="4" t="s">
        <v>5805</v>
      </c>
      <c r="F1531" t="s">
        <v>132</v>
      </c>
      <c r="G1531" t="s">
        <v>132</v>
      </c>
      <c r="H1531" t="s">
        <v>53</v>
      </c>
      <c r="I1531" t="s">
        <v>53</v>
      </c>
      <c r="J1531" s="5" t="s">
        <v>53</v>
      </c>
      <c r="K1531" t="s">
        <v>65</v>
      </c>
      <c r="L1531" s="6">
        <v>42430</v>
      </c>
      <c r="M1531">
        <v>3</v>
      </c>
      <c r="N1531" s="7" t="s">
        <v>23</v>
      </c>
      <c r="O1531" t="s">
        <v>525</v>
      </c>
      <c r="P1531" t="s">
        <v>526</v>
      </c>
      <c r="Q1531" t="s">
        <v>527</v>
      </c>
      <c r="R1531" t="s">
        <v>528</v>
      </c>
    </row>
    <row r="1532" spans="1:18" hidden="1">
      <c r="A1532">
        <v>10</v>
      </c>
      <c r="B1532" s="4" t="s">
        <v>505</v>
      </c>
      <c r="C1532" s="4" t="s">
        <v>523</v>
      </c>
      <c r="D1532" s="4" t="s">
        <v>524</v>
      </c>
      <c r="E1532" s="4" t="s">
        <v>5805</v>
      </c>
      <c r="F1532" t="s">
        <v>132</v>
      </c>
      <c r="G1532" t="s">
        <v>132</v>
      </c>
      <c r="H1532" t="s">
        <v>53</v>
      </c>
      <c r="I1532" t="s">
        <v>53</v>
      </c>
      <c r="J1532" s="5" t="s">
        <v>53</v>
      </c>
      <c r="K1532" t="s">
        <v>115</v>
      </c>
      <c r="L1532" s="6">
        <v>42461</v>
      </c>
      <c r="M1532">
        <v>4</v>
      </c>
      <c r="N1532" s="7" t="s">
        <v>23</v>
      </c>
      <c r="O1532" t="s">
        <v>525</v>
      </c>
      <c r="P1532" t="s">
        <v>529</v>
      </c>
      <c r="Q1532" t="s">
        <v>527</v>
      </c>
      <c r="R1532" t="s">
        <v>528</v>
      </c>
    </row>
    <row r="1533" spans="1:18" hidden="1">
      <c r="A1533">
        <v>10</v>
      </c>
      <c r="B1533" s="4" t="s">
        <v>505</v>
      </c>
      <c r="C1533" s="4" t="s">
        <v>523</v>
      </c>
      <c r="D1533" s="4" t="s">
        <v>524</v>
      </c>
      <c r="E1533" s="4" t="s">
        <v>5805</v>
      </c>
      <c r="F1533" t="s">
        <v>132</v>
      </c>
      <c r="G1533" t="s">
        <v>132</v>
      </c>
      <c r="H1533" t="s">
        <v>53</v>
      </c>
      <c r="I1533" t="s">
        <v>53</v>
      </c>
      <c r="J1533" s="5" t="s">
        <v>53</v>
      </c>
      <c r="K1533" t="s">
        <v>278</v>
      </c>
      <c r="L1533" s="6">
        <v>42675</v>
      </c>
      <c r="M1533">
        <v>11</v>
      </c>
      <c r="N1533" s="7" t="s">
        <v>23</v>
      </c>
      <c r="O1533" t="s">
        <v>525</v>
      </c>
      <c r="P1533" t="s">
        <v>530</v>
      </c>
      <c r="Q1533" t="s">
        <v>527</v>
      </c>
      <c r="R1533" t="s">
        <v>528</v>
      </c>
    </row>
    <row r="1534" spans="1:18" hidden="1">
      <c r="A1534">
        <v>10</v>
      </c>
      <c r="B1534" s="4" t="s">
        <v>505</v>
      </c>
      <c r="C1534" s="4" t="s">
        <v>523</v>
      </c>
      <c r="D1534" s="4" t="s">
        <v>524</v>
      </c>
      <c r="E1534" s="4" t="s">
        <v>5805</v>
      </c>
      <c r="F1534" t="s">
        <v>132</v>
      </c>
      <c r="G1534" t="s">
        <v>132</v>
      </c>
      <c r="H1534" t="s">
        <v>53</v>
      </c>
      <c r="I1534" t="s">
        <v>53</v>
      </c>
      <c r="J1534" s="5" t="s">
        <v>53</v>
      </c>
      <c r="K1534" t="s">
        <v>477</v>
      </c>
      <c r="L1534" s="6">
        <v>42705</v>
      </c>
      <c r="M1534">
        <v>12</v>
      </c>
      <c r="N1534" s="7" t="s">
        <v>30</v>
      </c>
      <c r="O1534" t="s">
        <v>525</v>
      </c>
      <c r="P1534" t="s">
        <v>531</v>
      </c>
      <c r="Q1534" t="s">
        <v>527</v>
      </c>
      <c r="R1534" t="s">
        <v>528</v>
      </c>
    </row>
    <row r="1535" spans="1:18" hidden="1">
      <c r="A1535">
        <v>10</v>
      </c>
      <c r="B1535" s="4" t="s">
        <v>505</v>
      </c>
      <c r="C1535" s="4" t="s">
        <v>523</v>
      </c>
      <c r="D1535" s="4" t="s">
        <v>524</v>
      </c>
      <c r="E1535" s="4" t="s">
        <v>5805</v>
      </c>
      <c r="F1535" t="s">
        <v>132</v>
      </c>
      <c r="G1535" t="s">
        <v>132</v>
      </c>
      <c r="H1535" t="s">
        <v>53</v>
      </c>
      <c r="I1535" t="s">
        <v>53</v>
      </c>
      <c r="J1535" s="5" t="s">
        <v>53</v>
      </c>
      <c r="K1535" t="s">
        <v>477</v>
      </c>
      <c r="L1535" s="6">
        <v>42705</v>
      </c>
      <c r="M1535">
        <v>12</v>
      </c>
      <c r="N1535" s="7" t="s">
        <v>30</v>
      </c>
      <c r="O1535" t="s">
        <v>525</v>
      </c>
      <c r="P1535" t="s">
        <v>532</v>
      </c>
      <c r="Q1535" t="s">
        <v>527</v>
      </c>
      <c r="R1535" t="s">
        <v>528</v>
      </c>
    </row>
    <row r="1536" spans="1:18" hidden="1">
      <c r="A1536">
        <v>10</v>
      </c>
      <c r="B1536" s="4" t="s">
        <v>505</v>
      </c>
      <c r="C1536" s="4" t="s">
        <v>523</v>
      </c>
      <c r="D1536" s="4" t="s">
        <v>524</v>
      </c>
      <c r="E1536" s="4" t="s">
        <v>5805</v>
      </c>
      <c r="F1536" t="s">
        <v>132</v>
      </c>
      <c r="G1536" t="s">
        <v>132</v>
      </c>
      <c r="H1536" t="s">
        <v>53</v>
      </c>
      <c r="I1536" t="s">
        <v>53</v>
      </c>
      <c r="J1536" s="5" t="s">
        <v>53</v>
      </c>
      <c r="K1536" t="s">
        <v>124</v>
      </c>
      <c r="L1536" s="6">
        <v>42767</v>
      </c>
      <c r="M1536">
        <v>2</v>
      </c>
      <c r="N1536" s="7" t="s">
        <v>30</v>
      </c>
      <c r="O1536" t="s">
        <v>525</v>
      </c>
      <c r="P1536" t="s">
        <v>533</v>
      </c>
      <c r="Q1536" t="s">
        <v>527</v>
      </c>
      <c r="R1536" t="s">
        <v>528</v>
      </c>
    </row>
    <row r="1537" spans="1:18" hidden="1">
      <c r="A1537">
        <v>11</v>
      </c>
      <c r="B1537" s="4" t="s">
        <v>554</v>
      </c>
      <c r="C1537" s="4" t="s">
        <v>696</v>
      </c>
      <c r="D1537" s="4" t="s">
        <v>697</v>
      </c>
      <c r="E1537" s="4" t="s">
        <v>5804</v>
      </c>
      <c r="F1537" t="s">
        <v>132</v>
      </c>
      <c r="G1537" t="s">
        <v>132</v>
      </c>
      <c r="H1537" t="s">
        <v>53</v>
      </c>
      <c r="I1537" t="s">
        <v>53</v>
      </c>
      <c r="J1537" s="5" t="s">
        <v>53</v>
      </c>
      <c r="K1537" t="s">
        <v>278</v>
      </c>
      <c r="L1537" s="6">
        <v>42675</v>
      </c>
      <c r="M1537">
        <v>11</v>
      </c>
      <c r="N1537" s="7" t="s">
        <v>23</v>
      </c>
      <c r="O1537" t="s">
        <v>24</v>
      </c>
      <c r="P1537" t="s">
        <v>708</v>
      </c>
      <c r="Q1537" t="s">
        <v>709</v>
      </c>
      <c r="R1537" t="s">
        <v>710</v>
      </c>
    </row>
    <row r="1538" spans="1:18" hidden="1">
      <c r="A1538">
        <v>11</v>
      </c>
      <c r="B1538" s="4" t="s">
        <v>554</v>
      </c>
      <c r="C1538" s="4" t="s">
        <v>696</v>
      </c>
      <c r="D1538" s="4" t="s">
        <v>697</v>
      </c>
      <c r="E1538" s="4" t="s">
        <v>5804</v>
      </c>
      <c r="F1538" t="s">
        <v>132</v>
      </c>
      <c r="G1538" t="s">
        <v>132</v>
      </c>
      <c r="H1538" t="s">
        <v>53</v>
      </c>
      <c r="I1538" t="s">
        <v>53</v>
      </c>
      <c r="J1538" s="5" t="s">
        <v>53</v>
      </c>
      <c r="K1538" t="s">
        <v>749</v>
      </c>
      <c r="L1538" s="6">
        <v>44136</v>
      </c>
      <c r="M1538">
        <v>11</v>
      </c>
      <c r="N1538" s="7" t="s">
        <v>23</v>
      </c>
      <c r="O1538" t="s">
        <v>31</v>
      </c>
      <c r="P1538" t="s">
        <v>750</v>
      </c>
      <c r="Q1538" t="s">
        <v>751</v>
      </c>
      <c r="R1538" t="s">
        <v>752</v>
      </c>
    </row>
    <row r="1539" spans="1:18" hidden="1">
      <c r="A1539">
        <v>11</v>
      </c>
      <c r="B1539" s="4" t="s">
        <v>554</v>
      </c>
      <c r="C1539" s="4" t="s">
        <v>696</v>
      </c>
      <c r="D1539" s="4" t="s">
        <v>759</v>
      </c>
      <c r="E1539" s="4" t="s">
        <v>5804</v>
      </c>
      <c r="F1539" t="s">
        <v>132</v>
      </c>
      <c r="G1539" t="s">
        <v>132</v>
      </c>
      <c r="H1539" t="s">
        <v>53</v>
      </c>
      <c r="I1539" t="s">
        <v>53</v>
      </c>
      <c r="J1539" s="5" t="s">
        <v>53</v>
      </c>
      <c r="K1539" t="s">
        <v>251</v>
      </c>
      <c r="L1539" s="6">
        <v>43952</v>
      </c>
      <c r="M1539">
        <v>5</v>
      </c>
      <c r="N1539" s="7" t="s">
        <v>23</v>
      </c>
      <c r="O1539" t="s">
        <v>72</v>
      </c>
      <c r="P1539" t="s">
        <v>854</v>
      </c>
      <c r="Q1539" t="s">
        <v>855</v>
      </c>
      <c r="R1539" t="s">
        <v>856</v>
      </c>
    </row>
    <row r="1540" spans="1:18" hidden="1">
      <c r="A1540">
        <v>11</v>
      </c>
      <c r="B1540" s="4" t="s">
        <v>554</v>
      </c>
      <c r="C1540" s="4" t="s">
        <v>696</v>
      </c>
      <c r="D1540" s="4" t="s">
        <v>759</v>
      </c>
      <c r="E1540" s="4" t="s">
        <v>5804</v>
      </c>
      <c r="F1540" t="s">
        <v>132</v>
      </c>
      <c r="G1540" t="s">
        <v>132</v>
      </c>
      <c r="H1540" t="s">
        <v>53</v>
      </c>
      <c r="I1540" t="s">
        <v>53</v>
      </c>
      <c r="J1540" s="5" t="s">
        <v>53</v>
      </c>
      <c r="K1540" t="s">
        <v>547</v>
      </c>
      <c r="L1540" s="6">
        <v>44075</v>
      </c>
      <c r="M1540">
        <v>9</v>
      </c>
      <c r="N1540" s="7" t="s">
        <v>23</v>
      </c>
      <c r="O1540" t="s">
        <v>864</v>
      </c>
      <c r="P1540" t="s">
        <v>865</v>
      </c>
      <c r="Q1540" t="s">
        <v>866</v>
      </c>
      <c r="R1540" t="s">
        <v>867</v>
      </c>
    </row>
    <row r="1541" spans="1:18" hidden="1">
      <c r="A1541">
        <v>11</v>
      </c>
      <c r="B1541" s="4" t="s">
        <v>554</v>
      </c>
      <c r="C1541" s="4" t="s">
        <v>696</v>
      </c>
      <c r="D1541" s="4" t="s">
        <v>759</v>
      </c>
      <c r="E1541" s="4" t="s">
        <v>5804</v>
      </c>
      <c r="F1541" t="s">
        <v>132</v>
      </c>
      <c r="G1541" t="s">
        <v>132</v>
      </c>
      <c r="H1541" t="s">
        <v>53</v>
      </c>
      <c r="I1541" t="s">
        <v>53</v>
      </c>
      <c r="J1541" s="5" t="s">
        <v>53</v>
      </c>
      <c r="K1541" t="s">
        <v>753</v>
      </c>
      <c r="L1541" s="6">
        <v>44348</v>
      </c>
      <c r="M1541">
        <v>6</v>
      </c>
      <c r="N1541" s="7" t="s">
        <v>55</v>
      </c>
      <c r="O1541" t="s">
        <v>864</v>
      </c>
      <c r="P1541" t="s">
        <v>887</v>
      </c>
      <c r="Q1541" t="s">
        <v>888</v>
      </c>
      <c r="R1541" t="s">
        <v>889</v>
      </c>
    </row>
    <row r="1542" spans="1:18" hidden="1">
      <c r="A1542">
        <v>11</v>
      </c>
      <c r="B1542" s="4" t="s">
        <v>554</v>
      </c>
      <c r="C1542" s="4" t="s">
        <v>696</v>
      </c>
      <c r="D1542" s="4" t="s">
        <v>759</v>
      </c>
      <c r="E1542" s="4" t="s">
        <v>5804</v>
      </c>
      <c r="F1542" t="s">
        <v>132</v>
      </c>
      <c r="G1542" t="s">
        <v>132</v>
      </c>
      <c r="H1542" t="s">
        <v>53</v>
      </c>
      <c r="I1542" t="s">
        <v>53</v>
      </c>
      <c r="J1542" s="5" t="s">
        <v>53</v>
      </c>
      <c r="K1542" t="s">
        <v>645</v>
      </c>
      <c r="L1542" s="6">
        <v>44440</v>
      </c>
      <c r="M1542">
        <v>9</v>
      </c>
      <c r="N1542" s="7" t="s">
        <v>23</v>
      </c>
      <c r="O1542" t="s">
        <v>31</v>
      </c>
      <c r="P1542" t="s">
        <v>892</v>
      </c>
      <c r="Q1542" t="s">
        <v>893</v>
      </c>
      <c r="R1542" t="s">
        <v>856</v>
      </c>
    </row>
    <row r="1543" spans="1:18" hidden="1">
      <c r="A1543">
        <v>12</v>
      </c>
      <c r="B1543" s="4" t="s">
        <v>901</v>
      </c>
      <c r="C1543" s="4" t="s">
        <v>1414</v>
      </c>
      <c r="D1543" s="4" t="s">
        <v>1420</v>
      </c>
      <c r="E1543" s="4" t="s">
        <v>5804</v>
      </c>
      <c r="F1543" t="s">
        <v>132</v>
      </c>
      <c r="G1543" t="s">
        <v>132</v>
      </c>
      <c r="H1543" t="s">
        <v>53</v>
      </c>
      <c r="I1543" t="s">
        <v>53</v>
      </c>
      <c r="J1543" s="5" t="s">
        <v>53</v>
      </c>
      <c r="K1543" t="s">
        <v>304</v>
      </c>
      <c r="L1543" s="6">
        <v>43647</v>
      </c>
      <c r="M1543">
        <v>7</v>
      </c>
      <c r="N1543" s="7" t="s">
        <v>55</v>
      </c>
      <c r="O1543" t="s">
        <v>864</v>
      </c>
      <c r="P1543" t="s">
        <v>1424</v>
      </c>
      <c r="Q1543" t="s">
        <v>1425</v>
      </c>
      <c r="R1543" t="s">
        <v>1426</v>
      </c>
    </row>
    <row r="1544" spans="1:18" hidden="1">
      <c r="A1544">
        <v>12</v>
      </c>
      <c r="B1544" s="4" t="s">
        <v>901</v>
      </c>
      <c r="C1544" s="4" t="s">
        <v>1672</v>
      </c>
      <c r="D1544" s="4" t="s">
        <v>1673</v>
      </c>
      <c r="E1544" s="4" t="s">
        <v>5804</v>
      </c>
      <c r="F1544" t="s">
        <v>132</v>
      </c>
      <c r="G1544" t="s">
        <v>132</v>
      </c>
      <c r="H1544" t="s">
        <v>53</v>
      </c>
      <c r="I1544" t="s">
        <v>53</v>
      </c>
      <c r="J1544" s="5" t="s">
        <v>53</v>
      </c>
      <c r="K1544" t="s">
        <v>80</v>
      </c>
      <c r="L1544" s="6">
        <v>42917</v>
      </c>
      <c r="M1544">
        <v>7</v>
      </c>
      <c r="N1544" s="7" t="s">
        <v>55</v>
      </c>
      <c r="O1544" t="s">
        <v>864</v>
      </c>
      <c r="P1544" t="s">
        <v>1761</v>
      </c>
      <c r="Q1544" t="s">
        <v>1762</v>
      </c>
      <c r="R1544" t="s">
        <v>1763</v>
      </c>
    </row>
    <row r="1545" spans="1:18" hidden="1">
      <c r="A1545">
        <v>12</v>
      </c>
      <c r="B1545" s="4" t="s">
        <v>901</v>
      </c>
      <c r="C1545" s="4" t="s">
        <v>1672</v>
      </c>
      <c r="D1545" s="4" t="s">
        <v>1673</v>
      </c>
      <c r="E1545" s="4" t="s">
        <v>5804</v>
      </c>
      <c r="F1545" t="s">
        <v>132</v>
      </c>
      <c r="G1545" t="s">
        <v>132</v>
      </c>
      <c r="H1545" t="s">
        <v>53</v>
      </c>
      <c r="I1545" t="s">
        <v>53</v>
      </c>
      <c r="J1545" s="5" t="s">
        <v>53</v>
      </c>
      <c r="K1545" t="s">
        <v>85</v>
      </c>
      <c r="L1545" s="6">
        <v>43009</v>
      </c>
      <c r="M1545">
        <v>10</v>
      </c>
      <c r="N1545" s="7" t="s">
        <v>23</v>
      </c>
      <c r="O1545" t="s">
        <v>864</v>
      </c>
      <c r="P1545" t="s">
        <v>1781</v>
      </c>
      <c r="Q1545" t="s">
        <v>1762</v>
      </c>
      <c r="R1545" t="s">
        <v>1763</v>
      </c>
    </row>
    <row r="1546" spans="1:18" hidden="1">
      <c r="A1546">
        <v>4</v>
      </c>
      <c r="B1546" s="4" t="s">
        <v>3127</v>
      </c>
      <c r="C1546" s="4" t="s">
        <v>3128</v>
      </c>
      <c r="D1546" s="4" t="s">
        <v>3247</v>
      </c>
      <c r="E1546" s="4" t="s">
        <v>5804</v>
      </c>
      <c r="F1546" t="s">
        <v>132</v>
      </c>
      <c r="G1546" t="s">
        <v>132</v>
      </c>
      <c r="H1546" t="s">
        <v>53</v>
      </c>
      <c r="I1546" t="s">
        <v>53</v>
      </c>
      <c r="J1546" s="5" t="s">
        <v>53</v>
      </c>
      <c r="K1546" t="s">
        <v>71</v>
      </c>
      <c r="L1546" s="6">
        <v>42522</v>
      </c>
      <c r="M1546">
        <v>6</v>
      </c>
      <c r="N1546" s="7" t="s">
        <v>55</v>
      </c>
      <c r="O1546" t="s">
        <v>864</v>
      </c>
      <c r="P1546" t="s">
        <v>3271</v>
      </c>
      <c r="Q1546" t="s">
        <v>3272</v>
      </c>
      <c r="R1546" t="s">
        <v>3273</v>
      </c>
    </row>
    <row r="1547" spans="1:18" hidden="1">
      <c r="A1547">
        <v>5</v>
      </c>
      <c r="B1547" s="4" t="s">
        <v>4600</v>
      </c>
      <c r="C1547" s="4" t="s">
        <v>4933</v>
      </c>
      <c r="D1547" s="4" t="s">
        <v>5014</v>
      </c>
      <c r="E1547" s="4" t="s">
        <v>5804</v>
      </c>
      <c r="F1547" t="s">
        <v>132</v>
      </c>
      <c r="G1547" t="s">
        <v>132</v>
      </c>
      <c r="H1547" t="s">
        <v>53</v>
      </c>
      <c r="I1547" t="s">
        <v>53</v>
      </c>
      <c r="J1547" s="5" t="s">
        <v>53</v>
      </c>
      <c r="K1547" t="s">
        <v>85</v>
      </c>
      <c r="L1547" s="6">
        <v>43009</v>
      </c>
      <c r="M1547">
        <v>10</v>
      </c>
      <c r="N1547" s="7" t="s">
        <v>23</v>
      </c>
      <c r="O1547" t="s">
        <v>31</v>
      </c>
      <c r="P1547" t="s">
        <v>5148</v>
      </c>
      <c r="Q1547" t="s">
        <v>5149</v>
      </c>
      <c r="R1547" t="s">
        <v>5150</v>
      </c>
    </row>
    <row r="1548" spans="1:18" hidden="1">
      <c r="A1548">
        <v>5</v>
      </c>
      <c r="B1548" s="4" t="s">
        <v>4600</v>
      </c>
      <c r="C1548" s="4" t="s">
        <v>4933</v>
      </c>
      <c r="D1548" s="4" t="s">
        <v>5014</v>
      </c>
      <c r="E1548" s="4" t="s">
        <v>5804</v>
      </c>
      <c r="F1548" t="s">
        <v>132</v>
      </c>
      <c r="G1548" t="s">
        <v>132</v>
      </c>
      <c r="H1548" t="s">
        <v>53</v>
      </c>
      <c r="I1548" t="s">
        <v>53</v>
      </c>
      <c r="J1548" s="5" t="s">
        <v>53</v>
      </c>
      <c r="K1548" t="s">
        <v>654</v>
      </c>
      <c r="L1548" s="6">
        <v>43556</v>
      </c>
      <c r="M1548">
        <v>4</v>
      </c>
      <c r="N1548" s="7" t="s">
        <v>23</v>
      </c>
      <c r="O1548" t="s">
        <v>5217</v>
      </c>
      <c r="P1548" t="s">
        <v>5257</v>
      </c>
      <c r="Q1548" t="s">
        <v>5258</v>
      </c>
      <c r="R1548" t="s">
        <v>5259</v>
      </c>
    </row>
    <row r="1549" spans="1:18" hidden="1">
      <c r="A1549">
        <v>11</v>
      </c>
      <c r="B1549" s="4" t="s">
        <v>554</v>
      </c>
      <c r="C1549" s="4" t="s">
        <v>696</v>
      </c>
      <c r="D1549" s="4" t="s">
        <v>759</v>
      </c>
      <c r="E1549" s="4" t="s">
        <v>5804</v>
      </c>
      <c r="F1549" t="s">
        <v>851</v>
      </c>
      <c r="G1549" t="s">
        <v>851</v>
      </c>
      <c r="H1549" t="s">
        <v>53</v>
      </c>
      <c r="I1549" t="s">
        <v>53</v>
      </c>
      <c r="J1549" s="5" t="s">
        <v>53</v>
      </c>
      <c r="K1549" t="s">
        <v>251</v>
      </c>
      <c r="L1549" s="6">
        <v>43952</v>
      </c>
      <c r="M1549">
        <v>5</v>
      </c>
      <c r="N1549" s="7" t="s">
        <v>23</v>
      </c>
      <c r="O1549" t="s">
        <v>31</v>
      </c>
      <c r="P1549" t="s">
        <v>852</v>
      </c>
      <c r="Q1549" t="s">
        <v>853</v>
      </c>
      <c r="R1549" t="s">
        <v>564</v>
      </c>
    </row>
    <row r="1550" spans="1:18" hidden="1">
      <c r="A1550">
        <v>12</v>
      </c>
      <c r="B1550" s="4" t="s">
        <v>901</v>
      </c>
      <c r="C1550" s="4" t="s">
        <v>902</v>
      </c>
      <c r="D1550" s="4" t="s">
        <v>903</v>
      </c>
      <c r="E1550" s="4" t="s">
        <v>5804</v>
      </c>
      <c r="F1550" t="s">
        <v>851</v>
      </c>
      <c r="G1550" t="s">
        <v>851</v>
      </c>
      <c r="H1550" t="s">
        <v>53</v>
      </c>
      <c r="I1550" t="s">
        <v>53</v>
      </c>
      <c r="J1550" s="5" t="s">
        <v>53</v>
      </c>
      <c r="K1550" t="s">
        <v>1012</v>
      </c>
      <c r="L1550" s="6">
        <v>43132</v>
      </c>
      <c r="M1550">
        <v>2</v>
      </c>
      <c r="N1550" s="7" t="s">
        <v>30</v>
      </c>
      <c r="O1550" t="s">
        <v>31</v>
      </c>
      <c r="P1550" t="s">
        <v>1013</v>
      </c>
      <c r="Q1550" t="s">
        <v>912</v>
      </c>
      <c r="R1550" t="s">
        <v>913</v>
      </c>
    </row>
    <row r="1551" spans="1:18" hidden="1">
      <c r="A1551">
        <v>2</v>
      </c>
      <c r="B1551" s="4" t="s">
        <v>1952</v>
      </c>
      <c r="C1551" s="4" t="s">
        <v>1953</v>
      </c>
      <c r="D1551" s="4" t="s">
        <v>2072</v>
      </c>
      <c r="E1551" s="4" t="s">
        <v>5804</v>
      </c>
      <c r="F1551" t="s">
        <v>851</v>
      </c>
      <c r="G1551" t="s">
        <v>851</v>
      </c>
      <c r="H1551" t="s">
        <v>53</v>
      </c>
      <c r="I1551" t="s">
        <v>53</v>
      </c>
      <c r="J1551" s="5" t="s">
        <v>53</v>
      </c>
      <c r="K1551" t="s">
        <v>175</v>
      </c>
      <c r="L1551" s="6">
        <v>44166</v>
      </c>
      <c r="M1551">
        <v>12</v>
      </c>
      <c r="N1551" s="7" t="s">
        <v>30</v>
      </c>
      <c r="O1551" t="s">
        <v>512</v>
      </c>
      <c r="P1551" t="s">
        <v>2206</v>
      </c>
      <c r="Q1551" t="s">
        <v>2207</v>
      </c>
      <c r="R1551" t="s">
        <v>2208</v>
      </c>
    </row>
    <row r="1552" spans="1:18" hidden="1">
      <c r="A1552">
        <v>2</v>
      </c>
      <c r="B1552" s="4" t="s">
        <v>1952</v>
      </c>
      <c r="C1552" s="4" t="s">
        <v>1953</v>
      </c>
      <c r="D1552" s="4" t="s">
        <v>2224</v>
      </c>
      <c r="E1552" s="4" t="s">
        <v>5804</v>
      </c>
      <c r="F1552" t="s">
        <v>851</v>
      </c>
      <c r="G1552" t="s">
        <v>851</v>
      </c>
      <c r="H1552" t="s">
        <v>53</v>
      </c>
      <c r="I1552" t="s">
        <v>53</v>
      </c>
      <c r="J1552" s="5" t="s">
        <v>53</v>
      </c>
      <c r="K1552" t="s">
        <v>142</v>
      </c>
      <c r="L1552" s="6">
        <v>43101</v>
      </c>
      <c r="M1552">
        <v>1</v>
      </c>
      <c r="N1552" s="7" t="s">
        <v>30</v>
      </c>
      <c r="O1552" t="s">
        <v>36</v>
      </c>
      <c r="P1552" t="s">
        <v>2279</v>
      </c>
      <c r="Q1552" t="s">
        <v>2280</v>
      </c>
      <c r="R1552" t="s">
        <v>2281</v>
      </c>
    </row>
    <row r="1553" spans="1:18" hidden="1">
      <c r="A1553">
        <v>2</v>
      </c>
      <c r="B1553" s="4" t="s">
        <v>1952</v>
      </c>
      <c r="C1553" s="4" t="s">
        <v>2425</v>
      </c>
      <c r="D1553" s="4" t="s">
        <v>2509</v>
      </c>
      <c r="E1553" s="4" t="s">
        <v>5804</v>
      </c>
      <c r="F1553" t="s">
        <v>851</v>
      </c>
      <c r="G1553" t="s">
        <v>851</v>
      </c>
      <c r="H1553" t="s">
        <v>53</v>
      </c>
      <c r="I1553" t="s">
        <v>53</v>
      </c>
      <c r="J1553" s="5" t="s">
        <v>53</v>
      </c>
      <c r="K1553" t="s">
        <v>251</v>
      </c>
      <c r="L1553" s="6">
        <v>43952</v>
      </c>
      <c r="M1553">
        <v>5</v>
      </c>
      <c r="N1553" s="7" t="s">
        <v>23</v>
      </c>
      <c r="O1553" t="s">
        <v>418</v>
      </c>
      <c r="P1553" t="s">
        <v>2547</v>
      </c>
      <c r="Q1553" t="s">
        <v>2548</v>
      </c>
      <c r="R1553" t="s">
        <v>2549</v>
      </c>
    </row>
    <row r="1554" spans="1:18">
      <c r="A1554">
        <v>3</v>
      </c>
      <c r="B1554" s="4" t="s">
        <v>2764</v>
      </c>
      <c r="C1554" s="4" t="s">
        <v>2765</v>
      </c>
      <c r="D1554" s="4" t="s">
        <v>2816</v>
      </c>
      <c r="E1554" s="4" t="s">
        <v>5804</v>
      </c>
      <c r="F1554" t="s">
        <v>851</v>
      </c>
      <c r="G1554" t="s">
        <v>851</v>
      </c>
      <c r="H1554" t="s">
        <v>53</v>
      </c>
      <c r="I1554" t="s">
        <v>53</v>
      </c>
      <c r="J1554" s="5" t="s">
        <v>53</v>
      </c>
      <c r="K1554" t="s">
        <v>142</v>
      </c>
      <c r="L1554" s="6">
        <v>43101</v>
      </c>
      <c r="M1554">
        <v>1</v>
      </c>
      <c r="N1554" s="7" t="s">
        <v>30</v>
      </c>
      <c r="O1554" t="s">
        <v>36</v>
      </c>
      <c r="P1554" t="s">
        <v>2909</v>
      </c>
      <c r="Q1554" t="s">
        <v>2910</v>
      </c>
      <c r="R1554" t="s">
        <v>2911</v>
      </c>
    </row>
    <row r="1555" spans="1:18" hidden="1">
      <c r="A1555">
        <v>4</v>
      </c>
      <c r="B1555" s="4" t="s">
        <v>3127</v>
      </c>
      <c r="C1555" s="4" t="s">
        <v>3506</v>
      </c>
      <c r="D1555" s="4" t="s">
        <v>3537</v>
      </c>
      <c r="E1555" s="4" t="s">
        <v>5804</v>
      </c>
      <c r="F1555" t="s">
        <v>851</v>
      </c>
      <c r="G1555" t="s">
        <v>851</v>
      </c>
      <c r="H1555" t="s">
        <v>53</v>
      </c>
      <c r="I1555" t="s">
        <v>53</v>
      </c>
      <c r="J1555" s="5" t="s">
        <v>53</v>
      </c>
      <c r="K1555" t="s">
        <v>251</v>
      </c>
      <c r="L1555" s="6">
        <v>43952</v>
      </c>
      <c r="M1555">
        <v>5</v>
      </c>
      <c r="N1555" s="7" t="s">
        <v>23</v>
      </c>
      <c r="O1555" t="s">
        <v>223</v>
      </c>
      <c r="P1555" t="s">
        <v>3563</v>
      </c>
      <c r="Q1555" t="s">
        <v>3564</v>
      </c>
      <c r="R1555" t="s">
        <v>3565</v>
      </c>
    </row>
    <row r="1556" spans="1:18" hidden="1">
      <c r="A1556">
        <v>4</v>
      </c>
      <c r="B1556" s="4" t="s">
        <v>3127</v>
      </c>
      <c r="C1556" s="4" t="s">
        <v>3597</v>
      </c>
      <c r="D1556" s="4" t="s">
        <v>3660</v>
      </c>
      <c r="E1556" s="4" t="s">
        <v>5804</v>
      </c>
      <c r="F1556" t="s">
        <v>851</v>
      </c>
      <c r="G1556" t="s">
        <v>851</v>
      </c>
      <c r="H1556" t="s">
        <v>53</v>
      </c>
      <c r="I1556" t="s">
        <v>53</v>
      </c>
      <c r="J1556" s="5" t="s">
        <v>53</v>
      </c>
      <c r="K1556" t="s">
        <v>357</v>
      </c>
      <c r="L1556" s="6">
        <v>43739</v>
      </c>
      <c r="M1556">
        <v>10</v>
      </c>
      <c r="N1556" s="7" t="s">
        <v>23</v>
      </c>
      <c r="O1556" t="s">
        <v>31</v>
      </c>
      <c r="P1556" t="s">
        <v>3742</v>
      </c>
      <c r="Q1556" t="s">
        <v>3743</v>
      </c>
      <c r="R1556" t="s">
        <v>3744</v>
      </c>
    </row>
    <row r="1557" spans="1:18" hidden="1">
      <c r="A1557">
        <v>5</v>
      </c>
      <c r="B1557" s="4" t="s">
        <v>4600</v>
      </c>
      <c r="C1557" s="4" t="s">
        <v>4601</v>
      </c>
      <c r="D1557" s="4" t="s">
        <v>4635</v>
      </c>
      <c r="E1557" s="4" t="s">
        <v>5804</v>
      </c>
      <c r="F1557" t="s">
        <v>851</v>
      </c>
      <c r="G1557" t="s">
        <v>851</v>
      </c>
      <c r="H1557" t="s">
        <v>53</v>
      </c>
      <c r="I1557" t="s">
        <v>53</v>
      </c>
      <c r="J1557" s="5" t="s">
        <v>53</v>
      </c>
      <c r="K1557" t="s">
        <v>357</v>
      </c>
      <c r="L1557" s="6">
        <v>43739</v>
      </c>
      <c r="M1557">
        <v>10</v>
      </c>
      <c r="N1557" s="7" t="s">
        <v>23</v>
      </c>
      <c r="O1557" t="s">
        <v>418</v>
      </c>
      <c r="P1557" t="s">
        <v>4711</v>
      </c>
      <c r="Q1557" t="s">
        <v>4712</v>
      </c>
      <c r="R1557" t="s">
        <v>4713</v>
      </c>
    </row>
    <row r="1558" spans="1:18" hidden="1">
      <c r="A1558">
        <v>5</v>
      </c>
      <c r="B1558" s="4" t="s">
        <v>4600</v>
      </c>
      <c r="C1558" s="4" t="s">
        <v>4933</v>
      </c>
      <c r="D1558" s="4" t="s">
        <v>5014</v>
      </c>
      <c r="E1558" s="4" t="s">
        <v>5804</v>
      </c>
      <c r="F1558" t="s">
        <v>851</v>
      </c>
      <c r="G1558" t="s">
        <v>851</v>
      </c>
      <c r="H1558" t="s">
        <v>53</v>
      </c>
      <c r="I1558" t="s">
        <v>53</v>
      </c>
      <c r="J1558" s="5" t="s">
        <v>53</v>
      </c>
      <c r="K1558" t="s">
        <v>5377</v>
      </c>
      <c r="L1558" s="6" t="s">
        <v>673</v>
      </c>
      <c r="M1558" t="e">
        <v>#VALUE!</v>
      </c>
      <c r="N1558" s="7" t="e">
        <v>#VALUE!</v>
      </c>
      <c r="O1558" t="s">
        <v>512</v>
      </c>
      <c r="P1558" t="s">
        <v>5378</v>
      </c>
      <c r="Q1558" t="s">
        <v>5379</v>
      </c>
      <c r="R1558" t="s">
        <v>5380</v>
      </c>
    </row>
    <row r="1559" spans="1:18" hidden="1">
      <c r="A1559">
        <v>7</v>
      </c>
      <c r="B1559" s="4" t="s">
        <v>5586</v>
      </c>
      <c r="C1559" s="4" t="s">
        <v>5587</v>
      </c>
      <c r="D1559" s="4" t="s">
        <v>5596</v>
      </c>
      <c r="E1559" s="4" t="s">
        <v>5804</v>
      </c>
      <c r="F1559" t="s">
        <v>851</v>
      </c>
      <c r="G1559" t="s">
        <v>851</v>
      </c>
      <c r="H1559" t="s">
        <v>53</v>
      </c>
      <c r="I1559" t="s">
        <v>53</v>
      </c>
      <c r="J1559" s="5" t="s">
        <v>53</v>
      </c>
      <c r="K1559" t="s">
        <v>839</v>
      </c>
      <c r="L1559" s="6">
        <v>43800</v>
      </c>
      <c r="M1559">
        <v>12</v>
      </c>
      <c r="N1559" s="7" t="s">
        <v>30</v>
      </c>
      <c r="O1559" t="s">
        <v>66</v>
      </c>
      <c r="P1559" t="s">
        <v>5617</v>
      </c>
      <c r="Q1559" t="s">
        <v>5618</v>
      </c>
      <c r="R1559" t="s">
        <v>5619</v>
      </c>
    </row>
    <row r="1560" spans="1:18" hidden="1">
      <c r="A1560">
        <v>12</v>
      </c>
      <c r="B1560" s="4" t="s">
        <v>901</v>
      </c>
      <c r="C1560" s="4" t="s">
        <v>1161</v>
      </c>
      <c r="D1560" s="4" t="s">
        <v>1351</v>
      </c>
      <c r="E1560" s="4" t="s">
        <v>5804</v>
      </c>
      <c r="F1560" t="s">
        <v>1358</v>
      </c>
      <c r="G1560" t="s">
        <v>1358</v>
      </c>
      <c r="H1560" t="s">
        <v>53</v>
      </c>
      <c r="I1560" t="s">
        <v>53</v>
      </c>
      <c r="J1560" s="5" t="s">
        <v>53</v>
      </c>
      <c r="K1560" t="s">
        <v>159</v>
      </c>
      <c r="L1560" s="6">
        <v>43586</v>
      </c>
      <c r="M1560">
        <v>5</v>
      </c>
      <c r="N1560" s="7" t="s">
        <v>23</v>
      </c>
      <c r="O1560" t="s">
        <v>31</v>
      </c>
      <c r="P1560" t="s">
        <v>1359</v>
      </c>
      <c r="Q1560" t="s">
        <v>1356</v>
      </c>
      <c r="R1560" t="s">
        <v>1357</v>
      </c>
    </row>
    <row r="1561" spans="1:18" hidden="1">
      <c r="A1561">
        <v>12</v>
      </c>
      <c r="B1561" s="4" t="s">
        <v>901</v>
      </c>
      <c r="C1561" s="4" t="s">
        <v>1161</v>
      </c>
      <c r="D1561" s="4" t="s">
        <v>1351</v>
      </c>
      <c r="E1561" s="4" t="s">
        <v>5804</v>
      </c>
      <c r="F1561" t="s">
        <v>1358</v>
      </c>
      <c r="G1561" t="s">
        <v>1358</v>
      </c>
      <c r="H1561" t="s">
        <v>53</v>
      </c>
      <c r="I1561" t="s">
        <v>53</v>
      </c>
      <c r="J1561" s="5" t="s">
        <v>53</v>
      </c>
      <c r="K1561" t="s">
        <v>159</v>
      </c>
      <c r="L1561" s="6">
        <v>43586</v>
      </c>
      <c r="M1561">
        <v>5</v>
      </c>
      <c r="N1561" s="7" t="s">
        <v>23</v>
      </c>
      <c r="O1561" t="s">
        <v>31</v>
      </c>
      <c r="P1561" t="s">
        <v>1360</v>
      </c>
      <c r="Q1561" t="s">
        <v>1356</v>
      </c>
      <c r="R1561" t="s">
        <v>1357</v>
      </c>
    </row>
    <row r="1562" spans="1:18" hidden="1">
      <c r="A1562">
        <v>12</v>
      </c>
      <c r="B1562" s="4" t="s">
        <v>901</v>
      </c>
      <c r="C1562" s="4" t="s">
        <v>1161</v>
      </c>
      <c r="D1562" s="4" t="s">
        <v>1374</v>
      </c>
      <c r="E1562" s="4" t="s">
        <v>5804</v>
      </c>
      <c r="F1562" t="s">
        <v>1358</v>
      </c>
      <c r="G1562" t="s">
        <v>1358</v>
      </c>
      <c r="H1562" t="s">
        <v>53</v>
      </c>
      <c r="I1562" t="s">
        <v>53</v>
      </c>
      <c r="J1562" s="5" t="s">
        <v>53</v>
      </c>
      <c r="K1562" t="s">
        <v>60</v>
      </c>
      <c r="L1562" s="6">
        <v>42370</v>
      </c>
      <c r="M1562">
        <v>1</v>
      </c>
      <c r="N1562" s="7" t="s">
        <v>30</v>
      </c>
      <c r="O1562" t="s">
        <v>31</v>
      </c>
      <c r="P1562" t="s">
        <v>1375</v>
      </c>
      <c r="Q1562" t="s">
        <v>1376</v>
      </c>
      <c r="R1562" t="s">
        <v>1377</v>
      </c>
    </row>
    <row r="1563" spans="1:18" hidden="1">
      <c r="A1563">
        <v>12</v>
      </c>
      <c r="B1563" s="4" t="s">
        <v>901</v>
      </c>
      <c r="C1563" s="4" t="s">
        <v>1161</v>
      </c>
      <c r="D1563" s="4" t="s">
        <v>1374</v>
      </c>
      <c r="E1563" s="4" t="s">
        <v>5804</v>
      </c>
      <c r="F1563" t="s">
        <v>1358</v>
      </c>
      <c r="G1563" t="s">
        <v>1358</v>
      </c>
      <c r="H1563" t="s">
        <v>53</v>
      </c>
      <c r="I1563" t="s">
        <v>53</v>
      </c>
      <c r="J1563" s="5" t="s">
        <v>53</v>
      </c>
      <c r="K1563" t="s">
        <v>115</v>
      </c>
      <c r="L1563" s="6">
        <v>42461</v>
      </c>
      <c r="M1563">
        <v>4</v>
      </c>
      <c r="N1563" s="7" t="s">
        <v>23</v>
      </c>
      <c r="O1563" t="s">
        <v>31</v>
      </c>
      <c r="P1563" t="s">
        <v>1378</v>
      </c>
      <c r="Q1563" t="s">
        <v>1376</v>
      </c>
      <c r="R1563" t="s">
        <v>1377</v>
      </c>
    </row>
    <row r="1564" spans="1:18" hidden="1">
      <c r="A1564">
        <v>12</v>
      </c>
      <c r="B1564" s="4" t="s">
        <v>901</v>
      </c>
      <c r="C1564" s="4" t="s">
        <v>1161</v>
      </c>
      <c r="D1564" s="4" t="s">
        <v>1374</v>
      </c>
      <c r="E1564" s="4" t="s">
        <v>5804</v>
      </c>
      <c r="F1564" t="s">
        <v>1358</v>
      </c>
      <c r="G1564" t="s">
        <v>1358</v>
      </c>
      <c r="H1564" t="s">
        <v>53</v>
      </c>
      <c r="I1564" t="s">
        <v>53</v>
      </c>
      <c r="J1564" s="5" t="s">
        <v>53</v>
      </c>
      <c r="K1564" t="s">
        <v>234</v>
      </c>
      <c r="L1564" s="6">
        <v>42826</v>
      </c>
      <c r="M1564">
        <v>4</v>
      </c>
      <c r="N1564" s="7" t="s">
        <v>23</v>
      </c>
      <c r="O1564" t="s">
        <v>31</v>
      </c>
      <c r="P1564" t="s">
        <v>1382</v>
      </c>
      <c r="Q1564" t="s">
        <v>1376</v>
      </c>
      <c r="R1564" t="s">
        <v>1377</v>
      </c>
    </row>
    <row r="1565" spans="1:18" hidden="1">
      <c r="A1565">
        <v>12</v>
      </c>
      <c r="B1565" s="4" t="s">
        <v>901</v>
      </c>
      <c r="C1565" s="4" t="s">
        <v>1161</v>
      </c>
      <c r="D1565" s="4" t="s">
        <v>1374</v>
      </c>
      <c r="E1565" s="4" t="s">
        <v>5804</v>
      </c>
      <c r="F1565" t="s">
        <v>1358</v>
      </c>
      <c r="G1565" t="s">
        <v>1358</v>
      </c>
      <c r="H1565" t="s">
        <v>53</v>
      </c>
      <c r="I1565" t="s">
        <v>53</v>
      </c>
      <c r="J1565" s="5" t="s">
        <v>53</v>
      </c>
      <c r="K1565" t="s">
        <v>681</v>
      </c>
      <c r="L1565" s="6">
        <v>42887</v>
      </c>
      <c r="M1565">
        <v>6</v>
      </c>
      <c r="N1565" s="7" t="s">
        <v>55</v>
      </c>
      <c r="O1565" t="s">
        <v>31</v>
      </c>
      <c r="P1565" t="s">
        <v>1383</v>
      </c>
      <c r="Q1565" t="s">
        <v>1376</v>
      </c>
      <c r="R1565" t="s">
        <v>1377</v>
      </c>
    </row>
    <row r="1566" spans="1:18" hidden="1">
      <c r="A1566">
        <v>12</v>
      </c>
      <c r="B1566" s="4" t="s">
        <v>901</v>
      </c>
      <c r="C1566" s="4" t="s">
        <v>1161</v>
      </c>
      <c r="D1566" s="4" t="s">
        <v>1374</v>
      </c>
      <c r="E1566" s="4" t="s">
        <v>5804</v>
      </c>
      <c r="F1566" t="s">
        <v>1358</v>
      </c>
      <c r="G1566" t="s">
        <v>1358</v>
      </c>
      <c r="H1566" t="s">
        <v>53</v>
      </c>
      <c r="I1566" t="s">
        <v>53</v>
      </c>
      <c r="J1566" s="5" t="s">
        <v>53</v>
      </c>
      <c r="K1566" t="s">
        <v>1012</v>
      </c>
      <c r="L1566" s="6">
        <v>43132</v>
      </c>
      <c r="M1566">
        <v>2</v>
      </c>
      <c r="N1566" s="7" t="s">
        <v>30</v>
      </c>
      <c r="O1566" t="s">
        <v>31</v>
      </c>
      <c r="P1566" t="s">
        <v>1384</v>
      </c>
      <c r="Q1566" t="s">
        <v>1385</v>
      </c>
      <c r="R1566" t="s">
        <v>1386</v>
      </c>
    </row>
    <row r="1567" spans="1:18" hidden="1">
      <c r="A1567">
        <v>12</v>
      </c>
      <c r="B1567" s="4" t="s">
        <v>901</v>
      </c>
      <c r="C1567" s="4" t="s">
        <v>1161</v>
      </c>
      <c r="D1567" s="4" t="s">
        <v>1374</v>
      </c>
      <c r="E1567" s="4" t="s">
        <v>5804</v>
      </c>
      <c r="F1567" t="s">
        <v>1358</v>
      </c>
      <c r="G1567" t="s">
        <v>1358</v>
      </c>
      <c r="H1567" t="s">
        <v>53</v>
      </c>
      <c r="I1567" t="s">
        <v>53</v>
      </c>
      <c r="J1567" s="5" t="s">
        <v>53</v>
      </c>
      <c r="K1567" t="s">
        <v>146</v>
      </c>
      <c r="L1567" s="6">
        <v>43313</v>
      </c>
      <c r="M1567">
        <v>8</v>
      </c>
      <c r="N1567" s="7" t="s">
        <v>55</v>
      </c>
      <c r="O1567" t="s">
        <v>31</v>
      </c>
      <c r="P1567" t="s">
        <v>1390</v>
      </c>
      <c r="Q1567" t="s">
        <v>1391</v>
      </c>
      <c r="R1567" t="s">
        <v>1392</v>
      </c>
    </row>
    <row r="1568" spans="1:18" hidden="1">
      <c r="A1568">
        <v>12</v>
      </c>
      <c r="B1568" s="4" t="s">
        <v>901</v>
      </c>
      <c r="C1568" s="4" t="s">
        <v>1161</v>
      </c>
      <c r="D1568" s="4" t="s">
        <v>1374</v>
      </c>
      <c r="E1568" s="4" t="s">
        <v>5804</v>
      </c>
      <c r="F1568" t="s">
        <v>1358</v>
      </c>
      <c r="G1568" t="s">
        <v>1358</v>
      </c>
      <c r="H1568" t="s">
        <v>53</v>
      </c>
      <c r="I1568" t="s">
        <v>53</v>
      </c>
      <c r="J1568" s="5" t="s">
        <v>53</v>
      </c>
      <c r="K1568" t="s">
        <v>482</v>
      </c>
      <c r="L1568" s="6">
        <v>43435</v>
      </c>
      <c r="M1568">
        <v>12</v>
      </c>
      <c r="N1568" s="7" t="s">
        <v>30</v>
      </c>
      <c r="O1568" t="s">
        <v>31</v>
      </c>
      <c r="P1568" t="s">
        <v>1393</v>
      </c>
      <c r="Q1568" t="s">
        <v>1376</v>
      </c>
      <c r="R1568" t="s">
        <v>1377</v>
      </c>
    </row>
    <row r="1569" spans="1:18" hidden="1">
      <c r="A1569">
        <v>12</v>
      </c>
      <c r="B1569" s="4" t="s">
        <v>901</v>
      </c>
      <c r="C1569" s="4" t="s">
        <v>1161</v>
      </c>
      <c r="D1569" s="4" t="s">
        <v>1374</v>
      </c>
      <c r="E1569" s="4" t="s">
        <v>5804</v>
      </c>
      <c r="F1569" t="s">
        <v>1358</v>
      </c>
      <c r="G1569" t="s">
        <v>1358</v>
      </c>
      <c r="H1569" t="s">
        <v>53</v>
      </c>
      <c r="I1569" t="s">
        <v>53</v>
      </c>
      <c r="J1569" s="5" t="s">
        <v>53</v>
      </c>
      <c r="K1569" t="s">
        <v>1060</v>
      </c>
      <c r="L1569" s="6">
        <v>43435</v>
      </c>
      <c r="M1569">
        <v>12</v>
      </c>
      <c r="N1569" s="7" t="s">
        <v>30</v>
      </c>
      <c r="O1569" t="s">
        <v>31</v>
      </c>
      <c r="P1569" t="s">
        <v>1394</v>
      </c>
      <c r="Q1569" t="s">
        <v>1395</v>
      </c>
      <c r="R1569" t="s">
        <v>1396</v>
      </c>
    </row>
    <row r="1570" spans="1:18" hidden="1">
      <c r="A1570">
        <v>12</v>
      </c>
      <c r="B1570" s="4" t="s">
        <v>901</v>
      </c>
      <c r="C1570" s="4" t="s">
        <v>1161</v>
      </c>
      <c r="D1570" s="4" t="s">
        <v>1374</v>
      </c>
      <c r="E1570" s="4" t="s">
        <v>5804</v>
      </c>
      <c r="F1570" t="s">
        <v>1358</v>
      </c>
      <c r="G1570" t="s">
        <v>1358</v>
      </c>
      <c r="H1570" t="s">
        <v>53</v>
      </c>
      <c r="I1570" t="s">
        <v>53</v>
      </c>
      <c r="J1570" s="5" t="s">
        <v>53</v>
      </c>
      <c r="K1570" t="s">
        <v>245</v>
      </c>
      <c r="L1570" s="6">
        <v>43466</v>
      </c>
      <c r="M1570">
        <v>1</v>
      </c>
      <c r="N1570" s="7" t="s">
        <v>30</v>
      </c>
      <c r="O1570" t="s">
        <v>31</v>
      </c>
      <c r="P1570" t="s">
        <v>1397</v>
      </c>
      <c r="Q1570" t="s">
        <v>1376</v>
      </c>
      <c r="R1570" t="s">
        <v>1377</v>
      </c>
    </row>
    <row r="1571" spans="1:18" hidden="1">
      <c r="A1571">
        <v>12</v>
      </c>
      <c r="B1571" s="4" t="s">
        <v>901</v>
      </c>
      <c r="C1571" s="4" t="s">
        <v>1161</v>
      </c>
      <c r="D1571" s="4" t="s">
        <v>1374</v>
      </c>
      <c r="E1571" s="4" t="s">
        <v>5804</v>
      </c>
      <c r="F1571" t="s">
        <v>1358</v>
      </c>
      <c r="G1571" t="s">
        <v>1358</v>
      </c>
      <c r="H1571" t="s">
        <v>53</v>
      </c>
      <c r="I1571" t="s">
        <v>53</v>
      </c>
      <c r="J1571" s="5" t="s">
        <v>53</v>
      </c>
      <c r="K1571" t="s">
        <v>43</v>
      </c>
      <c r="L1571" s="6">
        <v>43525</v>
      </c>
      <c r="M1571">
        <v>3</v>
      </c>
      <c r="N1571" s="7" t="s">
        <v>23</v>
      </c>
      <c r="O1571" t="s">
        <v>31</v>
      </c>
      <c r="P1571" t="s">
        <v>1398</v>
      </c>
      <c r="Q1571" t="s">
        <v>1376</v>
      </c>
      <c r="R1571" t="s">
        <v>1377</v>
      </c>
    </row>
    <row r="1572" spans="1:18" hidden="1">
      <c r="A1572">
        <v>12</v>
      </c>
      <c r="B1572" s="4" t="s">
        <v>901</v>
      </c>
      <c r="C1572" s="4" t="s">
        <v>1161</v>
      </c>
      <c r="D1572" s="4" t="s">
        <v>1374</v>
      </c>
      <c r="E1572" s="4" t="s">
        <v>5804</v>
      </c>
      <c r="F1572" t="s">
        <v>1358</v>
      </c>
      <c r="G1572" t="s">
        <v>1358</v>
      </c>
      <c r="H1572" t="s">
        <v>53</v>
      </c>
      <c r="I1572" t="s">
        <v>53</v>
      </c>
      <c r="J1572" s="5" t="s">
        <v>53</v>
      </c>
      <c r="K1572" t="s">
        <v>204</v>
      </c>
      <c r="L1572" s="6">
        <v>43831</v>
      </c>
      <c r="M1572">
        <v>1</v>
      </c>
      <c r="N1572" s="7" t="s">
        <v>30</v>
      </c>
      <c r="O1572" t="s">
        <v>31</v>
      </c>
      <c r="P1572" t="s">
        <v>1399</v>
      </c>
      <c r="Q1572" t="s">
        <v>1376</v>
      </c>
      <c r="R1572" t="s">
        <v>1377</v>
      </c>
    </row>
    <row r="1573" spans="1:18" hidden="1">
      <c r="A1573">
        <v>12</v>
      </c>
      <c r="B1573" s="4" t="s">
        <v>901</v>
      </c>
      <c r="C1573" s="4" t="s">
        <v>1161</v>
      </c>
      <c r="D1573" s="4" t="s">
        <v>1374</v>
      </c>
      <c r="E1573" s="4" t="s">
        <v>5804</v>
      </c>
      <c r="F1573" t="s">
        <v>1358</v>
      </c>
      <c r="G1573" t="s">
        <v>1358</v>
      </c>
      <c r="H1573" t="s">
        <v>53</v>
      </c>
      <c r="I1573" t="s">
        <v>53</v>
      </c>
      <c r="J1573" s="5" t="s">
        <v>53</v>
      </c>
      <c r="K1573" t="s">
        <v>267</v>
      </c>
      <c r="L1573" s="6">
        <v>44044</v>
      </c>
      <c r="M1573">
        <v>8</v>
      </c>
      <c r="N1573" s="7" t="s">
        <v>55</v>
      </c>
      <c r="O1573" t="s">
        <v>31</v>
      </c>
      <c r="P1573" t="s">
        <v>1401</v>
      </c>
      <c r="Q1573" t="s">
        <v>1376</v>
      </c>
      <c r="R1573" t="s">
        <v>1377</v>
      </c>
    </row>
    <row r="1574" spans="1:18" hidden="1">
      <c r="A1574">
        <v>12</v>
      </c>
      <c r="B1574" s="4" t="s">
        <v>901</v>
      </c>
      <c r="C1574" s="4" t="s">
        <v>1161</v>
      </c>
      <c r="D1574" s="4" t="s">
        <v>1374</v>
      </c>
      <c r="E1574" s="4" t="s">
        <v>5804</v>
      </c>
      <c r="F1574" t="s">
        <v>1358</v>
      </c>
      <c r="G1574" t="s">
        <v>1358</v>
      </c>
      <c r="H1574" t="s">
        <v>53</v>
      </c>
      <c r="I1574" t="s">
        <v>53</v>
      </c>
      <c r="J1574" s="5" t="s">
        <v>53</v>
      </c>
      <c r="K1574" t="s">
        <v>749</v>
      </c>
      <c r="L1574" s="6">
        <v>44136</v>
      </c>
      <c r="M1574">
        <v>11</v>
      </c>
      <c r="N1574" s="7" t="s">
        <v>23</v>
      </c>
      <c r="O1574" t="s">
        <v>31</v>
      </c>
      <c r="P1574" t="s">
        <v>1402</v>
      </c>
      <c r="Q1574" t="s">
        <v>1376</v>
      </c>
      <c r="R1574" t="s">
        <v>1377</v>
      </c>
    </row>
    <row r="1575" spans="1:18" hidden="1">
      <c r="A1575">
        <v>2</v>
      </c>
      <c r="B1575" s="4" t="s">
        <v>1952</v>
      </c>
      <c r="C1575" s="4" t="s">
        <v>1953</v>
      </c>
      <c r="D1575" s="4" t="s">
        <v>1954</v>
      </c>
      <c r="E1575" s="4" t="s">
        <v>5804</v>
      </c>
      <c r="F1575" t="s">
        <v>1358</v>
      </c>
      <c r="G1575" t="s">
        <v>1358</v>
      </c>
      <c r="H1575" t="s">
        <v>53</v>
      </c>
      <c r="I1575" t="s">
        <v>53</v>
      </c>
      <c r="J1575" s="5" t="s">
        <v>53</v>
      </c>
      <c r="K1575" t="s">
        <v>701</v>
      </c>
      <c r="L1575" s="6">
        <v>42491</v>
      </c>
      <c r="M1575">
        <v>5</v>
      </c>
      <c r="N1575" s="7" t="s">
        <v>23</v>
      </c>
      <c r="O1575" t="s">
        <v>31</v>
      </c>
      <c r="P1575" t="s">
        <v>1968</v>
      </c>
      <c r="Q1575" t="s">
        <v>1969</v>
      </c>
      <c r="R1575" t="s">
        <v>1970</v>
      </c>
    </row>
    <row r="1576" spans="1:18" hidden="1">
      <c r="A1576">
        <v>4</v>
      </c>
      <c r="B1576" s="4" t="s">
        <v>3127</v>
      </c>
      <c r="C1576" s="4" t="s">
        <v>3374</v>
      </c>
      <c r="D1576" s="4" t="s">
        <v>3375</v>
      </c>
      <c r="E1576" s="4" t="s">
        <v>5804</v>
      </c>
      <c r="F1576" t="s">
        <v>1358</v>
      </c>
      <c r="G1576" t="s">
        <v>1358</v>
      </c>
      <c r="H1576" t="s">
        <v>53</v>
      </c>
      <c r="I1576" t="s">
        <v>53</v>
      </c>
      <c r="J1576" s="5" t="s">
        <v>53</v>
      </c>
      <c r="K1576" t="s">
        <v>691</v>
      </c>
      <c r="L1576" s="6">
        <v>43770</v>
      </c>
      <c r="M1576">
        <v>11</v>
      </c>
      <c r="N1576" s="7" t="s">
        <v>23</v>
      </c>
      <c r="O1576" t="s">
        <v>31</v>
      </c>
      <c r="P1576" t="s">
        <v>3477</v>
      </c>
      <c r="Q1576" t="s">
        <v>3478</v>
      </c>
      <c r="R1576" t="s">
        <v>3479</v>
      </c>
    </row>
    <row r="1577" spans="1:18" hidden="1">
      <c r="A1577">
        <v>11</v>
      </c>
      <c r="B1577" s="4" t="s">
        <v>554</v>
      </c>
      <c r="C1577" s="4" t="s">
        <v>696</v>
      </c>
      <c r="D1577" s="4" t="s">
        <v>697</v>
      </c>
      <c r="E1577" s="4" t="s">
        <v>5804</v>
      </c>
      <c r="F1577" t="s">
        <v>716</v>
      </c>
      <c r="G1577" t="s">
        <v>716</v>
      </c>
      <c r="H1577" t="s">
        <v>53</v>
      </c>
      <c r="I1577" t="s">
        <v>53</v>
      </c>
      <c r="J1577" s="5" t="s">
        <v>53</v>
      </c>
      <c r="K1577" t="s">
        <v>717</v>
      </c>
      <c r="L1577" s="6">
        <v>43221</v>
      </c>
      <c r="M1577">
        <v>5</v>
      </c>
      <c r="N1577" s="7" t="s">
        <v>23</v>
      </c>
      <c r="O1577" t="s">
        <v>36</v>
      </c>
      <c r="P1577" t="s">
        <v>718</v>
      </c>
      <c r="Q1577" t="s">
        <v>719</v>
      </c>
      <c r="R1577" t="s">
        <v>720</v>
      </c>
    </row>
    <row r="1578" spans="1:18" hidden="1">
      <c r="A1578">
        <v>11</v>
      </c>
      <c r="B1578" s="4" t="s">
        <v>554</v>
      </c>
      <c r="C1578" s="4" t="s">
        <v>696</v>
      </c>
      <c r="D1578" s="4" t="s">
        <v>759</v>
      </c>
      <c r="E1578" s="4" t="s">
        <v>5804</v>
      </c>
      <c r="F1578" t="s">
        <v>716</v>
      </c>
      <c r="G1578" t="s">
        <v>716</v>
      </c>
      <c r="H1578" t="s">
        <v>53</v>
      </c>
      <c r="I1578" t="s">
        <v>53</v>
      </c>
      <c r="J1578" s="5" t="s">
        <v>53</v>
      </c>
      <c r="K1578" t="s">
        <v>295</v>
      </c>
      <c r="L1578" s="6">
        <v>43221</v>
      </c>
      <c r="M1578">
        <v>5</v>
      </c>
      <c r="N1578" s="7" t="s">
        <v>23</v>
      </c>
      <c r="O1578" t="s">
        <v>223</v>
      </c>
      <c r="P1578" t="s">
        <v>794</v>
      </c>
      <c r="Q1578" t="s">
        <v>795</v>
      </c>
      <c r="R1578" t="s">
        <v>796</v>
      </c>
    </row>
    <row r="1579" spans="1:18" hidden="1">
      <c r="A1579">
        <v>11</v>
      </c>
      <c r="B1579" s="4" t="s">
        <v>554</v>
      </c>
      <c r="C1579" s="4" t="s">
        <v>696</v>
      </c>
      <c r="D1579" s="4" t="s">
        <v>759</v>
      </c>
      <c r="E1579" s="4" t="s">
        <v>5804</v>
      </c>
      <c r="F1579" t="s">
        <v>716</v>
      </c>
      <c r="G1579" t="s">
        <v>716</v>
      </c>
      <c r="H1579" t="s">
        <v>53</v>
      </c>
      <c r="I1579" t="s">
        <v>53</v>
      </c>
      <c r="J1579" s="5" t="s">
        <v>53</v>
      </c>
      <c r="K1579" t="s">
        <v>797</v>
      </c>
      <c r="L1579" s="6">
        <v>43252</v>
      </c>
      <c r="M1579">
        <v>6</v>
      </c>
      <c r="N1579" s="7" t="s">
        <v>55</v>
      </c>
      <c r="O1579" t="s">
        <v>418</v>
      </c>
      <c r="P1579" t="s">
        <v>798</v>
      </c>
      <c r="Q1579" t="s">
        <v>799</v>
      </c>
      <c r="R1579" t="s">
        <v>800</v>
      </c>
    </row>
    <row r="1580" spans="1:18" hidden="1">
      <c r="A1580">
        <v>11</v>
      </c>
      <c r="B1580" s="4" t="s">
        <v>554</v>
      </c>
      <c r="C1580" s="4" t="s">
        <v>696</v>
      </c>
      <c r="D1580" s="4" t="s">
        <v>759</v>
      </c>
      <c r="E1580" s="4" t="s">
        <v>5804</v>
      </c>
      <c r="F1580" t="s">
        <v>716</v>
      </c>
      <c r="G1580" t="s">
        <v>716</v>
      </c>
      <c r="H1580" t="s">
        <v>53</v>
      </c>
      <c r="I1580" t="s">
        <v>53</v>
      </c>
      <c r="J1580" s="5" t="s">
        <v>53</v>
      </c>
      <c r="K1580" t="s">
        <v>482</v>
      </c>
      <c r="L1580" s="6">
        <v>43435</v>
      </c>
      <c r="M1580">
        <v>12</v>
      </c>
      <c r="N1580" s="7" t="s">
        <v>30</v>
      </c>
      <c r="O1580" t="s">
        <v>223</v>
      </c>
      <c r="P1580" t="s">
        <v>817</v>
      </c>
      <c r="Q1580" t="s">
        <v>818</v>
      </c>
      <c r="R1580" t="s">
        <v>796</v>
      </c>
    </row>
    <row r="1581" spans="1:18" hidden="1">
      <c r="A1581">
        <v>11</v>
      </c>
      <c r="B1581" s="4" t="s">
        <v>554</v>
      </c>
      <c r="C1581" s="4" t="s">
        <v>696</v>
      </c>
      <c r="D1581" s="4" t="s">
        <v>759</v>
      </c>
      <c r="E1581" s="4" t="s">
        <v>5804</v>
      </c>
      <c r="F1581" t="s">
        <v>716</v>
      </c>
      <c r="G1581" t="s">
        <v>716</v>
      </c>
      <c r="H1581" t="s">
        <v>53</v>
      </c>
      <c r="I1581" t="s">
        <v>53</v>
      </c>
      <c r="J1581" s="5" t="s">
        <v>53</v>
      </c>
      <c r="K1581" t="s">
        <v>539</v>
      </c>
      <c r="L1581" s="6">
        <v>43922</v>
      </c>
      <c r="M1581">
        <v>4</v>
      </c>
      <c r="N1581" s="7" t="s">
        <v>23</v>
      </c>
      <c r="O1581" t="s">
        <v>223</v>
      </c>
      <c r="P1581" t="s">
        <v>847</v>
      </c>
      <c r="Q1581" t="s">
        <v>848</v>
      </c>
      <c r="R1581" t="s">
        <v>796</v>
      </c>
    </row>
    <row r="1582" spans="1:18" hidden="1">
      <c r="A1582">
        <v>11</v>
      </c>
      <c r="B1582" s="4" t="s">
        <v>554</v>
      </c>
      <c r="C1582" s="4" t="s">
        <v>696</v>
      </c>
      <c r="D1582" s="4" t="s">
        <v>759</v>
      </c>
      <c r="E1582" s="4" t="s">
        <v>5804</v>
      </c>
      <c r="F1582" t="s">
        <v>716</v>
      </c>
      <c r="G1582" t="s">
        <v>716</v>
      </c>
      <c r="H1582" t="s">
        <v>53</v>
      </c>
      <c r="I1582" t="s">
        <v>53</v>
      </c>
      <c r="J1582" s="5" t="s">
        <v>53</v>
      </c>
      <c r="K1582" t="s">
        <v>171</v>
      </c>
      <c r="L1582" s="6">
        <v>44013</v>
      </c>
      <c r="M1582">
        <v>7</v>
      </c>
      <c r="N1582" s="7" t="s">
        <v>55</v>
      </c>
      <c r="O1582" t="s">
        <v>72</v>
      </c>
      <c r="P1582" t="s">
        <v>859</v>
      </c>
      <c r="Q1582" t="s">
        <v>860</v>
      </c>
      <c r="R1582" t="s">
        <v>861</v>
      </c>
    </row>
    <row r="1583" spans="1:18" hidden="1">
      <c r="A1583">
        <v>12</v>
      </c>
      <c r="B1583" s="4" t="s">
        <v>901</v>
      </c>
      <c r="C1583" s="4" t="s">
        <v>902</v>
      </c>
      <c r="D1583" s="4" t="s">
        <v>903</v>
      </c>
      <c r="E1583" s="4" t="s">
        <v>5804</v>
      </c>
      <c r="F1583" t="s">
        <v>716</v>
      </c>
      <c r="G1583" t="s">
        <v>716</v>
      </c>
      <c r="H1583" t="s">
        <v>53</v>
      </c>
      <c r="I1583" t="s">
        <v>53</v>
      </c>
      <c r="J1583" s="5" t="s">
        <v>53</v>
      </c>
      <c r="K1583" t="s">
        <v>142</v>
      </c>
      <c r="L1583" s="6">
        <v>43101</v>
      </c>
      <c r="M1583">
        <v>1</v>
      </c>
      <c r="N1583" s="7" t="s">
        <v>30</v>
      </c>
      <c r="O1583" t="s">
        <v>24</v>
      </c>
      <c r="P1583" t="s">
        <v>1006</v>
      </c>
      <c r="Q1583" t="s">
        <v>1007</v>
      </c>
      <c r="R1583" t="s">
        <v>1008</v>
      </c>
    </row>
    <row r="1584" spans="1:18" hidden="1">
      <c r="A1584">
        <v>12</v>
      </c>
      <c r="B1584" s="4" t="s">
        <v>901</v>
      </c>
      <c r="C1584" s="4" t="s">
        <v>902</v>
      </c>
      <c r="D1584" s="4" t="s">
        <v>903</v>
      </c>
      <c r="E1584" s="4" t="s">
        <v>5804</v>
      </c>
      <c r="F1584" t="s">
        <v>716</v>
      </c>
      <c r="G1584" t="s">
        <v>716</v>
      </c>
      <c r="H1584" t="s">
        <v>53</v>
      </c>
      <c r="I1584" t="s">
        <v>53</v>
      </c>
      <c r="J1584" s="5" t="s">
        <v>53</v>
      </c>
      <c r="K1584" t="s">
        <v>292</v>
      </c>
      <c r="L1584" s="6">
        <v>43191</v>
      </c>
      <c r="M1584">
        <v>4</v>
      </c>
      <c r="N1584" s="7" t="s">
        <v>23</v>
      </c>
      <c r="O1584" t="s">
        <v>36</v>
      </c>
      <c r="P1584" t="s">
        <v>1029</v>
      </c>
      <c r="Q1584" t="s">
        <v>967</v>
      </c>
      <c r="R1584" t="s">
        <v>968</v>
      </c>
    </row>
    <row r="1585" spans="1:18" hidden="1">
      <c r="A1585">
        <v>12</v>
      </c>
      <c r="B1585" s="4" t="s">
        <v>901</v>
      </c>
      <c r="C1585" s="4" t="s">
        <v>902</v>
      </c>
      <c r="D1585" s="4" t="s">
        <v>903</v>
      </c>
      <c r="E1585" s="4" t="s">
        <v>5804</v>
      </c>
      <c r="F1585" t="s">
        <v>716</v>
      </c>
      <c r="G1585" t="s">
        <v>716</v>
      </c>
      <c r="H1585" t="s">
        <v>53</v>
      </c>
      <c r="I1585" t="s">
        <v>53</v>
      </c>
      <c r="J1585" s="5" t="s">
        <v>53</v>
      </c>
      <c r="K1585" t="s">
        <v>1060</v>
      </c>
      <c r="L1585" s="6">
        <v>43435</v>
      </c>
      <c r="M1585">
        <v>12</v>
      </c>
      <c r="N1585" s="7" t="s">
        <v>30</v>
      </c>
      <c r="O1585" t="s">
        <v>24</v>
      </c>
      <c r="P1585" t="s">
        <v>1061</v>
      </c>
      <c r="Q1585" t="s">
        <v>1007</v>
      </c>
      <c r="R1585" t="s">
        <v>1008</v>
      </c>
    </row>
    <row r="1586" spans="1:18" hidden="1">
      <c r="A1586">
        <v>12</v>
      </c>
      <c r="B1586" s="4" t="s">
        <v>901</v>
      </c>
      <c r="C1586" s="4" t="s">
        <v>1672</v>
      </c>
      <c r="D1586" s="4" t="s">
        <v>1673</v>
      </c>
      <c r="E1586" s="4" t="s">
        <v>5804</v>
      </c>
      <c r="F1586" t="s">
        <v>716</v>
      </c>
      <c r="G1586" t="s">
        <v>716</v>
      </c>
      <c r="H1586" t="s">
        <v>53</v>
      </c>
      <c r="I1586" t="s">
        <v>53</v>
      </c>
      <c r="J1586" s="5" t="s">
        <v>53</v>
      </c>
      <c r="K1586" t="s">
        <v>220</v>
      </c>
      <c r="L1586" s="6">
        <v>42644</v>
      </c>
      <c r="M1586">
        <v>10</v>
      </c>
      <c r="N1586" s="7" t="s">
        <v>23</v>
      </c>
      <c r="O1586" t="s">
        <v>24</v>
      </c>
      <c r="P1586" t="s">
        <v>1729</v>
      </c>
      <c r="Q1586" t="s">
        <v>1679</v>
      </c>
      <c r="R1586" t="s">
        <v>1680</v>
      </c>
    </row>
    <row r="1587" spans="1:18" hidden="1">
      <c r="A1587">
        <v>5</v>
      </c>
      <c r="B1587" s="4" t="s">
        <v>4600</v>
      </c>
      <c r="C1587" s="4" t="s">
        <v>4933</v>
      </c>
      <c r="D1587" s="4" t="s">
        <v>4934</v>
      </c>
      <c r="E1587" s="4" t="s">
        <v>5804</v>
      </c>
      <c r="F1587" t="s">
        <v>716</v>
      </c>
      <c r="G1587" t="s">
        <v>716</v>
      </c>
      <c r="H1587" t="s">
        <v>53</v>
      </c>
      <c r="I1587" t="s">
        <v>53</v>
      </c>
      <c r="J1587" s="5" t="s">
        <v>53</v>
      </c>
      <c r="K1587" t="s">
        <v>65</v>
      </c>
      <c r="L1587" s="6">
        <v>42430</v>
      </c>
      <c r="M1587">
        <v>3</v>
      </c>
      <c r="N1587" s="7" t="s">
        <v>23</v>
      </c>
      <c r="O1587" t="s">
        <v>36</v>
      </c>
      <c r="P1587" t="s">
        <v>4938</v>
      </c>
      <c r="Q1587" t="s">
        <v>4939</v>
      </c>
      <c r="R1587" t="s">
        <v>4940</v>
      </c>
    </row>
    <row r="1588" spans="1:18" hidden="1">
      <c r="A1588">
        <v>5</v>
      </c>
      <c r="B1588" s="4" t="s">
        <v>4600</v>
      </c>
      <c r="C1588" s="4" t="s">
        <v>4933</v>
      </c>
      <c r="D1588" s="4" t="s">
        <v>4934</v>
      </c>
      <c r="E1588" s="4" t="s">
        <v>5804</v>
      </c>
      <c r="F1588" t="s">
        <v>716</v>
      </c>
      <c r="G1588" t="s">
        <v>716</v>
      </c>
      <c r="H1588" t="s">
        <v>53</v>
      </c>
      <c r="I1588" t="s">
        <v>53</v>
      </c>
      <c r="J1588" s="5" t="s">
        <v>53</v>
      </c>
      <c r="K1588" t="s">
        <v>547</v>
      </c>
      <c r="L1588" s="6">
        <v>44075</v>
      </c>
      <c r="M1588">
        <v>9</v>
      </c>
      <c r="N1588" s="7" t="s">
        <v>23</v>
      </c>
      <c r="O1588" t="s">
        <v>36</v>
      </c>
      <c r="P1588" t="s">
        <v>4998</v>
      </c>
      <c r="Q1588" t="s">
        <v>4999</v>
      </c>
      <c r="R1588" t="s">
        <v>5000</v>
      </c>
    </row>
    <row r="1589" spans="1:18" hidden="1">
      <c r="A1589">
        <v>5</v>
      </c>
      <c r="B1589" s="4" t="s">
        <v>4600</v>
      </c>
      <c r="C1589" s="4" t="s">
        <v>4933</v>
      </c>
      <c r="D1589" s="4" t="s">
        <v>5014</v>
      </c>
      <c r="E1589" s="4" t="s">
        <v>5804</v>
      </c>
      <c r="F1589" t="s">
        <v>716</v>
      </c>
      <c r="G1589" t="s">
        <v>716</v>
      </c>
      <c r="H1589" t="s">
        <v>53</v>
      </c>
      <c r="I1589" t="s">
        <v>53</v>
      </c>
      <c r="J1589" s="5" t="s">
        <v>53</v>
      </c>
      <c r="K1589" t="s">
        <v>119</v>
      </c>
      <c r="L1589" s="6">
        <v>42552</v>
      </c>
      <c r="M1589">
        <v>7</v>
      </c>
      <c r="N1589" s="7" t="s">
        <v>55</v>
      </c>
      <c r="O1589" t="s">
        <v>31</v>
      </c>
      <c r="P1589" t="s">
        <v>5054</v>
      </c>
      <c r="Q1589" t="s">
        <v>5055</v>
      </c>
      <c r="R1589" t="s">
        <v>5056</v>
      </c>
    </row>
    <row r="1590" spans="1:18" hidden="1">
      <c r="A1590">
        <v>5</v>
      </c>
      <c r="B1590" s="4" t="s">
        <v>4600</v>
      </c>
      <c r="C1590" s="4" t="s">
        <v>4933</v>
      </c>
      <c r="D1590" s="4" t="s">
        <v>5014</v>
      </c>
      <c r="E1590" s="4" t="s">
        <v>5804</v>
      </c>
      <c r="F1590" t="s">
        <v>716</v>
      </c>
      <c r="G1590" t="s">
        <v>716</v>
      </c>
      <c r="H1590" t="s">
        <v>53</v>
      </c>
      <c r="I1590" t="s">
        <v>53</v>
      </c>
      <c r="J1590" s="5" t="s">
        <v>53</v>
      </c>
      <c r="K1590" t="s">
        <v>80</v>
      </c>
      <c r="L1590" s="6">
        <v>42917</v>
      </c>
      <c r="M1590">
        <v>7</v>
      </c>
      <c r="N1590" s="7" t="s">
        <v>55</v>
      </c>
      <c r="O1590" t="s">
        <v>31</v>
      </c>
      <c r="P1590" t="s">
        <v>5123</v>
      </c>
      <c r="Q1590" t="s">
        <v>5124</v>
      </c>
      <c r="R1590" t="s">
        <v>5056</v>
      </c>
    </row>
    <row r="1591" spans="1:18" hidden="1">
      <c r="A1591">
        <v>5</v>
      </c>
      <c r="B1591" s="4" t="s">
        <v>4600</v>
      </c>
      <c r="C1591" s="4" t="s">
        <v>4933</v>
      </c>
      <c r="D1591" s="4" t="s">
        <v>5014</v>
      </c>
      <c r="E1591" s="4" t="s">
        <v>5804</v>
      </c>
      <c r="F1591" t="s">
        <v>716</v>
      </c>
      <c r="G1591" t="s">
        <v>716</v>
      </c>
      <c r="H1591" t="s">
        <v>53</v>
      </c>
      <c r="I1591" t="s">
        <v>53</v>
      </c>
      <c r="J1591" s="5" t="s">
        <v>53</v>
      </c>
      <c r="K1591" t="s">
        <v>22</v>
      </c>
      <c r="L1591" s="6">
        <v>42979</v>
      </c>
      <c r="M1591">
        <v>9</v>
      </c>
      <c r="N1591" s="7" t="s">
        <v>23</v>
      </c>
      <c r="O1591" t="s">
        <v>31</v>
      </c>
      <c r="P1591" t="s">
        <v>5145</v>
      </c>
      <c r="Q1591" t="s">
        <v>5146</v>
      </c>
      <c r="R1591" t="s">
        <v>5147</v>
      </c>
    </row>
    <row r="1592" spans="1:18" hidden="1">
      <c r="A1592">
        <v>5</v>
      </c>
      <c r="B1592" s="4" t="s">
        <v>4600</v>
      </c>
      <c r="C1592" s="4" t="s">
        <v>4933</v>
      </c>
      <c r="D1592" s="4" t="s">
        <v>5014</v>
      </c>
      <c r="E1592" s="4" t="s">
        <v>5804</v>
      </c>
      <c r="F1592" t="s">
        <v>716</v>
      </c>
      <c r="G1592" t="s">
        <v>716</v>
      </c>
      <c r="H1592" t="s">
        <v>53</v>
      </c>
      <c r="I1592" t="s">
        <v>53</v>
      </c>
      <c r="J1592" s="5" t="s">
        <v>53</v>
      </c>
      <c r="K1592" t="s">
        <v>482</v>
      </c>
      <c r="L1592" s="6">
        <v>43435</v>
      </c>
      <c r="M1592">
        <v>12</v>
      </c>
      <c r="N1592" s="7" t="s">
        <v>30</v>
      </c>
      <c r="O1592" t="s">
        <v>31</v>
      </c>
      <c r="P1592" t="s">
        <v>5222</v>
      </c>
      <c r="Q1592" t="s">
        <v>5223</v>
      </c>
      <c r="R1592" t="s">
        <v>4641</v>
      </c>
    </row>
    <row r="1593" spans="1:18" hidden="1">
      <c r="A1593">
        <v>5</v>
      </c>
      <c r="B1593" s="4" t="s">
        <v>4600</v>
      </c>
      <c r="C1593" s="4" t="s">
        <v>4933</v>
      </c>
      <c r="D1593" s="4" t="s">
        <v>5014</v>
      </c>
      <c r="E1593" s="4" t="s">
        <v>5804</v>
      </c>
      <c r="F1593" t="s">
        <v>716</v>
      </c>
      <c r="G1593" t="s">
        <v>716</v>
      </c>
      <c r="H1593" t="s">
        <v>53</v>
      </c>
      <c r="I1593" t="s">
        <v>53</v>
      </c>
      <c r="J1593" s="5" t="s">
        <v>53</v>
      </c>
      <c r="K1593" t="s">
        <v>691</v>
      </c>
      <c r="L1593" s="6">
        <v>43770</v>
      </c>
      <c r="M1593">
        <v>11</v>
      </c>
      <c r="N1593" s="7" t="s">
        <v>23</v>
      </c>
      <c r="O1593" t="s">
        <v>24</v>
      </c>
      <c r="P1593" t="s">
        <v>5304</v>
      </c>
      <c r="Q1593" t="s">
        <v>5305</v>
      </c>
      <c r="R1593" t="s">
        <v>5147</v>
      </c>
    </row>
    <row r="1594" spans="1:18" hidden="1">
      <c r="A1594">
        <v>5</v>
      </c>
      <c r="B1594" s="4" t="s">
        <v>4600</v>
      </c>
      <c r="C1594" s="4" t="s">
        <v>4933</v>
      </c>
      <c r="D1594" s="4" t="s">
        <v>5014</v>
      </c>
      <c r="E1594" s="4" t="s">
        <v>5804</v>
      </c>
      <c r="F1594" t="s">
        <v>716</v>
      </c>
      <c r="G1594" t="s">
        <v>716</v>
      </c>
      <c r="H1594" t="s">
        <v>53</v>
      </c>
      <c r="I1594" t="s">
        <v>53</v>
      </c>
      <c r="J1594" s="5" t="s">
        <v>53</v>
      </c>
      <c r="K1594" t="s">
        <v>749</v>
      </c>
      <c r="L1594" s="6">
        <v>44136</v>
      </c>
      <c r="M1594">
        <v>11</v>
      </c>
      <c r="N1594" s="7" t="s">
        <v>23</v>
      </c>
      <c r="O1594" t="s">
        <v>24</v>
      </c>
      <c r="P1594" t="s">
        <v>5347</v>
      </c>
      <c r="Q1594" t="s">
        <v>5348</v>
      </c>
      <c r="R1594" t="s">
        <v>5349</v>
      </c>
    </row>
    <row r="1595" spans="1:18" hidden="1">
      <c r="A1595">
        <v>1</v>
      </c>
      <c r="B1595" s="4" t="s">
        <v>16</v>
      </c>
      <c r="C1595" s="4" t="s">
        <v>17</v>
      </c>
      <c r="D1595" s="4" t="s">
        <v>47</v>
      </c>
      <c r="E1595" s="4" t="s">
        <v>5804</v>
      </c>
      <c r="F1595" t="s">
        <v>52</v>
      </c>
      <c r="G1595" t="s">
        <v>52</v>
      </c>
      <c r="H1595" t="s">
        <v>53</v>
      </c>
      <c r="I1595" t="s">
        <v>53</v>
      </c>
      <c r="J1595" s="5" t="s">
        <v>53</v>
      </c>
      <c r="K1595" t="s">
        <v>54</v>
      </c>
      <c r="L1595" s="6">
        <v>42186</v>
      </c>
      <c r="M1595">
        <v>7</v>
      </c>
      <c r="N1595" s="7" t="s">
        <v>55</v>
      </c>
      <c r="O1595" t="s">
        <v>24</v>
      </c>
      <c r="P1595" t="s">
        <v>56</v>
      </c>
      <c r="Q1595" t="s">
        <v>57</v>
      </c>
      <c r="R1595" t="s">
        <v>58</v>
      </c>
    </row>
    <row r="1596" spans="1:18" hidden="1">
      <c r="A1596">
        <v>11</v>
      </c>
      <c r="B1596" s="4" t="s">
        <v>554</v>
      </c>
      <c r="C1596" s="4" t="s">
        <v>696</v>
      </c>
      <c r="D1596" s="4" t="s">
        <v>697</v>
      </c>
      <c r="E1596" s="4" t="s">
        <v>5804</v>
      </c>
      <c r="F1596" t="s">
        <v>52</v>
      </c>
      <c r="G1596" t="s">
        <v>52</v>
      </c>
      <c r="H1596" t="s">
        <v>53</v>
      </c>
      <c r="I1596" t="s">
        <v>53</v>
      </c>
      <c r="J1596" s="5" t="s">
        <v>53</v>
      </c>
      <c r="K1596" t="s">
        <v>85</v>
      </c>
      <c r="L1596" s="6">
        <v>43009</v>
      </c>
      <c r="M1596">
        <v>10</v>
      </c>
      <c r="N1596" s="7" t="s">
        <v>23</v>
      </c>
      <c r="O1596" t="s">
        <v>66</v>
      </c>
      <c r="P1596" t="s">
        <v>712</v>
      </c>
      <c r="Q1596" t="s">
        <v>713</v>
      </c>
      <c r="R1596" t="s">
        <v>714</v>
      </c>
    </row>
    <row r="1597" spans="1:18" hidden="1">
      <c r="A1597">
        <v>11</v>
      </c>
      <c r="B1597" s="4" t="s">
        <v>554</v>
      </c>
      <c r="C1597" s="4" t="s">
        <v>696</v>
      </c>
      <c r="D1597" s="4" t="s">
        <v>697</v>
      </c>
      <c r="E1597" s="4" t="s">
        <v>5804</v>
      </c>
      <c r="F1597" t="s">
        <v>52</v>
      </c>
      <c r="G1597" t="s">
        <v>52</v>
      </c>
      <c r="H1597" t="s">
        <v>53</v>
      </c>
      <c r="I1597" t="s">
        <v>53</v>
      </c>
      <c r="J1597" s="5" t="s">
        <v>53</v>
      </c>
      <c r="K1597" t="s">
        <v>295</v>
      </c>
      <c r="L1597" s="6">
        <v>43221</v>
      </c>
      <c r="M1597">
        <v>5</v>
      </c>
      <c r="N1597" s="7" t="s">
        <v>23</v>
      </c>
      <c r="O1597" t="s">
        <v>66</v>
      </c>
      <c r="P1597" t="s">
        <v>715</v>
      </c>
      <c r="Q1597" t="s">
        <v>713</v>
      </c>
      <c r="R1597" t="s">
        <v>704</v>
      </c>
    </row>
    <row r="1598" spans="1:18" hidden="1">
      <c r="A1598">
        <v>11</v>
      </c>
      <c r="B1598" s="4" t="s">
        <v>554</v>
      </c>
      <c r="C1598" s="4" t="s">
        <v>696</v>
      </c>
      <c r="D1598" s="4" t="s">
        <v>697</v>
      </c>
      <c r="E1598" s="4" t="s">
        <v>5804</v>
      </c>
      <c r="F1598" t="s">
        <v>52</v>
      </c>
      <c r="G1598" t="s">
        <v>52</v>
      </c>
      <c r="H1598" t="s">
        <v>53</v>
      </c>
      <c r="I1598" t="s">
        <v>53</v>
      </c>
      <c r="J1598" s="5" t="s">
        <v>53</v>
      </c>
      <c r="K1598" t="s">
        <v>159</v>
      </c>
      <c r="L1598" s="6">
        <v>43586</v>
      </c>
      <c r="M1598">
        <v>5</v>
      </c>
      <c r="N1598" s="7" t="s">
        <v>23</v>
      </c>
      <c r="O1598" t="s">
        <v>66</v>
      </c>
      <c r="P1598" t="s">
        <v>725</v>
      </c>
      <c r="Q1598" t="s">
        <v>713</v>
      </c>
      <c r="R1598" t="s">
        <v>704</v>
      </c>
    </row>
    <row r="1599" spans="1:18" hidden="1">
      <c r="A1599">
        <v>11</v>
      </c>
      <c r="B1599" s="4" t="s">
        <v>554</v>
      </c>
      <c r="C1599" s="4" t="s">
        <v>696</v>
      </c>
      <c r="D1599" s="4" t="s">
        <v>697</v>
      </c>
      <c r="E1599" s="4" t="s">
        <v>5804</v>
      </c>
      <c r="F1599" t="s">
        <v>52</v>
      </c>
      <c r="G1599" t="s">
        <v>52</v>
      </c>
      <c r="H1599" t="s">
        <v>53</v>
      </c>
      <c r="I1599" t="s">
        <v>53</v>
      </c>
      <c r="J1599" s="5" t="s">
        <v>53</v>
      </c>
      <c r="K1599" t="s">
        <v>539</v>
      </c>
      <c r="L1599" s="6">
        <v>43922</v>
      </c>
      <c r="M1599">
        <v>4</v>
      </c>
      <c r="N1599" s="7" t="s">
        <v>23</v>
      </c>
      <c r="O1599" t="s">
        <v>66</v>
      </c>
      <c r="P1599" t="s">
        <v>734</v>
      </c>
      <c r="Q1599" t="s">
        <v>713</v>
      </c>
      <c r="R1599" t="s">
        <v>714</v>
      </c>
    </row>
    <row r="1600" spans="1:18" hidden="1">
      <c r="A1600">
        <v>12</v>
      </c>
      <c r="B1600" s="4" t="s">
        <v>901</v>
      </c>
      <c r="C1600" s="4" t="s">
        <v>902</v>
      </c>
      <c r="D1600" s="4" t="s">
        <v>903</v>
      </c>
      <c r="E1600" s="4" t="s">
        <v>5804</v>
      </c>
      <c r="F1600" t="s">
        <v>52</v>
      </c>
      <c r="G1600" t="s">
        <v>52</v>
      </c>
      <c r="H1600" t="s">
        <v>53</v>
      </c>
      <c r="I1600" t="s">
        <v>53</v>
      </c>
      <c r="J1600" s="5" t="s">
        <v>53</v>
      </c>
      <c r="K1600" t="s">
        <v>65</v>
      </c>
      <c r="L1600" s="6">
        <v>42430</v>
      </c>
      <c r="M1600">
        <v>3</v>
      </c>
      <c r="N1600" s="7" t="s">
        <v>23</v>
      </c>
      <c r="O1600" t="s">
        <v>36</v>
      </c>
      <c r="P1600" t="s">
        <v>921</v>
      </c>
      <c r="Q1600" t="s">
        <v>922</v>
      </c>
      <c r="R1600" t="s">
        <v>923</v>
      </c>
    </row>
    <row r="1601" spans="1:18" hidden="1">
      <c r="A1601">
        <v>12</v>
      </c>
      <c r="B1601" s="4" t="s">
        <v>901</v>
      </c>
      <c r="C1601" s="4" t="s">
        <v>902</v>
      </c>
      <c r="D1601" s="4" t="s">
        <v>903</v>
      </c>
      <c r="E1601" s="4" t="s">
        <v>5804</v>
      </c>
      <c r="F1601" t="s">
        <v>52</v>
      </c>
      <c r="G1601" t="s">
        <v>52</v>
      </c>
      <c r="H1601" t="s">
        <v>53</v>
      </c>
      <c r="I1601" t="s">
        <v>53</v>
      </c>
      <c r="J1601" s="5" t="s">
        <v>53</v>
      </c>
      <c r="K1601" t="s">
        <v>701</v>
      </c>
      <c r="L1601" s="6">
        <v>42491</v>
      </c>
      <c r="M1601">
        <v>5</v>
      </c>
      <c r="N1601" s="7" t="s">
        <v>23</v>
      </c>
      <c r="O1601" t="s">
        <v>36</v>
      </c>
      <c r="P1601" t="s">
        <v>934</v>
      </c>
      <c r="Q1601" t="s">
        <v>922</v>
      </c>
      <c r="R1601" t="s">
        <v>923</v>
      </c>
    </row>
    <row r="1602" spans="1:18" hidden="1">
      <c r="A1602">
        <v>12</v>
      </c>
      <c r="B1602" s="4" t="s">
        <v>901</v>
      </c>
      <c r="C1602" s="4" t="s">
        <v>902</v>
      </c>
      <c r="D1602" s="4" t="s">
        <v>903</v>
      </c>
      <c r="E1602" s="4" t="s">
        <v>5804</v>
      </c>
      <c r="F1602" t="s">
        <v>52</v>
      </c>
      <c r="G1602" t="s">
        <v>52</v>
      </c>
      <c r="H1602" t="s">
        <v>53</v>
      </c>
      <c r="I1602" t="s">
        <v>53</v>
      </c>
      <c r="J1602" s="5" t="s">
        <v>53</v>
      </c>
      <c r="K1602" t="s">
        <v>119</v>
      </c>
      <c r="L1602" s="6">
        <v>42552</v>
      </c>
      <c r="M1602">
        <v>7</v>
      </c>
      <c r="N1602" s="7" t="s">
        <v>55</v>
      </c>
      <c r="O1602" t="s">
        <v>36</v>
      </c>
      <c r="P1602" t="s">
        <v>942</v>
      </c>
      <c r="Q1602" t="s">
        <v>943</v>
      </c>
      <c r="R1602" t="s">
        <v>944</v>
      </c>
    </row>
    <row r="1603" spans="1:18" hidden="1">
      <c r="A1603">
        <v>12</v>
      </c>
      <c r="B1603" s="4" t="s">
        <v>901</v>
      </c>
      <c r="C1603" s="4" t="s">
        <v>902</v>
      </c>
      <c r="D1603" s="4" t="s">
        <v>903</v>
      </c>
      <c r="E1603" s="4" t="s">
        <v>5804</v>
      </c>
      <c r="F1603" t="s">
        <v>52</v>
      </c>
      <c r="G1603" t="s">
        <v>52</v>
      </c>
      <c r="H1603" t="s">
        <v>53</v>
      </c>
      <c r="I1603" t="s">
        <v>53</v>
      </c>
      <c r="J1603" s="5" t="s">
        <v>53</v>
      </c>
      <c r="K1603" t="s">
        <v>319</v>
      </c>
      <c r="L1603" s="6">
        <v>42583</v>
      </c>
      <c r="M1603">
        <v>8</v>
      </c>
      <c r="N1603" s="7" t="s">
        <v>55</v>
      </c>
      <c r="O1603" t="s">
        <v>36</v>
      </c>
      <c r="P1603" t="s">
        <v>945</v>
      </c>
      <c r="Q1603" t="s">
        <v>922</v>
      </c>
      <c r="R1603" t="s">
        <v>923</v>
      </c>
    </row>
    <row r="1604" spans="1:18" hidden="1">
      <c r="A1604">
        <v>12</v>
      </c>
      <c r="B1604" s="4" t="s">
        <v>901</v>
      </c>
      <c r="C1604" s="4" t="s">
        <v>902</v>
      </c>
      <c r="D1604" s="4" t="s">
        <v>903</v>
      </c>
      <c r="E1604" s="4" t="s">
        <v>5804</v>
      </c>
      <c r="F1604" t="s">
        <v>52</v>
      </c>
      <c r="G1604" t="s">
        <v>52</v>
      </c>
      <c r="H1604" t="s">
        <v>53</v>
      </c>
      <c r="I1604" t="s">
        <v>53</v>
      </c>
      <c r="J1604" s="5" t="s">
        <v>53</v>
      </c>
      <c r="K1604" t="s">
        <v>319</v>
      </c>
      <c r="L1604" s="6">
        <v>42583</v>
      </c>
      <c r="M1604">
        <v>8</v>
      </c>
      <c r="N1604" s="7" t="s">
        <v>55</v>
      </c>
      <c r="O1604" t="s">
        <v>36</v>
      </c>
      <c r="P1604" t="s">
        <v>947</v>
      </c>
      <c r="Q1604" t="s">
        <v>943</v>
      </c>
      <c r="R1604" t="s">
        <v>944</v>
      </c>
    </row>
    <row r="1605" spans="1:18" hidden="1">
      <c r="A1605">
        <v>12</v>
      </c>
      <c r="B1605" s="4" t="s">
        <v>901</v>
      </c>
      <c r="C1605" s="4" t="s">
        <v>902</v>
      </c>
      <c r="D1605" s="4" t="s">
        <v>903</v>
      </c>
      <c r="E1605" s="4" t="s">
        <v>5804</v>
      </c>
      <c r="F1605" t="s">
        <v>52</v>
      </c>
      <c r="G1605" t="s">
        <v>52</v>
      </c>
      <c r="H1605" t="s">
        <v>53</v>
      </c>
      <c r="I1605" t="s">
        <v>53</v>
      </c>
      <c r="J1605" s="5" t="s">
        <v>53</v>
      </c>
      <c r="K1605" t="s">
        <v>76</v>
      </c>
      <c r="L1605" s="6">
        <v>42856</v>
      </c>
      <c r="M1605">
        <v>5</v>
      </c>
      <c r="N1605" s="7" t="s">
        <v>23</v>
      </c>
      <c r="O1605" t="s">
        <v>36</v>
      </c>
      <c r="P1605" t="s">
        <v>989</v>
      </c>
      <c r="Q1605" t="s">
        <v>922</v>
      </c>
      <c r="R1605" t="s">
        <v>923</v>
      </c>
    </row>
    <row r="1606" spans="1:18" hidden="1">
      <c r="A1606">
        <v>12</v>
      </c>
      <c r="B1606" s="4" t="s">
        <v>901</v>
      </c>
      <c r="C1606" s="4" t="s">
        <v>902</v>
      </c>
      <c r="D1606" s="4" t="s">
        <v>903</v>
      </c>
      <c r="E1606" s="4" t="s">
        <v>5804</v>
      </c>
      <c r="F1606" t="s">
        <v>52</v>
      </c>
      <c r="G1606" t="s">
        <v>52</v>
      </c>
      <c r="H1606" t="s">
        <v>53</v>
      </c>
      <c r="I1606" t="s">
        <v>53</v>
      </c>
      <c r="J1606" s="5" t="s">
        <v>53</v>
      </c>
      <c r="K1606" t="s">
        <v>76</v>
      </c>
      <c r="L1606" s="6">
        <v>42856</v>
      </c>
      <c r="M1606">
        <v>5</v>
      </c>
      <c r="N1606" s="7" t="s">
        <v>23</v>
      </c>
      <c r="O1606" t="s">
        <v>36</v>
      </c>
      <c r="P1606" t="s">
        <v>990</v>
      </c>
      <c r="Q1606" t="s">
        <v>922</v>
      </c>
      <c r="R1606" t="s">
        <v>923</v>
      </c>
    </row>
    <row r="1607" spans="1:18" hidden="1">
      <c r="A1607">
        <v>12</v>
      </c>
      <c r="B1607" s="4" t="s">
        <v>901</v>
      </c>
      <c r="C1607" s="4" t="s">
        <v>902</v>
      </c>
      <c r="D1607" s="4" t="s">
        <v>903</v>
      </c>
      <c r="E1607" s="4" t="s">
        <v>5804</v>
      </c>
      <c r="F1607" t="s">
        <v>52</v>
      </c>
      <c r="G1607" t="s">
        <v>52</v>
      </c>
      <c r="H1607" t="s">
        <v>53</v>
      </c>
      <c r="I1607" t="s">
        <v>53</v>
      </c>
      <c r="J1607" s="5" t="s">
        <v>53</v>
      </c>
      <c r="K1607" t="s">
        <v>304</v>
      </c>
      <c r="L1607" s="6">
        <v>43647</v>
      </c>
      <c r="M1607">
        <v>7</v>
      </c>
      <c r="N1607" s="7" t="s">
        <v>55</v>
      </c>
      <c r="O1607" t="s">
        <v>36</v>
      </c>
      <c r="P1607" t="s">
        <v>1069</v>
      </c>
      <c r="Q1607" t="s">
        <v>922</v>
      </c>
      <c r="R1607" t="s">
        <v>923</v>
      </c>
    </row>
    <row r="1608" spans="1:18" hidden="1">
      <c r="A1608">
        <v>12</v>
      </c>
      <c r="B1608" s="4" t="s">
        <v>901</v>
      </c>
      <c r="C1608" s="4" t="s">
        <v>902</v>
      </c>
      <c r="D1608" s="4" t="s">
        <v>903</v>
      </c>
      <c r="E1608" s="4" t="s">
        <v>5804</v>
      </c>
      <c r="F1608" t="s">
        <v>52</v>
      </c>
      <c r="G1608" t="s">
        <v>52</v>
      </c>
      <c r="H1608" t="s">
        <v>53</v>
      </c>
      <c r="I1608" t="s">
        <v>53</v>
      </c>
      <c r="J1608" s="5" t="s">
        <v>53</v>
      </c>
      <c r="K1608" t="s">
        <v>691</v>
      </c>
      <c r="L1608" s="6">
        <v>43770</v>
      </c>
      <c r="M1608">
        <v>11</v>
      </c>
      <c r="N1608" s="7" t="s">
        <v>23</v>
      </c>
      <c r="O1608" t="s">
        <v>36</v>
      </c>
      <c r="P1608" t="s">
        <v>1078</v>
      </c>
      <c r="Q1608" t="s">
        <v>922</v>
      </c>
      <c r="R1608" t="s">
        <v>923</v>
      </c>
    </row>
    <row r="1609" spans="1:18" hidden="1">
      <c r="A1609">
        <v>12</v>
      </c>
      <c r="B1609" s="4" t="s">
        <v>901</v>
      </c>
      <c r="C1609" s="4" t="s">
        <v>902</v>
      </c>
      <c r="D1609" s="4" t="s">
        <v>903</v>
      </c>
      <c r="E1609" s="4" t="s">
        <v>5804</v>
      </c>
      <c r="F1609" t="s">
        <v>52</v>
      </c>
      <c r="G1609" t="s">
        <v>52</v>
      </c>
      <c r="H1609" t="s">
        <v>53</v>
      </c>
      <c r="I1609" t="s">
        <v>53</v>
      </c>
      <c r="J1609" s="5" t="s">
        <v>53</v>
      </c>
      <c r="K1609" t="s">
        <v>1085</v>
      </c>
      <c r="L1609" s="6">
        <v>43862</v>
      </c>
      <c r="M1609">
        <v>2</v>
      </c>
      <c r="N1609" s="7" t="s">
        <v>30</v>
      </c>
      <c r="O1609" t="s">
        <v>36</v>
      </c>
      <c r="P1609" t="s">
        <v>1091</v>
      </c>
      <c r="Q1609" t="s">
        <v>943</v>
      </c>
      <c r="R1609" t="s">
        <v>944</v>
      </c>
    </row>
    <row r="1610" spans="1:18" hidden="1">
      <c r="A1610">
        <v>12</v>
      </c>
      <c r="B1610" s="4" t="s">
        <v>901</v>
      </c>
      <c r="C1610" s="4" t="s">
        <v>902</v>
      </c>
      <c r="D1610" s="4" t="s">
        <v>903</v>
      </c>
      <c r="E1610" s="4" t="s">
        <v>5804</v>
      </c>
      <c r="F1610" t="s">
        <v>52</v>
      </c>
      <c r="G1610" t="s">
        <v>52</v>
      </c>
      <c r="H1610" t="s">
        <v>53</v>
      </c>
      <c r="I1610" t="s">
        <v>53</v>
      </c>
      <c r="J1610" s="5" t="s">
        <v>53</v>
      </c>
      <c r="K1610" t="s">
        <v>171</v>
      </c>
      <c r="L1610" s="6">
        <v>44013</v>
      </c>
      <c r="M1610">
        <v>7</v>
      </c>
      <c r="N1610" s="7" t="s">
        <v>55</v>
      </c>
      <c r="O1610" t="s">
        <v>36</v>
      </c>
      <c r="P1610" t="s">
        <v>1112</v>
      </c>
      <c r="Q1610" t="s">
        <v>943</v>
      </c>
      <c r="R1610" t="s">
        <v>944</v>
      </c>
    </row>
    <row r="1611" spans="1:18" hidden="1">
      <c r="A1611">
        <v>12</v>
      </c>
      <c r="B1611" s="4" t="s">
        <v>901</v>
      </c>
      <c r="C1611" s="4" t="s">
        <v>902</v>
      </c>
      <c r="D1611" s="4" t="s">
        <v>903</v>
      </c>
      <c r="E1611" s="4" t="s">
        <v>5804</v>
      </c>
      <c r="F1611" t="s">
        <v>52</v>
      </c>
      <c r="G1611" t="s">
        <v>52</v>
      </c>
      <c r="H1611" t="s">
        <v>53</v>
      </c>
      <c r="I1611" t="s">
        <v>53</v>
      </c>
      <c r="J1611" s="5" t="s">
        <v>53</v>
      </c>
      <c r="K1611" t="s">
        <v>267</v>
      </c>
      <c r="L1611" s="6">
        <v>44044</v>
      </c>
      <c r="M1611">
        <v>8</v>
      </c>
      <c r="N1611" s="7" t="s">
        <v>55</v>
      </c>
      <c r="O1611" t="s">
        <v>36</v>
      </c>
      <c r="P1611" t="s">
        <v>1113</v>
      </c>
      <c r="Q1611" t="s">
        <v>922</v>
      </c>
      <c r="R1611" t="s">
        <v>923</v>
      </c>
    </row>
    <row r="1612" spans="1:18" hidden="1">
      <c r="A1612">
        <v>12</v>
      </c>
      <c r="B1612" s="4" t="s">
        <v>901</v>
      </c>
      <c r="C1612" s="4" t="s">
        <v>902</v>
      </c>
      <c r="D1612" s="4" t="s">
        <v>903</v>
      </c>
      <c r="E1612" s="4" t="s">
        <v>5804</v>
      </c>
      <c r="F1612" t="s">
        <v>52</v>
      </c>
      <c r="G1612" t="s">
        <v>52</v>
      </c>
      <c r="H1612" t="s">
        <v>53</v>
      </c>
      <c r="I1612" t="s">
        <v>53</v>
      </c>
      <c r="J1612" s="5" t="s">
        <v>53</v>
      </c>
      <c r="K1612" t="s">
        <v>365</v>
      </c>
      <c r="L1612" s="6">
        <v>44105</v>
      </c>
      <c r="M1612">
        <v>10</v>
      </c>
      <c r="N1612" s="7" t="s">
        <v>23</v>
      </c>
      <c r="O1612" t="s">
        <v>36</v>
      </c>
      <c r="P1612" t="s">
        <v>1120</v>
      </c>
      <c r="Q1612" t="s">
        <v>922</v>
      </c>
      <c r="R1612" t="s">
        <v>923</v>
      </c>
    </row>
    <row r="1613" spans="1:18" hidden="1">
      <c r="A1613">
        <v>12</v>
      </c>
      <c r="B1613" s="4" t="s">
        <v>901</v>
      </c>
      <c r="C1613" s="4" t="s">
        <v>902</v>
      </c>
      <c r="D1613" s="4" t="s">
        <v>903</v>
      </c>
      <c r="E1613" s="4" t="s">
        <v>5804</v>
      </c>
      <c r="F1613" t="s">
        <v>52</v>
      </c>
      <c r="G1613" t="s">
        <v>52</v>
      </c>
      <c r="H1613" t="s">
        <v>53</v>
      </c>
      <c r="I1613" t="s">
        <v>53</v>
      </c>
      <c r="J1613" s="5" t="s">
        <v>53</v>
      </c>
      <c r="K1613" t="s">
        <v>365</v>
      </c>
      <c r="L1613" s="6">
        <v>44105</v>
      </c>
      <c r="M1613">
        <v>10</v>
      </c>
      <c r="N1613" s="7" t="s">
        <v>23</v>
      </c>
      <c r="O1613" t="s">
        <v>36</v>
      </c>
      <c r="P1613" t="s">
        <v>1121</v>
      </c>
      <c r="Q1613" t="s">
        <v>922</v>
      </c>
      <c r="R1613" t="s">
        <v>923</v>
      </c>
    </row>
    <row r="1614" spans="1:18" hidden="1">
      <c r="A1614">
        <v>12</v>
      </c>
      <c r="B1614" s="4" t="s">
        <v>901</v>
      </c>
      <c r="C1614" s="4" t="s">
        <v>902</v>
      </c>
      <c r="D1614" s="4" t="s">
        <v>903</v>
      </c>
      <c r="E1614" s="4" t="s">
        <v>5804</v>
      </c>
      <c r="F1614" t="s">
        <v>52</v>
      </c>
      <c r="G1614" t="s">
        <v>52</v>
      </c>
      <c r="H1614" t="s">
        <v>53</v>
      </c>
      <c r="I1614" t="s">
        <v>53</v>
      </c>
      <c r="J1614" s="5" t="s">
        <v>53</v>
      </c>
      <c r="K1614" t="s">
        <v>749</v>
      </c>
      <c r="L1614" s="6">
        <v>44136</v>
      </c>
      <c r="M1614">
        <v>11</v>
      </c>
      <c r="N1614" s="7" t="s">
        <v>23</v>
      </c>
      <c r="O1614" t="s">
        <v>36</v>
      </c>
      <c r="P1614" t="s">
        <v>1127</v>
      </c>
      <c r="Q1614" t="s">
        <v>922</v>
      </c>
      <c r="R1614" t="s">
        <v>923</v>
      </c>
    </row>
    <row r="1615" spans="1:18" hidden="1">
      <c r="A1615">
        <v>12</v>
      </c>
      <c r="B1615" s="4" t="s">
        <v>901</v>
      </c>
      <c r="C1615" s="4" t="s">
        <v>902</v>
      </c>
      <c r="D1615" s="4" t="s">
        <v>903</v>
      </c>
      <c r="E1615" s="4" t="s">
        <v>5804</v>
      </c>
      <c r="F1615" t="s">
        <v>52</v>
      </c>
      <c r="G1615" t="s">
        <v>52</v>
      </c>
      <c r="H1615" t="s">
        <v>53</v>
      </c>
      <c r="I1615" t="s">
        <v>53</v>
      </c>
      <c r="J1615" s="5" t="s">
        <v>53</v>
      </c>
      <c r="K1615" t="s">
        <v>645</v>
      </c>
      <c r="L1615" s="6">
        <v>44440</v>
      </c>
      <c r="M1615">
        <v>9</v>
      </c>
      <c r="N1615" s="7" t="s">
        <v>23</v>
      </c>
      <c r="O1615" t="s">
        <v>36</v>
      </c>
      <c r="P1615" t="s">
        <v>1146</v>
      </c>
      <c r="Q1615" t="s">
        <v>922</v>
      </c>
      <c r="R1615" t="s">
        <v>923</v>
      </c>
    </row>
    <row r="1616" spans="1:18" hidden="1">
      <c r="A1616">
        <v>2</v>
      </c>
      <c r="B1616" s="4" t="s">
        <v>1952</v>
      </c>
      <c r="C1616" s="4" t="s">
        <v>1953</v>
      </c>
      <c r="D1616" s="4" t="s">
        <v>2224</v>
      </c>
      <c r="E1616" s="4" t="s">
        <v>5804</v>
      </c>
      <c r="F1616" t="s">
        <v>52</v>
      </c>
      <c r="G1616" t="s">
        <v>52</v>
      </c>
      <c r="H1616" t="s">
        <v>53</v>
      </c>
      <c r="I1616" t="s">
        <v>53</v>
      </c>
      <c r="J1616" s="5" t="s">
        <v>53</v>
      </c>
      <c r="K1616" t="s">
        <v>278</v>
      </c>
      <c r="L1616" s="6">
        <v>42675</v>
      </c>
      <c r="M1616">
        <v>11</v>
      </c>
      <c r="N1616" s="7" t="s">
        <v>23</v>
      </c>
      <c r="O1616" t="s">
        <v>36</v>
      </c>
      <c r="P1616" t="s">
        <v>2256</v>
      </c>
      <c r="Q1616" t="s">
        <v>2247</v>
      </c>
      <c r="R1616" t="s">
        <v>2248</v>
      </c>
    </row>
    <row r="1617" spans="1:18" hidden="1">
      <c r="A1617">
        <v>2</v>
      </c>
      <c r="B1617" s="4" t="s">
        <v>1952</v>
      </c>
      <c r="C1617" s="4" t="s">
        <v>1953</v>
      </c>
      <c r="D1617" s="4" t="s">
        <v>2224</v>
      </c>
      <c r="E1617" s="4" t="s">
        <v>5804</v>
      </c>
      <c r="F1617" t="s">
        <v>52</v>
      </c>
      <c r="G1617" t="s">
        <v>52</v>
      </c>
      <c r="H1617" t="s">
        <v>53</v>
      </c>
      <c r="I1617" t="s">
        <v>53</v>
      </c>
      <c r="J1617" s="5" t="s">
        <v>53</v>
      </c>
      <c r="K1617" t="s">
        <v>85</v>
      </c>
      <c r="L1617" s="6">
        <v>43009</v>
      </c>
      <c r="M1617">
        <v>10</v>
      </c>
      <c r="N1617" s="7" t="s">
        <v>23</v>
      </c>
      <c r="O1617" t="s">
        <v>36</v>
      </c>
      <c r="P1617" t="s">
        <v>2275</v>
      </c>
      <c r="Q1617" t="s">
        <v>2247</v>
      </c>
      <c r="R1617" t="s">
        <v>2248</v>
      </c>
    </row>
    <row r="1618" spans="1:18" hidden="1">
      <c r="A1618">
        <v>2</v>
      </c>
      <c r="B1618" s="4" t="s">
        <v>1952</v>
      </c>
      <c r="C1618" s="4" t="s">
        <v>2425</v>
      </c>
      <c r="D1618" s="4" t="s">
        <v>2509</v>
      </c>
      <c r="E1618" s="4" t="s">
        <v>5804</v>
      </c>
      <c r="F1618" t="s">
        <v>52</v>
      </c>
      <c r="G1618" t="s">
        <v>52</v>
      </c>
      <c r="H1618" t="s">
        <v>53</v>
      </c>
      <c r="I1618" t="s">
        <v>53</v>
      </c>
      <c r="J1618" s="5" t="s">
        <v>53</v>
      </c>
      <c r="K1618" t="s">
        <v>278</v>
      </c>
      <c r="L1618" s="6">
        <v>42675</v>
      </c>
      <c r="M1618">
        <v>11</v>
      </c>
      <c r="N1618" s="7" t="s">
        <v>23</v>
      </c>
      <c r="O1618" t="s">
        <v>36</v>
      </c>
      <c r="P1618" t="s">
        <v>2525</v>
      </c>
      <c r="Q1618" t="s">
        <v>2526</v>
      </c>
      <c r="R1618" t="s">
        <v>2527</v>
      </c>
    </row>
    <row r="1619" spans="1:18">
      <c r="A1619">
        <v>3</v>
      </c>
      <c r="B1619" s="4" t="s">
        <v>2764</v>
      </c>
      <c r="C1619" s="4" t="s">
        <v>2765</v>
      </c>
      <c r="D1619" s="4" t="s">
        <v>2816</v>
      </c>
      <c r="E1619" s="4" t="s">
        <v>5804</v>
      </c>
      <c r="F1619" t="s">
        <v>52</v>
      </c>
      <c r="G1619" t="s">
        <v>52</v>
      </c>
      <c r="H1619" t="s">
        <v>53</v>
      </c>
      <c r="I1619" t="s">
        <v>53</v>
      </c>
      <c r="J1619" s="5" t="s">
        <v>53</v>
      </c>
      <c r="K1619" t="s">
        <v>76</v>
      </c>
      <c r="L1619" s="6">
        <v>42856</v>
      </c>
      <c r="M1619">
        <v>5</v>
      </c>
      <c r="N1619" s="7" t="s">
        <v>23</v>
      </c>
      <c r="O1619" t="s">
        <v>31</v>
      </c>
      <c r="P1619" t="s">
        <v>2873</v>
      </c>
      <c r="Q1619" t="s">
        <v>2874</v>
      </c>
      <c r="R1619" t="s">
        <v>2875</v>
      </c>
    </row>
    <row r="1620" spans="1:18" hidden="1">
      <c r="A1620">
        <v>4</v>
      </c>
      <c r="B1620" s="4" t="s">
        <v>3127</v>
      </c>
      <c r="C1620" s="4" t="s">
        <v>3128</v>
      </c>
      <c r="D1620" s="4" t="s">
        <v>3190</v>
      </c>
      <c r="E1620" s="4" t="s">
        <v>5804</v>
      </c>
      <c r="F1620" t="s">
        <v>52</v>
      </c>
      <c r="G1620" t="s">
        <v>52</v>
      </c>
      <c r="H1620" t="s">
        <v>53</v>
      </c>
      <c r="I1620" t="s">
        <v>53</v>
      </c>
      <c r="J1620" s="5" t="s">
        <v>53</v>
      </c>
      <c r="K1620" t="s">
        <v>681</v>
      </c>
      <c r="L1620" s="6">
        <v>42887</v>
      </c>
      <c r="M1620">
        <v>6</v>
      </c>
      <c r="N1620" s="7" t="s">
        <v>55</v>
      </c>
      <c r="O1620" t="s">
        <v>31</v>
      </c>
      <c r="P1620" t="s">
        <v>3208</v>
      </c>
      <c r="Q1620" t="s">
        <v>3209</v>
      </c>
      <c r="R1620" t="s">
        <v>3210</v>
      </c>
    </row>
    <row r="1621" spans="1:18" hidden="1">
      <c r="A1621">
        <v>4</v>
      </c>
      <c r="B1621" s="4" t="s">
        <v>3127</v>
      </c>
      <c r="C1621" s="4" t="s">
        <v>3128</v>
      </c>
      <c r="D1621" s="4" t="s">
        <v>3190</v>
      </c>
      <c r="E1621" s="4" t="s">
        <v>5804</v>
      </c>
      <c r="F1621" t="s">
        <v>52</v>
      </c>
      <c r="G1621" t="s">
        <v>52</v>
      </c>
      <c r="H1621" t="s">
        <v>53</v>
      </c>
      <c r="I1621" t="s">
        <v>53</v>
      </c>
      <c r="J1621" s="5" t="s">
        <v>53</v>
      </c>
      <c r="K1621" t="s">
        <v>171</v>
      </c>
      <c r="L1621" s="6">
        <v>44013</v>
      </c>
      <c r="M1621">
        <v>7</v>
      </c>
      <c r="N1621" s="7" t="s">
        <v>55</v>
      </c>
      <c r="O1621" t="s">
        <v>31</v>
      </c>
      <c r="P1621" t="s">
        <v>3234</v>
      </c>
      <c r="Q1621" t="s">
        <v>3235</v>
      </c>
      <c r="R1621" t="s">
        <v>3204</v>
      </c>
    </row>
    <row r="1622" spans="1:18" hidden="1">
      <c r="A1622">
        <v>4</v>
      </c>
      <c r="B1622" s="4" t="s">
        <v>3127</v>
      </c>
      <c r="C1622" s="4" t="s">
        <v>3128</v>
      </c>
      <c r="D1622" s="4" t="s">
        <v>3247</v>
      </c>
      <c r="E1622" s="4" t="s">
        <v>5804</v>
      </c>
      <c r="F1622" t="s">
        <v>52</v>
      </c>
      <c r="G1622" t="s">
        <v>52</v>
      </c>
      <c r="H1622" t="s">
        <v>53</v>
      </c>
      <c r="I1622" t="s">
        <v>53</v>
      </c>
      <c r="J1622" s="5" t="s">
        <v>53</v>
      </c>
      <c r="K1622" t="s">
        <v>29</v>
      </c>
      <c r="L1622" s="6">
        <v>43070</v>
      </c>
      <c r="M1622">
        <v>12</v>
      </c>
      <c r="N1622" s="7" t="s">
        <v>30</v>
      </c>
      <c r="O1622" t="s">
        <v>31</v>
      </c>
      <c r="P1622" t="s">
        <v>3314</v>
      </c>
      <c r="Q1622" t="s">
        <v>3315</v>
      </c>
      <c r="R1622" t="s">
        <v>3316</v>
      </c>
    </row>
    <row r="1623" spans="1:18" hidden="1">
      <c r="A1623">
        <v>4</v>
      </c>
      <c r="B1623" s="4" t="s">
        <v>3127</v>
      </c>
      <c r="C1623" s="4" t="s">
        <v>3128</v>
      </c>
      <c r="D1623" s="4" t="s">
        <v>3247</v>
      </c>
      <c r="E1623" s="4" t="s">
        <v>5804</v>
      </c>
      <c r="F1623" t="s">
        <v>52</v>
      </c>
      <c r="G1623" t="s">
        <v>52</v>
      </c>
      <c r="H1623" t="s">
        <v>53</v>
      </c>
      <c r="I1623" t="s">
        <v>53</v>
      </c>
      <c r="J1623" s="5" t="s">
        <v>53</v>
      </c>
      <c r="K1623" t="s">
        <v>691</v>
      </c>
      <c r="L1623" s="6">
        <v>43770</v>
      </c>
      <c r="M1623">
        <v>11</v>
      </c>
      <c r="N1623" s="7" t="s">
        <v>23</v>
      </c>
      <c r="O1623" t="s">
        <v>31</v>
      </c>
      <c r="P1623" t="s">
        <v>3356</v>
      </c>
      <c r="Q1623" t="s">
        <v>3357</v>
      </c>
      <c r="R1623" t="s">
        <v>3316</v>
      </c>
    </row>
    <row r="1624" spans="1:18" hidden="1">
      <c r="A1624">
        <v>4</v>
      </c>
      <c r="B1624" s="4" t="s">
        <v>3127</v>
      </c>
      <c r="C1624" s="4" t="s">
        <v>3939</v>
      </c>
      <c r="D1624" s="4" t="s">
        <v>3958</v>
      </c>
      <c r="E1624" s="4" t="s">
        <v>5804</v>
      </c>
      <c r="F1624" t="s">
        <v>52</v>
      </c>
      <c r="G1624" t="s">
        <v>52</v>
      </c>
      <c r="H1624" t="s">
        <v>53</v>
      </c>
      <c r="I1624" t="s">
        <v>53</v>
      </c>
      <c r="J1624" s="5" t="s">
        <v>53</v>
      </c>
      <c r="K1624" t="s">
        <v>278</v>
      </c>
      <c r="L1624" s="6">
        <v>42675</v>
      </c>
      <c r="M1624">
        <v>11</v>
      </c>
      <c r="N1624" s="7" t="s">
        <v>23</v>
      </c>
      <c r="O1624" t="s">
        <v>31</v>
      </c>
      <c r="P1624" t="s">
        <v>3964</v>
      </c>
      <c r="Q1624" t="s">
        <v>3965</v>
      </c>
      <c r="R1624" t="s">
        <v>3966</v>
      </c>
    </row>
    <row r="1625" spans="1:18" hidden="1">
      <c r="A1625">
        <v>4</v>
      </c>
      <c r="B1625" s="4" t="s">
        <v>3127</v>
      </c>
      <c r="C1625" s="4" t="s">
        <v>3939</v>
      </c>
      <c r="D1625" s="4" t="s">
        <v>3958</v>
      </c>
      <c r="E1625" s="4" t="s">
        <v>5804</v>
      </c>
      <c r="F1625" t="s">
        <v>52</v>
      </c>
      <c r="G1625" t="s">
        <v>52</v>
      </c>
      <c r="H1625" t="s">
        <v>53</v>
      </c>
      <c r="I1625" t="s">
        <v>53</v>
      </c>
      <c r="J1625" s="5" t="s">
        <v>53</v>
      </c>
      <c r="K1625" t="s">
        <v>128</v>
      </c>
      <c r="L1625" s="6">
        <v>42795</v>
      </c>
      <c r="M1625">
        <v>3</v>
      </c>
      <c r="N1625" s="7" t="s">
        <v>23</v>
      </c>
      <c r="O1625" t="s">
        <v>31</v>
      </c>
      <c r="P1625" t="s">
        <v>3976</v>
      </c>
      <c r="Q1625" t="s">
        <v>3977</v>
      </c>
      <c r="R1625" t="s">
        <v>3814</v>
      </c>
    </row>
    <row r="1626" spans="1:18" hidden="1">
      <c r="A1626">
        <v>4</v>
      </c>
      <c r="B1626" s="4" t="s">
        <v>3127</v>
      </c>
      <c r="C1626" s="4" t="s">
        <v>3939</v>
      </c>
      <c r="D1626" s="4" t="s">
        <v>3958</v>
      </c>
      <c r="E1626" s="4" t="s">
        <v>5804</v>
      </c>
      <c r="F1626" t="s">
        <v>52</v>
      </c>
      <c r="G1626" t="s">
        <v>52</v>
      </c>
      <c r="H1626" t="s">
        <v>53</v>
      </c>
      <c r="I1626" t="s">
        <v>53</v>
      </c>
      <c r="J1626" s="5" t="s">
        <v>53</v>
      </c>
      <c r="K1626" t="s">
        <v>80</v>
      </c>
      <c r="L1626" s="6">
        <v>42917</v>
      </c>
      <c r="M1626">
        <v>7</v>
      </c>
      <c r="N1626" s="7" t="s">
        <v>55</v>
      </c>
      <c r="O1626" t="s">
        <v>31</v>
      </c>
      <c r="P1626" t="s">
        <v>3978</v>
      </c>
      <c r="Q1626" t="s">
        <v>3979</v>
      </c>
      <c r="R1626" t="s">
        <v>3814</v>
      </c>
    </row>
    <row r="1627" spans="1:18" hidden="1">
      <c r="A1627">
        <v>4</v>
      </c>
      <c r="B1627" s="4" t="s">
        <v>3127</v>
      </c>
      <c r="C1627" s="4" t="s">
        <v>3939</v>
      </c>
      <c r="D1627" s="4" t="s">
        <v>3958</v>
      </c>
      <c r="E1627" s="4" t="s">
        <v>5804</v>
      </c>
      <c r="F1627" t="s">
        <v>52</v>
      </c>
      <c r="G1627" t="s">
        <v>52</v>
      </c>
      <c r="H1627" t="s">
        <v>53</v>
      </c>
      <c r="I1627" t="s">
        <v>53</v>
      </c>
      <c r="J1627" s="5" t="s">
        <v>53</v>
      </c>
      <c r="K1627" t="s">
        <v>87</v>
      </c>
      <c r="L1627" s="6">
        <v>43040</v>
      </c>
      <c r="M1627">
        <v>11</v>
      </c>
      <c r="N1627" s="7" t="s">
        <v>23</v>
      </c>
      <c r="O1627" t="s">
        <v>31</v>
      </c>
      <c r="P1627" t="s">
        <v>3992</v>
      </c>
      <c r="Q1627" t="s">
        <v>3993</v>
      </c>
      <c r="R1627" t="s">
        <v>3994</v>
      </c>
    </row>
    <row r="1628" spans="1:18" hidden="1">
      <c r="A1628">
        <v>4</v>
      </c>
      <c r="B1628" s="4" t="s">
        <v>3127</v>
      </c>
      <c r="C1628" s="4" t="s">
        <v>4035</v>
      </c>
      <c r="D1628" s="4" t="s">
        <v>4080</v>
      </c>
      <c r="E1628" s="4" t="s">
        <v>5804</v>
      </c>
      <c r="F1628" t="s">
        <v>52</v>
      </c>
      <c r="G1628" t="s">
        <v>52</v>
      </c>
      <c r="H1628" t="s">
        <v>53</v>
      </c>
      <c r="I1628" t="s">
        <v>53</v>
      </c>
      <c r="J1628" s="5" t="s">
        <v>53</v>
      </c>
      <c r="K1628" t="s">
        <v>2655</v>
      </c>
      <c r="L1628" s="6">
        <v>42887</v>
      </c>
      <c r="M1628">
        <v>6</v>
      </c>
      <c r="N1628" s="7" t="s">
        <v>55</v>
      </c>
      <c r="O1628" t="s">
        <v>31</v>
      </c>
      <c r="P1628" t="s">
        <v>4110</v>
      </c>
      <c r="Q1628" t="s">
        <v>4111</v>
      </c>
      <c r="R1628" t="s">
        <v>4112</v>
      </c>
    </row>
    <row r="1629" spans="1:18" hidden="1">
      <c r="A1629">
        <v>4</v>
      </c>
      <c r="B1629" s="4" t="s">
        <v>3127</v>
      </c>
      <c r="C1629" s="4" t="s">
        <v>4207</v>
      </c>
      <c r="D1629" s="4" t="s">
        <v>4257</v>
      </c>
      <c r="E1629" s="4" t="s">
        <v>5804</v>
      </c>
      <c r="F1629" t="s">
        <v>52</v>
      </c>
      <c r="G1629" t="s">
        <v>52</v>
      </c>
      <c r="H1629" t="s">
        <v>53</v>
      </c>
      <c r="I1629" t="s">
        <v>53</v>
      </c>
      <c r="J1629" s="5" t="s">
        <v>53</v>
      </c>
      <c r="K1629" t="s">
        <v>87</v>
      </c>
      <c r="L1629" s="6">
        <v>43040</v>
      </c>
      <c r="M1629">
        <v>11</v>
      </c>
      <c r="N1629" s="7" t="s">
        <v>23</v>
      </c>
      <c r="O1629" t="s">
        <v>31</v>
      </c>
      <c r="P1629" t="s">
        <v>4364</v>
      </c>
      <c r="Q1629" t="s">
        <v>4365</v>
      </c>
      <c r="R1629" t="s">
        <v>4211</v>
      </c>
    </row>
    <row r="1630" spans="1:18" hidden="1">
      <c r="A1630">
        <v>4</v>
      </c>
      <c r="B1630" s="4" t="s">
        <v>3127</v>
      </c>
      <c r="C1630" s="4" t="s">
        <v>4207</v>
      </c>
      <c r="D1630" s="4" t="s">
        <v>4257</v>
      </c>
      <c r="E1630" s="4" t="s">
        <v>5804</v>
      </c>
      <c r="F1630" t="s">
        <v>52</v>
      </c>
      <c r="G1630" t="s">
        <v>52</v>
      </c>
      <c r="H1630" t="s">
        <v>53</v>
      </c>
      <c r="I1630" t="s">
        <v>53</v>
      </c>
      <c r="J1630" s="5" t="s">
        <v>53</v>
      </c>
      <c r="K1630" t="s">
        <v>4597</v>
      </c>
      <c r="L1630" s="6" t="s">
        <v>673</v>
      </c>
      <c r="M1630" t="e">
        <v>#VALUE!</v>
      </c>
      <c r="N1630" s="7" t="e">
        <v>#VALUE!</v>
      </c>
      <c r="O1630" t="s">
        <v>31</v>
      </c>
      <c r="P1630" t="s">
        <v>4598</v>
      </c>
      <c r="Q1630" t="s">
        <v>4599</v>
      </c>
      <c r="R1630" t="s">
        <v>4211</v>
      </c>
    </row>
    <row r="1631" spans="1:18" hidden="1">
      <c r="A1631">
        <v>6</v>
      </c>
      <c r="B1631" s="4" t="s">
        <v>5462</v>
      </c>
      <c r="C1631" s="4" t="s">
        <v>5463</v>
      </c>
      <c r="D1631" s="4" t="s">
        <v>5497</v>
      </c>
      <c r="E1631" s="4" t="s">
        <v>5804</v>
      </c>
      <c r="F1631" t="s">
        <v>52</v>
      </c>
      <c r="G1631" t="s">
        <v>52</v>
      </c>
      <c r="H1631" t="s">
        <v>53</v>
      </c>
      <c r="I1631" t="s">
        <v>53</v>
      </c>
      <c r="J1631" s="5" t="s">
        <v>53</v>
      </c>
      <c r="K1631" t="s">
        <v>1012</v>
      </c>
      <c r="L1631" s="6">
        <v>43132</v>
      </c>
      <c r="M1631">
        <v>2</v>
      </c>
      <c r="N1631" s="7" t="s">
        <v>30</v>
      </c>
      <c r="O1631" t="s">
        <v>36</v>
      </c>
      <c r="P1631" t="s">
        <v>5537</v>
      </c>
      <c r="Q1631" t="s">
        <v>5538</v>
      </c>
      <c r="R1631" t="s">
        <v>5539</v>
      </c>
    </row>
    <row r="1632" spans="1:18" hidden="1">
      <c r="A1632">
        <v>6</v>
      </c>
      <c r="B1632" s="4" t="s">
        <v>5462</v>
      </c>
      <c r="C1632" s="4" t="s">
        <v>5463</v>
      </c>
      <c r="D1632" s="4" t="s">
        <v>5497</v>
      </c>
      <c r="E1632" s="4" t="s">
        <v>5804</v>
      </c>
      <c r="F1632" t="s">
        <v>52</v>
      </c>
      <c r="G1632" t="s">
        <v>52</v>
      </c>
      <c r="H1632" t="s">
        <v>53</v>
      </c>
      <c r="I1632" t="s">
        <v>53</v>
      </c>
      <c r="J1632" s="5" t="s">
        <v>53</v>
      </c>
      <c r="K1632" t="s">
        <v>691</v>
      </c>
      <c r="L1632" s="6">
        <v>43770</v>
      </c>
      <c r="M1632">
        <v>11</v>
      </c>
      <c r="N1632" s="7" t="s">
        <v>23</v>
      </c>
      <c r="O1632" t="s">
        <v>31</v>
      </c>
      <c r="P1632" t="s">
        <v>5571</v>
      </c>
      <c r="Q1632" t="s">
        <v>5572</v>
      </c>
      <c r="R1632" t="s">
        <v>5573</v>
      </c>
    </row>
    <row r="1633" spans="1:18" hidden="1">
      <c r="A1633">
        <v>1</v>
      </c>
      <c r="B1633" s="4" t="s">
        <v>16</v>
      </c>
      <c r="C1633" s="4" t="s">
        <v>323</v>
      </c>
      <c r="D1633" s="4" t="s">
        <v>408</v>
      </c>
      <c r="E1633" s="4" t="s">
        <v>5804</v>
      </c>
      <c r="F1633" t="s">
        <v>6067</v>
      </c>
      <c r="G1633" t="s">
        <v>6067</v>
      </c>
      <c r="H1633" t="s">
        <v>53</v>
      </c>
      <c r="I1633" t="s">
        <v>53</v>
      </c>
      <c r="J1633" s="5" t="s">
        <v>53</v>
      </c>
      <c r="K1633" t="s">
        <v>146</v>
      </c>
      <c r="L1633" s="6">
        <v>43313</v>
      </c>
      <c r="M1633">
        <v>8</v>
      </c>
      <c r="N1633" s="7" t="s">
        <v>55</v>
      </c>
      <c r="O1633" t="s">
        <v>444</v>
      </c>
      <c r="P1633" t="s">
        <v>6177</v>
      </c>
      <c r="Q1633" t="s">
        <v>445</v>
      </c>
      <c r="R1633" t="s">
        <v>446</v>
      </c>
    </row>
    <row r="1634" spans="1:18" hidden="1">
      <c r="A1634">
        <v>1</v>
      </c>
      <c r="B1634" s="4" t="s">
        <v>16</v>
      </c>
      <c r="C1634" s="4" t="s">
        <v>462</v>
      </c>
      <c r="D1634" s="4" t="s">
        <v>476</v>
      </c>
      <c r="E1634" s="4" t="s">
        <v>5804</v>
      </c>
      <c r="F1634" t="s">
        <v>6067</v>
      </c>
      <c r="G1634" t="s">
        <v>6067</v>
      </c>
      <c r="H1634" t="s">
        <v>53</v>
      </c>
      <c r="I1634" t="s">
        <v>53</v>
      </c>
      <c r="J1634" s="5" t="s">
        <v>53</v>
      </c>
      <c r="K1634" t="s">
        <v>178</v>
      </c>
      <c r="L1634" s="6">
        <v>44228</v>
      </c>
      <c r="M1634">
        <v>2</v>
      </c>
      <c r="N1634" s="7" t="s">
        <v>30</v>
      </c>
      <c r="O1634" t="s">
        <v>444</v>
      </c>
      <c r="P1634" t="s">
        <v>486</v>
      </c>
      <c r="Q1634" t="s">
        <v>487</v>
      </c>
      <c r="R1634" t="s">
        <v>488</v>
      </c>
    </row>
    <row r="1635" spans="1:18" hidden="1">
      <c r="A1635">
        <v>11</v>
      </c>
      <c r="B1635" s="4" t="s">
        <v>554</v>
      </c>
      <c r="C1635" s="4" t="s">
        <v>555</v>
      </c>
      <c r="D1635" s="4" t="s">
        <v>556</v>
      </c>
      <c r="E1635" s="4" t="s">
        <v>5804</v>
      </c>
      <c r="F1635" t="s">
        <v>444</v>
      </c>
      <c r="G1635" t="s">
        <v>444</v>
      </c>
      <c r="H1635" t="s">
        <v>53</v>
      </c>
      <c r="I1635" t="s">
        <v>53</v>
      </c>
      <c r="J1635" s="5" t="s">
        <v>53</v>
      </c>
      <c r="K1635" t="s">
        <v>80</v>
      </c>
      <c r="L1635" s="6">
        <v>42917</v>
      </c>
      <c r="M1635">
        <v>7</v>
      </c>
      <c r="N1635" s="7" t="s">
        <v>55</v>
      </c>
      <c r="O1635" t="s">
        <v>444</v>
      </c>
      <c r="P1635" t="s">
        <v>578</v>
      </c>
      <c r="Q1635" t="s">
        <v>579</v>
      </c>
      <c r="R1635" t="s">
        <v>446</v>
      </c>
    </row>
    <row r="1636" spans="1:18" hidden="1">
      <c r="A1636">
        <v>11</v>
      </c>
      <c r="B1636" s="4" t="s">
        <v>554</v>
      </c>
      <c r="C1636" s="4" t="s">
        <v>555</v>
      </c>
      <c r="D1636" s="4" t="s">
        <v>556</v>
      </c>
      <c r="E1636" s="4" t="s">
        <v>5804</v>
      </c>
      <c r="F1636" t="s">
        <v>443</v>
      </c>
      <c r="G1636" t="s">
        <v>443</v>
      </c>
      <c r="H1636" t="s">
        <v>53</v>
      </c>
      <c r="I1636" t="s">
        <v>53</v>
      </c>
      <c r="J1636" s="5" t="s">
        <v>53</v>
      </c>
      <c r="K1636" t="s">
        <v>29</v>
      </c>
      <c r="L1636" s="6">
        <v>43070</v>
      </c>
      <c r="M1636">
        <v>12</v>
      </c>
      <c r="N1636" s="7" t="s">
        <v>30</v>
      </c>
      <c r="O1636" t="s">
        <v>31</v>
      </c>
      <c r="P1636" t="s">
        <v>585</v>
      </c>
      <c r="Q1636" t="s">
        <v>586</v>
      </c>
      <c r="R1636" t="s">
        <v>587</v>
      </c>
    </row>
    <row r="1637" spans="1:18" hidden="1">
      <c r="A1637">
        <v>11</v>
      </c>
      <c r="B1637" s="4" t="s">
        <v>554</v>
      </c>
      <c r="C1637" s="4" t="s">
        <v>896</v>
      </c>
      <c r="D1637" s="4" t="s">
        <v>897</v>
      </c>
      <c r="E1637" s="4" t="s">
        <v>5805</v>
      </c>
      <c r="F1637" t="s">
        <v>443</v>
      </c>
      <c r="G1637" t="s">
        <v>443</v>
      </c>
      <c r="H1637" t="s">
        <v>53</v>
      </c>
      <c r="I1637" t="s">
        <v>53</v>
      </c>
      <c r="J1637" s="5" t="s">
        <v>53</v>
      </c>
      <c r="K1637" t="s">
        <v>797</v>
      </c>
      <c r="L1637" s="6">
        <v>43252</v>
      </c>
      <c r="M1637">
        <v>6</v>
      </c>
      <c r="N1637" s="7" t="s">
        <v>55</v>
      </c>
      <c r="O1637" t="s">
        <v>88</v>
      </c>
      <c r="P1637" t="s">
        <v>898</v>
      </c>
      <c r="Q1637" t="s">
        <v>899</v>
      </c>
      <c r="R1637" t="s">
        <v>900</v>
      </c>
    </row>
    <row r="1638" spans="1:18" hidden="1">
      <c r="A1638">
        <v>12</v>
      </c>
      <c r="B1638" s="4" t="s">
        <v>901</v>
      </c>
      <c r="C1638" s="4" t="s">
        <v>1463</v>
      </c>
      <c r="D1638" s="4" t="s">
        <v>1557</v>
      </c>
      <c r="E1638" s="4" t="s">
        <v>5804</v>
      </c>
      <c r="F1638" t="s">
        <v>6070</v>
      </c>
      <c r="G1638" t="s">
        <v>6045</v>
      </c>
      <c r="H1638" t="s">
        <v>53</v>
      </c>
      <c r="I1638" t="s">
        <v>53</v>
      </c>
      <c r="J1638" s="5" t="s">
        <v>53</v>
      </c>
      <c r="K1638" t="s">
        <v>797</v>
      </c>
      <c r="L1638" s="6">
        <v>43252</v>
      </c>
      <c r="M1638">
        <v>6</v>
      </c>
      <c r="N1638" s="7" t="s">
        <v>55</v>
      </c>
      <c r="O1638" t="s">
        <v>36</v>
      </c>
      <c r="P1638" t="s">
        <v>1562</v>
      </c>
      <c r="Q1638" t="s">
        <v>1563</v>
      </c>
      <c r="R1638" t="s">
        <v>1564</v>
      </c>
    </row>
    <row r="1639" spans="1:18" hidden="1">
      <c r="A1639">
        <v>12</v>
      </c>
      <c r="B1639" s="4" t="s">
        <v>901</v>
      </c>
      <c r="C1639" s="4" t="s">
        <v>1672</v>
      </c>
      <c r="D1639" s="4" t="s">
        <v>1673</v>
      </c>
      <c r="E1639" s="4" t="s">
        <v>5804</v>
      </c>
      <c r="F1639" t="s">
        <v>6215</v>
      </c>
      <c r="G1639" t="s">
        <v>1722</v>
      </c>
      <c r="H1639" t="s">
        <v>53</v>
      </c>
      <c r="I1639" t="s">
        <v>53</v>
      </c>
      <c r="J1639" s="5" t="s">
        <v>53</v>
      </c>
      <c r="K1639" t="s">
        <v>319</v>
      </c>
      <c r="L1639" s="6">
        <v>42583</v>
      </c>
      <c r="M1639">
        <v>8</v>
      </c>
      <c r="N1639" s="7" t="s">
        <v>55</v>
      </c>
      <c r="O1639" t="s">
        <v>1722</v>
      </c>
      <c r="P1639" t="s">
        <v>1723</v>
      </c>
      <c r="Q1639" t="s">
        <v>1724</v>
      </c>
      <c r="R1639" t="s">
        <v>1725</v>
      </c>
    </row>
    <row r="1640" spans="1:18" hidden="1">
      <c r="A1640">
        <v>12</v>
      </c>
      <c r="B1640" s="4" t="s">
        <v>901</v>
      </c>
      <c r="C1640" s="4" t="s">
        <v>1672</v>
      </c>
      <c r="D1640" s="4" t="s">
        <v>1673</v>
      </c>
      <c r="E1640" s="4" t="s">
        <v>5804</v>
      </c>
      <c r="F1640" t="s">
        <v>443</v>
      </c>
      <c r="G1640" t="s">
        <v>443</v>
      </c>
      <c r="H1640" t="s">
        <v>53</v>
      </c>
      <c r="I1640" t="s">
        <v>53</v>
      </c>
      <c r="J1640" s="5" t="s">
        <v>53</v>
      </c>
      <c r="K1640" t="s">
        <v>124</v>
      </c>
      <c r="L1640" s="6">
        <v>42767</v>
      </c>
      <c r="M1640">
        <v>2</v>
      </c>
      <c r="N1640" s="7" t="s">
        <v>30</v>
      </c>
      <c r="O1640" t="s">
        <v>31</v>
      </c>
      <c r="P1640" t="s">
        <v>1741</v>
      </c>
      <c r="Q1640" t="s">
        <v>1742</v>
      </c>
      <c r="R1640" t="s">
        <v>1743</v>
      </c>
    </row>
    <row r="1641" spans="1:18" hidden="1">
      <c r="A1641">
        <v>12</v>
      </c>
      <c r="B1641" s="4" t="s">
        <v>901</v>
      </c>
      <c r="C1641" s="4" t="s">
        <v>1672</v>
      </c>
      <c r="D1641" s="4" t="s">
        <v>1673</v>
      </c>
      <c r="E1641" s="4" t="s">
        <v>5804</v>
      </c>
      <c r="F1641" t="s">
        <v>444</v>
      </c>
      <c r="G1641" t="s">
        <v>444</v>
      </c>
      <c r="H1641" t="s">
        <v>53</v>
      </c>
      <c r="I1641" t="s">
        <v>53</v>
      </c>
      <c r="J1641" s="5" t="s">
        <v>53</v>
      </c>
      <c r="K1641" t="s">
        <v>83</v>
      </c>
      <c r="L1641" s="6">
        <v>42948</v>
      </c>
      <c r="M1641">
        <v>8</v>
      </c>
      <c r="N1641" s="7" t="s">
        <v>55</v>
      </c>
      <c r="O1641" t="s">
        <v>444</v>
      </c>
      <c r="P1641" t="s">
        <v>1768</v>
      </c>
      <c r="Q1641" t="s">
        <v>1769</v>
      </c>
      <c r="R1641" t="s">
        <v>446</v>
      </c>
    </row>
    <row r="1642" spans="1:18" hidden="1">
      <c r="A1642">
        <v>12</v>
      </c>
      <c r="B1642" s="4" t="s">
        <v>901</v>
      </c>
      <c r="C1642" s="4" t="s">
        <v>1672</v>
      </c>
      <c r="D1642" s="4" t="s">
        <v>1673</v>
      </c>
      <c r="E1642" s="4" t="s">
        <v>5804</v>
      </c>
      <c r="F1642" t="s">
        <v>6185</v>
      </c>
      <c r="G1642" t="s">
        <v>6024</v>
      </c>
      <c r="H1642" t="s">
        <v>6217</v>
      </c>
      <c r="I1642" t="s">
        <v>53</v>
      </c>
      <c r="J1642" s="5" t="s">
        <v>53</v>
      </c>
      <c r="K1642" t="s">
        <v>85</v>
      </c>
      <c r="L1642" s="6">
        <v>43009</v>
      </c>
      <c r="M1642">
        <v>10</v>
      </c>
      <c r="N1642" s="7" t="s">
        <v>23</v>
      </c>
      <c r="O1642" t="s">
        <v>31</v>
      </c>
      <c r="P1642" t="s">
        <v>1780</v>
      </c>
      <c r="Q1642" t="s">
        <v>1742</v>
      </c>
      <c r="R1642" t="s">
        <v>1743</v>
      </c>
    </row>
    <row r="1643" spans="1:18" hidden="1">
      <c r="A1643">
        <v>12</v>
      </c>
      <c r="B1643" s="4" t="s">
        <v>901</v>
      </c>
      <c r="C1643" s="4" t="s">
        <v>1672</v>
      </c>
      <c r="D1643" s="4" t="s">
        <v>1673</v>
      </c>
      <c r="E1643" s="4" t="s">
        <v>5804</v>
      </c>
      <c r="F1643" t="s">
        <v>443</v>
      </c>
      <c r="G1643" t="s">
        <v>443</v>
      </c>
      <c r="H1643" t="s">
        <v>53</v>
      </c>
      <c r="I1643" t="s">
        <v>53</v>
      </c>
      <c r="J1643" s="5" t="s">
        <v>53</v>
      </c>
      <c r="K1643" t="s">
        <v>142</v>
      </c>
      <c r="L1643" s="6">
        <v>43101</v>
      </c>
      <c r="M1643">
        <v>1</v>
      </c>
      <c r="N1643" s="7" t="s">
        <v>30</v>
      </c>
      <c r="O1643" t="s">
        <v>31</v>
      </c>
      <c r="P1643" t="s">
        <v>1794</v>
      </c>
      <c r="Q1643" t="s">
        <v>1742</v>
      </c>
      <c r="R1643" t="s">
        <v>1743</v>
      </c>
    </row>
    <row r="1644" spans="1:18" hidden="1">
      <c r="A1644">
        <v>12</v>
      </c>
      <c r="B1644" s="4" t="s">
        <v>901</v>
      </c>
      <c r="C1644" s="4" t="s">
        <v>1672</v>
      </c>
      <c r="D1644" s="4" t="s">
        <v>1673</v>
      </c>
      <c r="E1644" s="4" t="s">
        <v>5804</v>
      </c>
      <c r="F1644" t="s">
        <v>6067</v>
      </c>
      <c r="G1644" t="s">
        <v>444</v>
      </c>
      <c r="H1644" t="s">
        <v>53</v>
      </c>
      <c r="I1644" t="s">
        <v>53</v>
      </c>
      <c r="J1644" s="5" t="s">
        <v>53</v>
      </c>
      <c r="K1644" t="s">
        <v>292</v>
      </c>
      <c r="L1644" s="6">
        <v>43191</v>
      </c>
      <c r="M1644">
        <v>4</v>
      </c>
      <c r="N1644" s="7" t="s">
        <v>23</v>
      </c>
      <c r="O1644" t="s">
        <v>444</v>
      </c>
      <c r="P1644" t="s">
        <v>1801</v>
      </c>
      <c r="Q1644" t="s">
        <v>1769</v>
      </c>
      <c r="R1644" t="s">
        <v>446</v>
      </c>
    </row>
    <row r="1645" spans="1:18" hidden="1">
      <c r="A1645">
        <v>12</v>
      </c>
      <c r="B1645" s="4" t="s">
        <v>901</v>
      </c>
      <c r="C1645" s="4" t="s">
        <v>1672</v>
      </c>
      <c r="D1645" s="4" t="s">
        <v>1673</v>
      </c>
      <c r="E1645" s="4" t="s">
        <v>5804</v>
      </c>
      <c r="F1645" t="s">
        <v>6215</v>
      </c>
      <c r="G1645" t="s">
        <v>1722</v>
      </c>
      <c r="H1645" t="s">
        <v>53</v>
      </c>
      <c r="I1645" t="s">
        <v>53</v>
      </c>
      <c r="J1645" s="5" t="s">
        <v>53</v>
      </c>
      <c r="K1645" t="s">
        <v>93</v>
      </c>
      <c r="L1645" s="6">
        <v>43282</v>
      </c>
      <c r="M1645">
        <v>7</v>
      </c>
      <c r="N1645" s="7" t="s">
        <v>55</v>
      </c>
      <c r="O1645" t="s">
        <v>1722</v>
      </c>
      <c r="P1645" t="s">
        <v>1813</v>
      </c>
      <c r="Q1645" t="s">
        <v>1724</v>
      </c>
      <c r="R1645" t="s">
        <v>1725</v>
      </c>
    </row>
    <row r="1646" spans="1:18" hidden="1">
      <c r="A1646">
        <v>12</v>
      </c>
      <c r="B1646" s="4" t="s">
        <v>901</v>
      </c>
      <c r="C1646" s="4" t="s">
        <v>1672</v>
      </c>
      <c r="D1646" s="4" t="s">
        <v>1673</v>
      </c>
      <c r="E1646" s="4" t="s">
        <v>5804</v>
      </c>
      <c r="F1646" t="s">
        <v>6215</v>
      </c>
      <c r="G1646" t="s">
        <v>1722</v>
      </c>
      <c r="H1646" t="s">
        <v>53</v>
      </c>
      <c r="I1646" t="s">
        <v>53</v>
      </c>
      <c r="J1646" s="5" t="s">
        <v>53</v>
      </c>
      <c r="K1646" t="s">
        <v>146</v>
      </c>
      <c r="L1646" s="6">
        <v>43313</v>
      </c>
      <c r="M1646">
        <v>8</v>
      </c>
      <c r="N1646" s="7" t="s">
        <v>55</v>
      </c>
      <c r="O1646" t="s">
        <v>1722</v>
      </c>
      <c r="P1646" t="s">
        <v>1821</v>
      </c>
      <c r="Q1646" t="s">
        <v>1822</v>
      </c>
      <c r="R1646" t="s">
        <v>1823</v>
      </c>
    </row>
    <row r="1647" spans="1:18" hidden="1">
      <c r="A1647">
        <v>12</v>
      </c>
      <c r="B1647" s="4" t="s">
        <v>901</v>
      </c>
      <c r="C1647" s="4" t="s">
        <v>1672</v>
      </c>
      <c r="D1647" s="4" t="s">
        <v>1673</v>
      </c>
      <c r="E1647" s="4" t="s">
        <v>5804</v>
      </c>
      <c r="F1647" t="s">
        <v>443</v>
      </c>
      <c r="G1647" t="s">
        <v>443</v>
      </c>
      <c r="H1647" t="s">
        <v>53</v>
      </c>
      <c r="I1647" t="s">
        <v>53</v>
      </c>
      <c r="J1647" s="5" t="s">
        <v>53</v>
      </c>
      <c r="K1647" t="s">
        <v>146</v>
      </c>
      <c r="L1647" s="6">
        <v>43313</v>
      </c>
      <c r="M1647">
        <v>8</v>
      </c>
      <c r="N1647" s="7" t="s">
        <v>55</v>
      </c>
      <c r="O1647" t="s">
        <v>979</v>
      </c>
      <c r="P1647" t="s">
        <v>1824</v>
      </c>
      <c r="Q1647" t="s">
        <v>1825</v>
      </c>
      <c r="R1647" t="s">
        <v>1826</v>
      </c>
    </row>
    <row r="1648" spans="1:18" hidden="1">
      <c r="A1648">
        <v>12</v>
      </c>
      <c r="B1648" s="4" t="s">
        <v>901</v>
      </c>
      <c r="C1648" s="4" t="s">
        <v>1672</v>
      </c>
      <c r="D1648" s="4" t="s">
        <v>1673</v>
      </c>
      <c r="E1648" s="4" t="s">
        <v>5804</v>
      </c>
      <c r="F1648" t="s">
        <v>6215</v>
      </c>
      <c r="G1648" t="s">
        <v>1722</v>
      </c>
      <c r="H1648" t="s">
        <v>53</v>
      </c>
      <c r="I1648" t="s">
        <v>53</v>
      </c>
      <c r="J1648" s="5" t="s">
        <v>53</v>
      </c>
      <c r="K1648" t="s">
        <v>146</v>
      </c>
      <c r="L1648" s="6">
        <v>43313</v>
      </c>
      <c r="M1648">
        <v>8</v>
      </c>
      <c r="N1648" s="7" t="s">
        <v>55</v>
      </c>
      <c r="O1648" t="s">
        <v>1722</v>
      </c>
      <c r="P1648" t="s">
        <v>1827</v>
      </c>
      <c r="Q1648" t="s">
        <v>1724</v>
      </c>
      <c r="R1648" t="s">
        <v>1725</v>
      </c>
    </row>
    <row r="1649" spans="1:18" hidden="1">
      <c r="A1649">
        <v>12</v>
      </c>
      <c r="B1649" s="4" t="s">
        <v>901</v>
      </c>
      <c r="C1649" s="4" t="s">
        <v>1672</v>
      </c>
      <c r="D1649" s="4" t="s">
        <v>1673</v>
      </c>
      <c r="E1649" s="4" t="s">
        <v>5804</v>
      </c>
      <c r="F1649" t="s">
        <v>443</v>
      </c>
      <c r="G1649" t="s">
        <v>443</v>
      </c>
      <c r="H1649" t="s">
        <v>53</v>
      </c>
      <c r="I1649" t="s">
        <v>53</v>
      </c>
      <c r="J1649" s="5" t="s">
        <v>53</v>
      </c>
      <c r="K1649" t="s">
        <v>43</v>
      </c>
      <c r="L1649" s="6">
        <v>43525</v>
      </c>
      <c r="M1649">
        <v>3</v>
      </c>
      <c r="N1649" s="7" t="s">
        <v>23</v>
      </c>
      <c r="O1649" t="s">
        <v>31</v>
      </c>
      <c r="P1649" t="s">
        <v>1856</v>
      </c>
      <c r="Q1649" t="s">
        <v>1742</v>
      </c>
      <c r="R1649" t="s">
        <v>1743</v>
      </c>
    </row>
    <row r="1650" spans="1:18" hidden="1">
      <c r="A1650">
        <v>12</v>
      </c>
      <c r="B1650" s="4" t="s">
        <v>901</v>
      </c>
      <c r="C1650" s="4" t="s">
        <v>1672</v>
      </c>
      <c r="D1650" s="4" t="s">
        <v>1673</v>
      </c>
      <c r="E1650" s="4" t="s">
        <v>5804</v>
      </c>
      <c r="F1650" t="s">
        <v>444</v>
      </c>
      <c r="G1650" t="s">
        <v>444</v>
      </c>
      <c r="H1650" t="s">
        <v>53</v>
      </c>
      <c r="I1650" t="s">
        <v>53</v>
      </c>
      <c r="J1650" s="5" t="s">
        <v>53</v>
      </c>
      <c r="K1650" t="s">
        <v>159</v>
      </c>
      <c r="L1650" s="6">
        <v>43586</v>
      </c>
      <c r="M1650">
        <v>5</v>
      </c>
      <c r="N1650" s="7" t="s">
        <v>23</v>
      </c>
      <c r="O1650" t="s">
        <v>444</v>
      </c>
      <c r="P1650" t="s">
        <v>1862</v>
      </c>
      <c r="Q1650" t="s">
        <v>1769</v>
      </c>
      <c r="R1650" t="s">
        <v>446</v>
      </c>
    </row>
    <row r="1651" spans="1:18" hidden="1">
      <c r="A1651">
        <v>12</v>
      </c>
      <c r="B1651" s="4" t="s">
        <v>901</v>
      </c>
      <c r="C1651" s="4" t="s">
        <v>1672</v>
      </c>
      <c r="D1651" s="4" t="s">
        <v>1673</v>
      </c>
      <c r="E1651" s="4" t="s">
        <v>5804</v>
      </c>
      <c r="F1651" t="s">
        <v>444</v>
      </c>
      <c r="G1651" t="s">
        <v>444</v>
      </c>
      <c r="H1651" t="s">
        <v>53</v>
      </c>
      <c r="I1651" t="s">
        <v>53</v>
      </c>
      <c r="J1651" s="5" t="s">
        <v>53</v>
      </c>
      <c r="K1651" t="s">
        <v>726</v>
      </c>
      <c r="L1651" s="6">
        <v>43709</v>
      </c>
      <c r="M1651">
        <v>9</v>
      </c>
      <c r="N1651" s="7" t="s">
        <v>23</v>
      </c>
      <c r="O1651" t="s">
        <v>444</v>
      </c>
      <c r="P1651" t="s">
        <v>1871</v>
      </c>
      <c r="Q1651" t="s">
        <v>1769</v>
      </c>
      <c r="R1651" t="s">
        <v>446</v>
      </c>
    </row>
    <row r="1652" spans="1:18" hidden="1">
      <c r="A1652">
        <v>12</v>
      </c>
      <c r="B1652" s="4" t="s">
        <v>901</v>
      </c>
      <c r="C1652" s="4" t="s">
        <v>1672</v>
      </c>
      <c r="D1652" s="4" t="s">
        <v>1673</v>
      </c>
      <c r="E1652" s="4" t="s">
        <v>5804</v>
      </c>
      <c r="F1652" t="s">
        <v>6215</v>
      </c>
      <c r="G1652" t="s">
        <v>1722</v>
      </c>
      <c r="H1652" t="s">
        <v>53</v>
      </c>
      <c r="I1652" t="s">
        <v>53</v>
      </c>
      <c r="J1652" s="5" t="s">
        <v>53</v>
      </c>
      <c r="K1652" t="s">
        <v>267</v>
      </c>
      <c r="L1652" s="6">
        <v>44044</v>
      </c>
      <c r="M1652">
        <v>8</v>
      </c>
      <c r="N1652" s="7" t="s">
        <v>55</v>
      </c>
      <c r="O1652" t="s">
        <v>1722</v>
      </c>
      <c r="P1652" t="s">
        <v>1901</v>
      </c>
      <c r="Q1652" t="s">
        <v>1724</v>
      </c>
      <c r="R1652" t="s">
        <v>1725</v>
      </c>
    </row>
    <row r="1653" spans="1:18" hidden="1">
      <c r="A1653">
        <v>12</v>
      </c>
      <c r="B1653" s="4" t="s">
        <v>901</v>
      </c>
      <c r="C1653" s="4" t="s">
        <v>1672</v>
      </c>
      <c r="D1653" s="4" t="s">
        <v>1673</v>
      </c>
      <c r="E1653" s="4" t="s">
        <v>5804</v>
      </c>
      <c r="F1653" t="s">
        <v>443</v>
      </c>
      <c r="G1653" t="s">
        <v>443</v>
      </c>
      <c r="H1653" t="s">
        <v>53</v>
      </c>
      <c r="I1653" t="s">
        <v>53</v>
      </c>
      <c r="J1653" s="5" t="s">
        <v>53</v>
      </c>
      <c r="K1653" t="s">
        <v>365</v>
      </c>
      <c r="L1653" s="6">
        <v>44105</v>
      </c>
      <c r="M1653">
        <v>10</v>
      </c>
      <c r="N1653" s="7" t="s">
        <v>23</v>
      </c>
      <c r="O1653" t="s">
        <v>223</v>
      </c>
      <c r="P1653" t="s">
        <v>1910</v>
      </c>
      <c r="Q1653" t="s">
        <v>1911</v>
      </c>
      <c r="R1653" t="s">
        <v>1912</v>
      </c>
    </row>
    <row r="1654" spans="1:18" hidden="1">
      <c r="A1654">
        <v>12</v>
      </c>
      <c r="B1654" s="4" t="s">
        <v>901</v>
      </c>
      <c r="C1654" s="4" t="s">
        <v>1672</v>
      </c>
      <c r="D1654" s="4" t="s">
        <v>1673</v>
      </c>
      <c r="E1654" s="4" t="s">
        <v>5804</v>
      </c>
      <c r="F1654" t="s">
        <v>443</v>
      </c>
      <c r="G1654" t="s">
        <v>443</v>
      </c>
      <c r="H1654" t="s">
        <v>53</v>
      </c>
      <c r="I1654" t="s">
        <v>53</v>
      </c>
      <c r="J1654" s="5" t="s">
        <v>53</v>
      </c>
      <c r="K1654" t="s">
        <v>178</v>
      </c>
      <c r="L1654" s="6">
        <v>44228</v>
      </c>
      <c r="M1654">
        <v>2</v>
      </c>
      <c r="N1654" s="7" t="s">
        <v>30</v>
      </c>
      <c r="O1654" t="s">
        <v>31</v>
      </c>
      <c r="P1654" t="s">
        <v>1923</v>
      </c>
      <c r="Q1654" t="s">
        <v>1742</v>
      </c>
      <c r="R1654" t="s">
        <v>1743</v>
      </c>
    </row>
    <row r="1655" spans="1:18" hidden="1">
      <c r="A1655">
        <v>12</v>
      </c>
      <c r="B1655" s="4" t="s">
        <v>901</v>
      </c>
      <c r="C1655" s="4" t="s">
        <v>1672</v>
      </c>
      <c r="D1655" s="4" t="s">
        <v>1673</v>
      </c>
      <c r="E1655" s="4" t="s">
        <v>5804</v>
      </c>
      <c r="F1655" t="s">
        <v>6215</v>
      </c>
      <c r="G1655" t="s">
        <v>1722</v>
      </c>
      <c r="H1655" t="s">
        <v>53</v>
      </c>
      <c r="I1655" t="s">
        <v>53</v>
      </c>
      <c r="J1655" s="5" t="s">
        <v>53</v>
      </c>
      <c r="K1655" t="s">
        <v>630</v>
      </c>
      <c r="L1655" s="6">
        <v>44378</v>
      </c>
      <c r="M1655">
        <v>7</v>
      </c>
      <c r="N1655" s="7" t="s">
        <v>55</v>
      </c>
      <c r="O1655" t="s">
        <v>1722</v>
      </c>
      <c r="P1655" t="s">
        <v>1938</v>
      </c>
      <c r="Q1655" t="s">
        <v>1724</v>
      </c>
      <c r="R1655" t="s">
        <v>1725</v>
      </c>
    </row>
    <row r="1656" spans="1:18" hidden="1">
      <c r="A1656">
        <v>2</v>
      </c>
      <c r="B1656" s="4" t="s">
        <v>1952</v>
      </c>
      <c r="C1656" s="4" t="s">
        <v>1953</v>
      </c>
      <c r="D1656" s="4" t="s">
        <v>1954</v>
      </c>
      <c r="E1656" s="4" t="s">
        <v>5804</v>
      </c>
      <c r="F1656" t="s">
        <v>6215</v>
      </c>
      <c r="G1656" t="s">
        <v>1722</v>
      </c>
      <c r="H1656" t="s">
        <v>53</v>
      </c>
      <c r="I1656" t="s">
        <v>53</v>
      </c>
      <c r="J1656" s="5" t="s">
        <v>53</v>
      </c>
      <c r="K1656" t="s">
        <v>80</v>
      </c>
      <c r="L1656" s="6">
        <v>42917</v>
      </c>
      <c r="M1656">
        <v>7</v>
      </c>
      <c r="N1656" s="7" t="s">
        <v>55</v>
      </c>
      <c r="O1656" t="s">
        <v>1722</v>
      </c>
      <c r="P1656" t="s">
        <v>1996</v>
      </c>
      <c r="Q1656" t="s">
        <v>1997</v>
      </c>
      <c r="R1656" t="s">
        <v>1998</v>
      </c>
    </row>
    <row r="1657" spans="1:18" hidden="1">
      <c r="A1657">
        <v>2</v>
      </c>
      <c r="B1657" s="4" t="s">
        <v>1952</v>
      </c>
      <c r="C1657" s="4" t="s">
        <v>1953</v>
      </c>
      <c r="D1657" s="4" t="s">
        <v>2072</v>
      </c>
      <c r="E1657" s="4" t="s">
        <v>5804</v>
      </c>
      <c r="F1657" t="s">
        <v>444</v>
      </c>
      <c r="G1657" t="s">
        <v>444</v>
      </c>
      <c r="H1657" t="s">
        <v>53</v>
      </c>
      <c r="I1657" t="s">
        <v>53</v>
      </c>
      <c r="J1657" s="5" t="s">
        <v>53</v>
      </c>
      <c r="K1657" t="s">
        <v>422</v>
      </c>
      <c r="L1657" s="6">
        <v>42736</v>
      </c>
      <c r="M1657">
        <v>1</v>
      </c>
      <c r="N1657" s="7" t="s">
        <v>30</v>
      </c>
      <c r="O1657" t="s">
        <v>444</v>
      </c>
      <c r="P1657" t="s">
        <v>2110</v>
      </c>
      <c r="Q1657" t="s">
        <v>2111</v>
      </c>
      <c r="R1657" t="s">
        <v>446</v>
      </c>
    </row>
    <row r="1658" spans="1:18" hidden="1">
      <c r="A1658">
        <v>2</v>
      </c>
      <c r="B1658" s="4" t="s">
        <v>1952</v>
      </c>
      <c r="C1658" s="4" t="s">
        <v>1953</v>
      </c>
      <c r="D1658" s="4" t="s">
        <v>2072</v>
      </c>
      <c r="E1658" s="4" t="s">
        <v>5804</v>
      </c>
      <c r="F1658" t="s">
        <v>444</v>
      </c>
      <c r="G1658" t="s">
        <v>444</v>
      </c>
      <c r="H1658" t="s">
        <v>53</v>
      </c>
      <c r="I1658" t="s">
        <v>53</v>
      </c>
      <c r="J1658" s="5" t="s">
        <v>53</v>
      </c>
      <c r="K1658" t="s">
        <v>369</v>
      </c>
      <c r="L1658" s="6">
        <v>44197</v>
      </c>
      <c r="M1658">
        <v>1</v>
      </c>
      <c r="N1658" s="7" t="s">
        <v>30</v>
      </c>
      <c r="O1658" t="s">
        <v>444</v>
      </c>
      <c r="P1658" t="s">
        <v>2210</v>
      </c>
      <c r="Q1658" t="s">
        <v>2211</v>
      </c>
      <c r="R1658" t="s">
        <v>446</v>
      </c>
    </row>
    <row r="1659" spans="1:18" hidden="1">
      <c r="A1659">
        <v>2</v>
      </c>
      <c r="B1659" s="4" t="s">
        <v>1952</v>
      </c>
      <c r="C1659" s="4" t="s">
        <v>1953</v>
      </c>
      <c r="D1659" s="4" t="s">
        <v>2224</v>
      </c>
      <c r="E1659" s="4" t="s">
        <v>5804</v>
      </c>
      <c r="F1659" t="s">
        <v>443</v>
      </c>
      <c r="G1659" t="s">
        <v>443</v>
      </c>
      <c r="H1659" t="s">
        <v>53</v>
      </c>
      <c r="I1659" t="s">
        <v>53</v>
      </c>
      <c r="J1659" s="5" t="s">
        <v>53</v>
      </c>
      <c r="K1659" t="s">
        <v>85</v>
      </c>
      <c r="L1659" s="6">
        <v>43009</v>
      </c>
      <c r="M1659">
        <v>10</v>
      </c>
      <c r="N1659" s="7" t="s">
        <v>23</v>
      </c>
      <c r="O1659" t="s">
        <v>24</v>
      </c>
      <c r="P1659" t="s">
        <v>6218</v>
      </c>
      <c r="Q1659" t="s">
        <v>2273</v>
      </c>
      <c r="R1659" t="s">
        <v>2274</v>
      </c>
    </row>
    <row r="1660" spans="1:18" hidden="1">
      <c r="A1660">
        <v>2</v>
      </c>
      <c r="B1660" s="4" t="s">
        <v>1952</v>
      </c>
      <c r="C1660" s="4" t="s">
        <v>2425</v>
      </c>
      <c r="D1660" s="4" t="s">
        <v>2509</v>
      </c>
      <c r="E1660" s="4" t="s">
        <v>5804</v>
      </c>
      <c r="F1660" t="s">
        <v>443</v>
      </c>
      <c r="G1660" t="s">
        <v>443</v>
      </c>
      <c r="H1660" t="s">
        <v>53</v>
      </c>
      <c r="I1660" t="s">
        <v>53</v>
      </c>
      <c r="J1660" s="5" t="s">
        <v>53</v>
      </c>
      <c r="K1660" t="s">
        <v>43</v>
      </c>
      <c r="L1660" s="6">
        <v>43525</v>
      </c>
      <c r="M1660">
        <v>3</v>
      </c>
      <c r="N1660" s="7" t="s">
        <v>23</v>
      </c>
      <c r="O1660" t="s">
        <v>418</v>
      </c>
      <c r="P1660" t="s">
        <v>6219</v>
      </c>
      <c r="Q1660" t="s">
        <v>2545</v>
      </c>
      <c r="R1660" t="s">
        <v>2546</v>
      </c>
    </row>
    <row r="1661" spans="1:18" hidden="1">
      <c r="A1661">
        <v>2</v>
      </c>
      <c r="B1661" s="4" t="s">
        <v>1952</v>
      </c>
      <c r="C1661" s="4" t="s">
        <v>2425</v>
      </c>
      <c r="D1661" s="4" t="s">
        <v>2509</v>
      </c>
      <c r="E1661" s="4" t="s">
        <v>5804</v>
      </c>
      <c r="F1661" t="s">
        <v>6215</v>
      </c>
      <c r="G1661" t="s">
        <v>1722</v>
      </c>
      <c r="H1661" t="s">
        <v>53</v>
      </c>
      <c r="I1661" t="s">
        <v>53</v>
      </c>
      <c r="J1661" s="5" t="s">
        <v>53</v>
      </c>
      <c r="K1661" t="s">
        <v>267</v>
      </c>
      <c r="L1661" s="6">
        <v>44044</v>
      </c>
      <c r="M1661">
        <v>8</v>
      </c>
      <c r="N1661" s="7" t="s">
        <v>55</v>
      </c>
      <c r="O1661" t="s">
        <v>1722</v>
      </c>
      <c r="P1661" t="s">
        <v>2550</v>
      </c>
      <c r="Q1661" t="s">
        <v>2551</v>
      </c>
      <c r="R1661" t="s">
        <v>2552</v>
      </c>
    </row>
    <row r="1662" spans="1:18" hidden="1">
      <c r="A1662">
        <v>2</v>
      </c>
      <c r="B1662" s="4" t="s">
        <v>1952</v>
      </c>
      <c r="C1662" s="4" t="s">
        <v>2566</v>
      </c>
      <c r="D1662" s="4" t="s">
        <v>2567</v>
      </c>
      <c r="E1662" s="4" t="s">
        <v>5804</v>
      </c>
      <c r="F1662" t="s">
        <v>6215</v>
      </c>
      <c r="G1662" t="s">
        <v>1722</v>
      </c>
      <c r="H1662" t="s">
        <v>53</v>
      </c>
      <c r="I1662" t="s">
        <v>53</v>
      </c>
      <c r="J1662" s="5" t="s">
        <v>53</v>
      </c>
      <c r="K1662" t="s">
        <v>630</v>
      </c>
      <c r="L1662" s="6">
        <v>44378</v>
      </c>
      <c r="M1662">
        <v>7</v>
      </c>
      <c r="N1662" s="7" t="s">
        <v>55</v>
      </c>
      <c r="O1662" t="s">
        <v>1722</v>
      </c>
      <c r="P1662" t="s">
        <v>2611</v>
      </c>
      <c r="Q1662" t="s">
        <v>2612</v>
      </c>
      <c r="R1662" t="s">
        <v>2552</v>
      </c>
    </row>
    <row r="1663" spans="1:18" hidden="1">
      <c r="A1663">
        <v>2</v>
      </c>
      <c r="B1663" s="4" t="s">
        <v>1952</v>
      </c>
      <c r="C1663" s="4" t="s">
        <v>2566</v>
      </c>
      <c r="D1663" s="4" t="s">
        <v>2620</v>
      </c>
      <c r="E1663" s="4" t="s">
        <v>5804</v>
      </c>
      <c r="F1663" t="s">
        <v>444</v>
      </c>
      <c r="G1663" t="s">
        <v>443</v>
      </c>
      <c r="H1663" t="s">
        <v>53</v>
      </c>
      <c r="I1663" t="s">
        <v>53</v>
      </c>
      <c r="J1663" s="5" t="s">
        <v>53</v>
      </c>
      <c r="K1663" t="s">
        <v>93</v>
      </c>
      <c r="L1663" s="6">
        <v>43282</v>
      </c>
      <c r="M1663">
        <v>7</v>
      </c>
      <c r="N1663" s="7" t="s">
        <v>55</v>
      </c>
      <c r="O1663" t="s">
        <v>444</v>
      </c>
      <c r="P1663" t="s">
        <v>2673</v>
      </c>
      <c r="Q1663" t="s">
        <v>2674</v>
      </c>
      <c r="R1663" t="s">
        <v>2675</v>
      </c>
    </row>
    <row r="1664" spans="1:18" hidden="1">
      <c r="A1664">
        <v>2</v>
      </c>
      <c r="B1664" s="4" t="s">
        <v>1952</v>
      </c>
      <c r="C1664" s="4" t="s">
        <v>2566</v>
      </c>
      <c r="D1664" s="4" t="s">
        <v>2735</v>
      </c>
      <c r="E1664" s="4" t="s">
        <v>5804</v>
      </c>
      <c r="F1664" t="s">
        <v>444</v>
      </c>
      <c r="G1664" t="s">
        <v>444</v>
      </c>
      <c r="H1664" t="s">
        <v>53</v>
      </c>
      <c r="I1664" t="s">
        <v>53</v>
      </c>
      <c r="J1664" s="5" t="s">
        <v>53</v>
      </c>
      <c r="K1664" t="s">
        <v>267</v>
      </c>
      <c r="L1664" s="6">
        <v>44044</v>
      </c>
      <c r="M1664">
        <v>8</v>
      </c>
      <c r="N1664" s="7" t="s">
        <v>55</v>
      </c>
      <c r="O1664" t="s">
        <v>444</v>
      </c>
      <c r="P1664" t="s">
        <v>2760</v>
      </c>
      <c r="Q1664" t="s">
        <v>2761</v>
      </c>
      <c r="R1664" t="s">
        <v>2762</v>
      </c>
    </row>
    <row r="1665" spans="1:18" hidden="1">
      <c r="A1665">
        <v>4</v>
      </c>
      <c r="B1665" s="4" t="s">
        <v>3127</v>
      </c>
      <c r="C1665" s="4" t="s">
        <v>3374</v>
      </c>
      <c r="D1665" s="4" t="s">
        <v>3375</v>
      </c>
      <c r="E1665" s="4" t="s">
        <v>5804</v>
      </c>
      <c r="F1665" t="s">
        <v>444</v>
      </c>
      <c r="G1665" t="s">
        <v>444</v>
      </c>
      <c r="H1665" t="s">
        <v>53</v>
      </c>
      <c r="I1665" t="s">
        <v>53</v>
      </c>
      <c r="J1665" s="5" t="s">
        <v>53</v>
      </c>
      <c r="K1665" t="s">
        <v>1085</v>
      </c>
      <c r="L1665" s="6">
        <v>43862</v>
      </c>
      <c r="M1665">
        <v>2</v>
      </c>
      <c r="N1665" s="7" t="s">
        <v>30</v>
      </c>
      <c r="O1665" t="s">
        <v>444</v>
      </c>
      <c r="P1665" t="s">
        <v>3480</v>
      </c>
      <c r="Q1665" t="s">
        <v>3481</v>
      </c>
      <c r="R1665" t="s">
        <v>3482</v>
      </c>
    </row>
    <row r="1666" spans="1:18" hidden="1">
      <c r="A1666">
        <v>4</v>
      </c>
      <c r="B1666" s="4" t="s">
        <v>3127</v>
      </c>
      <c r="C1666" s="4" t="s">
        <v>3597</v>
      </c>
      <c r="D1666" s="4" t="s">
        <v>3617</v>
      </c>
      <c r="E1666" s="4" t="s">
        <v>5804</v>
      </c>
      <c r="F1666" t="s">
        <v>443</v>
      </c>
      <c r="G1666" t="s">
        <v>443</v>
      </c>
      <c r="H1666" t="s">
        <v>53</v>
      </c>
      <c r="I1666" t="s">
        <v>53</v>
      </c>
      <c r="J1666" s="5" t="s">
        <v>53</v>
      </c>
      <c r="K1666" t="s">
        <v>29</v>
      </c>
      <c r="L1666" s="6">
        <v>43070</v>
      </c>
      <c r="M1666">
        <v>12</v>
      </c>
      <c r="N1666" s="7" t="s">
        <v>30</v>
      </c>
      <c r="O1666" t="s">
        <v>31</v>
      </c>
      <c r="P1666" t="s">
        <v>3638</v>
      </c>
      <c r="Q1666" t="s">
        <v>3639</v>
      </c>
      <c r="R1666" t="s">
        <v>3640</v>
      </c>
    </row>
    <row r="1667" spans="1:18" hidden="1">
      <c r="A1667">
        <v>4</v>
      </c>
      <c r="B1667" s="4" t="s">
        <v>3127</v>
      </c>
      <c r="C1667" s="4" t="s">
        <v>4035</v>
      </c>
      <c r="D1667" s="4" t="s">
        <v>4036</v>
      </c>
      <c r="E1667" s="4" t="s">
        <v>5804</v>
      </c>
      <c r="F1667" t="s">
        <v>443</v>
      </c>
      <c r="G1667" t="s">
        <v>443</v>
      </c>
      <c r="H1667" t="s">
        <v>53</v>
      </c>
      <c r="I1667" t="s">
        <v>53</v>
      </c>
      <c r="J1667" s="5" t="s">
        <v>53</v>
      </c>
      <c r="K1667" t="s">
        <v>204</v>
      </c>
      <c r="L1667" s="6">
        <v>43831</v>
      </c>
      <c r="M1667">
        <v>1</v>
      </c>
      <c r="N1667" s="7" t="s">
        <v>30</v>
      </c>
      <c r="O1667" t="s">
        <v>31</v>
      </c>
      <c r="P1667" t="s">
        <v>4063</v>
      </c>
      <c r="Q1667" t="s">
        <v>4064</v>
      </c>
      <c r="R1667" t="s">
        <v>4065</v>
      </c>
    </row>
    <row r="1668" spans="1:18" hidden="1">
      <c r="A1668">
        <v>4</v>
      </c>
      <c r="B1668" s="4" t="s">
        <v>3127</v>
      </c>
      <c r="C1668" s="4" t="s">
        <v>4035</v>
      </c>
      <c r="D1668" s="4" t="s">
        <v>4080</v>
      </c>
      <c r="E1668" s="4" t="s">
        <v>5804</v>
      </c>
      <c r="F1668" t="s">
        <v>443</v>
      </c>
      <c r="G1668" t="s">
        <v>443</v>
      </c>
      <c r="H1668" t="s">
        <v>53</v>
      </c>
      <c r="I1668" t="s">
        <v>53</v>
      </c>
      <c r="J1668" s="5" t="s">
        <v>53</v>
      </c>
      <c r="K1668" t="s">
        <v>83</v>
      </c>
      <c r="L1668" s="6">
        <v>42948</v>
      </c>
      <c r="M1668">
        <v>8</v>
      </c>
      <c r="N1668" s="7" t="s">
        <v>55</v>
      </c>
      <c r="O1668" t="s">
        <v>979</v>
      </c>
      <c r="P1668" t="s">
        <v>4118</v>
      </c>
      <c r="Q1668" t="s">
        <v>4119</v>
      </c>
      <c r="R1668" t="s">
        <v>4120</v>
      </c>
    </row>
    <row r="1669" spans="1:18" hidden="1">
      <c r="A1669">
        <v>4</v>
      </c>
      <c r="B1669" s="4" t="s">
        <v>3127</v>
      </c>
      <c r="C1669" s="4" t="s">
        <v>4207</v>
      </c>
      <c r="D1669" s="4" t="s">
        <v>4257</v>
      </c>
      <c r="E1669" s="4" t="s">
        <v>5804</v>
      </c>
      <c r="F1669" t="s">
        <v>443</v>
      </c>
      <c r="G1669" t="s">
        <v>443</v>
      </c>
      <c r="H1669" t="s">
        <v>53</v>
      </c>
      <c r="I1669" t="s">
        <v>53</v>
      </c>
      <c r="J1669" s="5" t="s">
        <v>53</v>
      </c>
      <c r="K1669" t="s">
        <v>357</v>
      </c>
      <c r="L1669" s="6">
        <v>43739</v>
      </c>
      <c r="M1669">
        <v>10</v>
      </c>
      <c r="N1669" s="7" t="s">
        <v>23</v>
      </c>
      <c r="O1669" t="s">
        <v>246</v>
      </c>
      <c r="P1669" t="s">
        <v>4482</v>
      </c>
      <c r="Q1669" t="s">
        <v>4483</v>
      </c>
      <c r="R1669" t="s">
        <v>4484</v>
      </c>
    </row>
    <row r="1670" spans="1:18" hidden="1">
      <c r="A1670">
        <v>5</v>
      </c>
      <c r="B1670" s="4" t="s">
        <v>4600</v>
      </c>
      <c r="C1670" s="4" t="s">
        <v>4601</v>
      </c>
      <c r="D1670" s="4" t="s">
        <v>4635</v>
      </c>
      <c r="E1670" s="4" t="s">
        <v>5804</v>
      </c>
      <c r="F1670" t="s">
        <v>444</v>
      </c>
      <c r="G1670" t="s">
        <v>444</v>
      </c>
      <c r="H1670" t="s">
        <v>53</v>
      </c>
      <c r="I1670" t="s">
        <v>53</v>
      </c>
      <c r="J1670" s="5" t="s">
        <v>53</v>
      </c>
      <c r="K1670" t="s">
        <v>691</v>
      </c>
      <c r="L1670" s="6">
        <v>43770</v>
      </c>
      <c r="M1670">
        <v>11</v>
      </c>
      <c r="N1670" s="7" t="s">
        <v>23</v>
      </c>
      <c r="O1670" t="s">
        <v>444</v>
      </c>
      <c r="P1670" t="s">
        <v>4724</v>
      </c>
      <c r="Q1670" t="s">
        <v>4725</v>
      </c>
      <c r="R1670" t="s">
        <v>488</v>
      </c>
    </row>
    <row r="1671" spans="1:18" hidden="1">
      <c r="A1671">
        <v>5</v>
      </c>
      <c r="B1671" s="4" t="s">
        <v>4600</v>
      </c>
      <c r="C1671" s="4" t="s">
        <v>4933</v>
      </c>
      <c r="D1671" s="4" t="s">
        <v>5014</v>
      </c>
      <c r="E1671" s="4" t="s">
        <v>5804</v>
      </c>
      <c r="F1671" t="s">
        <v>443</v>
      </c>
      <c r="G1671" t="s">
        <v>443</v>
      </c>
      <c r="H1671" t="s">
        <v>53</v>
      </c>
      <c r="I1671" t="s">
        <v>53</v>
      </c>
      <c r="J1671" s="5" t="s">
        <v>53</v>
      </c>
      <c r="K1671" t="s">
        <v>255</v>
      </c>
      <c r="L1671" s="6">
        <v>43983</v>
      </c>
      <c r="M1671">
        <v>6</v>
      </c>
      <c r="N1671" s="7" t="s">
        <v>55</v>
      </c>
      <c r="O1671" t="s">
        <v>508</v>
      </c>
      <c r="P1671" t="s">
        <v>5336</v>
      </c>
      <c r="Q1671" t="s">
        <v>5337</v>
      </c>
      <c r="R1671" t="s">
        <v>488</v>
      </c>
    </row>
    <row r="1672" spans="1:18" hidden="1">
      <c r="A1672">
        <v>5</v>
      </c>
      <c r="B1672" s="4" t="s">
        <v>4600</v>
      </c>
      <c r="C1672" s="4" t="s">
        <v>5385</v>
      </c>
      <c r="D1672" s="4" t="s">
        <v>5386</v>
      </c>
      <c r="E1672" s="4" t="s">
        <v>5804</v>
      </c>
      <c r="F1672" t="s">
        <v>443</v>
      </c>
      <c r="G1672" t="s">
        <v>443</v>
      </c>
      <c r="H1672" t="s">
        <v>53</v>
      </c>
      <c r="I1672" t="s">
        <v>53</v>
      </c>
      <c r="J1672" s="5" t="s">
        <v>53</v>
      </c>
      <c r="K1672" t="s">
        <v>80</v>
      </c>
      <c r="L1672" s="6">
        <v>42917</v>
      </c>
      <c r="M1672">
        <v>7</v>
      </c>
      <c r="N1672" s="7" t="s">
        <v>55</v>
      </c>
      <c r="O1672" t="s">
        <v>31</v>
      </c>
      <c r="P1672" t="s">
        <v>5396</v>
      </c>
      <c r="Q1672" t="s">
        <v>5397</v>
      </c>
      <c r="R1672" t="s">
        <v>5398</v>
      </c>
    </row>
    <row r="1673" spans="1:18" hidden="1">
      <c r="A1673">
        <v>6</v>
      </c>
      <c r="B1673" s="4" t="s">
        <v>5462</v>
      </c>
      <c r="C1673" s="4" t="s">
        <v>5463</v>
      </c>
      <c r="D1673" s="4" t="s">
        <v>5497</v>
      </c>
      <c r="E1673" s="4" t="s">
        <v>5804</v>
      </c>
      <c r="F1673" t="s">
        <v>443</v>
      </c>
      <c r="G1673" t="s">
        <v>443</v>
      </c>
      <c r="H1673" t="s">
        <v>53</v>
      </c>
      <c r="I1673" t="s">
        <v>53</v>
      </c>
      <c r="J1673" s="5" t="s">
        <v>53</v>
      </c>
      <c r="K1673" t="s">
        <v>87</v>
      </c>
      <c r="L1673" s="6">
        <v>43040</v>
      </c>
      <c r="M1673">
        <v>11</v>
      </c>
      <c r="N1673" s="7" t="s">
        <v>23</v>
      </c>
      <c r="O1673" t="s">
        <v>979</v>
      </c>
      <c r="P1673" t="s">
        <v>5532</v>
      </c>
      <c r="Q1673" t="s">
        <v>5533</v>
      </c>
      <c r="R1673" t="s">
        <v>5534</v>
      </c>
    </row>
    <row r="1674" spans="1:18" hidden="1">
      <c r="A1674">
        <v>11</v>
      </c>
      <c r="B1674" s="4" t="s">
        <v>554</v>
      </c>
      <c r="C1674" s="4" t="s">
        <v>555</v>
      </c>
      <c r="D1674" s="4" t="s">
        <v>556</v>
      </c>
      <c r="E1674" s="4" t="s">
        <v>5804</v>
      </c>
      <c r="F1674" t="s">
        <v>571</v>
      </c>
      <c r="G1674" t="s">
        <v>571</v>
      </c>
      <c r="H1674" t="s">
        <v>21</v>
      </c>
      <c r="I1674">
        <v>4</v>
      </c>
      <c r="J1674" s="5">
        <v>6.9000000000000006E-2</v>
      </c>
      <c r="K1674" t="s">
        <v>115</v>
      </c>
      <c r="L1674" s="6">
        <v>42461</v>
      </c>
      <c r="M1674">
        <v>4</v>
      </c>
      <c r="N1674" s="7" t="s">
        <v>23</v>
      </c>
      <c r="O1674" t="s">
        <v>31</v>
      </c>
      <c r="P1674" t="s">
        <v>572</v>
      </c>
      <c r="Q1674" t="s">
        <v>573</v>
      </c>
      <c r="R1674" t="s">
        <v>574</v>
      </c>
    </row>
    <row r="1675" spans="1:18" hidden="1">
      <c r="A1675">
        <v>12</v>
      </c>
      <c r="B1675" s="4" t="s">
        <v>901</v>
      </c>
      <c r="C1675" s="4" t="s">
        <v>902</v>
      </c>
      <c r="D1675" s="4" t="s">
        <v>903</v>
      </c>
      <c r="E1675" s="4" t="s">
        <v>5804</v>
      </c>
      <c r="F1675" t="s">
        <v>571</v>
      </c>
      <c r="G1675" t="s">
        <v>571</v>
      </c>
      <c r="H1675" t="s">
        <v>21</v>
      </c>
      <c r="I1675">
        <v>4</v>
      </c>
      <c r="J1675" s="5">
        <v>6.9000000000000006E-2</v>
      </c>
      <c r="K1675" t="s">
        <v>251</v>
      </c>
      <c r="L1675" s="6">
        <v>43952</v>
      </c>
      <c r="M1675">
        <v>5</v>
      </c>
      <c r="N1675" s="7" t="s">
        <v>23</v>
      </c>
      <c r="O1675" t="s">
        <v>31</v>
      </c>
      <c r="P1675" t="s">
        <v>1106</v>
      </c>
      <c r="Q1675" t="s">
        <v>1107</v>
      </c>
      <c r="R1675" t="s">
        <v>1108</v>
      </c>
    </row>
    <row r="1676" spans="1:18" hidden="1">
      <c r="A1676">
        <v>12</v>
      </c>
      <c r="B1676" s="4" t="s">
        <v>901</v>
      </c>
      <c r="C1676" s="4" t="s">
        <v>1161</v>
      </c>
      <c r="D1676" s="4" t="s">
        <v>1180</v>
      </c>
      <c r="E1676" s="4" t="s">
        <v>5804</v>
      </c>
      <c r="F1676" t="s">
        <v>571</v>
      </c>
      <c r="G1676" t="s">
        <v>571</v>
      </c>
      <c r="H1676" t="s">
        <v>21</v>
      </c>
      <c r="I1676">
        <v>4</v>
      </c>
      <c r="J1676" s="5">
        <v>6.9000000000000006E-2</v>
      </c>
      <c r="K1676" t="s">
        <v>304</v>
      </c>
      <c r="L1676" s="6">
        <v>43647</v>
      </c>
      <c r="M1676">
        <v>7</v>
      </c>
      <c r="N1676" s="7" t="s">
        <v>55</v>
      </c>
      <c r="O1676" t="s">
        <v>31</v>
      </c>
      <c r="P1676" t="s">
        <v>1184</v>
      </c>
      <c r="Q1676" t="s">
        <v>1185</v>
      </c>
      <c r="R1676" t="s">
        <v>1186</v>
      </c>
    </row>
    <row r="1677" spans="1:18" hidden="1">
      <c r="A1677">
        <v>12</v>
      </c>
      <c r="B1677" s="4" t="s">
        <v>901</v>
      </c>
      <c r="C1677" s="4" t="s">
        <v>1161</v>
      </c>
      <c r="D1677" s="4" t="s">
        <v>1193</v>
      </c>
      <c r="E1677" s="4" t="s">
        <v>5804</v>
      </c>
      <c r="F1677" t="s">
        <v>571</v>
      </c>
      <c r="G1677" t="s">
        <v>571</v>
      </c>
      <c r="H1677" t="s">
        <v>21</v>
      </c>
      <c r="I1677">
        <v>4</v>
      </c>
      <c r="J1677" s="5">
        <v>6.9000000000000006E-2</v>
      </c>
      <c r="K1677" t="s">
        <v>1210</v>
      </c>
      <c r="L1677" s="6">
        <v>43344</v>
      </c>
      <c r="M1677">
        <v>9</v>
      </c>
      <c r="N1677" s="7" t="s">
        <v>23</v>
      </c>
      <c r="O1677" t="s">
        <v>66</v>
      </c>
      <c r="P1677" t="s">
        <v>1211</v>
      </c>
      <c r="Q1677" t="s">
        <v>1212</v>
      </c>
      <c r="R1677" t="s">
        <v>1213</v>
      </c>
    </row>
    <row r="1678" spans="1:18" hidden="1">
      <c r="A1678">
        <v>12</v>
      </c>
      <c r="B1678" s="4" t="s">
        <v>901</v>
      </c>
      <c r="C1678" s="4" t="s">
        <v>1161</v>
      </c>
      <c r="D1678" s="4" t="s">
        <v>1193</v>
      </c>
      <c r="E1678" s="4" t="s">
        <v>5804</v>
      </c>
      <c r="F1678" t="s">
        <v>571</v>
      </c>
      <c r="G1678" t="s">
        <v>571</v>
      </c>
      <c r="H1678" t="s">
        <v>21</v>
      </c>
      <c r="I1678">
        <v>4</v>
      </c>
      <c r="J1678" s="5">
        <v>6.9000000000000006E-2</v>
      </c>
      <c r="K1678" t="s">
        <v>99</v>
      </c>
      <c r="L1678" s="6">
        <v>43891</v>
      </c>
      <c r="M1678">
        <v>3</v>
      </c>
      <c r="N1678" s="7" t="s">
        <v>23</v>
      </c>
      <c r="O1678" t="s">
        <v>31</v>
      </c>
      <c r="P1678" t="s">
        <v>1214</v>
      </c>
      <c r="Q1678" t="s">
        <v>1215</v>
      </c>
      <c r="R1678" t="s">
        <v>1216</v>
      </c>
    </row>
    <row r="1679" spans="1:18" hidden="1">
      <c r="A1679">
        <v>12</v>
      </c>
      <c r="B1679" s="4" t="s">
        <v>901</v>
      </c>
      <c r="C1679" s="4" t="s">
        <v>1161</v>
      </c>
      <c r="D1679" s="4" t="s">
        <v>1220</v>
      </c>
      <c r="E1679" s="4" t="s">
        <v>5804</v>
      </c>
      <c r="F1679" t="s">
        <v>571</v>
      </c>
      <c r="G1679" t="s">
        <v>571</v>
      </c>
      <c r="H1679" t="s">
        <v>21</v>
      </c>
      <c r="I1679">
        <v>4</v>
      </c>
      <c r="J1679" s="5">
        <v>6.9000000000000006E-2</v>
      </c>
      <c r="K1679" t="s">
        <v>1221</v>
      </c>
      <c r="L1679" s="6">
        <v>42036</v>
      </c>
      <c r="M1679">
        <v>2</v>
      </c>
      <c r="N1679" s="7" t="s">
        <v>30</v>
      </c>
      <c r="O1679" t="s">
        <v>31</v>
      </c>
      <c r="P1679" t="s">
        <v>1222</v>
      </c>
      <c r="Q1679" t="s">
        <v>1223</v>
      </c>
      <c r="R1679" t="s">
        <v>1199</v>
      </c>
    </row>
    <row r="1680" spans="1:18" hidden="1">
      <c r="A1680">
        <v>12</v>
      </c>
      <c r="B1680" s="4" t="s">
        <v>901</v>
      </c>
      <c r="C1680" s="4" t="s">
        <v>1161</v>
      </c>
      <c r="D1680" s="4" t="s">
        <v>1220</v>
      </c>
      <c r="E1680" s="4" t="s">
        <v>5804</v>
      </c>
      <c r="F1680" t="s">
        <v>571</v>
      </c>
      <c r="G1680" t="s">
        <v>571</v>
      </c>
      <c r="H1680" t="s">
        <v>21</v>
      </c>
      <c r="I1680">
        <v>4</v>
      </c>
      <c r="J1680" s="5">
        <v>6.9000000000000006E-2</v>
      </c>
      <c r="K1680" t="s">
        <v>115</v>
      </c>
      <c r="L1680" s="6">
        <v>42461</v>
      </c>
      <c r="M1680">
        <v>4</v>
      </c>
      <c r="N1680" s="7" t="s">
        <v>23</v>
      </c>
      <c r="O1680" t="s">
        <v>31</v>
      </c>
      <c r="P1680" t="s">
        <v>1225</v>
      </c>
      <c r="Q1680" t="s">
        <v>569</v>
      </c>
      <c r="R1680" t="s">
        <v>1199</v>
      </c>
    </row>
    <row r="1681" spans="1:18" hidden="1">
      <c r="A1681">
        <v>12</v>
      </c>
      <c r="B1681" s="4" t="s">
        <v>901</v>
      </c>
      <c r="C1681" s="4" t="s">
        <v>1161</v>
      </c>
      <c r="D1681" s="4" t="s">
        <v>1220</v>
      </c>
      <c r="E1681" s="4" t="s">
        <v>5804</v>
      </c>
      <c r="F1681" t="s">
        <v>571</v>
      </c>
      <c r="G1681" t="s">
        <v>571</v>
      </c>
      <c r="H1681" t="s">
        <v>21</v>
      </c>
      <c r="I1681">
        <v>4</v>
      </c>
      <c r="J1681" s="5">
        <v>6.9000000000000006E-2</v>
      </c>
      <c r="K1681" t="s">
        <v>115</v>
      </c>
      <c r="L1681" s="6">
        <v>42461</v>
      </c>
      <c r="M1681">
        <v>4</v>
      </c>
      <c r="N1681" s="7" t="s">
        <v>23</v>
      </c>
      <c r="O1681" t="s">
        <v>31</v>
      </c>
      <c r="P1681" t="s">
        <v>1226</v>
      </c>
      <c r="Q1681" t="s">
        <v>1223</v>
      </c>
      <c r="R1681" t="s">
        <v>1199</v>
      </c>
    </row>
    <row r="1682" spans="1:18" hidden="1">
      <c r="A1682">
        <v>12</v>
      </c>
      <c r="B1682" s="4" t="s">
        <v>901</v>
      </c>
      <c r="C1682" s="4" t="s">
        <v>1161</v>
      </c>
      <c r="D1682" s="4" t="s">
        <v>1220</v>
      </c>
      <c r="E1682" s="4" t="s">
        <v>5804</v>
      </c>
      <c r="F1682" t="s">
        <v>571</v>
      </c>
      <c r="G1682" t="s">
        <v>571</v>
      </c>
      <c r="H1682" t="s">
        <v>21</v>
      </c>
      <c r="I1682">
        <v>4</v>
      </c>
      <c r="J1682" s="5">
        <v>6.9000000000000006E-2</v>
      </c>
      <c r="K1682" t="s">
        <v>701</v>
      </c>
      <c r="L1682" s="6">
        <v>42491</v>
      </c>
      <c r="M1682">
        <v>5</v>
      </c>
      <c r="N1682" s="7" t="s">
        <v>23</v>
      </c>
      <c r="O1682" t="s">
        <v>31</v>
      </c>
      <c r="P1682" t="s">
        <v>1227</v>
      </c>
      <c r="Q1682" t="s">
        <v>1223</v>
      </c>
      <c r="R1682" t="s">
        <v>1199</v>
      </c>
    </row>
    <row r="1683" spans="1:18" hidden="1">
      <c r="A1683">
        <v>12</v>
      </c>
      <c r="B1683" s="4" t="s">
        <v>901</v>
      </c>
      <c r="C1683" s="4" t="s">
        <v>1161</v>
      </c>
      <c r="D1683" s="4" t="s">
        <v>1220</v>
      </c>
      <c r="E1683" s="4" t="s">
        <v>5804</v>
      </c>
      <c r="F1683" t="s">
        <v>571</v>
      </c>
      <c r="G1683" t="s">
        <v>571</v>
      </c>
      <c r="H1683" t="s">
        <v>21</v>
      </c>
      <c r="I1683">
        <v>4</v>
      </c>
      <c r="J1683" s="5">
        <v>6.9000000000000006E-2</v>
      </c>
      <c r="K1683" t="s">
        <v>701</v>
      </c>
      <c r="L1683" s="6">
        <v>42491</v>
      </c>
      <c r="M1683">
        <v>5</v>
      </c>
      <c r="N1683" s="7" t="s">
        <v>23</v>
      </c>
      <c r="O1683" t="s">
        <v>31</v>
      </c>
      <c r="P1683" t="s">
        <v>1228</v>
      </c>
      <c r="Q1683" t="s">
        <v>1223</v>
      </c>
      <c r="R1683" t="s">
        <v>1199</v>
      </c>
    </row>
    <row r="1684" spans="1:18" hidden="1">
      <c r="A1684">
        <v>12</v>
      </c>
      <c r="B1684" s="4" t="s">
        <v>901</v>
      </c>
      <c r="C1684" s="4" t="s">
        <v>1161</v>
      </c>
      <c r="D1684" s="4" t="s">
        <v>1220</v>
      </c>
      <c r="E1684" s="4" t="s">
        <v>5804</v>
      </c>
      <c r="F1684" t="s">
        <v>571</v>
      </c>
      <c r="G1684" t="s">
        <v>571</v>
      </c>
      <c r="H1684" t="s">
        <v>21</v>
      </c>
      <c r="I1684">
        <v>4</v>
      </c>
      <c r="J1684" s="5">
        <v>6.9000000000000006E-2</v>
      </c>
      <c r="K1684" t="s">
        <v>218</v>
      </c>
      <c r="L1684" s="6">
        <v>42614</v>
      </c>
      <c r="M1684">
        <v>9</v>
      </c>
      <c r="N1684" s="7" t="s">
        <v>23</v>
      </c>
      <c r="O1684" t="s">
        <v>31</v>
      </c>
      <c r="P1684" t="s">
        <v>1236</v>
      </c>
      <c r="Q1684" t="s">
        <v>1223</v>
      </c>
      <c r="R1684" t="s">
        <v>1199</v>
      </c>
    </row>
    <row r="1685" spans="1:18" hidden="1">
      <c r="A1685">
        <v>12</v>
      </c>
      <c r="B1685" s="4" t="s">
        <v>901</v>
      </c>
      <c r="C1685" s="4" t="s">
        <v>1161</v>
      </c>
      <c r="D1685" s="4" t="s">
        <v>1220</v>
      </c>
      <c r="E1685" s="4" t="s">
        <v>5804</v>
      </c>
      <c r="F1685" t="s">
        <v>571</v>
      </c>
      <c r="G1685" t="s">
        <v>571</v>
      </c>
      <c r="H1685" t="s">
        <v>21</v>
      </c>
      <c r="I1685">
        <v>4</v>
      </c>
      <c r="J1685" s="5">
        <v>6.9000000000000006E-2</v>
      </c>
      <c r="K1685" t="s">
        <v>220</v>
      </c>
      <c r="L1685" s="6">
        <v>42644</v>
      </c>
      <c r="M1685">
        <v>10</v>
      </c>
      <c r="N1685" s="7" t="s">
        <v>23</v>
      </c>
      <c r="O1685" t="s">
        <v>31</v>
      </c>
      <c r="P1685" t="s">
        <v>1237</v>
      </c>
      <c r="Q1685" t="s">
        <v>1223</v>
      </c>
      <c r="R1685" t="s">
        <v>1199</v>
      </c>
    </row>
    <row r="1686" spans="1:18" hidden="1">
      <c r="A1686">
        <v>12</v>
      </c>
      <c r="B1686" s="4" t="s">
        <v>901</v>
      </c>
      <c r="C1686" s="4" t="s">
        <v>1161</v>
      </c>
      <c r="D1686" s="4" t="s">
        <v>1220</v>
      </c>
      <c r="E1686" s="4" t="s">
        <v>5804</v>
      </c>
      <c r="F1686" t="s">
        <v>571</v>
      </c>
      <c r="G1686" t="s">
        <v>571</v>
      </c>
      <c r="H1686" t="s">
        <v>21</v>
      </c>
      <c r="I1686">
        <v>4</v>
      </c>
      <c r="J1686" s="5">
        <v>6.9000000000000006E-2</v>
      </c>
      <c r="K1686" t="s">
        <v>477</v>
      </c>
      <c r="L1686" s="6">
        <v>42705</v>
      </c>
      <c r="M1686">
        <v>12</v>
      </c>
      <c r="N1686" s="7" t="s">
        <v>30</v>
      </c>
      <c r="O1686" t="s">
        <v>31</v>
      </c>
      <c r="P1686" t="s">
        <v>1238</v>
      </c>
      <c r="Q1686" t="s">
        <v>1223</v>
      </c>
      <c r="R1686" t="s">
        <v>1199</v>
      </c>
    </row>
    <row r="1687" spans="1:18" hidden="1">
      <c r="A1687">
        <v>12</v>
      </c>
      <c r="B1687" s="4" t="s">
        <v>901</v>
      </c>
      <c r="C1687" s="4" t="s">
        <v>1161</v>
      </c>
      <c r="D1687" s="4" t="s">
        <v>1220</v>
      </c>
      <c r="E1687" s="4" t="s">
        <v>5804</v>
      </c>
      <c r="F1687" t="s">
        <v>571</v>
      </c>
      <c r="G1687" t="s">
        <v>571</v>
      </c>
      <c r="H1687" t="s">
        <v>21</v>
      </c>
      <c r="I1687">
        <v>4</v>
      </c>
      <c r="J1687" s="5">
        <v>6.9000000000000006E-2</v>
      </c>
      <c r="K1687" t="s">
        <v>477</v>
      </c>
      <c r="L1687" s="6">
        <v>42705</v>
      </c>
      <c r="M1687">
        <v>12</v>
      </c>
      <c r="N1687" s="7" t="s">
        <v>30</v>
      </c>
      <c r="O1687" t="s">
        <v>31</v>
      </c>
      <c r="P1687" t="s">
        <v>1239</v>
      </c>
      <c r="Q1687" t="s">
        <v>1223</v>
      </c>
      <c r="R1687" t="s">
        <v>1199</v>
      </c>
    </row>
    <row r="1688" spans="1:18" hidden="1">
      <c r="A1688">
        <v>12</v>
      </c>
      <c r="B1688" s="4" t="s">
        <v>901</v>
      </c>
      <c r="C1688" s="4" t="s">
        <v>1161</v>
      </c>
      <c r="D1688" s="4" t="s">
        <v>1220</v>
      </c>
      <c r="E1688" s="4" t="s">
        <v>5804</v>
      </c>
      <c r="F1688" t="s">
        <v>571</v>
      </c>
      <c r="G1688" t="s">
        <v>571</v>
      </c>
      <c r="H1688" t="s">
        <v>21</v>
      </c>
      <c r="I1688">
        <v>4</v>
      </c>
      <c r="J1688" s="5">
        <v>6.9000000000000006E-2</v>
      </c>
      <c r="K1688" t="s">
        <v>422</v>
      </c>
      <c r="L1688" s="6">
        <v>42736</v>
      </c>
      <c r="M1688">
        <v>1</v>
      </c>
      <c r="N1688" s="7" t="s">
        <v>30</v>
      </c>
      <c r="O1688" t="s">
        <v>31</v>
      </c>
      <c r="P1688" t="s">
        <v>1240</v>
      </c>
      <c r="Q1688" t="s">
        <v>1223</v>
      </c>
      <c r="R1688" t="s">
        <v>1199</v>
      </c>
    </row>
    <row r="1689" spans="1:18" hidden="1">
      <c r="A1689">
        <v>12</v>
      </c>
      <c r="B1689" s="4" t="s">
        <v>901</v>
      </c>
      <c r="C1689" s="4" t="s">
        <v>1161</v>
      </c>
      <c r="D1689" s="4" t="s">
        <v>1220</v>
      </c>
      <c r="E1689" s="4" t="s">
        <v>5804</v>
      </c>
      <c r="F1689" t="s">
        <v>571</v>
      </c>
      <c r="G1689" t="s">
        <v>571</v>
      </c>
      <c r="H1689" t="s">
        <v>21</v>
      </c>
      <c r="I1689">
        <v>4</v>
      </c>
      <c r="J1689" s="5">
        <v>6.9000000000000006E-2</v>
      </c>
      <c r="K1689" t="s">
        <v>234</v>
      </c>
      <c r="L1689" s="6">
        <v>42826</v>
      </c>
      <c r="M1689">
        <v>4</v>
      </c>
      <c r="N1689" s="7" t="s">
        <v>23</v>
      </c>
      <c r="O1689" t="s">
        <v>31</v>
      </c>
      <c r="P1689" t="s">
        <v>1250</v>
      </c>
      <c r="Q1689" t="s">
        <v>1223</v>
      </c>
      <c r="R1689" t="s">
        <v>1199</v>
      </c>
    </row>
    <row r="1690" spans="1:18" hidden="1">
      <c r="A1690">
        <v>12</v>
      </c>
      <c r="B1690" s="4" t="s">
        <v>901</v>
      </c>
      <c r="C1690" s="4" t="s">
        <v>1161</v>
      </c>
      <c r="D1690" s="4" t="s">
        <v>1220</v>
      </c>
      <c r="E1690" s="4" t="s">
        <v>5804</v>
      </c>
      <c r="F1690" t="s">
        <v>571</v>
      </c>
      <c r="G1690" t="s">
        <v>571</v>
      </c>
      <c r="H1690" t="s">
        <v>21</v>
      </c>
      <c r="I1690">
        <v>4</v>
      </c>
      <c r="J1690" s="5">
        <v>6.9000000000000006E-2</v>
      </c>
      <c r="K1690" t="s">
        <v>681</v>
      </c>
      <c r="L1690" s="6">
        <v>42887</v>
      </c>
      <c r="M1690">
        <v>6</v>
      </c>
      <c r="N1690" s="7" t="s">
        <v>55</v>
      </c>
      <c r="O1690" t="s">
        <v>31</v>
      </c>
      <c r="P1690" t="s">
        <v>1251</v>
      </c>
      <c r="Q1690" t="s">
        <v>1223</v>
      </c>
      <c r="R1690" t="s">
        <v>1199</v>
      </c>
    </row>
    <row r="1691" spans="1:18" hidden="1">
      <c r="A1691">
        <v>12</v>
      </c>
      <c r="B1691" s="4" t="s">
        <v>901</v>
      </c>
      <c r="C1691" s="4" t="s">
        <v>1161</v>
      </c>
      <c r="D1691" s="4" t="s">
        <v>1220</v>
      </c>
      <c r="E1691" s="4" t="s">
        <v>5804</v>
      </c>
      <c r="F1691" t="s">
        <v>571</v>
      </c>
      <c r="G1691" t="s">
        <v>571</v>
      </c>
      <c r="H1691" t="s">
        <v>21</v>
      </c>
      <c r="I1691">
        <v>4</v>
      </c>
      <c r="J1691" s="5">
        <v>6.9000000000000006E-2</v>
      </c>
      <c r="K1691" t="s">
        <v>80</v>
      </c>
      <c r="L1691" s="6">
        <v>42917</v>
      </c>
      <c r="M1691">
        <v>7</v>
      </c>
      <c r="N1691" s="7" t="s">
        <v>55</v>
      </c>
      <c r="O1691" t="s">
        <v>418</v>
      </c>
      <c r="P1691" t="s">
        <v>1253</v>
      </c>
      <c r="Q1691" t="s">
        <v>1254</v>
      </c>
      <c r="R1691" t="s">
        <v>1255</v>
      </c>
    </row>
    <row r="1692" spans="1:18" hidden="1">
      <c r="A1692">
        <v>12</v>
      </c>
      <c r="B1692" s="4" t="s">
        <v>901</v>
      </c>
      <c r="C1692" s="4" t="s">
        <v>1161</v>
      </c>
      <c r="D1692" s="4" t="s">
        <v>1220</v>
      </c>
      <c r="E1692" s="4" t="s">
        <v>5804</v>
      </c>
      <c r="F1692" t="s">
        <v>571</v>
      </c>
      <c r="G1692" t="s">
        <v>571</v>
      </c>
      <c r="H1692" t="s">
        <v>21</v>
      </c>
      <c r="I1692">
        <v>4</v>
      </c>
      <c r="J1692" s="5">
        <v>6.9000000000000006E-2</v>
      </c>
      <c r="K1692" t="s">
        <v>83</v>
      </c>
      <c r="L1692" s="6">
        <v>42948</v>
      </c>
      <c r="M1692">
        <v>8</v>
      </c>
      <c r="N1692" s="7" t="s">
        <v>55</v>
      </c>
      <c r="O1692" t="s">
        <v>31</v>
      </c>
      <c r="P1692" t="s">
        <v>1257</v>
      </c>
      <c r="Q1692" t="s">
        <v>1258</v>
      </c>
      <c r="R1692" t="s">
        <v>1259</v>
      </c>
    </row>
    <row r="1693" spans="1:18" hidden="1">
      <c r="A1693">
        <v>12</v>
      </c>
      <c r="B1693" s="4" t="s">
        <v>901</v>
      </c>
      <c r="C1693" s="4" t="s">
        <v>1161</v>
      </c>
      <c r="D1693" s="4" t="s">
        <v>1220</v>
      </c>
      <c r="E1693" s="4" t="s">
        <v>5804</v>
      </c>
      <c r="F1693" t="s">
        <v>571</v>
      </c>
      <c r="G1693" t="s">
        <v>571</v>
      </c>
      <c r="H1693" t="s">
        <v>21</v>
      </c>
      <c r="I1693">
        <v>4</v>
      </c>
      <c r="J1693" s="5">
        <v>6.9000000000000006E-2</v>
      </c>
      <c r="K1693" t="s">
        <v>83</v>
      </c>
      <c r="L1693" s="6">
        <v>42948</v>
      </c>
      <c r="M1693">
        <v>8</v>
      </c>
      <c r="N1693" s="7" t="s">
        <v>55</v>
      </c>
      <c r="O1693" t="s">
        <v>31</v>
      </c>
      <c r="P1693" t="s">
        <v>1260</v>
      </c>
      <c r="Q1693" t="s">
        <v>1223</v>
      </c>
      <c r="R1693" t="s">
        <v>1199</v>
      </c>
    </row>
    <row r="1694" spans="1:18" hidden="1">
      <c r="A1694">
        <v>12</v>
      </c>
      <c r="B1694" s="4" t="s">
        <v>901</v>
      </c>
      <c r="C1694" s="4" t="s">
        <v>1161</v>
      </c>
      <c r="D1694" s="4" t="s">
        <v>1220</v>
      </c>
      <c r="E1694" s="4" t="s">
        <v>5804</v>
      </c>
      <c r="F1694" t="s">
        <v>571</v>
      </c>
      <c r="G1694" t="s">
        <v>571</v>
      </c>
      <c r="H1694" t="s">
        <v>21</v>
      </c>
      <c r="I1694">
        <v>4</v>
      </c>
      <c r="J1694" s="5">
        <v>6.9000000000000006E-2</v>
      </c>
      <c r="K1694" t="s">
        <v>83</v>
      </c>
      <c r="L1694" s="6">
        <v>42948</v>
      </c>
      <c r="M1694">
        <v>8</v>
      </c>
      <c r="N1694" s="7" t="s">
        <v>55</v>
      </c>
      <c r="O1694" t="s">
        <v>31</v>
      </c>
      <c r="P1694" t="s">
        <v>1261</v>
      </c>
      <c r="Q1694" t="s">
        <v>1223</v>
      </c>
      <c r="R1694" t="s">
        <v>1199</v>
      </c>
    </row>
    <row r="1695" spans="1:18" hidden="1">
      <c r="A1695">
        <v>12</v>
      </c>
      <c r="B1695" s="4" t="s">
        <v>901</v>
      </c>
      <c r="C1695" s="4" t="s">
        <v>1161</v>
      </c>
      <c r="D1695" s="4" t="s">
        <v>1220</v>
      </c>
      <c r="E1695" s="4" t="s">
        <v>5804</v>
      </c>
      <c r="F1695" t="s">
        <v>571</v>
      </c>
      <c r="G1695" t="s">
        <v>571</v>
      </c>
      <c r="H1695" t="s">
        <v>21</v>
      </c>
      <c r="I1695">
        <v>4</v>
      </c>
      <c r="J1695" s="5">
        <v>6.9000000000000006E-2</v>
      </c>
      <c r="K1695" t="s">
        <v>83</v>
      </c>
      <c r="L1695" s="6">
        <v>42948</v>
      </c>
      <c r="M1695">
        <v>8</v>
      </c>
      <c r="N1695" s="7" t="s">
        <v>55</v>
      </c>
      <c r="O1695" t="s">
        <v>31</v>
      </c>
      <c r="P1695" t="s">
        <v>1262</v>
      </c>
      <c r="Q1695" t="s">
        <v>1263</v>
      </c>
      <c r="R1695" t="s">
        <v>1199</v>
      </c>
    </row>
    <row r="1696" spans="1:18" hidden="1">
      <c r="A1696">
        <v>12</v>
      </c>
      <c r="B1696" s="4" t="s">
        <v>901</v>
      </c>
      <c r="C1696" s="4" t="s">
        <v>1161</v>
      </c>
      <c r="D1696" s="4" t="s">
        <v>1220</v>
      </c>
      <c r="E1696" s="4" t="s">
        <v>5804</v>
      </c>
      <c r="F1696" t="s">
        <v>571</v>
      </c>
      <c r="G1696" t="s">
        <v>571</v>
      </c>
      <c r="H1696" t="s">
        <v>21</v>
      </c>
      <c r="I1696">
        <v>4</v>
      </c>
      <c r="J1696" s="5">
        <v>6.9000000000000006E-2</v>
      </c>
      <c r="K1696" t="s">
        <v>142</v>
      </c>
      <c r="L1696" s="6">
        <v>43101</v>
      </c>
      <c r="M1696">
        <v>1</v>
      </c>
      <c r="N1696" s="7" t="s">
        <v>30</v>
      </c>
      <c r="O1696" t="s">
        <v>31</v>
      </c>
      <c r="P1696" t="s">
        <v>1268</v>
      </c>
      <c r="Q1696" t="s">
        <v>1223</v>
      </c>
      <c r="R1696" t="s">
        <v>1199</v>
      </c>
    </row>
    <row r="1697" spans="1:18" hidden="1">
      <c r="A1697">
        <v>12</v>
      </c>
      <c r="B1697" s="4" t="s">
        <v>901</v>
      </c>
      <c r="C1697" s="4" t="s">
        <v>1161</v>
      </c>
      <c r="D1697" s="4" t="s">
        <v>1220</v>
      </c>
      <c r="E1697" s="4" t="s">
        <v>5804</v>
      </c>
      <c r="F1697" t="s">
        <v>571</v>
      </c>
      <c r="G1697" t="s">
        <v>571</v>
      </c>
      <c r="H1697" t="s">
        <v>21</v>
      </c>
      <c r="I1697">
        <v>4</v>
      </c>
      <c r="J1697" s="5">
        <v>6.9000000000000006E-2</v>
      </c>
      <c r="K1697" t="s">
        <v>142</v>
      </c>
      <c r="L1697" s="6">
        <v>43101</v>
      </c>
      <c r="M1697">
        <v>1</v>
      </c>
      <c r="N1697" s="7" t="s">
        <v>30</v>
      </c>
      <c r="O1697" t="s">
        <v>31</v>
      </c>
      <c r="P1697" t="s">
        <v>1269</v>
      </c>
      <c r="Q1697" t="s">
        <v>1263</v>
      </c>
      <c r="R1697" t="s">
        <v>1199</v>
      </c>
    </row>
    <row r="1698" spans="1:18" hidden="1">
      <c r="A1698">
        <v>12</v>
      </c>
      <c r="B1698" s="4" t="s">
        <v>901</v>
      </c>
      <c r="C1698" s="4" t="s">
        <v>1161</v>
      </c>
      <c r="D1698" s="4" t="s">
        <v>1220</v>
      </c>
      <c r="E1698" s="4" t="s">
        <v>5804</v>
      </c>
      <c r="F1698" t="s">
        <v>571</v>
      </c>
      <c r="G1698" t="s">
        <v>571</v>
      </c>
      <c r="H1698" t="s">
        <v>21</v>
      </c>
      <c r="I1698">
        <v>4</v>
      </c>
      <c r="J1698" s="5">
        <v>6.9000000000000006E-2</v>
      </c>
      <c r="K1698" t="s">
        <v>295</v>
      </c>
      <c r="L1698" s="6">
        <v>43221</v>
      </c>
      <c r="M1698">
        <v>5</v>
      </c>
      <c r="N1698" s="7" t="s">
        <v>23</v>
      </c>
      <c r="O1698" t="s">
        <v>31</v>
      </c>
      <c r="P1698" t="s">
        <v>1274</v>
      </c>
      <c r="Q1698" t="s">
        <v>1263</v>
      </c>
      <c r="R1698" t="s">
        <v>1199</v>
      </c>
    </row>
    <row r="1699" spans="1:18" hidden="1">
      <c r="A1699">
        <v>12</v>
      </c>
      <c r="B1699" s="4" t="s">
        <v>901</v>
      </c>
      <c r="C1699" s="4" t="s">
        <v>1161</v>
      </c>
      <c r="D1699" s="4" t="s">
        <v>1220</v>
      </c>
      <c r="E1699" s="4" t="s">
        <v>5804</v>
      </c>
      <c r="F1699" t="s">
        <v>571</v>
      </c>
      <c r="G1699" t="s">
        <v>571</v>
      </c>
      <c r="H1699" t="s">
        <v>21</v>
      </c>
      <c r="I1699">
        <v>4</v>
      </c>
      <c r="J1699" s="5">
        <v>6.9000000000000006E-2</v>
      </c>
      <c r="K1699" t="s">
        <v>797</v>
      </c>
      <c r="L1699" s="6">
        <v>43252</v>
      </c>
      <c r="M1699">
        <v>6</v>
      </c>
      <c r="N1699" s="7" t="s">
        <v>55</v>
      </c>
      <c r="O1699" t="s">
        <v>31</v>
      </c>
      <c r="P1699" t="s">
        <v>1275</v>
      </c>
      <c r="Q1699" t="s">
        <v>1223</v>
      </c>
      <c r="R1699" t="s">
        <v>1199</v>
      </c>
    </row>
    <row r="1700" spans="1:18" hidden="1">
      <c r="A1700">
        <v>12</v>
      </c>
      <c r="B1700" s="4" t="s">
        <v>901</v>
      </c>
      <c r="C1700" s="4" t="s">
        <v>1161</v>
      </c>
      <c r="D1700" s="4" t="s">
        <v>1220</v>
      </c>
      <c r="E1700" s="4" t="s">
        <v>5804</v>
      </c>
      <c r="F1700" t="s">
        <v>571</v>
      </c>
      <c r="G1700" t="s">
        <v>571</v>
      </c>
      <c r="H1700" t="s">
        <v>21</v>
      </c>
      <c r="I1700">
        <v>4</v>
      </c>
      <c r="J1700" s="5">
        <v>6.9000000000000006E-2</v>
      </c>
      <c r="K1700" t="s">
        <v>797</v>
      </c>
      <c r="L1700" s="6">
        <v>43252</v>
      </c>
      <c r="M1700">
        <v>6</v>
      </c>
      <c r="N1700" s="7" t="s">
        <v>55</v>
      </c>
      <c r="O1700" t="s">
        <v>31</v>
      </c>
      <c r="P1700" t="s">
        <v>1276</v>
      </c>
      <c r="Q1700" t="s">
        <v>1223</v>
      </c>
      <c r="R1700" t="s">
        <v>1199</v>
      </c>
    </row>
    <row r="1701" spans="1:18" hidden="1">
      <c r="A1701">
        <v>12</v>
      </c>
      <c r="B1701" s="4" t="s">
        <v>901</v>
      </c>
      <c r="C1701" s="4" t="s">
        <v>1161</v>
      </c>
      <c r="D1701" s="4" t="s">
        <v>1220</v>
      </c>
      <c r="E1701" s="4" t="s">
        <v>5804</v>
      </c>
      <c r="F1701" t="s">
        <v>571</v>
      </c>
      <c r="G1701" t="s">
        <v>571</v>
      </c>
      <c r="H1701" t="s">
        <v>21</v>
      </c>
      <c r="I1701">
        <v>4</v>
      </c>
      <c r="J1701" s="5">
        <v>6.9000000000000006E-2</v>
      </c>
      <c r="K1701" t="s">
        <v>146</v>
      </c>
      <c r="L1701" s="6">
        <v>43313</v>
      </c>
      <c r="M1701">
        <v>8</v>
      </c>
      <c r="N1701" s="7" t="s">
        <v>55</v>
      </c>
      <c r="O1701" t="s">
        <v>31</v>
      </c>
      <c r="P1701" t="s">
        <v>1282</v>
      </c>
      <c r="Q1701" t="s">
        <v>1223</v>
      </c>
      <c r="R1701" t="s">
        <v>1199</v>
      </c>
    </row>
    <row r="1702" spans="1:18" hidden="1">
      <c r="A1702">
        <v>12</v>
      </c>
      <c r="B1702" s="4" t="s">
        <v>901</v>
      </c>
      <c r="C1702" s="4" t="s">
        <v>1161</v>
      </c>
      <c r="D1702" s="4" t="s">
        <v>1220</v>
      </c>
      <c r="E1702" s="4" t="s">
        <v>5804</v>
      </c>
      <c r="F1702" t="s">
        <v>571</v>
      </c>
      <c r="G1702" t="s">
        <v>571</v>
      </c>
      <c r="H1702" t="s">
        <v>21</v>
      </c>
      <c r="I1702">
        <v>4</v>
      </c>
      <c r="J1702" s="5">
        <v>6.9000000000000006E-2</v>
      </c>
      <c r="K1702" t="s">
        <v>245</v>
      </c>
      <c r="L1702" s="6">
        <v>43466</v>
      </c>
      <c r="M1702">
        <v>1</v>
      </c>
      <c r="N1702" s="7" t="s">
        <v>30</v>
      </c>
      <c r="O1702" t="s">
        <v>31</v>
      </c>
      <c r="P1702" t="s">
        <v>1285</v>
      </c>
      <c r="Q1702" t="s">
        <v>1286</v>
      </c>
      <c r="R1702" t="s">
        <v>1287</v>
      </c>
    </row>
    <row r="1703" spans="1:18" hidden="1">
      <c r="A1703">
        <v>12</v>
      </c>
      <c r="B1703" s="4" t="s">
        <v>901</v>
      </c>
      <c r="C1703" s="4" t="s">
        <v>1161</v>
      </c>
      <c r="D1703" s="4" t="s">
        <v>1220</v>
      </c>
      <c r="E1703" s="4" t="s">
        <v>5804</v>
      </c>
      <c r="F1703" t="s">
        <v>571</v>
      </c>
      <c r="G1703" t="s">
        <v>571</v>
      </c>
      <c r="H1703" t="s">
        <v>21</v>
      </c>
      <c r="I1703">
        <v>4</v>
      </c>
      <c r="J1703" s="5">
        <v>6.9000000000000006E-2</v>
      </c>
      <c r="K1703" t="s">
        <v>245</v>
      </c>
      <c r="L1703" s="6">
        <v>43466</v>
      </c>
      <c r="M1703">
        <v>1</v>
      </c>
      <c r="N1703" s="7" t="s">
        <v>30</v>
      </c>
      <c r="O1703" t="s">
        <v>31</v>
      </c>
      <c r="P1703" t="s">
        <v>1288</v>
      </c>
      <c r="Q1703" t="s">
        <v>1223</v>
      </c>
      <c r="R1703" t="s">
        <v>1199</v>
      </c>
    </row>
    <row r="1704" spans="1:18" hidden="1">
      <c r="A1704">
        <v>12</v>
      </c>
      <c r="B1704" s="4" t="s">
        <v>901</v>
      </c>
      <c r="C1704" s="4" t="s">
        <v>1161</v>
      </c>
      <c r="D1704" s="4" t="s">
        <v>1220</v>
      </c>
      <c r="E1704" s="4" t="s">
        <v>5804</v>
      </c>
      <c r="F1704" t="s">
        <v>571</v>
      </c>
      <c r="G1704" t="s">
        <v>571</v>
      </c>
      <c r="H1704" t="s">
        <v>21</v>
      </c>
      <c r="I1704">
        <v>4</v>
      </c>
      <c r="J1704" s="5">
        <v>6.9000000000000006E-2</v>
      </c>
      <c r="K1704" t="s">
        <v>245</v>
      </c>
      <c r="L1704" s="6">
        <v>43466</v>
      </c>
      <c r="M1704">
        <v>1</v>
      </c>
      <c r="N1704" s="7" t="s">
        <v>30</v>
      </c>
      <c r="O1704" t="s">
        <v>31</v>
      </c>
      <c r="P1704" t="s">
        <v>1289</v>
      </c>
      <c r="Q1704" t="s">
        <v>1223</v>
      </c>
      <c r="R1704" t="s">
        <v>1199</v>
      </c>
    </row>
    <row r="1705" spans="1:18" hidden="1">
      <c r="A1705">
        <v>12</v>
      </c>
      <c r="B1705" s="4" t="s">
        <v>901</v>
      </c>
      <c r="C1705" s="4" t="s">
        <v>1161</v>
      </c>
      <c r="D1705" s="4" t="s">
        <v>1220</v>
      </c>
      <c r="E1705" s="4" t="s">
        <v>5804</v>
      </c>
      <c r="F1705" t="s">
        <v>571</v>
      </c>
      <c r="G1705" t="s">
        <v>571</v>
      </c>
      <c r="H1705" t="s">
        <v>21</v>
      </c>
      <c r="I1705">
        <v>4</v>
      </c>
      <c r="J1705" s="5">
        <v>6.9000000000000006E-2</v>
      </c>
      <c r="K1705" t="s">
        <v>43</v>
      </c>
      <c r="L1705" s="6">
        <v>43525</v>
      </c>
      <c r="M1705">
        <v>3</v>
      </c>
      <c r="N1705" s="7" t="s">
        <v>23</v>
      </c>
      <c r="O1705" t="s">
        <v>31</v>
      </c>
      <c r="P1705" t="s">
        <v>1293</v>
      </c>
      <c r="Q1705" t="s">
        <v>1223</v>
      </c>
      <c r="R1705" t="s">
        <v>1199</v>
      </c>
    </row>
    <row r="1706" spans="1:18" hidden="1">
      <c r="A1706">
        <v>12</v>
      </c>
      <c r="B1706" s="4" t="s">
        <v>901</v>
      </c>
      <c r="C1706" s="4" t="s">
        <v>1161</v>
      </c>
      <c r="D1706" s="4" t="s">
        <v>1220</v>
      </c>
      <c r="E1706" s="4" t="s">
        <v>5804</v>
      </c>
      <c r="F1706" t="s">
        <v>571</v>
      </c>
      <c r="G1706" t="s">
        <v>571</v>
      </c>
      <c r="H1706" t="s">
        <v>21</v>
      </c>
      <c r="I1706">
        <v>4</v>
      </c>
      <c r="J1706" s="5">
        <v>6.9000000000000006E-2</v>
      </c>
      <c r="K1706" t="s">
        <v>654</v>
      </c>
      <c r="L1706" s="6">
        <v>43556</v>
      </c>
      <c r="M1706">
        <v>4</v>
      </c>
      <c r="N1706" s="7" t="s">
        <v>23</v>
      </c>
      <c r="O1706" t="s">
        <v>31</v>
      </c>
      <c r="P1706" t="s">
        <v>1294</v>
      </c>
      <c r="Q1706" t="s">
        <v>1223</v>
      </c>
      <c r="R1706" t="s">
        <v>1199</v>
      </c>
    </row>
    <row r="1707" spans="1:18" hidden="1">
      <c r="A1707">
        <v>12</v>
      </c>
      <c r="B1707" s="4" t="s">
        <v>901</v>
      </c>
      <c r="C1707" s="4" t="s">
        <v>1161</v>
      </c>
      <c r="D1707" s="4" t="s">
        <v>1220</v>
      </c>
      <c r="E1707" s="4" t="s">
        <v>5804</v>
      </c>
      <c r="F1707" t="s">
        <v>571</v>
      </c>
      <c r="G1707" t="s">
        <v>571</v>
      </c>
      <c r="H1707" t="s">
        <v>21</v>
      </c>
      <c r="I1707">
        <v>4</v>
      </c>
      <c r="J1707" s="5">
        <v>6.9000000000000006E-2</v>
      </c>
      <c r="K1707" t="s">
        <v>164</v>
      </c>
      <c r="L1707" s="6">
        <v>43617</v>
      </c>
      <c r="M1707">
        <v>6</v>
      </c>
      <c r="N1707" s="7" t="s">
        <v>55</v>
      </c>
      <c r="O1707" t="s">
        <v>31</v>
      </c>
      <c r="P1707" t="s">
        <v>1295</v>
      </c>
      <c r="Q1707" t="s">
        <v>1223</v>
      </c>
      <c r="R1707" t="s">
        <v>1199</v>
      </c>
    </row>
    <row r="1708" spans="1:18" hidden="1">
      <c r="A1708">
        <v>12</v>
      </c>
      <c r="B1708" s="4" t="s">
        <v>901</v>
      </c>
      <c r="C1708" s="4" t="s">
        <v>1161</v>
      </c>
      <c r="D1708" s="4" t="s">
        <v>1220</v>
      </c>
      <c r="E1708" s="4" t="s">
        <v>5804</v>
      </c>
      <c r="F1708" t="s">
        <v>571</v>
      </c>
      <c r="G1708" t="s">
        <v>571</v>
      </c>
      <c r="H1708" t="s">
        <v>21</v>
      </c>
      <c r="I1708">
        <v>4</v>
      </c>
      <c r="J1708" s="5">
        <v>6.9000000000000006E-2</v>
      </c>
      <c r="K1708" t="s">
        <v>164</v>
      </c>
      <c r="L1708" s="6">
        <v>43617</v>
      </c>
      <c r="M1708">
        <v>6</v>
      </c>
      <c r="N1708" s="7" t="s">
        <v>55</v>
      </c>
      <c r="O1708" t="s">
        <v>31</v>
      </c>
      <c r="P1708" t="s">
        <v>1296</v>
      </c>
      <c r="Q1708" t="s">
        <v>1263</v>
      </c>
      <c r="R1708" t="s">
        <v>1199</v>
      </c>
    </row>
    <row r="1709" spans="1:18" hidden="1">
      <c r="A1709">
        <v>12</v>
      </c>
      <c r="B1709" s="4" t="s">
        <v>901</v>
      </c>
      <c r="C1709" s="4" t="s">
        <v>1161</v>
      </c>
      <c r="D1709" s="4" t="s">
        <v>1220</v>
      </c>
      <c r="E1709" s="4" t="s">
        <v>5804</v>
      </c>
      <c r="F1709" t="s">
        <v>571</v>
      </c>
      <c r="G1709" t="s">
        <v>571</v>
      </c>
      <c r="H1709" t="s">
        <v>21</v>
      </c>
      <c r="I1709">
        <v>4</v>
      </c>
      <c r="J1709" s="5">
        <v>6.9000000000000006E-2</v>
      </c>
      <c r="K1709" t="s">
        <v>304</v>
      </c>
      <c r="L1709" s="6">
        <v>43647</v>
      </c>
      <c r="M1709">
        <v>7</v>
      </c>
      <c r="N1709" s="7" t="s">
        <v>55</v>
      </c>
      <c r="O1709" t="s">
        <v>31</v>
      </c>
      <c r="P1709" t="s">
        <v>1299</v>
      </c>
      <c r="Q1709" t="s">
        <v>1223</v>
      </c>
      <c r="R1709" t="s">
        <v>1199</v>
      </c>
    </row>
    <row r="1710" spans="1:18" hidden="1">
      <c r="A1710">
        <v>12</v>
      </c>
      <c r="B1710" s="4" t="s">
        <v>901</v>
      </c>
      <c r="C1710" s="4" t="s">
        <v>1161</v>
      </c>
      <c r="D1710" s="4" t="s">
        <v>1220</v>
      </c>
      <c r="E1710" s="4" t="s">
        <v>5804</v>
      </c>
      <c r="F1710" t="s">
        <v>571</v>
      </c>
      <c r="G1710" t="s">
        <v>571</v>
      </c>
      <c r="H1710" t="s">
        <v>21</v>
      </c>
      <c r="I1710">
        <v>4</v>
      </c>
      <c r="J1710" s="5">
        <v>6.9000000000000006E-2</v>
      </c>
      <c r="K1710" t="s">
        <v>357</v>
      </c>
      <c r="L1710" s="6">
        <v>43739</v>
      </c>
      <c r="M1710">
        <v>10</v>
      </c>
      <c r="N1710" s="7" t="s">
        <v>23</v>
      </c>
      <c r="O1710" t="s">
        <v>31</v>
      </c>
      <c r="P1710" t="s">
        <v>1300</v>
      </c>
      <c r="Q1710" t="s">
        <v>1301</v>
      </c>
      <c r="R1710" t="s">
        <v>1302</v>
      </c>
    </row>
    <row r="1711" spans="1:18" hidden="1">
      <c r="A1711">
        <v>12</v>
      </c>
      <c r="B1711" s="4" t="s">
        <v>901</v>
      </c>
      <c r="C1711" s="4" t="s">
        <v>1161</v>
      </c>
      <c r="D1711" s="4" t="s">
        <v>1220</v>
      </c>
      <c r="E1711" s="4" t="s">
        <v>5804</v>
      </c>
      <c r="F1711" t="s">
        <v>571</v>
      </c>
      <c r="G1711" t="s">
        <v>571</v>
      </c>
      <c r="H1711" t="s">
        <v>21</v>
      </c>
      <c r="I1711">
        <v>4</v>
      </c>
      <c r="J1711" s="5">
        <v>6.9000000000000006E-2</v>
      </c>
      <c r="K1711" t="s">
        <v>691</v>
      </c>
      <c r="L1711" s="6">
        <v>43770</v>
      </c>
      <c r="M1711">
        <v>11</v>
      </c>
      <c r="N1711" s="7" t="s">
        <v>23</v>
      </c>
      <c r="O1711" t="s">
        <v>31</v>
      </c>
      <c r="P1711" t="s">
        <v>1306</v>
      </c>
      <c r="Q1711" t="s">
        <v>1223</v>
      </c>
      <c r="R1711" t="s">
        <v>1199</v>
      </c>
    </row>
    <row r="1712" spans="1:18" hidden="1">
      <c r="A1712">
        <v>12</v>
      </c>
      <c r="B1712" s="4" t="s">
        <v>901</v>
      </c>
      <c r="C1712" s="4" t="s">
        <v>1161</v>
      </c>
      <c r="D1712" s="4" t="s">
        <v>1220</v>
      </c>
      <c r="E1712" s="4" t="s">
        <v>5804</v>
      </c>
      <c r="F1712" t="s">
        <v>571</v>
      </c>
      <c r="G1712" t="s">
        <v>571</v>
      </c>
      <c r="H1712" t="s">
        <v>21</v>
      </c>
      <c r="I1712">
        <v>4</v>
      </c>
      <c r="J1712" s="5">
        <v>6.9000000000000006E-2</v>
      </c>
      <c r="K1712" t="s">
        <v>839</v>
      </c>
      <c r="L1712" s="6">
        <v>43800</v>
      </c>
      <c r="M1712">
        <v>12</v>
      </c>
      <c r="N1712" s="7" t="s">
        <v>30</v>
      </c>
      <c r="O1712" t="s">
        <v>31</v>
      </c>
      <c r="P1712" t="s">
        <v>1307</v>
      </c>
      <c r="Q1712" t="s">
        <v>1223</v>
      </c>
      <c r="R1712" t="s">
        <v>1308</v>
      </c>
    </row>
    <row r="1713" spans="1:18" hidden="1">
      <c r="A1713">
        <v>12</v>
      </c>
      <c r="B1713" s="4" t="s">
        <v>901</v>
      </c>
      <c r="C1713" s="4" t="s">
        <v>1161</v>
      </c>
      <c r="D1713" s="4" t="s">
        <v>1220</v>
      </c>
      <c r="E1713" s="4" t="s">
        <v>5804</v>
      </c>
      <c r="F1713" t="s">
        <v>571</v>
      </c>
      <c r="G1713" t="s">
        <v>571</v>
      </c>
      <c r="H1713" t="s">
        <v>21</v>
      </c>
      <c r="I1713">
        <v>4</v>
      </c>
      <c r="J1713" s="5">
        <v>6.9000000000000006E-2</v>
      </c>
      <c r="K1713" t="s">
        <v>1085</v>
      </c>
      <c r="L1713" s="6">
        <v>43862</v>
      </c>
      <c r="M1713">
        <v>2</v>
      </c>
      <c r="N1713" s="7" t="s">
        <v>30</v>
      </c>
      <c r="O1713" t="s">
        <v>31</v>
      </c>
      <c r="P1713" t="s">
        <v>1316</v>
      </c>
      <c r="Q1713" t="s">
        <v>1263</v>
      </c>
      <c r="R1713" t="s">
        <v>1199</v>
      </c>
    </row>
    <row r="1714" spans="1:18" hidden="1">
      <c r="A1714">
        <v>12</v>
      </c>
      <c r="B1714" s="4" t="s">
        <v>901</v>
      </c>
      <c r="C1714" s="4" t="s">
        <v>1161</v>
      </c>
      <c r="D1714" s="4" t="s">
        <v>1220</v>
      </c>
      <c r="E1714" s="4" t="s">
        <v>5804</v>
      </c>
      <c r="F1714" t="s">
        <v>571</v>
      </c>
      <c r="G1714" t="s">
        <v>571</v>
      </c>
      <c r="H1714" t="s">
        <v>21</v>
      </c>
      <c r="I1714">
        <v>4</v>
      </c>
      <c r="J1714" s="5">
        <v>6.9000000000000006E-2</v>
      </c>
      <c r="K1714" t="s">
        <v>255</v>
      </c>
      <c r="L1714" s="6">
        <v>43983</v>
      </c>
      <c r="M1714">
        <v>6</v>
      </c>
      <c r="N1714" s="7" t="s">
        <v>55</v>
      </c>
      <c r="O1714" t="s">
        <v>31</v>
      </c>
      <c r="P1714" t="s">
        <v>1317</v>
      </c>
      <c r="Q1714" t="s">
        <v>1223</v>
      </c>
      <c r="R1714" t="s">
        <v>1199</v>
      </c>
    </row>
    <row r="1715" spans="1:18" hidden="1">
      <c r="A1715">
        <v>12</v>
      </c>
      <c r="B1715" s="4" t="s">
        <v>901</v>
      </c>
      <c r="C1715" s="4" t="s">
        <v>1161</v>
      </c>
      <c r="D1715" s="4" t="s">
        <v>1220</v>
      </c>
      <c r="E1715" s="4" t="s">
        <v>5804</v>
      </c>
      <c r="F1715" t="s">
        <v>571</v>
      </c>
      <c r="G1715" t="s">
        <v>571</v>
      </c>
      <c r="H1715" t="s">
        <v>21</v>
      </c>
      <c r="I1715">
        <v>4</v>
      </c>
      <c r="J1715" s="5">
        <v>6.9000000000000006E-2</v>
      </c>
      <c r="K1715" t="s">
        <v>178</v>
      </c>
      <c r="L1715" s="6">
        <v>44228</v>
      </c>
      <c r="M1715">
        <v>2</v>
      </c>
      <c r="N1715" s="7" t="s">
        <v>30</v>
      </c>
      <c r="O1715" t="s">
        <v>31</v>
      </c>
      <c r="P1715" t="s">
        <v>1321</v>
      </c>
      <c r="Q1715" t="s">
        <v>1223</v>
      </c>
      <c r="R1715" t="s">
        <v>1199</v>
      </c>
    </row>
    <row r="1716" spans="1:18" hidden="1">
      <c r="A1716">
        <v>12</v>
      </c>
      <c r="B1716" s="4" t="s">
        <v>901</v>
      </c>
      <c r="C1716" s="4" t="s">
        <v>1161</v>
      </c>
      <c r="D1716" s="4" t="s">
        <v>1220</v>
      </c>
      <c r="E1716" s="4" t="s">
        <v>5804</v>
      </c>
      <c r="F1716" t="s">
        <v>571</v>
      </c>
      <c r="G1716" t="s">
        <v>571</v>
      </c>
      <c r="H1716" t="s">
        <v>21</v>
      </c>
      <c r="I1716">
        <v>4</v>
      </c>
      <c r="J1716" s="5">
        <v>6.9000000000000006E-2</v>
      </c>
      <c r="K1716" t="s">
        <v>102</v>
      </c>
      <c r="L1716" s="6">
        <v>44287</v>
      </c>
      <c r="M1716">
        <v>4</v>
      </c>
      <c r="N1716" s="7" t="s">
        <v>23</v>
      </c>
      <c r="O1716" t="s">
        <v>31</v>
      </c>
      <c r="P1716" t="s">
        <v>1322</v>
      </c>
      <c r="Q1716" t="s">
        <v>1223</v>
      </c>
      <c r="R1716" t="s">
        <v>1199</v>
      </c>
    </row>
    <row r="1717" spans="1:18" hidden="1">
      <c r="A1717">
        <v>12</v>
      </c>
      <c r="B1717" s="4" t="s">
        <v>901</v>
      </c>
      <c r="C1717" s="4" t="s">
        <v>1161</v>
      </c>
      <c r="D1717" s="4" t="s">
        <v>1220</v>
      </c>
      <c r="E1717" s="4" t="s">
        <v>5804</v>
      </c>
      <c r="F1717" t="s">
        <v>571</v>
      </c>
      <c r="G1717" t="s">
        <v>571</v>
      </c>
      <c r="H1717" t="s">
        <v>21</v>
      </c>
      <c r="I1717">
        <v>4</v>
      </c>
      <c r="J1717" s="5">
        <v>6.9000000000000006E-2</v>
      </c>
      <c r="K1717" t="s">
        <v>753</v>
      </c>
      <c r="L1717" s="6">
        <v>44348</v>
      </c>
      <c r="M1717">
        <v>6</v>
      </c>
      <c r="N1717" s="7" t="s">
        <v>55</v>
      </c>
      <c r="O1717" t="s">
        <v>31</v>
      </c>
      <c r="P1717" t="s">
        <v>1324</v>
      </c>
      <c r="Q1717" t="s">
        <v>1325</v>
      </c>
      <c r="R1717" t="s">
        <v>1326</v>
      </c>
    </row>
    <row r="1718" spans="1:18" hidden="1">
      <c r="A1718">
        <v>12</v>
      </c>
      <c r="B1718" s="4" t="s">
        <v>901</v>
      </c>
      <c r="C1718" s="4" t="s">
        <v>1161</v>
      </c>
      <c r="D1718" s="4" t="s">
        <v>1220</v>
      </c>
      <c r="E1718" s="4" t="s">
        <v>5804</v>
      </c>
      <c r="F1718" t="s">
        <v>571</v>
      </c>
      <c r="G1718" t="s">
        <v>571</v>
      </c>
      <c r="H1718" t="s">
        <v>21</v>
      </c>
      <c r="I1718">
        <v>4</v>
      </c>
      <c r="J1718" s="5">
        <v>6.9000000000000006E-2</v>
      </c>
      <c r="K1718" t="s">
        <v>489</v>
      </c>
      <c r="L1718" s="6">
        <v>44409</v>
      </c>
      <c r="M1718">
        <v>8</v>
      </c>
      <c r="N1718" s="7" t="s">
        <v>55</v>
      </c>
      <c r="O1718" t="s">
        <v>31</v>
      </c>
      <c r="P1718" t="s">
        <v>1327</v>
      </c>
      <c r="Q1718" t="s">
        <v>1223</v>
      </c>
      <c r="R1718" t="s">
        <v>1199</v>
      </c>
    </row>
    <row r="1719" spans="1:18" hidden="1">
      <c r="A1719">
        <v>12</v>
      </c>
      <c r="B1719" s="4" t="s">
        <v>901</v>
      </c>
      <c r="C1719" s="4" t="s">
        <v>1161</v>
      </c>
      <c r="D1719" s="4" t="s">
        <v>1220</v>
      </c>
      <c r="E1719" s="4" t="s">
        <v>5804</v>
      </c>
      <c r="F1719" t="s">
        <v>571</v>
      </c>
      <c r="G1719" t="s">
        <v>571</v>
      </c>
      <c r="H1719" t="s">
        <v>21</v>
      </c>
      <c r="I1719">
        <v>4</v>
      </c>
      <c r="J1719" s="5">
        <v>6.9000000000000006E-2</v>
      </c>
      <c r="K1719" t="s">
        <v>489</v>
      </c>
      <c r="L1719" s="6">
        <v>44409</v>
      </c>
      <c r="M1719">
        <v>8</v>
      </c>
      <c r="N1719" s="7" t="s">
        <v>55</v>
      </c>
      <c r="O1719" t="s">
        <v>31</v>
      </c>
      <c r="P1719" t="s">
        <v>1328</v>
      </c>
      <c r="Q1719" t="s">
        <v>1223</v>
      </c>
      <c r="R1719" t="s">
        <v>1199</v>
      </c>
    </row>
    <row r="1720" spans="1:18" hidden="1">
      <c r="A1720">
        <v>12</v>
      </c>
      <c r="B1720" s="4" t="s">
        <v>901</v>
      </c>
      <c r="C1720" s="4" t="s">
        <v>1161</v>
      </c>
      <c r="D1720" s="4" t="s">
        <v>1220</v>
      </c>
      <c r="E1720" s="4" t="s">
        <v>5804</v>
      </c>
      <c r="F1720" t="s">
        <v>571</v>
      </c>
      <c r="G1720" t="s">
        <v>571</v>
      </c>
      <c r="H1720" t="s">
        <v>21</v>
      </c>
      <c r="I1720">
        <v>4</v>
      </c>
      <c r="J1720" s="5">
        <v>6.9000000000000006E-2</v>
      </c>
      <c r="K1720" t="s">
        <v>645</v>
      </c>
      <c r="L1720" s="6">
        <v>44440</v>
      </c>
      <c r="M1720">
        <v>9</v>
      </c>
      <c r="N1720" s="7" t="s">
        <v>23</v>
      </c>
      <c r="O1720" t="s">
        <v>31</v>
      </c>
      <c r="P1720" t="s">
        <v>1329</v>
      </c>
      <c r="Q1720" t="s">
        <v>1223</v>
      </c>
      <c r="R1720" t="s">
        <v>1199</v>
      </c>
    </row>
    <row r="1721" spans="1:18" hidden="1">
      <c r="A1721">
        <v>12</v>
      </c>
      <c r="B1721" s="4" t="s">
        <v>901</v>
      </c>
      <c r="C1721" s="4" t="s">
        <v>1161</v>
      </c>
      <c r="D1721" s="4" t="s">
        <v>1220</v>
      </c>
      <c r="E1721" s="4" t="s">
        <v>5804</v>
      </c>
      <c r="F1721" t="s">
        <v>571</v>
      </c>
      <c r="G1721" t="s">
        <v>571</v>
      </c>
      <c r="H1721" t="s">
        <v>21</v>
      </c>
      <c r="I1721">
        <v>4</v>
      </c>
      <c r="J1721" s="5">
        <v>6.9000000000000006E-2</v>
      </c>
      <c r="K1721" t="s">
        <v>645</v>
      </c>
      <c r="L1721" s="6">
        <v>44440</v>
      </c>
      <c r="M1721">
        <v>9</v>
      </c>
      <c r="N1721" s="7" t="s">
        <v>23</v>
      </c>
      <c r="O1721" t="s">
        <v>31</v>
      </c>
      <c r="P1721" t="s">
        <v>1330</v>
      </c>
      <c r="Q1721" t="s">
        <v>1223</v>
      </c>
      <c r="R1721" t="s">
        <v>1199</v>
      </c>
    </row>
    <row r="1722" spans="1:18" hidden="1">
      <c r="A1722">
        <v>12</v>
      </c>
      <c r="B1722" s="4" t="s">
        <v>901</v>
      </c>
      <c r="C1722" s="4" t="s">
        <v>1161</v>
      </c>
      <c r="D1722" s="4" t="s">
        <v>1220</v>
      </c>
      <c r="E1722" s="4" t="s">
        <v>5804</v>
      </c>
      <c r="F1722" t="s">
        <v>571</v>
      </c>
      <c r="G1722" t="s">
        <v>571</v>
      </c>
      <c r="H1722" t="s">
        <v>21</v>
      </c>
      <c r="I1722">
        <v>4</v>
      </c>
      <c r="J1722" s="5">
        <v>6.9000000000000006E-2</v>
      </c>
      <c r="K1722" t="s">
        <v>1335</v>
      </c>
      <c r="L1722" s="6" t="s">
        <v>673</v>
      </c>
      <c r="M1722" t="e">
        <v>#VALUE!</v>
      </c>
      <c r="N1722" s="7" t="e">
        <v>#VALUE!</v>
      </c>
      <c r="O1722" t="s">
        <v>31</v>
      </c>
      <c r="P1722" t="s">
        <v>1336</v>
      </c>
      <c r="Q1722" t="s">
        <v>1223</v>
      </c>
      <c r="R1722" t="s">
        <v>1199</v>
      </c>
    </row>
    <row r="1723" spans="1:18" hidden="1">
      <c r="A1723">
        <v>12</v>
      </c>
      <c r="B1723" s="4" t="s">
        <v>901</v>
      </c>
      <c r="C1723" s="4" t="s">
        <v>1161</v>
      </c>
      <c r="D1723" s="4" t="s">
        <v>1342</v>
      </c>
      <c r="E1723" s="4" t="s">
        <v>5804</v>
      </c>
      <c r="F1723" t="s">
        <v>571</v>
      </c>
      <c r="G1723" t="s">
        <v>571</v>
      </c>
      <c r="H1723" t="s">
        <v>21</v>
      </c>
      <c r="I1723">
        <v>4</v>
      </c>
      <c r="J1723" s="5">
        <v>6.9000000000000006E-2</v>
      </c>
      <c r="K1723" t="s">
        <v>115</v>
      </c>
      <c r="L1723" s="6">
        <v>42461</v>
      </c>
      <c r="M1723">
        <v>4</v>
      </c>
      <c r="N1723" s="7" t="s">
        <v>23</v>
      </c>
      <c r="O1723" t="s">
        <v>31</v>
      </c>
      <c r="P1723" t="s">
        <v>1343</v>
      </c>
      <c r="Q1723" t="s">
        <v>1223</v>
      </c>
      <c r="R1723" t="s">
        <v>1199</v>
      </c>
    </row>
    <row r="1724" spans="1:18" hidden="1">
      <c r="A1724">
        <v>12</v>
      </c>
      <c r="B1724" s="4" t="s">
        <v>901</v>
      </c>
      <c r="C1724" s="4" t="s">
        <v>1161</v>
      </c>
      <c r="D1724" s="4" t="s">
        <v>1342</v>
      </c>
      <c r="E1724" s="4" t="s">
        <v>5804</v>
      </c>
      <c r="F1724" t="s">
        <v>571</v>
      </c>
      <c r="G1724" t="s">
        <v>1344</v>
      </c>
      <c r="H1724" t="s">
        <v>21</v>
      </c>
      <c r="I1724">
        <v>8</v>
      </c>
      <c r="J1724" s="5">
        <v>3.6999999999999998E-2</v>
      </c>
      <c r="K1724" t="s">
        <v>22</v>
      </c>
      <c r="L1724" s="6">
        <v>42979</v>
      </c>
      <c r="M1724">
        <v>9</v>
      </c>
      <c r="N1724" s="7" t="s">
        <v>23</v>
      </c>
      <c r="O1724" t="s">
        <v>31</v>
      </c>
      <c r="P1724" t="s">
        <v>1345</v>
      </c>
      <c r="Q1724" t="s">
        <v>1346</v>
      </c>
      <c r="R1724" t="s">
        <v>1347</v>
      </c>
    </row>
    <row r="1725" spans="1:18" hidden="1">
      <c r="A1725">
        <v>12</v>
      </c>
      <c r="B1725" s="4" t="s">
        <v>901</v>
      </c>
      <c r="C1725" s="4" t="s">
        <v>1161</v>
      </c>
      <c r="D1725" s="4" t="s">
        <v>1342</v>
      </c>
      <c r="E1725" s="4" t="s">
        <v>5804</v>
      </c>
      <c r="F1725" t="s">
        <v>571</v>
      </c>
      <c r="G1725" t="s">
        <v>1344</v>
      </c>
      <c r="H1725" t="s">
        <v>21</v>
      </c>
      <c r="I1725">
        <v>8</v>
      </c>
      <c r="J1725" s="5">
        <v>3.6999999999999998E-2</v>
      </c>
      <c r="K1725" t="s">
        <v>298</v>
      </c>
      <c r="L1725" s="6">
        <v>43344</v>
      </c>
      <c r="M1725">
        <v>9</v>
      </c>
      <c r="N1725" s="7" t="s">
        <v>23</v>
      </c>
      <c r="O1725" t="s">
        <v>31</v>
      </c>
      <c r="P1725" t="s">
        <v>1348</v>
      </c>
      <c r="Q1725" t="s">
        <v>1349</v>
      </c>
      <c r="R1725" t="s">
        <v>1350</v>
      </c>
    </row>
    <row r="1726" spans="1:18" hidden="1">
      <c r="A1726">
        <v>12</v>
      </c>
      <c r="B1726" s="4" t="s">
        <v>901</v>
      </c>
      <c r="C1726" s="4" t="s">
        <v>1161</v>
      </c>
      <c r="D1726" s="4" t="s">
        <v>1351</v>
      </c>
      <c r="E1726" s="4" t="s">
        <v>5804</v>
      </c>
      <c r="F1726" t="s">
        <v>571</v>
      </c>
      <c r="G1726" t="s">
        <v>571</v>
      </c>
      <c r="H1726" t="s">
        <v>21</v>
      </c>
      <c r="I1726">
        <v>4</v>
      </c>
      <c r="J1726" s="5">
        <v>6.9000000000000006E-2</v>
      </c>
      <c r="K1726" t="s">
        <v>76</v>
      </c>
      <c r="L1726" s="6">
        <v>42856</v>
      </c>
      <c r="M1726">
        <v>5</v>
      </c>
      <c r="N1726" s="7" t="s">
        <v>23</v>
      </c>
      <c r="O1726" t="s">
        <v>31</v>
      </c>
      <c r="P1726" t="s">
        <v>1355</v>
      </c>
      <c r="Q1726" t="s">
        <v>1356</v>
      </c>
      <c r="R1726" t="s">
        <v>1357</v>
      </c>
    </row>
    <row r="1727" spans="1:18" hidden="1">
      <c r="A1727">
        <v>12</v>
      </c>
      <c r="B1727" s="4" t="s">
        <v>901</v>
      </c>
      <c r="C1727" s="4" t="s">
        <v>1161</v>
      </c>
      <c r="D1727" s="4" t="s">
        <v>1412</v>
      </c>
      <c r="E1727" s="4" t="s">
        <v>5804</v>
      </c>
      <c r="F1727" t="s">
        <v>571</v>
      </c>
      <c r="G1727" t="s">
        <v>571</v>
      </c>
      <c r="H1727" t="s">
        <v>21</v>
      </c>
      <c r="I1727">
        <v>4</v>
      </c>
      <c r="J1727" s="5">
        <v>6.9000000000000006E-2</v>
      </c>
      <c r="K1727" t="s">
        <v>93</v>
      </c>
      <c r="L1727" s="6">
        <v>43282</v>
      </c>
      <c r="M1727">
        <v>7</v>
      </c>
      <c r="N1727" s="7" t="s">
        <v>55</v>
      </c>
      <c r="O1727" t="s">
        <v>31</v>
      </c>
      <c r="P1727" t="s">
        <v>1413</v>
      </c>
      <c r="Q1727" t="s">
        <v>1185</v>
      </c>
      <c r="R1727" t="s">
        <v>1186</v>
      </c>
    </row>
    <row r="1728" spans="1:18" hidden="1">
      <c r="A1728">
        <v>12</v>
      </c>
      <c r="B1728" s="4" t="s">
        <v>901</v>
      </c>
      <c r="C1728" s="4" t="s">
        <v>1672</v>
      </c>
      <c r="D1728" s="4" t="s">
        <v>1673</v>
      </c>
      <c r="E1728" s="4" t="s">
        <v>5804</v>
      </c>
      <c r="F1728" t="s">
        <v>571</v>
      </c>
      <c r="G1728" t="s">
        <v>571</v>
      </c>
      <c r="H1728" t="s">
        <v>21</v>
      </c>
      <c r="I1728">
        <v>4</v>
      </c>
      <c r="J1728" s="5">
        <v>6.9000000000000006E-2</v>
      </c>
      <c r="K1728" t="s">
        <v>22</v>
      </c>
      <c r="L1728" s="6">
        <v>42979</v>
      </c>
      <c r="M1728">
        <v>9</v>
      </c>
      <c r="N1728" s="7" t="s">
        <v>23</v>
      </c>
      <c r="O1728" t="s">
        <v>31</v>
      </c>
      <c r="P1728" t="s">
        <v>1771</v>
      </c>
      <c r="Q1728" t="s">
        <v>1772</v>
      </c>
      <c r="R1728" t="s">
        <v>1773</v>
      </c>
    </row>
    <row r="1729" spans="1:18" hidden="1">
      <c r="A1729">
        <v>12</v>
      </c>
      <c r="B1729" s="4" t="s">
        <v>901</v>
      </c>
      <c r="C1729" s="4" t="s">
        <v>1672</v>
      </c>
      <c r="D1729" s="4" t="s">
        <v>1673</v>
      </c>
      <c r="E1729" s="4" t="s">
        <v>5804</v>
      </c>
      <c r="F1729" t="s">
        <v>571</v>
      </c>
      <c r="G1729" t="s">
        <v>571</v>
      </c>
      <c r="H1729" t="s">
        <v>21</v>
      </c>
      <c r="I1729">
        <v>4</v>
      </c>
      <c r="J1729" s="5">
        <v>6.9000000000000006E-2</v>
      </c>
      <c r="K1729" t="s">
        <v>1012</v>
      </c>
      <c r="L1729" s="6">
        <v>43132</v>
      </c>
      <c r="M1729">
        <v>2</v>
      </c>
      <c r="N1729" s="7" t="s">
        <v>30</v>
      </c>
      <c r="O1729" t="s">
        <v>31</v>
      </c>
      <c r="P1729" t="s">
        <v>1796</v>
      </c>
      <c r="Q1729" t="s">
        <v>1797</v>
      </c>
      <c r="R1729" t="s">
        <v>1798</v>
      </c>
    </row>
    <row r="1730" spans="1:18" hidden="1">
      <c r="A1730">
        <v>12</v>
      </c>
      <c r="B1730" s="4" t="s">
        <v>901</v>
      </c>
      <c r="C1730" s="4" t="s">
        <v>1672</v>
      </c>
      <c r="D1730" s="4" t="s">
        <v>1673</v>
      </c>
      <c r="E1730" s="4" t="s">
        <v>5804</v>
      </c>
      <c r="F1730" t="s">
        <v>571</v>
      </c>
      <c r="G1730" t="s">
        <v>571</v>
      </c>
      <c r="H1730" t="s">
        <v>21</v>
      </c>
      <c r="I1730">
        <v>4</v>
      </c>
      <c r="J1730" s="5">
        <v>6.9000000000000006E-2</v>
      </c>
      <c r="K1730" t="s">
        <v>753</v>
      </c>
      <c r="L1730" s="6">
        <v>44348</v>
      </c>
      <c r="M1730">
        <v>6</v>
      </c>
      <c r="N1730" s="7" t="s">
        <v>55</v>
      </c>
      <c r="O1730" t="s">
        <v>31</v>
      </c>
      <c r="P1730" t="s">
        <v>1934</v>
      </c>
      <c r="Q1730" t="s">
        <v>1935</v>
      </c>
      <c r="R1730" t="s">
        <v>1936</v>
      </c>
    </row>
    <row r="1731" spans="1:18" hidden="1">
      <c r="A1731">
        <v>2</v>
      </c>
      <c r="B1731" s="4" t="s">
        <v>1952</v>
      </c>
      <c r="C1731" s="4" t="s">
        <v>1953</v>
      </c>
      <c r="D1731" s="4" t="s">
        <v>1954</v>
      </c>
      <c r="E1731" s="4" t="s">
        <v>5804</v>
      </c>
      <c r="F1731" t="s">
        <v>571</v>
      </c>
      <c r="G1731" t="s">
        <v>571</v>
      </c>
      <c r="H1731" t="s">
        <v>21</v>
      </c>
      <c r="I1731">
        <v>4</v>
      </c>
      <c r="J1731" s="5">
        <v>6.9000000000000006E-2</v>
      </c>
      <c r="K1731" t="s">
        <v>80</v>
      </c>
      <c r="L1731" s="6">
        <v>42917</v>
      </c>
      <c r="M1731">
        <v>7</v>
      </c>
      <c r="N1731" s="7" t="s">
        <v>55</v>
      </c>
      <c r="O1731" t="s">
        <v>31</v>
      </c>
      <c r="P1731" t="s">
        <v>1989</v>
      </c>
      <c r="Q1731" t="s">
        <v>1990</v>
      </c>
      <c r="R1731" t="s">
        <v>1991</v>
      </c>
    </row>
    <row r="1732" spans="1:18" hidden="1">
      <c r="A1732">
        <v>2</v>
      </c>
      <c r="B1732" s="4" t="s">
        <v>1952</v>
      </c>
      <c r="C1732" s="4" t="s">
        <v>1953</v>
      </c>
      <c r="D1732" s="4" t="s">
        <v>1954</v>
      </c>
      <c r="E1732" s="4" t="s">
        <v>5804</v>
      </c>
      <c r="F1732" t="s">
        <v>571</v>
      </c>
      <c r="G1732" t="s">
        <v>571</v>
      </c>
      <c r="H1732" t="s">
        <v>21</v>
      </c>
      <c r="I1732">
        <v>4</v>
      </c>
      <c r="J1732" s="5">
        <v>6.9000000000000006E-2</v>
      </c>
      <c r="K1732" t="s">
        <v>87</v>
      </c>
      <c r="L1732" s="6">
        <v>43040</v>
      </c>
      <c r="M1732">
        <v>11</v>
      </c>
      <c r="N1732" s="7" t="s">
        <v>23</v>
      </c>
      <c r="O1732" t="s">
        <v>31</v>
      </c>
      <c r="P1732" t="s">
        <v>2008</v>
      </c>
      <c r="Q1732" t="s">
        <v>2009</v>
      </c>
      <c r="R1732" t="s">
        <v>2010</v>
      </c>
    </row>
    <row r="1733" spans="1:18" hidden="1">
      <c r="A1733">
        <v>2</v>
      </c>
      <c r="B1733" s="4" t="s">
        <v>1952</v>
      </c>
      <c r="C1733" s="4" t="s">
        <v>1953</v>
      </c>
      <c r="D1733" s="4" t="s">
        <v>1954</v>
      </c>
      <c r="E1733" s="4" t="s">
        <v>5804</v>
      </c>
      <c r="F1733" t="s">
        <v>571</v>
      </c>
      <c r="G1733" t="s">
        <v>571</v>
      </c>
      <c r="H1733" t="s">
        <v>21</v>
      </c>
      <c r="I1733">
        <v>4</v>
      </c>
      <c r="J1733" s="5">
        <v>6.9000000000000006E-2</v>
      </c>
      <c r="K1733" t="s">
        <v>93</v>
      </c>
      <c r="L1733" s="6">
        <v>43282</v>
      </c>
      <c r="M1733">
        <v>7</v>
      </c>
      <c r="N1733" s="7" t="s">
        <v>55</v>
      </c>
      <c r="O1733" t="s">
        <v>31</v>
      </c>
      <c r="P1733" t="s">
        <v>2025</v>
      </c>
      <c r="Q1733" t="s">
        <v>2026</v>
      </c>
      <c r="R1733" t="s">
        <v>2027</v>
      </c>
    </row>
    <row r="1734" spans="1:18" hidden="1">
      <c r="A1734">
        <v>2</v>
      </c>
      <c r="B1734" s="4" t="s">
        <v>1952</v>
      </c>
      <c r="C1734" s="4" t="s">
        <v>1953</v>
      </c>
      <c r="D1734" s="4" t="s">
        <v>1954</v>
      </c>
      <c r="E1734" s="4" t="s">
        <v>5804</v>
      </c>
      <c r="F1734" t="s">
        <v>571</v>
      </c>
      <c r="G1734" t="s">
        <v>571</v>
      </c>
      <c r="H1734" t="s">
        <v>21</v>
      </c>
      <c r="I1734">
        <v>4</v>
      </c>
      <c r="J1734" s="5">
        <v>6.9000000000000006E-2</v>
      </c>
      <c r="K1734" t="s">
        <v>298</v>
      </c>
      <c r="L1734" s="6">
        <v>43344</v>
      </c>
      <c r="M1734">
        <v>9</v>
      </c>
      <c r="N1734" s="7" t="s">
        <v>23</v>
      </c>
      <c r="O1734" t="s">
        <v>31</v>
      </c>
      <c r="P1734" t="s">
        <v>2033</v>
      </c>
      <c r="Q1734" t="s">
        <v>2026</v>
      </c>
      <c r="R1734" t="s">
        <v>2027</v>
      </c>
    </row>
    <row r="1735" spans="1:18" hidden="1">
      <c r="A1735">
        <v>2</v>
      </c>
      <c r="B1735" s="4" t="s">
        <v>1952</v>
      </c>
      <c r="C1735" s="4" t="s">
        <v>1953</v>
      </c>
      <c r="D1735" s="4" t="s">
        <v>1954</v>
      </c>
      <c r="E1735" s="4" t="s">
        <v>5804</v>
      </c>
      <c r="F1735" t="s">
        <v>571</v>
      </c>
      <c r="G1735" t="s">
        <v>571</v>
      </c>
      <c r="H1735" t="s">
        <v>21</v>
      </c>
      <c r="I1735">
        <v>4</v>
      </c>
      <c r="J1735" s="5">
        <v>6.9000000000000006E-2</v>
      </c>
      <c r="K1735" t="s">
        <v>245</v>
      </c>
      <c r="L1735" s="6">
        <v>43466</v>
      </c>
      <c r="M1735">
        <v>1</v>
      </c>
      <c r="N1735" s="7" t="s">
        <v>30</v>
      </c>
      <c r="O1735" t="s">
        <v>31</v>
      </c>
      <c r="P1735" t="s">
        <v>2045</v>
      </c>
      <c r="Q1735" t="s">
        <v>2046</v>
      </c>
      <c r="R1735" t="s">
        <v>2047</v>
      </c>
    </row>
    <row r="1736" spans="1:18" hidden="1">
      <c r="A1736">
        <v>2</v>
      </c>
      <c r="B1736" s="4" t="s">
        <v>1952</v>
      </c>
      <c r="C1736" s="4" t="s">
        <v>1953</v>
      </c>
      <c r="D1736" s="4" t="s">
        <v>2072</v>
      </c>
      <c r="E1736" s="4" t="s">
        <v>5804</v>
      </c>
      <c r="F1736" t="s">
        <v>571</v>
      </c>
      <c r="G1736" t="s">
        <v>571</v>
      </c>
      <c r="H1736" t="s">
        <v>21</v>
      </c>
      <c r="I1736">
        <v>4</v>
      </c>
      <c r="J1736" s="5">
        <v>6.9000000000000006E-2</v>
      </c>
      <c r="K1736" t="s">
        <v>71</v>
      </c>
      <c r="L1736" s="6">
        <v>42522</v>
      </c>
      <c r="M1736">
        <v>6</v>
      </c>
      <c r="N1736" s="7" t="s">
        <v>55</v>
      </c>
      <c r="O1736" t="s">
        <v>31</v>
      </c>
      <c r="P1736" t="s">
        <v>2084</v>
      </c>
      <c r="Q1736" t="s">
        <v>2085</v>
      </c>
      <c r="R1736" t="s">
        <v>2086</v>
      </c>
    </row>
    <row r="1737" spans="1:18" hidden="1">
      <c r="A1737">
        <v>2</v>
      </c>
      <c r="B1737" s="4" t="s">
        <v>1952</v>
      </c>
      <c r="C1737" s="4" t="s">
        <v>1953</v>
      </c>
      <c r="D1737" s="4" t="s">
        <v>2072</v>
      </c>
      <c r="E1737" s="4" t="s">
        <v>5804</v>
      </c>
      <c r="F1737" t="s">
        <v>571</v>
      </c>
      <c r="G1737" t="s">
        <v>571</v>
      </c>
      <c r="H1737" t="s">
        <v>21</v>
      </c>
      <c r="I1737">
        <v>4</v>
      </c>
      <c r="J1737" s="5">
        <v>6.9000000000000006E-2</v>
      </c>
      <c r="K1737" t="s">
        <v>2091</v>
      </c>
      <c r="L1737" s="6">
        <v>42583</v>
      </c>
      <c r="M1737">
        <v>8</v>
      </c>
      <c r="N1737" s="7" t="s">
        <v>55</v>
      </c>
      <c r="O1737" t="s">
        <v>31</v>
      </c>
      <c r="P1737" t="s">
        <v>2092</v>
      </c>
      <c r="Q1737" t="s">
        <v>2085</v>
      </c>
      <c r="R1737" t="s">
        <v>2086</v>
      </c>
    </row>
    <row r="1738" spans="1:18" hidden="1">
      <c r="A1738">
        <v>2</v>
      </c>
      <c r="B1738" s="4" t="s">
        <v>1952</v>
      </c>
      <c r="C1738" s="4" t="s">
        <v>1953</v>
      </c>
      <c r="D1738" s="4" t="s">
        <v>2072</v>
      </c>
      <c r="E1738" s="4" t="s">
        <v>5804</v>
      </c>
      <c r="F1738" t="s">
        <v>571</v>
      </c>
      <c r="G1738" t="s">
        <v>571</v>
      </c>
      <c r="H1738" t="s">
        <v>21</v>
      </c>
      <c r="I1738">
        <v>4</v>
      </c>
      <c r="J1738" s="5">
        <v>6.9000000000000006E-2</v>
      </c>
      <c r="K1738" t="s">
        <v>220</v>
      </c>
      <c r="L1738" s="6">
        <v>42644</v>
      </c>
      <c r="M1738">
        <v>10</v>
      </c>
      <c r="N1738" s="7" t="s">
        <v>23</v>
      </c>
      <c r="O1738" t="s">
        <v>31</v>
      </c>
      <c r="P1738" t="s">
        <v>2096</v>
      </c>
      <c r="Q1738" t="s">
        <v>2097</v>
      </c>
      <c r="R1738" t="s">
        <v>2098</v>
      </c>
    </row>
    <row r="1739" spans="1:18" hidden="1">
      <c r="A1739">
        <v>2</v>
      </c>
      <c r="B1739" s="4" t="s">
        <v>1952</v>
      </c>
      <c r="C1739" s="4" t="s">
        <v>1953</v>
      </c>
      <c r="D1739" s="4" t="s">
        <v>2072</v>
      </c>
      <c r="E1739" s="4" t="s">
        <v>5804</v>
      </c>
      <c r="F1739" t="s">
        <v>571</v>
      </c>
      <c r="G1739" t="s">
        <v>571</v>
      </c>
      <c r="H1739" t="s">
        <v>21</v>
      </c>
      <c r="I1739">
        <v>4</v>
      </c>
      <c r="J1739" s="5">
        <v>6.9000000000000006E-2</v>
      </c>
      <c r="K1739" t="s">
        <v>164</v>
      </c>
      <c r="L1739" s="6">
        <v>43617</v>
      </c>
      <c r="M1739">
        <v>6</v>
      </c>
      <c r="N1739" s="7" t="s">
        <v>55</v>
      </c>
      <c r="O1739" t="s">
        <v>31</v>
      </c>
      <c r="P1739" t="s">
        <v>2155</v>
      </c>
      <c r="Q1739" t="s">
        <v>2156</v>
      </c>
      <c r="R1739" t="s">
        <v>2157</v>
      </c>
    </row>
    <row r="1740" spans="1:18" hidden="1">
      <c r="A1740">
        <v>2</v>
      </c>
      <c r="B1740" s="4" t="s">
        <v>1952</v>
      </c>
      <c r="C1740" s="4" t="s">
        <v>1953</v>
      </c>
      <c r="D1740" s="4" t="s">
        <v>2072</v>
      </c>
      <c r="E1740" s="4" t="s">
        <v>5804</v>
      </c>
      <c r="F1740" t="s">
        <v>571</v>
      </c>
      <c r="G1740" t="s">
        <v>571</v>
      </c>
      <c r="H1740" t="s">
        <v>21</v>
      </c>
      <c r="I1740">
        <v>4</v>
      </c>
      <c r="J1740" s="5">
        <v>6.9000000000000006E-2</v>
      </c>
      <c r="K1740" t="s">
        <v>304</v>
      </c>
      <c r="L1740" s="6">
        <v>43647</v>
      </c>
      <c r="M1740">
        <v>7</v>
      </c>
      <c r="N1740" s="7" t="s">
        <v>55</v>
      </c>
      <c r="O1740" t="s">
        <v>31</v>
      </c>
      <c r="P1740" t="s">
        <v>2162</v>
      </c>
      <c r="Q1740" t="s">
        <v>2163</v>
      </c>
      <c r="R1740" t="s">
        <v>2164</v>
      </c>
    </row>
    <row r="1741" spans="1:18" hidden="1">
      <c r="A1741">
        <v>2</v>
      </c>
      <c r="B1741" s="4" t="s">
        <v>1952</v>
      </c>
      <c r="C1741" s="4" t="s">
        <v>1953</v>
      </c>
      <c r="D1741" s="4" t="s">
        <v>2072</v>
      </c>
      <c r="E1741" s="4" t="s">
        <v>5804</v>
      </c>
      <c r="F1741" t="s">
        <v>571</v>
      </c>
      <c r="G1741" t="s">
        <v>2180</v>
      </c>
      <c r="H1741" t="s">
        <v>21</v>
      </c>
      <c r="I1741">
        <v>4</v>
      </c>
      <c r="J1741" s="5">
        <v>6.9000000000000006E-2</v>
      </c>
      <c r="K1741" t="s">
        <v>204</v>
      </c>
      <c r="L1741" s="6">
        <v>43831</v>
      </c>
      <c r="M1741">
        <v>1</v>
      </c>
      <c r="N1741" s="7" t="s">
        <v>30</v>
      </c>
      <c r="O1741" t="s">
        <v>31</v>
      </c>
      <c r="P1741" t="s">
        <v>2181</v>
      </c>
      <c r="Q1741" t="s">
        <v>2173</v>
      </c>
      <c r="R1741" t="s">
        <v>2174</v>
      </c>
    </row>
    <row r="1742" spans="1:18" hidden="1">
      <c r="A1742">
        <v>2</v>
      </c>
      <c r="B1742" s="4" t="s">
        <v>1952</v>
      </c>
      <c r="C1742" s="4" t="s">
        <v>1953</v>
      </c>
      <c r="D1742" s="4" t="s">
        <v>2072</v>
      </c>
      <c r="E1742" s="4" t="s">
        <v>5804</v>
      </c>
      <c r="F1742" t="s">
        <v>571</v>
      </c>
      <c r="G1742" t="s">
        <v>571</v>
      </c>
      <c r="H1742" t="s">
        <v>21</v>
      </c>
      <c r="I1742">
        <v>4</v>
      </c>
      <c r="J1742" s="5">
        <v>6.9000000000000006E-2</v>
      </c>
      <c r="K1742" t="s">
        <v>178</v>
      </c>
      <c r="L1742" s="6">
        <v>44228</v>
      </c>
      <c r="M1742">
        <v>2</v>
      </c>
      <c r="N1742" s="7" t="s">
        <v>30</v>
      </c>
      <c r="O1742" t="s">
        <v>31</v>
      </c>
      <c r="P1742" t="s">
        <v>2212</v>
      </c>
      <c r="Q1742" t="s">
        <v>2085</v>
      </c>
      <c r="R1742" t="s">
        <v>2086</v>
      </c>
    </row>
    <row r="1743" spans="1:18" hidden="1">
      <c r="A1743">
        <v>2</v>
      </c>
      <c r="B1743" s="4" t="s">
        <v>1952</v>
      </c>
      <c r="C1743" s="4" t="s">
        <v>1953</v>
      </c>
      <c r="D1743" s="4" t="s">
        <v>2072</v>
      </c>
      <c r="E1743" s="4" t="s">
        <v>5804</v>
      </c>
      <c r="F1743" t="s">
        <v>571</v>
      </c>
      <c r="G1743" t="s">
        <v>571</v>
      </c>
      <c r="H1743" t="s">
        <v>21</v>
      </c>
      <c r="I1743">
        <v>4</v>
      </c>
      <c r="J1743" s="5">
        <v>6.9000000000000006E-2</v>
      </c>
      <c r="K1743" t="s">
        <v>104</v>
      </c>
      <c r="L1743" s="6">
        <v>44317</v>
      </c>
      <c r="M1743">
        <v>5</v>
      </c>
      <c r="N1743" s="7" t="s">
        <v>23</v>
      </c>
      <c r="O1743" t="s">
        <v>31</v>
      </c>
      <c r="P1743" t="s">
        <v>2218</v>
      </c>
      <c r="Q1743" t="s">
        <v>2085</v>
      </c>
      <c r="R1743" t="s">
        <v>2086</v>
      </c>
    </row>
    <row r="1744" spans="1:18" hidden="1">
      <c r="A1744">
        <v>2</v>
      </c>
      <c r="B1744" s="4" t="s">
        <v>1952</v>
      </c>
      <c r="C1744" s="4" t="s">
        <v>1953</v>
      </c>
      <c r="D1744" s="4" t="s">
        <v>2072</v>
      </c>
      <c r="E1744" s="4" t="s">
        <v>5804</v>
      </c>
      <c r="F1744" t="s">
        <v>571</v>
      </c>
      <c r="G1744" t="s">
        <v>571</v>
      </c>
      <c r="H1744" t="s">
        <v>21</v>
      </c>
      <c r="I1744">
        <v>4</v>
      </c>
      <c r="J1744" s="5">
        <v>6.9000000000000006E-2</v>
      </c>
      <c r="K1744" t="s">
        <v>104</v>
      </c>
      <c r="L1744" s="6">
        <v>44317</v>
      </c>
      <c r="M1744">
        <v>5</v>
      </c>
      <c r="N1744" s="7" t="s">
        <v>23</v>
      </c>
      <c r="O1744" t="s">
        <v>31</v>
      </c>
      <c r="P1744" t="s">
        <v>2219</v>
      </c>
      <c r="Q1744" t="s">
        <v>2085</v>
      </c>
      <c r="R1744" t="s">
        <v>2086</v>
      </c>
    </row>
    <row r="1745" spans="1:18" hidden="1">
      <c r="A1745">
        <v>2</v>
      </c>
      <c r="B1745" s="4" t="s">
        <v>1952</v>
      </c>
      <c r="C1745" s="4" t="s">
        <v>1953</v>
      </c>
      <c r="D1745" s="4" t="s">
        <v>2224</v>
      </c>
      <c r="E1745" s="4" t="s">
        <v>5804</v>
      </c>
      <c r="F1745" t="s">
        <v>571</v>
      </c>
      <c r="G1745" t="s">
        <v>571</v>
      </c>
      <c r="H1745" t="s">
        <v>21</v>
      </c>
      <c r="I1745">
        <v>4</v>
      </c>
      <c r="J1745" s="5">
        <v>6.9000000000000006E-2</v>
      </c>
      <c r="K1745" t="s">
        <v>218</v>
      </c>
      <c r="L1745" s="6">
        <v>42614</v>
      </c>
      <c r="M1745">
        <v>9</v>
      </c>
      <c r="N1745" s="7" t="s">
        <v>23</v>
      </c>
      <c r="O1745" t="s">
        <v>31</v>
      </c>
      <c r="P1745" t="s">
        <v>2243</v>
      </c>
      <c r="Q1745" t="s">
        <v>2244</v>
      </c>
      <c r="R1745" t="s">
        <v>2086</v>
      </c>
    </row>
    <row r="1746" spans="1:18" hidden="1">
      <c r="A1746">
        <v>2</v>
      </c>
      <c r="B1746" s="4" t="s">
        <v>1952</v>
      </c>
      <c r="C1746" s="4" t="s">
        <v>1953</v>
      </c>
      <c r="D1746" s="4" t="s">
        <v>2224</v>
      </c>
      <c r="E1746" s="4" t="s">
        <v>5804</v>
      </c>
      <c r="F1746" t="s">
        <v>571</v>
      </c>
      <c r="G1746" t="s">
        <v>571</v>
      </c>
      <c r="H1746" t="s">
        <v>21</v>
      </c>
      <c r="I1746">
        <v>4</v>
      </c>
      <c r="J1746" s="5">
        <v>6.9000000000000006E-2</v>
      </c>
      <c r="K1746" t="s">
        <v>218</v>
      </c>
      <c r="L1746" s="6">
        <v>42614</v>
      </c>
      <c r="M1746">
        <v>9</v>
      </c>
      <c r="N1746" s="7" t="s">
        <v>23</v>
      </c>
      <c r="O1746" t="s">
        <v>31</v>
      </c>
      <c r="P1746" t="s">
        <v>2245</v>
      </c>
      <c r="Q1746" t="s">
        <v>2244</v>
      </c>
      <c r="R1746" t="s">
        <v>2086</v>
      </c>
    </row>
    <row r="1747" spans="1:18" hidden="1">
      <c r="A1747">
        <v>2</v>
      </c>
      <c r="B1747" s="4" t="s">
        <v>1952</v>
      </c>
      <c r="C1747" s="4" t="s">
        <v>1953</v>
      </c>
      <c r="D1747" s="4" t="s">
        <v>2224</v>
      </c>
      <c r="E1747" s="4" t="s">
        <v>5804</v>
      </c>
      <c r="F1747" t="s">
        <v>571</v>
      </c>
      <c r="G1747" t="s">
        <v>571</v>
      </c>
      <c r="H1747" t="s">
        <v>21</v>
      </c>
      <c r="I1747">
        <v>4</v>
      </c>
      <c r="J1747" s="5">
        <v>6.9000000000000006E-2</v>
      </c>
      <c r="K1747" t="s">
        <v>477</v>
      </c>
      <c r="L1747" s="6">
        <v>42705</v>
      </c>
      <c r="M1747">
        <v>12</v>
      </c>
      <c r="N1747" s="7" t="s">
        <v>30</v>
      </c>
      <c r="O1747" t="s">
        <v>31</v>
      </c>
      <c r="P1747" t="s">
        <v>2257</v>
      </c>
      <c r="Q1747" t="s">
        <v>2258</v>
      </c>
      <c r="R1747" t="s">
        <v>2259</v>
      </c>
    </row>
    <row r="1748" spans="1:18" hidden="1">
      <c r="A1748">
        <v>2</v>
      </c>
      <c r="B1748" s="4" t="s">
        <v>1952</v>
      </c>
      <c r="C1748" s="4" t="s">
        <v>1953</v>
      </c>
      <c r="D1748" s="4" t="s">
        <v>2224</v>
      </c>
      <c r="E1748" s="4" t="s">
        <v>5804</v>
      </c>
      <c r="F1748" t="s">
        <v>571</v>
      </c>
      <c r="G1748" t="s">
        <v>571</v>
      </c>
      <c r="H1748" t="s">
        <v>21</v>
      </c>
      <c r="I1748">
        <v>4</v>
      </c>
      <c r="J1748" s="5">
        <v>6.9000000000000006E-2</v>
      </c>
      <c r="K1748" t="s">
        <v>395</v>
      </c>
      <c r="L1748" s="6">
        <v>43497</v>
      </c>
      <c r="M1748">
        <v>2</v>
      </c>
      <c r="N1748" s="7" t="s">
        <v>30</v>
      </c>
      <c r="O1748" t="s">
        <v>31</v>
      </c>
      <c r="P1748" t="s">
        <v>2298</v>
      </c>
      <c r="Q1748" t="s">
        <v>2244</v>
      </c>
      <c r="R1748" t="s">
        <v>2086</v>
      </c>
    </row>
    <row r="1749" spans="1:18" hidden="1">
      <c r="A1749">
        <v>2</v>
      </c>
      <c r="B1749" s="4" t="s">
        <v>1952</v>
      </c>
      <c r="C1749" s="4" t="s">
        <v>1953</v>
      </c>
      <c r="D1749" s="4" t="s">
        <v>2224</v>
      </c>
      <c r="E1749" s="4" t="s">
        <v>5804</v>
      </c>
      <c r="F1749" t="s">
        <v>571</v>
      </c>
      <c r="G1749" t="s">
        <v>571</v>
      </c>
      <c r="H1749" t="s">
        <v>21</v>
      </c>
      <c r="I1749">
        <v>4</v>
      </c>
      <c r="J1749" s="5">
        <v>6.9000000000000006E-2</v>
      </c>
      <c r="K1749" t="s">
        <v>267</v>
      </c>
      <c r="L1749" s="6">
        <v>44044</v>
      </c>
      <c r="M1749">
        <v>8</v>
      </c>
      <c r="N1749" s="7" t="s">
        <v>55</v>
      </c>
      <c r="O1749" t="s">
        <v>31</v>
      </c>
      <c r="P1749" t="s">
        <v>2320</v>
      </c>
      <c r="Q1749" t="s">
        <v>2264</v>
      </c>
      <c r="R1749" t="s">
        <v>2265</v>
      </c>
    </row>
    <row r="1750" spans="1:18" hidden="1">
      <c r="A1750">
        <v>2</v>
      </c>
      <c r="B1750" s="4" t="s">
        <v>1952</v>
      </c>
      <c r="C1750" s="4" t="s">
        <v>1953</v>
      </c>
      <c r="D1750" s="4" t="s">
        <v>2326</v>
      </c>
      <c r="E1750" s="4" t="s">
        <v>5804</v>
      </c>
      <c r="F1750" t="s">
        <v>571</v>
      </c>
      <c r="G1750" t="s">
        <v>571</v>
      </c>
      <c r="H1750" t="s">
        <v>21</v>
      </c>
      <c r="I1750">
        <v>4</v>
      </c>
      <c r="J1750" s="5">
        <v>6.9000000000000006E-2</v>
      </c>
      <c r="K1750" t="s">
        <v>319</v>
      </c>
      <c r="L1750" s="6">
        <v>42583</v>
      </c>
      <c r="M1750">
        <v>8</v>
      </c>
      <c r="N1750" s="7" t="s">
        <v>55</v>
      </c>
      <c r="O1750" t="s">
        <v>31</v>
      </c>
      <c r="P1750" t="s">
        <v>2333</v>
      </c>
      <c r="Q1750" t="s">
        <v>2334</v>
      </c>
      <c r="R1750" t="s">
        <v>2335</v>
      </c>
    </row>
    <row r="1751" spans="1:18" hidden="1">
      <c r="A1751">
        <v>2</v>
      </c>
      <c r="B1751" s="4" t="s">
        <v>1952</v>
      </c>
      <c r="C1751" s="4" t="s">
        <v>2349</v>
      </c>
      <c r="D1751" s="4" t="s">
        <v>2354</v>
      </c>
      <c r="E1751" s="4" t="s">
        <v>5804</v>
      </c>
      <c r="F1751" t="s">
        <v>571</v>
      </c>
      <c r="G1751" t="s">
        <v>571</v>
      </c>
      <c r="H1751" t="s">
        <v>21</v>
      </c>
      <c r="I1751">
        <v>4</v>
      </c>
      <c r="J1751" s="5">
        <v>6.9000000000000006E-2</v>
      </c>
      <c r="K1751" t="s">
        <v>220</v>
      </c>
      <c r="L1751" s="6">
        <v>42644</v>
      </c>
      <c r="M1751">
        <v>10</v>
      </c>
      <c r="N1751" s="7" t="s">
        <v>23</v>
      </c>
      <c r="O1751" t="s">
        <v>31</v>
      </c>
      <c r="P1751" t="s">
        <v>2355</v>
      </c>
      <c r="Q1751" t="s">
        <v>2356</v>
      </c>
      <c r="R1751" t="s">
        <v>2357</v>
      </c>
    </row>
    <row r="1752" spans="1:18" hidden="1">
      <c r="A1752">
        <v>2</v>
      </c>
      <c r="B1752" s="4" t="s">
        <v>1952</v>
      </c>
      <c r="C1752" s="4" t="s">
        <v>2349</v>
      </c>
      <c r="D1752" s="4" t="s">
        <v>2364</v>
      </c>
      <c r="E1752" s="4" t="s">
        <v>5804</v>
      </c>
      <c r="F1752" t="s">
        <v>571</v>
      </c>
      <c r="G1752" t="s">
        <v>2180</v>
      </c>
      <c r="H1752" t="s">
        <v>21</v>
      </c>
      <c r="I1752">
        <v>4</v>
      </c>
      <c r="J1752" s="5">
        <v>6.9000000000000006E-2</v>
      </c>
      <c r="K1752" t="s">
        <v>220</v>
      </c>
      <c r="L1752" s="6">
        <v>42644</v>
      </c>
      <c r="M1752">
        <v>10</v>
      </c>
      <c r="N1752" s="7" t="s">
        <v>23</v>
      </c>
      <c r="O1752" t="s">
        <v>31</v>
      </c>
      <c r="P1752" t="s">
        <v>2368</v>
      </c>
      <c r="Q1752" t="s">
        <v>2369</v>
      </c>
      <c r="R1752" t="s">
        <v>2370</v>
      </c>
    </row>
    <row r="1753" spans="1:18" hidden="1">
      <c r="A1753">
        <v>2</v>
      </c>
      <c r="B1753" s="4" t="s">
        <v>1952</v>
      </c>
      <c r="C1753" s="4" t="s">
        <v>2349</v>
      </c>
      <c r="D1753" s="4" t="s">
        <v>2364</v>
      </c>
      <c r="E1753" s="4" t="s">
        <v>5804</v>
      </c>
      <c r="F1753" t="s">
        <v>571</v>
      </c>
      <c r="G1753" t="s">
        <v>2180</v>
      </c>
      <c r="H1753" t="s">
        <v>21</v>
      </c>
      <c r="I1753">
        <v>4</v>
      </c>
      <c r="J1753" s="5">
        <v>6.9000000000000006E-2</v>
      </c>
      <c r="K1753" t="s">
        <v>278</v>
      </c>
      <c r="L1753" s="6">
        <v>42675</v>
      </c>
      <c r="M1753">
        <v>11</v>
      </c>
      <c r="N1753" s="7" t="s">
        <v>23</v>
      </c>
      <c r="O1753" t="s">
        <v>31</v>
      </c>
      <c r="P1753" t="s">
        <v>2371</v>
      </c>
      <c r="Q1753" t="s">
        <v>2372</v>
      </c>
      <c r="R1753" t="s">
        <v>2373</v>
      </c>
    </row>
    <row r="1754" spans="1:18" hidden="1">
      <c r="A1754">
        <v>2</v>
      </c>
      <c r="B1754" s="4" t="s">
        <v>1952</v>
      </c>
      <c r="C1754" s="4" t="s">
        <v>2349</v>
      </c>
      <c r="D1754" s="4" t="s">
        <v>2364</v>
      </c>
      <c r="E1754" s="4" t="s">
        <v>5804</v>
      </c>
      <c r="F1754" t="s">
        <v>571</v>
      </c>
      <c r="G1754" t="s">
        <v>2180</v>
      </c>
      <c r="H1754" t="s">
        <v>21</v>
      </c>
      <c r="I1754">
        <v>4</v>
      </c>
      <c r="J1754" s="5">
        <v>6.9000000000000006E-2</v>
      </c>
      <c r="K1754" t="s">
        <v>477</v>
      </c>
      <c r="L1754" s="6">
        <v>42705</v>
      </c>
      <c r="M1754">
        <v>12</v>
      </c>
      <c r="N1754" s="7" t="s">
        <v>30</v>
      </c>
      <c r="O1754" t="s">
        <v>31</v>
      </c>
      <c r="P1754" t="s">
        <v>2374</v>
      </c>
      <c r="Q1754" t="s">
        <v>2375</v>
      </c>
      <c r="R1754" t="s">
        <v>2376</v>
      </c>
    </row>
    <row r="1755" spans="1:18" hidden="1">
      <c r="A1755">
        <v>2</v>
      </c>
      <c r="B1755" s="4" t="s">
        <v>1952</v>
      </c>
      <c r="C1755" s="4" t="s">
        <v>2349</v>
      </c>
      <c r="D1755" s="4" t="s">
        <v>2364</v>
      </c>
      <c r="E1755" s="4" t="s">
        <v>5804</v>
      </c>
      <c r="F1755" t="s">
        <v>571</v>
      </c>
      <c r="G1755" t="s">
        <v>2180</v>
      </c>
      <c r="H1755" t="s">
        <v>21</v>
      </c>
      <c r="I1755">
        <v>4</v>
      </c>
      <c r="J1755" s="5">
        <v>6.9000000000000006E-2</v>
      </c>
      <c r="K1755" t="s">
        <v>681</v>
      </c>
      <c r="L1755" s="6">
        <v>42887</v>
      </c>
      <c r="M1755">
        <v>6</v>
      </c>
      <c r="N1755" s="7" t="s">
        <v>55</v>
      </c>
      <c r="O1755" t="s">
        <v>31</v>
      </c>
      <c r="P1755" t="s">
        <v>2383</v>
      </c>
      <c r="Q1755" t="s">
        <v>2372</v>
      </c>
      <c r="R1755" t="s">
        <v>2373</v>
      </c>
    </row>
    <row r="1756" spans="1:18" hidden="1">
      <c r="A1756">
        <v>2</v>
      </c>
      <c r="B1756" s="4" t="s">
        <v>1952</v>
      </c>
      <c r="C1756" s="4" t="s">
        <v>2349</v>
      </c>
      <c r="D1756" s="4" t="s">
        <v>2411</v>
      </c>
      <c r="E1756" s="4" t="s">
        <v>5804</v>
      </c>
      <c r="F1756" t="s">
        <v>571</v>
      </c>
      <c r="G1756" t="s">
        <v>2180</v>
      </c>
      <c r="H1756" t="s">
        <v>21</v>
      </c>
      <c r="I1756">
        <v>4</v>
      </c>
      <c r="J1756" s="5">
        <v>6.9000000000000006E-2</v>
      </c>
      <c r="K1756" t="s">
        <v>319</v>
      </c>
      <c r="L1756" s="6">
        <v>42583</v>
      </c>
      <c r="M1756">
        <v>8</v>
      </c>
      <c r="N1756" s="7" t="s">
        <v>55</v>
      </c>
      <c r="O1756" t="s">
        <v>31</v>
      </c>
      <c r="P1756" t="s">
        <v>2412</v>
      </c>
      <c r="Q1756" t="s">
        <v>2413</v>
      </c>
      <c r="R1756" t="s">
        <v>2414</v>
      </c>
    </row>
    <row r="1757" spans="1:18" hidden="1">
      <c r="A1757">
        <v>2</v>
      </c>
      <c r="B1757" s="4" t="s">
        <v>1952</v>
      </c>
      <c r="C1757" s="4" t="s">
        <v>2349</v>
      </c>
      <c r="D1757" s="4" t="s">
        <v>2411</v>
      </c>
      <c r="E1757" s="4" t="s">
        <v>5804</v>
      </c>
      <c r="F1757" t="s">
        <v>571</v>
      </c>
      <c r="G1757" t="s">
        <v>2180</v>
      </c>
      <c r="H1757" t="s">
        <v>21</v>
      </c>
      <c r="I1757">
        <v>4</v>
      </c>
      <c r="J1757" s="5">
        <v>6.9000000000000006E-2</v>
      </c>
      <c r="K1757" t="s">
        <v>220</v>
      </c>
      <c r="L1757" s="6">
        <v>42644</v>
      </c>
      <c r="M1757">
        <v>10</v>
      </c>
      <c r="N1757" s="7" t="s">
        <v>23</v>
      </c>
      <c r="O1757" t="s">
        <v>31</v>
      </c>
      <c r="P1757" t="s">
        <v>2415</v>
      </c>
      <c r="Q1757" t="s">
        <v>2416</v>
      </c>
      <c r="R1757" t="s">
        <v>2417</v>
      </c>
    </row>
    <row r="1758" spans="1:18" hidden="1">
      <c r="A1758">
        <v>2</v>
      </c>
      <c r="B1758" s="4" t="s">
        <v>1952</v>
      </c>
      <c r="C1758" s="4" t="s">
        <v>2349</v>
      </c>
      <c r="D1758" s="4" t="s">
        <v>2411</v>
      </c>
      <c r="E1758" s="4" t="s">
        <v>5804</v>
      </c>
      <c r="F1758" t="s">
        <v>571</v>
      </c>
      <c r="G1758" t="s">
        <v>2180</v>
      </c>
      <c r="H1758" t="s">
        <v>21</v>
      </c>
      <c r="I1758">
        <v>4</v>
      </c>
      <c r="J1758" s="5">
        <v>6.9000000000000006E-2</v>
      </c>
      <c r="K1758" t="s">
        <v>278</v>
      </c>
      <c r="L1758" s="6">
        <v>42675</v>
      </c>
      <c r="M1758">
        <v>11</v>
      </c>
      <c r="N1758" s="7" t="s">
        <v>23</v>
      </c>
      <c r="O1758" t="s">
        <v>31</v>
      </c>
      <c r="P1758" t="s">
        <v>2418</v>
      </c>
      <c r="Q1758" t="s">
        <v>2419</v>
      </c>
      <c r="R1758" t="s">
        <v>2420</v>
      </c>
    </row>
    <row r="1759" spans="1:18" hidden="1">
      <c r="A1759">
        <v>2</v>
      </c>
      <c r="B1759" s="4" t="s">
        <v>1952</v>
      </c>
      <c r="C1759" s="4" t="s">
        <v>2349</v>
      </c>
      <c r="D1759" s="4" t="s">
        <v>2411</v>
      </c>
      <c r="E1759" s="4" t="s">
        <v>5804</v>
      </c>
      <c r="F1759" t="s">
        <v>571</v>
      </c>
      <c r="G1759" t="s">
        <v>571</v>
      </c>
      <c r="H1759" t="s">
        <v>21</v>
      </c>
      <c r="I1759">
        <v>4</v>
      </c>
      <c r="J1759" s="5">
        <v>6.9000000000000006E-2</v>
      </c>
      <c r="K1759" t="s">
        <v>422</v>
      </c>
      <c r="L1759" s="6">
        <v>42736</v>
      </c>
      <c r="M1759">
        <v>1</v>
      </c>
      <c r="N1759" s="7" t="s">
        <v>30</v>
      </c>
      <c r="O1759" t="s">
        <v>31</v>
      </c>
      <c r="P1759" t="s">
        <v>2421</v>
      </c>
      <c r="Q1759" t="s">
        <v>2422</v>
      </c>
      <c r="R1759" t="s">
        <v>2423</v>
      </c>
    </row>
    <row r="1760" spans="1:18" hidden="1">
      <c r="A1760">
        <v>2</v>
      </c>
      <c r="B1760" s="4" t="s">
        <v>1952</v>
      </c>
      <c r="C1760" s="4" t="s">
        <v>2349</v>
      </c>
      <c r="D1760" s="4" t="s">
        <v>2411</v>
      </c>
      <c r="E1760" s="4" t="s">
        <v>5804</v>
      </c>
      <c r="F1760" t="s">
        <v>571</v>
      </c>
      <c r="G1760" t="s">
        <v>2180</v>
      </c>
      <c r="H1760" t="s">
        <v>21</v>
      </c>
      <c r="I1760">
        <v>4</v>
      </c>
      <c r="J1760" s="5">
        <v>6.9000000000000006E-2</v>
      </c>
      <c r="K1760" t="s">
        <v>87</v>
      </c>
      <c r="L1760" s="6">
        <v>43040</v>
      </c>
      <c r="M1760">
        <v>11</v>
      </c>
      <c r="N1760" s="7" t="s">
        <v>23</v>
      </c>
      <c r="O1760" t="s">
        <v>31</v>
      </c>
      <c r="P1760" t="s">
        <v>2424</v>
      </c>
      <c r="Q1760" t="s">
        <v>2413</v>
      </c>
      <c r="R1760" t="s">
        <v>2414</v>
      </c>
    </row>
    <row r="1761" spans="1:18" hidden="1">
      <c r="A1761">
        <v>2</v>
      </c>
      <c r="B1761" s="4" t="s">
        <v>1952</v>
      </c>
      <c r="C1761" s="4" t="s">
        <v>2425</v>
      </c>
      <c r="D1761" s="4" t="s">
        <v>2446</v>
      </c>
      <c r="E1761" s="4" t="s">
        <v>5804</v>
      </c>
      <c r="F1761" t="s">
        <v>571</v>
      </c>
      <c r="G1761" t="s">
        <v>571</v>
      </c>
      <c r="H1761" t="s">
        <v>21</v>
      </c>
      <c r="I1761">
        <v>4</v>
      </c>
      <c r="J1761" s="5">
        <v>6.9000000000000006E-2</v>
      </c>
      <c r="K1761" t="s">
        <v>278</v>
      </c>
      <c r="L1761" s="6">
        <v>42675</v>
      </c>
      <c r="M1761">
        <v>11</v>
      </c>
      <c r="N1761" s="7" t="s">
        <v>23</v>
      </c>
      <c r="O1761" t="s">
        <v>31</v>
      </c>
      <c r="P1761" t="s">
        <v>2465</v>
      </c>
      <c r="Q1761" t="s">
        <v>2466</v>
      </c>
      <c r="R1761" t="s">
        <v>2467</v>
      </c>
    </row>
    <row r="1762" spans="1:18" hidden="1">
      <c r="A1762">
        <v>2</v>
      </c>
      <c r="B1762" s="4" t="s">
        <v>1952</v>
      </c>
      <c r="C1762" s="4" t="s">
        <v>2425</v>
      </c>
      <c r="D1762" s="4" t="s">
        <v>2446</v>
      </c>
      <c r="E1762" s="4" t="s">
        <v>5804</v>
      </c>
      <c r="F1762" t="s">
        <v>571</v>
      </c>
      <c r="G1762" t="s">
        <v>571</v>
      </c>
      <c r="H1762" t="s">
        <v>21</v>
      </c>
      <c r="I1762">
        <v>4</v>
      </c>
      <c r="J1762" s="5">
        <v>6.9000000000000006E-2</v>
      </c>
      <c r="K1762" t="s">
        <v>104</v>
      </c>
      <c r="L1762" s="6">
        <v>44317</v>
      </c>
      <c r="M1762">
        <v>5</v>
      </c>
      <c r="N1762" s="7" t="s">
        <v>23</v>
      </c>
      <c r="O1762" t="s">
        <v>31</v>
      </c>
      <c r="P1762" t="s">
        <v>2499</v>
      </c>
      <c r="Q1762" t="s">
        <v>2466</v>
      </c>
      <c r="R1762" t="s">
        <v>2467</v>
      </c>
    </row>
    <row r="1763" spans="1:18" hidden="1">
      <c r="A1763">
        <v>2</v>
      </c>
      <c r="B1763" s="4" t="s">
        <v>1952</v>
      </c>
      <c r="C1763" s="4" t="s">
        <v>2425</v>
      </c>
      <c r="D1763" s="4" t="s">
        <v>2509</v>
      </c>
      <c r="E1763" s="4" t="s">
        <v>5804</v>
      </c>
      <c r="F1763" t="s">
        <v>571</v>
      </c>
      <c r="G1763" t="s">
        <v>571</v>
      </c>
      <c r="H1763" t="s">
        <v>21</v>
      </c>
      <c r="I1763">
        <v>4</v>
      </c>
      <c r="J1763" s="5">
        <v>6.9000000000000006E-2</v>
      </c>
      <c r="K1763" t="s">
        <v>115</v>
      </c>
      <c r="L1763" s="6">
        <v>42461</v>
      </c>
      <c r="M1763">
        <v>4</v>
      </c>
      <c r="N1763" s="7" t="s">
        <v>23</v>
      </c>
      <c r="O1763" t="s">
        <v>31</v>
      </c>
      <c r="P1763" t="s">
        <v>2514</v>
      </c>
      <c r="Q1763" t="s">
        <v>2515</v>
      </c>
      <c r="R1763" t="s">
        <v>2516</v>
      </c>
    </row>
    <row r="1764" spans="1:18" hidden="1">
      <c r="A1764">
        <v>2</v>
      </c>
      <c r="B1764" s="4" t="s">
        <v>1952</v>
      </c>
      <c r="C1764" s="4" t="s">
        <v>2425</v>
      </c>
      <c r="D1764" s="4" t="s">
        <v>2509</v>
      </c>
      <c r="E1764" s="4" t="s">
        <v>5804</v>
      </c>
      <c r="F1764" t="s">
        <v>571</v>
      </c>
      <c r="G1764" t="s">
        <v>571</v>
      </c>
      <c r="H1764" t="s">
        <v>21</v>
      </c>
      <c r="I1764">
        <v>4</v>
      </c>
      <c r="J1764" s="5">
        <v>6.9000000000000006E-2</v>
      </c>
      <c r="K1764" t="s">
        <v>124</v>
      </c>
      <c r="L1764" s="6">
        <v>42767</v>
      </c>
      <c r="M1764">
        <v>2</v>
      </c>
      <c r="N1764" s="7" t="s">
        <v>30</v>
      </c>
      <c r="O1764" t="s">
        <v>31</v>
      </c>
      <c r="P1764" t="s">
        <v>2528</v>
      </c>
      <c r="Q1764" t="s">
        <v>2529</v>
      </c>
      <c r="R1764" t="s">
        <v>2530</v>
      </c>
    </row>
    <row r="1765" spans="1:18" hidden="1">
      <c r="A1765">
        <v>2</v>
      </c>
      <c r="B1765" s="4" t="s">
        <v>1952</v>
      </c>
      <c r="C1765" s="4" t="s">
        <v>2425</v>
      </c>
      <c r="D1765" s="4" t="s">
        <v>2509</v>
      </c>
      <c r="E1765" s="4" t="s">
        <v>5804</v>
      </c>
      <c r="F1765" t="s">
        <v>571</v>
      </c>
      <c r="G1765" t="s">
        <v>571</v>
      </c>
      <c r="H1765" t="s">
        <v>21</v>
      </c>
      <c r="I1765">
        <v>4</v>
      </c>
      <c r="J1765" s="5">
        <v>6.9000000000000006E-2</v>
      </c>
      <c r="K1765" t="s">
        <v>152</v>
      </c>
      <c r="L1765" s="6">
        <v>43374</v>
      </c>
      <c r="M1765">
        <v>10</v>
      </c>
      <c r="N1765" s="7" t="s">
        <v>23</v>
      </c>
      <c r="O1765" t="s">
        <v>31</v>
      </c>
      <c r="P1765" t="s">
        <v>2543</v>
      </c>
      <c r="Q1765" t="s">
        <v>2544</v>
      </c>
      <c r="R1765" t="s">
        <v>2452</v>
      </c>
    </row>
    <row r="1766" spans="1:18" hidden="1">
      <c r="A1766">
        <v>2</v>
      </c>
      <c r="B1766" s="4" t="s">
        <v>1952</v>
      </c>
      <c r="C1766" s="4" t="s">
        <v>2425</v>
      </c>
      <c r="D1766" s="4" t="s">
        <v>2509</v>
      </c>
      <c r="E1766" s="4" t="s">
        <v>5804</v>
      </c>
      <c r="F1766" t="s">
        <v>571</v>
      </c>
      <c r="G1766" t="s">
        <v>571</v>
      </c>
      <c r="H1766" t="s">
        <v>21</v>
      </c>
      <c r="I1766">
        <v>4</v>
      </c>
      <c r="J1766" s="5">
        <v>6.9000000000000006E-2</v>
      </c>
      <c r="K1766" t="s">
        <v>175</v>
      </c>
      <c r="L1766" s="6">
        <v>44166</v>
      </c>
      <c r="M1766">
        <v>12</v>
      </c>
      <c r="N1766" s="7" t="s">
        <v>30</v>
      </c>
      <c r="O1766" t="s">
        <v>31</v>
      </c>
      <c r="P1766" t="s">
        <v>2556</v>
      </c>
      <c r="Q1766" t="s">
        <v>2557</v>
      </c>
      <c r="R1766" t="s">
        <v>2558</v>
      </c>
    </row>
    <row r="1767" spans="1:18" hidden="1">
      <c r="A1767">
        <v>2</v>
      </c>
      <c r="B1767" s="4" t="s">
        <v>1952</v>
      </c>
      <c r="C1767" s="4" t="s">
        <v>2566</v>
      </c>
      <c r="D1767" s="4" t="s">
        <v>2620</v>
      </c>
      <c r="E1767" s="4" t="s">
        <v>5804</v>
      </c>
      <c r="F1767" t="s">
        <v>571</v>
      </c>
      <c r="G1767" t="s">
        <v>2180</v>
      </c>
      <c r="H1767" t="s">
        <v>21</v>
      </c>
      <c r="I1767">
        <v>4</v>
      </c>
      <c r="J1767" s="5">
        <v>6.9000000000000006E-2</v>
      </c>
      <c r="K1767" t="s">
        <v>85</v>
      </c>
      <c r="L1767" s="6">
        <v>43009</v>
      </c>
      <c r="M1767">
        <v>10</v>
      </c>
      <c r="N1767" s="7" t="s">
        <v>23</v>
      </c>
      <c r="O1767" t="s">
        <v>31</v>
      </c>
      <c r="P1767" t="s">
        <v>2661</v>
      </c>
      <c r="Q1767" t="s">
        <v>2662</v>
      </c>
      <c r="R1767" t="s">
        <v>2663</v>
      </c>
    </row>
    <row r="1768" spans="1:18" hidden="1">
      <c r="A1768">
        <v>2</v>
      </c>
      <c r="B1768" s="4" t="s">
        <v>1952</v>
      </c>
      <c r="C1768" s="4" t="s">
        <v>2566</v>
      </c>
      <c r="D1768" s="4" t="s">
        <v>2620</v>
      </c>
      <c r="E1768" s="4" t="s">
        <v>5804</v>
      </c>
      <c r="F1768" t="s">
        <v>571</v>
      </c>
      <c r="G1768" t="s">
        <v>571</v>
      </c>
      <c r="H1768" t="s">
        <v>21</v>
      </c>
      <c r="I1768">
        <v>4</v>
      </c>
      <c r="J1768" s="5">
        <v>6.9000000000000006E-2</v>
      </c>
      <c r="K1768" t="s">
        <v>182</v>
      </c>
      <c r="L1768" s="6">
        <v>44501</v>
      </c>
      <c r="M1768">
        <v>11</v>
      </c>
      <c r="N1768" s="7" t="s">
        <v>23</v>
      </c>
      <c r="O1768" t="s">
        <v>31</v>
      </c>
      <c r="P1768" t="s">
        <v>2729</v>
      </c>
      <c r="Q1768" t="s">
        <v>2730</v>
      </c>
      <c r="R1768" t="s">
        <v>2731</v>
      </c>
    </row>
    <row r="1769" spans="1:18">
      <c r="A1769">
        <v>3</v>
      </c>
      <c r="B1769" s="4" t="s">
        <v>2764</v>
      </c>
      <c r="C1769" s="4" t="s">
        <v>2765</v>
      </c>
      <c r="D1769" s="4" t="s">
        <v>2816</v>
      </c>
      <c r="E1769" s="4" t="s">
        <v>5804</v>
      </c>
      <c r="F1769" t="s">
        <v>571</v>
      </c>
      <c r="G1769" t="s">
        <v>2180</v>
      </c>
      <c r="H1769" t="s">
        <v>21</v>
      </c>
      <c r="I1769">
        <v>4</v>
      </c>
      <c r="J1769" s="5">
        <v>6.9000000000000006E-2</v>
      </c>
      <c r="K1769" t="s">
        <v>60</v>
      </c>
      <c r="L1769" s="6">
        <v>42370</v>
      </c>
      <c r="M1769">
        <v>1</v>
      </c>
      <c r="N1769" s="7" t="s">
        <v>30</v>
      </c>
      <c r="O1769" t="s">
        <v>31</v>
      </c>
      <c r="P1769" t="s">
        <v>2818</v>
      </c>
      <c r="Q1769" t="s">
        <v>2819</v>
      </c>
      <c r="R1769" t="s">
        <v>2820</v>
      </c>
    </row>
    <row r="1770" spans="1:18" hidden="1">
      <c r="A1770">
        <v>4</v>
      </c>
      <c r="B1770" s="4" t="s">
        <v>3127</v>
      </c>
      <c r="C1770" s="4" t="s">
        <v>3128</v>
      </c>
      <c r="D1770" s="4" t="s">
        <v>3129</v>
      </c>
      <c r="E1770" s="4" t="s">
        <v>5804</v>
      </c>
      <c r="F1770" t="s">
        <v>571</v>
      </c>
      <c r="G1770" t="s">
        <v>571</v>
      </c>
      <c r="H1770" t="s">
        <v>21</v>
      </c>
      <c r="I1770">
        <v>4</v>
      </c>
      <c r="J1770" s="5">
        <v>6.9000000000000006E-2</v>
      </c>
      <c r="K1770" t="s">
        <v>319</v>
      </c>
      <c r="L1770" s="6">
        <v>42583</v>
      </c>
      <c r="M1770">
        <v>8</v>
      </c>
      <c r="N1770" s="7" t="s">
        <v>55</v>
      </c>
      <c r="O1770" t="s">
        <v>31</v>
      </c>
      <c r="P1770" t="s">
        <v>3133</v>
      </c>
      <c r="Q1770" t="s">
        <v>3134</v>
      </c>
      <c r="R1770" t="s">
        <v>3135</v>
      </c>
    </row>
    <row r="1771" spans="1:18" hidden="1">
      <c r="A1771">
        <v>4</v>
      </c>
      <c r="B1771" s="4" t="s">
        <v>3127</v>
      </c>
      <c r="C1771" s="4" t="s">
        <v>3128</v>
      </c>
      <c r="D1771" s="4" t="s">
        <v>3129</v>
      </c>
      <c r="E1771" s="4" t="s">
        <v>5804</v>
      </c>
      <c r="F1771" t="s">
        <v>571</v>
      </c>
      <c r="G1771" t="s">
        <v>1344</v>
      </c>
      <c r="H1771" t="s">
        <v>21</v>
      </c>
      <c r="I1771">
        <v>8</v>
      </c>
      <c r="J1771" s="5">
        <v>3.6999999999999998E-2</v>
      </c>
      <c r="K1771" t="s">
        <v>278</v>
      </c>
      <c r="L1771" s="6">
        <v>42675</v>
      </c>
      <c r="M1771">
        <v>11</v>
      </c>
      <c r="N1771" s="7" t="s">
        <v>23</v>
      </c>
      <c r="O1771" t="s">
        <v>31</v>
      </c>
      <c r="P1771" t="s">
        <v>3139</v>
      </c>
      <c r="Q1771" t="s">
        <v>3140</v>
      </c>
      <c r="R1771" t="s">
        <v>3141</v>
      </c>
    </row>
    <row r="1772" spans="1:18" hidden="1">
      <c r="A1772">
        <v>4</v>
      </c>
      <c r="B1772" s="4" t="s">
        <v>3127</v>
      </c>
      <c r="C1772" s="4" t="s">
        <v>3128</v>
      </c>
      <c r="D1772" s="4" t="s">
        <v>3190</v>
      </c>
      <c r="E1772" s="4" t="s">
        <v>5804</v>
      </c>
      <c r="F1772" t="s">
        <v>571</v>
      </c>
      <c r="G1772" t="s">
        <v>571</v>
      </c>
      <c r="H1772" t="s">
        <v>21</v>
      </c>
      <c r="I1772">
        <v>4</v>
      </c>
      <c r="J1772" s="5">
        <v>6.9000000000000006E-2</v>
      </c>
      <c r="K1772" t="s">
        <v>71</v>
      </c>
      <c r="L1772" s="6">
        <v>42522</v>
      </c>
      <c r="M1772">
        <v>6</v>
      </c>
      <c r="N1772" s="7" t="s">
        <v>55</v>
      </c>
      <c r="O1772" t="s">
        <v>31</v>
      </c>
      <c r="P1772" t="s">
        <v>3193</v>
      </c>
      <c r="Q1772" t="s">
        <v>3194</v>
      </c>
      <c r="R1772" t="s">
        <v>3195</v>
      </c>
    </row>
    <row r="1773" spans="1:18" hidden="1">
      <c r="A1773">
        <v>4</v>
      </c>
      <c r="B1773" s="4" t="s">
        <v>3127</v>
      </c>
      <c r="C1773" s="4" t="s">
        <v>3128</v>
      </c>
      <c r="D1773" s="4" t="s">
        <v>3190</v>
      </c>
      <c r="E1773" s="4" t="s">
        <v>5804</v>
      </c>
      <c r="F1773" t="s">
        <v>571</v>
      </c>
      <c r="G1773" t="s">
        <v>571</v>
      </c>
      <c r="H1773" t="s">
        <v>21</v>
      </c>
      <c r="I1773">
        <v>4</v>
      </c>
      <c r="J1773" s="5">
        <v>6.9000000000000006E-2</v>
      </c>
      <c r="K1773" t="s">
        <v>422</v>
      </c>
      <c r="L1773" s="6">
        <v>42736</v>
      </c>
      <c r="M1773">
        <v>1</v>
      </c>
      <c r="N1773" s="7" t="s">
        <v>30</v>
      </c>
      <c r="O1773" t="s">
        <v>31</v>
      </c>
      <c r="P1773" t="s">
        <v>3200</v>
      </c>
      <c r="Q1773" t="s">
        <v>3201</v>
      </c>
      <c r="R1773" t="s">
        <v>3195</v>
      </c>
    </row>
    <row r="1774" spans="1:18" hidden="1">
      <c r="A1774">
        <v>4</v>
      </c>
      <c r="B1774" s="4" t="s">
        <v>3127</v>
      </c>
      <c r="C1774" s="4" t="s">
        <v>3128</v>
      </c>
      <c r="D1774" s="4" t="s">
        <v>3190</v>
      </c>
      <c r="E1774" s="4" t="s">
        <v>5804</v>
      </c>
      <c r="F1774" t="s">
        <v>571</v>
      </c>
      <c r="G1774" t="s">
        <v>571</v>
      </c>
      <c r="H1774" t="s">
        <v>21</v>
      </c>
      <c r="I1774">
        <v>4</v>
      </c>
      <c r="J1774" s="5">
        <v>6.9000000000000006E-2</v>
      </c>
      <c r="K1774" t="s">
        <v>357</v>
      </c>
      <c r="L1774" s="6">
        <v>43739</v>
      </c>
      <c r="M1774">
        <v>10</v>
      </c>
      <c r="N1774" s="7" t="s">
        <v>23</v>
      </c>
      <c r="O1774" t="s">
        <v>31</v>
      </c>
      <c r="P1774" t="s">
        <v>3232</v>
      </c>
      <c r="Q1774" t="s">
        <v>3201</v>
      </c>
      <c r="R1774" t="s">
        <v>3195</v>
      </c>
    </row>
    <row r="1775" spans="1:18" hidden="1">
      <c r="A1775">
        <v>4</v>
      </c>
      <c r="B1775" s="4" t="s">
        <v>3127</v>
      </c>
      <c r="C1775" s="4" t="s">
        <v>3128</v>
      </c>
      <c r="D1775" s="4" t="s">
        <v>3190</v>
      </c>
      <c r="E1775" s="4" t="s">
        <v>5804</v>
      </c>
      <c r="F1775" t="s">
        <v>571</v>
      </c>
      <c r="G1775" t="s">
        <v>571</v>
      </c>
      <c r="H1775" t="s">
        <v>21</v>
      </c>
      <c r="I1775">
        <v>4</v>
      </c>
      <c r="J1775" s="5">
        <v>6.9000000000000006E-2</v>
      </c>
      <c r="K1775" t="s">
        <v>749</v>
      </c>
      <c r="L1775" s="6">
        <v>44136</v>
      </c>
      <c r="M1775">
        <v>11</v>
      </c>
      <c r="N1775" s="7" t="s">
        <v>23</v>
      </c>
      <c r="O1775" t="s">
        <v>31</v>
      </c>
      <c r="P1775" t="s">
        <v>3239</v>
      </c>
      <c r="Q1775" t="s">
        <v>3240</v>
      </c>
      <c r="R1775" t="s">
        <v>3241</v>
      </c>
    </row>
    <row r="1776" spans="1:18" hidden="1">
      <c r="A1776">
        <v>4</v>
      </c>
      <c r="B1776" s="4" t="s">
        <v>3127</v>
      </c>
      <c r="C1776" s="4" t="s">
        <v>3128</v>
      </c>
      <c r="D1776" s="4" t="s">
        <v>3247</v>
      </c>
      <c r="E1776" s="4" t="s">
        <v>5804</v>
      </c>
      <c r="F1776" t="s">
        <v>571</v>
      </c>
      <c r="G1776" t="s">
        <v>571</v>
      </c>
      <c r="H1776" t="s">
        <v>21</v>
      </c>
      <c r="I1776">
        <v>4</v>
      </c>
      <c r="J1776" s="5">
        <v>6.9000000000000006E-2</v>
      </c>
      <c r="K1776" t="s">
        <v>477</v>
      </c>
      <c r="L1776" s="6">
        <v>42705</v>
      </c>
      <c r="M1776">
        <v>12</v>
      </c>
      <c r="N1776" s="7" t="s">
        <v>30</v>
      </c>
      <c r="O1776" t="s">
        <v>31</v>
      </c>
      <c r="P1776" t="s">
        <v>3289</v>
      </c>
      <c r="Q1776" t="s">
        <v>3290</v>
      </c>
      <c r="R1776" t="s">
        <v>3218</v>
      </c>
    </row>
    <row r="1777" spans="1:18" hidden="1">
      <c r="A1777">
        <v>4</v>
      </c>
      <c r="B1777" s="4" t="s">
        <v>3127</v>
      </c>
      <c r="C1777" s="4" t="s">
        <v>3128</v>
      </c>
      <c r="D1777" s="4" t="s">
        <v>3247</v>
      </c>
      <c r="E1777" s="4" t="s">
        <v>5804</v>
      </c>
      <c r="F1777" t="s">
        <v>571</v>
      </c>
      <c r="G1777" t="s">
        <v>571</v>
      </c>
      <c r="H1777" t="s">
        <v>21</v>
      </c>
      <c r="I1777">
        <v>4</v>
      </c>
      <c r="J1777" s="5">
        <v>6.9000000000000006E-2</v>
      </c>
      <c r="K1777" t="s">
        <v>124</v>
      </c>
      <c r="L1777" s="6">
        <v>42767</v>
      </c>
      <c r="M1777">
        <v>2</v>
      </c>
      <c r="N1777" s="7" t="s">
        <v>30</v>
      </c>
      <c r="O1777" t="s">
        <v>31</v>
      </c>
      <c r="P1777" t="s">
        <v>3300</v>
      </c>
      <c r="Q1777" t="s">
        <v>3134</v>
      </c>
      <c r="R1777" t="s">
        <v>3135</v>
      </c>
    </row>
    <row r="1778" spans="1:18" hidden="1">
      <c r="A1778">
        <v>4</v>
      </c>
      <c r="B1778" s="4" t="s">
        <v>3127</v>
      </c>
      <c r="C1778" s="4" t="s">
        <v>3128</v>
      </c>
      <c r="D1778" s="4" t="s">
        <v>3247</v>
      </c>
      <c r="E1778" s="4" t="s">
        <v>5804</v>
      </c>
      <c r="F1778" t="s">
        <v>571</v>
      </c>
      <c r="G1778" t="s">
        <v>571</v>
      </c>
      <c r="H1778" t="s">
        <v>21</v>
      </c>
      <c r="I1778">
        <v>4</v>
      </c>
      <c r="J1778" s="5">
        <v>6.9000000000000006E-2</v>
      </c>
      <c r="K1778" t="s">
        <v>681</v>
      </c>
      <c r="L1778" s="6">
        <v>42887</v>
      </c>
      <c r="M1778">
        <v>6</v>
      </c>
      <c r="N1778" s="7" t="s">
        <v>55</v>
      </c>
      <c r="O1778" t="s">
        <v>31</v>
      </c>
      <c r="P1778" t="s">
        <v>3307</v>
      </c>
      <c r="Q1778" t="s">
        <v>3290</v>
      </c>
      <c r="R1778" t="s">
        <v>3218</v>
      </c>
    </row>
    <row r="1779" spans="1:18" hidden="1">
      <c r="A1779">
        <v>4</v>
      </c>
      <c r="B1779" s="4" t="s">
        <v>3127</v>
      </c>
      <c r="C1779" s="4" t="s">
        <v>3128</v>
      </c>
      <c r="D1779" s="4" t="s">
        <v>3247</v>
      </c>
      <c r="E1779" s="4" t="s">
        <v>5804</v>
      </c>
      <c r="F1779" t="s">
        <v>571</v>
      </c>
      <c r="G1779" t="s">
        <v>1344</v>
      </c>
      <c r="H1779" t="s">
        <v>21</v>
      </c>
      <c r="I1779">
        <v>8</v>
      </c>
      <c r="J1779" s="5">
        <v>3.6999999999999998E-2</v>
      </c>
      <c r="K1779" t="s">
        <v>35</v>
      </c>
      <c r="L1779" s="6">
        <v>43160</v>
      </c>
      <c r="M1779">
        <v>3</v>
      </c>
      <c r="N1779" s="7" t="s">
        <v>23</v>
      </c>
      <c r="O1779" t="s">
        <v>31</v>
      </c>
      <c r="P1779" t="s">
        <v>3324</v>
      </c>
      <c r="Q1779" t="s">
        <v>3325</v>
      </c>
      <c r="R1779" t="s">
        <v>3141</v>
      </c>
    </row>
    <row r="1780" spans="1:18" hidden="1">
      <c r="A1780">
        <v>4</v>
      </c>
      <c r="B1780" s="4" t="s">
        <v>3127</v>
      </c>
      <c r="C1780" s="4" t="s">
        <v>3128</v>
      </c>
      <c r="D1780" s="4" t="s">
        <v>3247</v>
      </c>
      <c r="E1780" s="4" t="s">
        <v>5804</v>
      </c>
      <c r="F1780" t="s">
        <v>571</v>
      </c>
      <c r="G1780" t="s">
        <v>571</v>
      </c>
      <c r="H1780" t="s">
        <v>21</v>
      </c>
      <c r="I1780">
        <v>4</v>
      </c>
      <c r="J1780" s="5">
        <v>6.9000000000000006E-2</v>
      </c>
      <c r="K1780" t="s">
        <v>292</v>
      </c>
      <c r="L1780" s="6">
        <v>43191</v>
      </c>
      <c r="M1780">
        <v>4</v>
      </c>
      <c r="N1780" s="7" t="s">
        <v>23</v>
      </c>
      <c r="O1780" t="s">
        <v>31</v>
      </c>
      <c r="P1780" t="s">
        <v>3333</v>
      </c>
      <c r="Q1780" t="s">
        <v>3290</v>
      </c>
      <c r="R1780" t="s">
        <v>3218</v>
      </c>
    </row>
    <row r="1781" spans="1:18" hidden="1">
      <c r="A1781">
        <v>4</v>
      </c>
      <c r="B1781" s="4" t="s">
        <v>3127</v>
      </c>
      <c r="C1781" s="4" t="s">
        <v>3128</v>
      </c>
      <c r="D1781" s="4" t="s">
        <v>3247</v>
      </c>
      <c r="E1781" s="4" t="s">
        <v>5804</v>
      </c>
      <c r="F1781" t="s">
        <v>571</v>
      </c>
      <c r="G1781" t="s">
        <v>571</v>
      </c>
      <c r="H1781" t="s">
        <v>21</v>
      </c>
      <c r="I1781">
        <v>4</v>
      </c>
      <c r="J1781" s="5">
        <v>6.9000000000000006E-2</v>
      </c>
      <c r="K1781" t="s">
        <v>298</v>
      </c>
      <c r="L1781" s="6">
        <v>43344</v>
      </c>
      <c r="M1781">
        <v>9</v>
      </c>
      <c r="N1781" s="7" t="s">
        <v>23</v>
      </c>
      <c r="O1781" t="s">
        <v>31</v>
      </c>
      <c r="P1781" t="s">
        <v>3344</v>
      </c>
      <c r="Q1781" t="s">
        <v>3290</v>
      </c>
      <c r="R1781" t="s">
        <v>3218</v>
      </c>
    </row>
    <row r="1782" spans="1:18" hidden="1">
      <c r="A1782">
        <v>4</v>
      </c>
      <c r="B1782" s="4" t="s">
        <v>3127</v>
      </c>
      <c r="C1782" s="4" t="s">
        <v>3128</v>
      </c>
      <c r="D1782" s="4" t="s">
        <v>3247</v>
      </c>
      <c r="E1782" s="4" t="s">
        <v>5804</v>
      </c>
      <c r="F1782" t="s">
        <v>571</v>
      </c>
      <c r="G1782" t="s">
        <v>571</v>
      </c>
      <c r="H1782" t="s">
        <v>21</v>
      </c>
      <c r="I1782">
        <v>4</v>
      </c>
      <c r="J1782" s="5">
        <v>6.9000000000000006E-2</v>
      </c>
      <c r="K1782" t="s">
        <v>156</v>
      </c>
      <c r="L1782" s="6">
        <v>43405</v>
      </c>
      <c r="M1782">
        <v>11</v>
      </c>
      <c r="N1782" s="7" t="s">
        <v>23</v>
      </c>
      <c r="O1782" t="s">
        <v>31</v>
      </c>
      <c r="P1782" t="s">
        <v>3345</v>
      </c>
      <c r="Q1782" t="s">
        <v>3318</v>
      </c>
      <c r="R1782" t="s">
        <v>3195</v>
      </c>
    </row>
    <row r="1783" spans="1:18" hidden="1">
      <c r="A1783">
        <v>4</v>
      </c>
      <c r="B1783" s="4" t="s">
        <v>3127</v>
      </c>
      <c r="C1783" s="4" t="s">
        <v>3128</v>
      </c>
      <c r="D1783" s="4" t="s">
        <v>3247</v>
      </c>
      <c r="E1783" s="4" t="s">
        <v>5804</v>
      </c>
      <c r="F1783" t="s">
        <v>571</v>
      </c>
      <c r="G1783" t="s">
        <v>571</v>
      </c>
      <c r="H1783" t="s">
        <v>21</v>
      </c>
      <c r="I1783">
        <v>4</v>
      </c>
      <c r="J1783" s="5">
        <v>6.9000000000000006E-2</v>
      </c>
      <c r="K1783" t="s">
        <v>691</v>
      </c>
      <c r="L1783" s="6">
        <v>43770</v>
      </c>
      <c r="M1783">
        <v>11</v>
      </c>
      <c r="N1783" s="7" t="s">
        <v>23</v>
      </c>
      <c r="O1783" t="s">
        <v>31</v>
      </c>
      <c r="P1783" t="s">
        <v>3358</v>
      </c>
      <c r="Q1783" t="s">
        <v>3318</v>
      </c>
      <c r="R1783" t="s">
        <v>3195</v>
      </c>
    </row>
    <row r="1784" spans="1:18" hidden="1">
      <c r="A1784">
        <v>4</v>
      </c>
      <c r="B1784" s="4" t="s">
        <v>3127</v>
      </c>
      <c r="C1784" s="4" t="s">
        <v>3374</v>
      </c>
      <c r="D1784" s="4" t="s">
        <v>3375</v>
      </c>
      <c r="E1784" s="4" t="s">
        <v>5804</v>
      </c>
      <c r="F1784" t="s">
        <v>571</v>
      </c>
      <c r="G1784" t="s">
        <v>571</v>
      </c>
      <c r="H1784" t="s">
        <v>21</v>
      </c>
      <c r="I1784">
        <v>4</v>
      </c>
      <c r="J1784" s="5">
        <v>6.9000000000000006E-2</v>
      </c>
      <c r="K1784" t="s">
        <v>278</v>
      </c>
      <c r="L1784" s="6">
        <v>42675</v>
      </c>
      <c r="M1784">
        <v>11</v>
      </c>
      <c r="N1784" s="7" t="s">
        <v>23</v>
      </c>
      <c r="O1784" t="s">
        <v>31</v>
      </c>
      <c r="P1784" t="s">
        <v>3403</v>
      </c>
      <c r="Q1784" t="s">
        <v>3404</v>
      </c>
      <c r="R1784" t="s">
        <v>3405</v>
      </c>
    </row>
    <row r="1785" spans="1:18" hidden="1">
      <c r="A1785">
        <v>4</v>
      </c>
      <c r="B1785" s="4" t="s">
        <v>3127</v>
      </c>
      <c r="C1785" s="4" t="s">
        <v>3374</v>
      </c>
      <c r="D1785" s="4" t="s">
        <v>3375</v>
      </c>
      <c r="E1785" s="4" t="s">
        <v>5804</v>
      </c>
      <c r="F1785" t="s">
        <v>571</v>
      </c>
      <c r="G1785" t="s">
        <v>571</v>
      </c>
      <c r="H1785" t="s">
        <v>21</v>
      </c>
      <c r="I1785">
        <v>4</v>
      </c>
      <c r="J1785" s="5">
        <v>6.9000000000000006E-2</v>
      </c>
      <c r="K1785" t="s">
        <v>85</v>
      </c>
      <c r="L1785" s="6">
        <v>43009</v>
      </c>
      <c r="M1785">
        <v>10</v>
      </c>
      <c r="N1785" s="7" t="s">
        <v>23</v>
      </c>
      <c r="O1785" t="s">
        <v>31</v>
      </c>
      <c r="P1785" t="s">
        <v>3425</v>
      </c>
      <c r="Q1785" t="s">
        <v>3426</v>
      </c>
      <c r="R1785" t="s">
        <v>3427</v>
      </c>
    </row>
    <row r="1786" spans="1:18" hidden="1">
      <c r="A1786">
        <v>4</v>
      </c>
      <c r="B1786" s="4" t="s">
        <v>3127</v>
      </c>
      <c r="C1786" s="4" t="s">
        <v>3374</v>
      </c>
      <c r="D1786" s="4" t="s">
        <v>3375</v>
      </c>
      <c r="E1786" s="4" t="s">
        <v>5804</v>
      </c>
      <c r="F1786" t="s">
        <v>571</v>
      </c>
      <c r="G1786" t="s">
        <v>1344</v>
      </c>
      <c r="H1786" t="s">
        <v>21</v>
      </c>
      <c r="I1786">
        <v>8</v>
      </c>
      <c r="J1786" s="5">
        <v>3.6999999999999998E-2</v>
      </c>
      <c r="K1786" t="s">
        <v>691</v>
      </c>
      <c r="L1786" s="6">
        <v>43770</v>
      </c>
      <c r="M1786">
        <v>11</v>
      </c>
      <c r="N1786" s="7" t="s">
        <v>23</v>
      </c>
      <c r="O1786" t="s">
        <v>31</v>
      </c>
      <c r="P1786" t="s">
        <v>3474</v>
      </c>
      <c r="Q1786" t="s">
        <v>3475</v>
      </c>
      <c r="R1786" t="s">
        <v>3476</v>
      </c>
    </row>
    <row r="1787" spans="1:18" hidden="1">
      <c r="A1787">
        <v>4</v>
      </c>
      <c r="B1787" s="4" t="s">
        <v>3127</v>
      </c>
      <c r="C1787" s="4" t="s">
        <v>3374</v>
      </c>
      <c r="D1787" s="4" t="s">
        <v>3375</v>
      </c>
      <c r="E1787" s="4" t="s">
        <v>5804</v>
      </c>
      <c r="F1787" t="s">
        <v>571</v>
      </c>
      <c r="G1787" t="s">
        <v>1344</v>
      </c>
      <c r="H1787" t="s">
        <v>21</v>
      </c>
      <c r="I1787">
        <v>8</v>
      </c>
      <c r="J1787" s="5">
        <v>3.6999999999999998E-2</v>
      </c>
      <c r="K1787" t="s">
        <v>102</v>
      </c>
      <c r="L1787" s="6">
        <v>44287</v>
      </c>
      <c r="M1787">
        <v>4</v>
      </c>
      <c r="N1787" s="7" t="s">
        <v>23</v>
      </c>
      <c r="O1787" t="s">
        <v>31</v>
      </c>
      <c r="P1787" t="s">
        <v>3502</v>
      </c>
      <c r="Q1787" t="s">
        <v>3503</v>
      </c>
      <c r="R1787" t="s">
        <v>3504</v>
      </c>
    </row>
    <row r="1788" spans="1:18" hidden="1">
      <c r="A1788">
        <v>4</v>
      </c>
      <c r="B1788" s="4" t="s">
        <v>3127</v>
      </c>
      <c r="C1788" s="4" t="s">
        <v>3506</v>
      </c>
      <c r="D1788" s="4" t="s">
        <v>3507</v>
      </c>
      <c r="E1788" s="4" t="s">
        <v>5804</v>
      </c>
      <c r="F1788" t="s">
        <v>571</v>
      </c>
      <c r="G1788" t="s">
        <v>571</v>
      </c>
      <c r="H1788" t="s">
        <v>21</v>
      </c>
      <c r="I1788">
        <v>4</v>
      </c>
      <c r="J1788" s="5">
        <v>6.9000000000000006E-2</v>
      </c>
      <c r="K1788" t="s">
        <v>2073</v>
      </c>
      <c r="L1788" s="6">
        <v>42278</v>
      </c>
      <c r="M1788">
        <v>10</v>
      </c>
      <c r="N1788" s="7" t="s">
        <v>23</v>
      </c>
      <c r="O1788" t="s">
        <v>31</v>
      </c>
      <c r="P1788" t="s">
        <v>3508</v>
      </c>
      <c r="Q1788" t="s">
        <v>3509</v>
      </c>
      <c r="R1788" t="s">
        <v>3195</v>
      </c>
    </row>
    <row r="1789" spans="1:18" hidden="1">
      <c r="A1789">
        <v>4</v>
      </c>
      <c r="B1789" s="4" t="s">
        <v>3127</v>
      </c>
      <c r="C1789" s="4" t="s">
        <v>3506</v>
      </c>
      <c r="D1789" s="4" t="s">
        <v>3507</v>
      </c>
      <c r="E1789" s="4" t="s">
        <v>5804</v>
      </c>
      <c r="F1789" t="s">
        <v>571</v>
      </c>
      <c r="G1789" t="s">
        <v>571</v>
      </c>
      <c r="H1789" t="s">
        <v>21</v>
      </c>
      <c r="I1789">
        <v>4</v>
      </c>
      <c r="J1789" s="5">
        <v>6.9000000000000006E-2</v>
      </c>
      <c r="K1789" t="s">
        <v>60</v>
      </c>
      <c r="L1789" s="6">
        <v>42370</v>
      </c>
      <c r="M1789">
        <v>1</v>
      </c>
      <c r="N1789" s="7" t="s">
        <v>30</v>
      </c>
      <c r="O1789" t="s">
        <v>24</v>
      </c>
      <c r="P1789" t="s">
        <v>3512</v>
      </c>
      <c r="Q1789" t="s">
        <v>3513</v>
      </c>
      <c r="R1789" t="s">
        <v>3514</v>
      </c>
    </row>
    <row r="1790" spans="1:18" hidden="1">
      <c r="A1790">
        <v>4</v>
      </c>
      <c r="B1790" s="4" t="s">
        <v>3127</v>
      </c>
      <c r="C1790" s="4" t="s">
        <v>3506</v>
      </c>
      <c r="D1790" s="4" t="s">
        <v>3507</v>
      </c>
      <c r="E1790" s="4" t="s">
        <v>5804</v>
      </c>
      <c r="F1790" t="s">
        <v>571</v>
      </c>
      <c r="G1790" t="s">
        <v>571</v>
      </c>
      <c r="H1790" t="s">
        <v>21</v>
      </c>
      <c r="I1790">
        <v>4</v>
      </c>
      <c r="J1790" s="5">
        <v>6.9000000000000006E-2</v>
      </c>
      <c r="K1790" t="s">
        <v>278</v>
      </c>
      <c r="L1790" s="6">
        <v>42675</v>
      </c>
      <c r="M1790">
        <v>11</v>
      </c>
      <c r="N1790" s="7" t="s">
        <v>23</v>
      </c>
      <c r="O1790" t="s">
        <v>31</v>
      </c>
      <c r="P1790" t="s">
        <v>3525</v>
      </c>
      <c r="Q1790" t="s">
        <v>3509</v>
      </c>
      <c r="R1790" t="s">
        <v>3195</v>
      </c>
    </row>
    <row r="1791" spans="1:18" hidden="1">
      <c r="A1791">
        <v>4</v>
      </c>
      <c r="B1791" s="4" t="s">
        <v>3127</v>
      </c>
      <c r="C1791" s="4" t="s">
        <v>3506</v>
      </c>
      <c r="D1791" s="4" t="s">
        <v>3507</v>
      </c>
      <c r="E1791" s="4" t="s">
        <v>5804</v>
      </c>
      <c r="F1791" t="s">
        <v>571</v>
      </c>
      <c r="G1791" t="s">
        <v>571</v>
      </c>
      <c r="H1791" t="s">
        <v>21</v>
      </c>
      <c r="I1791">
        <v>4</v>
      </c>
      <c r="J1791" s="5">
        <v>6.9000000000000006E-2</v>
      </c>
      <c r="K1791" t="s">
        <v>35</v>
      </c>
      <c r="L1791" s="6">
        <v>43160</v>
      </c>
      <c r="M1791">
        <v>3</v>
      </c>
      <c r="N1791" s="7" t="s">
        <v>23</v>
      </c>
      <c r="O1791" t="s">
        <v>31</v>
      </c>
      <c r="P1791" t="s">
        <v>3529</v>
      </c>
      <c r="Q1791" t="s">
        <v>3509</v>
      </c>
      <c r="R1791" t="s">
        <v>3195</v>
      </c>
    </row>
    <row r="1792" spans="1:18" hidden="1">
      <c r="A1792">
        <v>4</v>
      </c>
      <c r="B1792" s="4" t="s">
        <v>3127</v>
      </c>
      <c r="C1792" s="4" t="s">
        <v>3506</v>
      </c>
      <c r="D1792" s="4" t="s">
        <v>3537</v>
      </c>
      <c r="E1792" s="4" t="s">
        <v>5804</v>
      </c>
      <c r="F1792" t="s">
        <v>571</v>
      </c>
      <c r="G1792" t="s">
        <v>571</v>
      </c>
      <c r="H1792" t="s">
        <v>21</v>
      </c>
      <c r="I1792">
        <v>4</v>
      </c>
      <c r="J1792" s="5">
        <v>6.9000000000000006E-2</v>
      </c>
      <c r="K1792" t="s">
        <v>65</v>
      </c>
      <c r="L1792" s="6">
        <v>42430</v>
      </c>
      <c r="M1792">
        <v>3</v>
      </c>
      <c r="N1792" s="7" t="s">
        <v>23</v>
      </c>
      <c r="O1792" t="s">
        <v>31</v>
      </c>
      <c r="P1792" t="s">
        <v>3538</v>
      </c>
      <c r="Q1792" t="s">
        <v>3539</v>
      </c>
      <c r="R1792" t="s">
        <v>3195</v>
      </c>
    </row>
    <row r="1793" spans="1:18" hidden="1">
      <c r="A1793">
        <v>4</v>
      </c>
      <c r="B1793" s="4" t="s">
        <v>3127</v>
      </c>
      <c r="C1793" s="4" t="s">
        <v>3506</v>
      </c>
      <c r="D1793" s="4" t="s">
        <v>3537</v>
      </c>
      <c r="E1793" s="4" t="s">
        <v>5804</v>
      </c>
      <c r="F1793" t="s">
        <v>571</v>
      </c>
      <c r="G1793" t="s">
        <v>571</v>
      </c>
      <c r="H1793" t="s">
        <v>21</v>
      </c>
      <c r="I1793">
        <v>4</v>
      </c>
      <c r="J1793" s="5">
        <v>6.9000000000000006E-2</v>
      </c>
      <c r="K1793" t="s">
        <v>65</v>
      </c>
      <c r="L1793" s="6">
        <v>42430</v>
      </c>
      <c r="M1793">
        <v>3</v>
      </c>
      <c r="N1793" s="7" t="s">
        <v>23</v>
      </c>
      <c r="O1793" t="s">
        <v>31</v>
      </c>
      <c r="P1793" t="s">
        <v>3540</v>
      </c>
      <c r="Q1793" t="s">
        <v>3541</v>
      </c>
      <c r="R1793" t="s">
        <v>3542</v>
      </c>
    </row>
    <row r="1794" spans="1:18" hidden="1">
      <c r="A1794">
        <v>4</v>
      </c>
      <c r="B1794" s="4" t="s">
        <v>3127</v>
      </c>
      <c r="C1794" s="4" t="s">
        <v>3506</v>
      </c>
      <c r="D1794" s="4" t="s">
        <v>3537</v>
      </c>
      <c r="E1794" s="4" t="s">
        <v>5804</v>
      </c>
      <c r="F1794" t="s">
        <v>571</v>
      </c>
      <c r="G1794" t="s">
        <v>571</v>
      </c>
      <c r="H1794" t="s">
        <v>21</v>
      </c>
      <c r="I1794">
        <v>4</v>
      </c>
      <c r="J1794" s="5">
        <v>6.9000000000000006E-2</v>
      </c>
      <c r="K1794" t="s">
        <v>701</v>
      </c>
      <c r="L1794" s="6">
        <v>42491</v>
      </c>
      <c r="M1794">
        <v>5</v>
      </c>
      <c r="N1794" s="7" t="s">
        <v>23</v>
      </c>
      <c r="O1794" t="s">
        <v>31</v>
      </c>
      <c r="P1794" t="s">
        <v>3543</v>
      </c>
      <c r="Q1794" t="s">
        <v>3544</v>
      </c>
      <c r="R1794" t="s">
        <v>3135</v>
      </c>
    </row>
    <row r="1795" spans="1:18" hidden="1">
      <c r="A1795">
        <v>4</v>
      </c>
      <c r="B1795" s="4" t="s">
        <v>3127</v>
      </c>
      <c r="C1795" s="4" t="s">
        <v>3506</v>
      </c>
      <c r="D1795" s="4" t="s">
        <v>3537</v>
      </c>
      <c r="E1795" s="4" t="s">
        <v>5804</v>
      </c>
      <c r="F1795" t="s">
        <v>571</v>
      </c>
      <c r="G1795" t="s">
        <v>571</v>
      </c>
      <c r="H1795" t="s">
        <v>21</v>
      </c>
      <c r="I1795">
        <v>4</v>
      </c>
      <c r="J1795" s="5">
        <v>6.9000000000000006E-2</v>
      </c>
      <c r="K1795" t="s">
        <v>701</v>
      </c>
      <c r="L1795" s="6">
        <v>42491</v>
      </c>
      <c r="M1795">
        <v>5</v>
      </c>
      <c r="N1795" s="7" t="s">
        <v>23</v>
      </c>
      <c r="O1795" t="s">
        <v>31</v>
      </c>
      <c r="P1795" t="s">
        <v>3545</v>
      </c>
      <c r="Q1795" t="s">
        <v>3546</v>
      </c>
      <c r="R1795" t="s">
        <v>3547</v>
      </c>
    </row>
    <row r="1796" spans="1:18" hidden="1">
      <c r="A1796">
        <v>4</v>
      </c>
      <c r="B1796" s="4" t="s">
        <v>3127</v>
      </c>
      <c r="C1796" s="4" t="s">
        <v>3506</v>
      </c>
      <c r="D1796" s="4" t="s">
        <v>3537</v>
      </c>
      <c r="E1796" s="4" t="s">
        <v>5804</v>
      </c>
      <c r="F1796" t="s">
        <v>571</v>
      </c>
      <c r="G1796" t="s">
        <v>571</v>
      </c>
      <c r="H1796" t="s">
        <v>21</v>
      </c>
      <c r="I1796">
        <v>4</v>
      </c>
      <c r="J1796" s="5">
        <v>6.9000000000000006E-2</v>
      </c>
      <c r="K1796" t="s">
        <v>71</v>
      </c>
      <c r="L1796" s="6">
        <v>42522</v>
      </c>
      <c r="M1796">
        <v>6</v>
      </c>
      <c r="N1796" s="7" t="s">
        <v>55</v>
      </c>
      <c r="O1796" t="s">
        <v>31</v>
      </c>
      <c r="P1796" t="s">
        <v>3548</v>
      </c>
      <c r="Q1796" t="s">
        <v>3549</v>
      </c>
      <c r="R1796" t="s">
        <v>3195</v>
      </c>
    </row>
    <row r="1797" spans="1:18" hidden="1">
      <c r="A1797">
        <v>4</v>
      </c>
      <c r="B1797" s="4" t="s">
        <v>3127</v>
      </c>
      <c r="C1797" s="4" t="s">
        <v>3506</v>
      </c>
      <c r="D1797" s="4" t="s">
        <v>3537</v>
      </c>
      <c r="E1797" s="4" t="s">
        <v>5804</v>
      </c>
      <c r="F1797" t="s">
        <v>571</v>
      </c>
      <c r="G1797" t="s">
        <v>571</v>
      </c>
      <c r="H1797" t="s">
        <v>21</v>
      </c>
      <c r="I1797">
        <v>4</v>
      </c>
      <c r="J1797" s="5">
        <v>6.9000000000000006E-2</v>
      </c>
      <c r="K1797" t="s">
        <v>218</v>
      </c>
      <c r="L1797" s="6">
        <v>42614</v>
      </c>
      <c r="M1797">
        <v>9</v>
      </c>
      <c r="N1797" s="7" t="s">
        <v>23</v>
      </c>
      <c r="O1797" t="s">
        <v>31</v>
      </c>
      <c r="P1797" t="s">
        <v>3550</v>
      </c>
      <c r="Q1797" t="s">
        <v>3549</v>
      </c>
      <c r="R1797" t="s">
        <v>3195</v>
      </c>
    </row>
    <row r="1798" spans="1:18" hidden="1">
      <c r="A1798">
        <v>4</v>
      </c>
      <c r="B1798" s="4" t="s">
        <v>3127</v>
      </c>
      <c r="C1798" s="4" t="s">
        <v>3506</v>
      </c>
      <c r="D1798" s="4" t="s">
        <v>3537</v>
      </c>
      <c r="E1798" s="4" t="s">
        <v>5804</v>
      </c>
      <c r="F1798" t="s">
        <v>571</v>
      </c>
      <c r="G1798" t="s">
        <v>571</v>
      </c>
      <c r="H1798" t="s">
        <v>21</v>
      </c>
      <c r="I1798">
        <v>4</v>
      </c>
      <c r="J1798" s="5">
        <v>6.9000000000000006E-2</v>
      </c>
      <c r="K1798" t="s">
        <v>164</v>
      </c>
      <c r="L1798" s="6">
        <v>43617</v>
      </c>
      <c r="M1798">
        <v>6</v>
      </c>
      <c r="N1798" s="7" t="s">
        <v>55</v>
      </c>
      <c r="O1798" t="s">
        <v>31</v>
      </c>
      <c r="P1798" t="s">
        <v>3559</v>
      </c>
      <c r="Q1798" t="s">
        <v>3560</v>
      </c>
      <c r="R1798" t="s">
        <v>3195</v>
      </c>
    </row>
    <row r="1799" spans="1:18" hidden="1">
      <c r="A1799">
        <v>4</v>
      </c>
      <c r="B1799" s="4" t="s">
        <v>3127</v>
      </c>
      <c r="C1799" s="4" t="s">
        <v>3506</v>
      </c>
      <c r="D1799" s="4" t="s">
        <v>3537</v>
      </c>
      <c r="E1799" s="4" t="s">
        <v>5804</v>
      </c>
      <c r="F1799" t="s">
        <v>571</v>
      </c>
      <c r="G1799" t="s">
        <v>571</v>
      </c>
      <c r="H1799" t="s">
        <v>21</v>
      </c>
      <c r="I1799">
        <v>4</v>
      </c>
      <c r="J1799" s="5">
        <v>6.9000000000000006E-2</v>
      </c>
      <c r="K1799" t="s">
        <v>539</v>
      </c>
      <c r="L1799" s="6">
        <v>43922</v>
      </c>
      <c r="M1799">
        <v>4</v>
      </c>
      <c r="N1799" s="7" t="s">
        <v>23</v>
      </c>
      <c r="O1799" t="s">
        <v>31</v>
      </c>
      <c r="P1799" t="s">
        <v>3562</v>
      </c>
      <c r="Q1799" t="s">
        <v>3549</v>
      </c>
      <c r="R1799" t="s">
        <v>3195</v>
      </c>
    </row>
    <row r="1800" spans="1:18" hidden="1">
      <c r="A1800">
        <v>4</v>
      </c>
      <c r="B1800" s="4" t="s">
        <v>3127</v>
      </c>
      <c r="C1800" s="4" t="s">
        <v>3506</v>
      </c>
      <c r="D1800" s="4" t="s">
        <v>3537</v>
      </c>
      <c r="E1800" s="4" t="s">
        <v>5804</v>
      </c>
      <c r="F1800" t="s">
        <v>571</v>
      </c>
      <c r="G1800" t="s">
        <v>571</v>
      </c>
      <c r="H1800" t="s">
        <v>21</v>
      </c>
      <c r="I1800">
        <v>4</v>
      </c>
      <c r="J1800" s="5">
        <v>6.9000000000000006E-2</v>
      </c>
      <c r="K1800" t="s">
        <v>104</v>
      </c>
      <c r="L1800" s="6">
        <v>44317</v>
      </c>
      <c r="M1800">
        <v>5</v>
      </c>
      <c r="N1800" s="7" t="s">
        <v>23</v>
      </c>
      <c r="O1800" t="s">
        <v>31</v>
      </c>
      <c r="P1800" t="s">
        <v>3566</v>
      </c>
      <c r="Q1800" t="s">
        <v>3549</v>
      </c>
      <c r="R1800" t="s">
        <v>3195</v>
      </c>
    </row>
    <row r="1801" spans="1:18" hidden="1">
      <c r="A1801">
        <v>4</v>
      </c>
      <c r="B1801" s="4" t="s">
        <v>3127</v>
      </c>
      <c r="C1801" s="4" t="s">
        <v>3506</v>
      </c>
      <c r="D1801" s="4" t="s">
        <v>3537</v>
      </c>
      <c r="E1801" s="4" t="s">
        <v>5804</v>
      </c>
      <c r="F1801" t="s">
        <v>571</v>
      </c>
      <c r="G1801" t="s">
        <v>571</v>
      </c>
      <c r="H1801" t="s">
        <v>21</v>
      </c>
      <c r="I1801">
        <v>4</v>
      </c>
      <c r="J1801" s="5">
        <v>6.9000000000000006E-2</v>
      </c>
      <c r="K1801" t="s">
        <v>3567</v>
      </c>
      <c r="L1801" s="6" t="s">
        <v>673</v>
      </c>
      <c r="M1801" t="e">
        <v>#VALUE!</v>
      </c>
      <c r="N1801" s="7" t="e">
        <v>#VALUE!</v>
      </c>
      <c r="O1801" t="s">
        <v>31</v>
      </c>
      <c r="P1801" t="s">
        <v>3568</v>
      </c>
      <c r="Q1801" t="s">
        <v>3569</v>
      </c>
      <c r="R1801" t="s">
        <v>3195</v>
      </c>
    </row>
    <row r="1802" spans="1:18" hidden="1">
      <c r="A1802">
        <v>4</v>
      </c>
      <c r="B1802" s="4" t="s">
        <v>3127</v>
      </c>
      <c r="C1802" s="4" t="s">
        <v>3506</v>
      </c>
      <c r="D1802" s="4" t="s">
        <v>3572</v>
      </c>
      <c r="E1802" s="4" t="s">
        <v>5804</v>
      </c>
      <c r="F1802" t="s">
        <v>571</v>
      </c>
      <c r="G1802" t="s">
        <v>571</v>
      </c>
      <c r="H1802" t="s">
        <v>21</v>
      </c>
      <c r="I1802">
        <v>4</v>
      </c>
      <c r="J1802" s="5">
        <v>6.9000000000000006E-2</v>
      </c>
      <c r="K1802" t="s">
        <v>65</v>
      </c>
      <c r="L1802" s="6">
        <v>42430</v>
      </c>
      <c r="M1802">
        <v>3</v>
      </c>
      <c r="N1802" s="7" t="s">
        <v>23</v>
      </c>
      <c r="O1802" t="s">
        <v>31</v>
      </c>
      <c r="P1802" t="s">
        <v>3573</v>
      </c>
      <c r="Q1802" t="s">
        <v>3574</v>
      </c>
      <c r="R1802" t="s">
        <v>3575</v>
      </c>
    </row>
    <row r="1803" spans="1:18" hidden="1">
      <c r="A1803">
        <v>4</v>
      </c>
      <c r="B1803" s="4" t="s">
        <v>3127</v>
      </c>
      <c r="C1803" s="4" t="s">
        <v>3506</v>
      </c>
      <c r="D1803" s="4" t="s">
        <v>3572</v>
      </c>
      <c r="E1803" s="4" t="s">
        <v>5804</v>
      </c>
      <c r="F1803" t="s">
        <v>571</v>
      </c>
      <c r="G1803" t="s">
        <v>1344</v>
      </c>
      <c r="H1803" t="s">
        <v>21</v>
      </c>
      <c r="I1803">
        <v>8</v>
      </c>
      <c r="J1803" s="5">
        <v>3.6999999999999998E-2</v>
      </c>
      <c r="K1803" t="s">
        <v>115</v>
      </c>
      <c r="L1803" s="6">
        <v>42461</v>
      </c>
      <c r="M1803">
        <v>4</v>
      </c>
      <c r="N1803" s="7" t="s">
        <v>23</v>
      </c>
      <c r="O1803" t="s">
        <v>31</v>
      </c>
      <c r="P1803" t="s">
        <v>3576</v>
      </c>
      <c r="Q1803" t="s">
        <v>3577</v>
      </c>
      <c r="R1803" t="s">
        <v>3578</v>
      </c>
    </row>
    <row r="1804" spans="1:18" hidden="1">
      <c r="A1804">
        <v>4</v>
      </c>
      <c r="B1804" s="4" t="s">
        <v>3127</v>
      </c>
      <c r="C1804" s="4" t="s">
        <v>3506</v>
      </c>
      <c r="D1804" s="4" t="s">
        <v>3572</v>
      </c>
      <c r="E1804" s="4" t="s">
        <v>5804</v>
      </c>
      <c r="F1804" t="s">
        <v>571</v>
      </c>
      <c r="G1804" t="s">
        <v>571</v>
      </c>
      <c r="H1804" t="s">
        <v>21</v>
      </c>
      <c r="I1804">
        <v>4</v>
      </c>
      <c r="J1804" s="5">
        <v>6.9000000000000006E-2</v>
      </c>
      <c r="K1804" t="s">
        <v>76</v>
      </c>
      <c r="L1804" s="6">
        <v>42856</v>
      </c>
      <c r="M1804">
        <v>5</v>
      </c>
      <c r="N1804" s="7" t="s">
        <v>23</v>
      </c>
      <c r="O1804" t="s">
        <v>31</v>
      </c>
      <c r="P1804" t="s">
        <v>3579</v>
      </c>
      <c r="Q1804" t="s">
        <v>3580</v>
      </c>
      <c r="R1804" t="s">
        <v>3195</v>
      </c>
    </row>
    <row r="1805" spans="1:18" hidden="1">
      <c r="A1805">
        <v>4</v>
      </c>
      <c r="B1805" s="4" t="s">
        <v>3127</v>
      </c>
      <c r="C1805" s="4" t="s">
        <v>3506</v>
      </c>
      <c r="D1805" s="4" t="s">
        <v>3572</v>
      </c>
      <c r="E1805" s="4" t="s">
        <v>5804</v>
      </c>
      <c r="F1805" t="s">
        <v>571</v>
      </c>
      <c r="G1805" t="s">
        <v>571</v>
      </c>
      <c r="H1805" t="s">
        <v>21</v>
      </c>
      <c r="I1805">
        <v>4</v>
      </c>
      <c r="J1805" s="5">
        <v>6.9000000000000006E-2</v>
      </c>
      <c r="K1805" t="s">
        <v>85</v>
      </c>
      <c r="L1805" s="6">
        <v>43009</v>
      </c>
      <c r="M1805">
        <v>10</v>
      </c>
      <c r="N1805" s="7" t="s">
        <v>23</v>
      </c>
      <c r="O1805" t="s">
        <v>31</v>
      </c>
      <c r="P1805" t="s">
        <v>3584</v>
      </c>
      <c r="Q1805" t="s">
        <v>3546</v>
      </c>
      <c r="R1805" t="s">
        <v>3547</v>
      </c>
    </row>
    <row r="1806" spans="1:18" hidden="1">
      <c r="A1806">
        <v>4</v>
      </c>
      <c r="B1806" s="4" t="s">
        <v>3127</v>
      </c>
      <c r="C1806" s="4" t="s">
        <v>3506</v>
      </c>
      <c r="D1806" s="4" t="s">
        <v>3572</v>
      </c>
      <c r="E1806" s="4" t="s">
        <v>5804</v>
      </c>
      <c r="F1806" t="s">
        <v>571</v>
      </c>
      <c r="G1806" t="s">
        <v>571</v>
      </c>
      <c r="H1806" t="s">
        <v>21</v>
      </c>
      <c r="I1806">
        <v>4</v>
      </c>
      <c r="J1806" s="5">
        <v>6.9000000000000006E-2</v>
      </c>
      <c r="K1806" t="s">
        <v>292</v>
      </c>
      <c r="L1806" s="6">
        <v>43191</v>
      </c>
      <c r="M1806">
        <v>4</v>
      </c>
      <c r="N1806" s="7" t="s">
        <v>23</v>
      </c>
      <c r="O1806" t="s">
        <v>31</v>
      </c>
      <c r="P1806" t="s">
        <v>3585</v>
      </c>
      <c r="Q1806" t="s">
        <v>3580</v>
      </c>
      <c r="R1806" t="s">
        <v>3195</v>
      </c>
    </row>
    <row r="1807" spans="1:18" hidden="1">
      <c r="A1807">
        <v>4</v>
      </c>
      <c r="B1807" s="4" t="s">
        <v>3127</v>
      </c>
      <c r="C1807" s="4" t="s">
        <v>3506</v>
      </c>
      <c r="D1807" s="4" t="s">
        <v>3572</v>
      </c>
      <c r="E1807" s="4" t="s">
        <v>5804</v>
      </c>
      <c r="F1807" t="s">
        <v>571</v>
      </c>
      <c r="G1807" t="s">
        <v>571</v>
      </c>
      <c r="H1807" t="s">
        <v>21</v>
      </c>
      <c r="I1807">
        <v>4</v>
      </c>
      <c r="J1807" s="5">
        <v>6.9000000000000006E-2</v>
      </c>
      <c r="K1807" t="s">
        <v>245</v>
      </c>
      <c r="L1807" s="6">
        <v>43466</v>
      </c>
      <c r="M1807">
        <v>1</v>
      </c>
      <c r="N1807" s="7" t="s">
        <v>30</v>
      </c>
      <c r="O1807" t="s">
        <v>31</v>
      </c>
      <c r="P1807" t="s">
        <v>3593</v>
      </c>
      <c r="Q1807" t="s">
        <v>3594</v>
      </c>
      <c r="R1807" t="s">
        <v>3595</v>
      </c>
    </row>
    <row r="1808" spans="1:18" hidden="1">
      <c r="A1808">
        <v>4</v>
      </c>
      <c r="B1808" s="4" t="s">
        <v>3127</v>
      </c>
      <c r="C1808" s="4" t="s">
        <v>3597</v>
      </c>
      <c r="D1808" s="4" t="s">
        <v>3598</v>
      </c>
      <c r="E1808" s="4" t="s">
        <v>5804</v>
      </c>
      <c r="F1808" t="s">
        <v>571</v>
      </c>
      <c r="G1808" t="s">
        <v>1344</v>
      </c>
      <c r="H1808" t="s">
        <v>21</v>
      </c>
      <c r="I1808">
        <v>8</v>
      </c>
      <c r="J1808" s="5">
        <v>3.6999999999999998E-2</v>
      </c>
      <c r="K1808" t="s">
        <v>80</v>
      </c>
      <c r="L1808" s="6">
        <v>42917</v>
      </c>
      <c r="M1808">
        <v>7</v>
      </c>
      <c r="N1808" s="7" t="s">
        <v>55</v>
      </c>
      <c r="O1808" t="s">
        <v>31</v>
      </c>
      <c r="P1808" t="s">
        <v>3599</v>
      </c>
      <c r="Q1808" t="s">
        <v>3600</v>
      </c>
      <c r="R1808" t="s">
        <v>3601</v>
      </c>
    </row>
    <row r="1809" spans="1:18" hidden="1">
      <c r="A1809">
        <v>4</v>
      </c>
      <c r="B1809" s="4" t="s">
        <v>3127</v>
      </c>
      <c r="C1809" s="4" t="s">
        <v>3597</v>
      </c>
      <c r="D1809" s="4" t="s">
        <v>3598</v>
      </c>
      <c r="E1809" s="4" t="s">
        <v>5804</v>
      </c>
      <c r="F1809" t="s">
        <v>571</v>
      </c>
      <c r="G1809" t="s">
        <v>1344</v>
      </c>
      <c r="H1809" t="s">
        <v>21</v>
      </c>
      <c r="I1809">
        <v>8</v>
      </c>
      <c r="J1809" s="5">
        <v>3.6999999999999998E-2</v>
      </c>
      <c r="K1809" t="s">
        <v>156</v>
      </c>
      <c r="L1809" s="6">
        <v>43405</v>
      </c>
      <c r="M1809">
        <v>11</v>
      </c>
      <c r="N1809" s="7" t="s">
        <v>23</v>
      </c>
      <c r="O1809" t="s">
        <v>31</v>
      </c>
      <c r="P1809" t="s">
        <v>3602</v>
      </c>
      <c r="Q1809" t="s">
        <v>3603</v>
      </c>
      <c r="R1809" t="s">
        <v>3604</v>
      </c>
    </row>
    <row r="1810" spans="1:18" hidden="1">
      <c r="A1810">
        <v>4</v>
      </c>
      <c r="B1810" s="4" t="s">
        <v>3127</v>
      </c>
      <c r="C1810" s="4" t="s">
        <v>3597</v>
      </c>
      <c r="D1810" s="4" t="s">
        <v>3598</v>
      </c>
      <c r="E1810" s="4" t="s">
        <v>5804</v>
      </c>
      <c r="F1810" t="s">
        <v>571</v>
      </c>
      <c r="G1810" t="s">
        <v>1344</v>
      </c>
      <c r="H1810" t="s">
        <v>21</v>
      </c>
      <c r="I1810">
        <v>8</v>
      </c>
      <c r="J1810" s="5">
        <v>3.6999999999999998E-2</v>
      </c>
      <c r="K1810" t="s">
        <v>168</v>
      </c>
      <c r="L1810" s="6">
        <v>43678</v>
      </c>
      <c r="M1810">
        <v>8</v>
      </c>
      <c r="N1810" s="7" t="s">
        <v>55</v>
      </c>
      <c r="O1810" t="s">
        <v>31</v>
      </c>
      <c r="P1810" t="s">
        <v>3605</v>
      </c>
      <c r="Q1810" t="s">
        <v>3606</v>
      </c>
      <c r="R1810" t="s">
        <v>3607</v>
      </c>
    </row>
    <row r="1811" spans="1:18" hidden="1">
      <c r="A1811">
        <v>4</v>
      </c>
      <c r="B1811" s="4" t="s">
        <v>3127</v>
      </c>
      <c r="C1811" s="4" t="s">
        <v>3597</v>
      </c>
      <c r="D1811" s="4" t="s">
        <v>3598</v>
      </c>
      <c r="E1811" s="4" t="s">
        <v>5804</v>
      </c>
      <c r="F1811" t="s">
        <v>571</v>
      </c>
      <c r="G1811" t="s">
        <v>1344</v>
      </c>
      <c r="H1811" t="s">
        <v>21</v>
      </c>
      <c r="I1811">
        <v>8</v>
      </c>
      <c r="J1811" s="5">
        <v>3.6999999999999998E-2</v>
      </c>
      <c r="K1811" t="s">
        <v>726</v>
      </c>
      <c r="L1811" s="6">
        <v>43709</v>
      </c>
      <c r="M1811">
        <v>9</v>
      </c>
      <c r="N1811" s="7" t="s">
        <v>23</v>
      </c>
      <c r="O1811" t="s">
        <v>31</v>
      </c>
      <c r="P1811" t="s">
        <v>3608</v>
      </c>
      <c r="Q1811" t="s">
        <v>3609</v>
      </c>
      <c r="R1811" t="s">
        <v>3601</v>
      </c>
    </row>
    <row r="1812" spans="1:18" hidden="1">
      <c r="A1812">
        <v>4</v>
      </c>
      <c r="B1812" s="4" t="s">
        <v>3127</v>
      </c>
      <c r="C1812" s="4" t="s">
        <v>3597</v>
      </c>
      <c r="D1812" s="4" t="s">
        <v>3660</v>
      </c>
      <c r="E1812" s="4" t="s">
        <v>5804</v>
      </c>
      <c r="F1812" t="s">
        <v>571</v>
      </c>
      <c r="G1812" t="s">
        <v>571</v>
      </c>
      <c r="H1812" t="s">
        <v>21</v>
      </c>
      <c r="I1812">
        <v>4</v>
      </c>
      <c r="J1812" s="5">
        <v>6.9000000000000006E-2</v>
      </c>
      <c r="K1812" t="s">
        <v>1221</v>
      </c>
      <c r="L1812" s="6">
        <v>42036</v>
      </c>
      <c r="M1812">
        <v>2</v>
      </c>
      <c r="N1812" s="7" t="s">
        <v>30</v>
      </c>
      <c r="O1812" t="s">
        <v>31</v>
      </c>
      <c r="P1812" t="s">
        <v>3661</v>
      </c>
      <c r="Q1812" t="s">
        <v>573</v>
      </c>
      <c r="R1812" t="s">
        <v>574</v>
      </c>
    </row>
    <row r="1813" spans="1:18" hidden="1">
      <c r="A1813">
        <v>4</v>
      </c>
      <c r="B1813" s="4" t="s">
        <v>3127</v>
      </c>
      <c r="C1813" s="4" t="s">
        <v>3597</v>
      </c>
      <c r="D1813" s="4" t="s">
        <v>3660</v>
      </c>
      <c r="E1813" s="4" t="s">
        <v>5804</v>
      </c>
      <c r="F1813" t="s">
        <v>571</v>
      </c>
      <c r="G1813" t="s">
        <v>1344</v>
      </c>
      <c r="H1813" t="s">
        <v>21</v>
      </c>
      <c r="I1813">
        <v>8</v>
      </c>
      <c r="J1813" s="5">
        <v>3.6999999999999998E-2</v>
      </c>
      <c r="K1813" t="s">
        <v>382</v>
      </c>
      <c r="L1813" s="6">
        <v>42401</v>
      </c>
      <c r="M1813">
        <v>2</v>
      </c>
      <c r="N1813" s="7" t="s">
        <v>30</v>
      </c>
      <c r="O1813" t="s">
        <v>31</v>
      </c>
      <c r="P1813" t="s">
        <v>3663</v>
      </c>
      <c r="Q1813" t="s">
        <v>3664</v>
      </c>
      <c r="R1813" t="s">
        <v>3604</v>
      </c>
    </row>
    <row r="1814" spans="1:18" hidden="1">
      <c r="A1814">
        <v>4</v>
      </c>
      <c r="B1814" s="4" t="s">
        <v>3127</v>
      </c>
      <c r="C1814" s="4" t="s">
        <v>3597</v>
      </c>
      <c r="D1814" s="4" t="s">
        <v>3660</v>
      </c>
      <c r="E1814" s="4" t="s">
        <v>5804</v>
      </c>
      <c r="F1814" t="s">
        <v>571</v>
      </c>
      <c r="G1814" t="s">
        <v>1344</v>
      </c>
      <c r="H1814" t="s">
        <v>21</v>
      </c>
      <c r="I1814">
        <v>8</v>
      </c>
      <c r="J1814" s="5">
        <v>3.6999999999999998E-2</v>
      </c>
      <c r="K1814" t="s">
        <v>65</v>
      </c>
      <c r="L1814" s="6">
        <v>42430</v>
      </c>
      <c r="M1814">
        <v>3</v>
      </c>
      <c r="N1814" s="7" t="s">
        <v>23</v>
      </c>
      <c r="O1814" t="s">
        <v>31</v>
      </c>
      <c r="P1814" t="s">
        <v>3667</v>
      </c>
      <c r="Q1814" t="s">
        <v>3668</v>
      </c>
      <c r="R1814" t="s">
        <v>3607</v>
      </c>
    </row>
    <row r="1815" spans="1:18" hidden="1">
      <c r="A1815">
        <v>4</v>
      </c>
      <c r="B1815" s="4" t="s">
        <v>3127</v>
      </c>
      <c r="C1815" s="4" t="s">
        <v>3597</v>
      </c>
      <c r="D1815" s="4" t="s">
        <v>3660</v>
      </c>
      <c r="E1815" s="4" t="s">
        <v>5804</v>
      </c>
      <c r="F1815" t="s">
        <v>571</v>
      </c>
      <c r="G1815" t="s">
        <v>1344</v>
      </c>
      <c r="H1815" t="s">
        <v>21</v>
      </c>
      <c r="I1815">
        <v>8</v>
      </c>
      <c r="J1815" s="5">
        <v>3.6999999999999998E-2</v>
      </c>
      <c r="K1815" t="s">
        <v>115</v>
      </c>
      <c r="L1815" s="6">
        <v>42461</v>
      </c>
      <c r="M1815">
        <v>4</v>
      </c>
      <c r="N1815" s="7" t="s">
        <v>23</v>
      </c>
      <c r="O1815" t="s">
        <v>31</v>
      </c>
      <c r="P1815" t="s">
        <v>3669</v>
      </c>
      <c r="Q1815" t="s">
        <v>3670</v>
      </c>
      <c r="R1815" t="s">
        <v>3601</v>
      </c>
    </row>
    <row r="1816" spans="1:18" hidden="1">
      <c r="A1816">
        <v>4</v>
      </c>
      <c r="B1816" s="4" t="s">
        <v>3127</v>
      </c>
      <c r="C1816" s="4" t="s">
        <v>3597</v>
      </c>
      <c r="D1816" s="4" t="s">
        <v>3660</v>
      </c>
      <c r="E1816" s="4" t="s">
        <v>5804</v>
      </c>
      <c r="F1816" t="s">
        <v>571</v>
      </c>
      <c r="G1816" t="s">
        <v>1344</v>
      </c>
      <c r="H1816" t="s">
        <v>21</v>
      </c>
      <c r="I1816">
        <v>8</v>
      </c>
      <c r="J1816" s="5">
        <v>3.6999999999999998E-2</v>
      </c>
      <c r="K1816" t="s">
        <v>115</v>
      </c>
      <c r="L1816" s="6">
        <v>42461</v>
      </c>
      <c r="M1816">
        <v>4</v>
      </c>
      <c r="N1816" s="7" t="s">
        <v>23</v>
      </c>
      <c r="O1816" t="s">
        <v>31</v>
      </c>
      <c r="P1816" t="s">
        <v>3671</v>
      </c>
      <c r="Q1816" t="s">
        <v>3600</v>
      </c>
      <c r="R1816" t="s">
        <v>3601</v>
      </c>
    </row>
    <row r="1817" spans="1:18" hidden="1">
      <c r="A1817">
        <v>4</v>
      </c>
      <c r="B1817" s="4" t="s">
        <v>3127</v>
      </c>
      <c r="C1817" s="4" t="s">
        <v>3597</v>
      </c>
      <c r="D1817" s="4" t="s">
        <v>3660</v>
      </c>
      <c r="E1817" s="4" t="s">
        <v>5804</v>
      </c>
      <c r="F1817" t="s">
        <v>571</v>
      </c>
      <c r="G1817" t="s">
        <v>1344</v>
      </c>
      <c r="H1817" t="s">
        <v>21</v>
      </c>
      <c r="I1817">
        <v>8</v>
      </c>
      <c r="J1817" s="5">
        <v>3.6999999999999998E-2</v>
      </c>
      <c r="K1817" t="s">
        <v>115</v>
      </c>
      <c r="L1817" s="6">
        <v>42461</v>
      </c>
      <c r="M1817">
        <v>4</v>
      </c>
      <c r="N1817" s="7" t="s">
        <v>23</v>
      </c>
      <c r="O1817" t="s">
        <v>31</v>
      </c>
      <c r="P1817" t="s">
        <v>3672</v>
      </c>
      <c r="Q1817" t="s">
        <v>3673</v>
      </c>
      <c r="R1817" t="s">
        <v>3607</v>
      </c>
    </row>
    <row r="1818" spans="1:18" hidden="1">
      <c r="A1818">
        <v>4</v>
      </c>
      <c r="B1818" s="4" t="s">
        <v>3127</v>
      </c>
      <c r="C1818" s="4" t="s">
        <v>3597</v>
      </c>
      <c r="D1818" s="4" t="s">
        <v>3660</v>
      </c>
      <c r="E1818" s="4" t="s">
        <v>5804</v>
      </c>
      <c r="F1818" t="s">
        <v>571</v>
      </c>
      <c r="G1818" t="s">
        <v>1344</v>
      </c>
      <c r="H1818" t="s">
        <v>21</v>
      </c>
      <c r="I1818">
        <v>8</v>
      </c>
      <c r="J1818" s="5">
        <v>3.6999999999999998E-2</v>
      </c>
      <c r="K1818" t="s">
        <v>119</v>
      </c>
      <c r="L1818" s="6">
        <v>42552</v>
      </c>
      <c r="M1818">
        <v>7</v>
      </c>
      <c r="N1818" s="7" t="s">
        <v>55</v>
      </c>
      <c r="O1818" t="s">
        <v>31</v>
      </c>
      <c r="P1818" t="s">
        <v>3674</v>
      </c>
      <c r="Q1818" t="s">
        <v>3670</v>
      </c>
      <c r="R1818" t="s">
        <v>3601</v>
      </c>
    </row>
    <row r="1819" spans="1:18" hidden="1">
      <c r="A1819">
        <v>4</v>
      </c>
      <c r="B1819" s="4" t="s">
        <v>3127</v>
      </c>
      <c r="C1819" s="4" t="s">
        <v>3597</v>
      </c>
      <c r="D1819" s="4" t="s">
        <v>3660</v>
      </c>
      <c r="E1819" s="4" t="s">
        <v>5804</v>
      </c>
      <c r="F1819" t="s">
        <v>571</v>
      </c>
      <c r="G1819" t="s">
        <v>1344</v>
      </c>
      <c r="H1819" t="s">
        <v>21</v>
      </c>
      <c r="I1819">
        <v>8</v>
      </c>
      <c r="J1819" s="5">
        <v>3.6999999999999998E-2</v>
      </c>
      <c r="K1819" t="s">
        <v>119</v>
      </c>
      <c r="L1819" s="6">
        <v>42552</v>
      </c>
      <c r="M1819">
        <v>7</v>
      </c>
      <c r="N1819" s="7" t="s">
        <v>55</v>
      </c>
      <c r="O1819" t="s">
        <v>31</v>
      </c>
      <c r="P1819" t="s">
        <v>3675</v>
      </c>
      <c r="Q1819" t="s">
        <v>3600</v>
      </c>
      <c r="R1819" t="s">
        <v>3601</v>
      </c>
    </row>
    <row r="1820" spans="1:18" hidden="1">
      <c r="A1820">
        <v>4</v>
      </c>
      <c r="B1820" s="4" t="s">
        <v>3127</v>
      </c>
      <c r="C1820" s="4" t="s">
        <v>3597</v>
      </c>
      <c r="D1820" s="4" t="s">
        <v>3660</v>
      </c>
      <c r="E1820" s="4" t="s">
        <v>5804</v>
      </c>
      <c r="F1820" t="s">
        <v>571</v>
      </c>
      <c r="G1820" t="s">
        <v>1344</v>
      </c>
      <c r="H1820" t="s">
        <v>21</v>
      </c>
      <c r="I1820">
        <v>8</v>
      </c>
      <c r="J1820" s="5">
        <v>3.6999999999999998E-2</v>
      </c>
      <c r="K1820" t="s">
        <v>319</v>
      </c>
      <c r="L1820" s="6">
        <v>42583</v>
      </c>
      <c r="M1820">
        <v>8</v>
      </c>
      <c r="N1820" s="7" t="s">
        <v>55</v>
      </c>
      <c r="O1820" t="s">
        <v>31</v>
      </c>
      <c r="P1820" t="s">
        <v>3682</v>
      </c>
      <c r="Q1820" t="s">
        <v>3670</v>
      </c>
      <c r="R1820" t="s">
        <v>3601</v>
      </c>
    </row>
    <row r="1821" spans="1:18" hidden="1">
      <c r="A1821">
        <v>4</v>
      </c>
      <c r="B1821" s="4" t="s">
        <v>3127</v>
      </c>
      <c r="C1821" s="4" t="s">
        <v>3597</v>
      </c>
      <c r="D1821" s="4" t="s">
        <v>3660</v>
      </c>
      <c r="E1821" s="4" t="s">
        <v>5804</v>
      </c>
      <c r="F1821" t="s">
        <v>571</v>
      </c>
      <c r="G1821" t="s">
        <v>1344</v>
      </c>
      <c r="H1821" t="s">
        <v>21</v>
      </c>
      <c r="I1821">
        <v>8</v>
      </c>
      <c r="J1821" s="5">
        <v>3.6999999999999998E-2</v>
      </c>
      <c r="K1821" t="s">
        <v>220</v>
      </c>
      <c r="L1821" s="6">
        <v>42644</v>
      </c>
      <c r="M1821">
        <v>10</v>
      </c>
      <c r="N1821" s="7" t="s">
        <v>23</v>
      </c>
      <c r="O1821" t="s">
        <v>31</v>
      </c>
      <c r="P1821" t="s">
        <v>3684</v>
      </c>
      <c r="Q1821" t="s">
        <v>3670</v>
      </c>
      <c r="R1821" t="s">
        <v>3601</v>
      </c>
    </row>
    <row r="1822" spans="1:18" hidden="1">
      <c r="A1822">
        <v>4</v>
      </c>
      <c r="B1822" s="4" t="s">
        <v>3127</v>
      </c>
      <c r="C1822" s="4" t="s">
        <v>3597</v>
      </c>
      <c r="D1822" s="4" t="s">
        <v>3660</v>
      </c>
      <c r="E1822" s="4" t="s">
        <v>5804</v>
      </c>
      <c r="F1822" t="s">
        <v>571</v>
      </c>
      <c r="G1822" t="s">
        <v>1344</v>
      </c>
      <c r="H1822" t="s">
        <v>21</v>
      </c>
      <c r="I1822">
        <v>8</v>
      </c>
      <c r="J1822" s="5">
        <v>3.6999999999999998E-2</v>
      </c>
      <c r="K1822" t="s">
        <v>220</v>
      </c>
      <c r="L1822" s="6">
        <v>42644</v>
      </c>
      <c r="M1822">
        <v>10</v>
      </c>
      <c r="N1822" s="7" t="s">
        <v>23</v>
      </c>
      <c r="O1822" t="s">
        <v>31</v>
      </c>
      <c r="P1822" t="s">
        <v>3685</v>
      </c>
      <c r="Q1822" t="s">
        <v>3600</v>
      </c>
      <c r="R1822" t="s">
        <v>3601</v>
      </c>
    </row>
    <row r="1823" spans="1:18" hidden="1">
      <c r="A1823">
        <v>4</v>
      </c>
      <c r="B1823" s="4" t="s">
        <v>3127</v>
      </c>
      <c r="C1823" s="4" t="s">
        <v>3597</v>
      </c>
      <c r="D1823" s="4" t="s">
        <v>3660</v>
      </c>
      <c r="E1823" s="4" t="s">
        <v>5804</v>
      </c>
      <c r="F1823" t="s">
        <v>571</v>
      </c>
      <c r="G1823" t="s">
        <v>1344</v>
      </c>
      <c r="H1823" t="s">
        <v>21</v>
      </c>
      <c r="I1823">
        <v>8</v>
      </c>
      <c r="J1823" s="5">
        <v>3.6999999999999998E-2</v>
      </c>
      <c r="K1823" t="s">
        <v>220</v>
      </c>
      <c r="L1823" s="6">
        <v>42644</v>
      </c>
      <c r="M1823">
        <v>10</v>
      </c>
      <c r="N1823" s="7" t="s">
        <v>23</v>
      </c>
      <c r="O1823" t="s">
        <v>31</v>
      </c>
      <c r="P1823" t="s">
        <v>3686</v>
      </c>
      <c r="Q1823" t="s">
        <v>3673</v>
      </c>
      <c r="R1823" t="s">
        <v>3607</v>
      </c>
    </row>
    <row r="1824" spans="1:18" hidden="1">
      <c r="A1824">
        <v>4</v>
      </c>
      <c r="B1824" s="4" t="s">
        <v>3127</v>
      </c>
      <c r="C1824" s="4" t="s">
        <v>3597</v>
      </c>
      <c r="D1824" s="4" t="s">
        <v>3660</v>
      </c>
      <c r="E1824" s="4" t="s">
        <v>5804</v>
      </c>
      <c r="F1824" t="s">
        <v>571</v>
      </c>
      <c r="G1824" t="s">
        <v>1344</v>
      </c>
      <c r="H1824" t="s">
        <v>21</v>
      </c>
      <c r="I1824">
        <v>8</v>
      </c>
      <c r="J1824" s="5">
        <v>3.6999999999999998E-2</v>
      </c>
      <c r="K1824" t="s">
        <v>220</v>
      </c>
      <c r="L1824" s="6">
        <v>42644</v>
      </c>
      <c r="M1824">
        <v>10</v>
      </c>
      <c r="N1824" s="7" t="s">
        <v>23</v>
      </c>
      <c r="O1824" t="s">
        <v>31</v>
      </c>
      <c r="P1824" t="s">
        <v>3687</v>
      </c>
      <c r="Q1824" t="s">
        <v>3664</v>
      </c>
      <c r="R1824" t="s">
        <v>3601</v>
      </c>
    </row>
    <row r="1825" spans="1:18" hidden="1">
      <c r="A1825">
        <v>4</v>
      </c>
      <c r="B1825" s="4" t="s">
        <v>3127</v>
      </c>
      <c r="C1825" s="4" t="s">
        <v>3597</v>
      </c>
      <c r="D1825" s="4" t="s">
        <v>3660</v>
      </c>
      <c r="E1825" s="4" t="s">
        <v>5804</v>
      </c>
      <c r="F1825" t="s">
        <v>571</v>
      </c>
      <c r="G1825" t="s">
        <v>1344</v>
      </c>
      <c r="H1825" t="s">
        <v>21</v>
      </c>
      <c r="I1825">
        <v>8</v>
      </c>
      <c r="J1825" s="5">
        <v>3.6999999999999998E-2</v>
      </c>
      <c r="K1825" t="s">
        <v>278</v>
      </c>
      <c r="L1825" s="6">
        <v>42675</v>
      </c>
      <c r="M1825">
        <v>11</v>
      </c>
      <c r="N1825" s="7" t="s">
        <v>23</v>
      </c>
      <c r="O1825" t="s">
        <v>31</v>
      </c>
      <c r="P1825" t="s">
        <v>3688</v>
      </c>
      <c r="Q1825" t="s">
        <v>3600</v>
      </c>
      <c r="R1825" t="s">
        <v>3601</v>
      </c>
    </row>
    <row r="1826" spans="1:18" hidden="1">
      <c r="A1826">
        <v>4</v>
      </c>
      <c r="B1826" s="4" t="s">
        <v>3127</v>
      </c>
      <c r="C1826" s="4" t="s">
        <v>3597</v>
      </c>
      <c r="D1826" s="4" t="s">
        <v>3660</v>
      </c>
      <c r="E1826" s="4" t="s">
        <v>5804</v>
      </c>
      <c r="F1826" t="s">
        <v>571</v>
      </c>
      <c r="G1826" t="s">
        <v>1344</v>
      </c>
      <c r="H1826" t="s">
        <v>21</v>
      </c>
      <c r="I1826">
        <v>8</v>
      </c>
      <c r="J1826" s="5">
        <v>3.6999999999999998E-2</v>
      </c>
      <c r="K1826" t="s">
        <v>76</v>
      </c>
      <c r="L1826" s="6">
        <v>42856</v>
      </c>
      <c r="M1826">
        <v>5</v>
      </c>
      <c r="N1826" s="7" t="s">
        <v>23</v>
      </c>
      <c r="O1826" t="s">
        <v>31</v>
      </c>
      <c r="P1826" t="s">
        <v>3696</v>
      </c>
      <c r="Q1826" t="s">
        <v>3697</v>
      </c>
      <c r="R1826" t="s">
        <v>3698</v>
      </c>
    </row>
    <row r="1827" spans="1:18" hidden="1">
      <c r="A1827">
        <v>4</v>
      </c>
      <c r="B1827" s="4" t="s">
        <v>3127</v>
      </c>
      <c r="C1827" s="4" t="s">
        <v>3597</v>
      </c>
      <c r="D1827" s="4" t="s">
        <v>3660</v>
      </c>
      <c r="E1827" s="4" t="s">
        <v>5804</v>
      </c>
      <c r="F1827" t="s">
        <v>571</v>
      </c>
      <c r="G1827" t="s">
        <v>1344</v>
      </c>
      <c r="H1827" t="s">
        <v>21</v>
      </c>
      <c r="I1827">
        <v>8</v>
      </c>
      <c r="J1827" s="5">
        <v>3.6999999999999998E-2</v>
      </c>
      <c r="K1827" t="s">
        <v>76</v>
      </c>
      <c r="L1827" s="6">
        <v>42856</v>
      </c>
      <c r="M1827">
        <v>5</v>
      </c>
      <c r="N1827" s="7" t="s">
        <v>23</v>
      </c>
      <c r="O1827" t="s">
        <v>31</v>
      </c>
      <c r="P1827" t="s">
        <v>3701</v>
      </c>
      <c r="Q1827" t="s">
        <v>3664</v>
      </c>
      <c r="R1827" t="s">
        <v>3604</v>
      </c>
    </row>
    <row r="1828" spans="1:18" hidden="1">
      <c r="A1828">
        <v>4</v>
      </c>
      <c r="B1828" s="4" t="s">
        <v>3127</v>
      </c>
      <c r="C1828" s="4" t="s">
        <v>3597</v>
      </c>
      <c r="D1828" s="4" t="s">
        <v>3660</v>
      </c>
      <c r="E1828" s="4" t="s">
        <v>5804</v>
      </c>
      <c r="F1828" t="s">
        <v>571</v>
      </c>
      <c r="G1828" t="s">
        <v>1344</v>
      </c>
      <c r="H1828" t="s">
        <v>21</v>
      </c>
      <c r="I1828">
        <v>8</v>
      </c>
      <c r="J1828" s="5">
        <v>3.6999999999999998E-2</v>
      </c>
      <c r="K1828" t="s">
        <v>681</v>
      </c>
      <c r="L1828" s="6">
        <v>42887</v>
      </c>
      <c r="M1828">
        <v>6</v>
      </c>
      <c r="N1828" s="7" t="s">
        <v>55</v>
      </c>
      <c r="O1828" t="s">
        <v>31</v>
      </c>
      <c r="P1828" t="s">
        <v>3702</v>
      </c>
      <c r="Q1828" t="s">
        <v>3670</v>
      </c>
      <c r="R1828" t="s">
        <v>3601</v>
      </c>
    </row>
    <row r="1829" spans="1:18" hidden="1">
      <c r="A1829">
        <v>4</v>
      </c>
      <c r="B1829" s="4" t="s">
        <v>3127</v>
      </c>
      <c r="C1829" s="4" t="s">
        <v>3597</v>
      </c>
      <c r="D1829" s="4" t="s">
        <v>3660</v>
      </c>
      <c r="E1829" s="4" t="s">
        <v>5804</v>
      </c>
      <c r="F1829" t="s">
        <v>571</v>
      </c>
      <c r="G1829" t="s">
        <v>1344</v>
      </c>
      <c r="H1829" t="s">
        <v>21</v>
      </c>
      <c r="I1829">
        <v>8</v>
      </c>
      <c r="J1829" s="5">
        <v>3.6999999999999998E-2</v>
      </c>
      <c r="K1829" t="s">
        <v>83</v>
      </c>
      <c r="L1829" s="6">
        <v>42948</v>
      </c>
      <c r="M1829">
        <v>8</v>
      </c>
      <c r="N1829" s="7" t="s">
        <v>55</v>
      </c>
      <c r="O1829" t="s">
        <v>31</v>
      </c>
      <c r="P1829" t="s">
        <v>3704</v>
      </c>
      <c r="Q1829" t="s">
        <v>3705</v>
      </c>
      <c r="R1829" t="s">
        <v>3706</v>
      </c>
    </row>
    <row r="1830" spans="1:18" hidden="1">
      <c r="A1830">
        <v>4</v>
      </c>
      <c r="B1830" s="4" t="s">
        <v>3127</v>
      </c>
      <c r="C1830" s="4" t="s">
        <v>3597</v>
      </c>
      <c r="D1830" s="4" t="s">
        <v>3660</v>
      </c>
      <c r="E1830" s="4" t="s">
        <v>5804</v>
      </c>
      <c r="F1830" t="s">
        <v>571</v>
      </c>
      <c r="G1830" t="s">
        <v>1344</v>
      </c>
      <c r="H1830" t="s">
        <v>21</v>
      </c>
      <c r="I1830">
        <v>8</v>
      </c>
      <c r="J1830" s="5">
        <v>3.6999999999999998E-2</v>
      </c>
      <c r="K1830" t="s">
        <v>22</v>
      </c>
      <c r="L1830" s="6">
        <v>42979</v>
      </c>
      <c r="M1830">
        <v>9</v>
      </c>
      <c r="N1830" s="7" t="s">
        <v>23</v>
      </c>
      <c r="O1830" t="s">
        <v>31</v>
      </c>
      <c r="P1830" t="s">
        <v>3710</v>
      </c>
      <c r="Q1830" t="s">
        <v>3670</v>
      </c>
      <c r="R1830" t="s">
        <v>3601</v>
      </c>
    </row>
    <row r="1831" spans="1:18" hidden="1">
      <c r="A1831">
        <v>4</v>
      </c>
      <c r="B1831" s="4" t="s">
        <v>3127</v>
      </c>
      <c r="C1831" s="4" t="s">
        <v>3597</v>
      </c>
      <c r="D1831" s="4" t="s">
        <v>3660</v>
      </c>
      <c r="E1831" s="4" t="s">
        <v>5804</v>
      </c>
      <c r="F1831" t="s">
        <v>571</v>
      </c>
      <c r="G1831" t="s">
        <v>1344</v>
      </c>
      <c r="H1831" t="s">
        <v>21</v>
      </c>
      <c r="I1831">
        <v>8</v>
      </c>
      <c r="J1831" s="5">
        <v>3.6999999999999998E-2</v>
      </c>
      <c r="K1831" t="s">
        <v>22</v>
      </c>
      <c r="L1831" s="6">
        <v>42979</v>
      </c>
      <c r="M1831">
        <v>9</v>
      </c>
      <c r="N1831" s="7" t="s">
        <v>23</v>
      </c>
      <c r="O1831" t="s">
        <v>31</v>
      </c>
      <c r="P1831" t="s">
        <v>3711</v>
      </c>
      <c r="Q1831" t="s">
        <v>3670</v>
      </c>
      <c r="R1831" t="s">
        <v>3601</v>
      </c>
    </row>
    <row r="1832" spans="1:18" hidden="1">
      <c r="A1832">
        <v>4</v>
      </c>
      <c r="B1832" s="4" t="s">
        <v>3127</v>
      </c>
      <c r="C1832" s="4" t="s">
        <v>3597</v>
      </c>
      <c r="D1832" s="4" t="s">
        <v>3660</v>
      </c>
      <c r="E1832" s="4" t="s">
        <v>5804</v>
      </c>
      <c r="F1832" t="s">
        <v>571</v>
      </c>
      <c r="G1832" t="s">
        <v>1344</v>
      </c>
      <c r="H1832" t="s">
        <v>21</v>
      </c>
      <c r="I1832">
        <v>8</v>
      </c>
      <c r="J1832" s="5">
        <v>3.6999999999999998E-2</v>
      </c>
      <c r="K1832" t="s">
        <v>85</v>
      </c>
      <c r="L1832" s="6">
        <v>43009</v>
      </c>
      <c r="M1832">
        <v>10</v>
      </c>
      <c r="N1832" s="7" t="s">
        <v>23</v>
      </c>
      <c r="O1832" t="s">
        <v>31</v>
      </c>
      <c r="P1832" t="s">
        <v>3712</v>
      </c>
      <c r="Q1832" t="s">
        <v>3670</v>
      </c>
      <c r="R1832" t="s">
        <v>3601</v>
      </c>
    </row>
    <row r="1833" spans="1:18" hidden="1">
      <c r="A1833">
        <v>4</v>
      </c>
      <c r="B1833" s="4" t="s">
        <v>3127</v>
      </c>
      <c r="C1833" s="4" t="s">
        <v>3597</v>
      </c>
      <c r="D1833" s="4" t="s">
        <v>3660</v>
      </c>
      <c r="E1833" s="4" t="s">
        <v>5804</v>
      </c>
      <c r="F1833" t="s">
        <v>571</v>
      </c>
      <c r="G1833" t="s">
        <v>1344</v>
      </c>
      <c r="H1833" t="s">
        <v>21</v>
      </c>
      <c r="I1833">
        <v>8</v>
      </c>
      <c r="J1833" s="5">
        <v>3.6999999999999998E-2</v>
      </c>
      <c r="K1833" t="s">
        <v>85</v>
      </c>
      <c r="L1833" s="6">
        <v>43009</v>
      </c>
      <c r="M1833">
        <v>10</v>
      </c>
      <c r="N1833" s="7" t="s">
        <v>23</v>
      </c>
      <c r="O1833" t="s">
        <v>31</v>
      </c>
      <c r="P1833" t="s">
        <v>3713</v>
      </c>
      <c r="Q1833" t="s">
        <v>3714</v>
      </c>
      <c r="R1833" t="s">
        <v>3604</v>
      </c>
    </row>
    <row r="1834" spans="1:18" hidden="1">
      <c r="A1834">
        <v>4</v>
      </c>
      <c r="B1834" s="4" t="s">
        <v>3127</v>
      </c>
      <c r="C1834" s="4" t="s">
        <v>3597</v>
      </c>
      <c r="D1834" s="4" t="s">
        <v>3660</v>
      </c>
      <c r="E1834" s="4" t="s">
        <v>5804</v>
      </c>
      <c r="F1834" t="s">
        <v>571</v>
      </c>
      <c r="G1834" t="s">
        <v>1344</v>
      </c>
      <c r="H1834" t="s">
        <v>21</v>
      </c>
      <c r="I1834">
        <v>8</v>
      </c>
      <c r="J1834" s="5">
        <v>3.6999999999999998E-2</v>
      </c>
      <c r="K1834" t="s">
        <v>87</v>
      </c>
      <c r="L1834" s="6">
        <v>43040</v>
      </c>
      <c r="M1834">
        <v>11</v>
      </c>
      <c r="N1834" s="7" t="s">
        <v>23</v>
      </c>
      <c r="O1834" t="s">
        <v>31</v>
      </c>
      <c r="P1834" t="s">
        <v>3718</v>
      </c>
      <c r="Q1834" t="s">
        <v>3600</v>
      </c>
      <c r="R1834" t="s">
        <v>3601</v>
      </c>
    </row>
    <row r="1835" spans="1:18" hidden="1">
      <c r="A1835">
        <v>4</v>
      </c>
      <c r="B1835" s="4" t="s">
        <v>3127</v>
      </c>
      <c r="C1835" s="4" t="s">
        <v>3597</v>
      </c>
      <c r="D1835" s="4" t="s">
        <v>3660</v>
      </c>
      <c r="E1835" s="4" t="s">
        <v>5804</v>
      </c>
      <c r="F1835" t="s">
        <v>571</v>
      </c>
      <c r="G1835" t="s">
        <v>1344</v>
      </c>
      <c r="H1835" t="s">
        <v>21</v>
      </c>
      <c r="I1835">
        <v>8</v>
      </c>
      <c r="J1835" s="5">
        <v>3.6999999999999998E-2</v>
      </c>
      <c r="K1835" t="s">
        <v>87</v>
      </c>
      <c r="L1835" s="6">
        <v>43040</v>
      </c>
      <c r="M1835">
        <v>11</v>
      </c>
      <c r="N1835" s="7" t="s">
        <v>23</v>
      </c>
      <c r="O1835" t="s">
        <v>31</v>
      </c>
      <c r="P1835" t="s">
        <v>3719</v>
      </c>
      <c r="Q1835" t="s">
        <v>3600</v>
      </c>
      <c r="R1835" t="s">
        <v>3601</v>
      </c>
    </row>
    <row r="1836" spans="1:18" hidden="1">
      <c r="A1836">
        <v>4</v>
      </c>
      <c r="B1836" s="4" t="s">
        <v>3127</v>
      </c>
      <c r="C1836" s="4" t="s">
        <v>3597</v>
      </c>
      <c r="D1836" s="4" t="s">
        <v>3660</v>
      </c>
      <c r="E1836" s="4" t="s">
        <v>5804</v>
      </c>
      <c r="F1836" t="s">
        <v>571</v>
      </c>
      <c r="G1836" t="s">
        <v>1344</v>
      </c>
      <c r="H1836" t="s">
        <v>21</v>
      </c>
      <c r="I1836">
        <v>8</v>
      </c>
      <c r="J1836" s="5">
        <v>3.6999999999999998E-2</v>
      </c>
      <c r="K1836" t="s">
        <v>797</v>
      </c>
      <c r="L1836" s="6">
        <v>43252</v>
      </c>
      <c r="M1836">
        <v>6</v>
      </c>
      <c r="N1836" s="7" t="s">
        <v>55</v>
      </c>
      <c r="O1836" t="s">
        <v>31</v>
      </c>
      <c r="P1836" t="s">
        <v>3723</v>
      </c>
      <c r="Q1836" t="s">
        <v>3600</v>
      </c>
      <c r="R1836" t="s">
        <v>3601</v>
      </c>
    </row>
    <row r="1837" spans="1:18" hidden="1">
      <c r="A1837">
        <v>4</v>
      </c>
      <c r="B1837" s="4" t="s">
        <v>3127</v>
      </c>
      <c r="C1837" s="4" t="s">
        <v>3597</v>
      </c>
      <c r="D1837" s="4" t="s">
        <v>3660</v>
      </c>
      <c r="E1837" s="4" t="s">
        <v>5804</v>
      </c>
      <c r="F1837" t="s">
        <v>571</v>
      </c>
      <c r="G1837" t="s">
        <v>1344</v>
      </c>
      <c r="H1837" t="s">
        <v>21</v>
      </c>
      <c r="I1837">
        <v>8</v>
      </c>
      <c r="J1837" s="5">
        <v>3.6999999999999998E-2</v>
      </c>
      <c r="K1837" t="s">
        <v>93</v>
      </c>
      <c r="L1837" s="6">
        <v>43282</v>
      </c>
      <c r="M1837">
        <v>7</v>
      </c>
      <c r="N1837" s="7" t="s">
        <v>55</v>
      </c>
      <c r="O1837" t="s">
        <v>31</v>
      </c>
      <c r="P1837" t="s">
        <v>3724</v>
      </c>
      <c r="Q1837" t="s">
        <v>3664</v>
      </c>
      <c r="R1837" t="s">
        <v>3601</v>
      </c>
    </row>
    <row r="1838" spans="1:18" hidden="1">
      <c r="A1838">
        <v>4</v>
      </c>
      <c r="B1838" s="4" t="s">
        <v>3127</v>
      </c>
      <c r="C1838" s="4" t="s">
        <v>3597</v>
      </c>
      <c r="D1838" s="4" t="s">
        <v>3660</v>
      </c>
      <c r="E1838" s="4" t="s">
        <v>5804</v>
      </c>
      <c r="F1838" t="s">
        <v>571</v>
      </c>
      <c r="G1838" t="s">
        <v>1344</v>
      </c>
      <c r="H1838" t="s">
        <v>21</v>
      </c>
      <c r="I1838">
        <v>8</v>
      </c>
      <c r="J1838" s="5">
        <v>3.6999999999999998E-2</v>
      </c>
      <c r="K1838" t="s">
        <v>146</v>
      </c>
      <c r="L1838" s="6">
        <v>43313</v>
      </c>
      <c r="M1838">
        <v>8</v>
      </c>
      <c r="N1838" s="7" t="s">
        <v>55</v>
      </c>
      <c r="O1838" t="s">
        <v>31</v>
      </c>
      <c r="P1838" t="s">
        <v>3726</v>
      </c>
      <c r="Q1838" t="s">
        <v>3600</v>
      </c>
      <c r="R1838" t="s">
        <v>3601</v>
      </c>
    </row>
    <row r="1839" spans="1:18" hidden="1">
      <c r="A1839">
        <v>4</v>
      </c>
      <c r="B1839" s="4" t="s">
        <v>3127</v>
      </c>
      <c r="C1839" s="4" t="s">
        <v>3597</v>
      </c>
      <c r="D1839" s="4" t="s">
        <v>3660</v>
      </c>
      <c r="E1839" s="4" t="s">
        <v>5804</v>
      </c>
      <c r="F1839" t="s">
        <v>571</v>
      </c>
      <c r="G1839" t="s">
        <v>1344</v>
      </c>
      <c r="H1839" t="s">
        <v>21</v>
      </c>
      <c r="I1839">
        <v>8</v>
      </c>
      <c r="J1839" s="5">
        <v>3.6999999999999998E-2</v>
      </c>
      <c r="K1839" t="s">
        <v>156</v>
      </c>
      <c r="L1839" s="6">
        <v>43405</v>
      </c>
      <c r="M1839">
        <v>11</v>
      </c>
      <c r="N1839" s="7" t="s">
        <v>23</v>
      </c>
      <c r="O1839" t="s">
        <v>31</v>
      </c>
      <c r="P1839" t="s">
        <v>3728</v>
      </c>
      <c r="Q1839" t="s">
        <v>3729</v>
      </c>
      <c r="R1839" t="s">
        <v>3604</v>
      </c>
    </row>
    <row r="1840" spans="1:18" hidden="1">
      <c r="A1840">
        <v>4</v>
      </c>
      <c r="B1840" s="4" t="s">
        <v>3127</v>
      </c>
      <c r="C1840" s="4" t="s">
        <v>3597</v>
      </c>
      <c r="D1840" s="4" t="s">
        <v>3660</v>
      </c>
      <c r="E1840" s="4" t="s">
        <v>5804</v>
      </c>
      <c r="F1840" t="s">
        <v>571</v>
      </c>
      <c r="G1840" t="s">
        <v>1344</v>
      </c>
      <c r="H1840" t="s">
        <v>21</v>
      </c>
      <c r="I1840">
        <v>8</v>
      </c>
      <c r="J1840" s="5">
        <v>3.6999999999999998E-2</v>
      </c>
      <c r="K1840" t="s">
        <v>43</v>
      </c>
      <c r="L1840" s="6">
        <v>43525</v>
      </c>
      <c r="M1840">
        <v>3</v>
      </c>
      <c r="N1840" s="7" t="s">
        <v>23</v>
      </c>
      <c r="O1840" t="s">
        <v>31</v>
      </c>
      <c r="P1840" t="s">
        <v>3731</v>
      </c>
      <c r="Q1840" t="s">
        <v>3732</v>
      </c>
      <c r="R1840" t="s">
        <v>3733</v>
      </c>
    </row>
    <row r="1841" spans="1:18" hidden="1">
      <c r="A1841">
        <v>4</v>
      </c>
      <c r="B1841" s="4" t="s">
        <v>3127</v>
      </c>
      <c r="C1841" s="4" t="s">
        <v>3597</v>
      </c>
      <c r="D1841" s="4" t="s">
        <v>3660</v>
      </c>
      <c r="E1841" s="4" t="s">
        <v>5804</v>
      </c>
      <c r="F1841" t="s">
        <v>571</v>
      </c>
      <c r="G1841" t="s">
        <v>1344</v>
      </c>
      <c r="H1841" t="s">
        <v>21</v>
      </c>
      <c r="I1841">
        <v>8</v>
      </c>
      <c r="J1841" s="5">
        <v>3.6999999999999998E-2</v>
      </c>
      <c r="K1841" t="s">
        <v>164</v>
      </c>
      <c r="L1841" s="6">
        <v>43617</v>
      </c>
      <c r="M1841">
        <v>6</v>
      </c>
      <c r="N1841" s="7" t="s">
        <v>55</v>
      </c>
      <c r="O1841" t="s">
        <v>31</v>
      </c>
      <c r="P1841" t="s">
        <v>3735</v>
      </c>
      <c r="Q1841" t="s">
        <v>3670</v>
      </c>
      <c r="R1841" t="s">
        <v>3601</v>
      </c>
    </row>
    <row r="1842" spans="1:18" hidden="1">
      <c r="A1842">
        <v>4</v>
      </c>
      <c r="B1842" s="4" t="s">
        <v>3127</v>
      </c>
      <c r="C1842" s="4" t="s">
        <v>3597</v>
      </c>
      <c r="D1842" s="4" t="s">
        <v>3660</v>
      </c>
      <c r="E1842" s="4" t="s">
        <v>5804</v>
      </c>
      <c r="F1842" t="s">
        <v>571</v>
      </c>
      <c r="G1842" t="s">
        <v>1344</v>
      </c>
      <c r="H1842" t="s">
        <v>21</v>
      </c>
      <c r="I1842">
        <v>8</v>
      </c>
      <c r="J1842" s="5">
        <v>3.6999999999999998E-2</v>
      </c>
      <c r="K1842" t="s">
        <v>304</v>
      </c>
      <c r="L1842" s="6">
        <v>43647</v>
      </c>
      <c r="M1842">
        <v>7</v>
      </c>
      <c r="N1842" s="7" t="s">
        <v>55</v>
      </c>
      <c r="O1842" t="s">
        <v>31</v>
      </c>
      <c r="P1842" t="s">
        <v>3736</v>
      </c>
      <c r="Q1842" t="s">
        <v>3737</v>
      </c>
      <c r="R1842" t="s">
        <v>3601</v>
      </c>
    </row>
    <row r="1843" spans="1:18" hidden="1">
      <c r="A1843">
        <v>4</v>
      </c>
      <c r="B1843" s="4" t="s">
        <v>3127</v>
      </c>
      <c r="C1843" s="4" t="s">
        <v>3597</v>
      </c>
      <c r="D1843" s="4" t="s">
        <v>3660</v>
      </c>
      <c r="E1843" s="4" t="s">
        <v>5804</v>
      </c>
      <c r="F1843" t="s">
        <v>571</v>
      </c>
      <c r="G1843" t="s">
        <v>1344</v>
      </c>
      <c r="H1843" t="s">
        <v>21</v>
      </c>
      <c r="I1843">
        <v>8</v>
      </c>
      <c r="J1843" s="5">
        <v>3.6999999999999998E-2</v>
      </c>
      <c r="K1843" t="s">
        <v>304</v>
      </c>
      <c r="L1843" s="6">
        <v>43647</v>
      </c>
      <c r="M1843">
        <v>7</v>
      </c>
      <c r="N1843" s="7" t="s">
        <v>55</v>
      </c>
      <c r="O1843" t="s">
        <v>31</v>
      </c>
      <c r="P1843" t="s">
        <v>3738</v>
      </c>
      <c r="Q1843" t="s">
        <v>3670</v>
      </c>
      <c r="R1843" t="s">
        <v>3601</v>
      </c>
    </row>
    <row r="1844" spans="1:18" hidden="1">
      <c r="A1844">
        <v>4</v>
      </c>
      <c r="B1844" s="4" t="s">
        <v>3127</v>
      </c>
      <c r="C1844" s="4" t="s">
        <v>3597</v>
      </c>
      <c r="D1844" s="4" t="s">
        <v>3660</v>
      </c>
      <c r="E1844" s="4" t="s">
        <v>5804</v>
      </c>
      <c r="F1844" t="s">
        <v>571</v>
      </c>
      <c r="G1844" t="s">
        <v>1344</v>
      </c>
      <c r="H1844" t="s">
        <v>21</v>
      </c>
      <c r="I1844">
        <v>8</v>
      </c>
      <c r="J1844" s="5">
        <v>3.6999999999999998E-2</v>
      </c>
      <c r="K1844" t="s">
        <v>168</v>
      </c>
      <c r="L1844" s="6">
        <v>43678</v>
      </c>
      <c r="M1844">
        <v>8</v>
      </c>
      <c r="N1844" s="7" t="s">
        <v>55</v>
      </c>
      <c r="O1844" t="s">
        <v>31</v>
      </c>
      <c r="P1844" t="s">
        <v>3739</v>
      </c>
      <c r="Q1844" t="s">
        <v>3670</v>
      </c>
      <c r="R1844" t="s">
        <v>3601</v>
      </c>
    </row>
    <row r="1845" spans="1:18" hidden="1">
      <c r="A1845">
        <v>4</v>
      </c>
      <c r="B1845" s="4" t="s">
        <v>3127</v>
      </c>
      <c r="C1845" s="4" t="s">
        <v>3597</v>
      </c>
      <c r="D1845" s="4" t="s">
        <v>3660</v>
      </c>
      <c r="E1845" s="4" t="s">
        <v>5804</v>
      </c>
      <c r="F1845" t="s">
        <v>571</v>
      </c>
      <c r="G1845" t="s">
        <v>1344</v>
      </c>
      <c r="H1845" t="s">
        <v>21</v>
      </c>
      <c r="I1845">
        <v>8</v>
      </c>
      <c r="J1845" s="5">
        <v>3.6999999999999998E-2</v>
      </c>
      <c r="K1845" t="s">
        <v>691</v>
      </c>
      <c r="L1845" s="6">
        <v>43770</v>
      </c>
      <c r="M1845">
        <v>11</v>
      </c>
      <c r="N1845" s="7" t="s">
        <v>23</v>
      </c>
      <c r="O1845" t="s">
        <v>31</v>
      </c>
      <c r="P1845" t="s">
        <v>3747</v>
      </c>
      <c r="Q1845" t="s">
        <v>3670</v>
      </c>
      <c r="R1845" t="s">
        <v>3601</v>
      </c>
    </row>
    <row r="1846" spans="1:18" hidden="1">
      <c r="A1846">
        <v>4</v>
      </c>
      <c r="B1846" s="4" t="s">
        <v>3127</v>
      </c>
      <c r="C1846" s="4" t="s">
        <v>3597</v>
      </c>
      <c r="D1846" s="4" t="s">
        <v>3660</v>
      </c>
      <c r="E1846" s="4" t="s">
        <v>5804</v>
      </c>
      <c r="F1846" t="s">
        <v>571</v>
      </c>
      <c r="G1846" t="s">
        <v>1344</v>
      </c>
      <c r="H1846" t="s">
        <v>21</v>
      </c>
      <c r="I1846">
        <v>8</v>
      </c>
      <c r="J1846" s="5">
        <v>3.6999999999999998E-2</v>
      </c>
      <c r="K1846" t="s">
        <v>691</v>
      </c>
      <c r="L1846" s="6">
        <v>43770</v>
      </c>
      <c r="M1846">
        <v>11</v>
      </c>
      <c r="N1846" s="7" t="s">
        <v>23</v>
      </c>
      <c r="O1846" t="s">
        <v>31</v>
      </c>
      <c r="P1846" t="s">
        <v>3748</v>
      </c>
      <c r="Q1846" t="s">
        <v>3670</v>
      </c>
      <c r="R1846" t="s">
        <v>3601</v>
      </c>
    </row>
    <row r="1847" spans="1:18" hidden="1">
      <c r="A1847">
        <v>4</v>
      </c>
      <c r="B1847" s="4" t="s">
        <v>3127</v>
      </c>
      <c r="C1847" s="4" t="s">
        <v>3597</v>
      </c>
      <c r="D1847" s="4" t="s">
        <v>3660</v>
      </c>
      <c r="E1847" s="4" t="s">
        <v>5804</v>
      </c>
      <c r="F1847" t="s">
        <v>571</v>
      </c>
      <c r="G1847" t="s">
        <v>1344</v>
      </c>
      <c r="H1847" t="s">
        <v>21</v>
      </c>
      <c r="I1847">
        <v>8</v>
      </c>
      <c r="J1847" s="5">
        <v>3.6999999999999998E-2</v>
      </c>
      <c r="K1847" t="s">
        <v>1085</v>
      </c>
      <c r="L1847" s="6">
        <v>43862</v>
      </c>
      <c r="M1847">
        <v>2</v>
      </c>
      <c r="N1847" s="7" t="s">
        <v>30</v>
      </c>
      <c r="O1847" t="s">
        <v>31</v>
      </c>
      <c r="P1847" t="s">
        <v>3751</v>
      </c>
      <c r="Q1847" t="s">
        <v>3670</v>
      </c>
      <c r="R1847" t="s">
        <v>3601</v>
      </c>
    </row>
    <row r="1848" spans="1:18" hidden="1">
      <c r="A1848">
        <v>4</v>
      </c>
      <c r="B1848" s="4" t="s">
        <v>3127</v>
      </c>
      <c r="C1848" s="4" t="s">
        <v>3597</v>
      </c>
      <c r="D1848" s="4" t="s">
        <v>3660</v>
      </c>
      <c r="E1848" s="4" t="s">
        <v>5804</v>
      </c>
      <c r="F1848" t="s">
        <v>571</v>
      </c>
      <c r="G1848" t="s">
        <v>1344</v>
      </c>
      <c r="H1848" t="s">
        <v>21</v>
      </c>
      <c r="I1848">
        <v>8</v>
      </c>
      <c r="J1848" s="5">
        <v>3.6999999999999998E-2</v>
      </c>
      <c r="K1848" t="s">
        <v>251</v>
      </c>
      <c r="L1848" s="6">
        <v>43952</v>
      </c>
      <c r="M1848">
        <v>5</v>
      </c>
      <c r="N1848" s="7" t="s">
        <v>23</v>
      </c>
      <c r="O1848" t="s">
        <v>31</v>
      </c>
      <c r="P1848" t="s">
        <v>3753</v>
      </c>
      <c r="Q1848" t="s">
        <v>3737</v>
      </c>
      <c r="R1848" t="s">
        <v>3601</v>
      </c>
    </row>
    <row r="1849" spans="1:18" hidden="1">
      <c r="A1849">
        <v>4</v>
      </c>
      <c r="B1849" s="4" t="s">
        <v>3127</v>
      </c>
      <c r="C1849" s="4" t="s">
        <v>3597</v>
      </c>
      <c r="D1849" s="4" t="s">
        <v>3660</v>
      </c>
      <c r="E1849" s="4" t="s">
        <v>5804</v>
      </c>
      <c r="F1849" t="s">
        <v>571</v>
      </c>
      <c r="G1849" t="s">
        <v>1344</v>
      </c>
      <c r="H1849" t="s">
        <v>21</v>
      </c>
      <c r="I1849">
        <v>8</v>
      </c>
      <c r="J1849" s="5">
        <v>3.6999999999999998E-2</v>
      </c>
      <c r="K1849" t="s">
        <v>251</v>
      </c>
      <c r="L1849" s="6">
        <v>43952</v>
      </c>
      <c r="M1849">
        <v>5</v>
      </c>
      <c r="N1849" s="7" t="s">
        <v>23</v>
      </c>
      <c r="O1849" t="s">
        <v>31</v>
      </c>
      <c r="P1849" t="s">
        <v>3754</v>
      </c>
      <c r="Q1849" t="s">
        <v>3670</v>
      </c>
      <c r="R1849" t="s">
        <v>3601</v>
      </c>
    </row>
    <row r="1850" spans="1:18" hidden="1">
      <c r="A1850">
        <v>4</v>
      </c>
      <c r="B1850" s="4" t="s">
        <v>3127</v>
      </c>
      <c r="C1850" s="4" t="s">
        <v>3597</v>
      </c>
      <c r="D1850" s="4" t="s">
        <v>3660</v>
      </c>
      <c r="E1850" s="4" t="s">
        <v>5804</v>
      </c>
      <c r="F1850" t="s">
        <v>571</v>
      </c>
      <c r="G1850" t="s">
        <v>1344</v>
      </c>
      <c r="H1850" t="s">
        <v>21</v>
      </c>
      <c r="I1850">
        <v>8</v>
      </c>
      <c r="J1850" s="5">
        <v>3.6999999999999998E-2</v>
      </c>
      <c r="K1850" t="s">
        <v>251</v>
      </c>
      <c r="L1850" s="6">
        <v>43952</v>
      </c>
      <c r="M1850">
        <v>5</v>
      </c>
      <c r="N1850" s="7" t="s">
        <v>23</v>
      </c>
      <c r="O1850" t="s">
        <v>31</v>
      </c>
      <c r="P1850" t="s">
        <v>3755</v>
      </c>
      <c r="Q1850" t="s">
        <v>3670</v>
      </c>
      <c r="R1850" t="s">
        <v>3601</v>
      </c>
    </row>
    <row r="1851" spans="1:18" hidden="1">
      <c r="A1851">
        <v>4</v>
      </c>
      <c r="B1851" s="4" t="s">
        <v>3127</v>
      </c>
      <c r="C1851" s="4" t="s">
        <v>3597</v>
      </c>
      <c r="D1851" s="4" t="s">
        <v>3660</v>
      </c>
      <c r="E1851" s="4" t="s">
        <v>5804</v>
      </c>
      <c r="F1851" t="s">
        <v>571</v>
      </c>
      <c r="G1851" t="s">
        <v>1344</v>
      </c>
      <c r="H1851" t="s">
        <v>21</v>
      </c>
      <c r="I1851">
        <v>8</v>
      </c>
      <c r="J1851" s="5">
        <v>3.6999999999999998E-2</v>
      </c>
      <c r="K1851" t="s">
        <v>251</v>
      </c>
      <c r="L1851" s="6">
        <v>43952</v>
      </c>
      <c r="M1851">
        <v>5</v>
      </c>
      <c r="N1851" s="7" t="s">
        <v>23</v>
      </c>
      <c r="O1851" t="s">
        <v>31</v>
      </c>
      <c r="P1851" t="s">
        <v>3756</v>
      </c>
      <c r="Q1851" t="s">
        <v>3673</v>
      </c>
      <c r="R1851" t="s">
        <v>3607</v>
      </c>
    </row>
    <row r="1852" spans="1:18" hidden="1">
      <c r="A1852">
        <v>4</v>
      </c>
      <c r="B1852" s="4" t="s">
        <v>3127</v>
      </c>
      <c r="C1852" s="4" t="s">
        <v>3597</v>
      </c>
      <c r="D1852" s="4" t="s">
        <v>3660</v>
      </c>
      <c r="E1852" s="4" t="s">
        <v>5804</v>
      </c>
      <c r="F1852" t="s">
        <v>571</v>
      </c>
      <c r="G1852" t="s">
        <v>1344</v>
      </c>
      <c r="H1852" t="s">
        <v>21</v>
      </c>
      <c r="I1852">
        <v>8</v>
      </c>
      <c r="J1852" s="5">
        <v>3.6999999999999998E-2</v>
      </c>
      <c r="K1852" t="s">
        <v>267</v>
      </c>
      <c r="L1852" s="6">
        <v>44044</v>
      </c>
      <c r="M1852">
        <v>8</v>
      </c>
      <c r="N1852" s="7" t="s">
        <v>55</v>
      </c>
      <c r="O1852" t="s">
        <v>31</v>
      </c>
      <c r="P1852" t="s">
        <v>3760</v>
      </c>
      <c r="Q1852" t="s">
        <v>3761</v>
      </c>
      <c r="R1852" t="s">
        <v>3762</v>
      </c>
    </row>
    <row r="1853" spans="1:18" hidden="1">
      <c r="A1853">
        <v>4</v>
      </c>
      <c r="B1853" s="4" t="s">
        <v>3127</v>
      </c>
      <c r="C1853" s="4" t="s">
        <v>3597</v>
      </c>
      <c r="D1853" s="4" t="s">
        <v>3660</v>
      </c>
      <c r="E1853" s="4" t="s">
        <v>5804</v>
      </c>
      <c r="F1853" t="s">
        <v>571</v>
      </c>
      <c r="G1853" t="s">
        <v>1344</v>
      </c>
      <c r="H1853" t="s">
        <v>21</v>
      </c>
      <c r="I1853">
        <v>8</v>
      </c>
      <c r="J1853" s="5">
        <v>3.6999999999999998E-2</v>
      </c>
      <c r="K1853" t="s">
        <v>547</v>
      </c>
      <c r="L1853" s="6">
        <v>44075</v>
      </c>
      <c r="M1853">
        <v>9</v>
      </c>
      <c r="N1853" s="7" t="s">
        <v>23</v>
      </c>
      <c r="O1853" t="s">
        <v>31</v>
      </c>
      <c r="P1853" t="s">
        <v>3764</v>
      </c>
      <c r="Q1853" t="s">
        <v>3714</v>
      </c>
      <c r="R1853" t="s">
        <v>3604</v>
      </c>
    </row>
    <row r="1854" spans="1:18" hidden="1">
      <c r="A1854">
        <v>4</v>
      </c>
      <c r="B1854" s="4" t="s">
        <v>3127</v>
      </c>
      <c r="C1854" s="4" t="s">
        <v>3597</v>
      </c>
      <c r="D1854" s="4" t="s">
        <v>3660</v>
      </c>
      <c r="E1854" s="4" t="s">
        <v>5804</v>
      </c>
      <c r="F1854" t="s">
        <v>571</v>
      </c>
      <c r="G1854" t="s">
        <v>1344</v>
      </c>
      <c r="H1854" t="s">
        <v>21</v>
      </c>
      <c r="I1854">
        <v>8</v>
      </c>
      <c r="J1854" s="5">
        <v>3.6999999999999998E-2</v>
      </c>
      <c r="K1854" t="s">
        <v>749</v>
      </c>
      <c r="L1854" s="6">
        <v>44136</v>
      </c>
      <c r="M1854">
        <v>11</v>
      </c>
      <c r="N1854" s="7" t="s">
        <v>23</v>
      </c>
      <c r="O1854" t="s">
        <v>31</v>
      </c>
      <c r="P1854" t="s">
        <v>3766</v>
      </c>
      <c r="Q1854" t="s">
        <v>3670</v>
      </c>
      <c r="R1854" t="s">
        <v>3601</v>
      </c>
    </row>
    <row r="1855" spans="1:18" hidden="1">
      <c r="A1855">
        <v>4</v>
      </c>
      <c r="B1855" s="4" t="s">
        <v>3127</v>
      </c>
      <c r="C1855" s="4" t="s">
        <v>3597</v>
      </c>
      <c r="D1855" s="4" t="s">
        <v>3660</v>
      </c>
      <c r="E1855" s="4" t="s">
        <v>5804</v>
      </c>
      <c r="F1855" t="s">
        <v>571</v>
      </c>
      <c r="G1855" t="s">
        <v>1344</v>
      </c>
      <c r="H1855" t="s">
        <v>21</v>
      </c>
      <c r="I1855">
        <v>8</v>
      </c>
      <c r="J1855" s="5">
        <v>3.6999999999999998E-2</v>
      </c>
      <c r="K1855" t="s">
        <v>749</v>
      </c>
      <c r="L1855" s="6">
        <v>44136</v>
      </c>
      <c r="M1855">
        <v>11</v>
      </c>
      <c r="N1855" s="7" t="s">
        <v>23</v>
      </c>
      <c r="O1855" t="s">
        <v>31</v>
      </c>
      <c r="P1855" t="s">
        <v>3767</v>
      </c>
      <c r="Q1855" t="s">
        <v>3714</v>
      </c>
      <c r="R1855" t="s">
        <v>3604</v>
      </c>
    </row>
    <row r="1856" spans="1:18" hidden="1">
      <c r="A1856">
        <v>4</v>
      </c>
      <c r="B1856" s="4" t="s">
        <v>3127</v>
      </c>
      <c r="C1856" s="4" t="s">
        <v>3597</v>
      </c>
      <c r="D1856" s="4" t="s">
        <v>3660</v>
      </c>
      <c r="E1856" s="4" t="s">
        <v>5804</v>
      </c>
      <c r="F1856" t="s">
        <v>571</v>
      </c>
      <c r="G1856" t="s">
        <v>1344</v>
      </c>
      <c r="H1856" t="s">
        <v>21</v>
      </c>
      <c r="I1856">
        <v>8</v>
      </c>
      <c r="J1856" s="5">
        <v>3.6999999999999998E-2</v>
      </c>
      <c r="K1856" t="s">
        <v>749</v>
      </c>
      <c r="L1856" s="6">
        <v>44136</v>
      </c>
      <c r="M1856">
        <v>11</v>
      </c>
      <c r="N1856" s="7" t="s">
        <v>23</v>
      </c>
      <c r="O1856" t="s">
        <v>31</v>
      </c>
      <c r="P1856" t="s">
        <v>3768</v>
      </c>
      <c r="Q1856" t="s">
        <v>3664</v>
      </c>
      <c r="R1856" t="s">
        <v>3601</v>
      </c>
    </row>
    <row r="1857" spans="1:18" hidden="1">
      <c r="A1857">
        <v>4</v>
      </c>
      <c r="B1857" s="4" t="s">
        <v>3127</v>
      </c>
      <c r="C1857" s="4" t="s">
        <v>3597</v>
      </c>
      <c r="D1857" s="4" t="s">
        <v>3660</v>
      </c>
      <c r="E1857" s="4" t="s">
        <v>5804</v>
      </c>
      <c r="F1857" t="s">
        <v>571</v>
      </c>
      <c r="G1857" t="s">
        <v>1344</v>
      </c>
      <c r="H1857" t="s">
        <v>21</v>
      </c>
      <c r="I1857">
        <v>8</v>
      </c>
      <c r="J1857" s="5">
        <v>3.6999999999999998E-2</v>
      </c>
      <c r="K1857" t="s">
        <v>175</v>
      </c>
      <c r="L1857" s="6">
        <v>44166</v>
      </c>
      <c r="M1857">
        <v>12</v>
      </c>
      <c r="N1857" s="7" t="s">
        <v>30</v>
      </c>
      <c r="O1857" t="s">
        <v>31</v>
      </c>
      <c r="P1857" t="s">
        <v>3770</v>
      </c>
      <c r="Q1857" t="s">
        <v>3673</v>
      </c>
      <c r="R1857" t="s">
        <v>3607</v>
      </c>
    </row>
    <row r="1858" spans="1:18" hidden="1">
      <c r="A1858">
        <v>4</v>
      </c>
      <c r="B1858" s="4" t="s">
        <v>3127</v>
      </c>
      <c r="C1858" s="4" t="s">
        <v>3597</v>
      </c>
      <c r="D1858" s="4" t="s">
        <v>3660</v>
      </c>
      <c r="E1858" s="4" t="s">
        <v>5804</v>
      </c>
      <c r="F1858" t="s">
        <v>571</v>
      </c>
      <c r="G1858" t="s">
        <v>1344</v>
      </c>
      <c r="H1858" t="s">
        <v>21</v>
      </c>
      <c r="I1858">
        <v>8</v>
      </c>
      <c r="J1858" s="5">
        <v>3.6999999999999998E-2</v>
      </c>
      <c r="K1858" t="s">
        <v>175</v>
      </c>
      <c r="L1858" s="6">
        <v>44166</v>
      </c>
      <c r="M1858">
        <v>12</v>
      </c>
      <c r="N1858" s="7" t="s">
        <v>30</v>
      </c>
      <c r="O1858" t="s">
        <v>31</v>
      </c>
      <c r="P1858" t="s">
        <v>3771</v>
      </c>
      <c r="Q1858" t="s">
        <v>3772</v>
      </c>
      <c r="R1858" t="s">
        <v>3733</v>
      </c>
    </row>
    <row r="1859" spans="1:18" hidden="1">
      <c r="A1859">
        <v>4</v>
      </c>
      <c r="B1859" s="4" t="s">
        <v>3127</v>
      </c>
      <c r="C1859" s="4" t="s">
        <v>3597</v>
      </c>
      <c r="D1859" s="4" t="s">
        <v>3660</v>
      </c>
      <c r="E1859" s="4" t="s">
        <v>5804</v>
      </c>
      <c r="F1859" t="s">
        <v>571</v>
      </c>
      <c r="G1859" t="s">
        <v>1344</v>
      </c>
      <c r="H1859" t="s">
        <v>21</v>
      </c>
      <c r="I1859">
        <v>8</v>
      </c>
      <c r="J1859" s="5">
        <v>3.6999999999999998E-2</v>
      </c>
      <c r="K1859" t="s">
        <v>311</v>
      </c>
      <c r="L1859" s="6">
        <v>44256</v>
      </c>
      <c r="M1859">
        <v>3</v>
      </c>
      <c r="N1859" s="7" t="s">
        <v>23</v>
      </c>
      <c r="O1859" t="s">
        <v>31</v>
      </c>
      <c r="P1859" t="s">
        <v>3774</v>
      </c>
      <c r="Q1859" t="s">
        <v>3775</v>
      </c>
      <c r="R1859" t="s">
        <v>3776</v>
      </c>
    </row>
    <row r="1860" spans="1:18" hidden="1">
      <c r="A1860">
        <v>4</v>
      </c>
      <c r="B1860" s="4" t="s">
        <v>3127</v>
      </c>
      <c r="C1860" s="4" t="s">
        <v>3597</v>
      </c>
      <c r="D1860" s="4" t="s">
        <v>3660</v>
      </c>
      <c r="E1860" s="4" t="s">
        <v>5804</v>
      </c>
      <c r="F1860" t="s">
        <v>571</v>
      </c>
      <c r="G1860" t="s">
        <v>1344</v>
      </c>
      <c r="H1860" t="s">
        <v>21</v>
      </c>
      <c r="I1860">
        <v>8</v>
      </c>
      <c r="J1860" s="5">
        <v>3.6999999999999998E-2</v>
      </c>
      <c r="K1860" t="s">
        <v>311</v>
      </c>
      <c r="L1860" s="6">
        <v>44256</v>
      </c>
      <c r="M1860">
        <v>3</v>
      </c>
      <c r="N1860" s="7" t="s">
        <v>23</v>
      </c>
      <c r="O1860" t="s">
        <v>31</v>
      </c>
      <c r="P1860" t="s">
        <v>3777</v>
      </c>
      <c r="Q1860" t="s">
        <v>3670</v>
      </c>
      <c r="R1860" t="s">
        <v>3601</v>
      </c>
    </row>
    <row r="1861" spans="1:18" hidden="1">
      <c r="A1861">
        <v>4</v>
      </c>
      <c r="B1861" s="4" t="s">
        <v>3127</v>
      </c>
      <c r="C1861" s="4" t="s">
        <v>3597</v>
      </c>
      <c r="D1861" s="4" t="s">
        <v>3660</v>
      </c>
      <c r="E1861" s="4" t="s">
        <v>5804</v>
      </c>
      <c r="F1861" t="s">
        <v>571</v>
      </c>
      <c r="G1861" t="s">
        <v>1344</v>
      </c>
      <c r="H1861" t="s">
        <v>21</v>
      </c>
      <c r="I1861">
        <v>8</v>
      </c>
      <c r="J1861" s="5">
        <v>3.6999999999999998E-2</v>
      </c>
      <c r="K1861" t="s">
        <v>645</v>
      </c>
      <c r="L1861" s="6">
        <v>44440</v>
      </c>
      <c r="M1861">
        <v>9</v>
      </c>
      <c r="N1861" s="7" t="s">
        <v>23</v>
      </c>
      <c r="O1861" t="s">
        <v>31</v>
      </c>
      <c r="P1861" t="s">
        <v>3785</v>
      </c>
      <c r="Q1861" t="s">
        <v>3786</v>
      </c>
      <c r="R1861" t="s">
        <v>3604</v>
      </c>
    </row>
    <row r="1862" spans="1:18" hidden="1">
      <c r="A1862">
        <v>4</v>
      </c>
      <c r="B1862" s="4" t="s">
        <v>3127</v>
      </c>
      <c r="C1862" s="4" t="s">
        <v>3597</v>
      </c>
      <c r="D1862" s="4" t="s">
        <v>3660</v>
      </c>
      <c r="E1862" s="4" t="s">
        <v>5804</v>
      </c>
      <c r="F1862" t="s">
        <v>571</v>
      </c>
      <c r="G1862" t="s">
        <v>1344</v>
      </c>
      <c r="H1862" t="s">
        <v>21</v>
      </c>
      <c r="I1862">
        <v>8</v>
      </c>
      <c r="J1862" s="5">
        <v>3.6999999999999998E-2</v>
      </c>
      <c r="K1862" t="s">
        <v>645</v>
      </c>
      <c r="L1862" s="6">
        <v>44440</v>
      </c>
      <c r="M1862">
        <v>9</v>
      </c>
      <c r="N1862" s="7" t="s">
        <v>23</v>
      </c>
      <c r="O1862" t="s">
        <v>31</v>
      </c>
      <c r="P1862" t="s">
        <v>3787</v>
      </c>
      <c r="Q1862" t="s">
        <v>3775</v>
      </c>
      <c r="R1862" t="s">
        <v>3776</v>
      </c>
    </row>
    <row r="1863" spans="1:18" hidden="1">
      <c r="A1863">
        <v>4</v>
      </c>
      <c r="B1863" s="4" t="s">
        <v>3127</v>
      </c>
      <c r="C1863" s="4" t="s">
        <v>3597</v>
      </c>
      <c r="D1863" s="4" t="s">
        <v>3660</v>
      </c>
      <c r="E1863" s="4" t="s">
        <v>5804</v>
      </c>
      <c r="F1863" t="s">
        <v>571</v>
      </c>
      <c r="G1863" t="s">
        <v>1344</v>
      </c>
      <c r="H1863" t="s">
        <v>21</v>
      </c>
      <c r="I1863">
        <v>8</v>
      </c>
      <c r="J1863" s="5">
        <v>3.6999999999999998E-2</v>
      </c>
      <c r="K1863" t="s">
        <v>182</v>
      </c>
      <c r="L1863" s="6">
        <v>44501</v>
      </c>
      <c r="M1863">
        <v>11</v>
      </c>
      <c r="N1863" s="7" t="s">
        <v>23</v>
      </c>
      <c r="O1863" t="s">
        <v>31</v>
      </c>
      <c r="P1863" t="s">
        <v>3788</v>
      </c>
      <c r="Q1863" t="s">
        <v>3664</v>
      </c>
      <c r="R1863" t="s">
        <v>3601</v>
      </c>
    </row>
    <row r="1864" spans="1:18" hidden="1">
      <c r="A1864">
        <v>4</v>
      </c>
      <c r="B1864" s="4" t="s">
        <v>3127</v>
      </c>
      <c r="C1864" s="4" t="s">
        <v>3939</v>
      </c>
      <c r="D1864" s="4" t="s">
        <v>3940</v>
      </c>
      <c r="E1864" s="4" t="s">
        <v>5804</v>
      </c>
      <c r="F1864" t="s">
        <v>571</v>
      </c>
      <c r="G1864" t="s">
        <v>571</v>
      </c>
      <c r="H1864" t="s">
        <v>21</v>
      </c>
      <c r="I1864">
        <v>4</v>
      </c>
      <c r="J1864" s="5">
        <v>6.9000000000000006E-2</v>
      </c>
      <c r="K1864" t="s">
        <v>128</v>
      </c>
      <c r="L1864" s="6">
        <v>42795</v>
      </c>
      <c r="M1864">
        <v>3</v>
      </c>
      <c r="N1864" s="7" t="s">
        <v>23</v>
      </c>
      <c r="O1864" t="s">
        <v>24</v>
      </c>
      <c r="P1864" t="s">
        <v>3947</v>
      </c>
      <c r="Q1864" t="s">
        <v>3948</v>
      </c>
      <c r="R1864" t="s">
        <v>3949</v>
      </c>
    </row>
    <row r="1865" spans="1:18" hidden="1">
      <c r="A1865">
        <v>4</v>
      </c>
      <c r="B1865" s="4" t="s">
        <v>3127</v>
      </c>
      <c r="C1865" s="4" t="s">
        <v>3939</v>
      </c>
      <c r="D1865" s="4" t="s">
        <v>3958</v>
      </c>
      <c r="E1865" s="4" t="s">
        <v>5804</v>
      </c>
      <c r="F1865" t="s">
        <v>571</v>
      </c>
      <c r="G1865" t="s">
        <v>571</v>
      </c>
      <c r="H1865" t="s">
        <v>21</v>
      </c>
      <c r="I1865">
        <v>4</v>
      </c>
      <c r="J1865" s="5">
        <v>6.9000000000000006E-2</v>
      </c>
      <c r="K1865" t="s">
        <v>218</v>
      </c>
      <c r="L1865" s="6">
        <v>42614</v>
      </c>
      <c r="M1865">
        <v>9</v>
      </c>
      <c r="N1865" s="7" t="s">
        <v>23</v>
      </c>
      <c r="O1865" t="s">
        <v>31</v>
      </c>
      <c r="P1865" t="s">
        <v>3959</v>
      </c>
      <c r="Q1865" t="s">
        <v>3960</v>
      </c>
      <c r="R1865" t="s">
        <v>3961</v>
      </c>
    </row>
    <row r="1866" spans="1:18" hidden="1">
      <c r="A1866">
        <v>4</v>
      </c>
      <c r="B1866" s="4" t="s">
        <v>3127</v>
      </c>
      <c r="C1866" s="4" t="s">
        <v>3939</v>
      </c>
      <c r="D1866" s="4" t="s">
        <v>3958</v>
      </c>
      <c r="E1866" s="4" t="s">
        <v>5804</v>
      </c>
      <c r="F1866" t="s">
        <v>571</v>
      </c>
      <c r="G1866" t="s">
        <v>1344</v>
      </c>
      <c r="H1866" t="s">
        <v>21</v>
      </c>
      <c r="I1866">
        <v>8</v>
      </c>
      <c r="J1866" s="5">
        <v>3.6999999999999998E-2</v>
      </c>
      <c r="K1866" t="s">
        <v>168</v>
      </c>
      <c r="L1866" s="6">
        <v>43678</v>
      </c>
      <c r="M1866">
        <v>8</v>
      </c>
      <c r="N1866" s="7" t="s">
        <v>55</v>
      </c>
      <c r="O1866" t="s">
        <v>31</v>
      </c>
      <c r="P1866" t="s">
        <v>4000</v>
      </c>
      <c r="Q1866" t="s">
        <v>4001</v>
      </c>
      <c r="R1866" t="s">
        <v>3601</v>
      </c>
    </row>
    <row r="1867" spans="1:18" hidden="1">
      <c r="A1867">
        <v>4</v>
      </c>
      <c r="B1867" s="4" t="s">
        <v>3127</v>
      </c>
      <c r="C1867" s="4" t="s">
        <v>3939</v>
      </c>
      <c r="D1867" s="4" t="s">
        <v>3958</v>
      </c>
      <c r="E1867" s="4" t="s">
        <v>5804</v>
      </c>
      <c r="F1867" t="s">
        <v>571</v>
      </c>
      <c r="G1867" t="s">
        <v>1344</v>
      </c>
      <c r="H1867" t="s">
        <v>21</v>
      </c>
      <c r="I1867">
        <v>8</v>
      </c>
      <c r="J1867" s="5">
        <v>3.6999999999999998E-2</v>
      </c>
      <c r="K1867" t="s">
        <v>749</v>
      </c>
      <c r="L1867" s="6">
        <v>44136</v>
      </c>
      <c r="M1867">
        <v>11</v>
      </c>
      <c r="N1867" s="7" t="s">
        <v>23</v>
      </c>
      <c r="O1867" t="s">
        <v>31</v>
      </c>
      <c r="P1867" t="s">
        <v>4013</v>
      </c>
      <c r="Q1867" t="s">
        <v>4014</v>
      </c>
      <c r="R1867" t="s">
        <v>4015</v>
      </c>
    </row>
    <row r="1868" spans="1:18" hidden="1">
      <c r="A1868">
        <v>4</v>
      </c>
      <c r="B1868" s="4" t="s">
        <v>3127</v>
      </c>
      <c r="C1868" s="4" t="s">
        <v>3939</v>
      </c>
      <c r="D1868" s="4" t="s">
        <v>3958</v>
      </c>
      <c r="E1868" s="4" t="s">
        <v>5804</v>
      </c>
      <c r="F1868" t="s">
        <v>571</v>
      </c>
      <c r="G1868" t="s">
        <v>1344</v>
      </c>
      <c r="H1868" t="s">
        <v>21</v>
      </c>
      <c r="I1868">
        <v>8</v>
      </c>
      <c r="J1868" s="5">
        <v>3.6999999999999998E-2</v>
      </c>
      <c r="K1868" t="s">
        <v>311</v>
      </c>
      <c r="L1868" s="6">
        <v>44256</v>
      </c>
      <c r="M1868">
        <v>3</v>
      </c>
      <c r="N1868" s="7" t="s">
        <v>23</v>
      </c>
      <c r="O1868" t="s">
        <v>31</v>
      </c>
      <c r="P1868" t="s">
        <v>4028</v>
      </c>
      <c r="Q1868" t="s">
        <v>4029</v>
      </c>
      <c r="R1868" t="s">
        <v>3601</v>
      </c>
    </row>
    <row r="1869" spans="1:18" hidden="1">
      <c r="A1869">
        <v>4</v>
      </c>
      <c r="B1869" s="4" t="s">
        <v>3127</v>
      </c>
      <c r="C1869" s="4" t="s">
        <v>4035</v>
      </c>
      <c r="D1869" s="4" t="s">
        <v>4080</v>
      </c>
      <c r="E1869" s="4" t="s">
        <v>5804</v>
      </c>
      <c r="F1869" t="s">
        <v>571</v>
      </c>
      <c r="G1869" t="s">
        <v>571</v>
      </c>
      <c r="H1869" t="s">
        <v>21</v>
      </c>
      <c r="I1869">
        <v>4</v>
      </c>
      <c r="J1869" s="5">
        <v>6.9000000000000006E-2</v>
      </c>
      <c r="K1869" t="s">
        <v>218</v>
      </c>
      <c r="L1869" s="6">
        <v>42614</v>
      </c>
      <c r="M1869">
        <v>9</v>
      </c>
      <c r="N1869" s="7" t="s">
        <v>23</v>
      </c>
      <c r="O1869" t="s">
        <v>31</v>
      </c>
      <c r="P1869" t="s">
        <v>4100</v>
      </c>
      <c r="Q1869" t="s">
        <v>1935</v>
      </c>
      <c r="R1869" t="s">
        <v>4101</v>
      </c>
    </row>
    <row r="1870" spans="1:18" hidden="1">
      <c r="A1870">
        <v>4</v>
      </c>
      <c r="B1870" s="4" t="s">
        <v>3127</v>
      </c>
      <c r="C1870" s="4" t="s">
        <v>4035</v>
      </c>
      <c r="D1870" s="4" t="s">
        <v>4080</v>
      </c>
      <c r="E1870" s="4" t="s">
        <v>5804</v>
      </c>
      <c r="F1870" t="s">
        <v>571</v>
      </c>
      <c r="G1870" t="s">
        <v>571</v>
      </c>
      <c r="H1870" t="s">
        <v>21</v>
      </c>
      <c r="I1870">
        <v>4</v>
      </c>
      <c r="J1870" s="5">
        <v>6.9000000000000006E-2</v>
      </c>
      <c r="K1870" t="s">
        <v>83</v>
      </c>
      <c r="L1870" s="6">
        <v>42948</v>
      </c>
      <c r="M1870">
        <v>8</v>
      </c>
      <c r="N1870" s="7" t="s">
        <v>55</v>
      </c>
      <c r="O1870" t="s">
        <v>31</v>
      </c>
      <c r="P1870" t="s">
        <v>4116</v>
      </c>
      <c r="Q1870" t="s">
        <v>4117</v>
      </c>
      <c r="R1870" t="s">
        <v>4088</v>
      </c>
    </row>
    <row r="1871" spans="1:18" hidden="1">
      <c r="A1871">
        <v>4</v>
      </c>
      <c r="B1871" s="4" t="s">
        <v>3127</v>
      </c>
      <c r="C1871" s="4" t="s">
        <v>4035</v>
      </c>
      <c r="D1871" s="4" t="s">
        <v>4080</v>
      </c>
      <c r="E1871" s="4" t="s">
        <v>5804</v>
      </c>
      <c r="F1871" t="s">
        <v>571</v>
      </c>
      <c r="G1871" t="s">
        <v>1344</v>
      </c>
      <c r="H1871" t="s">
        <v>21</v>
      </c>
      <c r="I1871">
        <v>8</v>
      </c>
      <c r="J1871" s="5">
        <v>3.6999999999999998E-2</v>
      </c>
      <c r="K1871" t="s">
        <v>547</v>
      </c>
      <c r="L1871" s="6">
        <v>44075</v>
      </c>
      <c r="M1871">
        <v>9</v>
      </c>
      <c r="N1871" s="7" t="s">
        <v>23</v>
      </c>
      <c r="O1871" t="s">
        <v>31</v>
      </c>
      <c r="P1871" t="s">
        <v>4183</v>
      </c>
      <c r="Q1871" t="s">
        <v>4184</v>
      </c>
      <c r="R1871" t="s">
        <v>4185</v>
      </c>
    </row>
    <row r="1872" spans="1:18" hidden="1">
      <c r="A1872">
        <v>4</v>
      </c>
      <c r="B1872" s="4" t="s">
        <v>3127</v>
      </c>
      <c r="C1872" s="4" t="s">
        <v>4035</v>
      </c>
      <c r="D1872" s="4" t="s">
        <v>4080</v>
      </c>
      <c r="E1872" s="4" t="s">
        <v>5804</v>
      </c>
      <c r="F1872" t="s">
        <v>571</v>
      </c>
      <c r="G1872" t="s">
        <v>571</v>
      </c>
      <c r="H1872" t="s">
        <v>21</v>
      </c>
      <c r="I1872">
        <v>4</v>
      </c>
      <c r="J1872" s="5">
        <v>6.9000000000000006E-2</v>
      </c>
      <c r="K1872" t="s">
        <v>178</v>
      </c>
      <c r="L1872" s="6">
        <v>44228</v>
      </c>
      <c r="M1872">
        <v>2</v>
      </c>
      <c r="N1872" s="7" t="s">
        <v>30</v>
      </c>
      <c r="O1872" t="s">
        <v>31</v>
      </c>
      <c r="P1872" t="s">
        <v>4194</v>
      </c>
      <c r="Q1872" t="s">
        <v>4195</v>
      </c>
      <c r="R1872" t="s">
        <v>4196</v>
      </c>
    </row>
    <row r="1873" spans="1:18" hidden="1">
      <c r="A1873">
        <v>4</v>
      </c>
      <c r="B1873" s="4" t="s">
        <v>3127</v>
      </c>
      <c r="C1873" s="4" t="s">
        <v>4207</v>
      </c>
      <c r="D1873" s="4" t="s">
        <v>4257</v>
      </c>
      <c r="E1873" s="4" t="s">
        <v>5804</v>
      </c>
      <c r="F1873" t="s">
        <v>571</v>
      </c>
      <c r="G1873" t="s">
        <v>1344</v>
      </c>
      <c r="H1873" t="s">
        <v>21</v>
      </c>
      <c r="I1873">
        <v>8</v>
      </c>
      <c r="J1873" s="5">
        <v>3.6999999999999998E-2</v>
      </c>
      <c r="K1873" t="s">
        <v>477</v>
      </c>
      <c r="L1873" s="6">
        <v>42705</v>
      </c>
      <c r="M1873">
        <v>12</v>
      </c>
      <c r="N1873" s="7" t="s">
        <v>30</v>
      </c>
      <c r="O1873" t="s">
        <v>31</v>
      </c>
      <c r="P1873" t="s">
        <v>4320</v>
      </c>
      <c r="Q1873" t="s">
        <v>4321</v>
      </c>
      <c r="R1873" t="s">
        <v>4322</v>
      </c>
    </row>
    <row r="1874" spans="1:18" hidden="1">
      <c r="A1874">
        <v>4</v>
      </c>
      <c r="B1874" s="4" t="s">
        <v>3127</v>
      </c>
      <c r="C1874" s="4" t="s">
        <v>4207</v>
      </c>
      <c r="D1874" s="4" t="s">
        <v>4257</v>
      </c>
      <c r="E1874" s="4" t="s">
        <v>5804</v>
      </c>
      <c r="F1874" t="s">
        <v>571</v>
      </c>
      <c r="G1874" t="s">
        <v>571</v>
      </c>
      <c r="H1874" t="s">
        <v>21</v>
      </c>
      <c r="I1874">
        <v>4</v>
      </c>
      <c r="J1874" s="5">
        <v>6.9000000000000006E-2</v>
      </c>
      <c r="K1874" t="s">
        <v>797</v>
      </c>
      <c r="L1874" s="6">
        <v>43252</v>
      </c>
      <c r="M1874">
        <v>6</v>
      </c>
      <c r="N1874" s="7" t="s">
        <v>55</v>
      </c>
      <c r="O1874" t="s">
        <v>31</v>
      </c>
      <c r="P1874" t="s">
        <v>4398</v>
      </c>
      <c r="Q1874" t="s">
        <v>569</v>
      </c>
      <c r="R1874" t="s">
        <v>4088</v>
      </c>
    </row>
    <row r="1875" spans="1:18" hidden="1">
      <c r="A1875">
        <v>4</v>
      </c>
      <c r="B1875" s="4" t="s">
        <v>3127</v>
      </c>
      <c r="C1875" s="4" t="s">
        <v>4207</v>
      </c>
      <c r="D1875" s="4" t="s">
        <v>4257</v>
      </c>
      <c r="E1875" s="4" t="s">
        <v>5804</v>
      </c>
      <c r="F1875" t="s">
        <v>571</v>
      </c>
      <c r="G1875" t="s">
        <v>1344</v>
      </c>
      <c r="H1875" t="s">
        <v>21</v>
      </c>
      <c r="I1875">
        <v>8</v>
      </c>
      <c r="J1875" s="5">
        <v>3.6999999999999998E-2</v>
      </c>
      <c r="K1875" t="s">
        <v>482</v>
      </c>
      <c r="L1875" s="6">
        <v>43435</v>
      </c>
      <c r="M1875">
        <v>12</v>
      </c>
      <c r="N1875" s="7" t="s">
        <v>30</v>
      </c>
      <c r="O1875" t="s">
        <v>31</v>
      </c>
      <c r="P1875" t="s">
        <v>4422</v>
      </c>
      <c r="Q1875" t="s">
        <v>4184</v>
      </c>
      <c r="R1875" t="s">
        <v>4185</v>
      </c>
    </row>
    <row r="1876" spans="1:18" hidden="1">
      <c r="A1876">
        <v>4</v>
      </c>
      <c r="B1876" s="4" t="s">
        <v>3127</v>
      </c>
      <c r="C1876" s="4" t="s">
        <v>4207</v>
      </c>
      <c r="D1876" s="4" t="s">
        <v>4257</v>
      </c>
      <c r="E1876" s="4" t="s">
        <v>5804</v>
      </c>
      <c r="F1876" t="s">
        <v>571</v>
      </c>
      <c r="G1876" t="s">
        <v>571</v>
      </c>
      <c r="H1876" t="s">
        <v>21</v>
      </c>
      <c r="I1876">
        <v>4</v>
      </c>
      <c r="J1876" s="5">
        <v>6.9000000000000006E-2</v>
      </c>
      <c r="K1876" t="s">
        <v>99</v>
      </c>
      <c r="L1876" s="6">
        <v>43891</v>
      </c>
      <c r="M1876">
        <v>3</v>
      </c>
      <c r="N1876" s="7" t="s">
        <v>23</v>
      </c>
      <c r="O1876" t="s">
        <v>31</v>
      </c>
      <c r="P1876" t="s">
        <v>4515</v>
      </c>
      <c r="Q1876" t="s">
        <v>4087</v>
      </c>
      <c r="R1876" t="s">
        <v>4088</v>
      </c>
    </row>
    <row r="1877" spans="1:18" hidden="1">
      <c r="A1877">
        <v>4</v>
      </c>
      <c r="B1877" s="4" t="s">
        <v>3127</v>
      </c>
      <c r="C1877" s="4" t="s">
        <v>4207</v>
      </c>
      <c r="D1877" s="4" t="s">
        <v>4257</v>
      </c>
      <c r="E1877" s="4" t="s">
        <v>5804</v>
      </c>
      <c r="F1877" t="s">
        <v>571</v>
      </c>
      <c r="G1877" t="s">
        <v>571</v>
      </c>
      <c r="H1877" t="s">
        <v>21</v>
      </c>
      <c r="I1877">
        <v>4</v>
      </c>
      <c r="J1877" s="5">
        <v>6.9000000000000006E-2</v>
      </c>
      <c r="K1877" t="s">
        <v>251</v>
      </c>
      <c r="L1877" s="6">
        <v>43952</v>
      </c>
      <c r="M1877">
        <v>5</v>
      </c>
      <c r="N1877" s="7" t="s">
        <v>23</v>
      </c>
      <c r="O1877" t="s">
        <v>31</v>
      </c>
      <c r="P1877" t="s">
        <v>4523</v>
      </c>
      <c r="Q1877" t="s">
        <v>4087</v>
      </c>
      <c r="R1877" t="s">
        <v>4088</v>
      </c>
    </row>
    <row r="1878" spans="1:18" hidden="1">
      <c r="A1878">
        <v>4</v>
      </c>
      <c r="B1878" s="4" t="s">
        <v>3127</v>
      </c>
      <c r="C1878" s="4" t="s">
        <v>4207</v>
      </c>
      <c r="D1878" s="4" t="s">
        <v>4257</v>
      </c>
      <c r="E1878" s="4" t="s">
        <v>5804</v>
      </c>
      <c r="F1878" t="s">
        <v>571</v>
      </c>
      <c r="G1878" t="s">
        <v>571</v>
      </c>
      <c r="H1878" t="s">
        <v>21</v>
      </c>
      <c r="I1878">
        <v>4</v>
      </c>
      <c r="J1878" s="5">
        <v>6.9000000000000006E-2</v>
      </c>
      <c r="K1878" t="s">
        <v>267</v>
      </c>
      <c r="L1878" s="6">
        <v>44044</v>
      </c>
      <c r="M1878">
        <v>8</v>
      </c>
      <c r="N1878" s="7" t="s">
        <v>55</v>
      </c>
      <c r="O1878" t="s">
        <v>31</v>
      </c>
      <c r="P1878" t="s">
        <v>4542</v>
      </c>
      <c r="Q1878" t="s">
        <v>4087</v>
      </c>
      <c r="R1878" t="s">
        <v>4088</v>
      </c>
    </row>
    <row r="1879" spans="1:18" hidden="1">
      <c r="A1879">
        <v>5</v>
      </c>
      <c r="B1879" s="4" t="s">
        <v>4600</v>
      </c>
      <c r="C1879" s="4" t="s">
        <v>4601</v>
      </c>
      <c r="D1879" s="4" t="s">
        <v>4748</v>
      </c>
      <c r="E1879" s="4" t="s">
        <v>5804</v>
      </c>
      <c r="F1879" t="s">
        <v>571</v>
      </c>
      <c r="G1879" t="s">
        <v>571</v>
      </c>
      <c r="H1879" t="s">
        <v>21</v>
      </c>
      <c r="I1879">
        <v>4</v>
      </c>
      <c r="J1879" s="5">
        <v>6.9000000000000006E-2</v>
      </c>
      <c r="K1879" t="s">
        <v>71</v>
      </c>
      <c r="L1879" s="6">
        <v>42522</v>
      </c>
      <c r="M1879">
        <v>6</v>
      </c>
      <c r="N1879" s="7" t="s">
        <v>55</v>
      </c>
      <c r="O1879" t="s">
        <v>31</v>
      </c>
      <c r="P1879" t="s">
        <v>4765</v>
      </c>
      <c r="Q1879" t="s">
        <v>4766</v>
      </c>
      <c r="R1879" t="s">
        <v>4767</v>
      </c>
    </row>
    <row r="1880" spans="1:18" hidden="1">
      <c r="A1880">
        <v>5</v>
      </c>
      <c r="B1880" s="4" t="s">
        <v>4600</v>
      </c>
      <c r="C1880" s="4" t="s">
        <v>4601</v>
      </c>
      <c r="D1880" s="4" t="s">
        <v>4853</v>
      </c>
      <c r="E1880" s="4" t="s">
        <v>5804</v>
      </c>
      <c r="F1880" t="s">
        <v>571</v>
      </c>
      <c r="G1880" t="s">
        <v>571</v>
      </c>
      <c r="H1880" t="s">
        <v>21</v>
      </c>
      <c r="I1880">
        <v>4</v>
      </c>
      <c r="J1880" s="5">
        <v>6.9000000000000006E-2</v>
      </c>
      <c r="K1880" t="s">
        <v>701</v>
      </c>
      <c r="L1880" s="6">
        <v>42491</v>
      </c>
      <c r="M1880">
        <v>5</v>
      </c>
      <c r="N1880" s="7" t="s">
        <v>23</v>
      </c>
      <c r="O1880" t="s">
        <v>31</v>
      </c>
      <c r="P1880" t="s">
        <v>4863</v>
      </c>
      <c r="Q1880" t="s">
        <v>4864</v>
      </c>
      <c r="R1880" t="s">
        <v>4767</v>
      </c>
    </row>
    <row r="1881" spans="1:18" hidden="1">
      <c r="A1881">
        <v>5</v>
      </c>
      <c r="B1881" s="4" t="s">
        <v>4600</v>
      </c>
      <c r="C1881" s="4" t="s">
        <v>4933</v>
      </c>
      <c r="D1881" s="4" t="s">
        <v>5014</v>
      </c>
      <c r="E1881" s="4" t="s">
        <v>5804</v>
      </c>
      <c r="F1881" t="s">
        <v>571</v>
      </c>
      <c r="G1881" t="s">
        <v>1344</v>
      </c>
      <c r="H1881" t="s">
        <v>21</v>
      </c>
      <c r="I1881">
        <v>8</v>
      </c>
      <c r="J1881" s="5">
        <v>3.6999999999999998E-2</v>
      </c>
      <c r="K1881" t="s">
        <v>319</v>
      </c>
      <c r="L1881" s="6">
        <v>42583</v>
      </c>
      <c r="M1881">
        <v>8</v>
      </c>
      <c r="N1881" s="7" t="s">
        <v>55</v>
      </c>
      <c r="O1881" t="s">
        <v>31</v>
      </c>
      <c r="P1881" t="s">
        <v>5065</v>
      </c>
      <c r="Q1881" t="s">
        <v>5066</v>
      </c>
      <c r="R1881" t="s">
        <v>5067</v>
      </c>
    </row>
    <row r="1882" spans="1:18" hidden="1">
      <c r="A1882">
        <v>5</v>
      </c>
      <c r="B1882" s="4" t="s">
        <v>4600</v>
      </c>
      <c r="C1882" s="4" t="s">
        <v>4933</v>
      </c>
      <c r="D1882" s="4" t="s">
        <v>5014</v>
      </c>
      <c r="E1882" s="4" t="s">
        <v>5804</v>
      </c>
      <c r="F1882" t="s">
        <v>571</v>
      </c>
      <c r="G1882" t="s">
        <v>1344</v>
      </c>
      <c r="H1882" t="s">
        <v>21</v>
      </c>
      <c r="I1882">
        <v>8</v>
      </c>
      <c r="J1882" s="5">
        <v>3.6999999999999998E-2</v>
      </c>
      <c r="K1882" t="s">
        <v>357</v>
      </c>
      <c r="L1882" s="6">
        <v>43739</v>
      </c>
      <c r="M1882">
        <v>10</v>
      </c>
      <c r="N1882" s="7" t="s">
        <v>23</v>
      </c>
      <c r="O1882" t="s">
        <v>31</v>
      </c>
      <c r="P1882" t="s">
        <v>5291</v>
      </c>
      <c r="Q1882" t="s">
        <v>5292</v>
      </c>
      <c r="R1882" t="s">
        <v>5067</v>
      </c>
    </row>
    <row r="1883" spans="1:18" hidden="1">
      <c r="A1883">
        <v>8</v>
      </c>
      <c r="B1883" s="4" t="s">
        <v>5679</v>
      </c>
      <c r="C1883" s="4" t="s">
        <v>5689</v>
      </c>
      <c r="D1883" s="4" t="s">
        <v>5690</v>
      </c>
      <c r="E1883" s="4" t="s">
        <v>5805</v>
      </c>
      <c r="F1883" t="s">
        <v>571</v>
      </c>
      <c r="G1883" t="s">
        <v>571</v>
      </c>
      <c r="H1883" t="s">
        <v>21</v>
      </c>
      <c r="I1883">
        <v>4</v>
      </c>
      <c r="J1883" s="5">
        <v>6.9000000000000006E-2</v>
      </c>
      <c r="K1883" t="s">
        <v>76</v>
      </c>
      <c r="L1883" s="6">
        <v>42856</v>
      </c>
      <c r="M1883">
        <v>5</v>
      </c>
      <c r="N1883" s="7" t="s">
        <v>23</v>
      </c>
      <c r="O1883" t="s">
        <v>31</v>
      </c>
      <c r="P1883" t="s">
        <v>5691</v>
      </c>
      <c r="Q1883" t="s">
        <v>5692</v>
      </c>
      <c r="R1883" t="s">
        <v>5693</v>
      </c>
    </row>
    <row r="1884" spans="1:18" hidden="1">
      <c r="A1884">
        <v>12</v>
      </c>
      <c r="B1884" s="4" t="s">
        <v>901</v>
      </c>
      <c r="C1884" s="4" t="s">
        <v>902</v>
      </c>
      <c r="D1884" s="4" t="s">
        <v>903</v>
      </c>
      <c r="E1884" s="4" t="s">
        <v>5804</v>
      </c>
      <c r="F1884" t="s">
        <v>1017</v>
      </c>
      <c r="G1884" t="s">
        <v>1017</v>
      </c>
      <c r="H1884" t="s">
        <v>21</v>
      </c>
      <c r="I1884">
        <v>4</v>
      </c>
      <c r="J1884" s="5">
        <v>6.9000000000000006E-2</v>
      </c>
      <c r="K1884" t="s">
        <v>35</v>
      </c>
      <c r="L1884" s="6">
        <v>43160</v>
      </c>
      <c r="M1884">
        <v>3</v>
      </c>
      <c r="N1884" s="7" t="s">
        <v>23</v>
      </c>
      <c r="O1884" t="s">
        <v>31</v>
      </c>
      <c r="P1884" t="s">
        <v>1018</v>
      </c>
      <c r="Q1884" t="s">
        <v>1019</v>
      </c>
      <c r="R1884" t="s">
        <v>1020</v>
      </c>
    </row>
    <row r="1885" spans="1:18" hidden="1">
      <c r="A1885">
        <v>12</v>
      </c>
      <c r="B1885" s="4" t="s">
        <v>901</v>
      </c>
      <c r="C1885" s="4" t="s">
        <v>1161</v>
      </c>
      <c r="D1885" s="4" t="s">
        <v>1180</v>
      </c>
      <c r="E1885" s="4" t="s">
        <v>5804</v>
      </c>
      <c r="F1885" t="s">
        <v>1017</v>
      </c>
      <c r="G1885" t="s">
        <v>1017</v>
      </c>
      <c r="H1885" t="s">
        <v>21</v>
      </c>
      <c r="I1885">
        <v>4</v>
      </c>
      <c r="J1885" s="5">
        <v>6.9000000000000006E-2</v>
      </c>
      <c r="K1885" t="s">
        <v>93</v>
      </c>
      <c r="L1885" s="6">
        <v>43282</v>
      </c>
      <c r="M1885">
        <v>7</v>
      </c>
      <c r="N1885" s="7" t="s">
        <v>55</v>
      </c>
      <c r="O1885" t="s">
        <v>24</v>
      </c>
      <c r="P1885" t="s">
        <v>1181</v>
      </c>
      <c r="Q1885" t="s">
        <v>1182</v>
      </c>
      <c r="R1885" t="s">
        <v>1183</v>
      </c>
    </row>
    <row r="1886" spans="1:18" hidden="1">
      <c r="A1886">
        <v>12</v>
      </c>
      <c r="B1886" s="4" t="s">
        <v>901</v>
      </c>
      <c r="C1886" s="4" t="s">
        <v>1161</v>
      </c>
      <c r="D1886" s="4" t="s">
        <v>1361</v>
      </c>
      <c r="E1886" s="4" t="s">
        <v>5804</v>
      </c>
      <c r="F1886" t="s">
        <v>1017</v>
      </c>
      <c r="G1886" t="s">
        <v>1017</v>
      </c>
      <c r="H1886" t="s">
        <v>21</v>
      </c>
      <c r="I1886">
        <v>4</v>
      </c>
      <c r="J1886" s="5">
        <v>6.9000000000000006E-2</v>
      </c>
      <c r="K1886" t="s">
        <v>83</v>
      </c>
      <c r="L1886" s="6">
        <v>42948</v>
      </c>
      <c r="M1886">
        <v>8</v>
      </c>
      <c r="N1886" s="7" t="s">
        <v>55</v>
      </c>
      <c r="O1886" t="s">
        <v>31</v>
      </c>
      <c r="P1886" t="s">
        <v>1365</v>
      </c>
      <c r="Q1886" t="s">
        <v>1366</v>
      </c>
      <c r="R1886" t="s">
        <v>1367</v>
      </c>
    </row>
    <row r="1887" spans="1:18" hidden="1">
      <c r="A1887">
        <v>12</v>
      </c>
      <c r="B1887" s="4" t="s">
        <v>901</v>
      </c>
      <c r="C1887" s="4" t="s">
        <v>1161</v>
      </c>
      <c r="D1887" s="4" t="s">
        <v>1361</v>
      </c>
      <c r="E1887" s="4" t="s">
        <v>5804</v>
      </c>
      <c r="F1887" t="s">
        <v>1017</v>
      </c>
      <c r="G1887" t="s">
        <v>1017</v>
      </c>
      <c r="H1887" t="s">
        <v>21</v>
      </c>
      <c r="I1887">
        <v>4</v>
      </c>
      <c r="J1887" s="5">
        <v>6.9000000000000006E-2</v>
      </c>
      <c r="K1887" t="s">
        <v>93</v>
      </c>
      <c r="L1887" s="6">
        <v>43282</v>
      </c>
      <c r="M1887">
        <v>7</v>
      </c>
      <c r="N1887" s="7" t="s">
        <v>55</v>
      </c>
      <c r="O1887" t="s">
        <v>31</v>
      </c>
      <c r="P1887" t="s">
        <v>1368</v>
      </c>
      <c r="Q1887" t="s">
        <v>1366</v>
      </c>
      <c r="R1887" t="s">
        <v>1367</v>
      </c>
    </row>
    <row r="1888" spans="1:18" hidden="1">
      <c r="A1888">
        <v>12</v>
      </c>
      <c r="B1888" s="4" t="s">
        <v>901</v>
      </c>
      <c r="C1888" s="4" t="s">
        <v>1414</v>
      </c>
      <c r="D1888" s="4" t="s">
        <v>1438</v>
      </c>
      <c r="E1888" s="4" t="s">
        <v>5804</v>
      </c>
      <c r="F1888" t="s">
        <v>1017</v>
      </c>
      <c r="G1888" t="s">
        <v>1017</v>
      </c>
      <c r="H1888" t="s">
        <v>21</v>
      </c>
      <c r="I1888">
        <v>4</v>
      </c>
      <c r="J1888" s="5">
        <v>6.9000000000000006E-2</v>
      </c>
      <c r="K1888" t="s">
        <v>152</v>
      </c>
      <c r="L1888" s="6">
        <v>43374</v>
      </c>
      <c r="M1888">
        <v>10</v>
      </c>
      <c r="N1888" s="7" t="s">
        <v>23</v>
      </c>
      <c r="O1888" t="s">
        <v>31</v>
      </c>
      <c r="P1888" t="s">
        <v>1442</v>
      </c>
      <c r="Q1888" t="s">
        <v>1443</v>
      </c>
      <c r="R1888" t="s">
        <v>1444</v>
      </c>
    </row>
    <row r="1889" spans="1:18" hidden="1">
      <c r="A1889">
        <v>12</v>
      </c>
      <c r="B1889" s="4" t="s">
        <v>901</v>
      </c>
      <c r="C1889" s="4" t="s">
        <v>1672</v>
      </c>
      <c r="D1889" s="4" t="s">
        <v>1673</v>
      </c>
      <c r="E1889" s="4" t="s">
        <v>5804</v>
      </c>
      <c r="F1889" t="s">
        <v>1017</v>
      </c>
      <c r="G1889" t="s">
        <v>1017</v>
      </c>
      <c r="H1889" t="s">
        <v>21</v>
      </c>
      <c r="I1889">
        <v>4</v>
      </c>
      <c r="J1889" s="5">
        <v>6.9000000000000006E-2</v>
      </c>
      <c r="K1889" t="s">
        <v>60</v>
      </c>
      <c r="L1889" s="6">
        <v>42370</v>
      </c>
      <c r="M1889">
        <v>1</v>
      </c>
      <c r="N1889" s="7" t="s">
        <v>30</v>
      </c>
      <c r="O1889" t="s">
        <v>31</v>
      </c>
      <c r="P1889" t="s">
        <v>1684</v>
      </c>
      <c r="Q1889" t="s">
        <v>1685</v>
      </c>
      <c r="R1889" t="s">
        <v>1686</v>
      </c>
    </row>
    <row r="1890" spans="1:18" hidden="1">
      <c r="A1890">
        <v>12</v>
      </c>
      <c r="B1890" s="4" t="s">
        <v>901</v>
      </c>
      <c r="C1890" s="4" t="s">
        <v>1672</v>
      </c>
      <c r="D1890" s="4" t="s">
        <v>1673</v>
      </c>
      <c r="E1890" s="4" t="s">
        <v>5804</v>
      </c>
      <c r="F1890" t="s">
        <v>1017</v>
      </c>
      <c r="G1890" t="s">
        <v>1017</v>
      </c>
      <c r="H1890" t="s">
        <v>21</v>
      </c>
      <c r="I1890">
        <v>4</v>
      </c>
      <c r="J1890" s="5">
        <v>6.9000000000000006E-2</v>
      </c>
      <c r="K1890" t="s">
        <v>395</v>
      </c>
      <c r="L1890" s="6">
        <v>43497</v>
      </c>
      <c r="M1890">
        <v>2</v>
      </c>
      <c r="N1890" s="7" t="s">
        <v>30</v>
      </c>
      <c r="O1890" t="s">
        <v>31</v>
      </c>
      <c r="P1890" t="s">
        <v>1853</v>
      </c>
      <c r="Q1890" t="s">
        <v>1854</v>
      </c>
      <c r="R1890" t="s">
        <v>1855</v>
      </c>
    </row>
    <row r="1891" spans="1:18" hidden="1">
      <c r="A1891">
        <v>12</v>
      </c>
      <c r="B1891" s="4" t="s">
        <v>901</v>
      </c>
      <c r="C1891" s="4" t="s">
        <v>1672</v>
      </c>
      <c r="D1891" s="4" t="s">
        <v>1673</v>
      </c>
      <c r="E1891" s="4" t="s">
        <v>5804</v>
      </c>
      <c r="F1891" t="s">
        <v>1017</v>
      </c>
      <c r="G1891" t="s">
        <v>1017</v>
      </c>
      <c r="H1891" t="s">
        <v>21</v>
      </c>
      <c r="I1891">
        <v>4</v>
      </c>
      <c r="J1891" s="5">
        <v>6.9000000000000006E-2</v>
      </c>
      <c r="K1891" t="s">
        <v>267</v>
      </c>
      <c r="L1891" s="6">
        <v>44044</v>
      </c>
      <c r="M1891">
        <v>8</v>
      </c>
      <c r="N1891" s="7" t="s">
        <v>55</v>
      </c>
      <c r="O1891" t="s">
        <v>31</v>
      </c>
      <c r="P1891" t="s">
        <v>1898</v>
      </c>
      <c r="Q1891" t="s">
        <v>1854</v>
      </c>
      <c r="R1891" t="s">
        <v>1855</v>
      </c>
    </row>
    <row r="1892" spans="1:18" hidden="1">
      <c r="A1892">
        <v>12</v>
      </c>
      <c r="B1892" s="4" t="s">
        <v>901</v>
      </c>
      <c r="C1892" s="4" t="s">
        <v>1672</v>
      </c>
      <c r="D1892" s="4" t="s">
        <v>1673</v>
      </c>
      <c r="E1892" s="4" t="s">
        <v>5804</v>
      </c>
      <c r="F1892" t="s">
        <v>1017</v>
      </c>
      <c r="G1892" t="s">
        <v>1017</v>
      </c>
      <c r="H1892" t="s">
        <v>21</v>
      </c>
      <c r="I1892">
        <v>4</v>
      </c>
      <c r="J1892" s="5">
        <v>6.9000000000000006E-2</v>
      </c>
      <c r="K1892" t="s">
        <v>547</v>
      </c>
      <c r="L1892" s="6">
        <v>44075</v>
      </c>
      <c r="M1892">
        <v>9</v>
      </c>
      <c r="N1892" s="7" t="s">
        <v>23</v>
      </c>
      <c r="O1892" t="s">
        <v>31</v>
      </c>
      <c r="P1892" t="s">
        <v>1904</v>
      </c>
      <c r="Q1892" t="s">
        <v>1905</v>
      </c>
      <c r="R1892" t="s">
        <v>1906</v>
      </c>
    </row>
    <row r="1893" spans="1:18" hidden="1">
      <c r="A1893">
        <v>12</v>
      </c>
      <c r="B1893" s="4" t="s">
        <v>901</v>
      </c>
      <c r="C1893" s="4" t="s">
        <v>1672</v>
      </c>
      <c r="D1893" s="4" t="s">
        <v>1673</v>
      </c>
      <c r="E1893" s="4" t="s">
        <v>5804</v>
      </c>
      <c r="F1893" t="s">
        <v>1017</v>
      </c>
      <c r="G1893" t="s">
        <v>1017</v>
      </c>
      <c r="H1893" t="s">
        <v>21</v>
      </c>
      <c r="I1893">
        <v>4</v>
      </c>
      <c r="J1893" s="5">
        <v>6.9000000000000006E-2</v>
      </c>
      <c r="K1893" t="s">
        <v>749</v>
      </c>
      <c r="L1893" s="6">
        <v>44136</v>
      </c>
      <c r="M1893">
        <v>11</v>
      </c>
      <c r="N1893" s="7" t="s">
        <v>23</v>
      </c>
      <c r="O1893" t="s">
        <v>31</v>
      </c>
      <c r="P1893" t="s">
        <v>1916</v>
      </c>
      <c r="Q1893" t="s">
        <v>1905</v>
      </c>
      <c r="R1893" t="s">
        <v>1906</v>
      </c>
    </row>
    <row r="1894" spans="1:18" hidden="1">
      <c r="A1894">
        <v>12</v>
      </c>
      <c r="B1894" s="4" t="s">
        <v>901</v>
      </c>
      <c r="C1894" s="4" t="s">
        <v>1672</v>
      </c>
      <c r="D1894" s="4" t="s">
        <v>1673</v>
      </c>
      <c r="E1894" s="4" t="s">
        <v>5804</v>
      </c>
      <c r="F1894" t="s">
        <v>1017</v>
      </c>
      <c r="G1894" t="s">
        <v>1017</v>
      </c>
      <c r="H1894" t="s">
        <v>21</v>
      </c>
      <c r="I1894">
        <v>4</v>
      </c>
      <c r="J1894" s="5">
        <v>6.9000000000000006E-2</v>
      </c>
      <c r="K1894" t="s">
        <v>175</v>
      </c>
      <c r="L1894" s="6">
        <v>44166</v>
      </c>
      <c r="M1894">
        <v>12</v>
      </c>
      <c r="N1894" s="7" t="s">
        <v>30</v>
      </c>
      <c r="O1894" t="s">
        <v>31</v>
      </c>
      <c r="P1894" t="s">
        <v>1917</v>
      </c>
      <c r="Q1894" t="s">
        <v>1685</v>
      </c>
      <c r="R1894" t="s">
        <v>1686</v>
      </c>
    </row>
    <row r="1895" spans="1:18" hidden="1">
      <c r="A1895">
        <v>2</v>
      </c>
      <c r="B1895" s="4" t="s">
        <v>1952</v>
      </c>
      <c r="C1895" s="4" t="s">
        <v>1953</v>
      </c>
      <c r="D1895" s="4" t="s">
        <v>2072</v>
      </c>
      <c r="E1895" s="4" t="s">
        <v>5804</v>
      </c>
      <c r="F1895" t="s">
        <v>1017</v>
      </c>
      <c r="G1895" t="s">
        <v>1017</v>
      </c>
      <c r="H1895" t="s">
        <v>21</v>
      </c>
      <c r="I1895">
        <v>4</v>
      </c>
      <c r="J1895" s="5">
        <v>6.9000000000000006E-2</v>
      </c>
      <c r="K1895" t="s">
        <v>178</v>
      </c>
      <c r="L1895" s="6">
        <v>44228</v>
      </c>
      <c r="M1895">
        <v>2</v>
      </c>
      <c r="N1895" s="7" t="s">
        <v>30</v>
      </c>
      <c r="O1895" t="s">
        <v>31</v>
      </c>
      <c r="P1895" t="s">
        <v>2213</v>
      </c>
      <c r="Q1895" t="s">
        <v>2214</v>
      </c>
      <c r="R1895" t="s">
        <v>2215</v>
      </c>
    </row>
    <row r="1896" spans="1:18" hidden="1">
      <c r="A1896">
        <v>2</v>
      </c>
      <c r="B1896" s="4" t="s">
        <v>1952</v>
      </c>
      <c r="C1896" s="4" t="s">
        <v>1953</v>
      </c>
      <c r="D1896" s="4" t="s">
        <v>2224</v>
      </c>
      <c r="E1896" s="4" t="s">
        <v>5804</v>
      </c>
      <c r="F1896" t="s">
        <v>1017</v>
      </c>
      <c r="G1896" t="s">
        <v>1017</v>
      </c>
      <c r="H1896" t="s">
        <v>21</v>
      </c>
      <c r="I1896">
        <v>4</v>
      </c>
      <c r="J1896" s="5">
        <v>6.9000000000000006E-2</v>
      </c>
      <c r="K1896" t="s">
        <v>2307</v>
      </c>
      <c r="L1896" s="6">
        <v>43770</v>
      </c>
      <c r="M1896">
        <v>11</v>
      </c>
      <c r="N1896" s="7" t="s">
        <v>23</v>
      </c>
      <c r="O1896" t="s">
        <v>31</v>
      </c>
      <c r="P1896" t="s">
        <v>2308</v>
      </c>
      <c r="Q1896" t="s">
        <v>2309</v>
      </c>
      <c r="R1896" t="s">
        <v>2310</v>
      </c>
    </row>
    <row r="1897" spans="1:18" hidden="1">
      <c r="A1897">
        <v>2</v>
      </c>
      <c r="B1897" s="4" t="s">
        <v>1952</v>
      </c>
      <c r="C1897" s="4" t="s">
        <v>2425</v>
      </c>
      <c r="D1897" s="4" t="s">
        <v>2509</v>
      </c>
      <c r="E1897" s="4" t="s">
        <v>5804</v>
      </c>
      <c r="F1897" t="s">
        <v>1017</v>
      </c>
      <c r="G1897" t="s">
        <v>1017</v>
      </c>
      <c r="H1897" t="s">
        <v>21</v>
      </c>
      <c r="I1897">
        <v>4</v>
      </c>
      <c r="J1897" s="5">
        <v>6.9000000000000006E-2</v>
      </c>
      <c r="K1897" t="s">
        <v>220</v>
      </c>
      <c r="L1897" s="6">
        <v>42644</v>
      </c>
      <c r="M1897">
        <v>10</v>
      </c>
      <c r="N1897" s="7" t="s">
        <v>23</v>
      </c>
      <c r="O1897" t="s">
        <v>31</v>
      </c>
      <c r="P1897" t="s">
        <v>2522</v>
      </c>
      <c r="Q1897" t="s">
        <v>2523</v>
      </c>
      <c r="R1897" t="s">
        <v>2524</v>
      </c>
    </row>
    <row r="1898" spans="1:18" hidden="1">
      <c r="A1898">
        <v>2</v>
      </c>
      <c r="B1898" s="4" t="s">
        <v>1952</v>
      </c>
      <c r="C1898" s="4" t="s">
        <v>2425</v>
      </c>
      <c r="D1898" s="4" t="s">
        <v>2509</v>
      </c>
      <c r="E1898" s="4" t="s">
        <v>5804</v>
      </c>
      <c r="F1898" t="s">
        <v>1017</v>
      </c>
      <c r="G1898" t="s">
        <v>1017</v>
      </c>
      <c r="H1898" t="s">
        <v>21</v>
      </c>
      <c r="I1898">
        <v>4</v>
      </c>
      <c r="J1898" s="5">
        <v>6.9000000000000006E-2</v>
      </c>
      <c r="K1898" t="s">
        <v>76</v>
      </c>
      <c r="L1898" s="6">
        <v>42856</v>
      </c>
      <c r="M1898">
        <v>5</v>
      </c>
      <c r="N1898" s="7" t="s">
        <v>23</v>
      </c>
      <c r="O1898" t="s">
        <v>31</v>
      </c>
      <c r="P1898" t="s">
        <v>2537</v>
      </c>
      <c r="Q1898" t="s">
        <v>2538</v>
      </c>
      <c r="R1898" t="s">
        <v>2524</v>
      </c>
    </row>
    <row r="1899" spans="1:18">
      <c r="A1899">
        <v>3</v>
      </c>
      <c r="B1899" s="4" t="s">
        <v>2764</v>
      </c>
      <c r="C1899" s="4" t="s">
        <v>2765</v>
      </c>
      <c r="D1899" s="4" t="s">
        <v>2816</v>
      </c>
      <c r="E1899" s="4" t="s">
        <v>5804</v>
      </c>
      <c r="F1899" t="s">
        <v>1017</v>
      </c>
      <c r="G1899" t="s">
        <v>1017</v>
      </c>
      <c r="H1899" t="s">
        <v>21</v>
      </c>
      <c r="I1899">
        <v>4</v>
      </c>
      <c r="J1899" s="5">
        <v>6.9000000000000006E-2</v>
      </c>
      <c r="K1899" t="s">
        <v>681</v>
      </c>
      <c r="L1899" s="6">
        <v>42887</v>
      </c>
      <c r="M1899">
        <v>6</v>
      </c>
      <c r="N1899" s="7" t="s">
        <v>55</v>
      </c>
      <c r="O1899" t="s">
        <v>31</v>
      </c>
      <c r="P1899" t="s">
        <v>2882</v>
      </c>
      <c r="Q1899" t="s">
        <v>2883</v>
      </c>
      <c r="R1899" t="s">
        <v>2884</v>
      </c>
    </row>
    <row r="1900" spans="1:18">
      <c r="A1900">
        <v>3</v>
      </c>
      <c r="B1900" s="4" t="s">
        <v>2764</v>
      </c>
      <c r="C1900" s="4" t="s">
        <v>2765</v>
      </c>
      <c r="D1900" s="4" t="s">
        <v>2816</v>
      </c>
      <c r="E1900" s="4" t="s">
        <v>5804</v>
      </c>
      <c r="F1900" t="s">
        <v>1017</v>
      </c>
      <c r="G1900" t="s">
        <v>1017</v>
      </c>
      <c r="H1900" t="s">
        <v>21</v>
      </c>
      <c r="I1900">
        <v>4</v>
      </c>
      <c r="J1900" s="5">
        <v>6.9000000000000006E-2</v>
      </c>
      <c r="K1900" t="s">
        <v>255</v>
      </c>
      <c r="L1900" s="6">
        <v>43983</v>
      </c>
      <c r="M1900">
        <v>6</v>
      </c>
      <c r="N1900" s="7" t="s">
        <v>55</v>
      </c>
      <c r="O1900" t="s">
        <v>31</v>
      </c>
      <c r="P1900" t="s">
        <v>3018</v>
      </c>
      <c r="Q1900" t="s">
        <v>3019</v>
      </c>
      <c r="R1900" t="s">
        <v>3020</v>
      </c>
    </row>
    <row r="1901" spans="1:18">
      <c r="A1901">
        <v>3</v>
      </c>
      <c r="B1901" s="4" t="s">
        <v>2764</v>
      </c>
      <c r="C1901" s="4" t="s">
        <v>2765</v>
      </c>
      <c r="D1901" s="4" t="s">
        <v>2816</v>
      </c>
      <c r="E1901" s="4" t="s">
        <v>5804</v>
      </c>
      <c r="F1901" t="s">
        <v>1017</v>
      </c>
      <c r="G1901" t="s">
        <v>1017</v>
      </c>
      <c r="H1901" t="s">
        <v>21</v>
      </c>
      <c r="I1901">
        <v>4</v>
      </c>
      <c r="J1901" s="5">
        <v>6.9000000000000006E-2</v>
      </c>
      <c r="K1901" t="s">
        <v>365</v>
      </c>
      <c r="L1901" s="6">
        <v>44105</v>
      </c>
      <c r="M1901">
        <v>10</v>
      </c>
      <c r="N1901" s="7" t="s">
        <v>23</v>
      </c>
      <c r="O1901" t="s">
        <v>31</v>
      </c>
      <c r="P1901" t="s">
        <v>3037</v>
      </c>
      <c r="Q1901" t="s">
        <v>3038</v>
      </c>
      <c r="R1901" t="s">
        <v>3039</v>
      </c>
    </row>
    <row r="1902" spans="1:18">
      <c r="A1902">
        <v>3</v>
      </c>
      <c r="B1902" s="4" t="s">
        <v>2764</v>
      </c>
      <c r="C1902" s="4" t="s">
        <v>2765</v>
      </c>
      <c r="D1902" s="4" t="s">
        <v>2816</v>
      </c>
      <c r="E1902" s="4" t="s">
        <v>5804</v>
      </c>
      <c r="F1902" t="s">
        <v>1017</v>
      </c>
      <c r="G1902" t="s">
        <v>1017</v>
      </c>
      <c r="H1902" t="s">
        <v>21</v>
      </c>
      <c r="I1902">
        <v>4</v>
      </c>
      <c r="J1902" s="5">
        <v>6.9000000000000006E-2</v>
      </c>
      <c r="K1902" t="s">
        <v>182</v>
      </c>
      <c r="L1902" s="6">
        <v>44501</v>
      </c>
      <c r="M1902">
        <v>11</v>
      </c>
      <c r="N1902" s="7" t="s">
        <v>23</v>
      </c>
      <c r="O1902" t="s">
        <v>31</v>
      </c>
      <c r="P1902" t="s">
        <v>3081</v>
      </c>
      <c r="Q1902" t="s">
        <v>3082</v>
      </c>
      <c r="R1902" t="s">
        <v>3083</v>
      </c>
    </row>
    <row r="1903" spans="1:18" hidden="1">
      <c r="A1903">
        <v>4</v>
      </c>
      <c r="B1903" s="4" t="s">
        <v>3127</v>
      </c>
      <c r="C1903" s="4" t="s">
        <v>3128</v>
      </c>
      <c r="D1903" s="4" t="s">
        <v>3129</v>
      </c>
      <c r="E1903" s="4" t="s">
        <v>5804</v>
      </c>
      <c r="F1903" t="s">
        <v>1017</v>
      </c>
      <c r="G1903" t="s">
        <v>1017</v>
      </c>
      <c r="H1903" t="s">
        <v>21</v>
      </c>
      <c r="I1903">
        <v>4</v>
      </c>
      <c r="J1903" s="5">
        <v>6.9000000000000006E-2</v>
      </c>
      <c r="K1903" t="s">
        <v>159</v>
      </c>
      <c r="L1903" s="6">
        <v>43586</v>
      </c>
      <c r="M1903">
        <v>5</v>
      </c>
      <c r="N1903" s="7" t="s">
        <v>23</v>
      </c>
      <c r="O1903" t="s">
        <v>31</v>
      </c>
      <c r="P1903" t="s">
        <v>3166</v>
      </c>
      <c r="Q1903" t="s">
        <v>3167</v>
      </c>
      <c r="R1903" t="s">
        <v>1020</v>
      </c>
    </row>
    <row r="1904" spans="1:18" hidden="1">
      <c r="A1904">
        <v>4</v>
      </c>
      <c r="B1904" s="4" t="s">
        <v>3127</v>
      </c>
      <c r="C1904" s="4" t="s">
        <v>3128</v>
      </c>
      <c r="D1904" s="4" t="s">
        <v>3190</v>
      </c>
      <c r="E1904" s="4" t="s">
        <v>5804</v>
      </c>
      <c r="F1904" t="s">
        <v>1017</v>
      </c>
      <c r="G1904" t="s">
        <v>1017</v>
      </c>
      <c r="H1904" t="s">
        <v>21</v>
      </c>
      <c r="I1904">
        <v>4</v>
      </c>
      <c r="J1904" s="5">
        <v>6.9000000000000006E-2</v>
      </c>
      <c r="K1904" t="s">
        <v>797</v>
      </c>
      <c r="L1904" s="6">
        <v>43252</v>
      </c>
      <c r="M1904">
        <v>6</v>
      </c>
      <c r="N1904" s="7" t="s">
        <v>55</v>
      </c>
      <c r="O1904" t="s">
        <v>31</v>
      </c>
      <c r="P1904" t="s">
        <v>3219</v>
      </c>
      <c r="Q1904" t="s">
        <v>3220</v>
      </c>
      <c r="R1904" t="s">
        <v>3221</v>
      </c>
    </row>
    <row r="1905" spans="1:18" hidden="1">
      <c r="A1905">
        <v>4</v>
      </c>
      <c r="B1905" s="4" t="s">
        <v>3127</v>
      </c>
      <c r="C1905" s="4" t="s">
        <v>3128</v>
      </c>
      <c r="D1905" s="4" t="s">
        <v>3247</v>
      </c>
      <c r="E1905" s="4" t="s">
        <v>5804</v>
      </c>
      <c r="F1905" t="s">
        <v>1017</v>
      </c>
      <c r="G1905" t="s">
        <v>1017</v>
      </c>
      <c r="H1905" t="s">
        <v>21</v>
      </c>
      <c r="I1905">
        <v>4</v>
      </c>
      <c r="J1905" s="5">
        <v>6.9000000000000006E-2</v>
      </c>
      <c r="K1905" t="s">
        <v>477</v>
      </c>
      <c r="L1905" s="6">
        <v>42705</v>
      </c>
      <c r="M1905">
        <v>12</v>
      </c>
      <c r="N1905" s="7" t="s">
        <v>30</v>
      </c>
      <c r="O1905" t="s">
        <v>31</v>
      </c>
      <c r="P1905" t="s">
        <v>3286</v>
      </c>
      <c r="Q1905" t="s">
        <v>3287</v>
      </c>
      <c r="R1905" t="s">
        <v>3288</v>
      </c>
    </row>
    <row r="1906" spans="1:18" hidden="1">
      <c r="A1906">
        <v>4</v>
      </c>
      <c r="B1906" s="4" t="s">
        <v>3127</v>
      </c>
      <c r="C1906" s="4" t="s">
        <v>3128</v>
      </c>
      <c r="D1906" s="4" t="s">
        <v>3247</v>
      </c>
      <c r="E1906" s="4" t="s">
        <v>5804</v>
      </c>
      <c r="F1906" t="s">
        <v>1017</v>
      </c>
      <c r="G1906" t="s">
        <v>1017</v>
      </c>
      <c r="H1906" t="s">
        <v>21</v>
      </c>
      <c r="I1906">
        <v>4</v>
      </c>
      <c r="J1906" s="5">
        <v>6.9000000000000006E-2</v>
      </c>
      <c r="K1906" t="s">
        <v>142</v>
      </c>
      <c r="L1906" s="6">
        <v>43101</v>
      </c>
      <c r="M1906">
        <v>1</v>
      </c>
      <c r="N1906" s="7" t="s">
        <v>30</v>
      </c>
      <c r="O1906" t="s">
        <v>31</v>
      </c>
      <c r="P1906" t="s">
        <v>3320</v>
      </c>
      <c r="Q1906" t="s">
        <v>3321</v>
      </c>
      <c r="R1906" t="s">
        <v>1020</v>
      </c>
    </row>
    <row r="1907" spans="1:18" hidden="1">
      <c r="A1907">
        <v>4</v>
      </c>
      <c r="B1907" s="4" t="s">
        <v>3127</v>
      </c>
      <c r="C1907" s="4" t="s">
        <v>3128</v>
      </c>
      <c r="D1907" s="4" t="s">
        <v>3247</v>
      </c>
      <c r="E1907" s="4" t="s">
        <v>5804</v>
      </c>
      <c r="F1907" t="s">
        <v>1017</v>
      </c>
      <c r="G1907" t="s">
        <v>1017</v>
      </c>
      <c r="H1907" t="s">
        <v>21</v>
      </c>
      <c r="I1907">
        <v>4</v>
      </c>
      <c r="J1907" s="5">
        <v>6.9000000000000006E-2</v>
      </c>
      <c r="K1907" t="s">
        <v>797</v>
      </c>
      <c r="L1907" s="6">
        <v>43252</v>
      </c>
      <c r="M1907">
        <v>6</v>
      </c>
      <c r="N1907" s="7" t="s">
        <v>55</v>
      </c>
      <c r="O1907" t="s">
        <v>31</v>
      </c>
      <c r="P1907" t="s">
        <v>3340</v>
      </c>
      <c r="Q1907" t="s">
        <v>3321</v>
      </c>
      <c r="R1907" t="s">
        <v>1020</v>
      </c>
    </row>
    <row r="1908" spans="1:18" hidden="1">
      <c r="A1908">
        <v>4</v>
      </c>
      <c r="B1908" s="4" t="s">
        <v>3127</v>
      </c>
      <c r="C1908" s="4" t="s">
        <v>3374</v>
      </c>
      <c r="D1908" s="4" t="s">
        <v>3375</v>
      </c>
      <c r="E1908" s="4" t="s">
        <v>5804</v>
      </c>
      <c r="F1908" t="s">
        <v>1017</v>
      </c>
      <c r="G1908" t="s">
        <v>1017</v>
      </c>
      <c r="H1908" t="s">
        <v>21</v>
      </c>
      <c r="I1908">
        <v>4</v>
      </c>
      <c r="J1908" s="5">
        <v>6.9000000000000006E-2</v>
      </c>
      <c r="K1908" t="s">
        <v>218</v>
      </c>
      <c r="L1908" s="6">
        <v>42614</v>
      </c>
      <c r="M1908">
        <v>9</v>
      </c>
      <c r="N1908" s="7" t="s">
        <v>23</v>
      </c>
      <c r="O1908" t="s">
        <v>31</v>
      </c>
      <c r="P1908" t="s">
        <v>3400</v>
      </c>
      <c r="Q1908" t="s">
        <v>3401</v>
      </c>
      <c r="R1908" t="s">
        <v>3402</v>
      </c>
    </row>
    <row r="1909" spans="1:18" hidden="1">
      <c r="A1909">
        <v>4</v>
      </c>
      <c r="B1909" s="4" t="s">
        <v>3127</v>
      </c>
      <c r="C1909" s="4" t="s">
        <v>3374</v>
      </c>
      <c r="D1909" s="4" t="s">
        <v>3375</v>
      </c>
      <c r="E1909" s="4" t="s">
        <v>5804</v>
      </c>
      <c r="F1909" t="s">
        <v>1017</v>
      </c>
      <c r="G1909" t="s">
        <v>1017</v>
      </c>
      <c r="H1909" t="s">
        <v>21</v>
      </c>
      <c r="I1909">
        <v>4</v>
      </c>
      <c r="J1909" s="5">
        <v>6.9000000000000006E-2</v>
      </c>
      <c r="K1909" t="s">
        <v>1085</v>
      </c>
      <c r="L1909" s="6">
        <v>43862</v>
      </c>
      <c r="M1909">
        <v>2</v>
      </c>
      <c r="N1909" s="7" t="s">
        <v>30</v>
      </c>
      <c r="O1909" t="s">
        <v>31</v>
      </c>
      <c r="P1909" t="s">
        <v>3483</v>
      </c>
      <c r="Q1909" t="s">
        <v>3484</v>
      </c>
      <c r="R1909" t="s">
        <v>3485</v>
      </c>
    </row>
    <row r="1910" spans="1:18" hidden="1">
      <c r="A1910">
        <v>4</v>
      </c>
      <c r="B1910" s="4" t="s">
        <v>3127</v>
      </c>
      <c r="C1910" s="4" t="s">
        <v>3374</v>
      </c>
      <c r="D1910" s="4" t="s">
        <v>3375</v>
      </c>
      <c r="E1910" s="4" t="s">
        <v>5804</v>
      </c>
      <c r="F1910" t="s">
        <v>1017</v>
      </c>
      <c r="G1910" t="s">
        <v>1017</v>
      </c>
      <c r="H1910" t="s">
        <v>21</v>
      </c>
      <c r="I1910">
        <v>4</v>
      </c>
      <c r="J1910" s="5">
        <v>6.9000000000000006E-2</v>
      </c>
      <c r="K1910" t="s">
        <v>539</v>
      </c>
      <c r="L1910" s="6">
        <v>43922</v>
      </c>
      <c r="M1910">
        <v>4</v>
      </c>
      <c r="N1910" s="7" t="s">
        <v>23</v>
      </c>
      <c r="O1910" t="s">
        <v>31</v>
      </c>
      <c r="P1910" t="s">
        <v>3486</v>
      </c>
      <c r="Q1910" t="s">
        <v>3401</v>
      </c>
      <c r="R1910" t="s">
        <v>3402</v>
      </c>
    </row>
    <row r="1911" spans="1:18" hidden="1">
      <c r="A1911">
        <v>4</v>
      </c>
      <c r="B1911" s="4" t="s">
        <v>3127</v>
      </c>
      <c r="C1911" s="4" t="s">
        <v>3374</v>
      </c>
      <c r="D1911" s="4" t="s">
        <v>3375</v>
      </c>
      <c r="E1911" s="4" t="s">
        <v>5804</v>
      </c>
      <c r="F1911" t="s">
        <v>1017</v>
      </c>
      <c r="G1911" t="s">
        <v>1017</v>
      </c>
      <c r="H1911" t="s">
        <v>21</v>
      </c>
      <c r="I1911">
        <v>4</v>
      </c>
      <c r="J1911" s="5">
        <v>6.9000000000000006E-2</v>
      </c>
      <c r="K1911" t="s">
        <v>547</v>
      </c>
      <c r="L1911" s="6">
        <v>44075</v>
      </c>
      <c r="M1911">
        <v>9</v>
      </c>
      <c r="N1911" s="7" t="s">
        <v>23</v>
      </c>
      <c r="O1911" t="s">
        <v>31</v>
      </c>
      <c r="P1911" t="s">
        <v>3492</v>
      </c>
      <c r="Q1911" t="s">
        <v>3401</v>
      </c>
      <c r="R1911" t="s">
        <v>3402</v>
      </c>
    </row>
    <row r="1912" spans="1:18" hidden="1">
      <c r="A1912">
        <v>4</v>
      </c>
      <c r="B1912" s="4" t="s">
        <v>3127</v>
      </c>
      <c r="C1912" s="4" t="s">
        <v>3374</v>
      </c>
      <c r="D1912" s="4" t="s">
        <v>3375</v>
      </c>
      <c r="E1912" s="4" t="s">
        <v>5804</v>
      </c>
      <c r="F1912" t="s">
        <v>1017</v>
      </c>
      <c r="G1912" t="s">
        <v>1017</v>
      </c>
      <c r="H1912" t="s">
        <v>21</v>
      </c>
      <c r="I1912">
        <v>4</v>
      </c>
      <c r="J1912" s="5">
        <v>6.9000000000000006E-2</v>
      </c>
      <c r="K1912" t="s">
        <v>175</v>
      </c>
      <c r="L1912" s="6">
        <v>44166</v>
      </c>
      <c r="M1912">
        <v>12</v>
      </c>
      <c r="N1912" s="7" t="s">
        <v>30</v>
      </c>
      <c r="O1912" t="s">
        <v>31</v>
      </c>
      <c r="P1912" t="s">
        <v>3501</v>
      </c>
      <c r="Q1912" t="s">
        <v>3401</v>
      </c>
      <c r="R1912" t="s">
        <v>3402</v>
      </c>
    </row>
    <row r="1913" spans="1:18" hidden="1">
      <c r="A1913">
        <v>4</v>
      </c>
      <c r="B1913" s="4" t="s">
        <v>3127</v>
      </c>
      <c r="C1913" s="4" t="s">
        <v>3506</v>
      </c>
      <c r="D1913" s="4" t="s">
        <v>3572</v>
      </c>
      <c r="E1913" s="4" t="s">
        <v>5804</v>
      </c>
      <c r="F1913" t="s">
        <v>1017</v>
      </c>
      <c r="G1913" t="s">
        <v>1017</v>
      </c>
      <c r="H1913" t="s">
        <v>21</v>
      </c>
      <c r="I1913">
        <v>4</v>
      </c>
      <c r="J1913" s="5">
        <v>6.9000000000000006E-2</v>
      </c>
      <c r="K1913" t="s">
        <v>3590</v>
      </c>
      <c r="L1913" s="6">
        <v>43466</v>
      </c>
      <c r="M1913">
        <v>1</v>
      </c>
      <c r="N1913" s="7" t="s">
        <v>30</v>
      </c>
      <c r="O1913" t="s">
        <v>31</v>
      </c>
      <c r="P1913" t="s">
        <v>3591</v>
      </c>
      <c r="Q1913" t="s">
        <v>3592</v>
      </c>
      <c r="R1913" t="s">
        <v>1020</v>
      </c>
    </row>
    <row r="1914" spans="1:18" hidden="1">
      <c r="A1914">
        <v>4</v>
      </c>
      <c r="B1914" s="4" t="s">
        <v>3127</v>
      </c>
      <c r="C1914" s="4" t="s">
        <v>3597</v>
      </c>
      <c r="D1914" s="4" t="s">
        <v>3598</v>
      </c>
      <c r="E1914" s="4" t="s">
        <v>5804</v>
      </c>
      <c r="F1914" t="s">
        <v>1017</v>
      </c>
      <c r="G1914" t="s">
        <v>1017</v>
      </c>
      <c r="H1914" t="s">
        <v>21</v>
      </c>
      <c r="I1914">
        <v>4</v>
      </c>
      <c r="J1914" s="5">
        <v>6.9000000000000006E-2</v>
      </c>
      <c r="K1914" t="s">
        <v>365</v>
      </c>
      <c r="L1914" s="6">
        <v>44105</v>
      </c>
      <c r="M1914">
        <v>10</v>
      </c>
      <c r="N1914" s="7" t="s">
        <v>23</v>
      </c>
      <c r="O1914" t="s">
        <v>31</v>
      </c>
      <c r="P1914" t="s">
        <v>3615</v>
      </c>
      <c r="Q1914" t="s">
        <v>3616</v>
      </c>
      <c r="R1914" t="s">
        <v>1020</v>
      </c>
    </row>
    <row r="1915" spans="1:18" hidden="1">
      <c r="A1915">
        <v>4</v>
      </c>
      <c r="B1915" s="4" t="s">
        <v>3127</v>
      </c>
      <c r="C1915" s="4" t="s">
        <v>3597</v>
      </c>
      <c r="D1915" s="4" t="s">
        <v>3617</v>
      </c>
      <c r="E1915" s="4" t="s">
        <v>5804</v>
      </c>
      <c r="F1915" t="s">
        <v>1017</v>
      </c>
      <c r="G1915" t="s">
        <v>1017</v>
      </c>
      <c r="H1915" t="s">
        <v>21</v>
      </c>
      <c r="I1915">
        <v>4</v>
      </c>
      <c r="J1915" s="5">
        <v>6.9000000000000006E-2</v>
      </c>
      <c r="K1915" t="s">
        <v>422</v>
      </c>
      <c r="L1915" s="6">
        <v>42736</v>
      </c>
      <c r="M1915">
        <v>1</v>
      </c>
      <c r="N1915" s="7" t="s">
        <v>30</v>
      </c>
      <c r="O1915" t="s">
        <v>31</v>
      </c>
      <c r="P1915" t="s">
        <v>3624</v>
      </c>
      <c r="Q1915" t="s">
        <v>3625</v>
      </c>
      <c r="R1915" t="s">
        <v>1020</v>
      </c>
    </row>
    <row r="1916" spans="1:18" hidden="1">
      <c r="A1916">
        <v>4</v>
      </c>
      <c r="B1916" s="4" t="s">
        <v>3127</v>
      </c>
      <c r="C1916" s="4" t="s">
        <v>3597</v>
      </c>
      <c r="D1916" s="4" t="s">
        <v>3617</v>
      </c>
      <c r="E1916" s="4" t="s">
        <v>5804</v>
      </c>
      <c r="F1916" t="s">
        <v>1017</v>
      </c>
      <c r="G1916" t="s">
        <v>1017</v>
      </c>
      <c r="H1916" t="s">
        <v>21</v>
      </c>
      <c r="I1916">
        <v>4</v>
      </c>
      <c r="J1916" s="5">
        <v>6.9000000000000006E-2</v>
      </c>
      <c r="K1916" t="s">
        <v>22</v>
      </c>
      <c r="L1916" s="6">
        <v>42979</v>
      </c>
      <c r="M1916">
        <v>9</v>
      </c>
      <c r="N1916" s="7" t="s">
        <v>23</v>
      </c>
      <c r="O1916" t="s">
        <v>31</v>
      </c>
      <c r="P1916" t="s">
        <v>3633</v>
      </c>
      <c r="Q1916" t="s">
        <v>3625</v>
      </c>
      <c r="R1916" t="s">
        <v>1020</v>
      </c>
    </row>
    <row r="1917" spans="1:18" hidden="1">
      <c r="A1917">
        <v>4</v>
      </c>
      <c r="B1917" s="4" t="s">
        <v>3127</v>
      </c>
      <c r="C1917" s="4" t="s">
        <v>3597</v>
      </c>
      <c r="D1917" s="4" t="s">
        <v>3617</v>
      </c>
      <c r="E1917" s="4" t="s">
        <v>5804</v>
      </c>
      <c r="F1917" t="s">
        <v>1017</v>
      </c>
      <c r="G1917" t="s">
        <v>1017</v>
      </c>
      <c r="H1917" t="s">
        <v>21</v>
      </c>
      <c r="I1917">
        <v>4</v>
      </c>
      <c r="J1917" s="5">
        <v>6.9000000000000006E-2</v>
      </c>
      <c r="K1917" t="s">
        <v>482</v>
      </c>
      <c r="L1917" s="6">
        <v>43435</v>
      </c>
      <c r="M1917">
        <v>12</v>
      </c>
      <c r="N1917" s="7" t="s">
        <v>30</v>
      </c>
      <c r="O1917" t="s">
        <v>31</v>
      </c>
      <c r="P1917" t="s">
        <v>3646</v>
      </c>
      <c r="Q1917" t="s">
        <v>3625</v>
      </c>
      <c r="R1917" t="s">
        <v>1020</v>
      </c>
    </row>
    <row r="1918" spans="1:18" hidden="1">
      <c r="A1918">
        <v>4</v>
      </c>
      <c r="B1918" s="4" t="s">
        <v>3127</v>
      </c>
      <c r="C1918" s="4" t="s">
        <v>3597</v>
      </c>
      <c r="D1918" s="4" t="s">
        <v>3617</v>
      </c>
      <c r="E1918" s="4" t="s">
        <v>5804</v>
      </c>
      <c r="F1918" t="s">
        <v>1017</v>
      </c>
      <c r="G1918" t="s">
        <v>1017</v>
      </c>
      <c r="H1918" t="s">
        <v>21</v>
      </c>
      <c r="I1918">
        <v>4</v>
      </c>
      <c r="J1918" s="5">
        <v>6.9000000000000006E-2</v>
      </c>
      <c r="K1918" t="s">
        <v>691</v>
      </c>
      <c r="L1918" s="6">
        <v>43770</v>
      </c>
      <c r="M1918">
        <v>11</v>
      </c>
      <c r="N1918" s="7" t="s">
        <v>23</v>
      </c>
      <c r="O1918" t="s">
        <v>512</v>
      </c>
      <c r="P1918" t="s">
        <v>3647</v>
      </c>
      <c r="Q1918" t="s">
        <v>3648</v>
      </c>
      <c r="R1918" t="s">
        <v>1020</v>
      </c>
    </row>
    <row r="1919" spans="1:18" hidden="1">
      <c r="A1919">
        <v>4</v>
      </c>
      <c r="B1919" s="4" t="s">
        <v>3127</v>
      </c>
      <c r="C1919" s="4" t="s">
        <v>3597</v>
      </c>
      <c r="D1919" s="4" t="s">
        <v>3617</v>
      </c>
      <c r="E1919" s="4" t="s">
        <v>5804</v>
      </c>
      <c r="F1919" t="s">
        <v>1017</v>
      </c>
      <c r="G1919" t="s">
        <v>1017</v>
      </c>
      <c r="H1919" t="s">
        <v>21</v>
      </c>
      <c r="I1919">
        <v>4</v>
      </c>
      <c r="J1919" s="5">
        <v>6.9000000000000006E-2</v>
      </c>
      <c r="K1919" t="s">
        <v>255</v>
      </c>
      <c r="L1919" s="6">
        <v>43983</v>
      </c>
      <c r="M1919">
        <v>6</v>
      </c>
      <c r="N1919" s="7" t="s">
        <v>55</v>
      </c>
      <c r="O1919" t="s">
        <v>31</v>
      </c>
      <c r="P1919" t="s">
        <v>3650</v>
      </c>
      <c r="Q1919" t="s">
        <v>3651</v>
      </c>
      <c r="R1919" t="s">
        <v>1020</v>
      </c>
    </row>
    <row r="1920" spans="1:18" hidden="1">
      <c r="A1920">
        <v>4</v>
      </c>
      <c r="B1920" s="4" t="s">
        <v>3127</v>
      </c>
      <c r="C1920" s="4" t="s">
        <v>3597</v>
      </c>
      <c r="D1920" s="4" t="s">
        <v>3617</v>
      </c>
      <c r="E1920" s="4" t="s">
        <v>5804</v>
      </c>
      <c r="F1920" t="s">
        <v>1017</v>
      </c>
      <c r="G1920" t="s">
        <v>1017</v>
      </c>
      <c r="H1920" t="s">
        <v>21</v>
      </c>
      <c r="I1920">
        <v>4</v>
      </c>
      <c r="J1920" s="5">
        <v>6.9000000000000006E-2</v>
      </c>
      <c r="K1920" t="s">
        <v>3658</v>
      </c>
      <c r="L1920" s="6" t="s">
        <v>673</v>
      </c>
      <c r="M1920" t="e">
        <v>#VALUE!</v>
      </c>
      <c r="N1920" s="7" t="e">
        <v>#VALUE!</v>
      </c>
      <c r="O1920" t="s">
        <v>31</v>
      </c>
      <c r="P1920" t="s">
        <v>3659</v>
      </c>
      <c r="Q1920" t="s">
        <v>3625</v>
      </c>
      <c r="R1920" t="s">
        <v>1020</v>
      </c>
    </row>
    <row r="1921" spans="1:18" hidden="1">
      <c r="A1921">
        <v>4</v>
      </c>
      <c r="B1921" s="4" t="s">
        <v>3127</v>
      </c>
      <c r="C1921" s="4" t="s">
        <v>3597</v>
      </c>
      <c r="D1921" s="4" t="s">
        <v>3660</v>
      </c>
      <c r="E1921" s="4" t="s">
        <v>5804</v>
      </c>
      <c r="F1921" t="s">
        <v>1017</v>
      </c>
      <c r="G1921" t="s">
        <v>1017</v>
      </c>
      <c r="H1921" t="s">
        <v>21</v>
      </c>
      <c r="I1921">
        <v>4</v>
      </c>
      <c r="J1921" s="5">
        <v>6.9000000000000006E-2</v>
      </c>
      <c r="K1921" t="s">
        <v>382</v>
      </c>
      <c r="L1921" s="6">
        <v>42401</v>
      </c>
      <c r="M1921">
        <v>2</v>
      </c>
      <c r="N1921" s="7" t="s">
        <v>30</v>
      </c>
      <c r="O1921" t="s">
        <v>31</v>
      </c>
      <c r="P1921" t="s">
        <v>3665</v>
      </c>
      <c r="Q1921" t="s">
        <v>3651</v>
      </c>
      <c r="R1921" t="s">
        <v>1020</v>
      </c>
    </row>
    <row r="1922" spans="1:18" hidden="1">
      <c r="A1922">
        <v>4</v>
      </c>
      <c r="B1922" s="4" t="s">
        <v>3127</v>
      </c>
      <c r="C1922" s="4" t="s">
        <v>3597</v>
      </c>
      <c r="D1922" s="4" t="s">
        <v>3660</v>
      </c>
      <c r="E1922" s="4" t="s">
        <v>5804</v>
      </c>
      <c r="F1922" t="s">
        <v>1017</v>
      </c>
      <c r="G1922" t="s">
        <v>1017</v>
      </c>
      <c r="H1922" t="s">
        <v>21</v>
      </c>
      <c r="I1922">
        <v>4</v>
      </c>
      <c r="J1922" s="5">
        <v>6.9000000000000006E-2</v>
      </c>
      <c r="K1922" t="s">
        <v>422</v>
      </c>
      <c r="L1922" s="6">
        <v>42736</v>
      </c>
      <c r="M1922">
        <v>1</v>
      </c>
      <c r="N1922" s="7" t="s">
        <v>30</v>
      </c>
      <c r="O1922" t="s">
        <v>31</v>
      </c>
      <c r="P1922" t="s">
        <v>3691</v>
      </c>
      <c r="Q1922" t="s">
        <v>3692</v>
      </c>
      <c r="R1922" t="s">
        <v>1020</v>
      </c>
    </row>
    <row r="1923" spans="1:18" hidden="1">
      <c r="A1923">
        <v>4</v>
      </c>
      <c r="B1923" s="4" t="s">
        <v>3127</v>
      </c>
      <c r="C1923" s="4" t="s">
        <v>3597</v>
      </c>
      <c r="D1923" s="4" t="s">
        <v>3660</v>
      </c>
      <c r="E1923" s="4" t="s">
        <v>5804</v>
      </c>
      <c r="F1923" t="s">
        <v>1017</v>
      </c>
      <c r="G1923" t="s">
        <v>1017</v>
      </c>
      <c r="H1923" t="s">
        <v>21</v>
      </c>
      <c r="I1923">
        <v>4</v>
      </c>
      <c r="J1923" s="5">
        <v>6.9000000000000006E-2</v>
      </c>
      <c r="K1923" t="s">
        <v>80</v>
      </c>
      <c r="L1923" s="6">
        <v>42917</v>
      </c>
      <c r="M1923">
        <v>7</v>
      </c>
      <c r="N1923" s="7" t="s">
        <v>55</v>
      </c>
      <c r="O1923" t="s">
        <v>31</v>
      </c>
      <c r="P1923" t="s">
        <v>3703</v>
      </c>
      <c r="Q1923" t="s">
        <v>3692</v>
      </c>
      <c r="R1923" t="s">
        <v>1020</v>
      </c>
    </row>
    <row r="1924" spans="1:18" hidden="1">
      <c r="A1924">
        <v>4</v>
      </c>
      <c r="B1924" s="4" t="s">
        <v>3127</v>
      </c>
      <c r="C1924" s="4" t="s">
        <v>3597</v>
      </c>
      <c r="D1924" s="4" t="s">
        <v>3660</v>
      </c>
      <c r="E1924" s="4" t="s">
        <v>5804</v>
      </c>
      <c r="F1924" t="s">
        <v>1017</v>
      </c>
      <c r="G1924" t="s">
        <v>1017</v>
      </c>
      <c r="H1924" t="s">
        <v>21</v>
      </c>
      <c r="I1924">
        <v>4</v>
      </c>
      <c r="J1924" s="5">
        <v>6.9000000000000006E-2</v>
      </c>
      <c r="K1924" t="s">
        <v>83</v>
      </c>
      <c r="L1924" s="6">
        <v>42948</v>
      </c>
      <c r="M1924">
        <v>8</v>
      </c>
      <c r="N1924" s="7" t="s">
        <v>55</v>
      </c>
      <c r="O1924" t="s">
        <v>31</v>
      </c>
      <c r="P1924" t="s">
        <v>3707</v>
      </c>
      <c r="Q1924" t="s">
        <v>3708</v>
      </c>
      <c r="R1924" t="s">
        <v>3709</v>
      </c>
    </row>
    <row r="1925" spans="1:18" hidden="1">
      <c r="A1925">
        <v>4</v>
      </c>
      <c r="B1925" s="4" t="s">
        <v>3127</v>
      </c>
      <c r="C1925" s="4" t="s">
        <v>3789</v>
      </c>
      <c r="D1925" s="4" t="s">
        <v>3790</v>
      </c>
      <c r="E1925" s="4" t="s">
        <v>5804</v>
      </c>
      <c r="F1925" t="s">
        <v>1017</v>
      </c>
      <c r="G1925" t="s">
        <v>1017</v>
      </c>
      <c r="H1925" t="s">
        <v>21</v>
      </c>
      <c r="I1925">
        <v>4</v>
      </c>
      <c r="J1925" s="5">
        <v>6.9000000000000006E-2</v>
      </c>
      <c r="K1925" t="s">
        <v>701</v>
      </c>
      <c r="L1925" s="6">
        <v>42491</v>
      </c>
      <c r="M1925">
        <v>5</v>
      </c>
      <c r="N1925" s="7" t="s">
        <v>23</v>
      </c>
      <c r="O1925" t="s">
        <v>31</v>
      </c>
      <c r="P1925" t="s">
        <v>3797</v>
      </c>
      <c r="Q1925" t="s">
        <v>3708</v>
      </c>
      <c r="R1925" t="s">
        <v>1020</v>
      </c>
    </row>
    <row r="1926" spans="1:18" hidden="1">
      <c r="A1926">
        <v>4</v>
      </c>
      <c r="B1926" s="4" t="s">
        <v>3127</v>
      </c>
      <c r="C1926" s="4" t="s">
        <v>3789</v>
      </c>
      <c r="D1926" s="4" t="s">
        <v>3815</v>
      </c>
      <c r="E1926" s="4" t="s">
        <v>5804</v>
      </c>
      <c r="F1926" t="s">
        <v>1017</v>
      </c>
      <c r="G1926" t="s">
        <v>1017</v>
      </c>
      <c r="H1926" t="s">
        <v>21</v>
      </c>
      <c r="I1926">
        <v>4</v>
      </c>
      <c r="J1926" s="5">
        <v>6.9000000000000006E-2</v>
      </c>
      <c r="K1926" t="s">
        <v>115</v>
      </c>
      <c r="L1926" s="6">
        <v>42461</v>
      </c>
      <c r="M1926">
        <v>4</v>
      </c>
      <c r="N1926" s="7" t="s">
        <v>23</v>
      </c>
      <c r="O1926" t="s">
        <v>31</v>
      </c>
      <c r="P1926" t="s">
        <v>3828</v>
      </c>
      <c r="Q1926" t="s">
        <v>3708</v>
      </c>
      <c r="R1926" t="s">
        <v>1020</v>
      </c>
    </row>
    <row r="1927" spans="1:18" hidden="1">
      <c r="A1927">
        <v>4</v>
      </c>
      <c r="B1927" s="4" t="s">
        <v>3127</v>
      </c>
      <c r="C1927" s="4" t="s">
        <v>3789</v>
      </c>
      <c r="D1927" s="4" t="s">
        <v>3815</v>
      </c>
      <c r="E1927" s="4" t="s">
        <v>5804</v>
      </c>
      <c r="F1927" t="s">
        <v>1017</v>
      </c>
      <c r="G1927" t="s">
        <v>1017</v>
      </c>
      <c r="H1927" t="s">
        <v>21</v>
      </c>
      <c r="I1927">
        <v>4</v>
      </c>
      <c r="J1927" s="5">
        <v>6.9000000000000006E-2</v>
      </c>
      <c r="K1927" t="s">
        <v>76</v>
      </c>
      <c r="L1927" s="6">
        <v>42856</v>
      </c>
      <c r="M1927">
        <v>5</v>
      </c>
      <c r="N1927" s="7" t="s">
        <v>23</v>
      </c>
      <c r="O1927" t="s">
        <v>31</v>
      </c>
      <c r="P1927" t="s">
        <v>3853</v>
      </c>
      <c r="Q1927" t="s">
        <v>3854</v>
      </c>
      <c r="R1927" t="s">
        <v>1020</v>
      </c>
    </row>
    <row r="1928" spans="1:18" hidden="1">
      <c r="A1928">
        <v>4</v>
      </c>
      <c r="B1928" s="4" t="s">
        <v>3127</v>
      </c>
      <c r="C1928" s="4" t="s">
        <v>3789</v>
      </c>
      <c r="D1928" s="4" t="s">
        <v>3815</v>
      </c>
      <c r="E1928" s="4" t="s">
        <v>5804</v>
      </c>
      <c r="F1928" t="s">
        <v>1017</v>
      </c>
      <c r="G1928" t="s">
        <v>1017</v>
      </c>
      <c r="H1928" t="s">
        <v>21</v>
      </c>
      <c r="I1928">
        <v>4</v>
      </c>
      <c r="J1928" s="5">
        <v>6.9000000000000006E-2</v>
      </c>
      <c r="K1928" t="s">
        <v>83</v>
      </c>
      <c r="L1928" s="6">
        <v>42948</v>
      </c>
      <c r="M1928">
        <v>8</v>
      </c>
      <c r="N1928" s="7" t="s">
        <v>55</v>
      </c>
      <c r="O1928" t="s">
        <v>31</v>
      </c>
      <c r="P1928" t="s">
        <v>3858</v>
      </c>
      <c r="Q1928" t="s">
        <v>3859</v>
      </c>
      <c r="R1928" t="s">
        <v>1020</v>
      </c>
    </row>
    <row r="1929" spans="1:18" hidden="1">
      <c r="A1929">
        <v>4</v>
      </c>
      <c r="B1929" s="4" t="s">
        <v>3127</v>
      </c>
      <c r="C1929" s="4" t="s">
        <v>3789</v>
      </c>
      <c r="D1929" s="4" t="s">
        <v>3815</v>
      </c>
      <c r="E1929" s="4" t="s">
        <v>5804</v>
      </c>
      <c r="F1929" t="s">
        <v>1017</v>
      </c>
      <c r="G1929" t="s">
        <v>1017</v>
      </c>
      <c r="H1929" t="s">
        <v>21</v>
      </c>
      <c r="I1929">
        <v>4</v>
      </c>
      <c r="J1929" s="5">
        <v>6.9000000000000006E-2</v>
      </c>
      <c r="K1929" t="s">
        <v>298</v>
      </c>
      <c r="L1929" s="6">
        <v>43344</v>
      </c>
      <c r="M1929">
        <v>9</v>
      </c>
      <c r="N1929" s="7" t="s">
        <v>23</v>
      </c>
      <c r="O1929" t="s">
        <v>31</v>
      </c>
      <c r="P1929" t="s">
        <v>3883</v>
      </c>
      <c r="Q1929" t="s">
        <v>3884</v>
      </c>
      <c r="R1929" t="s">
        <v>1020</v>
      </c>
    </row>
    <row r="1930" spans="1:18" hidden="1">
      <c r="A1930">
        <v>4</v>
      </c>
      <c r="B1930" s="4" t="s">
        <v>3127</v>
      </c>
      <c r="C1930" s="4" t="s">
        <v>3789</v>
      </c>
      <c r="D1930" s="4" t="s">
        <v>3815</v>
      </c>
      <c r="E1930" s="4" t="s">
        <v>5804</v>
      </c>
      <c r="F1930" t="s">
        <v>1017</v>
      </c>
      <c r="G1930" t="s">
        <v>1017</v>
      </c>
      <c r="H1930" t="s">
        <v>21</v>
      </c>
      <c r="I1930">
        <v>4</v>
      </c>
      <c r="J1930" s="5">
        <v>6.9000000000000006E-2</v>
      </c>
      <c r="K1930" t="s">
        <v>152</v>
      </c>
      <c r="L1930" s="6">
        <v>43374</v>
      </c>
      <c r="M1930">
        <v>10</v>
      </c>
      <c r="N1930" s="7" t="s">
        <v>23</v>
      </c>
      <c r="O1930" t="s">
        <v>31</v>
      </c>
      <c r="P1930" t="s">
        <v>3888</v>
      </c>
      <c r="Q1930" t="s">
        <v>3889</v>
      </c>
      <c r="R1930" t="s">
        <v>1020</v>
      </c>
    </row>
    <row r="1931" spans="1:18" hidden="1">
      <c r="A1931">
        <v>4</v>
      </c>
      <c r="B1931" s="4" t="s">
        <v>3127</v>
      </c>
      <c r="C1931" s="4" t="s">
        <v>3789</v>
      </c>
      <c r="D1931" s="4" t="s">
        <v>3815</v>
      </c>
      <c r="E1931" s="4" t="s">
        <v>5804</v>
      </c>
      <c r="F1931" t="s">
        <v>1017</v>
      </c>
      <c r="G1931" t="s">
        <v>1017</v>
      </c>
      <c r="H1931" t="s">
        <v>21</v>
      </c>
      <c r="I1931">
        <v>4</v>
      </c>
      <c r="J1931" s="5">
        <v>6.9000000000000006E-2</v>
      </c>
      <c r="K1931" t="s">
        <v>654</v>
      </c>
      <c r="L1931" s="6">
        <v>43556</v>
      </c>
      <c r="M1931">
        <v>4</v>
      </c>
      <c r="N1931" s="7" t="s">
        <v>23</v>
      </c>
      <c r="O1931" t="s">
        <v>31</v>
      </c>
      <c r="P1931" t="s">
        <v>3890</v>
      </c>
      <c r="Q1931" t="s">
        <v>3891</v>
      </c>
      <c r="R1931" t="s">
        <v>1020</v>
      </c>
    </row>
    <row r="1932" spans="1:18" hidden="1">
      <c r="A1932">
        <v>4</v>
      </c>
      <c r="B1932" s="4" t="s">
        <v>3127</v>
      </c>
      <c r="C1932" s="4" t="s">
        <v>3789</v>
      </c>
      <c r="D1932" s="4" t="s">
        <v>3815</v>
      </c>
      <c r="E1932" s="4" t="s">
        <v>5804</v>
      </c>
      <c r="F1932" t="s">
        <v>1017</v>
      </c>
      <c r="G1932" t="s">
        <v>1017</v>
      </c>
      <c r="H1932" t="s">
        <v>21</v>
      </c>
      <c r="I1932">
        <v>4</v>
      </c>
      <c r="J1932" s="5">
        <v>6.9000000000000006E-2</v>
      </c>
      <c r="K1932" t="s">
        <v>547</v>
      </c>
      <c r="L1932" s="6">
        <v>44075</v>
      </c>
      <c r="M1932">
        <v>9</v>
      </c>
      <c r="N1932" s="7" t="s">
        <v>23</v>
      </c>
      <c r="O1932" t="s">
        <v>31</v>
      </c>
      <c r="P1932" t="s">
        <v>3910</v>
      </c>
      <c r="Q1932" t="s">
        <v>3911</v>
      </c>
      <c r="R1932" t="s">
        <v>1020</v>
      </c>
    </row>
    <row r="1933" spans="1:18" hidden="1">
      <c r="A1933">
        <v>4</v>
      </c>
      <c r="B1933" s="4" t="s">
        <v>3127</v>
      </c>
      <c r="C1933" s="4" t="s">
        <v>3789</v>
      </c>
      <c r="D1933" s="4" t="s">
        <v>3815</v>
      </c>
      <c r="E1933" s="4" t="s">
        <v>5804</v>
      </c>
      <c r="F1933" t="s">
        <v>1017</v>
      </c>
      <c r="G1933" t="s">
        <v>1017</v>
      </c>
      <c r="H1933" t="s">
        <v>21</v>
      </c>
      <c r="I1933">
        <v>4</v>
      </c>
      <c r="J1933" s="5">
        <v>6.9000000000000006E-2</v>
      </c>
      <c r="K1933" t="s">
        <v>102</v>
      </c>
      <c r="L1933" s="6">
        <v>44287</v>
      </c>
      <c r="M1933">
        <v>4</v>
      </c>
      <c r="N1933" s="7" t="s">
        <v>23</v>
      </c>
      <c r="O1933" t="s">
        <v>31</v>
      </c>
      <c r="P1933" t="s">
        <v>3921</v>
      </c>
      <c r="Q1933" t="s">
        <v>3922</v>
      </c>
      <c r="R1933" t="s">
        <v>1020</v>
      </c>
    </row>
    <row r="1934" spans="1:18" hidden="1">
      <c r="A1934">
        <v>4</v>
      </c>
      <c r="B1934" s="4" t="s">
        <v>3127</v>
      </c>
      <c r="C1934" s="4" t="s">
        <v>3939</v>
      </c>
      <c r="D1934" s="4" t="s">
        <v>3958</v>
      </c>
      <c r="E1934" s="4" t="s">
        <v>5804</v>
      </c>
      <c r="F1934" t="s">
        <v>1017</v>
      </c>
      <c r="G1934" t="s">
        <v>1017</v>
      </c>
      <c r="H1934" t="s">
        <v>21</v>
      </c>
      <c r="I1934">
        <v>4</v>
      </c>
      <c r="J1934" s="5">
        <v>6.9000000000000006E-2</v>
      </c>
      <c r="K1934" t="s">
        <v>83</v>
      </c>
      <c r="L1934" s="6">
        <v>42948</v>
      </c>
      <c r="M1934">
        <v>8</v>
      </c>
      <c r="N1934" s="7" t="s">
        <v>55</v>
      </c>
      <c r="O1934" t="s">
        <v>31</v>
      </c>
      <c r="P1934" t="s">
        <v>3980</v>
      </c>
      <c r="Q1934" t="s">
        <v>3981</v>
      </c>
      <c r="R1934" t="s">
        <v>3982</v>
      </c>
    </row>
    <row r="1935" spans="1:18" hidden="1">
      <c r="A1935">
        <v>4</v>
      </c>
      <c r="B1935" s="4" t="s">
        <v>3127</v>
      </c>
      <c r="C1935" s="4" t="s">
        <v>3939</v>
      </c>
      <c r="D1935" s="4" t="s">
        <v>3958</v>
      </c>
      <c r="E1935" s="4" t="s">
        <v>5804</v>
      </c>
      <c r="F1935" t="s">
        <v>1017</v>
      </c>
      <c r="G1935" t="s">
        <v>1017</v>
      </c>
      <c r="H1935" t="s">
        <v>21</v>
      </c>
      <c r="I1935">
        <v>4</v>
      </c>
      <c r="J1935" s="5">
        <v>6.9000000000000006E-2</v>
      </c>
      <c r="K1935" t="s">
        <v>267</v>
      </c>
      <c r="L1935" s="6">
        <v>44044</v>
      </c>
      <c r="M1935">
        <v>8</v>
      </c>
      <c r="N1935" s="7" t="s">
        <v>55</v>
      </c>
      <c r="O1935" t="s">
        <v>31</v>
      </c>
      <c r="P1935" t="s">
        <v>4008</v>
      </c>
      <c r="Q1935" t="s">
        <v>4009</v>
      </c>
      <c r="R1935" t="s">
        <v>4010</v>
      </c>
    </row>
    <row r="1936" spans="1:18" hidden="1">
      <c r="A1936">
        <v>4</v>
      </c>
      <c r="B1936" s="4" t="s">
        <v>3127</v>
      </c>
      <c r="C1936" s="4" t="s">
        <v>4035</v>
      </c>
      <c r="D1936" s="4" t="s">
        <v>4080</v>
      </c>
      <c r="E1936" s="4" t="s">
        <v>5804</v>
      </c>
      <c r="F1936" t="s">
        <v>1017</v>
      </c>
      <c r="G1936" t="s">
        <v>1017</v>
      </c>
      <c r="H1936" t="s">
        <v>21</v>
      </c>
      <c r="I1936">
        <v>4</v>
      </c>
      <c r="J1936" s="5">
        <v>6.9000000000000006E-2</v>
      </c>
      <c r="K1936" t="s">
        <v>115</v>
      </c>
      <c r="L1936" s="6">
        <v>42461</v>
      </c>
      <c r="M1936">
        <v>4</v>
      </c>
      <c r="N1936" s="7" t="s">
        <v>23</v>
      </c>
      <c r="O1936" t="s">
        <v>31</v>
      </c>
      <c r="P1936" t="s">
        <v>4092</v>
      </c>
      <c r="Q1936" t="s">
        <v>4093</v>
      </c>
      <c r="R1936" t="s">
        <v>4094</v>
      </c>
    </row>
    <row r="1937" spans="1:18" hidden="1">
      <c r="A1937">
        <v>4</v>
      </c>
      <c r="B1937" s="4" t="s">
        <v>3127</v>
      </c>
      <c r="C1937" s="4" t="s">
        <v>4035</v>
      </c>
      <c r="D1937" s="4" t="s">
        <v>4080</v>
      </c>
      <c r="E1937" s="4" t="s">
        <v>5804</v>
      </c>
      <c r="F1937" t="s">
        <v>1017</v>
      </c>
      <c r="G1937" t="s">
        <v>1017</v>
      </c>
      <c r="H1937" t="s">
        <v>21</v>
      </c>
      <c r="I1937">
        <v>4</v>
      </c>
      <c r="J1937" s="5">
        <v>6.9000000000000006E-2</v>
      </c>
      <c r="K1937" t="s">
        <v>76</v>
      </c>
      <c r="L1937" s="6">
        <v>42856</v>
      </c>
      <c r="M1937">
        <v>5</v>
      </c>
      <c r="N1937" s="7" t="s">
        <v>23</v>
      </c>
      <c r="O1937" t="s">
        <v>31</v>
      </c>
      <c r="P1937" t="s">
        <v>4107</v>
      </c>
      <c r="Q1937" t="s">
        <v>4108</v>
      </c>
      <c r="R1937" t="s">
        <v>4109</v>
      </c>
    </row>
    <row r="1938" spans="1:18" hidden="1">
      <c r="A1938">
        <v>4</v>
      </c>
      <c r="B1938" s="4" t="s">
        <v>3127</v>
      </c>
      <c r="C1938" s="4" t="s">
        <v>4035</v>
      </c>
      <c r="D1938" s="4" t="s">
        <v>4080</v>
      </c>
      <c r="E1938" s="4" t="s">
        <v>5804</v>
      </c>
      <c r="F1938" t="s">
        <v>1017</v>
      </c>
      <c r="G1938" t="s">
        <v>1017</v>
      </c>
      <c r="H1938" t="s">
        <v>21</v>
      </c>
      <c r="I1938">
        <v>4</v>
      </c>
      <c r="J1938" s="5">
        <v>6.9000000000000006E-2</v>
      </c>
      <c r="K1938" t="s">
        <v>797</v>
      </c>
      <c r="L1938" s="6">
        <v>43252</v>
      </c>
      <c r="M1938">
        <v>6</v>
      </c>
      <c r="N1938" s="7" t="s">
        <v>55</v>
      </c>
      <c r="O1938" t="s">
        <v>31</v>
      </c>
      <c r="P1938" t="s">
        <v>4129</v>
      </c>
      <c r="Q1938" t="s">
        <v>4130</v>
      </c>
      <c r="R1938" t="s">
        <v>4094</v>
      </c>
    </row>
    <row r="1939" spans="1:18" hidden="1">
      <c r="A1939">
        <v>4</v>
      </c>
      <c r="B1939" s="4" t="s">
        <v>3127</v>
      </c>
      <c r="C1939" s="4" t="s">
        <v>4035</v>
      </c>
      <c r="D1939" s="4" t="s">
        <v>4080</v>
      </c>
      <c r="E1939" s="4" t="s">
        <v>5804</v>
      </c>
      <c r="F1939" t="s">
        <v>1017</v>
      </c>
      <c r="G1939" t="s">
        <v>1017</v>
      </c>
      <c r="H1939" t="s">
        <v>21</v>
      </c>
      <c r="I1939">
        <v>4</v>
      </c>
      <c r="J1939" s="5">
        <v>6.9000000000000006E-2</v>
      </c>
      <c r="K1939" t="s">
        <v>156</v>
      </c>
      <c r="L1939" s="6">
        <v>43405</v>
      </c>
      <c r="M1939">
        <v>11</v>
      </c>
      <c r="N1939" s="7" t="s">
        <v>23</v>
      </c>
      <c r="O1939" t="s">
        <v>31</v>
      </c>
      <c r="P1939" t="s">
        <v>4141</v>
      </c>
      <c r="Q1939" t="s">
        <v>4130</v>
      </c>
      <c r="R1939" t="s">
        <v>4094</v>
      </c>
    </row>
    <row r="1940" spans="1:18" hidden="1">
      <c r="A1940">
        <v>4</v>
      </c>
      <c r="B1940" s="4" t="s">
        <v>3127</v>
      </c>
      <c r="C1940" s="4" t="s">
        <v>4035</v>
      </c>
      <c r="D1940" s="4" t="s">
        <v>4080</v>
      </c>
      <c r="E1940" s="4" t="s">
        <v>5804</v>
      </c>
      <c r="F1940" t="s">
        <v>1017</v>
      </c>
      <c r="G1940" t="s">
        <v>1017</v>
      </c>
      <c r="H1940" t="s">
        <v>21</v>
      </c>
      <c r="I1940">
        <v>4</v>
      </c>
      <c r="J1940" s="5">
        <v>6.9000000000000006E-2</v>
      </c>
      <c r="K1940" t="s">
        <v>43</v>
      </c>
      <c r="L1940" s="6">
        <v>43525</v>
      </c>
      <c r="M1940">
        <v>3</v>
      </c>
      <c r="N1940" s="7" t="s">
        <v>23</v>
      </c>
      <c r="O1940" t="s">
        <v>31</v>
      </c>
      <c r="P1940" t="s">
        <v>4145</v>
      </c>
      <c r="Q1940" t="s">
        <v>4093</v>
      </c>
      <c r="R1940" t="s">
        <v>4094</v>
      </c>
    </row>
    <row r="1941" spans="1:18" hidden="1">
      <c r="A1941">
        <v>4</v>
      </c>
      <c r="B1941" s="4" t="s">
        <v>3127</v>
      </c>
      <c r="C1941" s="4" t="s">
        <v>4035</v>
      </c>
      <c r="D1941" s="4" t="s">
        <v>4080</v>
      </c>
      <c r="E1941" s="4" t="s">
        <v>5804</v>
      </c>
      <c r="F1941" t="s">
        <v>1017</v>
      </c>
      <c r="G1941" t="s">
        <v>1017</v>
      </c>
      <c r="H1941" t="s">
        <v>21</v>
      </c>
      <c r="I1941">
        <v>4</v>
      </c>
      <c r="J1941" s="5">
        <v>6.9000000000000006E-2</v>
      </c>
      <c r="K1941" t="s">
        <v>654</v>
      </c>
      <c r="L1941" s="6">
        <v>43556</v>
      </c>
      <c r="M1941">
        <v>4</v>
      </c>
      <c r="N1941" s="7" t="s">
        <v>23</v>
      </c>
      <c r="O1941" t="s">
        <v>31</v>
      </c>
      <c r="P1941" t="s">
        <v>4147</v>
      </c>
      <c r="Q1941" t="s">
        <v>4148</v>
      </c>
      <c r="R1941" t="s">
        <v>4149</v>
      </c>
    </row>
    <row r="1942" spans="1:18" hidden="1">
      <c r="A1942">
        <v>4</v>
      </c>
      <c r="B1942" s="4" t="s">
        <v>3127</v>
      </c>
      <c r="C1942" s="4" t="s">
        <v>4035</v>
      </c>
      <c r="D1942" s="4" t="s">
        <v>4080</v>
      </c>
      <c r="E1942" s="4" t="s">
        <v>5804</v>
      </c>
      <c r="F1942" t="s">
        <v>1017</v>
      </c>
      <c r="G1942" t="s">
        <v>1017</v>
      </c>
      <c r="H1942" t="s">
        <v>21</v>
      </c>
      <c r="I1942">
        <v>4</v>
      </c>
      <c r="J1942" s="5">
        <v>6.9000000000000006E-2</v>
      </c>
      <c r="K1942" t="s">
        <v>99</v>
      </c>
      <c r="L1942" s="6">
        <v>43891</v>
      </c>
      <c r="M1942">
        <v>3</v>
      </c>
      <c r="N1942" s="7" t="s">
        <v>23</v>
      </c>
      <c r="O1942" t="s">
        <v>31</v>
      </c>
      <c r="P1942" t="s">
        <v>4170</v>
      </c>
      <c r="Q1942" t="s">
        <v>4171</v>
      </c>
      <c r="R1942" t="s">
        <v>4094</v>
      </c>
    </row>
    <row r="1943" spans="1:18" hidden="1">
      <c r="A1943">
        <v>4</v>
      </c>
      <c r="B1943" s="4" t="s">
        <v>3127</v>
      </c>
      <c r="C1943" s="4" t="s">
        <v>4035</v>
      </c>
      <c r="D1943" s="4" t="s">
        <v>4080</v>
      </c>
      <c r="E1943" s="4" t="s">
        <v>5804</v>
      </c>
      <c r="F1943" t="s">
        <v>1017</v>
      </c>
      <c r="G1943" t="s">
        <v>1017</v>
      </c>
      <c r="H1943" t="s">
        <v>21</v>
      </c>
      <c r="I1943">
        <v>4</v>
      </c>
      <c r="J1943" s="5">
        <v>6.9000000000000006E-2</v>
      </c>
      <c r="K1943" t="s">
        <v>267</v>
      </c>
      <c r="L1943" s="6">
        <v>44044</v>
      </c>
      <c r="M1943">
        <v>8</v>
      </c>
      <c r="N1943" s="7" t="s">
        <v>55</v>
      </c>
      <c r="O1943" t="s">
        <v>31</v>
      </c>
      <c r="P1943" t="s">
        <v>4181</v>
      </c>
      <c r="Q1943" t="s">
        <v>4182</v>
      </c>
      <c r="R1943" t="s">
        <v>4109</v>
      </c>
    </row>
    <row r="1944" spans="1:18" hidden="1">
      <c r="A1944">
        <v>4</v>
      </c>
      <c r="B1944" s="4" t="s">
        <v>3127</v>
      </c>
      <c r="C1944" s="4" t="s">
        <v>4035</v>
      </c>
      <c r="D1944" s="4" t="s">
        <v>4080</v>
      </c>
      <c r="E1944" s="4" t="s">
        <v>5804</v>
      </c>
      <c r="F1944" t="s">
        <v>1017</v>
      </c>
      <c r="G1944" t="s">
        <v>1017</v>
      </c>
      <c r="H1944" t="s">
        <v>21</v>
      </c>
      <c r="I1944">
        <v>4</v>
      </c>
      <c r="J1944" s="5">
        <v>6.9000000000000006E-2</v>
      </c>
      <c r="K1944" t="s">
        <v>645</v>
      </c>
      <c r="L1944" s="6">
        <v>44440</v>
      </c>
      <c r="M1944">
        <v>9</v>
      </c>
      <c r="N1944" s="7" t="s">
        <v>23</v>
      </c>
      <c r="O1944" t="s">
        <v>31</v>
      </c>
      <c r="P1944" t="s">
        <v>4205</v>
      </c>
      <c r="Q1944" t="s">
        <v>4206</v>
      </c>
      <c r="R1944" t="s">
        <v>4109</v>
      </c>
    </row>
    <row r="1945" spans="1:18" hidden="1">
      <c r="A1945">
        <v>4</v>
      </c>
      <c r="B1945" s="4" t="s">
        <v>3127</v>
      </c>
      <c r="C1945" s="4" t="s">
        <v>4207</v>
      </c>
      <c r="D1945" s="4" t="s">
        <v>4208</v>
      </c>
      <c r="E1945" s="4" t="s">
        <v>5804</v>
      </c>
      <c r="F1945" t="s">
        <v>1017</v>
      </c>
      <c r="G1945" t="s">
        <v>1017</v>
      </c>
      <c r="H1945" t="s">
        <v>21</v>
      </c>
      <c r="I1945">
        <v>4</v>
      </c>
      <c r="J1945" s="5">
        <v>6.9000000000000006E-2</v>
      </c>
      <c r="K1945" t="s">
        <v>43</v>
      </c>
      <c r="L1945" s="6">
        <v>43525</v>
      </c>
      <c r="M1945">
        <v>3</v>
      </c>
      <c r="N1945" s="7" t="s">
        <v>23</v>
      </c>
      <c r="O1945" t="s">
        <v>31</v>
      </c>
      <c r="P1945" t="s">
        <v>4237</v>
      </c>
      <c r="Q1945" t="s">
        <v>4238</v>
      </c>
      <c r="R1945" t="s">
        <v>4094</v>
      </c>
    </row>
    <row r="1946" spans="1:18" hidden="1">
      <c r="A1946">
        <v>4</v>
      </c>
      <c r="B1946" s="4" t="s">
        <v>3127</v>
      </c>
      <c r="C1946" s="4" t="s">
        <v>4207</v>
      </c>
      <c r="D1946" s="4" t="s">
        <v>4257</v>
      </c>
      <c r="E1946" s="4" t="s">
        <v>5804</v>
      </c>
      <c r="F1946" t="s">
        <v>1017</v>
      </c>
      <c r="G1946" t="s">
        <v>1017</v>
      </c>
      <c r="H1946" t="s">
        <v>21</v>
      </c>
      <c r="I1946">
        <v>4</v>
      </c>
      <c r="J1946" s="5">
        <v>6.9000000000000006E-2</v>
      </c>
      <c r="K1946" t="s">
        <v>218</v>
      </c>
      <c r="L1946" s="6">
        <v>42614</v>
      </c>
      <c r="M1946">
        <v>9</v>
      </c>
      <c r="N1946" s="7" t="s">
        <v>23</v>
      </c>
      <c r="O1946" t="s">
        <v>31</v>
      </c>
      <c r="P1946" t="s">
        <v>4304</v>
      </c>
      <c r="Q1946" t="s">
        <v>4305</v>
      </c>
      <c r="R1946" t="s">
        <v>4306</v>
      </c>
    </row>
    <row r="1947" spans="1:18" hidden="1">
      <c r="A1947">
        <v>4</v>
      </c>
      <c r="B1947" s="4" t="s">
        <v>3127</v>
      </c>
      <c r="C1947" s="4" t="s">
        <v>4207</v>
      </c>
      <c r="D1947" s="4" t="s">
        <v>4257</v>
      </c>
      <c r="E1947" s="4" t="s">
        <v>5804</v>
      </c>
      <c r="F1947" t="s">
        <v>1017</v>
      </c>
      <c r="G1947" t="s">
        <v>1017</v>
      </c>
      <c r="H1947" t="s">
        <v>21</v>
      </c>
      <c r="I1947">
        <v>4</v>
      </c>
      <c r="J1947" s="5">
        <v>6.9000000000000006E-2</v>
      </c>
      <c r="K1947" t="s">
        <v>477</v>
      </c>
      <c r="L1947" s="6">
        <v>42705</v>
      </c>
      <c r="M1947">
        <v>12</v>
      </c>
      <c r="N1947" s="7" t="s">
        <v>30</v>
      </c>
      <c r="O1947" t="s">
        <v>31</v>
      </c>
      <c r="P1947" t="s">
        <v>4323</v>
      </c>
      <c r="Q1947" t="s">
        <v>4324</v>
      </c>
      <c r="R1947" t="s">
        <v>4306</v>
      </c>
    </row>
    <row r="1948" spans="1:18" hidden="1">
      <c r="A1948">
        <v>4</v>
      </c>
      <c r="B1948" s="4" t="s">
        <v>3127</v>
      </c>
      <c r="C1948" s="4" t="s">
        <v>4207</v>
      </c>
      <c r="D1948" s="4" t="s">
        <v>4257</v>
      </c>
      <c r="E1948" s="4" t="s">
        <v>5804</v>
      </c>
      <c r="F1948" t="s">
        <v>1017</v>
      </c>
      <c r="G1948" t="s">
        <v>1017</v>
      </c>
      <c r="H1948" t="s">
        <v>21</v>
      </c>
      <c r="I1948">
        <v>4</v>
      </c>
      <c r="J1948" s="5">
        <v>6.9000000000000006E-2</v>
      </c>
      <c r="K1948" t="s">
        <v>681</v>
      </c>
      <c r="L1948" s="6">
        <v>42887</v>
      </c>
      <c r="M1948">
        <v>6</v>
      </c>
      <c r="N1948" s="7" t="s">
        <v>55</v>
      </c>
      <c r="O1948" t="s">
        <v>31</v>
      </c>
      <c r="P1948" t="s">
        <v>4352</v>
      </c>
      <c r="Q1948" t="s">
        <v>4353</v>
      </c>
      <c r="R1948" t="s">
        <v>3814</v>
      </c>
    </row>
    <row r="1949" spans="1:18" hidden="1">
      <c r="A1949">
        <v>4</v>
      </c>
      <c r="B1949" s="4" t="s">
        <v>3127</v>
      </c>
      <c r="C1949" s="4" t="s">
        <v>4207</v>
      </c>
      <c r="D1949" s="4" t="s">
        <v>4257</v>
      </c>
      <c r="E1949" s="4" t="s">
        <v>5804</v>
      </c>
      <c r="F1949" t="s">
        <v>1017</v>
      </c>
      <c r="G1949" t="s">
        <v>1017</v>
      </c>
      <c r="H1949" t="s">
        <v>21</v>
      </c>
      <c r="I1949">
        <v>4</v>
      </c>
      <c r="J1949" s="5">
        <v>6.9000000000000006E-2</v>
      </c>
      <c r="K1949" t="s">
        <v>4049</v>
      </c>
      <c r="L1949" s="6">
        <v>43040</v>
      </c>
      <c r="M1949">
        <v>11</v>
      </c>
      <c r="N1949" s="7" t="s">
        <v>23</v>
      </c>
      <c r="O1949" t="s">
        <v>31</v>
      </c>
      <c r="P1949" t="s">
        <v>4366</v>
      </c>
      <c r="Q1949" t="s">
        <v>4367</v>
      </c>
      <c r="R1949" t="s">
        <v>4306</v>
      </c>
    </row>
    <row r="1950" spans="1:18" hidden="1">
      <c r="A1950">
        <v>4</v>
      </c>
      <c r="B1950" s="4" t="s">
        <v>3127</v>
      </c>
      <c r="C1950" s="4" t="s">
        <v>4207</v>
      </c>
      <c r="D1950" s="4" t="s">
        <v>4257</v>
      </c>
      <c r="E1950" s="4" t="s">
        <v>5804</v>
      </c>
      <c r="F1950" t="s">
        <v>1017</v>
      </c>
      <c r="G1950" t="s">
        <v>1017</v>
      </c>
      <c r="H1950" t="s">
        <v>21</v>
      </c>
      <c r="I1950">
        <v>4</v>
      </c>
      <c r="J1950" s="5">
        <v>6.9000000000000006E-2</v>
      </c>
      <c r="K1950" t="s">
        <v>29</v>
      </c>
      <c r="L1950" s="6">
        <v>43070</v>
      </c>
      <c r="M1950">
        <v>12</v>
      </c>
      <c r="N1950" s="7" t="s">
        <v>30</v>
      </c>
      <c r="O1950" t="s">
        <v>31</v>
      </c>
      <c r="P1950" t="s">
        <v>4369</v>
      </c>
      <c r="Q1950" t="s">
        <v>4370</v>
      </c>
      <c r="R1950" t="s">
        <v>4306</v>
      </c>
    </row>
    <row r="1951" spans="1:18" hidden="1">
      <c r="A1951">
        <v>4</v>
      </c>
      <c r="B1951" s="4" t="s">
        <v>3127</v>
      </c>
      <c r="C1951" s="4" t="s">
        <v>4207</v>
      </c>
      <c r="D1951" s="4" t="s">
        <v>4257</v>
      </c>
      <c r="E1951" s="4" t="s">
        <v>5804</v>
      </c>
      <c r="F1951" t="s">
        <v>1017</v>
      </c>
      <c r="G1951" t="s">
        <v>1017</v>
      </c>
      <c r="H1951" t="s">
        <v>21</v>
      </c>
      <c r="I1951">
        <v>4</v>
      </c>
      <c r="J1951" s="5">
        <v>6.9000000000000006E-2</v>
      </c>
      <c r="K1951" t="s">
        <v>35</v>
      </c>
      <c r="L1951" s="6">
        <v>43160</v>
      </c>
      <c r="M1951">
        <v>3</v>
      </c>
      <c r="N1951" s="7" t="s">
        <v>23</v>
      </c>
      <c r="O1951" t="s">
        <v>31</v>
      </c>
      <c r="P1951" t="s">
        <v>4382</v>
      </c>
      <c r="Q1951" t="s">
        <v>4171</v>
      </c>
      <c r="R1951" t="s">
        <v>4306</v>
      </c>
    </row>
    <row r="1952" spans="1:18" hidden="1">
      <c r="A1952">
        <v>4</v>
      </c>
      <c r="B1952" s="4" t="s">
        <v>3127</v>
      </c>
      <c r="C1952" s="4" t="s">
        <v>4207</v>
      </c>
      <c r="D1952" s="4" t="s">
        <v>4257</v>
      </c>
      <c r="E1952" s="4" t="s">
        <v>5804</v>
      </c>
      <c r="F1952" t="s">
        <v>1017</v>
      </c>
      <c r="G1952" t="s">
        <v>1017</v>
      </c>
      <c r="H1952" t="s">
        <v>21</v>
      </c>
      <c r="I1952">
        <v>4</v>
      </c>
      <c r="J1952" s="5">
        <v>6.9000000000000006E-2</v>
      </c>
      <c r="K1952" t="s">
        <v>146</v>
      </c>
      <c r="L1952" s="6">
        <v>43313</v>
      </c>
      <c r="M1952">
        <v>8</v>
      </c>
      <c r="N1952" s="7" t="s">
        <v>55</v>
      </c>
      <c r="O1952" t="s">
        <v>31</v>
      </c>
      <c r="P1952" t="s">
        <v>4404</v>
      </c>
      <c r="Q1952" t="s">
        <v>4305</v>
      </c>
      <c r="R1952" t="s">
        <v>4306</v>
      </c>
    </row>
    <row r="1953" spans="1:18" hidden="1">
      <c r="A1953">
        <v>4</v>
      </c>
      <c r="B1953" s="4" t="s">
        <v>3127</v>
      </c>
      <c r="C1953" s="4" t="s">
        <v>4207</v>
      </c>
      <c r="D1953" s="4" t="s">
        <v>4257</v>
      </c>
      <c r="E1953" s="4" t="s">
        <v>5804</v>
      </c>
      <c r="F1953" t="s">
        <v>1017</v>
      </c>
      <c r="G1953" t="s">
        <v>1017</v>
      </c>
      <c r="H1953" t="s">
        <v>21</v>
      </c>
      <c r="I1953">
        <v>4</v>
      </c>
      <c r="J1953" s="5">
        <v>6.9000000000000006E-2</v>
      </c>
      <c r="K1953" t="s">
        <v>482</v>
      </c>
      <c r="L1953" s="6">
        <v>43435</v>
      </c>
      <c r="M1953">
        <v>12</v>
      </c>
      <c r="N1953" s="7" t="s">
        <v>30</v>
      </c>
      <c r="O1953" t="s">
        <v>31</v>
      </c>
      <c r="P1953" t="s">
        <v>4421</v>
      </c>
      <c r="Q1953" t="s">
        <v>4305</v>
      </c>
      <c r="R1953" t="s">
        <v>4306</v>
      </c>
    </row>
    <row r="1954" spans="1:18" hidden="1">
      <c r="A1954">
        <v>4</v>
      </c>
      <c r="B1954" s="4" t="s">
        <v>3127</v>
      </c>
      <c r="C1954" s="4" t="s">
        <v>4207</v>
      </c>
      <c r="D1954" s="4" t="s">
        <v>4257</v>
      </c>
      <c r="E1954" s="4" t="s">
        <v>5804</v>
      </c>
      <c r="F1954" t="s">
        <v>1017</v>
      </c>
      <c r="G1954" t="s">
        <v>1017</v>
      </c>
      <c r="H1954" t="s">
        <v>21</v>
      </c>
      <c r="I1954">
        <v>4</v>
      </c>
      <c r="J1954" s="5">
        <v>6.9000000000000006E-2</v>
      </c>
      <c r="K1954" t="s">
        <v>159</v>
      </c>
      <c r="L1954" s="6">
        <v>43586</v>
      </c>
      <c r="M1954">
        <v>5</v>
      </c>
      <c r="N1954" s="7" t="s">
        <v>23</v>
      </c>
      <c r="O1954" t="s">
        <v>31</v>
      </c>
      <c r="P1954" t="s">
        <v>4450</v>
      </c>
      <c r="Q1954" t="s">
        <v>4451</v>
      </c>
      <c r="R1954" t="s">
        <v>4094</v>
      </c>
    </row>
    <row r="1955" spans="1:18" hidden="1">
      <c r="A1955">
        <v>4</v>
      </c>
      <c r="B1955" s="4" t="s">
        <v>3127</v>
      </c>
      <c r="C1955" s="4" t="s">
        <v>4207</v>
      </c>
      <c r="D1955" s="4" t="s">
        <v>4257</v>
      </c>
      <c r="E1955" s="4" t="s">
        <v>5804</v>
      </c>
      <c r="F1955" t="s">
        <v>1017</v>
      </c>
      <c r="G1955" t="s">
        <v>1017</v>
      </c>
      <c r="H1955" t="s">
        <v>21</v>
      </c>
      <c r="I1955">
        <v>4</v>
      </c>
      <c r="J1955" s="5">
        <v>6.9000000000000006E-2</v>
      </c>
      <c r="K1955" t="s">
        <v>164</v>
      </c>
      <c r="L1955" s="6">
        <v>43617</v>
      </c>
      <c r="M1955">
        <v>6</v>
      </c>
      <c r="N1955" s="7" t="s">
        <v>55</v>
      </c>
      <c r="O1955" t="s">
        <v>31</v>
      </c>
      <c r="P1955" t="s">
        <v>4456</v>
      </c>
      <c r="Q1955" t="s">
        <v>4305</v>
      </c>
      <c r="R1955" t="s">
        <v>4306</v>
      </c>
    </row>
    <row r="1956" spans="1:18" hidden="1">
      <c r="A1956">
        <v>4</v>
      </c>
      <c r="B1956" s="4" t="s">
        <v>3127</v>
      </c>
      <c r="C1956" s="4" t="s">
        <v>4207</v>
      </c>
      <c r="D1956" s="4" t="s">
        <v>4257</v>
      </c>
      <c r="E1956" s="4" t="s">
        <v>5804</v>
      </c>
      <c r="F1956" t="s">
        <v>1017</v>
      </c>
      <c r="G1956" t="s">
        <v>1017</v>
      </c>
      <c r="H1956" t="s">
        <v>21</v>
      </c>
      <c r="I1956">
        <v>4</v>
      </c>
      <c r="J1956" s="5">
        <v>6.9000000000000006E-2</v>
      </c>
      <c r="K1956" t="s">
        <v>304</v>
      </c>
      <c r="L1956" s="6">
        <v>43647</v>
      </c>
      <c r="M1956">
        <v>7</v>
      </c>
      <c r="N1956" s="7" t="s">
        <v>55</v>
      </c>
      <c r="O1956" t="s">
        <v>31</v>
      </c>
      <c r="P1956" t="s">
        <v>4462</v>
      </c>
      <c r="Q1956" t="s">
        <v>4463</v>
      </c>
      <c r="R1956" t="s">
        <v>4306</v>
      </c>
    </row>
    <row r="1957" spans="1:18" hidden="1">
      <c r="A1957">
        <v>5</v>
      </c>
      <c r="B1957" s="4" t="s">
        <v>4600</v>
      </c>
      <c r="C1957" s="4" t="s">
        <v>4601</v>
      </c>
      <c r="D1957" s="4" t="s">
        <v>4602</v>
      </c>
      <c r="E1957" s="4" t="s">
        <v>5804</v>
      </c>
      <c r="F1957" t="s">
        <v>1017</v>
      </c>
      <c r="G1957" t="s">
        <v>1017</v>
      </c>
      <c r="H1957" t="s">
        <v>21</v>
      </c>
      <c r="I1957">
        <v>4</v>
      </c>
      <c r="J1957" s="5">
        <v>6.9000000000000006E-2</v>
      </c>
      <c r="K1957" t="s">
        <v>22</v>
      </c>
      <c r="L1957" s="6">
        <v>42979</v>
      </c>
      <c r="M1957">
        <v>9</v>
      </c>
      <c r="N1957" s="7" t="s">
        <v>23</v>
      </c>
      <c r="O1957" t="s">
        <v>31</v>
      </c>
      <c r="P1957" t="s">
        <v>4624</v>
      </c>
      <c r="Q1957" t="s">
        <v>4625</v>
      </c>
      <c r="R1957" t="s">
        <v>4626</v>
      </c>
    </row>
    <row r="1958" spans="1:18" hidden="1">
      <c r="A1958">
        <v>5</v>
      </c>
      <c r="B1958" s="4" t="s">
        <v>4600</v>
      </c>
      <c r="C1958" s="4" t="s">
        <v>4601</v>
      </c>
      <c r="D1958" s="4" t="s">
        <v>4635</v>
      </c>
      <c r="E1958" s="4" t="s">
        <v>5804</v>
      </c>
      <c r="F1958" t="s">
        <v>1017</v>
      </c>
      <c r="G1958" t="s">
        <v>1017</v>
      </c>
      <c r="H1958" t="s">
        <v>21</v>
      </c>
      <c r="I1958">
        <v>4</v>
      </c>
      <c r="J1958" s="5">
        <v>6.9000000000000006E-2</v>
      </c>
      <c r="K1958" t="s">
        <v>76</v>
      </c>
      <c r="L1958" s="6">
        <v>42856</v>
      </c>
      <c r="M1958">
        <v>5</v>
      </c>
      <c r="N1958" s="7" t="s">
        <v>23</v>
      </c>
      <c r="O1958" t="s">
        <v>31</v>
      </c>
      <c r="P1958" t="s">
        <v>4658</v>
      </c>
      <c r="Q1958" t="s">
        <v>4130</v>
      </c>
      <c r="R1958" t="s">
        <v>4659</v>
      </c>
    </row>
    <row r="1959" spans="1:18" hidden="1">
      <c r="A1959">
        <v>5</v>
      </c>
      <c r="B1959" s="4" t="s">
        <v>4600</v>
      </c>
      <c r="C1959" s="4" t="s">
        <v>4601</v>
      </c>
      <c r="D1959" s="4" t="s">
        <v>4635</v>
      </c>
      <c r="E1959" s="4" t="s">
        <v>5804</v>
      </c>
      <c r="F1959" t="s">
        <v>1017</v>
      </c>
      <c r="G1959" t="s">
        <v>1017</v>
      </c>
      <c r="H1959" t="s">
        <v>21</v>
      </c>
      <c r="I1959">
        <v>4</v>
      </c>
      <c r="J1959" s="5">
        <v>6.9000000000000006E-2</v>
      </c>
      <c r="K1959" t="s">
        <v>80</v>
      </c>
      <c r="L1959" s="6">
        <v>42917</v>
      </c>
      <c r="M1959">
        <v>7</v>
      </c>
      <c r="N1959" s="7" t="s">
        <v>55</v>
      </c>
      <c r="O1959" t="s">
        <v>246</v>
      </c>
      <c r="P1959" t="s">
        <v>4663</v>
      </c>
      <c r="Q1959" t="s">
        <v>4664</v>
      </c>
      <c r="R1959" t="s">
        <v>4665</v>
      </c>
    </row>
    <row r="1960" spans="1:18" hidden="1">
      <c r="A1960">
        <v>5</v>
      </c>
      <c r="B1960" s="4" t="s">
        <v>4600</v>
      </c>
      <c r="C1960" s="4" t="s">
        <v>4601</v>
      </c>
      <c r="D1960" s="4" t="s">
        <v>4635</v>
      </c>
      <c r="E1960" s="4" t="s">
        <v>5804</v>
      </c>
      <c r="F1960" t="s">
        <v>1017</v>
      </c>
      <c r="G1960" t="s">
        <v>1017</v>
      </c>
      <c r="H1960" t="s">
        <v>21</v>
      </c>
      <c r="I1960">
        <v>4</v>
      </c>
      <c r="J1960" s="5">
        <v>6.9000000000000006E-2</v>
      </c>
      <c r="K1960" t="s">
        <v>482</v>
      </c>
      <c r="L1960" s="6">
        <v>43435</v>
      </c>
      <c r="M1960">
        <v>12</v>
      </c>
      <c r="N1960" s="7" t="s">
        <v>30</v>
      </c>
      <c r="O1960" t="s">
        <v>31</v>
      </c>
      <c r="P1960" t="s">
        <v>4682</v>
      </c>
      <c r="Q1960" t="s">
        <v>4683</v>
      </c>
      <c r="R1960" t="s">
        <v>4626</v>
      </c>
    </row>
    <row r="1961" spans="1:18" hidden="1">
      <c r="A1961">
        <v>5</v>
      </c>
      <c r="B1961" s="4" t="s">
        <v>4600</v>
      </c>
      <c r="C1961" s="4" t="s">
        <v>4601</v>
      </c>
      <c r="D1961" s="4" t="s">
        <v>4635</v>
      </c>
      <c r="E1961" s="4" t="s">
        <v>5804</v>
      </c>
      <c r="F1961" t="s">
        <v>1017</v>
      </c>
      <c r="G1961" t="s">
        <v>1017</v>
      </c>
      <c r="H1961" t="s">
        <v>21</v>
      </c>
      <c r="I1961">
        <v>4</v>
      </c>
      <c r="J1961" s="5">
        <v>6.9000000000000006E-2</v>
      </c>
      <c r="K1961" t="s">
        <v>164</v>
      </c>
      <c r="L1961" s="6">
        <v>43617</v>
      </c>
      <c r="M1961">
        <v>6</v>
      </c>
      <c r="N1961" s="7" t="s">
        <v>55</v>
      </c>
      <c r="O1961" t="s">
        <v>31</v>
      </c>
      <c r="P1961" t="s">
        <v>4699</v>
      </c>
      <c r="Q1961" t="s">
        <v>4700</v>
      </c>
      <c r="R1961" t="s">
        <v>4659</v>
      </c>
    </row>
    <row r="1962" spans="1:18" hidden="1">
      <c r="A1962">
        <v>5</v>
      </c>
      <c r="B1962" s="4" t="s">
        <v>4600</v>
      </c>
      <c r="C1962" s="4" t="s">
        <v>4601</v>
      </c>
      <c r="D1962" s="4" t="s">
        <v>4635</v>
      </c>
      <c r="E1962" s="4" t="s">
        <v>5804</v>
      </c>
      <c r="F1962" t="s">
        <v>1017</v>
      </c>
      <c r="G1962" t="s">
        <v>1017</v>
      </c>
      <c r="H1962" t="s">
        <v>21</v>
      </c>
      <c r="I1962">
        <v>4</v>
      </c>
      <c r="J1962" s="5">
        <v>6.9000000000000006E-2</v>
      </c>
      <c r="K1962" t="s">
        <v>304</v>
      </c>
      <c r="L1962" s="6">
        <v>43647</v>
      </c>
      <c r="M1962">
        <v>7</v>
      </c>
      <c r="N1962" s="7" t="s">
        <v>55</v>
      </c>
      <c r="O1962" t="s">
        <v>31</v>
      </c>
      <c r="P1962" t="s">
        <v>4703</v>
      </c>
      <c r="Q1962" t="s">
        <v>4700</v>
      </c>
      <c r="R1962" t="s">
        <v>4659</v>
      </c>
    </row>
    <row r="1963" spans="1:18" hidden="1">
      <c r="A1963">
        <v>5</v>
      </c>
      <c r="B1963" s="4" t="s">
        <v>4600</v>
      </c>
      <c r="C1963" s="4" t="s">
        <v>4601</v>
      </c>
      <c r="D1963" s="4" t="s">
        <v>4635</v>
      </c>
      <c r="E1963" s="4" t="s">
        <v>5804</v>
      </c>
      <c r="F1963" t="s">
        <v>1017</v>
      </c>
      <c r="G1963" t="s">
        <v>1017</v>
      </c>
      <c r="H1963" t="s">
        <v>21</v>
      </c>
      <c r="I1963">
        <v>4</v>
      </c>
      <c r="J1963" s="5">
        <v>6.9000000000000006E-2</v>
      </c>
      <c r="K1963" t="s">
        <v>691</v>
      </c>
      <c r="L1963" s="6">
        <v>43770</v>
      </c>
      <c r="M1963">
        <v>11</v>
      </c>
      <c r="N1963" s="7" t="s">
        <v>23</v>
      </c>
      <c r="O1963" t="s">
        <v>31</v>
      </c>
      <c r="P1963" t="s">
        <v>4720</v>
      </c>
      <c r="Q1963" t="s">
        <v>4700</v>
      </c>
      <c r="R1963" t="s">
        <v>4659</v>
      </c>
    </row>
    <row r="1964" spans="1:18" hidden="1">
      <c r="A1964">
        <v>5</v>
      </c>
      <c r="B1964" s="4" t="s">
        <v>4600</v>
      </c>
      <c r="C1964" s="4" t="s">
        <v>4601</v>
      </c>
      <c r="D1964" s="4" t="s">
        <v>4635</v>
      </c>
      <c r="E1964" s="4" t="s">
        <v>5804</v>
      </c>
      <c r="F1964" t="s">
        <v>1017</v>
      </c>
      <c r="G1964" t="s">
        <v>1017</v>
      </c>
      <c r="H1964" t="s">
        <v>21</v>
      </c>
      <c r="I1964">
        <v>4</v>
      </c>
      <c r="J1964" s="5">
        <v>6.9000000000000006E-2</v>
      </c>
      <c r="K1964" t="s">
        <v>369</v>
      </c>
      <c r="L1964" s="6">
        <v>44197</v>
      </c>
      <c r="M1964">
        <v>1</v>
      </c>
      <c r="N1964" s="7" t="s">
        <v>30</v>
      </c>
      <c r="O1964" t="s">
        <v>31</v>
      </c>
      <c r="P1964" t="s">
        <v>4736</v>
      </c>
      <c r="Q1964" t="s">
        <v>4737</v>
      </c>
      <c r="R1964" t="s">
        <v>4659</v>
      </c>
    </row>
    <row r="1965" spans="1:18" hidden="1">
      <c r="A1965">
        <v>5</v>
      </c>
      <c r="B1965" s="4" t="s">
        <v>4600</v>
      </c>
      <c r="C1965" s="4" t="s">
        <v>4601</v>
      </c>
      <c r="D1965" s="4" t="s">
        <v>4748</v>
      </c>
      <c r="E1965" s="4" t="s">
        <v>5804</v>
      </c>
      <c r="F1965" t="s">
        <v>1017</v>
      </c>
      <c r="G1965" t="s">
        <v>1017</v>
      </c>
      <c r="H1965" t="s">
        <v>21</v>
      </c>
      <c r="I1965">
        <v>4</v>
      </c>
      <c r="J1965" s="5">
        <v>6.9000000000000006E-2</v>
      </c>
      <c r="K1965" t="s">
        <v>382</v>
      </c>
      <c r="L1965" s="6">
        <v>42401</v>
      </c>
      <c r="M1965">
        <v>2</v>
      </c>
      <c r="N1965" s="7" t="s">
        <v>30</v>
      </c>
      <c r="O1965" t="s">
        <v>31</v>
      </c>
      <c r="P1965" t="s">
        <v>4755</v>
      </c>
      <c r="Q1965" t="s">
        <v>4756</v>
      </c>
      <c r="R1965" t="s">
        <v>4757</v>
      </c>
    </row>
    <row r="1966" spans="1:18" hidden="1">
      <c r="A1966">
        <v>5</v>
      </c>
      <c r="B1966" s="4" t="s">
        <v>4600</v>
      </c>
      <c r="C1966" s="4" t="s">
        <v>4601</v>
      </c>
      <c r="D1966" s="4" t="s">
        <v>4748</v>
      </c>
      <c r="E1966" s="4" t="s">
        <v>5804</v>
      </c>
      <c r="F1966" t="s">
        <v>1017</v>
      </c>
      <c r="G1966" t="s">
        <v>1017</v>
      </c>
      <c r="H1966" t="s">
        <v>21</v>
      </c>
      <c r="I1966">
        <v>4</v>
      </c>
      <c r="J1966" s="5">
        <v>6.9000000000000006E-2</v>
      </c>
      <c r="K1966" t="s">
        <v>681</v>
      </c>
      <c r="L1966" s="6">
        <v>42887</v>
      </c>
      <c r="M1966">
        <v>6</v>
      </c>
      <c r="N1966" s="7" t="s">
        <v>55</v>
      </c>
      <c r="O1966" t="s">
        <v>31</v>
      </c>
      <c r="P1966" t="s">
        <v>4784</v>
      </c>
      <c r="Q1966" t="s">
        <v>4737</v>
      </c>
      <c r="R1966" t="s">
        <v>4659</v>
      </c>
    </row>
    <row r="1967" spans="1:18" hidden="1">
      <c r="A1967">
        <v>5</v>
      </c>
      <c r="B1967" s="4" t="s">
        <v>4600</v>
      </c>
      <c r="C1967" s="4" t="s">
        <v>4601</v>
      </c>
      <c r="D1967" s="4" t="s">
        <v>4748</v>
      </c>
      <c r="E1967" s="4" t="s">
        <v>5804</v>
      </c>
      <c r="F1967" t="s">
        <v>1017</v>
      </c>
      <c r="G1967" t="s">
        <v>1017</v>
      </c>
      <c r="H1967" t="s">
        <v>21</v>
      </c>
      <c r="I1967">
        <v>4</v>
      </c>
      <c r="J1967" s="5">
        <v>6.9000000000000006E-2</v>
      </c>
      <c r="K1967" t="s">
        <v>22</v>
      </c>
      <c r="L1967" s="6">
        <v>42979</v>
      </c>
      <c r="M1967">
        <v>9</v>
      </c>
      <c r="N1967" s="7" t="s">
        <v>23</v>
      </c>
      <c r="O1967" t="s">
        <v>31</v>
      </c>
      <c r="P1967" t="s">
        <v>4785</v>
      </c>
      <c r="Q1967" t="s">
        <v>4786</v>
      </c>
      <c r="R1967" t="s">
        <v>4787</v>
      </c>
    </row>
    <row r="1968" spans="1:18" hidden="1">
      <c r="A1968">
        <v>5</v>
      </c>
      <c r="B1968" s="4" t="s">
        <v>4600</v>
      </c>
      <c r="C1968" s="4" t="s">
        <v>4601</v>
      </c>
      <c r="D1968" s="4" t="s">
        <v>4748</v>
      </c>
      <c r="E1968" s="4" t="s">
        <v>5804</v>
      </c>
      <c r="F1968" t="s">
        <v>1017</v>
      </c>
      <c r="G1968" t="s">
        <v>1017</v>
      </c>
      <c r="H1968" t="s">
        <v>21</v>
      </c>
      <c r="I1968">
        <v>4</v>
      </c>
      <c r="J1968" s="5">
        <v>6.9000000000000006E-2</v>
      </c>
      <c r="K1968" t="s">
        <v>85</v>
      </c>
      <c r="L1968" s="6">
        <v>43009</v>
      </c>
      <c r="M1968">
        <v>10</v>
      </c>
      <c r="N1968" s="7" t="s">
        <v>23</v>
      </c>
      <c r="O1968" t="s">
        <v>31</v>
      </c>
      <c r="P1968" t="s">
        <v>4788</v>
      </c>
      <c r="Q1968" t="s">
        <v>4737</v>
      </c>
      <c r="R1968" t="s">
        <v>4659</v>
      </c>
    </row>
    <row r="1969" spans="1:18" hidden="1">
      <c r="A1969">
        <v>5</v>
      </c>
      <c r="B1969" s="4" t="s">
        <v>4600</v>
      </c>
      <c r="C1969" s="4" t="s">
        <v>4601</v>
      </c>
      <c r="D1969" s="4" t="s">
        <v>4748</v>
      </c>
      <c r="E1969" s="4" t="s">
        <v>5804</v>
      </c>
      <c r="F1969" t="s">
        <v>1017</v>
      </c>
      <c r="G1969" t="s">
        <v>1017</v>
      </c>
      <c r="H1969" t="s">
        <v>21</v>
      </c>
      <c r="I1969">
        <v>4</v>
      </c>
      <c r="J1969" s="5">
        <v>6.9000000000000006E-2</v>
      </c>
      <c r="K1969" t="s">
        <v>142</v>
      </c>
      <c r="L1969" s="6">
        <v>43101</v>
      </c>
      <c r="M1969">
        <v>1</v>
      </c>
      <c r="N1969" s="7" t="s">
        <v>30</v>
      </c>
      <c r="O1969" t="s">
        <v>31</v>
      </c>
      <c r="P1969" t="s">
        <v>4793</v>
      </c>
      <c r="Q1969" t="s">
        <v>4794</v>
      </c>
      <c r="R1969" t="s">
        <v>4659</v>
      </c>
    </row>
    <row r="1970" spans="1:18" hidden="1">
      <c r="A1970">
        <v>5</v>
      </c>
      <c r="B1970" s="4" t="s">
        <v>4600</v>
      </c>
      <c r="C1970" s="4" t="s">
        <v>4601</v>
      </c>
      <c r="D1970" s="4" t="s">
        <v>4748</v>
      </c>
      <c r="E1970" s="4" t="s">
        <v>5804</v>
      </c>
      <c r="F1970" t="s">
        <v>1017</v>
      </c>
      <c r="G1970" t="s">
        <v>1017</v>
      </c>
      <c r="H1970" t="s">
        <v>21</v>
      </c>
      <c r="I1970">
        <v>4</v>
      </c>
      <c r="J1970" s="5">
        <v>6.9000000000000006E-2</v>
      </c>
      <c r="K1970" t="s">
        <v>482</v>
      </c>
      <c r="L1970" s="6">
        <v>43435</v>
      </c>
      <c r="M1970">
        <v>12</v>
      </c>
      <c r="N1970" s="7" t="s">
        <v>30</v>
      </c>
      <c r="O1970" t="s">
        <v>31</v>
      </c>
      <c r="P1970" t="s">
        <v>4801</v>
      </c>
      <c r="Q1970" t="s">
        <v>4130</v>
      </c>
      <c r="R1970" t="s">
        <v>4659</v>
      </c>
    </row>
    <row r="1971" spans="1:18" hidden="1">
      <c r="A1971">
        <v>5</v>
      </c>
      <c r="B1971" s="4" t="s">
        <v>4600</v>
      </c>
      <c r="C1971" s="4" t="s">
        <v>4601</v>
      </c>
      <c r="D1971" s="4" t="s">
        <v>4748</v>
      </c>
      <c r="E1971" s="4" t="s">
        <v>5804</v>
      </c>
      <c r="F1971" t="s">
        <v>1017</v>
      </c>
      <c r="G1971" t="s">
        <v>1017</v>
      </c>
      <c r="H1971" t="s">
        <v>21</v>
      </c>
      <c r="I1971">
        <v>4</v>
      </c>
      <c r="J1971" s="5">
        <v>6.9000000000000006E-2</v>
      </c>
      <c r="K1971" t="s">
        <v>4805</v>
      </c>
      <c r="L1971" s="6">
        <v>43497</v>
      </c>
      <c r="M1971">
        <v>2</v>
      </c>
      <c r="N1971" s="7" t="s">
        <v>30</v>
      </c>
      <c r="O1971" t="s">
        <v>31</v>
      </c>
      <c r="P1971" t="s">
        <v>4806</v>
      </c>
      <c r="Q1971" t="s">
        <v>4737</v>
      </c>
      <c r="R1971" t="s">
        <v>4659</v>
      </c>
    </row>
    <row r="1972" spans="1:18" hidden="1">
      <c r="A1972">
        <v>5</v>
      </c>
      <c r="B1972" s="4" t="s">
        <v>4600</v>
      </c>
      <c r="C1972" s="4" t="s">
        <v>4601</v>
      </c>
      <c r="D1972" s="4" t="s">
        <v>4748</v>
      </c>
      <c r="E1972" s="4" t="s">
        <v>5804</v>
      </c>
      <c r="F1972" t="s">
        <v>1017</v>
      </c>
      <c r="G1972" t="s">
        <v>1017</v>
      </c>
      <c r="H1972" t="s">
        <v>21</v>
      </c>
      <c r="I1972">
        <v>4</v>
      </c>
      <c r="J1972" s="5">
        <v>6.9000000000000006E-2</v>
      </c>
      <c r="K1972" t="s">
        <v>395</v>
      </c>
      <c r="L1972" s="6">
        <v>43497</v>
      </c>
      <c r="M1972">
        <v>2</v>
      </c>
      <c r="N1972" s="7" t="s">
        <v>30</v>
      </c>
      <c r="O1972" t="s">
        <v>31</v>
      </c>
      <c r="P1972" t="s">
        <v>4807</v>
      </c>
      <c r="Q1972" t="s">
        <v>4808</v>
      </c>
      <c r="R1972" t="s">
        <v>4659</v>
      </c>
    </row>
    <row r="1973" spans="1:18" hidden="1">
      <c r="A1973">
        <v>5</v>
      </c>
      <c r="B1973" s="4" t="s">
        <v>4600</v>
      </c>
      <c r="C1973" s="4" t="s">
        <v>4601</v>
      </c>
      <c r="D1973" s="4" t="s">
        <v>4748</v>
      </c>
      <c r="E1973" s="4" t="s">
        <v>5804</v>
      </c>
      <c r="F1973" t="s">
        <v>1017</v>
      </c>
      <c r="G1973" t="s">
        <v>1017</v>
      </c>
      <c r="H1973" t="s">
        <v>21</v>
      </c>
      <c r="I1973">
        <v>4</v>
      </c>
      <c r="J1973" s="5">
        <v>6.9000000000000006E-2</v>
      </c>
      <c r="K1973" t="s">
        <v>357</v>
      </c>
      <c r="L1973" s="6">
        <v>43739</v>
      </c>
      <c r="M1973">
        <v>10</v>
      </c>
      <c r="N1973" s="7" t="s">
        <v>23</v>
      </c>
      <c r="O1973" t="s">
        <v>31</v>
      </c>
      <c r="P1973" t="s">
        <v>4821</v>
      </c>
      <c r="Q1973" t="s">
        <v>4700</v>
      </c>
      <c r="R1973" t="s">
        <v>4659</v>
      </c>
    </row>
    <row r="1974" spans="1:18" hidden="1">
      <c r="A1974">
        <v>5</v>
      </c>
      <c r="B1974" s="4" t="s">
        <v>4600</v>
      </c>
      <c r="C1974" s="4" t="s">
        <v>4601</v>
      </c>
      <c r="D1974" s="4" t="s">
        <v>4748</v>
      </c>
      <c r="E1974" s="4" t="s">
        <v>5804</v>
      </c>
      <c r="F1974" t="s">
        <v>1017</v>
      </c>
      <c r="G1974" t="s">
        <v>1017</v>
      </c>
      <c r="H1974" t="s">
        <v>21</v>
      </c>
      <c r="I1974">
        <v>4</v>
      </c>
      <c r="J1974" s="5">
        <v>6.9000000000000006E-2</v>
      </c>
      <c r="K1974" t="s">
        <v>630</v>
      </c>
      <c r="L1974" s="6">
        <v>44378</v>
      </c>
      <c r="M1974">
        <v>7</v>
      </c>
      <c r="N1974" s="7" t="s">
        <v>55</v>
      </c>
      <c r="O1974" t="s">
        <v>31</v>
      </c>
      <c r="P1974" t="s">
        <v>4840</v>
      </c>
      <c r="Q1974" t="s">
        <v>4737</v>
      </c>
      <c r="R1974" t="s">
        <v>4659</v>
      </c>
    </row>
    <row r="1975" spans="1:18" hidden="1">
      <c r="A1975">
        <v>5</v>
      </c>
      <c r="B1975" s="4" t="s">
        <v>4600</v>
      </c>
      <c r="C1975" s="4" t="s">
        <v>4933</v>
      </c>
      <c r="D1975" s="4" t="s">
        <v>4934</v>
      </c>
      <c r="E1975" s="4" t="s">
        <v>5804</v>
      </c>
      <c r="F1975" t="s">
        <v>1017</v>
      </c>
      <c r="G1975" t="s">
        <v>1017</v>
      </c>
      <c r="H1975" t="s">
        <v>21</v>
      </c>
      <c r="I1975">
        <v>4</v>
      </c>
      <c r="J1975" s="5">
        <v>6.9000000000000006E-2</v>
      </c>
      <c r="K1975" t="s">
        <v>278</v>
      </c>
      <c r="L1975" s="6">
        <v>42675</v>
      </c>
      <c r="M1975">
        <v>11</v>
      </c>
      <c r="N1975" s="7" t="s">
        <v>23</v>
      </c>
      <c r="O1975" t="s">
        <v>31</v>
      </c>
      <c r="P1975" t="s">
        <v>4952</v>
      </c>
      <c r="Q1975" t="s">
        <v>3708</v>
      </c>
      <c r="R1975" t="s">
        <v>4953</v>
      </c>
    </row>
    <row r="1976" spans="1:18" hidden="1">
      <c r="A1976">
        <v>5</v>
      </c>
      <c r="B1976" s="4" t="s">
        <v>4600</v>
      </c>
      <c r="C1976" s="4" t="s">
        <v>4933</v>
      </c>
      <c r="D1976" s="4" t="s">
        <v>4934</v>
      </c>
      <c r="E1976" s="4" t="s">
        <v>5804</v>
      </c>
      <c r="F1976" t="s">
        <v>1017</v>
      </c>
      <c r="G1976" t="s">
        <v>1017</v>
      </c>
      <c r="H1976" t="s">
        <v>21</v>
      </c>
      <c r="I1976">
        <v>4</v>
      </c>
      <c r="J1976" s="5">
        <v>6.9000000000000006E-2</v>
      </c>
      <c r="K1976" t="s">
        <v>29</v>
      </c>
      <c r="L1976" s="6">
        <v>43070</v>
      </c>
      <c r="M1976">
        <v>12</v>
      </c>
      <c r="N1976" s="7" t="s">
        <v>30</v>
      </c>
      <c r="O1976" t="s">
        <v>31</v>
      </c>
      <c r="P1976" t="s">
        <v>4960</v>
      </c>
      <c r="Q1976" t="s">
        <v>4961</v>
      </c>
      <c r="R1976" t="s">
        <v>4953</v>
      </c>
    </row>
    <row r="1977" spans="1:18" hidden="1">
      <c r="A1977">
        <v>5</v>
      </c>
      <c r="B1977" s="4" t="s">
        <v>4600</v>
      </c>
      <c r="C1977" s="4" t="s">
        <v>4933</v>
      </c>
      <c r="D1977" s="4" t="s">
        <v>4934</v>
      </c>
      <c r="E1977" s="4" t="s">
        <v>5804</v>
      </c>
      <c r="F1977" t="s">
        <v>1017</v>
      </c>
      <c r="G1977" t="s">
        <v>1017</v>
      </c>
      <c r="H1977" t="s">
        <v>21</v>
      </c>
      <c r="I1977">
        <v>4</v>
      </c>
      <c r="J1977" s="5">
        <v>6.9000000000000006E-2</v>
      </c>
      <c r="K1977" t="s">
        <v>482</v>
      </c>
      <c r="L1977" s="6">
        <v>43435</v>
      </c>
      <c r="M1977">
        <v>12</v>
      </c>
      <c r="N1977" s="7" t="s">
        <v>30</v>
      </c>
      <c r="O1977" t="s">
        <v>31</v>
      </c>
      <c r="P1977" t="s">
        <v>4972</v>
      </c>
      <c r="Q1977" t="s">
        <v>4961</v>
      </c>
      <c r="R1977" t="s">
        <v>4953</v>
      </c>
    </row>
    <row r="1978" spans="1:18" hidden="1">
      <c r="A1978">
        <v>5</v>
      </c>
      <c r="B1978" s="4" t="s">
        <v>4600</v>
      </c>
      <c r="C1978" s="4" t="s">
        <v>4933</v>
      </c>
      <c r="D1978" s="4" t="s">
        <v>5014</v>
      </c>
      <c r="E1978" s="4" t="s">
        <v>5804</v>
      </c>
      <c r="F1978" t="s">
        <v>1017</v>
      </c>
      <c r="G1978" t="s">
        <v>1017</v>
      </c>
      <c r="H1978" t="s">
        <v>21</v>
      </c>
      <c r="I1978">
        <v>4</v>
      </c>
      <c r="J1978" s="5">
        <v>6.9000000000000006E-2</v>
      </c>
      <c r="K1978" t="s">
        <v>5015</v>
      </c>
      <c r="L1978" s="6">
        <v>41944</v>
      </c>
      <c r="M1978">
        <v>11</v>
      </c>
      <c r="N1978" s="7" t="s">
        <v>23</v>
      </c>
      <c r="O1978" t="s">
        <v>31</v>
      </c>
      <c r="P1978" t="s">
        <v>5016</v>
      </c>
      <c r="Q1978" t="s">
        <v>5017</v>
      </c>
      <c r="R1978" t="s">
        <v>5018</v>
      </c>
    </row>
    <row r="1979" spans="1:18" hidden="1">
      <c r="A1979">
        <v>5</v>
      </c>
      <c r="B1979" s="4" t="s">
        <v>4600</v>
      </c>
      <c r="C1979" s="4" t="s">
        <v>4933</v>
      </c>
      <c r="D1979" s="4" t="s">
        <v>5014</v>
      </c>
      <c r="E1979" s="4" t="s">
        <v>5804</v>
      </c>
      <c r="F1979" t="s">
        <v>1017</v>
      </c>
      <c r="G1979" t="s">
        <v>1017</v>
      </c>
      <c r="H1979" t="s">
        <v>21</v>
      </c>
      <c r="I1979">
        <v>4</v>
      </c>
      <c r="J1979" s="5">
        <v>6.9000000000000006E-2</v>
      </c>
      <c r="K1979" t="s">
        <v>5022</v>
      </c>
      <c r="L1979" s="6">
        <v>42217</v>
      </c>
      <c r="M1979">
        <v>8</v>
      </c>
      <c r="N1979" s="7" t="s">
        <v>55</v>
      </c>
      <c r="O1979" t="s">
        <v>31</v>
      </c>
      <c r="P1979" t="s">
        <v>5023</v>
      </c>
      <c r="Q1979" t="s">
        <v>5017</v>
      </c>
      <c r="R1979" t="s">
        <v>5018</v>
      </c>
    </row>
    <row r="1980" spans="1:18" hidden="1">
      <c r="A1980">
        <v>5</v>
      </c>
      <c r="B1980" s="4" t="s">
        <v>4600</v>
      </c>
      <c r="C1980" s="4" t="s">
        <v>4933</v>
      </c>
      <c r="D1980" s="4" t="s">
        <v>5014</v>
      </c>
      <c r="E1980" s="4" t="s">
        <v>5804</v>
      </c>
      <c r="F1980" t="s">
        <v>1017</v>
      </c>
      <c r="G1980" t="s">
        <v>1017</v>
      </c>
      <c r="H1980" t="s">
        <v>21</v>
      </c>
      <c r="I1980">
        <v>4</v>
      </c>
      <c r="J1980" s="5">
        <v>6.9000000000000006E-2</v>
      </c>
      <c r="K1980" t="s">
        <v>119</v>
      </c>
      <c r="L1980" s="6">
        <v>42552</v>
      </c>
      <c r="M1980">
        <v>7</v>
      </c>
      <c r="N1980" s="7" t="s">
        <v>55</v>
      </c>
      <c r="O1980" t="s">
        <v>31</v>
      </c>
      <c r="P1980" t="s">
        <v>5052</v>
      </c>
      <c r="Q1980" t="s">
        <v>5053</v>
      </c>
      <c r="R1980" t="s">
        <v>5018</v>
      </c>
    </row>
    <row r="1981" spans="1:18" hidden="1">
      <c r="A1981">
        <v>5</v>
      </c>
      <c r="B1981" s="4" t="s">
        <v>4600</v>
      </c>
      <c r="C1981" s="4" t="s">
        <v>4933</v>
      </c>
      <c r="D1981" s="4" t="s">
        <v>5014</v>
      </c>
      <c r="E1981" s="4" t="s">
        <v>5804</v>
      </c>
      <c r="F1981" t="s">
        <v>1017</v>
      </c>
      <c r="G1981" t="s">
        <v>1017</v>
      </c>
      <c r="H1981" t="s">
        <v>21</v>
      </c>
      <c r="I1981">
        <v>4</v>
      </c>
      <c r="J1981" s="5">
        <v>6.9000000000000006E-2</v>
      </c>
      <c r="K1981" t="s">
        <v>422</v>
      </c>
      <c r="L1981" s="6">
        <v>42736</v>
      </c>
      <c r="M1981">
        <v>1</v>
      </c>
      <c r="N1981" s="7" t="s">
        <v>30</v>
      </c>
      <c r="O1981" t="s">
        <v>31</v>
      </c>
      <c r="P1981" t="s">
        <v>5086</v>
      </c>
      <c r="Q1981" t="s">
        <v>5087</v>
      </c>
      <c r="R1981" t="s">
        <v>5018</v>
      </c>
    </row>
    <row r="1982" spans="1:18" hidden="1">
      <c r="A1982">
        <v>5</v>
      </c>
      <c r="B1982" s="4" t="s">
        <v>4600</v>
      </c>
      <c r="C1982" s="4" t="s">
        <v>4933</v>
      </c>
      <c r="D1982" s="4" t="s">
        <v>5014</v>
      </c>
      <c r="E1982" s="4" t="s">
        <v>5804</v>
      </c>
      <c r="F1982" t="s">
        <v>1017</v>
      </c>
      <c r="G1982" t="s">
        <v>1017</v>
      </c>
      <c r="H1982" t="s">
        <v>21</v>
      </c>
      <c r="I1982">
        <v>4</v>
      </c>
      <c r="J1982" s="5">
        <v>6.9000000000000006E-2</v>
      </c>
      <c r="K1982" t="s">
        <v>76</v>
      </c>
      <c r="L1982" s="6">
        <v>42856</v>
      </c>
      <c r="M1982">
        <v>5</v>
      </c>
      <c r="N1982" s="7" t="s">
        <v>23</v>
      </c>
      <c r="O1982" t="s">
        <v>31</v>
      </c>
      <c r="P1982" t="s">
        <v>5112</v>
      </c>
      <c r="Q1982" t="s">
        <v>5053</v>
      </c>
      <c r="R1982" t="s">
        <v>5018</v>
      </c>
    </row>
    <row r="1983" spans="1:18" hidden="1">
      <c r="A1983">
        <v>5</v>
      </c>
      <c r="B1983" s="4" t="s">
        <v>4600</v>
      </c>
      <c r="C1983" s="4" t="s">
        <v>4933</v>
      </c>
      <c r="D1983" s="4" t="s">
        <v>5014</v>
      </c>
      <c r="E1983" s="4" t="s">
        <v>5804</v>
      </c>
      <c r="F1983" t="s">
        <v>1017</v>
      </c>
      <c r="G1983" t="s">
        <v>1017</v>
      </c>
      <c r="H1983" t="s">
        <v>21</v>
      </c>
      <c r="I1983">
        <v>4</v>
      </c>
      <c r="J1983" s="5">
        <v>6.9000000000000006E-2</v>
      </c>
      <c r="K1983" t="s">
        <v>29</v>
      </c>
      <c r="L1983" s="6">
        <v>43070</v>
      </c>
      <c r="M1983">
        <v>12</v>
      </c>
      <c r="N1983" s="7" t="s">
        <v>30</v>
      </c>
      <c r="O1983" t="s">
        <v>31</v>
      </c>
      <c r="P1983" t="s">
        <v>5165</v>
      </c>
      <c r="Q1983" t="s">
        <v>5166</v>
      </c>
      <c r="R1983" t="s">
        <v>5018</v>
      </c>
    </row>
    <row r="1984" spans="1:18" hidden="1">
      <c r="A1984">
        <v>5</v>
      </c>
      <c r="B1984" s="4" t="s">
        <v>4600</v>
      </c>
      <c r="C1984" s="4" t="s">
        <v>4933</v>
      </c>
      <c r="D1984" s="4" t="s">
        <v>5014</v>
      </c>
      <c r="E1984" s="4" t="s">
        <v>5804</v>
      </c>
      <c r="F1984" t="s">
        <v>1017</v>
      </c>
      <c r="G1984" t="s">
        <v>1017</v>
      </c>
      <c r="H1984" t="s">
        <v>21</v>
      </c>
      <c r="I1984">
        <v>4</v>
      </c>
      <c r="J1984" s="5">
        <v>6.9000000000000006E-2</v>
      </c>
      <c r="K1984" t="s">
        <v>1012</v>
      </c>
      <c r="L1984" s="6">
        <v>43132</v>
      </c>
      <c r="M1984">
        <v>2</v>
      </c>
      <c r="N1984" s="7" t="s">
        <v>30</v>
      </c>
      <c r="O1984" t="s">
        <v>31</v>
      </c>
      <c r="P1984" t="s">
        <v>5167</v>
      </c>
      <c r="Q1984" t="s">
        <v>3708</v>
      </c>
      <c r="R1984" t="s">
        <v>4953</v>
      </c>
    </row>
    <row r="1985" spans="1:18" hidden="1">
      <c r="A1985">
        <v>5</v>
      </c>
      <c r="B1985" s="4" t="s">
        <v>4600</v>
      </c>
      <c r="C1985" s="4" t="s">
        <v>4933</v>
      </c>
      <c r="D1985" s="4" t="s">
        <v>5014</v>
      </c>
      <c r="E1985" s="4" t="s">
        <v>5804</v>
      </c>
      <c r="F1985" t="s">
        <v>1017</v>
      </c>
      <c r="G1985" t="s">
        <v>1017</v>
      </c>
      <c r="H1985" t="s">
        <v>21</v>
      </c>
      <c r="I1985">
        <v>4</v>
      </c>
      <c r="J1985" s="5">
        <v>6.9000000000000006E-2</v>
      </c>
      <c r="K1985" t="s">
        <v>292</v>
      </c>
      <c r="L1985" s="6">
        <v>43191</v>
      </c>
      <c r="M1985">
        <v>4</v>
      </c>
      <c r="N1985" s="7" t="s">
        <v>23</v>
      </c>
      <c r="O1985" t="s">
        <v>31</v>
      </c>
      <c r="P1985" t="s">
        <v>5181</v>
      </c>
      <c r="Q1985" t="s">
        <v>5182</v>
      </c>
      <c r="R1985" t="s">
        <v>5183</v>
      </c>
    </row>
    <row r="1986" spans="1:18" hidden="1">
      <c r="A1986">
        <v>5</v>
      </c>
      <c r="B1986" s="4" t="s">
        <v>4600</v>
      </c>
      <c r="C1986" s="4" t="s">
        <v>4933</v>
      </c>
      <c r="D1986" s="4" t="s">
        <v>5014</v>
      </c>
      <c r="E1986" s="4" t="s">
        <v>5804</v>
      </c>
      <c r="F1986" t="s">
        <v>1017</v>
      </c>
      <c r="G1986" t="s">
        <v>1017</v>
      </c>
      <c r="H1986" t="s">
        <v>21</v>
      </c>
      <c r="I1986">
        <v>4</v>
      </c>
      <c r="J1986" s="5">
        <v>6.9000000000000006E-2</v>
      </c>
      <c r="K1986" t="s">
        <v>146</v>
      </c>
      <c r="L1986" s="6">
        <v>43313</v>
      </c>
      <c r="M1986">
        <v>8</v>
      </c>
      <c r="N1986" s="7" t="s">
        <v>55</v>
      </c>
      <c r="O1986" t="s">
        <v>31</v>
      </c>
      <c r="P1986" t="s">
        <v>5195</v>
      </c>
      <c r="Q1986" t="s">
        <v>5053</v>
      </c>
      <c r="R1986" t="s">
        <v>5018</v>
      </c>
    </row>
    <row r="1987" spans="1:18" hidden="1">
      <c r="A1987">
        <v>5</v>
      </c>
      <c r="B1987" s="4" t="s">
        <v>4600</v>
      </c>
      <c r="C1987" s="4" t="s">
        <v>4933</v>
      </c>
      <c r="D1987" s="4" t="s">
        <v>5014</v>
      </c>
      <c r="E1987" s="4" t="s">
        <v>5804</v>
      </c>
      <c r="F1987" t="s">
        <v>1017</v>
      </c>
      <c r="G1987" t="s">
        <v>1017</v>
      </c>
      <c r="H1987" t="s">
        <v>21</v>
      </c>
      <c r="I1987">
        <v>4</v>
      </c>
      <c r="J1987" s="5">
        <v>6.9000000000000006E-2</v>
      </c>
      <c r="K1987" t="s">
        <v>146</v>
      </c>
      <c r="L1987" s="6">
        <v>43313</v>
      </c>
      <c r="M1987">
        <v>8</v>
      </c>
      <c r="N1987" s="7" t="s">
        <v>55</v>
      </c>
      <c r="O1987" t="s">
        <v>31</v>
      </c>
      <c r="P1987" t="s">
        <v>5196</v>
      </c>
      <c r="Q1987" t="s">
        <v>5197</v>
      </c>
      <c r="R1987" t="s">
        <v>5018</v>
      </c>
    </row>
    <row r="1988" spans="1:18" hidden="1">
      <c r="A1988">
        <v>5</v>
      </c>
      <c r="B1988" s="4" t="s">
        <v>4600</v>
      </c>
      <c r="C1988" s="4" t="s">
        <v>4933</v>
      </c>
      <c r="D1988" s="4" t="s">
        <v>5014</v>
      </c>
      <c r="E1988" s="4" t="s">
        <v>5804</v>
      </c>
      <c r="F1988" t="s">
        <v>1017</v>
      </c>
      <c r="G1988" t="s">
        <v>1017</v>
      </c>
      <c r="H1988" t="s">
        <v>21</v>
      </c>
      <c r="I1988">
        <v>4</v>
      </c>
      <c r="J1988" s="5">
        <v>6.9000000000000006E-2</v>
      </c>
      <c r="K1988" t="s">
        <v>482</v>
      </c>
      <c r="L1988" s="6">
        <v>43435</v>
      </c>
      <c r="M1988">
        <v>12</v>
      </c>
      <c r="N1988" s="7" t="s">
        <v>30</v>
      </c>
      <c r="O1988" t="s">
        <v>31</v>
      </c>
      <c r="P1988" t="s">
        <v>5215</v>
      </c>
      <c r="Q1988" t="s">
        <v>5216</v>
      </c>
      <c r="R1988" t="s">
        <v>5018</v>
      </c>
    </row>
    <row r="1989" spans="1:18" hidden="1">
      <c r="A1989">
        <v>5</v>
      </c>
      <c r="B1989" s="4" t="s">
        <v>4600</v>
      </c>
      <c r="C1989" s="4" t="s">
        <v>4933</v>
      </c>
      <c r="D1989" s="4" t="s">
        <v>5014</v>
      </c>
      <c r="E1989" s="4" t="s">
        <v>5804</v>
      </c>
      <c r="F1989" t="s">
        <v>1017</v>
      </c>
      <c r="G1989" t="s">
        <v>1017</v>
      </c>
      <c r="H1989" t="s">
        <v>21</v>
      </c>
      <c r="I1989">
        <v>4</v>
      </c>
      <c r="J1989" s="5">
        <v>6.9000000000000006E-2</v>
      </c>
      <c r="K1989" t="s">
        <v>2966</v>
      </c>
      <c r="L1989" s="6">
        <v>43647</v>
      </c>
      <c r="M1989">
        <v>7</v>
      </c>
      <c r="N1989" s="7" t="s">
        <v>55</v>
      </c>
      <c r="O1989" t="s">
        <v>31</v>
      </c>
      <c r="P1989" t="s">
        <v>5268</v>
      </c>
      <c r="Q1989" t="s">
        <v>5053</v>
      </c>
      <c r="R1989" t="s">
        <v>5018</v>
      </c>
    </row>
    <row r="1990" spans="1:18" hidden="1">
      <c r="A1990">
        <v>5</v>
      </c>
      <c r="B1990" s="4" t="s">
        <v>4600</v>
      </c>
      <c r="C1990" s="4" t="s">
        <v>4933</v>
      </c>
      <c r="D1990" s="4" t="s">
        <v>5014</v>
      </c>
      <c r="E1990" s="4" t="s">
        <v>5804</v>
      </c>
      <c r="F1990" t="s">
        <v>1017</v>
      </c>
      <c r="G1990" t="s">
        <v>1017</v>
      </c>
      <c r="H1990" t="s">
        <v>21</v>
      </c>
      <c r="I1990">
        <v>4</v>
      </c>
      <c r="J1990" s="5">
        <v>6.9000000000000006E-2</v>
      </c>
      <c r="K1990" t="s">
        <v>304</v>
      </c>
      <c r="L1990" s="6">
        <v>43647</v>
      </c>
      <c r="M1990">
        <v>7</v>
      </c>
      <c r="N1990" s="7" t="s">
        <v>55</v>
      </c>
      <c r="O1990" t="s">
        <v>36</v>
      </c>
      <c r="P1990" t="s">
        <v>5270</v>
      </c>
      <c r="Q1990" t="s">
        <v>5271</v>
      </c>
      <c r="R1990" t="s">
        <v>5018</v>
      </c>
    </row>
    <row r="1991" spans="1:18" hidden="1">
      <c r="A1991">
        <v>5</v>
      </c>
      <c r="B1991" s="4" t="s">
        <v>4600</v>
      </c>
      <c r="C1991" s="4" t="s">
        <v>4933</v>
      </c>
      <c r="D1991" s="4" t="s">
        <v>5014</v>
      </c>
      <c r="E1991" s="4" t="s">
        <v>5804</v>
      </c>
      <c r="F1991" t="s">
        <v>1017</v>
      </c>
      <c r="G1991" t="s">
        <v>1017</v>
      </c>
      <c r="H1991" t="s">
        <v>21</v>
      </c>
      <c r="I1991">
        <v>4</v>
      </c>
      <c r="J1991" s="5">
        <v>6.9000000000000006E-2</v>
      </c>
      <c r="K1991" t="s">
        <v>304</v>
      </c>
      <c r="L1991" s="6">
        <v>43647</v>
      </c>
      <c r="M1991">
        <v>7</v>
      </c>
      <c r="N1991" s="7" t="s">
        <v>55</v>
      </c>
      <c r="O1991" t="s">
        <v>31</v>
      </c>
      <c r="P1991" t="s">
        <v>5276</v>
      </c>
      <c r="Q1991" t="s">
        <v>5277</v>
      </c>
      <c r="R1991" t="s">
        <v>5018</v>
      </c>
    </row>
    <row r="1992" spans="1:18" hidden="1">
      <c r="A1992">
        <v>5</v>
      </c>
      <c r="B1992" s="4" t="s">
        <v>4600</v>
      </c>
      <c r="C1992" s="4" t="s">
        <v>4933</v>
      </c>
      <c r="D1992" s="4" t="s">
        <v>5014</v>
      </c>
      <c r="E1992" s="4" t="s">
        <v>5804</v>
      </c>
      <c r="F1992" t="s">
        <v>1017</v>
      </c>
      <c r="G1992" t="s">
        <v>1017</v>
      </c>
      <c r="H1992" t="s">
        <v>21</v>
      </c>
      <c r="I1992">
        <v>4</v>
      </c>
      <c r="J1992" s="5">
        <v>6.9000000000000006E-2</v>
      </c>
      <c r="K1992" t="s">
        <v>99</v>
      </c>
      <c r="L1992" s="6">
        <v>43891</v>
      </c>
      <c r="M1992">
        <v>3</v>
      </c>
      <c r="N1992" s="7" t="s">
        <v>23</v>
      </c>
      <c r="O1992" t="s">
        <v>31</v>
      </c>
      <c r="P1992" t="s">
        <v>5323</v>
      </c>
      <c r="Q1992" t="s">
        <v>5017</v>
      </c>
      <c r="R1992" t="s">
        <v>5018</v>
      </c>
    </row>
    <row r="1993" spans="1:18" hidden="1">
      <c r="A1993">
        <v>5</v>
      </c>
      <c r="B1993" s="4" t="s">
        <v>4600</v>
      </c>
      <c r="C1993" s="4" t="s">
        <v>4933</v>
      </c>
      <c r="D1993" s="4" t="s">
        <v>5014</v>
      </c>
      <c r="E1993" s="4" t="s">
        <v>5804</v>
      </c>
      <c r="F1993" t="s">
        <v>1017</v>
      </c>
      <c r="G1993" t="s">
        <v>1017</v>
      </c>
      <c r="H1993" t="s">
        <v>21</v>
      </c>
      <c r="I1993">
        <v>4</v>
      </c>
      <c r="J1993" s="5">
        <v>6.9000000000000006E-2</v>
      </c>
      <c r="K1993" t="s">
        <v>171</v>
      </c>
      <c r="L1993" s="6">
        <v>44013</v>
      </c>
      <c r="M1993">
        <v>7</v>
      </c>
      <c r="N1993" s="7" t="s">
        <v>55</v>
      </c>
      <c r="O1993" t="s">
        <v>31</v>
      </c>
      <c r="P1993" t="s">
        <v>5341</v>
      </c>
      <c r="Q1993" t="s">
        <v>5342</v>
      </c>
      <c r="R1993" t="s">
        <v>5018</v>
      </c>
    </row>
    <row r="1994" spans="1:18" hidden="1">
      <c r="A1994">
        <v>5</v>
      </c>
      <c r="B1994" s="4" t="s">
        <v>4600</v>
      </c>
      <c r="C1994" s="4" t="s">
        <v>4933</v>
      </c>
      <c r="D1994" s="4" t="s">
        <v>5014</v>
      </c>
      <c r="E1994" s="4" t="s">
        <v>5804</v>
      </c>
      <c r="F1994" t="s">
        <v>1017</v>
      </c>
      <c r="G1994" t="s">
        <v>1017</v>
      </c>
      <c r="H1994" t="s">
        <v>21</v>
      </c>
      <c r="I1994">
        <v>4</v>
      </c>
      <c r="J1994" s="5">
        <v>6.9000000000000006E-2</v>
      </c>
      <c r="K1994" t="s">
        <v>749</v>
      </c>
      <c r="L1994" s="6">
        <v>44136</v>
      </c>
      <c r="M1994">
        <v>11</v>
      </c>
      <c r="N1994" s="7" t="s">
        <v>23</v>
      </c>
      <c r="O1994" t="s">
        <v>31</v>
      </c>
      <c r="P1994" t="s">
        <v>5346</v>
      </c>
      <c r="Q1994" t="s">
        <v>5017</v>
      </c>
      <c r="R1994" t="s">
        <v>5018</v>
      </c>
    </row>
    <row r="1995" spans="1:18" hidden="1">
      <c r="A1995">
        <v>5</v>
      </c>
      <c r="B1995" s="4" t="s">
        <v>4600</v>
      </c>
      <c r="C1995" s="4" t="s">
        <v>4933</v>
      </c>
      <c r="D1995" s="4" t="s">
        <v>5014</v>
      </c>
      <c r="E1995" s="4" t="s">
        <v>5804</v>
      </c>
      <c r="F1995" t="s">
        <v>1017</v>
      </c>
      <c r="G1995" t="s">
        <v>1017</v>
      </c>
      <c r="H1995" t="s">
        <v>21</v>
      </c>
      <c r="I1995">
        <v>4</v>
      </c>
      <c r="J1995" s="5">
        <v>6.9000000000000006E-2</v>
      </c>
      <c r="K1995" t="s">
        <v>489</v>
      </c>
      <c r="L1995" s="6">
        <v>44409</v>
      </c>
      <c r="M1995">
        <v>8</v>
      </c>
      <c r="N1995" s="7" t="s">
        <v>55</v>
      </c>
      <c r="O1995" t="s">
        <v>31</v>
      </c>
      <c r="P1995" t="s">
        <v>5373</v>
      </c>
      <c r="Q1995" t="s">
        <v>5053</v>
      </c>
      <c r="R1995" t="s">
        <v>5018</v>
      </c>
    </row>
    <row r="1996" spans="1:18" hidden="1">
      <c r="A1996">
        <v>6</v>
      </c>
      <c r="B1996" s="4" t="s">
        <v>5462</v>
      </c>
      <c r="C1996" s="4" t="s">
        <v>5463</v>
      </c>
      <c r="D1996" s="4" t="s">
        <v>5497</v>
      </c>
      <c r="E1996" s="4" t="s">
        <v>5804</v>
      </c>
      <c r="F1996" t="s">
        <v>1017</v>
      </c>
      <c r="G1996" t="s">
        <v>1017</v>
      </c>
      <c r="H1996" t="s">
        <v>21</v>
      </c>
      <c r="I1996">
        <v>4</v>
      </c>
      <c r="J1996" s="5">
        <v>6.9000000000000006E-2</v>
      </c>
      <c r="K1996" t="s">
        <v>681</v>
      </c>
      <c r="L1996" s="6">
        <v>42887</v>
      </c>
      <c r="M1996">
        <v>6</v>
      </c>
      <c r="N1996" s="7" t="s">
        <v>55</v>
      </c>
      <c r="O1996" t="s">
        <v>31</v>
      </c>
      <c r="P1996" t="s">
        <v>5525</v>
      </c>
      <c r="Q1996" t="s">
        <v>5526</v>
      </c>
      <c r="R1996" t="s">
        <v>5527</v>
      </c>
    </row>
    <row r="1997" spans="1:18" hidden="1">
      <c r="A1997">
        <v>6</v>
      </c>
      <c r="B1997" s="4" t="s">
        <v>5462</v>
      </c>
      <c r="C1997" s="4" t="s">
        <v>5463</v>
      </c>
      <c r="D1997" s="4" t="s">
        <v>5497</v>
      </c>
      <c r="E1997" s="4" t="s">
        <v>5804</v>
      </c>
      <c r="F1997" t="s">
        <v>1017</v>
      </c>
      <c r="G1997" t="s">
        <v>1017</v>
      </c>
      <c r="H1997" t="s">
        <v>21</v>
      </c>
      <c r="I1997">
        <v>4</v>
      </c>
      <c r="J1997" s="5">
        <v>6.9000000000000006E-2</v>
      </c>
      <c r="K1997" t="s">
        <v>681</v>
      </c>
      <c r="L1997" s="6">
        <v>42887</v>
      </c>
      <c r="M1997">
        <v>6</v>
      </c>
      <c r="N1997" s="7" t="s">
        <v>55</v>
      </c>
      <c r="O1997" t="s">
        <v>31</v>
      </c>
      <c r="P1997" t="s">
        <v>5528</v>
      </c>
      <c r="Q1997" t="s">
        <v>5526</v>
      </c>
      <c r="R1997" t="s">
        <v>5527</v>
      </c>
    </row>
    <row r="1998" spans="1:18" hidden="1">
      <c r="A1998">
        <v>6</v>
      </c>
      <c r="B1998" s="4" t="s">
        <v>5462</v>
      </c>
      <c r="C1998" s="4" t="s">
        <v>5463</v>
      </c>
      <c r="D1998" s="4" t="s">
        <v>5497</v>
      </c>
      <c r="E1998" s="4" t="s">
        <v>5804</v>
      </c>
      <c r="F1998" t="s">
        <v>1017</v>
      </c>
      <c r="G1998" t="s">
        <v>1017</v>
      </c>
      <c r="H1998" t="s">
        <v>21</v>
      </c>
      <c r="I1998">
        <v>4</v>
      </c>
      <c r="J1998" s="5">
        <v>6.9000000000000006E-2</v>
      </c>
      <c r="K1998" t="s">
        <v>156</v>
      </c>
      <c r="L1998" s="6">
        <v>43405</v>
      </c>
      <c r="M1998">
        <v>11</v>
      </c>
      <c r="N1998" s="7" t="s">
        <v>23</v>
      </c>
      <c r="O1998" t="s">
        <v>31</v>
      </c>
      <c r="P1998" t="s">
        <v>5554</v>
      </c>
      <c r="Q1998" t="s">
        <v>5526</v>
      </c>
      <c r="R1998" t="s">
        <v>5527</v>
      </c>
    </row>
    <row r="1999" spans="1:18" hidden="1">
      <c r="A1999">
        <v>6</v>
      </c>
      <c r="B1999" s="4" t="s">
        <v>5462</v>
      </c>
      <c r="C1999" s="4" t="s">
        <v>5463</v>
      </c>
      <c r="D1999" s="4" t="s">
        <v>5497</v>
      </c>
      <c r="E1999" s="4" t="s">
        <v>5804</v>
      </c>
      <c r="F1999" t="s">
        <v>1017</v>
      </c>
      <c r="G1999" t="s">
        <v>1017</v>
      </c>
      <c r="H1999" t="s">
        <v>21</v>
      </c>
      <c r="I1999">
        <v>4</v>
      </c>
      <c r="J1999" s="5">
        <v>6.9000000000000006E-2</v>
      </c>
      <c r="K1999" t="s">
        <v>159</v>
      </c>
      <c r="L1999" s="6">
        <v>43586</v>
      </c>
      <c r="M1999">
        <v>5</v>
      </c>
      <c r="N1999" s="7" t="s">
        <v>23</v>
      </c>
      <c r="O1999" t="s">
        <v>31</v>
      </c>
      <c r="P1999" t="s">
        <v>5565</v>
      </c>
      <c r="Q1999" t="s">
        <v>5526</v>
      </c>
      <c r="R1999" t="s">
        <v>5527</v>
      </c>
    </row>
    <row r="2000" spans="1:18" hidden="1">
      <c r="A2000">
        <v>11</v>
      </c>
      <c r="B2000" s="4" t="s">
        <v>554</v>
      </c>
      <c r="C2000" s="4" t="s">
        <v>648</v>
      </c>
      <c r="D2000" s="4" t="s">
        <v>649</v>
      </c>
      <c r="E2000" s="4" t="s">
        <v>5804</v>
      </c>
      <c r="F2000" t="s">
        <v>650</v>
      </c>
      <c r="G2000" t="s">
        <v>650</v>
      </c>
      <c r="H2000" t="s">
        <v>53</v>
      </c>
      <c r="I2000" t="s">
        <v>53</v>
      </c>
      <c r="J2000" s="5" t="s">
        <v>53</v>
      </c>
      <c r="K2000" t="s">
        <v>220</v>
      </c>
      <c r="L2000" s="6">
        <v>42644</v>
      </c>
      <c r="M2000">
        <v>10</v>
      </c>
      <c r="N2000" s="7" t="s">
        <v>23</v>
      </c>
      <c r="O2000" t="s">
        <v>36</v>
      </c>
      <c r="P2000" t="s">
        <v>651</v>
      </c>
      <c r="Q2000" t="s">
        <v>652</v>
      </c>
      <c r="R2000" t="s">
        <v>653</v>
      </c>
    </row>
    <row r="2001" spans="1:18" hidden="1">
      <c r="A2001">
        <v>11</v>
      </c>
      <c r="B2001" s="4" t="s">
        <v>554</v>
      </c>
      <c r="C2001" s="4" t="s">
        <v>648</v>
      </c>
      <c r="D2001" s="4" t="s">
        <v>649</v>
      </c>
      <c r="E2001" s="4" t="s">
        <v>5804</v>
      </c>
      <c r="F2001" t="s">
        <v>650</v>
      </c>
      <c r="G2001" t="s">
        <v>650</v>
      </c>
      <c r="H2001" t="s">
        <v>53</v>
      </c>
      <c r="I2001" t="s">
        <v>53</v>
      </c>
      <c r="J2001" s="5" t="s">
        <v>53</v>
      </c>
      <c r="K2001" t="s">
        <v>654</v>
      </c>
      <c r="L2001" s="6">
        <v>43556</v>
      </c>
      <c r="M2001">
        <v>4</v>
      </c>
      <c r="N2001" s="7" t="s">
        <v>23</v>
      </c>
      <c r="O2001" t="s">
        <v>36</v>
      </c>
      <c r="P2001" t="s">
        <v>655</v>
      </c>
      <c r="Q2001" t="s">
        <v>652</v>
      </c>
      <c r="R2001" t="s">
        <v>653</v>
      </c>
    </row>
    <row r="2002" spans="1:18" hidden="1">
      <c r="A2002">
        <v>11</v>
      </c>
      <c r="B2002" s="4" t="s">
        <v>554</v>
      </c>
      <c r="C2002" s="4" t="s">
        <v>648</v>
      </c>
      <c r="D2002" s="4" t="s">
        <v>649</v>
      </c>
      <c r="E2002" s="4" t="s">
        <v>5804</v>
      </c>
      <c r="F2002" t="s">
        <v>650</v>
      </c>
      <c r="G2002" t="s">
        <v>650</v>
      </c>
      <c r="H2002" t="s">
        <v>53</v>
      </c>
      <c r="I2002" t="s">
        <v>53</v>
      </c>
      <c r="J2002" s="5" t="s">
        <v>53</v>
      </c>
      <c r="K2002" t="s">
        <v>304</v>
      </c>
      <c r="L2002" s="6">
        <v>43647</v>
      </c>
      <c r="M2002">
        <v>7</v>
      </c>
      <c r="N2002" s="7" t="s">
        <v>55</v>
      </c>
      <c r="O2002" t="s">
        <v>36</v>
      </c>
      <c r="P2002" t="s">
        <v>656</v>
      </c>
      <c r="Q2002" t="s">
        <v>652</v>
      </c>
      <c r="R2002" t="s">
        <v>653</v>
      </c>
    </row>
    <row r="2003" spans="1:18" hidden="1">
      <c r="A2003">
        <v>11</v>
      </c>
      <c r="B2003" s="4" t="s">
        <v>554</v>
      </c>
      <c r="C2003" s="4" t="s">
        <v>648</v>
      </c>
      <c r="D2003" s="4" t="s">
        <v>649</v>
      </c>
      <c r="E2003" s="4" t="s">
        <v>5804</v>
      </c>
      <c r="F2003" t="s">
        <v>650</v>
      </c>
      <c r="G2003" t="s">
        <v>650</v>
      </c>
      <c r="H2003" t="s">
        <v>53</v>
      </c>
      <c r="I2003" t="s">
        <v>53</v>
      </c>
      <c r="J2003" s="5" t="s">
        <v>53</v>
      </c>
      <c r="K2003" t="s">
        <v>99</v>
      </c>
      <c r="L2003" s="6">
        <v>43891</v>
      </c>
      <c r="M2003">
        <v>3</v>
      </c>
      <c r="N2003" s="7" t="s">
        <v>23</v>
      </c>
      <c r="O2003" t="s">
        <v>24</v>
      </c>
      <c r="P2003" t="s">
        <v>660</v>
      </c>
      <c r="Q2003" t="s">
        <v>661</v>
      </c>
      <c r="R2003" t="s">
        <v>662</v>
      </c>
    </row>
    <row r="2004" spans="1:18" hidden="1">
      <c r="A2004">
        <v>12</v>
      </c>
      <c r="B2004" s="4" t="s">
        <v>901</v>
      </c>
      <c r="C2004" s="4" t="s">
        <v>1672</v>
      </c>
      <c r="D2004" s="4" t="s">
        <v>1673</v>
      </c>
      <c r="E2004" s="4" t="s">
        <v>5804</v>
      </c>
      <c r="F2004" t="s">
        <v>650</v>
      </c>
      <c r="G2004" t="s">
        <v>650</v>
      </c>
      <c r="H2004" t="s">
        <v>53</v>
      </c>
      <c r="I2004" t="s">
        <v>53</v>
      </c>
      <c r="J2004" s="5" t="s">
        <v>53</v>
      </c>
      <c r="K2004" t="s">
        <v>251</v>
      </c>
      <c r="L2004" s="6">
        <v>43952</v>
      </c>
      <c r="M2004">
        <v>5</v>
      </c>
      <c r="N2004" s="7" t="s">
        <v>23</v>
      </c>
      <c r="O2004" t="s">
        <v>24</v>
      </c>
      <c r="P2004" t="s">
        <v>1890</v>
      </c>
      <c r="Q2004" t="s">
        <v>1891</v>
      </c>
      <c r="R2004" t="s">
        <v>1892</v>
      </c>
    </row>
    <row r="2005" spans="1:18" hidden="1">
      <c r="A2005">
        <v>6</v>
      </c>
      <c r="B2005" s="4" t="s">
        <v>5462</v>
      </c>
      <c r="C2005" s="4" t="s">
        <v>5463</v>
      </c>
      <c r="D2005" s="4" t="s">
        <v>5464</v>
      </c>
      <c r="E2005" s="4" t="s">
        <v>5804</v>
      </c>
      <c r="F2005" t="s">
        <v>650</v>
      </c>
      <c r="G2005" t="s">
        <v>650</v>
      </c>
      <c r="H2005" t="s">
        <v>53</v>
      </c>
      <c r="I2005" t="s">
        <v>53</v>
      </c>
      <c r="J2005" s="5" t="s">
        <v>53</v>
      </c>
      <c r="K2005" t="s">
        <v>304</v>
      </c>
      <c r="L2005" s="6">
        <v>43647</v>
      </c>
      <c r="M2005">
        <v>7</v>
      </c>
      <c r="N2005" s="7" t="s">
        <v>55</v>
      </c>
      <c r="O2005" t="s">
        <v>36</v>
      </c>
      <c r="P2005" t="s">
        <v>5481</v>
      </c>
      <c r="Q2005" t="s">
        <v>5482</v>
      </c>
      <c r="R2005" t="s">
        <v>653</v>
      </c>
    </row>
    <row r="2006" spans="1:18" hidden="1">
      <c r="A2006">
        <v>6</v>
      </c>
      <c r="B2006" s="4" t="s">
        <v>5462</v>
      </c>
      <c r="C2006" s="4" t="s">
        <v>5463</v>
      </c>
      <c r="D2006" s="4" t="s">
        <v>5464</v>
      </c>
      <c r="E2006" s="4" t="s">
        <v>5804</v>
      </c>
      <c r="F2006" t="s">
        <v>650</v>
      </c>
      <c r="G2006" t="s">
        <v>650</v>
      </c>
      <c r="H2006" t="s">
        <v>53</v>
      </c>
      <c r="I2006" t="s">
        <v>53</v>
      </c>
      <c r="J2006" s="5" t="s">
        <v>53</v>
      </c>
      <c r="K2006" t="s">
        <v>839</v>
      </c>
      <c r="L2006" s="6">
        <v>43800</v>
      </c>
      <c r="M2006">
        <v>12</v>
      </c>
      <c r="N2006" s="7" t="s">
        <v>30</v>
      </c>
      <c r="O2006" t="s">
        <v>36</v>
      </c>
      <c r="P2006" t="s">
        <v>5484</v>
      </c>
      <c r="Q2006" t="s">
        <v>5482</v>
      </c>
      <c r="R2006" t="s">
        <v>653</v>
      </c>
    </row>
    <row r="2007" spans="1:18" hidden="1">
      <c r="A2007">
        <v>6</v>
      </c>
      <c r="B2007" s="4" t="s">
        <v>5462</v>
      </c>
      <c r="C2007" s="4" t="s">
        <v>5463</v>
      </c>
      <c r="D2007" s="4" t="s">
        <v>5464</v>
      </c>
      <c r="E2007" s="4" t="s">
        <v>5804</v>
      </c>
      <c r="F2007" t="s">
        <v>650</v>
      </c>
      <c r="G2007" t="s">
        <v>650</v>
      </c>
      <c r="H2007" t="s">
        <v>53</v>
      </c>
      <c r="I2007" t="s">
        <v>53</v>
      </c>
      <c r="J2007" s="5" t="s">
        <v>53</v>
      </c>
      <c r="K2007" t="s">
        <v>267</v>
      </c>
      <c r="L2007" s="6">
        <v>44044</v>
      </c>
      <c r="M2007">
        <v>8</v>
      </c>
      <c r="N2007" s="7" t="s">
        <v>55</v>
      </c>
      <c r="O2007" t="s">
        <v>36</v>
      </c>
      <c r="P2007" t="s">
        <v>5487</v>
      </c>
      <c r="Q2007" t="s">
        <v>5482</v>
      </c>
      <c r="R2007" t="s">
        <v>653</v>
      </c>
    </row>
    <row r="2008" spans="1:18" hidden="1">
      <c r="A2008">
        <v>6</v>
      </c>
      <c r="B2008" s="4" t="s">
        <v>5462</v>
      </c>
      <c r="C2008" s="4" t="s">
        <v>5463</v>
      </c>
      <c r="D2008" s="4" t="s">
        <v>5464</v>
      </c>
      <c r="E2008" s="4" t="s">
        <v>5804</v>
      </c>
      <c r="F2008" t="s">
        <v>650</v>
      </c>
      <c r="G2008" t="s">
        <v>650</v>
      </c>
      <c r="H2008" t="s">
        <v>53</v>
      </c>
      <c r="I2008" t="s">
        <v>53</v>
      </c>
      <c r="J2008" s="5" t="s">
        <v>53</v>
      </c>
      <c r="K2008" t="s">
        <v>749</v>
      </c>
      <c r="L2008" s="6">
        <v>44136</v>
      </c>
      <c r="M2008">
        <v>11</v>
      </c>
      <c r="N2008" s="7" t="s">
        <v>23</v>
      </c>
      <c r="O2008" t="s">
        <v>36</v>
      </c>
      <c r="P2008" t="s">
        <v>5488</v>
      </c>
      <c r="Q2008" t="s">
        <v>5482</v>
      </c>
      <c r="R2008" t="s">
        <v>653</v>
      </c>
    </row>
    <row r="2009" spans="1:18" hidden="1">
      <c r="A2009">
        <v>6</v>
      </c>
      <c r="B2009" s="4" t="s">
        <v>5462</v>
      </c>
      <c r="C2009" s="4" t="s">
        <v>5463</v>
      </c>
      <c r="D2009" s="4" t="s">
        <v>5464</v>
      </c>
      <c r="E2009" s="4" t="s">
        <v>5804</v>
      </c>
      <c r="F2009" t="s">
        <v>650</v>
      </c>
      <c r="G2009" t="s">
        <v>650</v>
      </c>
      <c r="H2009" t="s">
        <v>53</v>
      </c>
      <c r="I2009" t="s">
        <v>53</v>
      </c>
      <c r="J2009" s="5" t="s">
        <v>53</v>
      </c>
      <c r="K2009" t="s">
        <v>175</v>
      </c>
      <c r="L2009" s="6">
        <v>44166</v>
      </c>
      <c r="M2009">
        <v>12</v>
      </c>
      <c r="N2009" s="7" t="s">
        <v>30</v>
      </c>
      <c r="O2009" t="s">
        <v>36</v>
      </c>
      <c r="P2009" t="s">
        <v>5489</v>
      </c>
      <c r="Q2009" t="s">
        <v>5482</v>
      </c>
      <c r="R2009" t="s">
        <v>653</v>
      </c>
    </row>
    <row r="2010" spans="1:18" hidden="1">
      <c r="A2010">
        <v>6</v>
      </c>
      <c r="B2010" s="4" t="s">
        <v>5462</v>
      </c>
      <c r="C2010" s="4" t="s">
        <v>5463</v>
      </c>
      <c r="D2010" s="4" t="s">
        <v>5464</v>
      </c>
      <c r="E2010" s="4" t="s">
        <v>5804</v>
      </c>
      <c r="F2010" t="s">
        <v>650</v>
      </c>
      <c r="G2010" t="s">
        <v>650</v>
      </c>
      <c r="H2010" t="s">
        <v>53</v>
      </c>
      <c r="I2010" t="s">
        <v>53</v>
      </c>
      <c r="J2010" s="5" t="s">
        <v>53</v>
      </c>
      <c r="K2010" t="s">
        <v>311</v>
      </c>
      <c r="L2010" s="6">
        <v>44256</v>
      </c>
      <c r="M2010">
        <v>3</v>
      </c>
      <c r="N2010" s="7" t="s">
        <v>23</v>
      </c>
      <c r="O2010" t="s">
        <v>36</v>
      </c>
      <c r="P2010" t="s">
        <v>5493</v>
      </c>
      <c r="Q2010" t="s">
        <v>5482</v>
      </c>
      <c r="R2010" t="s">
        <v>653</v>
      </c>
    </row>
    <row r="2011" spans="1:18" hidden="1">
      <c r="A2011">
        <v>6</v>
      </c>
      <c r="B2011" s="4" t="s">
        <v>5462</v>
      </c>
      <c r="C2011" s="4" t="s">
        <v>5463</v>
      </c>
      <c r="D2011" s="4" t="s">
        <v>5464</v>
      </c>
      <c r="E2011" s="4" t="s">
        <v>5804</v>
      </c>
      <c r="F2011" t="s">
        <v>650</v>
      </c>
      <c r="G2011" t="s">
        <v>650</v>
      </c>
      <c r="H2011" t="s">
        <v>53</v>
      </c>
      <c r="I2011" t="s">
        <v>53</v>
      </c>
      <c r="J2011" s="5" t="s">
        <v>53</v>
      </c>
      <c r="K2011" t="s">
        <v>311</v>
      </c>
      <c r="L2011" s="6">
        <v>44256</v>
      </c>
      <c r="M2011">
        <v>3</v>
      </c>
      <c r="N2011" s="7" t="s">
        <v>23</v>
      </c>
      <c r="O2011" t="s">
        <v>36</v>
      </c>
      <c r="P2011" t="s">
        <v>5494</v>
      </c>
      <c r="Q2011" t="s">
        <v>5482</v>
      </c>
      <c r="R2011" t="s">
        <v>653</v>
      </c>
    </row>
    <row r="2012" spans="1:18" hidden="1">
      <c r="A2012">
        <v>6</v>
      </c>
      <c r="B2012" s="4" t="s">
        <v>5462</v>
      </c>
      <c r="C2012" s="4" t="s">
        <v>5463</v>
      </c>
      <c r="D2012" s="4" t="s">
        <v>5464</v>
      </c>
      <c r="E2012" s="4" t="s">
        <v>5804</v>
      </c>
      <c r="F2012" t="s">
        <v>650</v>
      </c>
      <c r="G2012" t="s">
        <v>650</v>
      </c>
      <c r="H2012" t="s">
        <v>53</v>
      </c>
      <c r="I2012" t="s">
        <v>53</v>
      </c>
      <c r="J2012" s="5" t="s">
        <v>53</v>
      </c>
      <c r="K2012" t="s">
        <v>630</v>
      </c>
      <c r="L2012" s="6">
        <v>44378</v>
      </c>
      <c r="M2012">
        <v>7</v>
      </c>
      <c r="N2012" s="7" t="s">
        <v>55</v>
      </c>
      <c r="O2012" t="s">
        <v>24</v>
      </c>
      <c r="P2012" t="s">
        <v>5495</v>
      </c>
      <c r="Q2012" t="s">
        <v>661</v>
      </c>
      <c r="R2012" t="s">
        <v>662</v>
      </c>
    </row>
    <row r="2013" spans="1:18" hidden="1">
      <c r="A2013">
        <v>6</v>
      </c>
      <c r="B2013" s="4" t="s">
        <v>5462</v>
      </c>
      <c r="C2013" s="4" t="s">
        <v>5463</v>
      </c>
      <c r="D2013" s="4" t="s">
        <v>5464</v>
      </c>
      <c r="E2013" s="4" t="s">
        <v>5804</v>
      </c>
      <c r="F2013" t="s">
        <v>650</v>
      </c>
      <c r="G2013" t="s">
        <v>650</v>
      </c>
      <c r="H2013" t="s">
        <v>53</v>
      </c>
      <c r="I2013" t="s">
        <v>53</v>
      </c>
      <c r="J2013" s="5" t="s">
        <v>53</v>
      </c>
      <c r="K2013" t="s">
        <v>109</v>
      </c>
      <c r="L2013" s="6">
        <v>44531</v>
      </c>
      <c r="M2013">
        <v>12</v>
      </c>
      <c r="N2013" s="7" t="s">
        <v>30</v>
      </c>
      <c r="O2013" t="s">
        <v>36</v>
      </c>
      <c r="P2013" t="s">
        <v>5496</v>
      </c>
      <c r="Q2013" t="s">
        <v>5482</v>
      </c>
      <c r="R2013" t="s">
        <v>653</v>
      </c>
    </row>
    <row r="2014" spans="1:18" hidden="1">
      <c r="A2014">
        <v>6</v>
      </c>
      <c r="B2014" s="4" t="s">
        <v>5462</v>
      </c>
      <c r="C2014" s="4" t="s">
        <v>5463</v>
      </c>
      <c r="D2014" s="4" t="s">
        <v>5497</v>
      </c>
      <c r="E2014" s="4" t="s">
        <v>5804</v>
      </c>
      <c r="F2014" t="s">
        <v>650</v>
      </c>
      <c r="G2014" t="s">
        <v>650</v>
      </c>
      <c r="H2014" t="s">
        <v>53</v>
      </c>
      <c r="I2014" t="s">
        <v>53</v>
      </c>
      <c r="J2014" s="5" t="s">
        <v>53</v>
      </c>
      <c r="K2014" t="s">
        <v>60</v>
      </c>
      <c r="L2014" s="6">
        <v>42370</v>
      </c>
      <c r="M2014">
        <v>1</v>
      </c>
      <c r="N2014" s="7" t="s">
        <v>30</v>
      </c>
      <c r="O2014" t="s">
        <v>24</v>
      </c>
      <c r="P2014" t="s">
        <v>5498</v>
      </c>
      <c r="Q2014" t="s">
        <v>661</v>
      </c>
      <c r="R2014" t="s">
        <v>662</v>
      </c>
    </row>
    <row r="2015" spans="1:18" hidden="1">
      <c r="A2015">
        <v>6</v>
      </c>
      <c r="B2015" s="4" t="s">
        <v>5462</v>
      </c>
      <c r="C2015" s="4" t="s">
        <v>5463</v>
      </c>
      <c r="D2015" s="4" t="s">
        <v>5497</v>
      </c>
      <c r="E2015" s="4" t="s">
        <v>5804</v>
      </c>
      <c r="F2015" t="s">
        <v>650</v>
      </c>
      <c r="G2015" t="s">
        <v>650</v>
      </c>
      <c r="H2015" t="s">
        <v>53</v>
      </c>
      <c r="I2015" t="s">
        <v>53</v>
      </c>
      <c r="J2015" s="5" t="s">
        <v>53</v>
      </c>
      <c r="K2015" t="s">
        <v>701</v>
      </c>
      <c r="L2015" s="6">
        <v>42491</v>
      </c>
      <c r="M2015">
        <v>5</v>
      </c>
      <c r="N2015" s="7" t="s">
        <v>23</v>
      </c>
      <c r="O2015" t="s">
        <v>36</v>
      </c>
      <c r="P2015" t="s">
        <v>5502</v>
      </c>
      <c r="Q2015" t="s">
        <v>5503</v>
      </c>
      <c r="R2015" t="s">
        <v>5504</v>
      </c>
    </row>
    <row r="2016" spans="1:18" hidden="1">
      <c r="A2016">
        <v>6</v>
      </c>
      <c r="B2016" s="4" t="s">
        <v>5462</v>
      </c>
      <c r="C2016" s="4" t="s">
        <v>5463</v>
      </c>
      <c r="D2016" s="4" t="s">
        <v>5497</v>
      </c>
      <c r="E2016" s="4" t="s">
        <v>5804</v>
      </c>
      <c r="F2016" t="s">
        <v>650</v>
      </c>
      <c r="G2016" t="s">
        <v>650</v>
      </c>
      <c r="H2016" t="s">
        <v>53</v>
      </c>
      <c r="I2016" t="s">
        <v>53</v>
      </c>
      <c r="J2016" s="5" t="s">
        <v>53</v>
      </c>
      <c r="K2016" t="s">
        <v>220</v>
      </c>
      <c r="L2016" s="6">
        <v>42644</v>
      </c>
      <c r="M2016">
        <v>10</v>
      </c>
      <c r="N2016" s="7" t="s">
        <v>23</v>
      </c>
      <c r="O2016" t="s">
        <v>31</v>
      </c>
      <c r="P2016" t="s">
        <v>5513</v>
      </c>
      <c r="Q2016" t="s">
        <v>5514</v>
      </c>
      <c r="R2016" t="s">
        <v>662</v>
      </c>
    </row>
    <row r="2017" spans="1:18" hidden="1">
      <c r="A2017">
        <v>6</v>
      </c>
      <c r="B2017" s="4" t="s">
        <v>5462</v>
      </c>
      <c r="C2017" s="4" t="s">
        <v>5463</v>
      </c>
      <c r="D2017" s="4" t="s">
        <v>5497</v>
      </c>
      <c r="E2017" s="4" t="s">
        <v>5804</v>
      </c>
      <c r="F2017" t="s">
        <v>650</v>
      </c>
      <c r="G2017" t="s">
        <v>650</v>
      </c>
      <c r="H2017" t="s">
        <v>53</v>
      </c>
      <c r="I2017" t="s">
        <v>53</v>
      </c>
      <c r="J2017" s="5" t="s">
        <v>53</v>
      </c>
      <c r="K2017" t="s">
        <v>477</v>
      </c>
      <c r="L2017" s="6">
        <v>42705</v>
      </c>
      <c r="M2017">
        <v>12</v>
      </c>
      <c r="N2017" s="7" t="s">
        <v>30</v>
      </c>
      <c r="O2017" t="s">
        <v>24</v>
      </c>
      <c r="P2017" t="s">
        <v>5515</v>
      </c>
      <c r="Q2017" t="s">
        <v>5516</v>
      </c>
      <c r="R2017" t="s">
        <v>662</v>
      </c>
    </row>
    <row r="2018" spans="1:18" hidden="1">
      <c r="A2018">
        <v>6</v>
      </c>
      <c r="B2018" s="4" t="s">
        <v>5462</v>
      </c>
      <c r="C2018" s="4" t="s">
        <v>5463</v>
      </c>
      <c r="D2018" s="4" t="s">
        <v>5497</v>
      </c>
      <c r="E2018" s="4" t="s">
        <v>5804</v>
      </c>
      <c r="F2018" t="s">
        <v>650</v>
      </c>
      <c r="G2018" t="s">
        <v>650</v>
      </c>
      <c r="H2018" t="s">
        <v>53</v>
      </c>
      <c r="I2018" t="s">
        <v>53</v>
      </c>
      <c r="J2018" s="5" t="s">
        <v>53</v>
      </c>
      <c r="K2018" t="s">
        <v>292</v>
      </c>
      <c r="L2018" s="6">
        <v>43191</v>
      </c>
      <c r="M2018">
        <v>4</v>
      </c>
      <c r="N2018" s="7" t="s">
        <v>23</v>
      </c>
      <c r="O2018" t="s">
        <v>31</v>
      </c>
      <c r="P2018" t="s">
        <v>5543</v>
      </c>
      <c r="Q2018" t="s">
        <v>5544</v>
      </c>
      <c r="R2018" t="s">
        <v>5545</v>
      </c>
    </row>
    <row r="2019" spans="1:18" hidden="1">
      <c r="A2019">
        <v>6</v>
      </c>
      <c r="B2019" s="4" t="s">
        <v>5462</v>
      </c>
      <c r="C2019" s="4" t="s">
        <v>5463</v>
      </c>
      <c r="D2019" s="4" t="s">
        <v>5497</v>
      </c>
      <c r="E2019" s="4" t="s">
        <v>5804</v>
      </c>
      <c r="F2019" t="s">
        <v>650</v>
      </c>
      <c r="G2019" t="s">
        <v>650</v>
      </c>
      <c r="H2019" t="s">
        <v>53</v>
      </c>
      <c r="I2019" t="s">
        <v>53</v>
      </c>
      <c r="J2019" s="5" t="s">
        <v>53</v>
      </c>
      <c r="K2019" t="s">
        <v>295</v>
      </c>
      <c r="L2019" s="6">
        <v>43221</v>
      </c>
      <c r="M2019">
        <v>5</v>
      </c>
      <c r="N2019" s="7" t="s">
        <v>23</v>
      </c>
      <c r="O2019" t="s">
        <v>88</v>
      </c>
      <c r="P2019" t="s">
        <v>5546</v>
      </c>
      <c r="Q2019" t="s">
        <v>5547</v>
      </c>
      <c r="R2019" t="s">
        <v>5548</v>
      </c>
    </row>
    <row r="2020" spans="1:18" hidden="1">
      <c r="A2020">
        <v>6</v>
      </c>
      <c r="B2020" s="4" t="s">
        <v>5462</v>
      </c>
      <c r="C2020" s="4" t="s">
        <v>5463</v>
      </c>
      <c r="D2020" s="4" t="s">
        <v>5497</v>
      </c>
      <c r="E2020" s="4" t="s">
        <v>5804</v>
      </c>
      <c r="F2020" t="s">
        <v>650</v>
      </c>
      <c r="G2020" t="s">
        <v>650</v>
      </c>
      <c r="H2020" t="s">
        <v>53</v>
      </c>
      <c r="I2020" t="s">
        <v>53</v>
      </c>
      <c r="J2020" s="5" t="s">
        <v>53</v>
      </c>
      <c r="K2020" t="s">
        <v>298</v>
      </c>
      <c r="L2020" s="6">
        <v>43344</v>
      </c>
      <c r="M2020">
        <v>9</v>
      </c>
      <c r="N2020" s="7" t="s">
        <v>23</v>
      </c>
      <c r="O2020" t="s">
        <v>36</v>
      </c>
      <c r="P2020" t="s">
        <v>5551</v>
      </c>
      <c r="Q2020" t="s">
        <v>5552</v>
      </c>
      <c r="R2020" t="s">
        <v>5553</v>
      </c>
    </row>
    <row r="2021" spans="1:18" hidden="1">
      <c r="A2021">
        <v>6</v>
      </c>
      <c r="B2021" s="4" t="s">
        <v>5462</v>
      </c>
      <c r="C2021" s="4" t="s">
        <v>5463</v>
      </c>
      <c r="D2021" s="4" t="s">
        <v>5497</v>
      </c>
      <c r="E2021" s="4" t="s">
        <v>5804</v>
      </c>
      <c r="F2021" t="s">
        <v>650</v>
      </c>
      <c r="G2021" t="s">
        <v>650</v>
      </c>
      <c r="H2021" t="s">
        <v>53</v>
      </c>
      <c r="I2021" t="s">
        <v>53</v>
      </c>
      <c r="J2021" s="5" t="s">
        <v>53</v>
      </c>
      <c r="K2021" t="s">
        <v>1085</v>
      </c>
      <c r="L2021" s="6">
        <v>43862</v>
      </c>
      <c r="M2021">
        <v>2</v>
      </c>
      <c r="N2021" s="7" t="s">
        <v>30</v>
      </c>
      <c r="O2021" t="s">
        <v>36</v>
      </c>
      <c r="P2021" t="s">
        <v>5574</v>
      </c>
      <c r="Q2021" t="s">
        <v>5575</v>
      </c>
      <c r="R2021" t="s">
        <v>653</v>
      </c>
    </row>
    <row r="2022" spans="1:18" hidden="1">
      <c r="A2022">
        <v>6</v>
      </c>
      <c r="B2022" s="4" t="s">
        <v>5462</v>
      </c>
      <c r="C2022" s="4" t="s">
        <v>5463</v>
      </c>
      <c r="D2022" s="4" t="s">
        <v>5497</v>
      </c>
      <c r="E2022" s="4" t="s">
        <v>5804</v>
      </c>
      <c r="F2022" t="s">
        <v>650</v>
      </c>
      <c r="G2022" t="s">
        <v>650</v>
      </c>
      <c r="H2022" t="s">
        <v>53</v>
      </c>
      <c r="I2022" t="s">
        <v>53</v>
      </c>
      <c r="J2022" s="5" t="s">
        <v>53</v>
      </c>
      <c r="K2022" t="s">
        <v>175</v>
      </c>
      <c r="L2022" s="6">
        <v>44166</v>
      </c>
      <c r="M2022">
        <v>12</v>
      </c>
      <c r="N2022" s="7" t="s">
        <v>30</v>
      </c>
      <c r="O2022" t="s">
        <v>31</v>
      </c>
      <c r="P2022" t="s">
        <v>5582</v>
      </c>
      <c r="Q2022" t="s">
        <v>5544</v>
      </c>
      <c r="R2022" t="s">
        <v>5545</v>
      </c>
    </row>
    <row r="2023" spans="1:18" hidden="1">
      <c r="A2023">
        <v>6</v>
      </c>
      <c r="B2023" s="4" t="s">
        <v>5462</v>
      </c>
      <c r="C2023" s="4" t="s">
        <v>5463</v>
      </c>
      <c r="D2023" s="4" t="s">
        <v>5497</v>
      </c>
      <c r="E2023" s="4" t="s">
        <v>5804</v>
      </c>
      <c r="F2023" t="s">
        <v>650</v>
      </c>
      <c r="G2023" t="s">
        <v>650</v>
      </c>
      <c r="H2023" t="s">
        <v>53</v>
      </c>
      <c r="I2023" t="s">
        <v>53</v>
      </c>
      <c r="J2023" s="5" t="s">
        <v>53</v>
      </c>
      <c r="K2023" t="s">
        <v>369</v>
      </c>
      <c r="L2023" s="6">
        <v>44197</v>
      </c>
      <c r="M2023">
        <v>1</v>
      </c>
      <c r="N2023" s="7" t="s">
        <v>30</v>
      </c>
      <c r="O2023" t="s">
        <v>31</v>
      </c>
      <c r="P2023" t="s">
        <v>5583</v>
      </c>
      <c r="Q2023" t="s">
        <v>5544</v>
      </c>
      <c r="R2023" t="s">
        <v>5545</v>
      </c>
    </row>
    <row r="2024" spans="1:18" hidden="1">
      <c r="A2024">
        <v>6</v>
      </c>
      <c r="B2024" s="4" t="s">
        <v>5462</v>
      </c>
      <c r="C2024" s="4" t="s">
        <v>5463</v>
      </c>
      <c r="D2024" s="4" t="s">
        <v>5497</v>
      </c>
      <c r="E2024" s="4" t="s">
        <v>5804</v>
      </c>
      <c r="F2024" t="s">
        <v>650</v>
      </c>
      <c r="G2024" t="s">
        <v>650</v>
      </c>
      <c r="H2024" t="s">
        <v>53</v>
      </c>
      <c r="I2024" t="s">
        <v>53</v>
      </c>
      <c r="J2024" s="5" t="s">
        <v>53</v>
      </c>
      <c r="K2024" t="s">
        <v>630</v>
      </c>
      <c r="L2024" s="6">
        <v>44378</v>
      </c>
      <c r="M2024">
        <v>7</v>
      </c>
      <c r="N2024" s="7" t="s">
        <v>55</v>
      </c>
      <c r="O2024" t="s">
        <v>36</v>
      </c>
      <c r="P2024" t="s">
        <v>5584</v>
      </c>
      <c r="Q2024" t="s">
        <v>5585</v>
      </c>
      <c r="R2024" t="s">
        <v>5553</v>
      </c>
    </row>
    <row r="2025" spans="1:18" hidden="1">
      <c r="A2025">
        <v>10</v>
      </c>
      <c r="B2025" s="4" t="s">
        <v>505</v>
      </c>
      <c r="C2025" s="4" t="s">
        <v>506</v>
      </c>
      <c r="D2025" s="4" t="s">
        <v>507</v>
      </c>
      <c r="E2025" s="4" t="s">
        <v>5805</v>
      </c>
      <c r="F2025" t="s">
        <v>519</v>
      </c>
      <c r="G2025" t="s">
        <v>519</v>
      </c>
      <c r="H2025" t="s">
        <v>53</v>
      </c>
      <c r="I2025" t="s">
        <v>53</v>
      </c>
      <c r="J2025" s="5" t="s">
        <v>53</v>
      </c>
      <c r="K2025" t="s">
        <v>109</v>
      </c>
      <c r="L2025" s="6">
        <v>44531</v>
      </c>
      <c r="M2025">
        <v>12</v>
      </c>
      <c r="N2025" s="7" t="s">
        <v>30</v>
      </c>
      <c r="O2025" t="s">
        <v>31</v>
      </c>
      <c r="P2025" t="s">
        <v>520</v>
      </c>
      <c r="Q2025" t="s">
        <v>521</v>
      </c>
      <c r="R2025" t="s">
        <v>522</v>
      </c>
    </row>
    <row r="2026" spans="1:18" hidden="1">
      <c r="A2026">
        <v>11</v>
      </c>
      <c r="B2026" s="4" t="s">
        <v>554</v>
      </c>
      <c r="C2026" s="4" t="s">
        <v>555</v>
      </c>
      <c r="D2026" s="4" t="s">
        <v>556</v>
      </c>
      <c r="E2026" s="4" t="s">
        <v>5804</v>
      </c>
      <c r="F2026" t="s">
        <v>519</v>
      </c>
      <c r="G2026" t="s">
        <v>519</v>
      </c>
      <c r="H2026" t="s">
        <v>53</v>
      </c>
      <c r="I2026" t="s">
        <v>53</v>
      </c>
      <c r="J2026" s="5" t="s">
        <v>53</v>
      </c>
      <c r="K2026" t="s">
        <v>60</v>
      </c>
      <c r="L2026" s="6">
        <v>42370</v>
      </c>
      <c r="M2026">
        <v>1</v>
      </c>
      <c r="N2026" s="7" t="s">
        <v>30</v>
      </c>
      <c r="O2026" t="s">
        <v>31</v>
      </c>
      <c r="P2026" t="s">
        <v>562</v>
      </c>
      <c r="Q2026" t="s">
        <v>563</v>
      </c>
      <c r="R2026" t="s">
        <v>564</v>
      </c>
    </row>
    <row r="2027" spans="1:18" hidden="1">
      <c r="A2027">
        <v>11</v>
      </c>
      <c r="B2027" s="4" t="s">
        <v>554</v>
      </c>
      <c r="C2027" s="4" t="s">
        <v>555</v>
      </c>
      <c r="D2027" s="4" t="s">
        <v>556</v>
      </c>
      <c r="E2027" s="4" t="s">
        <v>5804</v>
      </c>
      <c r="F2027" t="s">
        <v>519</v>
      </c>
      <c r="G2027" t="s">
        <v>519</v>
      </c>
      <c r="H2027" t="s">
        <v>53</v>
      </c>
      <c r="I2027" t="s">
        <v>53</v>
      </c>
      <c r="J2027" s="5" t="s">
        <v>53</v>
      </c>
      <c r="K2027" t="s">
        <v>29</v>
      </c>
      <c r="L2027" s="6">
        <v>43070</v>
      </c>
      <c r="M2027">
        <v>12</v>
      </c>
      <c r="N2027" s="7" t="s">
        <v>30</v>
      </c>
      <c r="O2027" t="s">
        <v>31</v>
      </c>
      <c r="P2027" t="s">
        <v>584</v>
      </c>
      <c r="Q2027" t="s">
        <v>563</v>
      </c>
      <c r="R2027" t="s">
        <v>564</v>
      </c>
    </row>
    <row r="2028" spans="1:18" hidden="1">
      <c r="A2028">
        <v>11</v>
      </c>
      <c r="B2028" s="4" t="s">
        <v>554</v>
      </c>
      <c r="C2028" s="4" t="s">
        <v>555</v>
      </c>
      <c r="D2028" s="4" t="s">
        <v>556</v>
      </c>
      <c r="E2028" s="4" t="s">
        <v>5804</v>
      </c>
      <c r="F2028" t="s">
        <v>519</v>
      </c>
      <c r="G2028" t="s">
        <v>519</v>
      </c>
      <c r="H2028" t="s">
        <v>53</v>
      </c>
      <c r="I2028" t="s">
        <v>53</v>
      </c>
      <c r="J2028" s="5" t="s">
        <v>53</v>
      </c>
      <c r="K2028" t="s">
        <v>102</v>
      </c>
      <c r="L2028" s="6">
        <v>44287</v>
      </c>
      <c r="M2028">
        <v>4</v>
      </c>
      <c r="N2028" s="7" t="s">
        <v>23</v>
      </c>
      <c r="O2028" t="s">
        <v>31</v>
      </c>
      <c r="P2028" t="s">
        <v>628</v>
      </c>
      <c r="Q2028" t="s">
        <v>563</v>
      </c>
      <c r="R2028" t="s">
        <v>564</v>
      </c>
    </row>
    <row r="2029" spans="1:18" hidden="1">
      <c r="A2029">
        <v>11</v>
      </c>
      <c r="B2029" s="4" t="s">
        <v>554</v>
      </c>
      <c r="C2029" s="4" t="s">
        <v>555</v>
      </c>
      <c r="D2029" s="4" t="s">
        <v>633</v>
      </c>
      <c r="E2029" s="4" t="s">
        <v>5804</v>
      </c>
      <c r="F2029" t="s">
        <v>519</v>
      </c>
      <c r="G2029" t="s">
        <v>519</v>
      </c>
      <c r="H2029" t="s">
        <v>53</v>
      </c>
      <c r="I2029" t="s">
        <v>53</v>
      </c>
      <c r="J2029" s="5" t="s">
        <v>53</v>
      </c>
      <c r="K2029" t="s">
        <v>325</v>
      </c>
      <c r="L2029" s="6">
        <v>42095</v>
      </c>
      <c r="M2029">
        <v>4</v>
      </c>
      <c r="N2029" s="7" t="s">
        <v>23</v>
      </c>
      <c r="O2029" t="s">
        <v>31</v>
      </c>
      <c r="P2029" t="s">
        <v>634</v>
      </c>
      <c r="Q2029" t="s">
        <v>635</v>
      </c>
      <c r="R2029" t="s">
        <v>564</v>
      </c>
    </row>
    <row r="2030" spans="1:18" hidden="1">
      <c r="A2030">
        <v>12</v>
      </c>
      <c r="B2030" s="4" t="s">
        <v>901</v>
      </c>
      <c r="C2030" s="4" t="s">
        <v>902</v>
      </c>
      <c r="D2030" s="4" t="s">
        <v>903</v>
      </c>
      <c r="E2030" s="4" t="s">
        <v>5804</v>
      </c>
      <c r="F2030" t="s">
        <v>519</v>
      </c>
      <c r="G2030" t="s">
        <v>519</v>
      </c>
      <c r="H2030" t="s">
        <v>53</v>
      </c>
      <c r="I2030" t="s">
        <v>53</v>
      </c>
      <c r="J2030" s="5" t="s">
        <v>53</v>
      </c>
      <c r="K2030" t="s">
        <v>278</v>
      </c>
      <c r="L2030" s="6">
        <v>42675</v>
      </c>
      <c r="M2030">
        <v>11</v>
      </c>
      <c r="N2030" s="7" t="s">
        <v>23</v>
      </c>
      <c r="O2030" t="s">
        <v>31</v>
      </c>
      <c r="P2030" t="s">
        <v>972</v>
      </c>
      <c r="Q2030" t="s">
        <v>973</v>
      </c>
      <c r="R2030" t="s">
        <v>974</v>
      </c>
    </row>
    <row r="2031" spans="1:18" hidden="1">
      <c r="A2031">
        <v>12</v>
      </c>
      <c r="B2031" s="4" t="s">
        <v>901</v>
      </c>
      <c r="C2031" s="4" t="s">
        <v>902</v>
      </c>
      <c r="D2031" s="4" t="s">
        <v>903</v>
      </c>
      <c r="E2031" s="4" t="s">
        <v>5804</v>
      </c>
      <c r="F2031" t="s">
        <v>519</v>
      </c>
      <c r="G2031" t="s">
        <v>519</v>
      </c>
      <c r="H2031" t="s">
        <v>53</v>
      </c>
      <c r="I2031" t="s">
        <v>53</v>
      </c>
      <c r="J2031" s="5" t="s">
        <v>53</v>
      </c>
      <c r="K2031" t="s">
        <v>76</v>
      </c>
      <c r="L2031" s="6">
        <v>42856</v>
      </c>
      <c r="M2031">
        <v>5</v>
      </c>
      <c r="N2031" s="7" t="s">
        <v>23</v>
      </c>
      <c r="O2031" t="s">
        <v>36</v>
      </c>
      <c r="P2031" t="s">
        <v>991</v>
      </c>
      <c r="Q2031" t="s">
        <v>943</v>
      </c>
      <c r="R2031" t="s">
        <v>944</v>
      </c>
    </row>
    <row r="2032" spans="1:18" hidden="1">
      <c r="A2032">
        <v>12</v>
      </c>
      <c r="B2032" s="4" t="s">
        <v>901</v>
      </c>
      <c r="C2032" s="4" t="s">
        <v>902</v>
      </c>
      <c r="D2032" s="4" t="s">
        <v>903</v>
      </c>
      <c r="E2032" s="4" t="s">
        <v>5804</v>
      </c>
      <c r="F2032" t="s">
        <v>519</v>
      </c>
      <c r="G2032" t="s">
        <v>519</v>
      </c>
      <c r="H2032" t="s">
        <v>53</v>
      </c>
      <c r="I2032" t="s">
        <v>53</v>
      </c>
      <c r="J2032" s="5" t="s">
        <v>53</v>
      </c>
      <c r="K2032" t="s">
        <v>87</v>
      </c>
      <c r="L2032" s="6">
        <v>43040</v>
      </c>
      <c r="M2032">
        <v>11</v>
      </c>
      <c r="N2032" s="7" t="s">
        <v>23</v>
      </c>
      <c r="O2032" t="s">
        <v>31</v>
      </c>
      <c r="P2032" t="s">
        <v>1005</v>
      </c>
      <c r="Q2032" t="s">
        <v>973</v>
      </c>
      <c r="R2032" t="s">
        <v>974</v>
      </c>
    </row>
    <row r="2033" spans="1:18" hidden="1">
      <c r="A2033">
        <v>12</v>
      </c>
      <c r="B2033" s="4" t="s">
        <v>901</v>
      </c>
      <c r="C2033" s="4" t="s">
        <v>902</v>
      </c>
      <c r="D2033" s="4" t="s">
        <v>903</v>
      </c>
      <c r="E2033" s="4" t="s">
        <v>5804</v>
      </c>
      <c r="F2033" t="s">
        <v>519</v>
      </c>
      <c r="G2033" t="s">
        <v>519</v>
      </c>
      <c r="H2033" t="s">
        <v>53</v>
      </c>
      <c r="I2033" t="s">
        <v>53</v>
      </c>
      <c r="J2033" s="5" t="s">
        <v>53</v>
      </c>
      <c r="K2033" t="s">
        <v>35</v>
      </c>
      <c r="L2033" s="6">
        <v>43160</v>
      </c>
      <c r="M2033">
        <v>3</v>
      </c>
      <c r="N2033" s="7" t="s">
        <v>23</v>
      </c>
      <c r="O2033" t="s">
        <v>31</v>
      </c>
      <c r="P2033" t="s">
        <v>1023</v>
      </c>
      <c r="Q2033" t="s">
        <v>973</v>
      </c>
      <c r="R2033" t="s">
        <v>974</v>
      </c>
    </row>
    <row r="2034" spans="1:18" hidden="1">
      <c r="A2034">
        <v>12</v>
      </c>
      <c r="B2034" s="4" t="s">
        <v>901</v>
      </c>
      <c r="C2034" s="4" t="s">
        <v>902</v>
      </c>
      <c r="D2034" s="4" t="s">
        <v>903</v>
      </c>
      <c r="E2034" s="4" t="s">
        <v>5804</v>
      </c>
      <c r="F2034" t="s">
        <v>519</v>
      </c>
      <c r="G2034" t="s">
        <v>519</v>
      </c>
      <c r="H2034" t="s">
        <v>53</v>
      </c>
      <c r="I2034" t="s">
        <v>53</v>
      </c>
      <c r="J2034" s="5" t="s">
        <v>53</v>
      </c>
      <c r="K2034" t="s">
        <v>93</v>
      </c>
      <c r="L2034" s="6">
        <v>43282</v>
      </c>
      <c r="M2034">
        <v>7</v>
      </c>
      <c r="N2034" s="7" t="s">
        <v>55</v>
      </c>
      <c r="O2034" t="s">
        <v>31</v>
      </c>
      <c r="P2034" t="s">
        <v>1038</v>
      </c>
      <c r="Q2034" t="s">
        <v>1039</v>
      </c>
      <c r="R2034" t="s">
        <v>974</v>
      </c>
    </row>
    <row r="2035" spans="1:18" hidden="1">
      <c r="A2035">
        <v>12</v>
      </c>
      <c r="B2035" s="4" t="s">
        <v>901</v>
      </c>
      <c r="C2035" s="4" t="s">
        <v>902</v>
      </c>
      <c r="D2035" s="4" t="s">
        <v>903</v>
      </c>
      <c r="E2035" s="4" t="s">
        <v>5804</v>
      </c>
      <c r="F2035" t="s">
        <v>519</v>
      </c>
      <c r="G2035" t="s">
        <v>519</v>
      </c>
      <c r="H2035" t="s">
        <v>53</v>
      </c>
      <c r="I2035" t="s">
        <v>53</v>
      </c>
      <c r="J2035" s="5" t="s">
        <v>53</v>
      </c>
      <c r="K2035" t="s">
        <v>726</v>
      </c>
      <c r="L2035" s="6">
        <v>43709</v>
      </c>
      <c r="M2035">
        <v>9</v>
      </c>
      <c r="N2035" s="7" t="s">
        <v>23</v>
      </c>
      <c r="O2035" t="s">
        <v>31</v>
      </c>
      <c r="P2035" t="s">
        <v>1073</v>
      </c>
      <c r="Q2035" t="s">
        <v>1074</v>
      </c>
      <c r="R2035" t="s">
        <v>1075</v>
      </c>
    </row>
    <row r="2036" spans="1:18" hidden="1">
      <c r="A2036">
        <v>12</v>
      </c>
      <c r="B2036" s="4" t="s">
        <v>901</v>
      </c>
      <c r="C2036" s="4" t="s">
        <v>902</v>
      </c>
      <c r="D2036" s="4" t="s">
        <v>903</v>
      </c>
      <c r="E2036" s="4" t="s">
        <v>5804</v>
      </c>
      <c r="F2036" t="s">
        <v>519</v>
      </c>
      <c r="G2036" t="s">
        <v>519</v>
      </c>
      <c r="H2036" t="s">
        <v>53</v>
      </c>
      <c r="I2036" t="s">
        <v>53</v>
      </c>
      <c r="J2036" s="5" t="s">
        <v>53</v>
      </c>
      <c r="K2036" t="s">
        <v>1085</v>
      </c>
      <c r="L2036" s="6">
        <v>43862</v>
      </c>
      <c r="M2036">
        <v>2</v>
      </c>
      <c r="N2036" s="7" t="s">
        <v>30</v>
      </c>
      <c r="O2036" t="s">
        <v>31</v>
      </c>
      <c r="P2036" t="s">
        <v>1087</v>
      </c>
      <c r="Q2036" t="s">
        <v>1088</v>
      </c>
      <c r="R2036" t="s">
        <v>1089</v>
      </c>
    </row>
    <row r="2037" spans="1:18" hidden="1">
      <c r="A2037">
        <v>12</v>
      </c>
      <c r="B2037" s="4" t="s">
        <v>901</v>
      </c>
      <c r="C2037" s="4" t="s">
        <v>902</v>
      </c>
      <c r="D2037" s="4" t="s">
        <v>903</v>
      </c>
      <c r="E2037" s="4" t="s">
        <v>5804</v>
      </c>
      <c r="F2037" t="s">
        <v>519</v>
      </c>
      <c r="G2037" t="s">
        <v>519</v>
      </c>
      <c r="H2037" t="s">
        <v>53</v>
      </c>
      <c r="I2037" t="s">
        <v>53</v>
      </c>
      <c r="J2037" s="5" t="s">
        <v>53</v>
      </c>
      <c r="K2037" t="s">
        <v>365</v>
      </c>
      <c r="L2037" s="6">
        <v>44105</v>
      </c>
      <c r="M2037">
        <v>10</v>
      </c>
      <c r="N2037" s="7" t="s">
        <v>23</v>
      </c>
      <c r="O2037" t="s">
        <v>31</v>
      </c>
      <c r="P2037" t="s">
        <v>1123</v>
      </c>
      <c r="Q2037" t="s">
        <v>973</v>
      </c>
      <c r="R2037" t="s">
        <v>974</v>
      </c>
    </row>
    <row r="2038" spans="1:18" hidden="1">
      <c r="A2038">
        <v>12</v>
      </c>
      <c r="B2038" s="4" t="s">
        <v>901</v>
      </c>
      <c r="C2038" s="4" t="s">
        <v>902</v>
      </c>
      <c r="D2038" s="4" t="s">
        <v>903</v>
      </c>
      <c r="E2038" s="4" t="s">
        <v>5804</v>
      </c>
      <c r="F2038" t="s">
        <v>519</v>
      </c>
      <c r="G2038" t="s">
        <v>519</v>
      </c>
      <c r="H2038" t="s">
        <v>53</v>
      </c>
      <c r="I2038" t="s">
        <v>53</v>
      </c>
      <c r="J2038" s="5" t="s">
        <v>53</v>
      </c>
      <c r="K2038" t="s">
        <v>749</v>
      </c>
      <c r="L2038" s="6">
        <v>44136</v>
      </c>
      <c r="M2038">
        <v>11</v>
      </c>
      <c r="N2038" s="7" t="s">
        <v>23</v>
      </c>
      <c r="O2038" t="s">
        <v>31</v>
      </c>
      <c r="P2038" t="s">
        <v>1128</v>
      </c>
      <c r="Q2038" t="s">
        <v>1129</v>
      </c>
      <c r="R2038" t="s">
        <v>974</v>
      </c>
    </row>
    <row r="2039" spans="1:18" hidden="1">
      <c r="A2039">
        <v>12</v>
      </c>
      <c r="B2039" s="4" t="s">
        <v>901</v>
      </c>
      <c r="C2039" s="4" t="s">
        <v>902</v>
      </c>
      <c r="D2039" s="4" t="s">
        <v>903</v>
      </c>
      <c r="E2039" s="4" t="s">
        <v>5804</v>
      </c>
      <c r="F2039" t="s">
        <v>519</v>
      </c>
      <c r="G2039" t="s">
        <v>519</v>
      </c>
      <c r="H2039" t="s">
        <v>53</v>
      </c>
      <c r="I2039" t="s">
        <v>53</v>
      </c>
      <c r="J2039" s="5" t="s">
        <v>53</v>
      </c>
      <c r="K2039" t="s">
        <v>178</v>
      </c>
      <c r="L2039" s="6">
        <v>44228</v>
      </c>
      <c r="M2039">
        <v>2</v>
      </c>
      <c r="N2039" s="7" t="s">
        <v>30</v>
      </c>
      <c r="O2039" t="s">
        <v>36</v>
      </c>
      <c r="P2039" t="s">
        <v>1135</v>
      </c>
      <c r="Q2039" t="s">
        <v>943</v>
      </c>
      <c r="R2039" t="s">
        <v>944</v>
      </c>
    </row>
    <row r="2040" spans="1:18" hidden="1">
      <c r="A2040">
        <v>12</v>
      </c>
      <c r="B2040" s="4" t="s">
        <v>901</v>
      </c>
      <c r="C2040" s="4" t="s">
        <v>902</v>
      </c>
      <c r="D2040" s="4" t="s">
        <v>903</v>
      </c>
      <c r="E2040" s="4" t="s">
        <v>5804</v>
      </c>
      <c r="F2040" t="s">
        <v>519</v>
      </c>
      <c r="G2040" t="s">
        <v>519</v>
      </c>
      <c r="H2040" t="s">
        <v>53</v>
      </c>
      <c r="I2040" t="s">
        <v>53</v>
      </c>
      <c r="J2040" s="5" t="s">
        <v>53</v>
      </c>
      <c r="K2040" t="s">
        <v>753</v>
      </c>
      <c r="L2040" s="6">
        <v>44348</v>
      </c>
      <c r="M2040">
        <v>6</v>
      </c>
      <c r="N2040" s="7" t="s">
        <v>55</v>
      </c>
      <c r="O2040" t="s">
        <v>31</v>
      </c>
      <c r="P2040" t="s">
        <v>1140</v>
      </c>
      <c r="Q2040" t="s">
        <v>1141</v>
      </c>
      <c r="R2040" t="s">
        <v>1142</v>
      </c>
    </row>
    <row r="2041" spans="1:18" hidden="1">
      <c r="A2041">
        <v>12</v>
      </c>
      <c r="B2041" s="4" t="s">
        <v>901</v>
      </c>
      <c r="C2041" s="4" t="s">
        <v>1161</v>
      </c>
      <c r="D2041" s="4" t="s">
        <v>1220</v>
      </c>
      <c r="E2041" s="4" t="s">
        <v>5804</v>
      </c>
      <c r="F2041" t="s">
        <v>519</v>
      </c>
      <c r="G2041" t="s">
        <v>519</v>
      </c>
      <c r="H2041" t="s">
        <v>53</v>
      </c>
      <c r="I2041" t="s">
        <v>53</v>
      </c>
      <c r="J2041" s="5" t="s">
        <v>53</v>
      </c>
      <c r="K2041" t="s">
        <v>691</v>
      </c>
      <c r="L2041" s="6">
        <v>43770</v>
      </c>
      <c r="M2041">
        <v>11</v>
      </c>
      <c r="N2041" s="7" t="s">
        <v>23</v>
      </c>
      <c r="O2041" t="s">
        <v>31</v>
      </c>
      <c r="P2041" t="s">
        <v>1303</v>
      </c>
      <c r="Q2041" t="s">
        <v>1304</v>
      </c>
      <c r="R2041" t="s">
        <v>1305</v>
      </c>
    </row>
    <row r="2042" spans="1:18" hidden="1">
      <c r="A2042">
        <v>12</v>
      </c>
      <c r="B2042" s="4" t="s">
        <v>901</v>
      </c>
      <c r="C2042" s="4" t="s">
        <v>1161</v>
      </c>
      <c r="D2042" s="4" t="s">
        <v>1351</v>
      </c>
      <c r="E2042" s="4" t="s">
        <v>5804</v>
      </c>
      <c r="F2042" t="s">
        <v>519</v>
      </c>
      <c r="G2042" t="s">
        <v>519</v>
      </c>
      <c r="H2042" t="s">
        <v>53</v>
      </c>
      <c r="I2042" t="s">
        <v>53</v>
      </c>
      <c r="J2042" s="5" t="s">
        <v>53</v>
      </c>
      <c r="K2042" t="s">
        <v>422</v>
      </c>
      <c r="L2042" s="6">
        <v>42736</v>
      </c>
      <c r="M2042">
        <v>1</v>
      </c>
      <c r="N2042" s="7" t="s">
        <v>30</v>
      </c>
      <c r="O2042" t="s">
        <v>418</v>
      </c>
      <c r="P2042" t="s">
        <v>1352</v>
      </c>
      <c r="Q2042" t="s">
        <v>1353</v>
      </c>
      <c r="R2042" t="s">
        <v>1354</v>
      </c>
    </row>
    <row r="2043" spans="1:18" hidden="1">
      <c r="A2043">
        <v>12</v>
      </c>
      <c r="B2043" s="4" t="s">
        <v>901</v>
      </c>
      <c r="C2043" s="4" t="s">
        <v>1161</v>
      </c>
      <c r="D2043" s="4" t="s">
        <v>1374</v>
      </c>
      <c r="E2043" s="4" t="s">
        <v>5804</v>
      </c>
      <c r="F2043" t="s">
        <v>519</v>
      </c>
      <c r="G2043" t="s">
        <v>519</v>
      </c>
      <c r="H2043" t="s">
        <v>53</v>
      </c>
      <c r="I2043" t="s">
        <v>53</v>
      </c>
      <c r="J2043" s="5" t="s">
        <v>53</v>
      </c>
      <c r="K2043" t="s">
        <v>1085</v>
      </c>
      <c r="L2043" s="6">
        <v>43862</v>
      </c>
      <c r="M2043">
        <v>2</v>
      </c>
      <c r="N2043" s="7" t="s">
        <v>30</v>
      </c>
      <c r="O2043" t="s">
        <v>31</v>
      </c>
      <c r="P2043" t="s">
        <v>1400</v>
      </c>
      <c r="Q2043" t="s">
        <v>1376</v>
      </c>
      <c r="R2043" t="s">
        <v>1377</v>
      </c>
    </row>
    <row r="2044" spans="1:18" hidden="1">
      <c r="A2044">
        <v>12</v>
      </c>
      <c r="B2044" s="4" t="s">
        <v>901</v>
      </c>
      <c r="C2044" s="4" t="s">
        <v>1463</v>
      </c>
      <c r="D2044" s="4" t="s">
        <v>1583</v>
      </c>
      <c r="E2044" s="4" t="s">
        <v>5804</v>
      </c>
      <c r="F2044" t="s">
        <v>519</v>
      </c>
      <c r="G2044" t="s">
        <v>519</v>
      </c>
      <c r="H2044" t="s">
        <v>53</v>
      </c>
      <c r="I2044" t="s">
        <v>53</v>
      </c>
      <c r="J2044" s="5" t="s">
        <v>53</v>
      </c>
      <c r="K2044" t="s">
        <v>109</v>
      </c>
      <c r="L2044" s="6">
        <v>44531</v>
      </c>
      <c r="M2044">
        <v>12</v>
      </c>
      <c r="N2044" s="7" t="s">
        <v>30</v>
      </c>
      <c r="O2044" t="s">
        <v>31</v>
      </c>
      <c r="P2044" t="s">
        <v>1587</v>
      </c>
      <c r="Q2044" t="s">
        <v>1588</v>
      </c>
      <c r="R2044" t="s">
        <v>1589</v>
      </c>
    </row>
    <row r="2045" spans="1:18" hidden="1">
      <c r="A2045">
        <v>12</v>
      </c>
      <c r="B2045" s="4" t="s">
        <v>901</v>
      </c>
      <c r="C2045" s="4" t="s">
        <v>1672</v>
      </c>
      <c r="D2045" s="4" t="s">
        <v>1673</v>
      </c>
      <c r="E2045" s="4" t="s">
        <v>5804</v>
      </c>
      <c r="F2045" t="s">
        <v>519</v>
      </c>
      <c r="G2045" t="s">
        <v>519</v>
      </c>
      <c r="H2045" t="s">
        <v>53</v>
      </c>
      <c r="I2045" t="s">
        <v>53</v>
      </c>
      <c r="J2045" s="5" t="s">
        <v>53</v>
      </c>
      <c r="K2045" t="s">
        <v>701</v>
      </c>
      <c r="L2045" s="6">
        <v>42491</v>
      </c>
      <c r="M2045">
        <v>5</v>
      </c>
      <c r="N2045" s="7" t="s">
        <v>23</v>
      </c>
      <c r="O2045" t="s">
        <v>31</v>
      </c>
      <c r="P2045" t="s">
        <v>1696</v>
      </c>
      <c r="Q2045" t="s">
        <v>1697</v>
      </c>
      <c r="R2045" t="s">
        <v>1698</v>
      </c>
    </row>
    <row r="2046" spans="1:18" hidden="1">
      <c r="A2046">
        <v>12</v>
      </c>
      <c r="B2046" s="4" t="s">
        <v>901</v>
      </c>
      <c r="C2046" s="4" t="s">
        <v>1672</v>
      </c>
      <c r="D2046" s="4" t="s">
        <v>1673</v>
      </c>
      <c r="E2046" s="4" t="s">
        <v>5804</v>
      </c>
      <c r="F2046" t="s">
        <v>519</v>
      </c>
      <c r="G2046" t="s">
        <v>519</v>
      </c>
      <c r="H2046" t="s">
        <v>53</v>
      </c>
      <c r="I2046" t="s">
        <v>53</v>
      </c>
      <c r="J2046" s="5" t="s">
        <v>53</v>
      </c>
      <c r="K2046" t="s">
        <v>142</v>
      </c>
      <c r="L2046" s="6">
        <v>43101</v>
      </c>
      <c r="M2046">
        <v>1</v>
      </c>
      <c r="N2046" s="7" t="s">
        <v>30</v>
      </c>
      <c r="O2046" t="s">
        <v>31</v>
      </c>
      <c r="P2046" t="s">
        <v>1795</v>
      </c>
      <c r="Q2046" t="s">
        <v>1697</v>
      </c>
      <c r="R2046" t="s">
        <v>1698</v>
      </c>
    </row>
    <row r="2047" spans="1:18" hidden="1">
      <c r="A2047">
        <v>12</v>
      </c>
      <c r="B2047" s="4" t="s">
        <v>901</v>
      </c>
      <c r="C2047" s="4" t="s">
        <v>1672</v>
      </c>
      <c r="D2047" s="4" t="s">
        <v>1673</v>
      </c>
      <c r="E2047" s="4" t="s">
        <v>5804</v>
      </c>
      <c r="F2047" t="s">
        <v>519</v>
      </c>
      <c r="G2047" t="s">
        <v>519</v>
      </c>
      <c r="H2047" t="s">
        <v>53</v>
      </c>
      <c r="I2047" t="s">
        <v>53</v>
      </c>
      <c r="J2047" s="5" t="s">
        <v>53</v>
      </c>
      <c r="K2047" t="s">
        <v>292</v>
      </c>
      <c r="L2047" s="6">
        <v>43191</v>
      </c>
      <c r="M2047">
        <v>4</v>
      </c>
      <c r="N2047" s="7" t="s">
        <v>23</v>
      </c>
      <c r="O2047" t="s">
        <v>31</v>
      </c>
      <c r="P2047" t="s">
        <v>1800</v>
      </c>
      <c r="Q2047" t="s">
        <v>1697</v>
      </c>
      <c r="R2047" t="s">
        <v>1698</v>
      </c>
    </row>
    <row r="2048" spans="1:18" hidden="1">
      <c r="A2048">
        <v>12</v>
      </c>
      <c r="B2048" s="4" t="s">
        <v>901</v>
      </c>
      <c r="C2048" s="4" t="s">
        <v>1672</v>
      </c>
      <c r="D2048" s="4" t="s">
        <v>1673</v>
      </c>
      <c r="E2048" s="4" t="s">
        <v>5804</v>
      </c>
      <c r="F2048" t="s">
        <v>519</v>
      </c>
      <c r="G2048" t="s">
        <v>519</v>
      </c>
      <c r="H2048" t="s">
        <v>53</v>
      </c>
      <c r="I2048" t="s">
        <v>53</v>
      </c>
      <c r="J2048" s="5" t="s">
        <v>53</v>
      </c>
      <c r="K2048" t="s">
        <v>295</v>
      </c>
      <c r="L2048" s="6">
        <v>43221</v>
      </c>
      <c r="M2048">
        <v>5</v>
      </c>
      <c r="N2048" s="7" t="s">
        <v>23</v>
      </c>
      <c r="O2048" t="s">
        <v>31</v>
      </c>
      <c r="P2048" t="s">
        <v>1803</v>
      </c>
      <c r="Q2048" t="s">
        <v>1804</v>
      </c>
      <c r="R2048" t="s">
        <v>1805</v>
      </c>
    </row>
    <row r="2049" spans="1:18" hidden="1">
      <c r="A2049">
        <v>12</v>
      </c>
      <c r="B2049" s="4" t="s">
        <v>901</v>
      </c>
      <c r="C2049" s="4" t="s">
        <v>1672</v>
      </c>
      <c r="D2049" s="4" t="s">
        <v>1673</v>
      </c>
      <c r="E2049" s="4" t="s">
        <v>5804</v>
      </c>
      <c r="F2049" t="s">
        <v>519</v>
      </c>
      <c r="G2049" t="s">
        <v>519</v>
      </c>
      <c r="H2049" t="s">
        <v>53</v>
      </c>
      <c r="I2049" t="s">
        <v>53</v>
      </c>
      <c r="J2049" s="5" t="s">
        <v>53</v>
      </c>
      <c r="K2049" t="s">
        <v>267</v>
      </c>
      <c r="L2049" s="6">
        <v>44044</v>
      </c>
      <c r="M2049">
        <v>8</v>
      </c>
      <c r="N2049" s="7" t="s">
        <v>55</v>
      </c>
      <c r="O2049" t="s">
        <v>31</v>
      </c>
      <c r="P2049" t="s">
        <v>1899</v>
      </c>
      <c r="Q2049" t="s">
        <v>1697</v>
      </c>
      <c r="R2049" t="s">
        <v>1698</v>
      </c>
    </row>
    <row r="2050" spans="1:18" hidden="1">
      <c r="A2050">
        <v>12</v>
      </c>
      <c r="B2050" s="4" t="s">
        <v>901</v>
      </c>
      <c r="C2050" s="4" t="s">
        <v>1672</v>
      </c>
      <c r="D2050" s="4" t="s">
        <v>1673</v>
      </c>
      <c r="E2050" s="4" t="s">
        <v>5804</v>
      </c>
      <c r="F2050" t="s">
        <v>519</v>
      </c>
      <c r="G2050" t="s">
        <v>519</v>
      </c>
      <c r="H2050" t="s">
        <v>53</v>
      </c>
      <c r="I2050" t="s">
        <v>53</v>
      </c>
      <c r="J2050" s="5" t="s">
        <v>53</v>
      </c>
      <c r="K2050" t="s">
        <v>630</v>
      </c>
      <c r="L2050" s="6">
        <v>44378</v>
      </c>
      <c r="M2050">
        <v>7</v>
      </c>
      <c r="N2050" s="7" t="s">
        <v>55</v>
      </c>
      <c r="O2050" t="s">
        <v>31</v>
      </c>
      <c r="P2050" t="s">
        <v>1937</v>
      </c>
      <c r="Q2050" t="s">
        <v>1932</v>
      </c>
      <c r="R2050" t="s">
        <v>1933</v>
      </c>
    </row>
    <row r="2051" spans="1:18" hidden="1">
      <c r="A2051">
        <v>12</v>
      </c>
      <c r="B2051" s="4" t="s">
        <v>901</v>
      </c>
      <c r="C2051" s="4" t="s">
        <v>1672</v>
      </c>
      <c r="D2051" s="4" t="s">
        <v>1673</v>
      </c>
      <c r="E2051" s="4" t="s">
        <v>5804</v>
      </c>
      <c r="F2051" t="s">
        <v>519</v>
      </c>
      <c r="G2051" t="s">
        <v>519</v>
      </c>
      <c r="H2051" t="s">
        <v>53</v>
      </c>
      <c r="I2051" t="s">
        <v>53</v>
      </c>
      <c r="J2051" s="5" t="s">
        <v>53</v>
      </c>
      <c r="K2051" t="s">
        <v>377</v>
      </c>
      <c r="L2051" s="6">
        <v>44470</v>
      </c>
      <c r="M2051">
        <v>10</v>
      </c>
      <c r="N2051" s="7" t="s">
        <v>23</v>
      </c>
      <c r="O2051" t="s">
        <v>31</v>
      </c>
      <c r="P2051" t="s">
        <v>1940</v>
      </c>
      <c r="Q2051" t="s">
        <v>1697</v>
      </c>
      <c r="R2051" t="s">
        <v>1698</v>
      </c>
    </row>
    <row r="2052" spans="1:18" hidden="1">
      <c r="A2052">
        <v>2</v>
      </c>
      <c r="B2052" s="4" t="s">
        <v>1952</v>
      </c>
      <c r="C2052" s="4" t="s">
        <v>1953</v>
      </c>
      <c r="D2052" s="4" t="s">
        <v>1954</v>
      </c>
      <c r="E2052" s="4" t="s">
        <v>5804</v>
      </c>
      <c r="F2052" t="s">
        <v>519</v>
      </c>
      <c r="G2052" t="s">
        <v>519</v>
      </c>
      <c r="H2052" t="s">
        <v>53</v>
      </c>
      <c r="I2052" t="s">
        <v>53</v>
      </c>
      <c r="J2052" s="5" t="s">
        <v>53</v>
      </c>
      <c r="K2052" t="s">
        <v>93</v>
      </c>
      <c r="L2052" s="6">
        <v>43282</v>
      </c>
      <c r="M2052">
        <v>7</v>
      </c>
      <c r="N2052" s="7" t="s">
        <v>55</v>
      </c>
      <c r="O2052" t="s">
        <v>31</v>
      </c>
      <c r="P2052" t="s">
        <v>2028</v>
      </c>
      <c r="Q2052" t="s">
        <v>2029</v>
      </c>
      <c r="R2052" t="s">
        <v>2030</v>
      </c>
    </row>
    <row r="2053" spans="1:18" hidden="1">
      <c r="A2053">
        <v>2</v>
      </c>
      <c r="B2053" s="4" t="s">
        <v>1952</v>
      </c>
      <c r="C2053" s="4" t="s">
        <v>1953</v>
      </c>
      <c r="D2053" s="4" t="s">
        <v>1954</v>
      </c>
      <c r="E2053" s="4" t="s">
        <v>5804</v>
      </c>
      <c r="F2053" t="s">
        <v>519</v>
      </c>
      <c r="G2053" t="s">
        <v>519</v>
      </c>
      <c r="H2053" t="s">
        <v>53</v>
      </c>
      <c r="I2053" t="s">
        <v>53</v>
      </c>
      <c r="J2053" s="5" t="s">
        <v>53</v>
      </c>
      <c r="K2053" t="s">
        <v>539</v>
      </c>
      <c r="L2053" s="6">
        <v>43922</v>
      </c>
      <c r="M2053">
        <v>4</v>
      </c>
      <c r="N2053" s="7" t="s">
        <v>23</v>
      </c>
      <c r="O2053" t="s">
        <v>31</v>
      </c>
      <c r="P2053" t="s">
        <v>2058</v>
      </c>
      <c r="Q2053" t="s">
        <v>2026</v>
      </c>
      <c r="R2053" t="s">
        <v>2027</v>
      </c>
    </row>
    <row r="2054" spans="1:18" hidden="1">
      <c r="A2054">
        <v>2</v>
      </c>
      <c r="B2054" s="4" t="s">
        <v>1952</v>
      </c>
      <c r="C2054" s="4" t="s">
        <v>1953</v>
      </c>
      <c r="D2054" s="4" t="s">
        <v>2072</v>
      </c>
      <c r="E2054" s="4" t="s">
        <v>5804</v>
      </c>
      <c r="F2054" t="s">
        <v>519</v>
      </c>
      <c r="G2054" t="s">
        <v>519</v>
      </c>
      <c r="H2054" t="s">
        <v>53</v>
      </c>
      <c r="I2054" t="s">
        <v>53</v>
      </c>
      <c r="J2054" s="5" t="s">
        <v>53</v>
      </c>
      <c r="K2054" t="s">
        <v>2073</v>
      </c>
      <c r="L2054" s="6">
        <v>42278</v>
      </c>
      <c r="M2054">
        <v>10</v>
      </c>
      <c r="N2054" s="7" t="s">
        <v>23</v>
      </c>
      <c r="O2054" t="s">
        <v>31</v>
      </c>
      <c r="P2054" t="s">
        <v>2074</v>
      </c>
      <c r="Q2054" t="s">
        <v>2075</v>
      </c>
      <c r="R2054" t="s">
        <v>2076</v>
      </c>
    </row>
    <row r="2055" spans="1:18" hidden="1">
      <c r="A2055">
        <v>2</v>
      </c>
      <c r="B2055" s="4" t="s">
        <v>1952</v>
      </c>
      <c r="C2055" s="4" t="s">
        <v>1953</v>
      </c>
      <c r="D2055" s="4" t="s">
        <v>2072</v>
      </c>
      <c r="E2055" s="4" t="s">
        <v>5804</v>
      </c>
      <c r="F2055" t="s">
        <v>519</v>
      </c>
      <c r="G2055" t="s">
        <v>519</v>
      </c>
      <c r="H2055" t="s">
        <v>53</v>
      </c>
      <c r="I2055" t="s">
        <v>53</v>
      </c>
      <c r="J2055" s="5" t="s">
        <v>53</v>
      </c>
      <c r="K2055" t="s">
        <v>115</v>
      </c>
      <c r="L2055" s="6">
        <v>42461</v>
      </c>
      <c r="M2055">
        <v>4</v>
      </c>
      <c r="N2055" s="7" t="s">
        <v>23</v>
      </c>
      <c r="O2055" t="s">
        <v>31</v>
      </c>
      <c r="P2055" t="s">
        <v>2083</v>
      </c>
      <c r="Q2055" t="s">
        <v>2075</v>
      </c>
      <c r="R2055" t="s">
        <v>2076</v>
      </c>
    </row>
    <row r="2056" spans="1:18" hidden="1">
      <c r="A2056">
        <v>2</v>
      </c>
      <c r="B2056" s="4" t="s">
        <v>1952</v>
      </c>
      <c r="C2056" s="4" t="s">
        <v>1953</v>
      </c>
      <c r="D2056" s="4" t="s">
        <v>2072</v>
      </c>
      <c r="E2056" s="4" t="s">
        <v>5804</v>
      </c>
      <c r="F2056" t="s">
        <v>519</v>
      </c>
      <c r="G2056" t="s">
        <v>519</v>
      </c>
      <c r="H2056" t="s">
        <v>53</v>
      </c>
      <c r="I2056" t="s">
        <v>53</v>
      </c>
      <c r="J2056" s="5" t="s">
        <v>53</v>
      </c>
      <c r="K2056" t="s">
        <v>71</v>
      </c>
      <c r="L2056" s="6">
        <v>42522</v>
      </c>
      <c r="M2056">
        <v>6</v>
      </c>
      <c r="N2056" s="7" t="s">
        <v>55</v>
      </c>
      <c r="O2056" t="s">
        <v>31</v>
      </c>
      <c r="P2056" t="s">
        <v>2087</v>
      </c>
      <c r="Q2056" t="s">
        <v>2075</v>
      </c>
      <c r="R2056" t="s">
        <v>2076</v>
      </c>
    </row>
    <row r="2057" spans="1:18" hidden="1">
      <c r="A2057">
        <v>2</v>
      </c>
      <c r="B2057" s="4" t="s">
        <v>1952</v>
      </c>
      <c r="C2057" s="4" t="s">
        <v>1953</v>
      </c>
      <c r="D2057" s="4" t="s">
        <v>2072</v>
      </c>
      <c r="E2057" s="4" t="s">
        <v>5804</v>
      </c>
      <c r="F2057" t="s">
        <v>519</v>
      </c>
      <c r="G2057" t="s">
        <v>519</v>
      </c>
      <c r="H2057" t="s">
        <v>53</v>
      </c>
      <c r="I2057" t="s">
        <v>53</v>
      </c>
      <c r="J2057" s="5" t="s">
        <v>53</v>
      </c>
      <c r="K2057" t="s">
        <v>220</v>
      </c>
      <c r="L2057" s="6">
        <v>42644</v>
      </c>
      <c r="M2057">
        <v>10</v>
      </c>
      <c r="N2057" s="7" t="s">
        <v>23</v>
      </c>
      <c r="O2057" t="s">
        <v>31</v>
      </c>
      <c r="P2057" t="s">
        <v>2099</v>
      </c>
      <c r="Q2057" t="s">
        <v>2075</v>
      </c>
      <c r="R2057" t="s">
        <v>2076</v>
      </c>
    </row>
    <row r="2058" spans="1:18" hidden="1">
      <c r="A2058">
        <v>2</v>
      </c>
      <c r="B2058" s="4" t="s">
        <v>1952</v>
      </c>
      <c r="C2058" s="4" t="s">
        <v>1953</v>
      </c>
      <c r="D2058" s="4" t="s">
        <v>2072</v>
      </c>
      <c r="E2058" s="4" t="s">
        <v>5804</v>
      </c>
      <c r="F2058" t="s">
        <v>519</v>
      </c>
      <c r="G2058" t="s">
        <v>519</v>
      </c>
      <c r="H2058" t="s">
        <v>53</v>
      </c>
      <c r="I2058" t="s">
        <v>53</v>
      </c>
      <c r="J2058" s="5" t="s">
        <v>53</v>
      </c>
      <c r="K2058" t="s">
        <v>220</v>
      </c>
      <c r="L2058" s="6">
        <v>42644</v>
      </c>
      <c r="M2058">
        <v>10</v>
      </c>
      <c r="N2058" s="7" t="s">
        <v>23</v>
      </c>
      <c r="O2058" t="s">
        <v>31</v>
      </c>
      <c r="P2058" t="s">
        <v>2100</v>
      </c>
      <c r="Q2058" t="s">
        <v>2101</v>
      </c>
      <c r="R2058" t="s">
        <v>2076</v>
      </c>
    </row>
    <row r="2059" spans="1:18" hidden="1">
      <c r="A2059">
        <v>2</v>
      </c>
      <c r="B2059" s="4" t="s">
        <v>1952</v>
      </c>
      <c r="C2059" s="4" t="s">
        <v>1953</v>
      </c>
      <c r="D2059" s="4" t="s">
        <v>2072</v>
      </c>
      <c r="E2059" s="4" t="s">
        <v>5804</v>
      </c>
      <c r="F2059" t="s">
        <v>519</v>
      </c>
      <c r="G2059" t="s">
        <v>519</v>
      </c>
      <c r="H2059" t="s">
        <v>53</v>
      </c>
      <c r="I2059" t="s">
        <v>53</v>
      </c>
      <c r="J2059" s="5" t="s">
        <v>53</v>
      </c>
      <c r="K2059" t="s">
        <v>234</v>
      </c>
      <c r="L2059" s="6">
        <v>42826</v>
      </c>
      <c r="M2059">
        <v>4</v>
      </c>
      <c r="N2059" s="7" t="s">
        <v>23</v>
      </c>
      <c r="O2059" t="s">
        <v>31</v>
      </c>
      <c r="P2059" t="s">
        <v>2124</v>
      </c>
      <c r="Q2059" t="s">
        <v>2125</v>
      </c>
      <c r="R2059" t="s">
        <v>2030</v>
      </c>
    </row>
    <row r="2060" spans="1:18" hidden="1">
      <c r="A2060">
        <v>2</v>
      </c>
      <c r="B2060" s="4" t="s">
        <v>1952</v>
      </c>
      <c r="C2060" s="4" t="s">
        <v>1953</v>
      </c>
      <c r="D2060" s="4" t="s">
        <v>2072</v>
      </c>
      <c r="E2060" s="4" t="s">
        <v>5804</v>
      </c>
      <c r="F2060" t="s">
        <v>519</v>
      </c>
      <c r="G2060" t="s">
        <v>519</v>
      </c>
      <c r="H2060" t="s">
        <v>53</v>
      </c>
      <c r="I2060" t="s">
        <v>53</v>
      </c>
      <c r="J2060" s="5" t="s">
        <v>53</v>
      </c>
      <c r="K2060" t="s">
        <v>85</v>
      </c>
      <c r="L2060" s="6">
        <v>43009</v>
      </c>
      <c r="M2060">
        <v>10</v>
      </c>
      <c r="N2060" s="7" t="s">
        <v>23</v>
      </c>
      <c r="O2060" t="s">
        <v>31</v>
      </c>
      <c r="P2060" t="s">
        <v>2127</v>
      </c>
      <c r="Q2060" t="s">
        <v>2128</v>
      </c>
      <c r="R2060" t="s">
        <v>2129</v>
      </c>
    </row>
    <row r="2061" spans="1:18" hidden="1">
      <c r="A2061">
        <v>2</v>
      </c>
      <c r="B2061" s="4" t="s">
        <v>1952</v>
      </c>
      <c r="C2061" s="4" t="s">
        <v>1953</v>
      </c>
      <c r="D2061" s="4" t="s">
        <v>2072</v>
      </c>
      <c r="E2061" s="4" t="s">
        <v>5804</v>
      </c>
      <c r="F2061" t="s">
        <v>519</v>
      </c>
      <c r="G2061" t="s">
        <v>519</v>
      </c>
      <c r="H2061" t="s">
        <v>53</v>
      </c>
      <c r="I2061" t="s">
        <v>53</v>
      </c>
      <c r="J2061" s="5" t="s">
        <v>53</v>
      </c>
      <c r="K2061" t="s">
        <v>357</v>
      </c>
      <c r="L2061" s="6">
        <v>43739</v>
      </c>
      <c r="M2061">
        <v>10</v>
      </c>
      <c r="N2061" s="7" t="s">
        <v>23</v>
      </c>
      <c r="O2061" t="s">
        <v>31</v>
      </c>
      <c r="P2061" t="s">
        <v>2170</v>
      </c>
      <c r="Q2061" t="s">
        <v>2075</v>
      </c>
      <c r="R2061" t="s">
        <v>2076</v>
      </c>
    </row>
    <row r="2062" spans="1:18" hidden="1">
      <c r="A2062">
        <v>2</v>
      </c>
      <c r="B2062" s="4" t="s">
        <v>1952</v>
      </c>
      <c r="C2062" s="4" t="s">
        <v>1953</v>
      </c>
      <c r="D2062" s="4" t="s">
        <v>2072</v>
      </c>
      <c r="E2062" s="4" t="s">
        <v>5804</v>
      </c>
      <c r="F2062" t="s">
        <v>519</v>
      </c>
      <c r="G2062" t="s">
        <v>519</v>
      </c>
      <c r="H2062" t="s">
        <v>53</v>
      </c>
      <c r="I2062" t="s">
        <v>53</v>
      </c>
      <c r="J2062" s="5" t="s">
        <v>53</v>
      </c>
      <c r="K2062" t="s">
        <v>749</v>
      </c>
      <c r="L2062" s="6">
        <v>44136</v>
      </c>
      <c r="M2062">
        <v>11</v>
      </c>
      <c r="N2062" s="7" t="s">
        <v>23</v>
      </c>
      <c r="O2062" t="s">
        <v>31</v>
      </c>
      <c r="P2062" t="s">
        <v>2204</v>
      </c>
      <c r="Q2062" t="s">
        <v>2075</v>
      </c>
      <c r="R2062" t="s">
        <v>2076</v>
      </c>
    </row>
    <row r="2063" spans="1:18" hidden="1">
      <c r="A2063">
        <v>2</v>
      </c>
      <c r="B2063" s="4" t="s">
        <v>1952</v>
      </c>
      <c r="C2063" s="4" t="s">
        <v>1953</v>
      </c>
      <c r="D2063" s="4" t="s">
        <v>2224</v>
      </c>
      <c r="E2063" s="4" t="s">
        <v>5804</v>
      </c>
      <c r="F2063" t="s">
        <v>519</v>
      </c>
      <c r="G2063" t="s">
        <v>519</v>
      </c>
      <c r="H2063" t="s">
        <v>53</v>
      </c>
      <c r="I2063" t="s">
        <v>53</v>
      </c>
      <c r="J2063" s="5" t="s">
        <v>53</v>
      </c>
      <c r="K2063" t="s">
        <v>87</v>
      </c>
      <c r="L2063" s="6">
        <v>43040</v>
      </c>
      <c r="M2063">
        <v>11</v>
      </c>
      <c r="N2063" s="7" t="s">
        <v>23</v>
      </c>
      <c r="O2063" t="s">
        <v>31</v>
      </c>
      <c r="P2063" t="s">
        <v>2276</v>
      </c>
      <c r="Q2063" t="s">
        <v>2277</v>
      </c>
      <c r="R2063" t="s">
        <v>2278</v>
      </c>
    </row>
    <row r="2064" spans="1:18" hidden="1">
      <c r="A2064">
        <v>2</v>
      </c>
      <c r="B2064" s="4" t="s">
        <v>1952</v>
      </c>
      <c r="C2064" s="4" t="s">
        <v>1953</v>
      </c>
      <c r="D2064" s="4" t="s">
        <v>2224</v>
      </c>
      <c r="E2064" s="4" t="s">
        <v>5804</v>
      </c>
      <c r="F2064" t="s">
        <v>519</v>
      </c>
      <c r="G2064" t="s">
        <v>519</v>
      </c>
      <c r="H2064" t="s">
        <v>53</v>
      </c>
      <c r="I2064" t="s">
        <v>53</v>
      </c>
      <c r="J2064" s="5" t="s">
        <v>53</v>
      </c>
      <c r="K2064" t="s">
        <v>245</v>
      </c>
      <c r="L2064" s="6">
        <v>43466</v>
      </c>
      <c r="M2064">
        <v>1</v>
      </c>
      <c r="N2064" s="7" t="s">
        <v>30</v>
      </c>
      <c r="O2064" t="s">
        <v>31</v>
      </c>
      <c r="P2064" t="s">
        <v>2295</v>
      </c>
      <c r="Q2064" t="s">
        <v>2296</v>
      </c>
      <c r="R2064" t="s">
        <v>2297</v>
      </c>
    </row>
    <row r="2065" spans="1:18" hidden="1">
      <c r="A2065">
        <v>2</v>
      </c>
      <c r="B2065" s="4" t="s">
        <v>1952</v>
      </c>
      <c r="C2065" s="4" t="s">
        <v>2425</v>
      </c>
      <c r="D2065" s="4" t="s">
        <v>2509</v>
      </c>
      <c r="E2065" s="4" t="s">
        <v>5804</v>
      </c>
      <c r="F2065" t="s">
        <v>519</v>
      </c>
      <c r="G2065" t="s">
        <v>519</v>
      </c>
      <c r="H2065" t="s">
        <v>53</v>
      </c>
      <c r="I2065" t="s">
        <v>53</v>
      </c>
      <c r="J2065" s="5" t="s">
        <v>53</v>
      </c>
      <c r="K2065" t="s">
        <v>124</v>
      </c>
      <c r="L2065" s="6">
        <v>42767</v>
      </c>
      <c r="M2065">
        <v>2</v>
      </c>
      <c r="N2065" s="7" t="s">
        <v>30</v>
      </c>
      <c r="O2065" t="s">
        <v>31</v>
      </c>
      <c r="P2065" t="s">
        <v>2534</v>
      </c>
      <c r="Q2065" t="s">
        <v>2535</v>
      </c>
      <c r="R2065" t="s">
        <v>2536</v>
      </c>
    </row>
    <row r="2066" spans="1:18" hidden="1">
      <c r="A2066">
        <v>2</v>
      </c>
      <c r="B2066" s="4" t="s">
        <v>1952</v>
      </c>
      <c r="C2066" s="4" t="s">
        <v>2425</v>
      </c>
      <c r="D2066" s="4" t="s">
        <v>2509</v>
      </c>
      <c r="E2066" s="4" t="s">
        <v>5804</v>
      </c>
      <c r="F2066" t="s">
        <v>519</v>
      </c>
      <c r="G2066" t="s">
        <v>519</v>
      </c>
      <c r="H2066" t="s">
        <v>53</v>
      </c>
      <c r="I2066" t="s">
        <v>53</v>
      </c>
      <c r="J2066" s="5" t="s">
        <v>53</v>
      </c>
      <c r="K2066" t="s">
        <v>35</v>
      </c>
      <c r="L2066" s="6">
        <v>43160</v>
      </c>
      <c r="M2066">
        <v>3</v>
      </c>
      <c r="N2066" s="7" t="s">
        <v>23</v>
      </c>
      <c r="O2066" t="s">
        <v>31</v>
      </c>
      <c r="P2066" t="s">
        <v>2542</v>
      </c>
      <c r="Q2066" t="s">
        <v>2535</v>
      </c>
      <c r="R2066" t="s">
        <v>2536</v>
      </c>
    </row>
    <row r="2067" spans="1:18" hidden="1">
      <c r="A2067">
        <v>2</v>
      </c>
      <c r="B2067" s="4" t="s">
        <v>1952</v>
      </c>
      <c r="C2067" s="4" t="s">
        <v>2566</v>
      </c>
      <c r="D2067" s="4" t="s">
        <v>2620</v>
      </c>
      <c r="E2067" s="4" t="s">
        <v>5804</v>
      </c>
      <c r="F2067" t="s">
        <v>519</v>
      </c>
      <c r="G2067" t="s">
        <v>519</v>
      </c>
      <c r="H2067" t="s">
        <v>53</v>
      </c>
      <c r="I2067" t="s">
        <v>53</v>
      </c>
      <c r="J2067" s="5" t="s">
        <v>53</v>
      </c>
      <c r="K2067" t="s">
        <v>109</v>
      </c>
      <c r="L2067" s="6">
        <v>44531</v>
      </c>
      <c r="M2067">
        <v>12</v>
      </c>
      <c r="N2067" s="7" t="s">
        <v>30</v>
      </c>
      <c r="O2067" t="s">
        <v>31</v>
      </c>
      <c r="P2067" t="s">
        <v>2732</v>
      </c>
      <c r="Q2067" t="s">
        <v>2733</v>
      </c>
      <c r="R2067" t="s">
        <v>2734</v>
      </c>
    </row>
    <row r="2068" spans="1:18" hidden="1">
      <c r="A2068">
        <v>2</v>
      </c>
      <c r="B2068" s="4" t="s">
        <v>1952</v>
      </c>
      <c r="C2068" s="4" t="s">
        <v>2566</v>
      </c>
      <c r="D2068" s="4" t="s">
        <v>2735</v>
      </c>
      <c r="E2068" s="4" t="s">
        <v>5804</v>
      </c>
      <c r="F2068" t="s">
        <v>519</v>
      </c>
      <c r="G2068" t="s">
        <v>519</v>
      </c>
      <c r="H2068" t="s">
        <v>53</v>
      </c>
      <c r="I2068" t="s">
        <v>53</v>
      </c>
      <c r="J2068" s="5" t="s">
        <v>53</v>
      </c>
      <c r="K2068" t="s">
        <v>76</v>
      </c>
      <c r="L2068" s="6">
        <v>42856</v>
      </c>
      <c r="M2068">
        <v>5</v>
      </c>
      <c r="N2068" s="7" t="s">
        <v>23</v>
      </c>
      <c r="O2068" t="s">
        <v>31</v>
      </c>
      <c r="P2068" t="s">
        <v>2736</v>
      </c>
      <c r="Q2068" t="s">
        <v>2737</v>
      </c>
      <c r="R2068" t="s">
        <v>2734</v>
      </c>
    </row>
    <row r="2069" spans="1:18" hidden="1">
      <c r="A2069">
        <v>2</v>
      </c>
      <c r="B2069" s="4" t="s">
        <v>1952</v>
      </c>
      <c r="C2069" s="4" t="s">
        <v>2566</v>
      </c>
      <c r="D2069" s="4" t="s">
        <v>2735</v>
      </c>
      <c r="E2069" s="4" t="s">
        <v>5804</v>
      </c>
      <c r="F2069" t="s">
        <v>519</v>
      </c>
      <c r="G2069" t="s">
        <v>519</v>
      </c>
      <c r="H2069" t="s">
        <v>53</v>
      </c>
      <c r="I2069" t="s">
        <v>53</v>
      </c>
      <c r="J2069" s="5" t="s">
        <v>53</v>
      </c>
      <c r="K2069" t="s">
        <v>245</v>
      </c>
      <c r="L2069" s="6">
        <v>43466</v>
      </c>
      <c r="M2069">
        <v>1</v>
      </c>
      <c r="N2069" s="7" t="s">
        <v>30</v>
      </c>
      <c r="O2069" t="s">
        <v>31</v>
      </c>
      <c r="P2069" t="s">
        <v>2755</v>
      </c>
      <c r="Q2069" t="s">
        <v>2737</v>
      </c>
      <c r="R2069" t="s">
        <v>2734</v>
      </c>
    </row>
    <row r="2070" spans="1:18" hidden="1">
      <c r="A2070">
        <v>2</v>
      </c>
      <c r="B2070" s="4" t="s">
        <v>1952</v>
      </c>
      <c r="C2070" s="4" t="s">
        <v>2566</v>
      </c>
      <c r="D2070" s="4" t="s">
        <v>2735</v>
      </c>
      <c r="E2070" s="4" t="s">
        <v>5804</v>
      </c>
      <c r="F2070" t="s">
        <v>519</v>
      </c>
      <c r="G2070" t="s">
        <v>519</v>
      </c>
      <c r="H2070" t="s">
        <v>53</v>
      </c>
      <c r="I2070" t="s">
        <v>53</v>
      </c>
      <c r="J2070" s="5" t="s">
        <v>53</v>
      </c>
      <c r="K2070" t="s">
        <v>839</v>
      </c>
      <c r="L2070" s="6">
        <v>43800</v>
      </c>
      <c r="M2070">
        <v>12</v>
      </c>
      <c r="N2070" s="7" t="s">
        <v>30</v>
      </c>
      <c r="O2070" t="s">
        <v>66</v>
      </c>
      <c r="P2070" t="s">
        <v>2757</v>
      </c>
      <c r="Q2070" t="s">
        <v>2758</v>
      </c>
      <c r="R2070" t="s">
        <v>2759</v>
      </c>
    </row>
    <row r="2071" spans="1:18">
      <c r="A2071">
        <v>3</v>
      </c>
      <c r="B2071" s="4" t="s">
        <v>2764</v>
      </c>
      <c r="C2071" s="4" t="s">
        <v>2765</v>
      </c>
      <c r="D2071" s="4" t="s">
        <v>3092</v>
      </c>
      <c r="E2071" s="4" t="s">
        <v>5804</v>
      </c>
      <c r="F2071" t="s">
        <v>519</v>
      </c>
      <c r="G2071" t="s">
        <v>519</v>
      </c>
      <c r="H2071" t="s">
        <v>53</v>
      </c>
      <c r="I2071" t="s">
        <v>53</v>
      </c>
      <c r="J2071" s="5" t="s">
        <v>53</v>
      </c>
      <c r="K2071" t="s">
        <v>319</v>
      </c>
      <c r="L2071" s="6">
        <v>42583</v>
      </c>
      <c r="M2071">
        <v>8</v>
      </c>
      <c r="N2071" s="7" t="s">
        <v>55</v>
      </c>
      <c r="O2071" t="s">
        <v>31</v>
      </c>
      <c r="P2071" t="s">
        <v>3096</v>
      </c>
      <c r="Q2071" t="s">
        <v>2985</v>
      </c>
      <c r="R2071" t="s">
        <v>2986</v>
      </c>
    </row>
    <row r="2072" spans="1:18">
      <c r="A2072">
        <v>3</v>
      </c>
      <c r="B2072" s="4" t="s">
        <v>2764</v>
      </c>
      <c r="C2072" s="4" t="s">
        <v>2765</v>
      </c>
      <c r="D2072" s="4" t="s">
        <v>3092</v>
      </c>
      <c r="E2072" s="4" t="s">
        <v>5804</v>
      </c>
      <c r="F2072" t="s">
        <v>519</v>
      </c>
      <c r="G2072" t="s">
        <v>519</v>
      </c>
      <c r="H2072" t="s">
        <v>53</v>
      </c>
      <c r="I2072" t="s">
        <v>53</v>
      </c>
      <c r="J2072" s="5" t="s">
        <v>53</v>
      </c>
      <c r="K2072" t="s">
        <v>93</v>
      </c>
      <c r="L2072" s="6">
        <v>43282</v>
      </c>
      <c r="M2072">
        <v>7</v>
      </c>
      <c r="N2072" s="7" t="s">
        <v>55</v>
      </c>
      <c r="O2072" t="s">
        <v>31</v>
      </c>
      <c r="P2072" t="s">
        <v>3110</v>
      </c>
      <c r="Q2072" t="s">
        <v>2985</v>
      </c>
      <c r="R2072" t="s">
        <v>2986</v>
      </c>
    </row>
    <row r="2073" spans="1:18">
      <c r="A2073">
        <v>3</v>
      </c>
      <c r="B2073" s="4" t="s">
        <v>2764</v>
      </c>
      <c r="C2073" s="4" t="s">
        <v>2765</v>
      </c>
      <c r="D2073" s="4" t="s">
        <v>3092</v>
      </c>
      <c r="E2073" s="4" t="s">
        <v>5804</v>
      </c>
      <c r="F2073" t="s">
        <v>519</v>
      </c>
      <c r="G2073" t="s">
        <v>519</v>
      </c>
      <c r="H2073" t="s">
        <v>53</v>
      </c>
      <c r="I2073" t="s">
        <v>53</v>
      </c>
      <c r="J2073" s="5" t="s">
        <v>53</v>
      </c>
      <c r="K2073" t="s">
        <v>146</v>
      </c>
      <c r="L2073" s="6">
        <v>43313</v>
      </c>
      <c r="M2073">
        <v>8</v>
      </c>
      <c r="N2073" s="7" t="s">
        <v>55</v>
      </c>
      <c r="O2073" t="s">
        <v>31</v>
      </c>
      <c r="P2073" t="s">
        <v>3114</v>
      </c>
      <c r="Q2073" t="s">
        <v>2985</v>
      </c>
      <c r="R2073" t="s">
        <v>3094</v>
      </c>
    </row>
    <row r="2074" spans="1:18" hidden="1">
      <c r="A2074">
        <v>4</v>
      </c>
      <c r="B2074" s="4" t="s">
        <v>3127</v>
      </c>
      <c r="C2074" s="4" t="s">
        <v>3128</v>
      </c>
      <c r="D2074" s="4" t="s">
        <v>3129</v>
      </c>
      <c r="E2074" s="4" t="s">
        <v>5804</v>
      </c>
      <c r="F2074" t="s">
        <v>519</v>
      </c>
      <c r="G2074" t="s">
        <v>519</v>
      </c>
      <c r="H2074" t="s">
        <v>53</v>
      </c>
      <c r="I2074" t="s">
        <v>53</v>
      </c>
      <c r="J2074" s="5" t="s">
        <v>53</v>
      </c>
      <c r="K2074" t="s">
        <v>83</v>
      </c>
      <c r="L2074" s="6">
        <v>42948</v>
      </c>
      <c r="M2074">
        <v>8</v>
      </c>
      <c r="N2074" s="7" t="s">
        <v>55</v>
      </c>
      <c r="O2074" t="s">
        <v>31</v>
      </c>
      <c r="P2074" t="s">
        <v>3152</v>
      </c>
      <c r="Q2074" t="s">
        <v>3153</v>
      </c>
      <c r="R2074" t="s">
        <v>3154</v>
      </c>
    </row>
    <row r="2075" spans="1:18" hidden="1">
      <c r="A2075">
        <v>4</v>
      </c>
      <c r="B2075" s="4" t="s">
        <v>3127</v>
      </c>
      <c r="C2075" s="4" t="s">
        <v>3128</v>
      </c>
      <c r="D2075" s="4" t="s">
        <v>3129</v>
      </c>
      <c r="E2075" s="4" t="s">
        <v>5804</v>
      </c>
      <c r="F2075" t="s">
        <v>519</v>
      </c>
      <c r="G2075" t="s">
        <v>519</v>
      </c>
      <c r="H2075" t="s">
        <v>53</v>
      </c>
      <c r="I2075" t="s">
        <v>53</v>
      </c>
      <c r="J2075" s="5" t="s">
        <v>53</v>
      </c>
      <c r="K2075" t="s">
        <v>102</v>
      </c>
      <c r="L2075" s="6">
        <v>44287</v>
      </c>
      <c r="M2075">
        <v>4</v>
      </c>
      <c r="N2075" s="7" t="s">
        <v>23</v>
      </c>
      <c r="O2075" t="s">
        <v>31</v>
      </c>
      <c r="P2075" t="s">
        <v>3187</v>
      </c>
      <c r="Q2075" t="s">
        <v>3188</v>
      </c>
      <c r="R2075" t="s">
        <v>3189</v>
      </c>
    </row>
    <row r="2076" spans="1:18" hidden="1">
      <c r="A2076">
        <v>4</v>
      </c>
      <c r="B2076" s="4" t="s">
        <v>3127</v>
      </c>
      <c r="C2076" s="4" t="s">
        <v>3128</v>
      </c>
      <c r="D2076" s="4" t="s">
        <v>3190</v>
      </c>
      <c r="E2076" s="4" t="s">
        <v>5804</v>
      </c>
      <c r="F2076" t="s">
        <v>519</v>
      </c>
      <c r="G2076" t="s">
        <v>519</v>
      </c>
      <c r="H2076" t="s">
        <v>53</v>
      </c>
      <c r="I2076" t="s">
        <v>53</v>
      </c>
      <c r="J2076" s="5" t="s">
        <v>53</v>
      </c>
      <c r="K2076" t="s">
        <v>119</v>
      </c>
      <c r="L2076" s="6">
        <v>42552</v>
      </c>
      <c r="M2076">
        <v>7</v>
      </c>
      <c r="N2076" s="7" t="s">
        <v>55</v>
      </c>
      <c r="O2076" t="s">
        <v>31</v>
      </c>
      <c r="P2076" t="s">
        <v>3196</v>
      </c>
      <c r="Q2076" t="s">
        <v>3153</v>
      </c>
      <c r="R2076" t="s">
        <v>3154</v>
      </c>
    </row>
    <row r="2077" spans="1:18" hidden="1">
      <c r="A2077">
        <v>4</v>
      </c>
      <c r="B2077" s="4" t="s">
        <v>3127</v>
      </c>
      <c r="C2077" s="4" t="s">
        <v>3128</v>
      </c>
      <c r="D2077" s="4" t="s">
        <v>3247</v>
      </c>
      <c r="E2077" s="4" t="s">
        <v>5804</v>
      </c>
      <c r="F2077" t="s">
        <v>519</v>
      </c>
      <c r="G2077" t="s">
        <v>519</v>
      </c>
      <c r="H2077" t="s">
        <v>53</v>
      </c>
      <c r="I2077" t="s">
        <v>53</v>
      </c>
      <c r="J2077" s="5" t="s">
        <v>53</v>
      </c>
      <c r="K2077" t="s">
        <v>65</v>
      </c>
      <c r="L2077" s="6">
        <v>42430</v>
      </c>
      <c r="M2077">
        <v>3</v>
      </c>
      <c r="N2077" s="7" t="s">
        <v>23</v>
      </c>
      <c r="O2077" t="s">
        <v>31</v>
      </c>
      <c r="P2077" t="s">
        <v>3253</v>
      </c>
      <c r="Q2077" t="s">
        <v>3254</v>
      </c>
      <c r="R2077" t="s">
        <v>3138</v>
      </c>
    </row>
    <row r="2078" spans="1:18" hidden="1">
      <c r="A2078">
        <v>4</v>
      </c>
      <c r="B2078" s="4" t="s">
        <v>3127</v>
      </c>
      <c r="C2078" s="4" t="s">
        <v>3128</v>
      </c>
      <c r="D2078" s="4" t="s">
        <v>3247</v>
      </c>
      <c r="E2078" s="4" t="s">
        <v>5804</v>
      </c>
      <c r="F2078" t="s">
        <v>519</v>
      </c>
      <c r="G2078" t="s">
        <v>519</v>
      </c>
      <c r="H2078" t="s">
        <v>53</v>
      </c>
      <c r="I2078" t="s">
        <v>53</v>
      </c>
      <c r="J2078" s="5" t="s">
        <v>53</v>
      </c>
      <c r="K2078" t="s">
        <v>124</v>
      </c>
      <c r="L2078" s="6">
        <v>42767</v>
      </c>
      <c r="M2078">
        <v>2</v>
      </c>
      <c r="N2078" s="7" t="s">
        <v>30</v>
      </c>
      <c r="O2078" t="s">
        <v>31</v>
      </c>
      <c r="P2078" t="s">
        <v>3301</v>
      </c>
      <c r="Q2078" t="s">
        <v>3302</v>
      </c>
      <c r="R2078" t="s">
        <v>3154</v>
      </c>
    </row>
    <row r="2079" spans="1:18" hidden="1">
      <c r="A2079">
        <v>4</v>
      </c>
      <c r="B2079" s="4" t="s">
        <v>3127</v>
      </c>
      <c r="C2079" s="4" t="s">
        <v>3128</v>
      </c>
      <c r="D2079" s="4" t="s">
        <v>3247</v>
      </c>
      <c r="E2079" s="4" t="s">
        <v>5804</v>
      </c>
      <c r="F2079" t="s">
        <v>519</v>
      </c>
      <c r="G2079" t="s">
        <v>519</v>
      </c>
      <c r="H2079" t="s">
        <v>53</v>
      </c>
      <c r="I2079" t="s">
        <v>53</v>
      </c>
      <c r="J2079" s="5" t="s">
        <v>53</v>
      </c>
      <c r="K2079" t="s">
        <v>76</v>
      </c>
      <c r="L2079" s="6">
        <v>42856</v>
      </c>
      <c r="M2079">
        <v>5</v>
      </c>
      <c r="N2079" s="7" t="s">
        <v>23</v>
      </c>
      <c r="O2079" t="s">
        <v>31</v>
      </c>
      <c r="P2079" t="s">
        <v>3303</v>
      </c>
      <c r="Q2079" t="s">
        <v>3304</v>
      </c>
      <c r="R2079" t="s">
        <v>3160</v>
      </c>
    </row>
    <row r="2080" spans="1:18" hidden="1">
      <c r="A2080">
        <v>4</v>
      </c>
      <c r="B2080" s="4" t="s">
        <v>3127</v>
      </c>
      <c r="C2080" s="4" t="s">
        <v>3128</v>
      </c>
      <c r="D2080" s="4" t="s">
        <v>3247</v>
      </c>
      <c r="E2080" s="4" t="s">
        <v>5804</v>
      </c>
      <c r="F2080" t="s">
        <v>519</v>
      </c>
      <c r="G2080" t="s">
        <v>519</v>
      </c>
      <c r="H2080" t="s">
        <v>53</v>
      </c>
      <c r="I2080" t="s">
        <v>53</v>
      </c>
      <c r="J2080" s="5" t="s">
        <v>53</v>
      </c>
      <c r="K2080" t="s">
        <v>29</v>
      </c>
      <c r="L2080" s="6">
        <v>43070</v>
      </c>
      <c r="M2080">
        <v>12</v>
      </c>
      <c r="N2080" s="7" t="s">
        <v>30</v>
      </c>
      <c r="O2080" t="s">
        <v>31</v>
      </c>
      <c r="P2080" t="s">
        <v>3319</v>
      </c>
      <c r="Q2080" t="s">
        <v>3302</v>
      </c>
      <c r="R2080" t="s">
        <v>3154</v>
      </c>
    </row>
    <row r="2081" spans="1:18" hidden="1">
      <c r="A2081">
        <v>4</v>
      </c>
      <c r="B2081" s="4" t="s">
        <v>3127</v>
      </c>
      <c r="C2081" s="4" t="s">
        <v>3128</v>
      </c>
      <c r="D2081" s="4" t="s">
        <v>3247</v>
      </c>
      <c r="E2081" s="4" t="s">
        <v>5804</v>
      </c>
      <c r="F2081" t="s">
        <v>519</v>
      </c>
      <c r="G2081" t="s">
        <v>519</v>
      </c>
      <c r="H2081" t="s">
        <v>53</v>
      </c>
      <c r="I2081" t="s">
        <v>53</v>
      </c>
      <c r="J2081" s="5" t="s">
        <v>53</v>
      </c>
      <c r="K2081" t="s">
        <v>298</v>
      </c>
      <c r="L2081" s="6">
        <v>43344</v>
      </c>
      <c r="M2081">
        <v>9</v>
      </c>
      <c r="N2081" s="7" t="s">
        <v>23</v>
      </c>
      <c r="O2081" t="s">
        <v>31</v>
      </c>
      <c r="P2081" t="s">
        <v>3341</v>
      </c>
      <c r="Q2081" t="s">
        <v>3342</v>
      </c>
      <c r="R2081" t="s">
        <v>3343</v>
      </c>
    </row>
    <row r="2082" spans="1:18" hidden="1">
      <c r="A2082">
        <v>4</v>
      </c>
      <c r="B2082" s="4" t="s">
        <v>3127</v>
      </c>
      <c r="C2082" s="4" t="s">
        <v>3374</v>
      </c>
      <c r="D2082" s="4" t="s">
        <v>3375</v>
      </c>
      <c r="E2082" s="4" t="s">
        <v>5804</v>
      </c>
      <c r="F2082" t="s">
        <v>519</v>
      </c>
      <c r="G2082" t="s">
        <v>519</v>
      </c>
      <c r="H2082" t="s">
        <v>53</v>
      </c>
      <c r="I2082" t="s">
        <v>53</v>
      </c>
      <c r="J2082" s="5" t="s">
        <v>53</v>
      </c>
      <c r="K2082" t="s">
        <v>760</v>
      </c>
      <c r="L2082" s="6">
        <v>42248</v>
      </c>
      <c r="M2082">
        <v>9</v>
      </c>
      <c r="N2082" s="7" t="s">
        <v>23</v>
      </c>
      <c r="O2082" t="s">
        <v>31</v>
      </c>
      <c r="P2082" t="s">
        <v>3376</v>
      </c>
      <c r="Q2082" t="s">
        <v>3377</v>
      </c>
      <c r="R2082" t="s">
        <v>3378</v>
      </c>
    </row>
    <row r="2083" spans="1:18" hidden="1">
      <c r="A2083">
        <v>4</v>
      </c>
      <c r="B2083" s="4" t="s">
        <v>3127</v>
      </c>
      <c r="C2083" s="4" t="s">
        <v>3374</v>
      </c>
      <c r="D2083" s="4" t="s">
        <v>3375</v>
      </c>
      <c r="E2083" s="4" t="s">
        <v>5804</v>
      </c>
      <c r="F2083" t="s">
        <v>519</v>
      </c>
      <c r="G2083" t="s">
        <v>519</v>
      </c>
      <c r="H2083" t="s">
        <v>53</v>
      </c>
      <c r="I2083" t="s">
        <v>53</v>
      </c>
      <c r="J2083" s="5" t="s">
        <v>53</v>
      </c>
      <c r="K2083" t="s">
        <v>71</v>
      </c>
      <c r="L2083" s="6">
        <v>42522</v>
      </c>
      <c r="M2083">
        <v>6</v>
      </c>
      <c r="N2083" s="7" t="s">
        <v>55</v>
      </c>
      <c r="O2083" t="s">
        <v>31</v>
      </c>
      <c r="P2083" t="s">
        <v>3391</v>
      </c>
      <c r="Q2083" t="s">
        <v>3392</v>
      </c>
      <c r="R2083" t="s">
        <v>3393</v>
      </c>
    </row>
    <row r="2084" spans="1:18" hidden="1">
      <c r="A2084">
        <v>4</v>
      </c>
      <c r="B2084" s="4" t="s">
        <v>3127</v>
      </c>
      <c r="C2084" s="4" t="s">
        <v>3374</v>
      </c>
      <c r="D2084" s="4" t="s">
        <v>3375</v>
      </c>
      <c r="E2084" s="4" t="s">
        <v>5804</v>
      </c>
      <c r="F2084" t="s">
        <v>519</v>
      </c>
      <c r="G2084" t="s">
        <v>519</v>
      </c>
      <c r="H2084" t="s">
        <v>53</v>
      </c>
      <c r="I2084" t="s">
        <v>53</v>
      </c>
      <c r="J2084" s="5" t="s">
        <v>53</v>
      </c>
      <c r="K2084" t="s">
        <v>477</v>
      </c>
      <c r="L2084" s="6">
        <v>42705</v>
      </c>
      <c r="M2084">
        <v>12</v>
      </c>
      <c r="N2084" s="7" t="s">
        <v>30</v>
      </c>
      <c r="O2084" t="s">
        <v>31</v>
      </c>
      <c r="P2084" t="s">
        <v>3406</v>
      </c>
      <c r="Q2084" t="s">
        <v>3386</v>
      </c>
      <c r="R2084" t="s">
        <v>3387</v>
      </c>
    </row>
    <row r="2085" spans="1:18" hidden="1">
      <c r="A2085">
        <v>4</v>
      </c>
      <c r="B2085" s="4" t="s">
        <v>3127</v>
      </c>
      <c r="C2085" s="4" t="s">
        <v>3374</v>
      </c>
      <c r="D2085" s="4" t="s">
        <v>3375</v>
      </c>
      <c r="E2085" s="4" t="s">
        <v>5804</v>
      </c>
      <c r="F2085" t="s">
        <v>519</v>
      </c>
      <c r="G2085" t="s">
        <v>519</v>
      </c>
      <c r="H2085" t="s">
        <v>53</v>
      </c>
      <c r="I2085" t="s">
        <v>53</v>
      </c>
      <c r="J2085" s="5" t="s">
        <v>53</v>
      </c>
      <c r="K2085" t="s">
        <v>128</v>
      </c>
      <c r="L2085" s="6">
        <v>42795</v>
      </c>
      <c r="M2085">
        <v>3</v>
      </c>
      <c r="N2085" s="7" t="s">
        <v>23</v>
      </c>
      <c r="O2085" t="s">
        <v>31</v>
      </c>
      <c r="P2085" t="s">
        <v>3409</v>
      </c>
      <c r="Q2085" t="s">
        <v>3410</v>
      </c>
      <c r="R2085" t="s">
        <v>3411</v>
      </c>
    </row>
    <row r="2086" spans="1:18" hidden="1">
      <c r="A2086">
        <v>4</v>
      </c>
      <c r="B2086" s="4" t="s">
        <v>3127</v>
      </c>
      <c r="C2086" s="4" t="s">
        <v>3374</v>
      </c>
      <c r="D2086" s="4" t="s">
        <v>3375</v>
      </c>
      <c r="E2086" s="4" t="s">
        <v>5804</v>
      </c>
      <c r="F2086" t="s">
        <v>519</v>
      </c>
      <c r="G2086" t="s">
        <v>519</v>
      </c>
      <c r="H2086" t="s">
        <v>53</v>
      </c>
      <c r="I2086" t="s">
        <v>53</v>
      </c>
      <c r="J2086" s="5" t="s">
        <v>53</v>
      </c>
      <c r="K2086" t="s">
        <v>22</v>
      </c>
      <c r="L2086" s="6">
        <v>42979</v>
      </c>
      <c r="M2086">
        <v>9</v>
      </c>
      <c r="N2086" s="7" t="s">
        <v>23</v>
      </c>
      <c r="O2086" t="s">
        <v>31</v>
      </c>
      <c r="P2086" t="s">
        <v>3422</v>
      </c>
      <c r="Q2086" t="s">
        <v>3423</v>
      </c>
      <c r="R2086" t="s">
        <v>3424</v>
      </c>
    </row>
    <row r="2087" spans="1:18" hidden="1">
      <c r="A2087">
        <v>4</v>
      </c>
      <c r="B2087" s="4" t="s">
        <v>3127</v>
      </c>
      <c r="C2087" s="4" t="s">
        <v>3374</v>
      </c>
      <c r="D2087" s="4" t="s">
        <v>3375</v>
      </c>
      <c r="E2087" s="4" t="s">
        <v>5804</v>
      </c>
      <c r="F2087" t="s">
        <v>519</v>
      </c>
      <c r="G2087" t="s">
        <v>519</v>
      </c>
      <c r="H2087" t="s">
        <v>53</v>
      </c>
      <c r="I2087" t="s">
        <v>53</v>
      </c>
      <c r="J2087" s="5" t="s">
        <v>53</v>
      </c>
      <c r="K2087" t="s">
        <v>87</v>
      </c>
      <c r="L2087" s="6">
        <v>43040</v>
      </c>
      <c r="M2087">
        <v>11</v>
      </c>
      <c r="N2087" s="7" t="s">
        <v>23</v>
      </c>
      <c r="O2087" t="s">
        <v>31</v>
      </c>
      <c r="P2087" t="s">
        <v>3428</v>
      </c>
      <c r="Q2087" t="s">
        <v>3429</v>
      </c>
      <c r="R2087" t="s">
        <v>3430</v>
      </c>
    </row>
    <row r="2088" spans="1:18" hidden="1">
      <c r="A2088">
        <v>4</v>
      </c>
      <c r="B2088" s="4" t="s">
        <v>3127</v>
      </c>
      <c r="C2088" s="4" t="s">
        <v>3374</v>
      </c>
      <c r="D2088" s="4" t="s">
        <v>3375</v>
      </c>
      <c r="E2088" s="4" t="s">
        <v>5804</v>
      </c>
      <c r="F2088" t="s">
        <v>519</v>
      </c>
      <c r="G2088" t="s">
        <v>519</v>
      </c>
      <c r="H2088" t="s">
        <v>53</v>
      </c>
      <c r="I2088" t="s">
        <v>53</v>
      </c>
      <c r="J2088" s="5" t="s">
        <v>53</v>
      </c>
      <c r="K2088" t="s">
        <v>35</v>
      </c>
      <c r="L2088" s="6">
        <v>43160</v>
      </c>
      <c r="M2088">
        <v>3</v>
      </c>
      <c r="N2088" s="7" t="s">
        <v>23</v>
      </c>
      <c r="O2088" t="s">
        <v>31</v>
      </c>
      <c r="P2088" t="s">
        <v>3431</v>
      </c>
      <c r="Q2088" t="s">
        <v>3410</v>
      </c>
      <c r="R2088" t="s">
        <v>3411</v>
      </c>
    </row>
    <row r="2089" spans="1:18" hidden="1">
      <c r="A2089">
        <v>4</v>
      </c>
      <c r="B2089" s="4" t="s">
        <v>3127</v>
      </c>
      <c r="C2089" s="4" t="s">
        <v>3374</v>
      </c>
      <c r="D2089" s="4" t="s">
        <v>3375</v>
      </c>
      <c r="E2089" s="4" t="s">
        <v>5804</v>
      </c>
      <c r="F2089" t="s">
        <v>519</v>
      </c>
      <c r="G2089" t="s">
        <v>519</v>
      </c>
      <c r="H2089" t="s">
        <v>53</v>
      </c>
      <c r="I2089" t="s">
        <v>53</v>
      </c>
      <c r="J2089" s="5" t="s">
        <v>53</v>
      </c>
      <c r="K2089" t="s">
        <v>156</v>
      </c>
      <c r="L2089" s="6">
        <v>43405</v>
      </c>
      <c r="M2089">
        <v>11</v>
      </c>
      <c r="N2089" s="7" t="s">
        <v>23</v>
      </c>
      <c r="O2089" t="s">
        <v>31</v>
      </c>
      <c r="P2089" t="s">
        <v>3445</v>
      </c>
      <c r="Q2089" t="s">
        <v>3446</v>
      </c>
      <c r="R2089" t="s">
        <v>3447</v>
      </c>
    </row>
    <row r="2090" spans="1:18" hidden="1">
      <c r="A2090">
        <v>4</v>
      </c>
      <c r="B2090" s="4" t="s">
        <v>3127</v>
      </c>
      <c r="C2090" s="4" t="s">
        <v>3374</v>
      </c>
      <c r="D2090" s="4" t="s">
        <v>3375</v>
      </c>
      <c r="E2090" s="4" t="s">
        <v>5804</v>
      </c>
      <c r="F2090" t="s">
        <v>519</v>
      </c>
      <c r="G2090" t="s">
        <v>519</v>
      </c>
      <c r="H2090" t="s">
        <v>53</v>
      </c>
      <c r="I2090" t="s">
        <v>53</v>
      </c>
      <c r="J2090" s="5" t="s">
        <v>53</v>
      </c>
      <c r="K2090" t="s">
        <v>164</v>
      </c>
      <c r="L2090" s="6">
        <v>43617</v>
      </c>
      <c r="M2090">
        <v>6</v>
      </c>
      <c r="N2090" s="7" t="s">
        <v>55</v>
      </c>
      <c r="O2090" t="s">
        <v>31</v>
      </c>
      <c r="P2090" t="s">
        <v>3461</v>
      </c>
      <c r="Q2090" t="s">
        <v>3462</v>
      </c>
      <c r="R2090" t="s">
        <v>3393</v>
      </c>
    </row>
    <row r="2091" spans="1:18" hidden="1">
      <c r="A2091">
        <v>4</v>
      </c>
      <c r="B2091" s="4" t="s">
        <v>3127</v>
      </c>
      <c r="C2091" s="4" t="s">
        <v>3374</v>
      </c>
      <c r="D2091" s="4" t="s">
        <v>3375</v>
      </c>
      <c r="E2091" s="4" t="s">
        <v>5804</v>
      </c>
      <c r="F2091" t="s">
        <v>519</v>
      </c>
      <c r="G2091" t="s">
        <v>519</v>
      </c>
      <c r="H2091" t="s">
        <v>53</v>
      </c>
      <c r="I2091" t="s">
        <v>53</v>
      </c>
      <c r="J2091" s="5" t="s">
        <v>53</v>
      </c>
      <c r="K2091" t="s">
        <v>365</v>
      </c>
      <c r="L2091" s="6">
        <v>44105</v>
      </c>
      <c r="M2091">
        <v>10</v>
      </c>
      <c r="N2091" s="7" t="s">
        <v>23</v>
      </c>
      <c r="O2091" t="s">
        <v>31</v>
      </c>
      <c r="P2091" t="s">
        <v>3494</v>
      </c>
      <c r="Q2091" t="s">
        <v>3410</v>
      </c>
      <c r="R2091" t="s">
        <v>3411</v>
      </c>
    </row>
    <row r="2092" spans="1:18" hidden="1">
      <c r="A2092">
        <v>4</v>
      </c>
      <c r="B2092" s="4" t="s">
        <v>3127</v>
      </c>
      <c r="C2092" s="4" t="s">
        <v>3506</v>
      </c>
      <c r="D2092" s="4" t="s">
        <v>3507</v>
      </c>
      <c r="E2092" s="4" t="s">
        <v>5804</v>
      </c>
      <c r="F2092" t="s">
        <v>519</v>
      </c>
      <c r="G2092" t="s">
        <v>519</v>
      </c>
      <c r="H2092" t="s">
        <v>53</v>
      </c>
      <c r="I2092" t="s">
        <v>53</v>
      </c>
      <c r="J2092" s="5" t="s">
        <v>53</v>
      </c>
      <c r="K2092" t="s">
        <v>175</v>
      </c>
      <c r="L2092" s="6">
        <v>44166</v>
      </c>
      <c r="M2092">
        <v>12</v>
      </c>
      <c r="N2092" s="7" t="s">
        <v>30</v>
      </c>
      <c r="O2092" t="s">
        <v>31</v>
      </c>
      <c r="P2092" t="s">
        <v>3531</v>
      </c>
      <c r="Q2092" t="s">
        <v>3532</v>
      </c>
      <c r="R2092" t="s">
        <v>3533</v>
      </c>
    </row>
    <row r="2093" spans="1:18" hidden="1">
      <c r="A2093">
        <v>4</v>
      </c>
      <c r="B2093" s="4" t="s">
        <v>3127</v>
      </c>
      <c r="C2093" s="4" t="s">
        <v>3506</v>
      </c>
      <c r="D2093" s="4" t="s">
        <v>3572</v>
      </c>
      <c r="E2093" s="4" t="s">
        <v>5804</v>
      </c>
      <c r="F2093" t="s">
        <v>519</v>
      </c>
      <c r="G2093" t="s">
        <v>519</v>
      </c>
      <c r="H2093" t="s">
        <v>53</v>
      </c>
      <c r="I2093" t="s">
        <v>53</v>
      </c>
      <c r="J2093" s="5" t="s">
        <v>53</v>
      </c>
      <c r="K2093" t="s">
        <v>255</v>
      </c>
      <c r="L2093" s="6">
        <v>43983</v>
      </c>
      <c r="M2093">
        <v>6</v>
      </c>
      <c r="N2093" s="7" t="s">
        <v>55</v>
      </c>
      <c r="O2093" t="s">
        <v>31</v>
      </c>
      <c r="P2093" t="s">
        <v>3596</v>
      </c>
      <c r="Q2093" t="s">
        <v>3532</v>
      </c>
      <c r="R2093" t="s">
        <v>3533</v>
      </c>
    </row>
    <row r="2094" spans="1:18" hidden="1">
      <c r="A2094">
        <v>4</v>
      </c>
      <c r="B2094" s="4" t="s">
        <v>3127</v>
      </c>
      <c r="C2094" s="4" t="s">
        <v>3597</v>
      </c>
      <c r="D2094" s="4" t="s">
        <v>3617</v>
      </c>
      <c r="E2094" s="4" t="s">
        <v>5804</v>
      </c>
      <c r="F2094" t="s">
        <v>519</v>
      </c>
      <c r="G2094" t="s">
        <v>519</v>
      </c>
      <c r="H2094" t="s">
        <v>53</v>
      </c>
      <c r="I2094" t="s">
        <v>53</v>
      </c>
      <c r="J2094" s="5" t="s">
        <v>53</v>
      </c>
      <c r="K2094" t="s">
        <v>220</v>
      </c>
      <c r="L2094" s="6">
        <v>42644</v>
      </c>
      <c r="M2094">
        <v>10</v>
      </c>
      <c r="N2094" s="7" t="s">
        <v>23</v>
      </c>
      <c r="O2094" t="s">
        <v>31</v>
      </c>
      <c r="P2094" t="s">
        <v>3620</v>
      </c>
      <c r="Q2094" t="s">
        <v>3621</v>
      </c>
      <c r="R2094" t="s">
        <v>3154</v>
      </c>
    </row>
    <row r="2095" spans="1:18" hidden="1">
      <c r="A2095">
        <v>4</v>
      </c>
      <c r="B2095" s="4" t="s">
        <v>3127</v>
      </c>
      <c r="C2095" s="4" t="s">
        <v>3597</v>
      </c>
      <c r="D2095" s="4" t="s">
        <v>3660</v>
      </c>
      <c r="E2095" s="4" t="s">
        <v>5804</v>
      </c>
      <c r="F2095" t="s">
        <v>519</v>
      </c>
      <c r="G2095" t="s">
        <v>519</v>
      </c>
      <c r="H2095" t="s">
        <v>53</v>
      </c>
      <c r="I2095" t="s">
        <v>53</v>
      </c>
      <c r="J2095" s="5" t="s">
        <v>53</v>
      </c>
      <c r="K2095" t="s">
        <v>726</v>
      </c>
      <c r="L2095" s="6">
        <v>43709</v>
      </c>
      <c r="M2095">
        <v>9</v>
      </c>
      <c r="N2095" s="7" t="s">
        <v>23</v>
      </c>
      <c r="O2095" t="s">
        <v>31</v>
      </c>
      <c r="P2095" t="s">
        <v>3740</v>
      </c>
      <c r="Q2095" t="s">
        <v>3741</v>
      </c>
      <c r="R2095" t="s">
        <v>3681</v>
      </c>
    </row>
    <row r="2096" spans="1:18" hidden="1">
      <c r="A2096">
        <v>4</v>
      </c>
      <c r="B2096" s="4" t="s">
        <v>3127</v>
      </c>
      <c r="C2096" s="4" t="s">
        <v>3597</v>
      </c>
      <c r="D2096" s="4" t="s">
        <v>3660</v>
      </c>
      <c r="E2096" s="4" t="s">
        <v>5804</v>
      </c>
      <c r="F2096" t="s">
        <v>519</v>
      </c>
      <c r="G2096" t="s">
        <v>519</v>
      </c>
      <c r="H2096" t="s">
        <v>53</v>
      </c>
      <c r="I2096" t="s">
        <v>53</v>
      </c>
      <c r="J2096" s="5" t="s">
        <v>53</v>
      </c>
      <c r="K2096" t="s">
        <v>357</v>
      </c>
      <c r="L2096" s="6">
        <v>43739</v>
      </c>
      <c r="M2096">
        <v>10</v>
      </c>
      <c r="N2096" s="7" t="s">
        <v>23</v>
      </c>
      <c r="O2096" t="s">
        <v>31</v>
      </c>
      <c r="P2096" t="s">
        <v>3745</v>
      </c>
      <c r="Q2096" t="s">
        <v>3746</v>
      </c>
      <c r="R2096" t="s">
        <v>3681</v>
      </c>
    </row>
    <row r="2097" spans="1:18" hidden="1">
      <c r="A2097">
        <v>4</v>
      </c>
      <c r="B2097" s="4" t="s">
        <v>3127</v>
      </c>
      <c r="C2097" s="4" t="s">
        <v>3597</v>
      </c>
      <c r="D2097" s="4" t="s">
        <v>3660</v>
      </c>
      <c r="E2097" s="4" t="s">
        <v>5804</v>
      </c>
      <c r="F2097" t="s">
        <v>519</v>
      </c>
      <c r="G2097" t="s">
        <v>519</v>
      </c>
      <c r="H2097" t="s">
        <v>53</v>
      </c>
      <c r="I2097" t="s">
        <v>53</v>
      </c>
      <c r="J2097" s="5" t="s">
        <v>53</v>
      </c>
      <c r="K2097" t="s">
        <v>102</v>
      </c>
      <c r="L2097" s="6">
        <v>44287</v>
      </c>
      <c r="M2097">
        <v>4</v>
      </c>
      <c r="N2097" s="7" t="s">
        <v>23</v>
      </c>
      <c r="O2097" t="s">
        <v>31</v>
      </c>
      <c r="P2097" t="s">
        <v>3779</v>
      </c>
      <c r="Q2097" t="s">
        <v>3780</v>
      </c>
      <c r="R2097" t="s">
        <v>3681</v>
      </c>
    </row>
    <row r="2098" spans="1:18" hidden="1">
      <c r="A2098">
        <v>4</v>
      </c>
      <c r="B2098" s="4" t="s">
        <v>3127</v>
      </c>
      <c r="C2098" s="4" t="s">
        <v>3789</v>
      </c>
      <c r="D2098" s="4" t="s">
        <v>3815</v>
      </c>
      <c r="E2098" s="4" t="s">
        <v>5804</v>
      </c>
      <c r="F2098" t="s">
        <v>519</v>
      </c>
      <c r="G2098" t="s">
        <v>519</v>
      </c>
      <c r="H2098" t="s">
        <v>53</v>
      </c>
      <c r="I2098" t="s">
        <v>53</v>
      </c>
      <c r="J2098" s="5" t="s">
        <v>53</v>
      </c>
      <c r="K2098" t="s">
        <v>382</v>
      </c>
      <c r="L2098" s="6">
        <v>42401</v>
      </c>
      <c r="M2098">
        <v>2</v>
      </c>
      <c r="N2098" s="7" t="s">
        <v>30</v>
      </c>
      <c r="O2098" t="s">
        <v>31</v>
      </c>
      <c r="P2098" t="s">
        <v>3823</v>
      </c>
      <c r="Q2098" t="s">
        <v>3389</v>
      </c>
      <c r="R2098" t="s">
        <v>3824</v>
      </c>
    </row>
    <row r="2099" spans="1:18" hidden="1">
      <c r="A2099">
        <v>4</v>
      </c>
      <c r="B2099" s="4" t="s">
        <v>3127</v>
      </c>
      <c r="C2099" s="4" t="s">
        <v>3789</v>
      </c>
      <c r="D2099" s="4" t="s">
        <v>3815</v>
      </c>
      <c r="E2099" s="4" t="s">
        <v>5804</v>
      </c>
      <c r="F2099" t="s">
        <v>519</v>
      </c>
      <c r="G2099" t="s">
        <v>519</v>
      </c>
      <c r="H2099" t="s">
        <v>53</v>
      </c>
      <c r="I2099" t="s">
        <v>53</v>
      </c>
      <c r="J2099" s="5" t="s">
        <v>53</v>
      </c>
      <c r="K2099" t="s">
        <v>382</v>
      </c>
      <c r="L2099" s="6">
        <v>42401</v>
      </c>
      <c r="M2099">
        <v>2</v>
      </c>
      <c r="N2099" s="7" t="s">
        <v>30</v>
      </c>
      <c r="O2099" t="s">
        <v>31</v>
      </c>
      <c r="P2099" t="s">
        <v>3825</v>
      </c>
      <c r="Q2099" t="s">
        <v>3826</v>
      </c>
      <c r="R2099" t="s">
        <v>3827</v>
      </c>
    </row>
    <row r="2100" spans="1:18" hidden="1">
      <c r="A2100">
        <v>4</v>
      </c>
      <c r="B2100" s="4" t="s">
        <v>3127</v>
      </c>
      <c r="C2100" s="4" t="s">
        <v>3789</v>
      </c>
      <c r="D2100" s="4" t="s">
        <v>3815</v>
      </c>
      <c r="E2100" s="4" t="s">
        <v>5804</v>
      </c>
      <c r="F2100" t="s">
        <v>519</v>
      </c>
      <c r="G2100" t="s">
        <v>519</v>
      </c>
      <c r="H2100" t="s">
        <v>53</v>
      </c>
      <c r="I2100" t="s">
        <v>53</v>
      </c>
      <c r="J2100" s="5" t="s">
        <v>53</v>
      </c>
      <c r="K2100" t="s">
        <v>119</v>
      </c>
      <c r="L2100" s="6">
        <v>42552</v>
      </c>
      <c r="M2100">
        <v>7</v>
      </c>
      <c r="N2100" s="7" t="s">
        <v>55</v>
      </c>
      <c r="O2100" t="s">
        <v>31</v>
      </c>
      <c r="P2100" t="s">
        <v>3831</v>
      </c>
      <c r="Q2100" t="s">
        <v>3832</v>
      </c>
      <c r="R2100" t="s">
        <v>3833</v>
      </c>
    </row>
    <row r="2101" spans="1:18" hidden="1">
      <c r="A2101">
        <v>4</v>
      </c>
      <c r="B2101" s="4" t="s">
        <v>3127</v>
      </c>
      <c r="C2101" s="4" t="s">
        <v>3789</v>
      </c>
      <c r="D2101" s="4" t="s">
        <v>3815</v>
      </c>
      <c r="E2101" s="4" t="s">
        <v>5804</v>
      </c>
      <c r="F2101" t="s">
        <v>519</v>
      </c>
      <c r="G2101" t="s">
        <v>519</v>
      </c>
      <c r="H2101" t="s">
        <v>53</v>
      </c>
      <c r="I2101" t="s">
        <v>53</v>
      </c>
      <c r="J2101" s="5" t="s">
        <v>53</v>
      </c>
      <c r="K2101" t="s">
        <v>422</v>
      </c>
      <c r="L2101" s="6">
        <v>42736</v>
      </c>
      <c r="M2101">
        <v>1</v>
      </c>
      <c r="N2101" s="7" t="s">
        <v>30</v>
      </c>
      <c r="O2101" t="s">
        <v>31</v>
      </c>
      <c r="P2101" t="s">
        <v>3849</v>
      </c>
      <c r="Q2101" t="s">
        <v>3850</v>
      </c>
      <c r="R2101" t="s">
        <v>3824</v>
      </c>
    </row>
    <row r="2102" spans="1:18" hidden="1">
      <c r="A2102">
        <v>4</v>
      </c>
      <c r="B2102" s="4" t="s">
        <v>3127</v>
      </c>
      <c r="C2102" s="4" t="s">
        <v>3939</v>
      </c>
      <c r="D2102" s="4" t="s">
        <v>3958</v>
      </c>
      <c r="E2102" s="4" t="s">
        <v>5804</v>
      </c>
      <c r="F2102" t="s">
        <v>519</v>
      </c>
      <c r="G2102" t="s">
        <v>519</v>
      </c>
      <c r="H2102" t="s">
        <v>53</v>
      </c>
      <c r="I2102" t="s">
        <v>53</v>
      </c>
      <c r="J2102" s="5" t="s">
        <v>53</v>
      </c>
      <c r="K2102" t="s">
        <v>422</v>
      </c>
      <c r="L2102" s="6">
        <v>42736</v>
      </c>
      <c r="M2102">
        <v>1</v>
      </c>
      <c r="N2102" s="7" t="s">
        <v>30</v>
      </c>
      <c r="O2102" t="s">
        <v>31</v>
      </c>
      <c r="P2102" t="s">
        <v>3973</v>
      </c>
      <c r="Q2102" t="s">
        <v>3974</v>
      </c>
      <c r="R2102" t="s">
        <v>3975</v>
      </c>
    </row>
    <row r="2103" spans="1:18" hidden="1">
      <c r="A2103">
        <v>4</v>
      </c>
      <c r="B2103" s="4" t="s">
        <v>3127</v>
      </c>
      <c r="C2103" s="4" t="s">
        <v>4035</v>
      </c>
      <c r="D2103" s="4" t="s">
        <v>4080</v>
      </c>
      <c r="E2103" s="4" t="s">
        <v>5804</v>
      </c>
      <c r="F2103" t="s">
        <v>519</v>
      </c>
      <c r="G2103" t="s">
        <v>519</v>
      </c>
      <c r="H2103" t="s">
        <v>53</v>
      </c>
      <c r="I2103" t="s">
        <v>53</v>
      </c>
      <c r="J2103" s="5" t="s">
        <v>53</v>
      </c>
      <c r="K2103" t="s">
        <v>115</v>
      </c>
      <c r="L2103" s="6">
        <v>42461</v>
      </c>
      <c r="M2103">
        <v>4</v>
      </c>
      <c r="N2103" s="7" t="s">
        <v>23</v>
      </c>
      <c r="O2103" t="s">
        <v>31</v>
      </c>
      <c r="P2103" t="s">
        <v>4089</v>
      </c>
      <c r="Q2103" t="s">
        <v>4090</v>
      </c>
      <c r="R2103" t="s">
        <v>4091</v>
      </c>
    </row>
    <row r="2104" spans="1:18" hidden="1">
      <c r="A2104">
        <v>4</v>
      </c>
      <c r="B2104" s="4" t="s">
        <v>3127</v>
      </c>
      <c r="C2104" s="4" t="s">
        <v>4035</v>
      </c>
      <c r="D2104" s="4" t="s">
        <v>4080</v>
      </c>
      <c r="E2104" s="4" t="s">
        <v>5804</v>
      </c>
      <c r="F2104" t="s">
        <v>519</v>
      </c>
      <c r="G2104" t="s">
        <v>519</v>
      </c>
      <c r="H2104" t="s">
        <v>53</v>
      </c>
      <c r="I2104" t="s">
        <v>53</v>
      </c>
      <c r="J2104" s="5" t="s">
        <v>53</v>
      </c>
      <c r="K2104" t="s">
        <v>753</v>
      </c>
      <c r="L2104" s="6">
        <v>44348</v>
      </c>
      <c r="M2104">
        <v>6</v>
      </c>
      <c r="N2104" s="7" t="s">
        <v>55</v>
      </c>
      <c r="O2104" t="s">
        <v>31</v>
      </c>
      <c r="P2104" t="s">
        <v>4201</v>
      </c>
      <c r="Q2104" t="s">
        <v>4202</v>
      </c>
      <c r="R2104" t="s">
        <v>4091</v>
      </c>
    </row>
    <row r="2105" spans="1:18" hidden="1">
      <c r="A2105">
        <v>4</v>
      </c>
      <c r="B2105" s="4" t="s">
        <v>3127</v>
      </c>
      <c r="C2105" s="4" t="s">
        <v>4035</v>
      </c>
      <c r="D2105" s="4" t="s">
        <v>4080</v>
      </c>
      <c r="E2105" s="4" t="s">
        <v>5804</v>
      </c>
      <c r="F2105" t="s">
        <v>519</v>
      </c>
      <c r="G2105" t="s">
        <v>519</v>
      </c>
      <c r="H2105" t="s">
        <v>53</v>
      </c>
      <c r="I2105" t="s">
        <v>53</v>
      </c>
      <c r="J2105" s="5" t="s">
        <v>53</v>
      </c>
      <c r="K2105" t="s">
        <v>645</v>
      </c>
      <c r="L2105" s="6">
        <v>44440</v>
      </c>
      <c r="M2105">
        <v>9</v>
      </c>
      <c r="N2105" s="7" t="s">
        <v>23</v>
      </c>
      <c r="O2105" t="s">
        <v>31</v>
      </c>
      <c r="P2105" t="s">
        <v>4203</v>
      </c>
      <c r="Q2105" t="s">
        <v>4204</v>
      </c>
      <c r="R2105" t="s">
        <v>4091</v>
      </c>
    </row>
    <row r="2106" spans="1:18" hidden="1">
      <c r="A2106">
        <v>4</v>
      </c>
      <c r="B2106" s="4" t="s">
        <v>3127</v>
      </c>
      <c r="C2106" s="4" t="s">
        <v>4207</v>
      </c>
      <c r="D2106" s="4" t="s">
        <v>4208</v>
      </c>
      <c r="E2106" s="4" t="s">
        <v>5804</v>
      </c>
      <c r="F2106" t="s">
        <v>519</v>
      </c>
      <c r="G2106" t="s">
        <v>519</v>
      </c>
      <c r="H2106" t="s">
        <v>53</v>
      </c>
      <c r="I2106" t="s">
        <v>53</v>
      </c>
      <c r="J2106" s="5" t="s">
        <v>53</v>
      </c>
      <c r="K2106" t="s">
        <v>245</v>
      </c>
      <c r="L2106" s="6">
        <v>43466</v>
      </c>
      <c r="M2106">
        <v>1</v>
      </c>
      <c r="N2106" s="7" t="s">
        <v>30</v>
      </c>
      <c r="O2106" t="s">
        <v>31</v>
      </c>
      <c r="P2106" t="s">
        <v>4236</v>
      </c>
      <c r="Q2106" t="s">
        <v>1588</v>
      </c>
      <c r="R2106" t="s">
        <v>1589</v>
      </c>
    </row>
    <row r="2107" spans="1:18" hidden="1">
      <c r="A2107">
        <v>4</v>
      </c>
      <c r="B2107" s="4" t="s">
        <v>3127</v>
      </c>
      <c r="C2107" s="4" t="s">
        <v>4207</v>
      </c>
      <c r="D2107" s="4" t="s">
        <v>4257</v>
      </c>
      <c r="E2107" s="4" t="s">
        <v>5804</v>
      </c>
      <c r="F2107" t="s">
        <v>519</v>
      </c>
      <c r="G2107" t="s">
        <v>519</v>
      </c>
      <c r="H2107" t="s">
        <v>53</v>
      </c>
      <c r="I2107" t="s">
        <v>53</v>
      </c>
      <c r="J2107" s="5" t="s">
        <v>53</v>
      </c>
      <c r="K2107" t="s">
        <v>65</v>
      </c>
      <c r="L2107" s="6">
        <v>42430</v>
      </c>
      <c r="M2107">
        <v>3</v>
      </c>
      <c r="N2107" s="7" t="s">
        <v>23</v>
      </c>
      <c r="O2107" t="s">
        <v>31</v>
      </c>
      <c r="P2107" t="s">
        <v>4274</v>
      </c>
      <c r="Q2107" t="s">
        <v>4275</v>
      </c>
      <c r="R2107" t="s">
        <v>4211</v>
      </c>
    </row>
    <row r="2108" spans="1:18" hidden="1">
      <c r="A2108">
        <v>4</v>
      </c>
      <c r="B2108" s="4" t="s">
        <v>3127</v>
      </c>
      <c r="C2108" s="4" t="s">
        <v>4207</v>
      </c>
      <c r="D2108" s="4" t="s">
        <v>4257</v>
      </c>
      <c r="E2108" s="4" t="s">
        <v>5804</v>
      </c>
      <c r="F2108" t="s">
        <v>519</v>
      </c>
      <c r="G2108" t="s">
        <v>519</v>
      </c>
      <c r="H2108" t="s">
        <v>53</v>
      </c>
      <c r="I2108" t="s">
        <v>53</v>
      </c>
      <c r="J2108" s="5" t="s">
        <v>53</v>
      </c>
      <c r="K2108" t="s">
        <v>477</v>
      </c>
      <c r="L2108" s="6">
        <v>42705</v>
      </c>
      <c r="M2108">
        <v>12</v>
      </c>
      <c r="N2108" s="7" t="s">
        <v>30</v>
      </c>
      <c r="O2108" t="s">
        <v>31</v>
      </c>
      <c r="P2108" t="s">
        <v>4330</v>
      </c>
      <c r="Q2108" t="s">
        <v>4331</v>
      </c>
      <c r="R2108" t="s">
        <v>4211</v>
      </c>
    </row>
    <row r="2109" spans="1:18" hidden="1">
      <c r="A2109">
        <v>4</v>
      </c>
      <c r="B2109" s="4" t="s">
        <v>3127</v>
      </c>
      <c r="C2109" s="4" t="s">
        <v>4207</v>
      </c>
      <c r="D2109" s="4" t="s">
        <v>4257</v>
      </c>
      <c r="E2109" s="4" t="s">
        <v>5804</v>
      </c>
      <c r="F2109" t="s">
        <v>519</v>
      </c>
      <c r="G2109" t="s">
        <v>519</v>
      </c>
      <c r="H2109" t="s">
        <v>53</v>
      </c>
      <c r="I2109" t="s">
        <v>53</v>
      </c>
      <c r="J2109" s="5" t="s">
        <v>53</v>
      </c>
      <c r="K2109" t="s">
        <v>128</v>
      </c>
      <c r="L2109" s="6">
        <v>42795</v>
      </c>
      <c r="M2109">
        <v>3</v>
      </c>
      <c r="N2109" s="7" t="s">
        <v>23</v>
      </c>
      <c r="O2109" t="s">
        <v>31</v>
      </c>
      <c r="P2109" t="s">
        <v>4344</v>
      </c>
      <c r="Q2109" t="s">
        <v>4275</v>
      </c>
      <c r="R2109" t="s">
        <v>4211</v>
      </c>
    </row>
    <row r="2110" spans="1:18" hidden="1">
      <c r="A2110">
        <v>4</v>
      </c>
      <c r="B2110" s="4" t="s">
        <v>3127</v>
      </c>
      <c r="C2110" s="4" t="s">
        <v>4207</v>
      </c>
      <c r="D2110" s="4" t="s">
        <v>4257</v>
      </c>
      <c r="E2110" s="4" t="s">
        <v>5804</v>
      </c>
      <c r="F2110" t="s">
        <v>519</v>
      </c>
      <c r="G2110" t="s">
        <v>519</v>
      </c>
      <c r="H2110" t="s">
        <v>53</v>
      </c>
      <c r="I2110" t="s">
        <v>53</v>
      </c>
      <c r="J2110" s="5" t="s">
        <v>53</v>
      </c>
      <c r="K2110" t="s">
        <v>93</v>
      </c>
      <c r="L2110" s="6">
        <v>43282</v>
      </c>
      <c r="M2110">
        <v>7</v>
      </c>
      <c r="N2110" s="7" t="s">
        <v>55</v>
      </c>
      <c r="O2110" t="s">
        <v>31</v>
      </c>
      <c r="P2110" t="s">
        <v>4400</v>
      </c>
      <c r="Q2110" t="s">
        <v>4210</v>
      </c>
      <c r="R2110" t="s">
        <v>4211</v>
      </c>
    </row>
    <row r="2111" spans="1:18" hidden="1">
      <c r="A2111">
        <v>4</v>
      </c>
      <c r="B2111" s="4" t="s">
        <v>3127</v>
      </c>
      <c r="C2111" s="4" t="s">
        <v>4207</v>
      </c>
      <c r="D2111" s="4" t="s">
        <v>4257</v>
      </c>
      <c r="E2111" s="4" t="s">
        <v>5804</v>
      </c>
      <c r="F2111" t="s">
        <v>519</v>
      </c>
      <c r="G2111" t="s">
        <v>519</v>
      </c>
      <c r="H2111" t="s">
        <v>53</v>
      </c>
      <c r="I2111" t="s">
        <v>53</v>
      </c>
      <c r="J2111" s="5" t="s">
        <v>53</v>
      </c>
      <c r="K2111" t="s">
        <v>691</v>
      </c>
      <c r="L2111" s="6">
        <v>43770</v>
      </c>
      <c r="M2111">
        <v>11</v>
      </c>
      <c r="N2111" s="7" t="s">
        <v>23</v>
      </c>
      <c r="O2111" t="s">
        <v>31</v>
      </c>
      <c r="P2111" t="s">
        <v>4495</v>
      </c>
      <c r="Q2111" t="s">
        <v>4496</v>
      </c>
      <c r="R2111" t="s">
        <v>4497</v>
      </c>
    </row>
    <row r="2112" spans="1:18" hidden="1">
      <c r="A2112">
        <v>4</v>
      </c>
      <c r="B2112" s="4" t="s">
        <v>3127</v>
      </c>
      <c r="C2112" s="4" t="s">
        <v>4207</v>
      </c>
      <c r="D2112" s="4" t="s">
        <v>4257</v>
      </c>
      <c r="E2112" s="4" t="s">
        <v>5804</v>
      </c>
      <c r="F2112" t="s">
        <v>519</v>
      </c>
      <c r="G2112" t="s">
        <v>519</v>
      </c>
      <c r="H2112" t="s">
        <v>53</v>
      </c>
      <c r="I2112" t="s">
        <v>53</v>
      </c>
      <c r="J2112" s="5" t="s">
        <v>53</v>
      </c>
      <c r="K2112" t="s">
        <v>1085</v>
      </c>
      <c r="L2112" s="6">
        <v>43862</v>
      </c>
      <c r="M2112">
        <v>2</v>
      </c>
      <c r="N2112" s="7" t="s">
        <v>30</v>
      </c>
      <c r="O2112" t="s">
        <v>31</v>
      </c>
      <c r="P2112" t="s">
        <v>4513</v>
      </c>
      <c r="Q2112" t="s">
        <v>4514</v>
      </c>
      <c r="R2112" t="s">
        <v>4211</v>
      </c>
    </row>
    <row r="2113" spans="1:18" hidden="1">
      <c r="A2113">
        <v>4</v>
      </c>
      <c r="B2113" s="4" t="s">
        <v>3127</v>
      </c>
      <c r="C2113" s="4" t="s">
        <v>4207</v>
      </c>
      <c r="D2113" s="4" t="s">
        <v>4257</v>
      </c>
      <c r="E2113" s="4" t="s">
        <v>5804</v>
      </c>
      <c r="F2113" t="s">
        <v>519</v>
      </c>
      <c r="G2113" t="s">
        <v>519</v>
      </c>
      <c r="H2113" t="s">
        <v>53</v>
      </c>
      <c r="I2113" t="s">
        <v>53</v>
      </c>
      <c r="J2113" s="5" t="s">
        <v>53</v>
      </c>
      <c r="K2113" t="s">
        <v>547</v>
      </c>
      <c r="L2113" s="6">
        <v>44075</v>
      </c>
      <c r="M2113">
        <v>9</v>
      </c>
      <c r="N2113" s="7" t="s">
        <v>23</v>
      </c>
      <c r="O2113" t="s">
        <v>31</v>
      </c>
      <c r="P2113" t="s">
        <v>4551</v>
      </c>
      <c r="Q2113" t="s">
        <v>4552</v>
      </c>
      <c r="R2113" t="s">
        <v>4211</v>
      </c>
    </row>
    <row r="2114" spans="1:18" hidden="1">
      <c r="A2114">
        <v>5</v>
      </c>
      <c r="B2114" s="4" t="s">
        <v>4600</v>
      </c>
      <c r="C2114" s="4" t="s">
        <v>4601</v>
      </c>
      <c r="D2114" s="4" t="s">
        <v>4748</v>
      </c>
      <c r="E2114" s="4" t="s">
        <v>5804</v>
      </c>
      <c r="F2114" t="s">
        <v>519</v>
      </c>
      <c r="G2114" t="s">
        <v>519</v>
      </c>
      <c r="H2114" t="s">
        <v>53</v>
      </c>
      <c r="I2114" t="s">
        <v>53</v>
      </c>
      <c r="J2114" s="5" t="s">
        <v>53</v>
      </c>
      <c r="K2114" t="s">
        <v>365</v>
      </c>
      <c r="L2114" s="6">
        <v>44105</v>
      </c>
      <c r="M2114">
        <v>10</v>
      </c>
      <c r="N2114" s="7" t="s">
        <v>23</v>
      </c>
      <c r="O2114" t="s">
        <v>31</v>
      </c>
      <c r="P2114" t="s">
        <v>4835</v>
      </c>
      <c r="Q2114" t="s">
        <v>4836</v>
      </c>
      <c r="R2114" t="s">
        <v>4837</v>
      </c>
    </row>
    <row r="2115" spans="1:18" hidden="1">
      <c r="A2115">
        <v>5</v>
      </c>
      <c r="B2115" s="4" t="s">
        <v>4600</v>
      </c>
      <c r="C2115" s="4" t="s">
        <v>4933</v>
      </c>
      <c r="D2115" s="4" t="s">
        <v>5014</v>
      </c>
      <c r="E2115" s="4" t="s">
        <v>5804</v>
      </c>
      <c r="F2115" t="s">
        <v>519</v>
      </c>
      <c r="G2115" t="s">
        <v>519</v>
      </c>
      <c r="H2115" t="s">
        <v>53</v>
      </c>
      <c r="I2115" t="s">
        <v>53</v>
      </c>
      <c r="J2115" s="5" t="s">
        <v>53</v>
      </c>
      <c r="K2115" t="s">
        <v>168</v>
      </c>
      <c r="L2115" s="6">
        <v>43678</v>
      </c>
      <c r="M2115">
        <v>8</v>
      </c>
      <c r="N2115" s="7" t="s">
        <v>55</v>
      </c>
      <c r="O2115" t="s">
        <v>31</v>
      </c>
      <c r="P2115" t="s">
        <v>5281</v>
      </c>
      <c r="Q2115" t="s">
        <v>5282</v>
      </c>
      <c r="R2115" t="s">
        <v>5283</v>
      </c>
    </row>
    <row r="2116" spans="1:18" hidden="1">
      <c r="A2116">
        <v>6</v>
      </c>
      <c r="B2116" s="4" t="s">
        <v>5462</v>
      </c>
      <c r="C2116" s="4" t="s">
        <v>5463</v>
      </c>
      <c r="D2116" s="4" t="s">
        <v>5464</v>
      </c>
      <c r="E2116" s="4" t="s">
        <v>5804</v>
      </c>
      <c r="F2116" t="s">
        <v>519</v>
      </c>
      <c r="G2116" t="s">
        <v>519</v>
      </c>
      <c r="H2116" t="s">
        <v>53</v>
      </c>
      <c r="I2116" t="s">
        <v>53</v>
      </c>
      <c r="J2116" s="5" t="s">
        <v>53</v>
      </c>
      <c r="K2116" t="s">
        <v>71</v>
      </c>
      <c r="L2116" s="6">
        <v>42522</v>
      </c>
      <c r="M2116">
        <v>6</v>
      </c>
      <c r="N2116" s="7" t="s">
        <v>55</v>
      </c>
      <c r="O2116" t="s">
        <v>31</v>
      </c>
      <c r="P2116" t="s">
        <v>5465</v>
      </c>
      <c r="Q2116" t="s">
        <v>5466</v>
      </c>
      <c r="R2116" t="s">
        <v>5467</v>
      </c>
    </row>
    <row r="2117" spans="1:18" hidden="1">
      <c r="A2117">
        <v>1</v>
      </c>
      <c r="B2117" s="4" t="s">
        <v>16</v>
      </c>
      <c r="C2117" s="4" t="s">
        <v>17</v>
      </c>
      <c r="D2117" s="4" t="s">
        <v>47</v>
      </c>
      <c r="E2117" s="4" t="s">
        <v>5804</v>
      </c>
      <c r="F2117" t="s">
        <v>108</v>
      </c>
      <c r="G2117" t="s">
        <v>108</v>
      </c>
      <c r="H2117" t="s">
        <v>53</v>
      </c>
      <c r="I2117" t="s">
        <v>53</v>
      </c>
      <c r="J2117" s="5" t="s">
        <v>53</v>
      </c>
      <c r="K2117" t="s">
        <v>109</v>
      </c>
      <c r="L2117" s="6">
        <v>44531</v>
      </c>
      <c r="M2117">
        <v>12</v>
      </c>
      <c r="N2117" s="7" t="s">
        <v>30</v>
      </c>
      <c r="O2117" t="s">
        <v>24</v>
      </c>
      <c r="P2117" t="s">
        <v>110</v>
      </c>
      <c r="Q2117" t="s">
        <v>111</v>
      </c>
      <c r="R2117" t="s">
        <v>112</v>
      </c>
    </row>
    <row r="2118" spans="1:18" hidden="1">
      <c r="A2118">
        <v>1</v>
      </c>
      <c r="B2118" s="4" t="s">
        <v>16</v>
      </c>
      <c r="C2118" s="4" t="s">
        <v>188</v>
      </c>
      <c r="D2118" s="4" t="s">
        <v>272</v>
      </c>
      <c r="E2118" s="4" t="s">
        <v>5804</v>
      </c>
      <c r="F2118" t="s">
        <v>108</v>
      </c>
      <c r="G2118" t="s">
        <v>108</v>
      </c>
      <c r="H2118" t="s">
        <v>53</v>
      </c>
      <c r="I2118" t="s">
        <v>53</v>
      </c>
      <c r="J2118" s="5" t="s">
        <v>53</v>
      </c>
      <c r="K2118" t="s">
        <v>124</v>
      </c>
      <c r="L2118" s="6">
        <v>42767</v>
      </c>
      <c r="M2118">
        <v>2</v>
      </c>
      <c r="N2118" s="7" t="s">
        <v>30</v>
      </c>
      <c r="O2118" t="s">
        <v>24</v>
      </c>
      <c r="P2118" t="s">
        <v>280</v>
      </c>
      <c r="Q2118" t="s">
        <v>281</v>
      </c>
      <c r="R2118" t="s">
        <v>282</v>
      </c>
    </row>
    <row r="2119" spans="1:18" hidden="1">
      <c r="A2119">
        <v>1</v>
      </c>
      <c r="B2119" s="4" t="s">
        <v>16</v>
      </c>
      <c r="C2119" s="4" t="s">
        <v>462</v>
      </c>
      <c r="D2119" s="4" t="s">
        <v>463</v>
      </c>
      <c r="E2119" s="4" t="s">
        <v>5804</v>
      </c>
      <c r="F2119" t="s">
        <v>108</v>
      </c>
      <c r="G2119" t="s">
        <v>108</v>
      </c>
      <c r="H2119" t="s">
        <v>53</v>
      </c>
      <c r="I2119" t="s">
        <v>53</v>
      </c>
      <c r="J2119" s="5" t="s">
        <v>53</v>
      </c>
      <c r="K2119" t="s">
        <v>104</v>
      </c>
      <c r="L2119" s="6">
        <v>44317</v>
      </c>
      <c r="M2119">
        <v>5</v>
      </c>
      <c r="N2119" s="7" t="s">
        <v>23</v>
      </c>
      <c r="O2119" t="s">
        <v>36</v>
      </c>
      <c r="P2119" t="s">
        <v>473</v>
      </c>
      <c r="Q2119" t="s">
        <v>474</v>
      </c>
      <c r="R2119" t="s">
        <v>475</v>
      </c>
    </row>
    <row r="2120" spans="1:18" hidden="1">
      <c r="A2120">
        <v>1</v>
      </c>
      <c r="B2120" s="4" t="s">
        <v>16</v>
      </c>
      <c r="C2120" s="4" t="s">
        <v>491</v>
      </c>
      <c r="D2120" s="4" t="s">
        <v>492</v>
      </c>
      <c r="E2120" s="4" t="s">
        <v>5804</v>
      </c>
      <c r="F2120" t="s">
        <v>108</v>
      </c>
      <c r="G2120" t="s">
        <v>108</v>
      </c>
      <c r="H2120" t="s">
        <v>53</v>
      </c>
      <c r="I2120" t="s">
        <v>53</v>
      </c>
      <c r="J2120" s="5" t="s">
        <v>53</v>
      </c>
      <c r="K2120" t="s">
        <v>35</v>
      </c>
      <c r="L2120" s="6">
        <v>43160</v>
      </c>
      <c r="M2120">
        <v>3</v>
      </c>
      <c r="N2120" s="7" t="s">
        <v>23</v>
      </c>
      <c r="O2120" t="s">
        <v>24</v>
      </c>
      <c r="P2120" t="s">
        <v>493</v>
      </c>
      <c r="Q2120" t="s">
        <v>494</v>
      </c>
      <c r="R2120" t="s">
        <v>495</v>
      </c>
    </row>
    <row r="2121" spans="1:18" hidden="1">
      <c r="A2121">
        <v>11</v>
      </c>
      <c r="B2121" s="4" t="s">
        <v>554</v>
      </c>
      <c r="C2121" s="4" t="s">
        <v>696</v>
      </c>
      <c r="D2121" s="4" t="s">
        <v>697</v>
      </c>
      <c r="E2121" s="4" t="s">
        <v>5804</v>
      </c>
      <c r="F2121" t="s">
        <v>108</v>
      </c>
      <c r="G2121" t="s">
        <v>108</v>
      </c>
      <c r="H2121" t="s">
        <v>53</v>
      </c>
      <c r="I2121" t="s">
        <v>53</v>
      </c>
      <c r="J2121" s="5" t="s">
        <v>53</v>
      </c>
      <c r="K2121" t="s">
        <v>547</v>
      </c>
      <c r="L2121" s="6">
        <v>44075</v>
      </c>
      <c r="M2121">
        <v>9</v>
      </c>
      <c r="N2121" s="7" t="s">
        <v>23</v>
      </c>
      <c r="O2121" t="s">
        <v>66</v>
      </c>
      <c r="P2121" t="s">
        <v>742</v>
      </c>
      <c r="Q2121" t="s">
        <v>743</v>
      </c>
      <c r="R2121" t="s">
        <v>714</v>
      </c>
    </row>
    <row r="2122" spans="1:18" hidden="1">
      <c r="A2122">
        <v>11</v>
      </c>
      <c r="B2122" s="4" t="s">
        <v>554</v>
      </c>
      <c r="C2122" s="4" t="s">
        <v>696</v>
      </c>
      <c r="D2122" s="4" t="s">
        <v>759</v>
      </c>
      <c r="E2122" s="4" t="s">
        <v>5804</v>
      </c>
      <c r="F2122" t="s">
        <v>108</v>
      </c>
      <c r="G2122" t="s">
        <v>108</v>
      </c>
      <c r="H2122" t="s">
        <v>53</v>
      </c>
      <c r="I2122" t="s">
        <v>53</v>
      </c>
      <c r="J2122" s="5" t="s">
        <v>53</v>
      </c>
      <c r="K2122" t="s">
        <v>35</v>
      </c>
      <c r="L2122" s="6">
        <v>43160</v>
      </c>
      <c r="M2122">
        <v>3</v>
      </c>
      <c r="N2122" s="7" t="s">
        <v>23</v>
      </c>
      <c r="O2122" t="s">
        <v>31</v>
      </c>
      <c r="P2122" t="s">
        <v>792</v>
      </c>
      <c r="Q2122" t="s">
        <v>793</v>
      </c>
      <c r="R2122" t="s">
        <v>564</v>
      </c>
    </row>
    <row r="2123" spans="1:18" hidden="1">
      <c r="A2123">
        <v>11</v>
      </c>
      <c r="B2123" s="4" t="s">
        <v>554</v>
      </c>
      <c r="C2123" s="4" t="s">
        <v>696</v>
      </c>
      <c r="D2123" s="4" t="s">
        <v>759</v>
      </c>
      <c r="E2123" s="4" t="s">
        <v>5804</v>
      </c>
      <c r="F2123" t="s">
        <v>108</v>
      </c>
      <c r="G2123" t="s">
        <v>108</v>
      </c>
      <c r="H2123" t="s">
        <v>53</v>
      </c>
      <c r="I2123" t="s">
        <v>53</v>
      </c>
      <c r="J2123" s="5" t="s">
        <v>53</v>
      </c>
      <c r="K2123" t="s">
        <v>645</v>
      </c>
      <c r="L2123" s="6">
        <v>44440</v>
      </c>
      <c r="M2123">
        <v>9</v>
      </c>
      <c r="N2123" s="7" t="s">
        <v>23</v>
      </c>
      <c r="O2123" t="s">
        <v>66</v>
      </c>
      <c r="P2123" t="s">
        <v>891</v>
      </c>
      <c r="Q2123" t="s">
        <v>743</v>
      </c>
      <c r="R2123" t="s">
        <v>714</v>
      </c>
    </row>
    <row r="2124" spans="1:18" hidden="1">
      <c r="A2124">
        <v>12</v>
      </c>
      <c r="B2124" s="4" t="s">
        <v>901</v>
      </c>
      <c r="C2124" s="4" t="s">
        <v>1672</v>
      </c>
      <c r="D2124" s="4" t="s">
        <v>1673</v>
      </c>
      <c r="E2124" s="4" t="s">
        <v>5804</v>
      </c>
      <c r="F2124" t="s">
        <v>108</v>
      </c>
      <c r="G2124" t="s">
        <v>108</v>
      </c>
      <c r="H2124" t="s">
        <v>53</v>
      </c>
      <c r="I2124" t="s">
        <v>53</v>
      </c>
      <c r="J2124" s="5" t="s">
        <v>53</v>
      </c>
      <c r="K2124" t="s">
        <v>156</v>
      </c>
      <c r="L2124" s="6">
        <v>43405</v>
      </c>
      <c r="M2124">
        <v>11</v>
      </c>
      <c r="N2124" s="7" t="s">
        <v>23</v>
      </c>
      <c r="O2124" t="s">
        <v>512</v>
      </c>
      <c r="P2124" t="s">
        <v>1845</v>
      </c>
      <c r="Q2124" t="s">
        <v>1846</v>
      </c>
      <c r="R2124" t="s">
        <v>1847</v>
      </c>
    </row>
    <row r="2125" spans="1:18" hidden="1">
      <c r="A2125">
        <v>12</v>
      </c>
      <c r="B2125" s="4" t="s">
        <v>901</v>
      </c>
      <c r="C2125" s="4" t="s">
        <v>1672</v>
      </c>
      <c r="D2125" s="4" t="s">
        <v>1673</v>
      </c>
      <c r="E2125" s="4" t="s">
        <v>5804</v>
      </c>
      <c r="F2125" t="s">
        <v>108</v>
      </c>
      <c r="G2125" t="s">
        <v>108</v>
      </c>
      <c r="H2125" t="s">
        <v>53</v>
      </c>
      <c r="I2125" t="s">
        <v>53</v>
      </c>
      <c r="J2125" s="5" t="s">
        <v>53</v>
      </c>
      <c r="K2125" t="s">
        <v>311</v>
      </c>
      <c r="L2125" s="6">
        <v>44256</v>
      </c>
      <c r="M2125">
        <v>3</v>
      </c>
      <c r="N2125" s="7" t="s">
        <v>23</v>
      </c>
      <c r="O2125" t="s">
        <v>24</v>
      </c>
      <c r="P2125" t="s">
        <v>1927</v>
      </c>
      <c r="Q2125" t="s">
        <v>1928</v>
      </c>
      <c r="R2125" t="s">
        <v>1929</v>
      </c>
    </row>
    <row r="2126" spans="1:18" hidden="1">
      <c r="A2126">
        <v>4</v>
      </c>
      <c r="B2126" s="4" t="s">
        <v>3127</v>
      </c>
      <c r="C2126" s="4" t="s">
        <v>3128</v>
      </c>
      <c r="D2126" s="4" t="s">
        <v>3247</v>
      </c>
      <c r="E2126" s="4" t="s">
        <v>5804</v>
      </c>
      <c r="F2126" t="s">
        <v>108</v>
      </c>
      <c r="G2126" t="s">
        <v>108</v>
      </c>
      <c r="H2126" t="s">
        <v>53</v>
      </c>
      <c r="I2126" t="s">
        <v>53</v>
      </c>
      <c r="J2126" s="5" t="s">
        <v>53</v>
      </c>
      <c r="K2126" t="s">
        <v>218</v>
      </c>
      <c r="L2126" s="6">
        <v>42614</v>
      </c>
      <c r="M2126">
        <v>9</v>
      </c>
      <c r="N2126" s="7" t="s">
        <v>23</v>
      </c>
      <c r="O2126" t="s">
        <v>223</v>
      </c>
      <c r="P2126" t="s">
        <v>3276</v>
      </c>
      <c r="Q2126" t="s">
        <v>3277</v>
      </c>
      <c r="R2126" t="s">
        <v>3278</v>
      </c>
    </row>
    <row r="2127" spans="1:18" hidden="1">
      <c r="A2127">
        <v>5</v>
      </c>
      <c r="B2127" s="4" t="s">
        <v>4600</v>
      </c>
      <c r="C2127" s="4" t="s">
        <v>4933</v>
      </c>
      <c r="D2127" s="4" t="s">
        <v>5014</v>
      </c>
      <c r="E2127" s="4" t="s">
        <v>5804</v>
      </c>
      <c r="F2127" t="s">
        <v>108</v>
      </c>
      <c r="G2127" t="s">
        <v>108</v>
      </c>
      <c r="H2127" t="s">
        <v>53</v>
      </c>
      <c r="I2127" t="s">
        <v>53</v>
      </c>
      <c r="J2127" s="5" t="s">
        <v>53</v>
      </c>
      <c r="K2127" t="s">
        <v>43</v>
      </c>
      <c r="L2127" s="6">
        <v>43525</v>
      </c>
      <c r="M2127">
        <v>3</v>
      </c>
      <c r="N2127" s="7" t="s">
        <v>23</v>
      </c>
      <c r="O2127" t="s">
        <v>36</v>
      </c>
      <c r="P2127" t="s">
        <v>5244</v>
      </c>
      <c r="Q2127" t="s">
        <v>5245</v>
      </c>
      <c r="R2127" t="s">
        <v>5246</v>
      </c>
    </row>
    <row r="2128" spans="1:18" hidden="1">
      <c r="A2128">
        <v>6</v>
      </c>
      <c r="B2128" s="4" t="s">
        <v>5462</v>
      </c>
      <c r="C2128" s="4" t="s">
        <v>5463</v>
      </c>
      <c r="D2128" s="4" t="s">
        <v>5497</v>
      </c>
      <c r="E2128" s="4" t="s">
        <v>5804</v>
      </c>
      <c r="F2128" t="s">
        <v>108</v>
      </c>
      <c r="G2128" t="s">
        <v>108</v>
      </c>
      <c r="H2128" t="s">
        <v>53</v>
      </c>
      <c r="I2128" t="s">
        <v>53</v>
      </c>
      <c r="J2128" s="5" t="s">
        <v>53</v>
      </c>
      <c r="K2128" t="s">
        <v>681</v>
      </c>
      <c r="L2128" s="6">
        <v>42887</v>
      </c>
      <c r="M2128">
        <v>6</v>
      </c>
      <c r="N2128" s="7" t="s">
        <v>55</v>
      </c>
      <c r="O2128" t="s">
        <v>24</v>
      </c>
      <c r="P2128" t="s">
        <v>5520</v>
      </c>
      <c r="Q2128" t="s">
        <v>5521</v>
      </c>
      <c r="R2128" t="s">
        <v>5522</v>
      </c>
    </row>
    <row r="2129" spans="1:18" hidden="1">
      <c r="A2129">
        <v>6</v>
      </c>
      <c r="B2129" s="4" t="s">
        <v>5462</v>
      </c>
      <c r="C2129" s="4" t="s">
        <v>5463</v>
      </c>
      <c r="D2129" s="4" t="s">
        <v>5497</v>
      </c>
      <c r="E2129" s="4" t="s">
        <v>5804</v>
      </c>
      <c r="F2129" t="s">
        <v>108</v>
      </c>
      <c r="G2129" t="s">
        <v>108</v>
      </c>
      <c r="H2129" t="s">
        <v>53</v>
      </c>
      <c r="I2129" t="s">
        <v>53</v>
      </c>
      <c r="J2129" s="5" t="s">
        <v>53</v>
      </c>
      <c r="K2129" t="s">
        <v>85</v>
      </c>
      <c r="L2129" s="6">
        <v>43009</v>
      </c>
      <c r="M2129">
        <v>10</v>
      </c>
      <c r="N2129" s="7" t="s">
        <v>23</v>
      </c>
      <c r="O2129" t="s">
        <v>88</v>
      </c>
      <c r="P2129" t="s">
        <v>5529</v>
      </c>
      <c r="Q2129" t="s">
        <v>5530</v>
      </c>
      <c r="R2129" t="s">
        <v>5531</v>
      </c>
    </row>
    <row r="2130" spans="1:18" hidden="1">
      <c r="A2130">
        <v>6</v>
      </c>
      <c r="B2130" s="4" t="s">
        <v>5462</v>
      </c>
      <c r="C2130" s="4" t="s">
        <v>5463</v>
      </c>
      <c r="D2130" s="4" t="s">
        <v>5497</v>
      </c>
      <c r="E2130" s="4" t="s">
        <v>5804</v>
      </c>
      <c r="F2130" t="s">
        <v>108</v>
      </c>
      <c r="G2130" t="s">
        <v>108</v>
      </c>
      <c r="H2130" t="s">
        <v>53</v>
      </c>
      <c r="I2130" t="s">
        <v>53</v>
      </c>
      <c r="J2130" s="5" t="s">
        <v>53</v>
      </c>
      <c r="K2130" t="s">
        <v>295</v>
      </c>
      <c r="L2130" s="6">
        <v>43221</v>
      </c>
      <c r="M2130">
        <v>5</v>
      </c>
      <c r="N2130" s="7" t="s">
        <v>23</v>
      </c>
      <c r="O2130" t="s">
        <v>88</v>
      </c>
      <c r="P2130" t="s">
        <v>5549</v>
      </c>
      <c r="Q2130" t="s">
        <v>5530</v>
      </c>
      <c r="R2130" t="s">
        <v>5531</v>
      </c>
    </row>
    <row r="2131" spans="1:18" hidden="1">
      <c r="A2131">
        <v>6</v>
      </c>
      <c r="B2131" s="4" t="s">
        <v>5462</v>
      </c>
      <c r="C2131" s="4" t="s">
        <v>5463</v>
      </c>
      <c r="D2131" s="4" t="s">
        <v>5497</v>
      </c>
      <c r="E2131" s="4" t="s">
        <v>5804</v>
      </c>
      <c r="F2131" t="s">
        <v>108</v>
      </c>
      <c r="G2131" t="s">
        <v>108</v>
      </c>
      <c r="H2131" t="s">
        <v>53</v>
      </c>
      <c r="I2131" t="s">
        <v>53</v>
      </c>
      <c r="J2131" s="5" t="s">
        <v>53</v>
      </c>
      <c r="K2131" t="s">
        <v>43</v>
      </c>
      <c r="L2131" s="6">
        <v>43525</v>
      </c>
      <c r="M2131">
        <v>3</v>
      </c>
      <c r="N2131" s="7" t="s">
        <v>23</v>
      </c>
      <c r="O2131" t="s">
        <v>88</v>
      </c>
      <c r="P2131" t="s">
        <v>5558</v>
      </c>
      <c r="Q2131" t="s">
        <v>5530</v>
      </c>
      <c r="R2131" t="s">
        <v>5531</v>
      </c>
    </row>
    <row r="2132" spans="1:18" hidden="1">
      <c r="A2132">
        <v>9</v>
      </c>
      <c r="B2132" s="4" t="s">
        <v>5727</v>
      </c>
      <c r="C2132" s="4" t="s">
        <v>5736</v>
      </c>
      <c r="D2132" s="4" t="s">
        <v>5737</v>
      </c>
      <c r="E2132" s="4" t="s">
        <v>5805</v>
      </c>
      <c r="F2132" t="s">
        <v>108</v>
      </c>
      <c r="G2132" t="s">
        <v>108</v>
      </c>
      <c r="H2132" t="s">
        <v>53</v>
      </c>
      <c r="I2132" t="s">
        <v>53</v>
      </c>
      <c r="J2132" s="5" t="s">
        <v>53</v>
      </c>
      <c r="K2132" t="s">
        <v>115</v>
      </c>
      <c r="L2132" s="6">
        <v>42461</v>
      </c>
      <c r="M2132">
        <v>4</v>
      </c>
      <c r="N2132" s="7" t="s">
        <v>23</v>
      </c>
      <c r="O2132" t="s">
        <v>24</v>
      </c>
      <c r="P2132" t="s">
        <v>5738</v>
      </c>
      <c r="Q2132" t="s">
        <v>5739</v>
      </c>
      <c r="R2132" t="s">
        <v>5740</v>
      </c>
    </row>
    <row r="2133" spans="1:18" hidden="1">
      <c r="A2133">
        <v>9</v>
      </c>
      <c r="B2133" s="4" t="s">
        <v>5727</v>
      </c>
      <c r="C2133" s="4" t="s">
        <v>5736</v>
      </c>
      <c r="D2133" s="4" t="s">
        <v>5744</v>
      </c>
      <c r="E2133" s="4" t="s">
        <v>5805</v>
      </c>
      <c r="F2133" t="s">
        <v>108</v>
      </c>
      <c r="G2133" t="s">
        <v>108</v>
      </c>
      <c r="H2133" t="s">
        <v>53</v>
      </c>
      <c r="I2133" t="s">
        <v>53</v>
      </c>
      <c r="J2133" s="5" t="s">
        <v>53</v>
      </c>
      <c r="K2133" t="s">
        <v>156</v>
      </c>
      <c r="L2133" s="6">
        <v>43405</v>
      </c>
      <c r="M2133">
        <v>11</v>
      </c>
      <c r="N2133" s="7" t="s">
        <v>23</v>
      </c>
      <c r="O2133" t="s">
        <v>24</v>
      </c>
      <c r="P2133" t="s">
        <v>5748</v>
      </c>
      <c r="Q2133" t="s">
        <v>5739</v>
      </c>
      <c r="R2133" t="s">
        <v>5749</v>
      </c>
    </row>
    <row r="2134" spans="1:18" hidden="1">
      <c r="A2134">
        <v>9</v>
      </c>
      <c r="B2134" s="4" t="s">
        <v>5727</v>
      </c>
      <c r="C2134" s="4" t="s">
        <v>5736</v>
      </c>
      <c r="D2134" s="4" t="s">
        <v>5744</v>
      </c>
      <c r="E2134" s="4" t="s">
        <v>5805</v>
      </c>
      <c r="F2134" t="s">
        <v>108</v>
      </c>
      <c r="G2134" t="s">
        <v>108</v>
      </c>
      <c r="H2134" t="s">
        <v>53</v>
      </c>
      <c r="I2134" t="s">
        <v>53</v>
      </c>
      <c r="J2134" s="5" t="s">
        <v>53</v>
      </c>
      <c r="K2134" t="s">
        <v>539</v>
      </c>
      <c r="L2134" s="6">
        <v>43922</v>
      </c>
      <c r="M2134">
        <v>4</v>
      </c>
      <c r="N2134" s="7" t="s">
        <v>23</v>
      </c>
      <c r="O2134" t="s">
        <v>24</v>
      </c>
      <c r="P2134" t="s">
        <v>5753</v>
      </c>
      <c r="Q2134" t="s">
        <v>5739</v>
      </c>
      <c r="R2134" t="s">
        <v>5749</v>
      </c>
    </row>
    <row r="2135" spans="1:18" hidden="1">
      <c r="A2135">
        <v>9</v>
      </c>
      <c r="B2135" s="4" t="s">
        <v>5727</v>
      </c>
      <c r="C2135" s="4" t="s">
        <v>5736</v>
      </c>
      <c r="D2135" s="4" t="s">
        <v>5744</v>
      </c>
      <c r="E2135" s="4" t="s">
        <v>5805</v>
      </c>
      <c r="F2135" t="s">
        <v>108</v>
      </c>
      <c r="G2135" t="s">
        <v>108</v>
      </c>
      <c r="H2135" t="s">
        <v>53</v>
      </c>
      <c r="I2135" t="s">
        <v>53</v>
      </c>
      <c r="J2135" s="5" t="s">
        <v>53</v>
      </c>
      <c r="K2135" t="s">
        <v>749</v>
      </c>
      <c r="L2135" s="6">
        <v>44136</v>
      </c>
      <c r="M2135">
        <v>11</v>
      </c>
      <c r="N2135" s="7" t="s">
        <v>23</v>
      </c>
      <c r="O2135" t="s">
        <v>24</v>
      </c>
      <c r="P2135" t="s">
        <v>5754</v>
      </c>
      <c r="Q2135" t="s">
        <v>5739</v>
      </c>
      <c r="R2135" t="s">
        <v>5749</v>
      </c>
    </row>
    <row r="2136" spans="1:18" hidden="1">
      <c r="A2136">
        <v>9</v>
      </c>
      <c r="B2136" s="4" t="s">
        <v>5727</v>
      </c>
      <c r="C2136" s="4" t="s">
        <v>5755</v>
      </c>
      <c r="D2136" s="4" t="s">
        <v>5756</v>
      </c>
      <c r="E2136" s="4" t="s">
        <v>5805</v>
      </c>
      <c r="F2136" t="s">
        <v>108</v>
      </c>
      <c r="G2136" t="s">
        <v>108</v>
      </c>
      <c r="H2136" t="s">
        <v>53</v>
      </c>
      <c r="I2136" t="s">
        <v>53</v>
      </c>
      <c r="J2136" s="5" t="s">
        <v>53</v>
      </c>
      <c r="K2136" t="s">
        <v>124</v>
      </c>
      <c r="L2136" s="6">
        <v>42767</v>
      </c>
      <c r="M2136">
        <v>2</v>
      </c>
      <c r="N2136" s="7" t="s">
        <v>30</v>
      </c>
      <c r="O2136" t="s">
        <v>66</v>
      </c>
      <c r="P2136" t="s">
        <v>5760</v>
      </c>
      <c r="Q2136" t="s">
        <v>5761</v>
      </c>
      <c r="R2136" t="s">
        <v>5762</v>
      </c>
    </row>
    <row r="2137" spans="1:18" hidden="1">
      <c r="A2137">
        <v>12</v>
      </c>
      <c r="B2137" s="4" t="s">
        <v>901</v>
      </c>
      <c r="C2137" s="4" t="s">
        <v>1161</v>
      </c>
      <c r="D2137" s="4" t="s">
        <v>1162</v>
      </c>
      <c r="E2137" s="4" t="s">
        <v>5804</v>
      </c>
      <c r="F2137" t="s">
        <v>1163</v>
      </c>
      <c r="G2137" t="s">
        <v>1163</v>
      </c>
      <c r="H2137" t="s">
        <v>53</v>
      </c>
      <c r="I2137" t="s">
        <v>53</v>
      </c>
      <c r="J2137" s="5" t="s">
        <v>53</v>
      </c>
      <c r="K2137" t="s">
        <v>278</v>
      </c>
      <c r="L2137" s="6">
        <v>42675</v>
      </c>
      <c r="M2137">
        <v>11</v>
      </c>
      <c r="N2137" s="7" t="s">
        <v>23</v>
      </c>
      <c r="O2137" t="s">
        <v>31</v>
      </c>
      <c r="P2137" t="s">
        <v>1164</v>
      </c>
      <c r="Q2137" t="s">
        <v>1165</v>
      </c>
      <c r="R2137" t="s">
        <v>1166</v>
      </c>
    </row>
    <row r="2138" spans="1:18" hidden="1">
      <c r="A2138">
        <v>12</v>
      </c>
      <c r="B2138" s="4" t="s">
        <v>901</v>
      </c>
      <c r="C2138" s="4" t="s">
        <v>1600</v>
      </c>
      <c r="D2138" s="4" t="s">
        <v>1601</v>
      </c>
      <c r="E2138" s="4" t="s">
        <v>5804</v>
      </c>
      <c r="F2138" t="s">
        <v>1163</v>
      </c>
      <c r="G2138" t="s">
        <v>1163</v>
      </c>
      <c r="H2138" t="s">
        <v>53</v>
      </c>
      <c r="I2138" t="s">
        <v>53</v>
      </c>
      <c r="J2138" s="5" t="s">
        <v>53</v>
      </c>
      <c r="K2138" t="s">
        <v>146</v>
      </c>
      <c r="L2138" s="6">
        <v>43313</v>
      </c>
      <c r="M2138">
        <v>8</v>
      </c>
      <c r="N2138" s="7" t="s">
        <v>55</v>
      </c>
      <c r="O2138" t="s">
        <v>31</v>
      </c>
      <c r="P2138" t="s">
        <v>1636</v>
      </c>
      <c r="Q2138" t="s">
        <v>1637</v>
      </c>
      <c r="R2138" t="s">
        <v>1638</v>
      </c>
    </row>
    <row r="2139" spans="1:18" hidden="1">
      <c r="A2139">
        <v>12</v>
      </c>
      <c r="B2139" s="4" t="s">
        <v>901</v>
      </c>
      <c r="C2139" s="4" t="s">
        <v>1672</v>
      </c>
      <c r="D2139" s="4" t="s">
        <v>1673</v>
      </c>
      <c r="E2139" s="4" t="s">
        <v>5804</v>
      </c>
      <c r="F2139" t="s">
        <v>1163</v>
      </c>
      <c r="G2139" t="s">
        <v>1163</v>
      </c>
      <c r="H2139" t="s">
        <v>53</v>
      </c>
      <c r="I2139" t="s">
        <v>53</v>
      </c>
      <c r="J2139" s="5" t="s">
        <v>53</v>
      </c>
      <c r="K2139" t="s">
        <v>547</v>
      </c>
      <c r="L2139" s="6">
        <v>44075</v>
      </c>
      <c r="M2139">
        <v>9</v>
      </c>
      <c r="N2139" s="7" t="s">
        <v>23</v>
      </c>
      <c r="O2139" t="s">
        <v>31</v>
      </c>
      <c r="P2139" t="s">
        <v>1902</v>
      </c>
      <c r="Q2139" t="s">
        <v>1903</v>
      </c>
      <c r="R2139" t="s">
        <v>1166</v>
      </c>
    </row>
    <row r="2140" spans="1:18" hidden="1">
      <c r="A2140">
        <v>2</v>
      </c>
      <c r="B2140" s="4" t="s">
        <v>1952</v>
      </c>
      <c r="C2140" s="4" t="s">
        <v>1953</v>
      </c>
      <c r="D2140" s="4" t="s">
        <v>2072</v>
      </c>
      <c r="E2140" s="4" t="s">
        <v>5804</v>
      </c>
      <c r="F2140" t="s">
        <v>1163</v>
      </c>
      <c r="G2140" t="s">
        <v>1163</v>
      </c>
      <c r="H2140" t="s">
        <v>53</v>
      </c>
      <c r="I2140" t="s">
        <v>53</v>
      </c>
      <c r="J2140" s="5" t="s">
        <v>53</v>
      </c>
      <c r="K2140" t="s">
        <v>1085</v>
      </c>
      <c r="L2140" s="6">
        <v>43862</v>
      </c>
      <c r="M2140">
        <v>2</v>
      </c>
      <c r="N2140" s="7" t="s">
        <v>30</v>
      </c>
      <c r="O2140" t="s">
        <v>31</v>
      </c>
      <c r="P2140" t="s">
        <v>2184</v>
      </c>
      <c r="Q2140" t="s">
        <v>2185</v>
      </c>
      <c r="R2140" t="s">
        <v>2186</v>
      </c>
    </row>
    <row r="2141" spans="1:18" hidden="1">
      <c r="A2141">
        <v>2</v>
      </c>
      <c r="B2141" s="4" t="s">
        <v>1952</v>
      </c>
      <c r="C2141" s="4" t="s">
        <v>1953</v>
      </c>
      <c r="D2141" s="4" t="s">
        <v>2072</v>
      </c>
      <c r="E2141" s="4" t="s">
        <v>5804</v>
      </c>
      <c r="F2141" t="s">
        <v>1163</v>
      </c>
      <c r="G2141" t="s">
        <v>1163</v>
      </c>
      <c r="H2141" t="s">
        <v>53</v>
      </c>
      <c r="I2141" t="s">
        <v>53</v>
      </c>
      <c r="J2141" s="5" t="s">
        <v>53</v>
      </c>
      <c r="K2141" t="s">
        <v>365</v>
      </c>
      <c r="L2141" s="6">
        <v>44105</v>
      </c>
      <c r="M2141">
        <v>10</v>
      </c>
      <c r="N2141" s="7" t="s">
        <v>23</v>
      </c>
      <c r="O2141" t="s">
        <v>31</v>
      </c>
      <c r="P2141" t="s">
        <v>2200</v>
      </c>
      <c r="Q2141" t="s">
        <v>2201</v>
      </c>
      <c r="R2141" t="s">
        <v>2186</v>
      </c>
    </row>
    <row r="2142" spans="1:18" hidden="1">
      <c r="A2142">
        <v>2</v>
      </c>
      <c r="B2142" s="4" t="s">
        <v>1952</v>
      </c>
      <c r="C2142" s="4" t="s">
        <v>2425</v>
      </c>
      <c r="D2142" s="4" t="s">
        <v>2446</v>
      </c>
      <c r="E2142" s="4" t="s">
        <v>5804</v>
      </c>
      <c r="F2142" t="s">
        <v>1163</v>
      </c>
      <c r="G2142" t="s">
        <v>1163</v>
      </c>
      <c r="H2142" t="s">
        <v>53</v>
      </c>
      <c r="I2142" t="s">
        <v>53</v>
      </c>
      <c r="J2142" s="5" t="s">
        <v>53</v>
      </c>
      <c r="K2142" t="s">
        <v>218</v>
      </c>
      <c r="L2142" s="6">
        <v>42614</v>
      </c>
      <c r="M2142">
        <v>9</v>
      </c>
      <c r="N2142" s="7" t="s">
        <v>23</v>
      </c>
      <c r="O2142" t="s">
        <v>31</v>
      </c>
      <c r="P2142" t="s">
        <v>2461</v>
      </c>
      <c r="Q2142" t="s">
        <v>2454</v>
      </c>
      <c r="R2142" t="s">
        <v>2455</v>
      </c>
    </row>
    <row r="2143" spans="1:18" hidden="1">
      <c r="A2143">
        <v>4</v>
      </c>
      <c r="B2143" s="4" t="s">
        <v>3127</v>
      </c>
      <c r="C2143" s="4" t="s">
        <v>3128</v>
      </c>
      <c r="D2143" s="4" t="s">
        <v>3129</v>
      </c>
      <c r="E2143" s="4" t="s">
        <v>5804</v>
      </c>
      <c r="F2143" t="s">
        <v>1163</v>
      </c>
      <c r="G2143" t="s">
        <v>1163</v>
      </c>
      <c r="H2143" t="s">
        <v>53</v>
      </c>
      <c r="I2143" t="s">
        <v>53</v>
      </c>
      <c r="J2143" s="5" t="s">
        <v>53</v>
      </c>
      <c r="K2143" t="s">
        <v>311</v>
      </c>
      <c r="L2143" s="6">
        <v>44256</v>
      </c>
      <c r="M2143">
        <v>3</v>
      </c>
      <c r="N2143" s="7" t="s">
        <v>23</v>
      </c>
      <c r="O2143" t="s">
        <v>31</v>
      </c>
      <c r="P2143" t="s">
        <v>3183</v>
      </c>
      <c r="Q2143" t="s">
        <v>3178</v>
      </c>
      <c r="R2143" t="s">
        <v>3179</v>
      </c>
    </row>
    <row r="2144" spans="1:18" hidden="1">
      <c r="A2144">
        <v>4</v>
      </c>
      <c r="B2144" s="4" t="s">
        <v>3127</v>
      </c>
      <c r="C2144" s="4" t="s">
        <v>3128</v>
      </c>
      <c r="D2144" s="4" t="s">
        <v>3247</v>
      </c>
      <c r="E2144" s="4" t="s">
        <v>5804</v>
      </c>
      <c r="F2144" t="s">
        <v>1163</v>
      </c>
      <c r="G2144" t="s">
        <v>1163</v>
      </c>
      <c r="H2144" t="s">
        <v>53</v>
      </c>
      <c r="I2144" t="s">
        <v>53</v>
      </c>
      <c r="J2144" s="5" t="s">
        <v>53</v>
      </c>
      <c r="K2144" t="s">
        <v>218</v>
      </c>
      <c r="L2144" s="6">
        <v>42614</v>
      </c>
      <c r="M2144">
        <v>9</v>
      </c>
      <c r="N2144" s="7" t="s">
        <v>23</v>
      </c>
      <c r="O2144" t="s">
        <v>31</v>
      </c>
      <c r="P2144" t="s">
        <v>3275</v>
      </c>
      <c r="Q2144" t="s">
        <v>3178</v>
      </c>
      <c r="R2144" t="s">
        <v>3179</v>
      </c>
    </row>
    <row r="2145" spans="1:18" hidden="1">
      <c r="A2145">
        <v>4</v>
      </c>
      <c r="B2145" s="4" t="s">
        <v>3127</v>
      </c>
      <c r="C2145" s="4" t="s">
        <v>3789</v>
      </c>
      <c r="D2145" s="4" t="s">
        <v>3815</v>
      </c>
      <c r="E2145" s="4" t="s">
        <v>5804</v>
      </c>
      <c r="F2145" t="s">
        <v>1163</v>
      </c>
      <c r="G2145" t="s">
        <v>1163</v>
      </c>
      <c r="H2145" t="s">
        <v>53</v>
      </c>
      <c r="I2145" t="s">
        <v>53</v>
      </c>
      <c r="J2145" s="5" t="s">
        <v>53</v>
      </c>
      <c r="K2145" t="s">
        <v>489</v>
      </c>
      <c r="L2145" s="6">
        <v>44409</v>
      </c>
      <c r="M2145">
        <v>8</v>
      </c>
      <c r="N2145" s="7" t="s">
        <v>55</v>
      </c>
      <c r="O2145" t="s">
        <v>31</v>
      </c>
      <c r="P2145" t="s">
        <v>3923</v>
      </c>
      <c r="Q2145" t="s">
        <v>3924</v>
      </c>
      <c r="R2145" t="s">
        <v>3925</v>
      </c>
    </row>
    <row r="2146" spans="1:18" hidden="1">
      <c r="A2146">
        <v>4</v>
      </c>
      <c r="B2146" s="4" t="s">
        <v>3127</v>
      </c>
      <c r="C2146" s="4" t="s">
        <v>3789</v>
      </c>
      <c r="D2146" s="4" t="s">
        <v>3815</v>
      </c>
      <c r="E2146" s="4" t="s">
        <v>5804</v>
      </c>
      <c r="F2146" t="s">
        <v>1163</v>
      </c>
      <c r="G2146" t="s">
        <v>1163</v>
      </c>
      <c r="H2146" t="s">
        <v>53</v>
      </c>
      <c r="I2146" t="s">
        <v>53</v>
      </c>
      <c r="J2146" s="5" t="s">
        <v>53</v>
      </c>
      <c r="K2146" t="s">
        <v>645</v>
      </c>
      <c r="L2146" s="6">
        <v>44440</v>
      </c>
      <c r="M2146">
        <v>9</v>
      </c>
      <c r="N2146" s="7" t="s">
        <v>23</v>
      </c>
      <c r="O2146" t="s">
        <v>31</v>
      </c>
      <c r="P2146" t="s">
        <v>3926</v>
      </c>
      <c r="Q2146" t="s">
        <v>3927</v>
      </c>
      <c r="R2146" t="s">
        <v>3928</v>
      </c>
    </row>
    <row r="2147" spans="1:18" hidden="1">
      <c r="A2147">
        <v>4</v>
      </c>
      <c r="B2147" s="4" t="s">
        <v>3127</v>
      </c>
      <c r="C2147" s="4" t="s">
        <v>4207</v>
      </c>
      <c r="D2147" s="4" t="s">
        <v>4257</v>
      </c>
      <c r="E2147" s="4" t="s">
        <v>5804</v>
      </c>
      <c r="F2147" t="s">
        <v>1163</v>
      </c>
      <c r="G2147" t="s">
        <v>1163</v>
      </c>
      <c r="H2147" t="s">
        <v>53</v>
      </c>
      <c r="I2147" t="s">
        <v>53</v>
      </c>
      <c r="J2147" s="5" t="s">
        <v>53</v>
      </c>
      <c r="K2147" t="s">
        <v>35</v>
      </c>
      <c r="L2147" s="6">
        <v>43160</v>
      </c>
      <c r="M2147">
        <v>3</v>
      </c>
      <c r="N2147" s="7" t="s">
        <v>23</v>
      </c>
      <c r="O2147" t="s">
        <v>31</v>
      </c>
      <c r="P2147" t="s">
        <v>4379</v>
      </c>
      <c r="Q2147" t="s">
        <v>4380</v>
      </c>
      <c r="R2147" t="s">
        <v>4381</v>
      </c>
    </row>
    <row r="2148" spans="1:18" hidden="1">
      <c r="A2148">
        <v>4</v>
      </c>
      <c r="B2148" s="4" t="s">
        <v>3127</v>
      </c>
      <c r="C2148" s="4" t="s">
        <v>4207</v>
      </c>
      <c r="D2148" s="4" t="s">
        <v>4257</v>
      </c>
      <c r="E2148" s="4" t="s">
        <v>5804</v>
      </c>
      <c r="F2148" t="s">
        <v>1163</v>
      </c>
      <c r="G2148" t="s">
        <v>1163</v>
      </c>
      <c r="H2148" t="s">
        <v>53</v>
      </c>
      <c r="I2148" t="s">
        <v>53</v>
      </c>
      <c r="J2148" s="5" t="s">
        <v>53</v>
      </c>
      <c r="K2148" t="s">
        <v>482</v>
      </c>
      <c r="L2148" s="6">
        <v>43435</v>
      </c>
      <c r="M2148">
        <v>12</v>
      </c>
      <c r="N2148" s="7" t="s">
        <v>30</v>
      </c>
      <c r="O2148" t="s">
        <v>31</v>
      </c>
      <c r="P2148" t="s">
        <v>4423</v>
      </c>
      <c r="Q2148" t="s">
        <v>4424</v>
      </c>
      <c r="R2148" t="s">
        <v>4381</v>
      </c>
    </row>
    <row r="2149" spans="1:18" hidden="1">
      <c r="A2149">
        <v>5</v>
      </c>
      <c r="B2149" s="4" t="s">
        <v>4600</v>
      </c>
      <c r="C2149" s="4" t="s">
        <v>4601</v>
      </c>
      <c r="D2149" s="4" t="s">
        <v>4635</v>
      </c>
      <c r="E2149" s="4" t="s">
        <v>5804</v>
      </c>
      <c r="F2149" t="s">
        <v>1163</v>
      </c>
      <c r="G2149" t="s">
        <v>1163</v>
      </c>
      <c r="H2149" t="s">
        <v>53</v>
      </c>
      <c r="I2149" t="s">
        <v>53</v>
      </c>
      <c r="J2149" s="5" t="s">
        <v>53</v>
      </c>
      <c r="K2149" t="s">
        <v>71</v>
      </c>
      <c r="L2149" s="6">
        <v>42522</v>
      </c>
      <c r="M2149">
        <v>6</v>
      </c>
      <c r="N2149" s="7" t="s">
        <v>55</v>
      </c>
      <c r="O2149" t="s">
        <v>31</v>
      </c>
      <c r="P2149" t="s">
        <v>4647</v>
      </c>
      <c r="Q2149" t="s">
        <v>4631</v>
      </c>
      <c r="R2149" t="s">
        <v>4632</v>
      </c>
    </row>
    <row r="2150" spans="1:18" hidden="1">
      <c r="A2150">
        <v>5</v>
      </c>
      <c r="B2150" s="4" t="s">
        <v>4600</v>
      </c>
      <c r="C2150" s="4" t="s">
        <v>4933</v>
      </c>
      <c r="D2150" s="4" t="s">
        <v>5014</v>
      </c>
      <c r="E2150" s="4" t="s">
        <v>5804</v>
      </c>
      <c r="F2150" t="s">
        <v>1163</v>
      </c>
      <c r="G2150" t="s">
        <v>1163</v>
      </c>
      <c r="H2150" t="s">
        <v>53</v>
      </c>
      <c r="I2150" t="s">
        <v>53</v>
      </c>
      <c r="J2150" s="5" t="s">
        <v>53</v>
      </c>
      <c r="K2150" t="s">
        <v>319</v>
      </c>
      <c r="L2150" s="6">
        <v>42583</v>
      </c>
      <c r="M2150">
        <v>8</v>
      </c>
      <c r="N2150" s="7" t="s">
        <v>55</v>
      </c>
      <c r="O2150" t="s">
        <v>31</v>
      </c>
      <c r="P2150" t="s">
        <v>5062</v>
      </c>
      <c r="Q2150" t="s">
        <v>5063</v>
      </c>
      <c r="R2150" t="s">
        <v>5064</v>
      </c>
    </row>
    <row r="2151" spans="1:18" hidden="1">
      <c r="A2151">
        <v>5</v>
      </c>
      <c r="B2151" s="4" t="s">
        <v>4600</v>
      </c>
      <c r="C2151" s="4" t="s">
        <v>5385</v>
      </c>
      <c r="D2151" s="4" t="s">
        <v>5386</v>
      </c>
      <c r="E2151" s="4" t="s">
        <v>5804</v>
      </c>
      <c r="F2151" t="s">
        <v>1163</v>
      </c>
      <c r="G2151" t="s">
        <v>1163</v>
      </c>
      <c r="H2151" t="s">
        <v>53</v>
      </c>
      <c r="I2151" t="s">
        <v>53</v>
      </c>
      <c r="J2151" s="5" t="s">
        <v>53</v>
      </c>
      <c r="K2151" t="s">
        <v>382</v>
      </c>
      <c r="L2151" s="6">
        <v>42401</v>
      </c>
      <c r="M2151">
        <v>2</v>
      </c>
      <c r="N2151" s="7" t="s">
        <v>30</v>
      </c>
      <c r="O2151" t="s">
        <v>31</v>
      </c>
      <c r="P2151" t="s">
        <v>5387</v>
      </c>
      <c r="Q2151" t="s">
        <v>5388</v>
      </c>
      <c r="R2151" t="s">
        <v>5389</v>
      </c>
    </row>
    <row r="2152" spans="1:18" hidden="1">
      <c r="A2152">
        <v>5</v>
      </c>
      <c r="B2152" s="4" t="s">
        <v>4600</v>
      </c>
      <c r="C2152" s="4" t="s">
        <v>5385</v>
      </c>
      <c r="D2152" s="4" t="s">
        <v>5386</v>
      </c>
      <c r="E2152" s="4" t="s">
        <v>5804</v>
      </c>
      <c r="F2152" t="s">
        <v>1163</v>
      </c>
      <c r="G2152" t="s">
        <v>1163</v>
      </c>
      <c r="H2152" t="s">
        <v>53</v>
      </c>
      <c r="I2152" t="s">
        <v>53</v>
      </c>
      <c r="J2152" s="5" t="s">
        <v>53</v>
      </c>
      <c r="K2152" t="s">
        <v>76</v>
      </c>
      <c r="L2152" s="6">
        <v>42856</v>
      </c>
      <c r="M2152">
        <v>5</v>
      </c>
      <c r="N2152" s="7" t="s">
        <v>23</v>
      </c>
      <c r="O2152" t="s">
        <v>31</v>
      </c>
      <c r="P2152" t="s">
        <v>5393</v>
      </c>
      <c r="Q2152" t="s">
        <v>5394</v>
      </c>
      <c r="R2152" t="s">
        <v>5395</v>
      </c>
    </row>
    <row r="2153" spans="1:18" hidden="1">
      <c r="A2153">
        <v>5</v>
      </c>
      <c r="B2153" s="4" t="s">
        <v>4600</v>
      </c>
      <c r="C2153" s="4" t="s">
        <v>5385</v>
      </c>
      <c r="D2153" s="4" t="s">
        <v>5386</v>
      </c>
      <c r="E2153" s="4" t="s">
        <v>5804</v>
      </c>
      <c r="F2153" t="s">
        <v>1163</v>
      </c>
      <c r="G2153" t="s">
        <v>1163</v>
      </c>
      <c r="H2153" t="s">
        <v>53</v>
      </c>
      <c r="I2153" t="s">
        <v>53</v>
      </c>
      <c r="J2153" s="5" t="s">
        <v>53</v>
      </c>
      <c r="K2153" t="s">
        <v>357</v>
      </c>
      <c r="L2153" s="6">
        <v>43739</v>
      </c>
      <c r="M2153">
        <v>10</v>
      </c>
      <c r="N2153" s="7" t="s">
        <v>23</v>
      </c>
      <c r="O2153" t="s">
        <v>31</v>
      </c>
      <c r="P2153" t="s">
        <v>5418</v>
      </c>
      <c r="Q2153" t="s">
        <v>5394</v>
      </c>
      <c r="R2153" t="s">
        <v>5395</v>
      </c>
    </row>
    <row r="2154" spans="1:18" hidden="1">
      <c r="A2154">
        <v>5</v>
      </c>
      <c r="B2154" s="4" t="s">
        <v>4600</v>
      </c>
      <c r="C2154" s="4" t="s">
        <v>5385</v>
      </c>
      <c r="D2154" s="4" t="s">
        <v>5386</v>
      </c>
      <c r="E2154" s="4" t="s">
        <v>5804</v>
      </c>
      <c r="F2154" t="s">
        <v>1163</v>
      </c>
      <c r="G2154" t="s">
        <v>1163</v>
      </c>
      <c r="H2154" t="s">
        <v>53</v>
      </c>
      <c r="I2154" t="s">
        <v>53</v>
      </c>
      <c r="J2154" s="5" t="s">
        <v>53</v>
      </c>
      <c r="K2154" t="s">
        <v>839</v>
      </c>
      <c r="L2154" s="6">
        <v>43800</v>
      </c>
      <c r="M2154">
        <v>12</v>
      </c>
      <c r="N2154" s="7" t="s">
        <v>30</v>
      </c>
      <c r="O2154" t="s">
        <v>31</v>
      </c>
      <c r="P2154" t="s">
        <v>5420</v>
      </c>
      <c r="Q2154" t="s">
        <v>5394</v>
      </c>
      <c r="R2154" t="s">
        <v>5395</v>
      </c>
    </row>
    <row r="2155" spans="1:18" hidden="1">
      <c r="A2155">
        <v>5</v>
      </c>
      <c r="B2155" s="4" t="s">
        <v>4600</v>
      </c>
      <c r="C2155" s="4" t="s">
        <v>5385</v>
      </c>
      <c r="D2155" s="4" t="s">
        <v>5386</v>
      </c>
      <c r="E2155" s="4" t="s">
        <v>5804</v>
      </c>
      <c r="F2155" t="s">
        <v>1163</v>
      </c>
      <c r="G2155" t="s">
        <v>1163</v>
      </c>
      <c r="H2155" t="s">
        <v>53</v>
      </c>
      <c r="I2155" t="s">
        <v>53</v>
      </c>
      <c r="J2155" s="5" t="s">
        <v>53</v>
      </c>
      <c r="K2155" t="s">
        <v>109</v>
      </c>
      <c r="L2155" s="6">
        <v>44531</v>
      </c>
      <c r="M2155">
        <v>12</v>
      </c>
      <c r="N2155" s="7" t="s">
        <v>30</v>
      </c>
      <c r="O2155" t="s">
        <v>31</v>
      </c>
      <c r="P2155" t="s">
        <v>5431</v>
      </c>
      <c r="Q2155" t="s">
        <v>5394</v>
      </c>
      <c r="R2155" t="s">
        <v>5395</v>
      </c>
    </row>
    <row r="2156" spans="1:18" hidden="1">
      <c r="A2156">
        <v>5</v>
      </c>
      <c r="B2156" s="4" t="s">
        <v>4600</v>
      </c>
      <c r="C2156" s="4" t="s">
        <v>5385</v>
      </c>
      <c r="D2156" s="4" t="s">
        <v>5432</v>
      </c>
      <c r="E2156" s="4" t="s">
        <v>5804</v>
      </c>
      <c r="F2156" t="s">
        <v>1163</v>
      </c>
      <c r="G2156" t="s">
        <v>1163</v>
      </c>
      <c r="H2156" t="s">
        <v>53</v>
      </c>
      <c r="I2156" t="s">
        <v>53</v>
      </c>
      <c r="J2156" s="5" t="s">
        <v>53</v>
      </c>
      <c r="K2156" t="s">
        <v>152</v>
      </c>
      <c r="L2156" s="6">
        <v>43374</v>
      </c>
      <c r="M2156">
        <v>10</v>
      </c>
      <c r="N2156" s="7" t="s">
        <v>23</v>
      </c>
      <c r="O2156" t="s">
        <v>31</v>
      </c>
      <c r="P2156" t="s">
        <v>5460</v>
      </c>
      <c r="Q2156" t="s">
        <v>5394</v>
      </c>
      <c r="R2156" t="s">
        <v>5395</v>
      </c>
    </row>
    <row r="2157" spans="1:18" hidden="1">
      <c r="A2157">
        <v>5</v>
      </c>
      <c r="B2157" s="4" t="s">
        <v>4600</v>
      </c>
      <c r="C2157" s="4" t="s">
        <v>5385</v>
      </c>
      <c r="D2157" s="4" t="s">
        <v>5432</v>
      </c>
      <c r="E2157" s="4" t="s">
        <v>5804</v>
      </c>
      <c r="F2157" t="s">
        <v>1163</v>
      </c>
      <c r="G2157" t="s">
        <v>1163</v>
      </c>
      <c r="H2157" t="s">
        <v>53</v>
      </c>
      <c r="I2157" t="s">
        <v>53</v>
      </c>
      <c r="J2157" s="5" t="s">
        <v>53</v>
      </c>
      <c r="K2157" t="s">
        <v>171</v>
      </c>
      <c r="L2157" s="6">
        <v>44013</v>
      </c>
      <c r="M2157">
        <v>7</v>
      </c>
      <c r="N2157" s="7" t="s">
        <v>55</v>
      </c>
      <c r="O2157" t="s">
        <v>31</v>
      </c>
      <c r="P2157" t="s">
        <v>5461</v>
      </c>
      <c r="Q2157" t="s">
        <v>5394</v>
      </c>
      <c r="R2157" t="s">
        <v>5395</v>
      </c>
    </row>
    <row r="2158" spans="1:18" hidden="1">
      <c r="A2158">
        <v>10</v>
      </c>
      <c r="B2158" s="4" t="s">
        <v>505</v>
      </c>
      <c r="C2158" s="4" t="s">
        <v>506</v>
      </c>
      <c r="D2158" s="4" t="s">
        <v>507</v>
      </c>
      <c r="E2158" s="4" t="s">
        <v>5805</v>
      </c>
      <c r="F2158" t="s">
        <v>444</v>
      </c>
      <c r="G2158" t="s">
        <v>444</v>
      </c>
      <c r="H2158" t="s">
        <v>53</v>
      </c>
      <c r="I2158" t="s">
        <v>53</v>
      </c>
      <c r="J2158" s="5" t="s">
        <v>53</v>
      </c>
      <c r="K2158" t="s">
        <v>43</v>
      </c>
      <c r="L2158" s="6">
        <v>43525</v>
      </c>
      <c r="M2158">
        <v>3</v>
      </c>
      <c r="N2158" s="7" t="s">
        <v>23</v>
      </c>
      <c r="O2158" t="s">
        <v>512</v>
      </c>
      <c r="P2158" t="s">
        <v>513</v>
      </c>
      <c r="Q2158" t="s">
        <v>514</v>
      </c>
      <c r="R2158" t="s">
        <v>515</v>
      </c>
    </row>
    <row r="2159" spans="1:18" hidden="1">
      <c r="A2159">
        <v>12</v>
      </c>
      <c r="B2159" s="4" t="s">
        <v>901</v>
      </c>
      <c r="C2159" s="4" t="s">
        <v>1672</v>
      </c>
      <c r="D2159" s="4" t="s">
        <v>1673</v>
      </c>
      <c r="E2159" s="4" t="s">
        <v>5804</v>
      </c>
      <c r="F2159" t="s">
        <v>1995</v>
      </c>
      <c r="G2159" t="s">
        <v>6214</v>
      </c>
      <c r="H2159" t="s">
        <v>53</v>
      </c>
      <c r="I2159" t="s">
        <v>53</v>
      </c>
      <c r="J2159" s="5" t="s">
        <v>53</v>
      </c>
      <c r="K2159" t="s">
        <v>93</v>
      </c>
      <c r="L2159" s="6">
        <v>43282</v>
      </c>
      <c r="M2159">
        <v>7</v>
      </c>
      <c r="N2159" s="7" t="s">
        <v>55</v>
      </c>
      <c r="O2159" t="s">
        <v>1995</v>
      </c>
      <c r="P2159" t="s">
        <v>1814</v>
      </c>
      <c r="Q2159" t="s">
        <v>1724</v>
      </c>
      <c r="R2159" t="s">
        <v>1725</v>
      </c>
    </row>
    <row r="2160" spans="1:18" hidden="1">
      <c r="A2160">
        <v>5</v>
      </c>
      <c r="B2160" s="4" t="s">
        <v>4600</v>
      </c>
      <c r="C2160" s="4" t="s">
        <v>4933</v>
      </c>
      <c r="D2160" s="4" t="s">
        <v>5014</v>
      </c>
      <c r="E2160" s="4" t="s">
        <v>5804</v>
      </c>
      <c r="F2160" t="s">
        <v>1995</v>
      </c>
      <c r="G2160" t="s">
        <v>6214</v>
      </c>
      <c r="H2160" t="s">
        <v>53</v>
      </c>
      <c r="I2160" t="s">
        <v>53</v>
      </c>
      <c r="J2160" s="5" t="s">
        <v>53</v>
      </c>
      <c r="K2160" t="s">
        <v>93</v>
      </c>
      <c r="L2160" s="6">
        <v>43282</v>
      </c>
      <c r="M2160">
        <v>7</v>
      </c>
      <c r="N2160" s="7" t="s">
        <v>55</v>
      </c>
      <c r="O2160" t="s">
        <v>1995</v>
      </c>
      <c r="P2160" t="s">
        <v>5193</v>
      </c>
      <c r="Q2160" t="s">
        <v>5194</v>
      </c>
      <c r="R2160" t="s">
        <v>488</v>
      </c>
    </row>
    <row r="2161" spans="1:18" hidden="1">
      <c r="A2161">
        <v>10</v>
      </c>
      <c r="B2161" s="4" t="s">
        <v>505</v>
      </c>
      <c r="C2161" s="4" t="s">
        <v>523</v>
      </c>
      <c r="D2161" s="4" t="s">
        <v>524</v>
      </c>
      <c r="E2161" s="4" t="s">
        <v>5805</v>
      </c>
      <c r="F2161" t="s">
        <v>534</v>
      </c>
      <c r="G2161" t="s">
        <v>535</v>
      </c>
      <c r="H2161" t="s">
        <v>53</v>
      </c>
      <c r="I2161" t="s">
        <v>53</v>
      </c>
      <c r="J2161" s="5" t="s">
        <v>53</v>
      </c>
      <c r="K2161" t="s">
        <v>164</v>
      </c>
      <c r="L2161" s="6">
        <v>43617</v>
      </c>
      <c r="M2161">
        <v>6</v>
      </c>
      <c r="N2161" s="7" t="s">
        <v>55</v>
      </c>
      <c r="O2161" t="s">
        <v>24</v>
      </c>
      <c r="P2161" t="s">
        <v>536</v>
      </c>
      <c r="Q2161" t="s">
        <v>537</v>
      </c>
      <c r="R2161" t="s">
        <v>538</v>
      </c>
    </row>
    <row r="2162" spans="1:18" hidden="1">
      <c r="A2162">
        <v>10</v>
      </c>
      <c r="B2162" s="4" t="s">
        <v>505</v>
      </c>
      <c r="C2162" s="4" t="s">
        <v>523</v>
      </c>
      <c r="D2162" s="4" t="s">
        <v>524</v>
      </c>
      <c r="E2162" s="4" t="s">
        <v>5805</v>
      </c>
      <c r="F2162" t="s">
        <v>534</v>
      </c>
      <c r="G2162" t="s">
        <v>543</v>
      </c>
      <c r="H2162" t="s">
        <v>53</v>
      </c>
      <c r="I2162" t="s">
        <v>53</v>
      </c>
      <c r="J2162" s="5" t="s">
        <v>53</v>
      </c>
      <c r="K2162" t="s">
        <v>255</v>
      </c>
      <c r="L2162" s="6">
        <v>43983</v>
      </c>
      <c r="M2162">
        <v>6</v>
      </c>
      <c r="N2162" s="7" t="s">
        <v>55</v>
      </c>
      <c r="O2162" t="s">
        <v>72</v>
      </c>
      <c r="P2162" t="s">
        <v>544</v>
      </c>
      <c r="Q2162" t="s">
        <v>545</v>
      </c>
      <c r="R2162" t="s">
        <v>546</v>
      </c>
    </row>
    <row r="2163" spans="1:18" hidden="1">
      <c r="A2163">
        <v>11</v>
      </c>
      <c r="B2163" s="4" t="s">
        <v>554</v>
      </c>
      <c r="C2163" s="4" t="s">
        <v>696</v>
      </c>
      <c r="D2163" s="4" t="s">
        <v>759</v>
      </c>
      <c r="E2163" s="4" t="s">
        <v>5804</v>
      </c>
      <c r="F2163" t="s">
        <v>534</v>
      </c>
      <c r="G2163" t="s">
        <v>535</v>
      </c>
      <c r="H2163" t="s">
        <v>53</v>
      </c>
      <c r="I2163" t="s">
        <v>53</v>
      </c>
      <c r="J2163" s="5" t="s">
        <v>53</v>
      </c>
      <c r="K2163" t="s">
        <v>76</v>
      </c>
      <c r="L2163" s="6">
        <v>42856</v>
      </c>
      <c r="M2163">
        <v>5</v>
      </c>
      <c r="N2163" s="7" t="s">
        <v>23</v>
      </c>
      <c r="O2163" t="s">
        <v>24</v>
      </c>
      <c r="P2163" t="s">
        <v>783</v>
      </c>
      <c r="Q2163" t="s">
        <v>784</v>
      </c>
      <c r="R2163" t="s">
        <v>785</v>
      </c>
    </row>
    <row r="2164" spans="1:18" hidden="1">
      <c r="A2164">
        <v>11</v>
      </c>
      <c r="B2164" s="4" t="s">
        <v>554</v>
      </c>
      <c r="C2164" s="4" t="s">
        <v>696</v>
      </c>
      <c r="D2164" s="4" t="s">
        <v>759</v>
      </c>
      <c r="E2164" s="4" t="s">
        <v>5804</v>
      </c>
      <c r="F2164" t="s">
        <v>534</v>
      </c>
      <c r="G2164" t="s">
        <v>535</v>
      </c>
      <c r="H2164" t="s">
        <v>53</v>
      </c>
      <c r="I2164" t="s">
        <v>53</v>
      </c>
      <c r="J2164" s="5" t="s">
        <v>53</v>
      </c>
      <c r="K2164" t="s">
        <v>93</v>
      </c>
      <c r="L2164" s="6">
        <v>43282</v>
      </c>
      <c r="M2164">
        <v>7</v>
      </c>
      <c r="N2164" s="7" t="s">
        <v>55</v>
      </c>
      <c r="O2164" t="s">
        <v>418</v>
      </c>
      <c r="P2164" t="s">
        <v>802</v>
      </c>
      <c r="Q2164" t="s">
        <v>803</v>
      </c>
      <c r="R2164" t="s">
        <v>804</v>
      </c>
    </row>
    <row r="2165" spans="1:18" hidden="1">
      <c r="A2165">
        <v>12</v>
      </c>
      <c r="B2165" s="4" t="s">
        <v>901</v>
      </c>
      <c r="C2165" s="4" t="s">
        <v>1414</v>
      </c>
      <c r="D2165" s="4" t="s">
        <v>1445</v>
      </c>
      <c r="E2165" s="4" t="s">
        <v>5804</v>
      </c>
      <c r="F2165" t="s">
        <v>534</v>
      </c>
      <c r="G2165" t="s">
        <v>543</v>
      </c>
      <c r="H2165" t="s">
        <v>53</v>
      </c>
      <c r="I2165" t="s">
        <v>53</v>
      </c>
      <c r="J2165" s="5" t="s">
        <v>53</v>
      </c>
      <c r="K2165" t="s">
        <v>65</v>
      </c>
      <c r="L2165" s="6">
        <v>42430</v>
      </c>
      <c r="M2165">
        <v>3</v>
      </c>
      <c r="N2165" s="7" t="s">
        <v>23</v>
      </c>
      <c r="O2165" t="s">
        <v>979</v>
      </c>
      <c r="P2165" t="s">
        <v>1446</v>
      </c>
      <c r="Q2165" t="s">
        <v>1447</v>
      </c>
      <c r="R2165" t="s">
        <v>1448</v>
      </c>
    </row>
    <row r="2166" spans="1:18" hidden="1">
      <c r="A2166">
        <v>12</v>
      </c>
      <c r="B2166" s="4" t="s">
        <v>901</v>
      </c>
      <c r="C2166" s="4" t="s">
        <v>1414</v>
      </c>
      <c r="D2166" s="4" t="s">
        <v>1445</v>
      </c>
      <c r="E2166" s="4" t="s">
        <v>5804</v>
      </c>
      <c r="F2166" t="s">
        <v>534</v>
      </c>
      <c r="G2166" t="s">
        <v>543</v>
      </c>
      <c r="H2166" t="s">
        <v>53</v>
      </c>
      <c r="I2166" t="s">
        <v>53</v>
      </c>
      <c r="J2166" s="5" t="s">
        <v>53</v>
      </c>
      <c r="K2166" t="s">
        <v>267</v>
      </c>
      <c r="L2166" s="6">
        <v>44044</v>
      </c>
      <c r="M2166">
        <v>8</v>
      </c>
      <c r="N2166" s="7" t="s">
        <v>55</v>
      </c>
      <c r="O2166" t="s">
        <v>979</v>
      </c>
      <c r="P2166" t="s">
        <v>1449</v>
      </c>
      <c r="Q2166" t="s">
        <v>1450</v>
      </c>
      <c r="R2166" t="s">
        <v>1451</v>
      </c>
    </row>
    <row r="2167" spans="1:18" hidden="1">
      <c r="A2167">
        <v>12</v>
      </c>
      <c r="B2167" s="4" t="s">
        <v>901</v>
      </c>
      <c r="C2167" s="4" t="s">
        <v>1672</v>
      </c>
      <c r="D2167" s="4" t="s">
        <v>1673</v>
      </c>
      <c r="E2167" s="4" t="s">
        <v>5804</v>
      </c>
      <c r="F2167" t="s">
        <v>534</v>
      </c>
      <c r="G2167" t="s">
        <v>543</v>
      </c>
      <c r="H2167" t="s">
        <v>53</v>
      </c>
      <c r="I2167" t="s">
        <v>53</v>
      </c>
      <c r="J2167" s="5" t="s">
        <v>53</v>
      </c>
      <c r="K2167" t="s">
        <v>29</v>
      </c>
      <c r="L2167" s="6">
        <v>43070</v>
      </c>
      <c r="M2167">
        <v>12</v>
      </c>
      <c r="N2167" s="7" t="s">
        <v>30</v>
      </c>
      <c r="O2167" t="s">
        <v>979</v>
      </c>
      <c r="P2167" t="s">
        <v>1789</v>
      </c>
      <c r="Q2167" t="s">
        <v>1790</v>
      </c>
      <c r="R2167" t="s">
        <v>1791</v>
      </c>
    </row>
    <row r="2168" spans="1:18" hidden="1">
      <c r="A2168">
        <v>2</v>
      </c>
      <c r="B2168" s="4" t="s">
        <v>1952</v>
      </c>
      <c r="C2168" s="4" t="s">
        <v>2349</v>
      </c>
      <c r="D2168" s="4" t="s">
        <v>2354</v>
      </c>
      <c r="E2168" s="4" t="s">
        <v>5804</v>
      </c>
      <c r="F2168" t="s">
        <v>534</v>
      </c>
      <c r="G2168" t="s">
        <v>543</v>
      </c>
      <c r="H2168" t="s">
        <v>53</v>
      </c>
      <c r="I2168" t="s">
        <v>53</v>
      </c>
      <c r="J2168" s="5" t="s">
        <v>53</v>
      </c>
      <c r="K2168" t="s">
        <v>395</v>
      </c>
      <c r="L2168" s="6">
        <v>43497</v>
      </c>
      <c r="M2168">
        <v>2</v>
      </c>
      <c r="N2168" s="7" t="s">
        <v>30</v>
      </c>
      <c r="O2168" t="s">
        <v>979</v>
      </c>
      <c r="P2168" t="s">
        <v>2361</v>
      </c>
      <c r="Q2168" t="s">
        <v>2362</v>
      </c>
      <c r="R2168" t="s">
        <v>2363</v>
      </c>
    </row>
    <row r="2169" spans="1:18" hidden="1">
      <c r="A2169">
        <v>4</v>
      </c>
      <c r="B2169" s="4" t="s">
        <v>3127</v>
      </c>
      <c r="C2169" s="4" t="s">
        <v>3506</v>
      </c>
      <c r="D2169" s="4" t="s">
        <v>3537</v>
      </c>
      <c r="E2169" s="4" t="s">
        <v>5804</v>
      </c>
      <c r="F2169" t="s">
        <v>534</v>
      </c>
      <c r="G2169" t="s">
        <v>543</v>
      </c>
      <c r="H2169" t="s">
        <v>53</v>
      </c>
      <c r="I2169" t="s">
        <v>53</v>
      </c>
      <c r="J2169" s="5" t="s">
        <v>53</v>
      </c>
      <c r="K2169" t="s">
        <v>35</v>
      </c>
      <c r="L2169" s="6">
        <v>43160</v>
      </c>
      <c r="M2169">
        <v>3</v>
      </c>
      <c r="N2169" s="7" t="s">
        <v>23</v>
      </c>
      <c r="O2169" t="s">
        <v>979</v>
      </c>
      <c r="P2169" t="s">
        <v>3554</v>
      </c>
      <c r="Q2169" t="s">
        <v>3555</v>
      </c>
      <c r="R2169" t="s">
        <v>3556</v>
      </c>
    </row>
    <row r="2170" spans="1:18" hidden="1">
      <c r="A2170">
        <v>4</v>
      </c>
      <c r="B2170" s="4" t="s">
        <v>3127</v>
      </c>
      <c r="C2170" s="4" t="s">
        <v>4035</v>
      </c>
      <c r="D2170" s="4" t="s">
        <v>4080</v>
      </c>
      <c r="E2170" s="4" t="s">
        <v>5804</v>
      </c>
      <c r="F2170" t="s">
        <v>534</v>
      </c>
      <c r="G2170" t="s">
        <v>535</v>
      </c>
      <c r="H2170" t="s">
        <v>53</v>
      </c>
      <c r="I2170" t="s">
        <v>53</v>
      </c>
      <c r="J2170" s="5" t="s">
        <v>53</v>
      </c>
      <c r="K2170" t="s">
        <v>178</v>
      </c>
      <c r="L2170" s="6">
        <v>44228</v>
      </c>
      <c r="M2170">
        <v>2</v>
      </c>
      <c r="N2170" s="7" t="s">
        <v>30</v>
      </c>
      <c r="O2170" t="s">
        <v>418</v>
      </c>
      <c r="P2170" t="s">
        <v>4191</v>
      </c>
      <c r="Q2170" t="s">
        <v>4192</v>
      </c>
      <c r="R2170" t="s">
        <v>4193</v>
      </c>
    </row>
    <row r="2171" spans="1:18" hidden="1">
      <c r="A2171">
        <v>5</v>
      </c>
      <c r="B2171" s="4" t="s">
        <v>4600</v>
      </c>
      <c r="C2171" s="4" t="s">
        <v>4601</v>
      </c>
      <c r="D2171" s="4" t="s">
        <v>4748</v>
      </c>
      <c r="E2171" s="4" t="s">
        <v>5804</v>
      </c>
      <c r="F2171" t="s">
        <v>534</v>
      </c>
      <c r="G2171" t="s">
        <v>535</v>
      </c>
      <c r="H2171" t="s">
        <v>53</v>
      </c>
      <c r="I2171" t="s">
        <v>53</v>
      </c>
      <c r="J2171" s="5" t="s">
        <v>53</v>
      </c>
      <c r="K2171" t="s">
        <v>204</v>
      </c>
      <c r="L2171" s="6">
        <v>43831</v>
      </c>
      <c r="M2171">
        <v>1</v>
      </c>
      <c r="N2171" s="7" t="s">
        <v>30</v>
      </c>
      <c r="O2171" t="s">
        <v>24</v>
      </c>
      <c r="P2171" t="s">
        <v>4824</v>
      </c>
      <c r="Q2171" t="s">
        <v>4825</v>
      </c>
      <c r="R2171" t="s">
        <v>4826</v>
      </c>
    </row>
    <row r="2172" spans="1:18" hidden="1">
      <c r="A2172">
        <v>5</v>
      </c>
      <c r="B2172" s="4" t="s">
        <v>4600</v>
      </c>
      <c r="C2172" s="4" t="s">
        <v>4933</v>
      </c>
      <c r="D2172" s="4" t="s">
        <v>5014</v>
      </c>
      <c r="E2172" s="4" t="s">
        <v>5804</v>
      </c>
      <c r="F2172" t="s">
        <v>534</v>
      </c>
      <c r="G2172" t="s">
        <v>535</v>
      </c>
      <c r="H2172" t="s">
        <v>53</v>
      </c>
      <c r="I2172" t="s">
        <v>53</v>
      </c>
      <c r="J2172" s="5" t="s">
        <v>53</v>
      </c>
      <c r="K2172" t="s">
        <v>102</v>
      </c>
      <c r="L2172" s="6">
        <v>44287</v>
      </c>
      <c r="M2172">
        <v>4</v>
      </c>
      <c r="N2172" s="7" t="s">
        <v>23</v>
      </c>
      <c r="O2172" t="s">
        <v>31</v>
      </c>
      <c r="P2172" t="s">
        <v>5363</v>
      </c>
      <c r="Q2172" t="s">
        <v>5364</v>
      </c>
      <c r="R2172" t="s">
        <v>5365</v>
      </c>
    </row>
    <row r="2173" spans="1:18" hidden="1">
      <c r="A2173">
        <v>5</v>
      </c>
      <c r="B2173" s="4" t="s">
        <v>4600</v>
      </c>
      <c r="C2173" s="4" t="s">
        <v>4933</v>
      </c>
      <c r="D2173" s="4" t="s">
        <v>5014</v>
      </c>
      <c r="E2173" s="4" t="s">
        <v>5804</v>
      </c>
      <c r="F2173" t="s">
        <v>534</v>
      </c>
      <c r="G2173" t="s">
        <v>543</v>
      </c>
      <c r="H2173" t="s">
        <v>53</v>
      </c>
      <c r="I2173" t="s">
        <v>53</v>
      </c>
      <c r="J2173" s="5" t="s">
        <v>53</v>
      </c>
      <c r="K2173" t="s">
        <v>630</v>
      </c>
      <c r="L2173" s="6">
        <v>44378</v>
      </c>
      <c r="M2173">
        <v>7</v>
      </c>
      <c r="N2173" s="7" t="s">
        <v>55</v>
      </c>
      <c r="O2173" t="s">
        <v>72</v>
      </c>
      <c r="P2173" t="s">
        <v>5370</v>
      </c>
      <c r="Q2173" t="s">
        <v>5371</v>
      </c>
      <c r="R2173" t="s">
        <v>3556</v>
      </c>
    </row>
    <row r="2174" spans="1:18" hidden="1">
      <c r="A2174">
        <v>5</v>
      </c>
      <c r="B2174" s="4" t="s">
        <v>4600</v>
      </c>
      <c r="C2174" s="4" t="s">
        <v>5385</v>
      </c>
      <c r="D2174" s="4" t="s">
        <v>5386</v>
      </c>
      <c r="E2174" s="4" t="s">
        <v>5804</v>
      </c>
      <c r="F2174" t="s">
        <v>534</v>
      </c>
      <c r="G2174" t="s">
        <v>543</v>
      </c>
      <c r="H2174" t="s">
        <v>53</v>
      </c>
      <c r="I2174" t="s">
        <v>53</v>
      </c>
      <c r="J2174" s="5" t="s">
        <v>53</v>
      </c>
      <c r="K2174" t="s">
        <v>29</v>
      </c>
      <c r="L2174" s="6">
        <v>43070</v>
      </c>
      <c r="M2174">
        <v>12</v>
      </c>
      <c r="N2174" s="7" t="s">
        <v>30</v>
      </c>
      <c r="O2174" t="s">
        <v>36</v>
      </c>
      <c r="P2174" t="s">
        <v>5403</v>
      </c>
      <c r="Q2174" t="s">
        <v>5404</v>
      </c>
      <c r="R2174" t="s">
        <v>5405</v>
      </c>
    </row>
    <row r="2175" spans="1:18" hidden="1">
      <c r="A2175">
        <v>12</v>
      </c>
      <c r="B2175" s="4" t="s">
        <v>901</v>
      </c>
      <c r="C2175" s="4" t="s">
        <v>902</v>
      </c>
      <c r="D2175" s="4" t="s">
        <v>903</v>
      </c>
      <c r="E2175" s="4" t="s">
        <v>5804</v>
      </c>
      <c r="F2175" t="s">
        <v>571</v>
      </c>
      <c r="G2175" t="s">
        <v>1093</v>
      </c>
      <c r="H2175" t="s">
        <v>21</v>
      </c>
      <c r="I2175">
        <v>4</v>
      </c>
      <c r="J2175" s="5">
        <v>6.9000000000000006E-2</v>
      </c>
      <c r="K2175" t="s">
        <v>99</v>
      </c>
      <c r="L2175" s="6">
        <v>43891</v>
      </c>
      <c r="M2175">
        <v>3</v>
      </c>
      <c r="N2175" s="7" t="s">
        <v>23</v>
      </c>
      <c r="O2175" t="s">
        <v>31</v>
      </c>
      <c r="P2175" t="s">
        <v>1094</v>
      </c>
      <c r="Q2175" t="s">
        <v>1095</v>
      </c>
      <c r="R2175" t="s">
        <v>1096</v>
      </c>
    </row>
    <row r="2176" spans="1:18" hidden="1">
      <c r="A2176">
        <v>12</v>
      </c>
      <c r="B2176" s="4" t="s">
        <v>901</v>
      </c>
      <c r="C2176" s="4" t="s">
        <v>1161</v>
      </c>
      <c r="D2176" s="4" t="s">
        <v>1337</v>
      </c>
      <c r="E2176" s="4" t="s">
        <v>5804</v>
      </c>
      <c r="F2176" t="s">
        <v>571</v>
      </c>
      <c r="G2176" t="s">
        <v>1093</v>
      </c>
      <c r="H2176" t="s">
        <v>21</v>
      </c>
      <c r="I2176">
        <v>4</v>
      </c>
      <c r="J2176" s="5">
        <v>6.9000000000000006E-2</v>
      </c>
      <c r="K2176" t="s">
        <v>292</v>
      </c>
      <c r="L2176" s="6">
        <v>43191</v>
      </c>
      <c r="M2176">
        <v>4</v>
      </c>
      <c r="N2176" s="7" t="s">
        <v>23</v>
      </c>
      <c r="O2176" t="s">
        <v>31</v>
      </c>
      <c r="P2176" t="s">
        <v>1339</v>
      </c>
      <c r="Q2176" t="s">
        <v>1340</v>
      </c>
      <c r="R2176" t="s">
        <v>1341</v>
      </c>
    </row>
    <row r="2177" spans="1:18" hidden="1">
      <c r="A2177">
        <v>2</v>
      </c>
      <c r="B2177" s="4" t="s">
        <v>1952</v>
      </c>
      <c r="C2177" s="4" t="s">
        <v>1953</v>
      </c>
      <c r="D2177" s="4" t="s">
        <v>2224</v>
      </c>
      <c r="E2177" s="4" t="s">
        <v>5804</v>
      </c>
      <c r="F2177" t="s">
        <v>571</v>
      </c>
      <c r="G2177" t="s">
        <v>1093</v>
      </c>
      <c r="H2177" t="s">
        <v>21</v>
      </c>
      <c r="I2177">
        <v>4</v>
      </c>
      <c r="J2177" s="5">
        <v>6.9000000000000006E-2</v>
      </c>
      <c r="K2177" t="s">
        <v>234</v>
      </c>
      <c r="L2177" s="6">
        <v>42826</v>
      </c>
      <c r="M2177">
        <v>4</v>
      </c>
      <c r="N2177" s="7" t="s">
        <v>23</v>
      </c>
      <c r="O2177" t="s">
        <v>31</v>
      </c>
      <c r="P2177" t="s">
        <v>2263</v>
      </c>
      <c r="Q2177" t="s">
        <v>2264</v>
      </c>
      <c r="R2177" t="s">
        <v>2265</v>
      </c>
    </row>
    <row r="2178" spans="1:18" hidden="1">
      <c r="A2178">
        <v>2</v>
      </c>
      <c r="B2178" s="4" t="s">
        <v>1952</v>
      </c>
      <c r="C2178" s="4" t="s">
        <v>1953</v>
      </c>
      <c r="D2178" s="4" t="s">
        <v>2224</v>
      </c>
      <c r="E2178" s="4" t="s">
        <v>5804</v>
      </c>
      <c r="F2178" t="s">
        <v>571</v>
      </c>
      <c r="G2178" t="s">
        <v>1093</v>
      </c>
      <c r="H2178" t="s">
        <v>21</v>
      </c>
      <c r="I2178">
        <v>4</v>
      </c>
      <c r="J2178" s="5">
        <v>6.9000000000000006E-2</v>
      </c>
      <c r="K2178" t="s">
        <v>311</v>
      </c>
      <c r="L2178" s="6">
        <v>44256</v>
      </c>
      <c r="M2178">
        <v>3</v>
      </c>
      <c r="N2178" s="7" t="s">
        <v>23</v>
      </c>
      <c r="O2178" t="s">
        <v>31</v>
      </c>
      <c r="P2178" t="s">
        <v>2325</v>
      </c>
      <c r="Q2178" t="s">
        <v>2264</v>
      </c>
      <c r="R2178" t="s">
        <v>2265</v>
      </c>
    </row>
    <row r="2179" spans="1:18">
      <c r="A2179">
        <v>3</v>
      </c>
      <c r="B2179" s="4" t="s">
        <v>2764</v>
      </c>
      <c r="C2179" s="4" t="s">
        <v>2765</v>
      </c>
      <c r="D2179" s="4" t="s">
        <v>2816</v>
      </c>
      <c r="E2179" s="4" t="s">
        <v>5804</v>
      </c>
      <c r="F2179" t="s">
        <v>571</v>
      </c>
      <c r="G2179" t="s">
        <v>1093</v>
      </c>
      <c r="H2179" t="s">
        <v>21</v>
      </c>
      <c r="I2179">
        <v>4</v>
      </c>
      <c r="J2179" s="5">
        <v>6.9000000000000006E-2</v>
      </c>
      <c r="K2179" t="s">
        <v>85</v>
      </c>
      <c r="L2179" s="6">
        <v>43009</v>
      </c>
      <c r="M2179">
        <v>10</v>
      </c>
      <c r="N2179" s="7" t="s">
        <v>23</v>
      </c>
      <c r="O2179" t="s">
        <v>31</v>
      </c>
      <c r="P2179" t="s">
        <v>2901</v>
      </c>
      <c r="Q2179" t="s">
        <v>2902</v>
      </c>
      <c r="R2179" t="s">
        <v>2903</v>
      </c>
    </row>
    <row r="2180" spans="1:18">
      <c r="A2180">
        <v>3</v>
      </c>
      <c r="B2180" s="4" t="s">
        <v>2764</v>
      </c>
      <c r="C2180" s="4" t="s">
        <v>2765</v>
      </c>
      <c r="D2180" s="4" t="s">
        <v>2816</v>
      </c>
      <c r="E2180" s="4" t="s">
        <v>5804</v>
      </c>
      <c r="F2180" t="s">
        <v>571</v>
      </c>
      <c r="G2180" t="s">
        <v>1093</v>
      </c>
      <c r="H2180" t="s">
        <v>21</v>
      </c>
      <c r="I2180">
        <v>4</v>
      </c>
      <c r="J2180" s="5">
        <v>6.9000000000000006E-2</v>
      </c>
      <c r="K2180" t="s">
        <v>152</v>
      </c>
      <c r="L2180" s="6">
        <v>43374</v>
      </c>
      <c r="M2180">
        <v>10</v>
      </c>
      <c r="N2180" s="7" t="s">
        <v>23</v>
      </c>
      <c r="O2180" t="s">
        <v>31</v>
      </c>
      <c r="P2180" t="s">
        <v>2936</v>
      </c>
      <c r="Q2180" t="s">
        <v>2937</v>
      </c>
      <c r="R2180" t="s">
        <v>2938</v>
      </c>
    </row>
    <row r="2181" spans="1:18">
      <c r="A2181">
        <v>3</v>
      </c>
      <c r="B2181" s="4" t="s">
        <v>2764</v>
      </c>
      <c r="C2181" s="4" t="s">
        <v>2765</v>
      </c>
      <c r="D2181" s="4" t="s">
        <v>2816</v>
      </c>
      <c r="E2181" s="4" t="s">
        <v>5804</v>
      </c>
      <c r="F2181" t="s">
        <v>571</v>
      </c>
      <c r="G2181" t="s">
        <v>1093</v>
      </c>
      <c r="H2181" t="s">
        <v>21</v>
      </c>
      <c r="I2181">
        <v>4</v>
      </c>
      <c r="J2181" s="5">
        <v>6.9000000000000006E-2</v>
      </c>
      <c r="K2181" t="s">
        <v>43</v>
      </c>
      <c r="L2181" s="6">
        <v>43525</v>
      </c>
      <c r="M2181">
        <v>3</v>
      </c>
      <c r="N2181" s="7" t="s">
        <v>23</v>
      </c>
      <c r="O2181" t="s">
        <v>31</v>
      </c>
      <c r="P2181" t="s">
        <v>2956</v>
      </c>
      <c r="Q2181" t="s">
        <v>2937</v>
      </c>
      <c r="R2181" t="s">
        <v>2938</v>
      </c>
    </row>
    <row r="2182" spans="1:18" hidden="1">
      <c r="A2182">
        <v>4</v>
      </c>
      <c r="B2182" s="4" t="s">
        <v>3127</v>
      </c>
      <c r="C2182" s="4" t="s">
        <v>3128</v>
      </c>
      <c r="D2182" s="4" t="s">
        <v>3129</v>
      </c>
      <c r="E2182" s="4" t="s">
        <v>5804</v>
      </c>
      <c r="F2182" t="s">
        <v>571</v>
      </c>
      <c r="G2182" t="s">
        <v>1093</v>
      </c>
      <c r="H2182" t="s">
        <v>21</v>
      </c>
      <c r="I2182">
        <v>4</v>
      </c>
      <c r="J2182" s="5">
        <v>6.9000000000000006E-2</v>
      </c>
      <c r="K2182" t="s">
        <v>168</v>
      </c>
      <c r="L2182" s="6">
        <v>43678</v>
      </c>
      <c r="M2182">
        <v>8</v>
      </c>
      <c r="N2182" s="7" t="s">
        <v>55</v>
      </c>
      <c r="O2182" t="s">
        <v>36</v>
      </c>
      <c r="P2182" t="s">
        <v>3174</v>
      </c>
      <c r="Q2182" t="s">
        <v>3175</v>
      </c>
      <c r="R2182" t="s">
        <v>3176</v>
      </c>
    </row>
    <row r="2183" spans="1:18" hidden="1">
      <c r="A2183">
        <v>4</v>
      </c>
      <c r="B2183" s="4" t="s">
        <v>3127</v>
      </c>
      <c r="C2183" s="4" t="s">
        <v>3128</v>
      </c>
      <c r="D2183" s="4" t="s">
        <v>3129</v>
      </c>
      <c r="E2183" s="4" t="s">
        <v>5804</v>
      </c>
      <c r="F2183" t="s">
        <v>571</v>
      </c>
      <c r="G2183" t="s">
        <v>1093</v>
      </c>
      <c r="H2183" t="s">
        <v>21</v>
      </c>
      <c r="I2183">
        <v>4</v>
      </c>
      <c r="J2183" s="5">
        <v>6.9000000000000006E-2</v>
      </c>
      <c r="K2183" t="s">
        <v>311</v>
      </c>
      <c r="L2183" s="6">
        <v>44256</v>
      </c>
      <c r="M2183">
        <v>3</v>
      </c>
      <c r="N2183" s="7" t="s">
        <v>23</v>
      </c>
      <c r="O2183" t="s">
        <v>31</v>
      </c>
      <c r="P2183" t="s">
        <v>3184</v>
      </c>
      <c r="Q2183" t="s">
        <v>3185</v>
      </c>
      <c r="R2183" t="s">
        <v>3186</v>
      </c>
    </row>
    <row r="2184" spans="1:18" hidden="1">
      <c r="A2184">
        <v>4</v>
      </c>
      <c r="B2184" s="4" t="s">
        <v>3127</v>
      </c>
      <c r="C2184" s="4" t="s">
        <v>3128</v>
      </c>
      <c r="D2184" s="4" t="s">
        <v>3190</v>
      </c>
      <c r="E2184" s="4" t="s">
        <v>5804</v>
      </c>
      <c r="F2184" t="s">
        <v>571</v>
      </c>
      <c r="G2184" t="s">
        <v>1093</v>
      </c>
      <c r="H2184" t="s">
        <v>21</v>
      </c>
      <c r="I2184">
        <v>4</v>
      </c>
      <c r="J2184" s="5">
        <v>6.9000000000000006E-2</v>
      </c>
      <c r="K2184" t="s">
        <v>115</v>
      </c>
      <c r="L2184" s="6">
        <v>42461</v>
      </c>
      <c r="M2184">
        <v>4</v>
      </c>
      <c r="N2184" s="7" t="s">
        <v>23</v>
      </c>
      <c r="O2184" t="s">
        <v>31</v>
      </c>
      <c r="P2184" t="s">
        <v>3191</v>
      </c>
      <c r="Q2184" t="s">
        <v>3192</v>
      </c>
      <c r="R2184" t="s">
        <v>3186</v>
      </c>
    </row>
    <row r="2185" spans="1:18" hidden="1">
      <c r="A2185">
        <v>4</v>
      </c>
      <c r="B2185" s="4" t="s">
        <v>3127</v>
      </c>
      <c r="C2185" s="4" t="s">
        <v>3128</v>
      </c>
      <c r="D2185" s="4" t="s">
        <v>3190</v>
      </c>
      <c r="E2185" s="4" t="s">
        <v>5804</v>
      </c>
      <c r="F2185" t="s">
        <v>571</v>
      </c>
      <c r="G2185" t="s">
        <v>1093</v>
      </c>
      <c r="H2185" t="s">
        <v>21</v>
      </c>
      <c r="I2185">
        <v>4</v>
      </c>
      <c r="J2185" s="5">
        <v>6.9000000000000006E-2</v>
      </c>
      <c r="K2185" t="s">
        <v>22</v>
      </c>
      <c r="L2185" s="6">
        <v>42979</v>
      </c>
      <c r="M2185">
        <v>9</v>
      </c>
      <c r="N2185" s="7" t="s">
        <v>23</v>
      </c>
      <c r="O2185" t="s">
        <v>31</v>
      </c>
      <c r="P2185" t="s">
        <v>3214</v>
      </c>
      <c r="Q2185" t="s">
        <v>3192</v>
      </c>
      <c r="R2185" t="s">
        <v>3186</v>
      </c>
    </row>
    <row r="2186" spans="1:18" hidden="1">
      <c r="A2186">
        <v>4</v>
      </c>
      <c r="B2186" s="4" t="s">
        <v>3127</v>
      </c>
      <c r="C2186" s="4" t="s">
        <v>3128</v>
      </c>
      <c r="D2186" s="4" t="s">
        <v>3190</v>
      </c>
      <c r="E2186" s="4" t="s">
        <v>5804</v>
      </c>
      <c r="F2186" t="s">
        <v>571</v>
      </c>
      <c r="G2186" t="s">
        <v>1093</v>
      </c>
      <c r="H2186" t="s">
        <v>21</v>
      </c>
      <c r="I2186">
        <v>4</v>
      </c>
      <c r="J2186" s="5">
        <v>6.9000000000000006E-2</v>
      </c>
      <c r="K2186" t="s">
        <v>395</v>
      </c>
      <c r="L2186" s="6">
        <v>43497</v>
      </c>
      <c r="M2186">
        <v>2</v>
      </c>
      <c r="N2186" s="7" t="s">
        <v>30</v>
      </c>
      <c r="O2186" t="s">
        <v>31</v>
      </c>
      <c r="P2186" t="s">
        <v>3226</v>
      </c>
      <c r="Q2186" t="s">
        <v>3227</v>
      </c>
      <c r="R2186" t="s">
        <v>3228</v>
      </c>
    </row>
    <row r="2187" spans="1:18" hidden="1">
      <c r="A2187">
        <v>4</v>
      </c>
      <c r="B2187" s="4" t="s">
        <v>3127</v>
      </c>
      <c r="C2187" s="4" t="s">
        <v>3128</v>
      </c>
      <c r="D2187" s="4" t="s">
        <v>3190</v>
      </c>
      <c r="E2187" s="4" t="s">
        <v>5804</v>
      </c>
      <c r="F2187" t="s">
        <v>571</v>
      </c>
      <c r="G2187" t="s">
        <v>1093</v>
      </c>
      <c r="H2187" t="s">
        <v>21</v>
      </c>
      <c r="I2187">
        <v>4</v>
      </c>
      <c r="J2187" s="5">
        <v>6.9000000000000006E-2</v>
      </c>
      <c r="K2187" t="s">
        <v>357</v>
      </c>
      <c r="L2187" s="6">
        <v>43739</v>
      </c>
      <c r="M2187">
        <v>10</v>
      </c>
      <c r="N2187" s="7" t="s">
        <v>23</v>
      </c>
      <c r="O2187" t="s">
        <v>31</v>
      </c>
      <c r="P2187" t="s">
        <v>3233</v>
      </c>
      <c r="Q2187" t="s">
        <v>3185</v>
      </c>
      <c r="R2187" t="s">
        <v>3186</v>
      </c>
    </row>
    <row r="2188" spans="1:18" hidden="1">
      <c r="A2188">
        <v>4</v>
      </c>
      <c r="B2188" s="4" t="s">
        <v>3127</v>
      </c>
      <c r="C2188" s="4" t="s">
        <v>3128</v>
      </c>
      <c r="D2188" s="4" t="s">
        <v>3247</v>
      </c>
      <c r="E2188" s="4" t="s">
        <v>5804</v>
      </c>
      <c r="F2188" t="s">
        <v>571</v>
      </c>
      <c r="G2188" t="s">
        <v>1093</v>
      </c>
      <c r="H2188" t="s">
        <v>21</v>
      </c>
      <c r="I2188">
        <v>4</v>
      </c>
      <c r="J2188" s="5">
        <v>6.9000000000000006E-2</v>
      </c>
      <c r="K2188" t="s">
        <v>71</v>
      </c>
      <c r="L2188" s="6">
        <v>42522</v>
      </c>
      <c r="M2188">
        <v>6</v>
      </c>
      <c r="N2188" s="7" t="s">
        <v>55</v>
      </c>
      <c r="O2188" t="s">
        <v>31</v>
      </c>
      <c r="P2188" t="s">
        <v>3262</v>
      </c>
      <c r="Q2188" t="s">
        <v>3263</v>
      </c>
      <c r="R2188" t="s">
        <v>3264</v>
      </c>
    </row>
    <row r="2189" spans="1:18" hidden="1">
      <c r="A2189">
        <v>4</v>
      </c>
      <c r="B2189" s="4" t="s">
        <v>3127</v>
      </c>
      <c r="C2189" s="4" t="s">
        <v>3128</v>
      </c>
      <c r="D2189" s="4" t="s">
        <v>3247</v>
      </c>
      <c r="E2189" s="4" t="s">
        <v>5804</v>
      </c>
      <c r="F2189" t="s">
        <v>571</v>
      </c>
      <c r="G2189" t="s">
        <v>1093</v>
      </c>
      <c r="H2189" t="s">
        <v>21</v>
      </c>
      <c r="I2189">
        <v>4</v>
      </c>
      <c r="J2189" s="5">
        <v>6.9000000000000006E-2</v>
      </c>
      <c r="K2189" t="s">
        <v>35</v>
      </c>
      <c r="L2189" s="6">
        <v>43160</v>
      </c>
      <c r="M2189">
        <v>3</v>
      </c>
      <c r="N2189" s="7" t="s">
        <v>23</v>
      </c>
      <c r="O2189" t="s">
        <v>31</v>
      </c>
      <c r="P2189" t="s">
        <v>3323</v>
      </c>
      <c r="Q2189" t="s">
        <v>3263</v>
      </c>
      <c r="R2189" t="s">
        <v>3264</v>
      </c>
    </row>
    <row r="2190" spans="1:18" hidden="1">
      <c r="A2190">
        <v>4</v>
      </c>
      <c r="B2190" s="4" t="s">
        <v>3127</v>
      </c>
      <c r="C2190" s="4" t="s">
        <v>3128</v>
      </c>
      <c r="D2190" s="4" t="s">
        <v>3247</v>
      </c>
      <c r="E2190" s="4" t="s">
        <v>5804</v>
      </c>
      <c r="F2190" t="s">
        <v>571</v>
      </c>
      <c r="G2190" t="s">
        <v>1093</v>
      </c>
      <c r="H2190" t="s">
        <v>21</v>
      </c>
      <c r="I2190">
        <v>4</v>
      </c>
      <c r="J2190" s="5">
        <v>6.9000000000000006E-2</v>
      </c>
      <c r="K2190" t="s">
        <v>482</v>
      </c>
      <c r="L2190" s="6">
        <v>43435</v>
      </c>
      <c r="M2190">
        <v>12</v>
      </c>
      <c r="N2190" s="7" t="s">
        <v>30</v>
      </c>
      <c r="O2190" t="s">
        <v>31</v>
      </c>
      <c r="P2190" t="s">
        <v>3346</v>
      </c>
      <c r="Q2190" t="s">
        <v>3185</v>
      </c>
      <c r="R2190" t="s">
        <v>3186</v>
      </c>
    </row>
    <row r="2191" spans="1:18" hidden="1">
      <c r="A2191">
        <v>4</v>
      </c>
      <c r="B2191" s="4" t="s">
        <v>3127</v>
      </c>
      <c r="C2191" s="4" t="s">
        <v>3128</v>
      </c>
      <c r="D2191" s="4" t="s">
        <v>3247</v>
      </c>
      <c r="E2191" s="4" t="s">
        <v>5804</v>
      </c>
      <c r="F2191" t="s">
        <v>571</v>
      </c>
      <c r="G2191" t="s">
        <v>1093</v>
      </c>
      <c r="H2191" t="s">
        <v>21</v>
      </c>
      <c r="I2191">
        <v>4</v>
      </c>
      <c r="J2191" s="5">
        <v>6.9000000000000006E-2</v>
      </c>
      <c r="K2191" t="s">
        <v>159</v>
      </c>
      <c r="L2191" s="6">
        <v>43586</v>
      </c>
      <c r="M2191">
        <v>5</v>
      </c>
      <c r="N2191" s="7" t="s">
        <v>23</v>
      </c>
      <c r="O2191" t="s">
        <v>31</v>
      </c>
      <c r="P2191" t="s">
        <v>3351</v>
      </c>
      <c r="Q2191" t="s">
        <v>3185</v>
      </c>
      <c r="R2191" t="s">
        <v>3186</v>
      </c>
    </row>
    <row r="2192" spans="1:18" hidden="1">
      <c r="A2192">
        <v>4</v>
      </c>
      <c r="B2192" s="4" t="s">
        <v>3127</v>
      </c>
      <c r="C2192" s="4" t="s">
        <v>3128</v>
      </c>
      <c r="D2192" s="4" t="s">
        <v>3247</v>
      </c>
      <c r="E2192" s="4" t="s">
        <v>5804</v>
      </c>
      <c r="F2192" t="s">
        <v>571</v>
      </c>
      <c r="G2192" t="s">
        <v>1093</v>
      </c>
      <c r="H2192" t="s">
        <v>21</v>
      </c>
      <c r="I2192">
        <v>4</v>
      </c>
      <c r="J2192" s="5">
        <v>6.9000000000000006E-2</v>
      </c>
      <c r="K2192" t="s">
        <v>304</v>
      </c>
      <c r="L2192" s="6">
        <v>43647</v>
      </c>
      <c r="M2192">
        <v>7</v>
      </c>
      <c r="N2192" s="7" t="s">
        <v>55</v>
      </c>
      <c r="O2192" t="s">
        <v>31</v>
      </c>
      <c r="P2192" t="s">
        <v>3355</v>
      </c>
      <c r="Q2192" t="s">
        <v>3185</v>
      </c>
      <c r="R2192" t="s">
        <v>3186</v>
      </c>
    </row>
    <row r="2193" spans="1:18" hidden="1">
      <c r="A2193">
        <v>4</v>
      </c>
      <c r="B2193" s="4" t="s">
        <v>3127</v>
      </c>
      <c r="C2193" s="4" t="s">
        <v>3128</v>
      </c>
      <c r="D2193" s="4" t="s">
        <v>3247</v>
      </c>
      <c r="E2193" s="4" t="s">
        <v>5804</v>
      </c>
      <c r="F2193" t="s">
        <v>571</v>
      </c>
      <c r="G2193" t="s">
        <v>1093</v>
      </c>
      <c r="H2193" t="s">
        <v>21</v>
      </c>
      <c r="I2193">
        <v>4</v>
      </c>
      <c r="J2193" s="5">
        <v>6.9000000000000006E-2</v>
      </c>
      <c r="K2193" t="s">
        <v>645</v>
      </c>
      <c r="L2193" s="6">
        <v>44440</v>
      </c>
      <c r="M2193">
        <v>9</v>
      </c>
      <c r="N2193" s="7" t="s">
        <v>23</v>
      </c>
      <c r="O2193" t="s">
        <v>31</v>
      </c>
      <c r="P2193" t="s">
        <v>3369</v>
      </c>
      <c r="Q2193" t="s">
        <v>3227</v>
      </c>
      <c r="R2193" t="s">
        <v>3228</v>
      </c>
    </row>
    <row r="2194" spans="1:18" hidden="1">
      <c r="A2194">
        <v>4</v>
      </c>
      <c r="B2194" s="4" t="s">
        <v>3127</v>
      </c>
      <c r="C2194" s="4" t="s">
        <v>3374</v>
      </c>
      <c r="D2194" s="4" t="s">
        <v>3375</v>
      </c>
      <c r="E2194" s="4" t="s">
        <v>5804</v>
      </c>
      <c r="F2194" t="s">
        <v>571</v>
      </c>
      <c r="G2194" t="s">
        <v>1093</v>
      </c>
      <c r="H2194" t="s">
        <v>21</v>
      </c>
      <c r="I2194">
        <v>4</v>
      </c>
      <c r="J2194" s="5">
        <v>6.9000000000000006E-2</v>
      </c>
      <c r="K2194" t="s">
        <v>93</v>
      </c>
      <c r="L2194" s="6">
        <v>43282</v>
      </c>
      <c r="M2194">
        <v>7</v>
      </c>
      <c r="N2194" s="7" t="s">
        <v>55</v>
      </c>
      <c r="O2194" t="s">
        <v>31</v>
      </c>
      <c r="P2194" t="s">
        <v>3438</v>
      </c>
      <c r="Q2194" t="s">
        <v>3185</v>
      </c>
      <c r="R2194" t="s">
        <v>3186</v>
      </c>
    </row>
    <row r="2195" spans="1:18" hidden="1">
      <c r="A2195">
        <v>4</v>
      </c>
      <c r="B2195" s="4" t="s">
        <v>3127</v>
      </c>
      <c r="C2195" s="4" t="s">
        <v>3597</v>
      </c>
      <c r="D2195" s="4" t="s">
        <v>3617</v>
      </c>
      <c r="E2195" s="4" t="s">
        <v>5804</v>
      </c>
      <c r="F2195" t="s">
        <v>571</v>
      </c>
      <c r="G2195" t="s">
        <v>1093</v>
      </c>
      <c r="H2195" t="s">
        <v>21</v>
      </c>
      <c r="I2195">
        <v>4</v>
      </c>
      <c r="J2195" s="5">
        <v>6.9000000000000006E-2</v>
      </c>
      <c r="K2195" t="s">
        <v>85</v>
      </c>
      <c r="L2195" s="6">
        <v>43009</v>
      </c>
      <c r="M2195">
        <v>10</v>
      </c>
      <c r="N2195" s="7" t="s">
        <v>23</v>
      </c>
      <c r="O2195" t="s">
        <v>31</v>
      </c>
      <c r="P2195" t="s">
        <v>3634</v>
      </c>
      <c r="Q2195" t="s">
        <v>3635</v>
      </c>
      <c r="R2195" t="s">
        <v>3186</v>
      </c>
    </row>
    <row r="2196" spans="1:18" hidden="1">
      <c r="A2196">
        <v>4</v>
      </c>
      <c r="B2196" s="4" t="s">
        <v>3127</v>
      </c>
      <c r="C2196" s="4" t="s">
        <v>3597</v>
      </c>
      <c r="D2196" s="4" t="s">
        <v>3617</v>
      </c>
      <c r="E2196" s="4" t="s">
        <v>5804</v>
      </c>
      <c r="F2196" t="s">
        <v>571</v>
      </c>
      <c r="G2196" t="s">
        <v>1093</v>
      </c>
      <c r="H2196" t="s">
        <v>21</v>
      </c>
      <c r="I2196">
        <v>4</v>
      </c>
      <c r="J2196" s="5">
        <v>6.9000000000000006E-2</v>
      </c>
      <c r="K2196" t="s">
        <v>87</v>
      </c>
      <c r="L2196" s="6">
        <v>43040</v>
      </c>
      <c r="M2196">
        <v>11</v>
      </c>
      <c r="N2196" s="7" t="s">
        <v>23</v>
      </c>
      <c r="O2196" t="s">
        <v>31</v>
      </c>
      <c r="P2196" t="s">
        <v>3636</v>
      </c>
      <c r="Q2196" t="s">
        <v>3637</v>
      </c>
      <c r="R2196" t="s">
        <v>3186</v>
      </c>
    </row>
    <row r="2197" spans="1:18" hidden="1">
      <c r="A2197">
        <v>4</v>
      </c>
      <c r="B2197" s="4" t="s">
        <v>3127</v>
      </c>
      <c r="C2197" s="4" t="s">
        <v>3597</v>
      </c>
      <c r="D2197" s="4" t="s">
        <v>3617</v>
      </c>
      <c r="E2197" s="4" t="s">
        <v>5804</v>
      </c>
      <c r="F2197" t="s">
        <v>571</v>
      </c>
      <c r="G2197" t="s">
        <v>1093</v>
      </c>
      <c r="H2197" t="s">
        <v>21</v>
      </c>
      <c r="I2197">
        <v>4</v>
      </c>
      <c r="J2197" s="5">
        <v>6.9000000000000006E-2</v>
      </c>
      <c r="K2197" t="s">
        <v>797</v>
      </c>
      <c r="L2197" s="6">
        <v>43252</v>
      </c>
      <c r="M2197">
        <v>6</v>
      </c>
      <c r="N2197" s="7" t="s">
        <v>55</v>
      </c>
      <c r="O2197" t="s">
        <v>31</v>
      </c>
      <c r="P2197" t="s">
        <v>3641</v>
      </c>
      <c r="Q2197" t="s">
        <v>3637</v>
      </c>
      <c r="R2197" t="s">
        <v>3186</v>
      </c>
    </row>
    <row r="2198" spans="1:18" hidden="1">
      <c r="A2198">
        <v>4</v>
      </c>
      <c r="B2198" s="4" t="s">
        <v>3127</v>
      </c>
      <c r="C2198" s="4" t="s">
        <v>3597</v>
      </c>
      <c r="D2198" s="4" t="s">
        <v>3617</v>
      </c>
      <c r="E2198" s="4" t="s">
        <v>5804</v>
      </c>
      <c r="F2198" t="s">
        <v>571</v>
      </c>
      <c r="G2198" t="s">
        <v>1093</v>
      </c>
      <c r="H2198" t="s">
        <v>21</v>
      </c>
      <c r="I2198">
        <v>4</v>
      </c>
      <c r="J2198" s="5">
        <v>6.9000000000000006E-2</v>
      </c>
      <c r="K2198" t="s">
        <v>482</v>
      </c>
      <c r="L2198" s="6">
        <v>43435</v>
      </c>
      <c r="M2198">
        <v>12</v>
      </c>
      <c r="N2198" s="7" t="s">
        <v>30</v>
      </c>
      <c r="O2198" t="s">
        <v>31</v>
      </c>
      <c r="P2198" t="s">
        <v>3642</v>
      </c>
      <c r="Q2198" t="s">
        <v>3635</v>
      </c>
      <c r="R2198" t="s">
        <v>3186</v>
      </c>
    </row>
    <row r="2199" spans="1:18" hidden="1">
      <c r="A2199">
        <v>4</v>
      </c>
      <c r="B2199" s="4" t="s">
        <v>3127</v>
      </c>
      <c r="C2199" s="4" t="s">
        <v>3597</v>
      </c>
      <c r="D2199" s="4" t="s">
        <v>3617</v>
      </c>
      <c r="E2199" s="4" t="s">
        <v>5804</v>
      </c>
      <c r="F2199" t="s">
        <v>571</v>
      </c>
      <c r="G2199" t="s">
        <v>1093</v>
      </c>
      <c r="H2199" t="s">
        <v>21</v>
      </c>
      <c r="I2199">
        <v>4</v>
      </c>
      <c r="J2199" s="5">
        <v>6.9000000000000006E-2</v>
      </c>
      <c r="K2199" t="s">
        <v>251</v>
      </c>
      <c r="L2199" s="6">
        <v>43952</v>
      </c>
      <c r="M2199">
        <v>5</v>
      </c>
      <c r="N2199" s="7" t="s">
        <v>23</v>
      </c>
      <c r="O2199" t="s">
        <v>31</v>
      </c>
      <c r="P2199" t="s">
        <v>3649</v>
      </c>
      <c r="Q2199" t="s">
        <v>3635</v>
      </c>
      <c r="R2199" t="s">
        <v>3186</v>
      </c>
    </row>
    <row r="2200" spans="1:18" hidden="1">
      <c r="A2200">
        <v>4</v>
      </c>
      <c r="B2200" s="4" t="s">
        <v>3127</v>
      </c>
      <c r="C2200" s="4" t="s">
        <v>3597</v>
      </c>
      <c r="D2200" s="4" t="s">
        <v>3660</v>
      </c>
      <c r="E2200" s="4" t="s">
        <v>5804</v>
      </c>
      <c r="F2200" t="s">
        <v>571</v>
      </c>
      <c r="G2200" t="s">
        <v>1093</v>
      </c>
      <c r="H2200" t="s">
        <v>21</v>
      </c>
      <c r="I2200">
        <v>4</v>
      </c>
      <c r="J2200" s="5">
        <v>6.9000000000000006E-2</v>
      </c>
      <c r="K2200" t="s">
        <v>35</v>
      </c>
      <c r="L2200" s="6">
        <v>43160</v>
      </c>
      <c r="M2200">
        <v>3</v>
      </c>
      <c r="N2200" s="7" t="s">
        <v>23</v>
      </c>
      <c r="O2200" t="s">
        <v>31</v>
      </c>
      <c r="P2200" t="s">
        <v>3720</v>
      </c>
      <c r="Q2200" t="s">
        <v>3721</v>
      </c>
      <c r="R2200" t="s">
        <v>3186</v>
      </c>
    </row>
    <row r="2201" spans="1:18" hidden="1">
      <c r="A2201">
        <v>4</v>
      </c>
      <c r="B2201" s="4" t="s">
        <v>3127</v>
      </c>
      <c r="C2201" s="4" t="s">
        <v>3597</v>
      </c>
      <c r="D2201" s="4" t="s">
        <v>3660</v>
      </c>
      <c r="E2201" s="4" t="s">
        <v>5804</v>
      </c>
      <c r="F2201" t="s">
        <v>571</v>
      </c>
      <c r="G2201" t="s">
        <v>1093</v>
      </c>
      <c r="H2201" t="s">
        <v>21</v>
      </c>
      <c r="I2201">
        <v>4</v>
      </c>
      <c r="J2201" s="5">
        <v>6.9000000000000006E-2</v>
      </c>
      <c r="K2201" t="s">
        <v>395</v>
      </c>
      <c r="L2201" s="6">
        <v>43497</v>
      </c>
      <c r="M2201">
        <v>2</v>
      </c>
      <c r="N2201" s="7" t="s">
        <v>30</v>
      </c>
      <c r="O2201" t="s">
        <v>31</v>
      </c>
      <c r="P2201" t="s">
        <v>3730</v>
      </c>
      <c r="Q2201" t="s">
        <v>3721</v>
      </c>
      <c r="R2201" t="s">
        <v>3186</v>
      </c>
    </row>
    <row r="2202" spans="1:18" hidden="1">
      <c r="A2202">
        <v>4</v>
      </c>
      <c r="B2202" s="4" t="s">
        <v>3127</v>
      </c>
      <c r="C2202" s="4" t="s">
        <v>3597</v>
      </c>
      <c r="D2202" s="4" t="s">
        <v>3660</v>
      </c>
      <c r="E2202" s="4" t="s">
        <v>5804</v>
      </c>
      <c r="F2202" t="s">
        <v>571</v>
      </c>
      <c r="G2202" t="s">
        <v>1093</v>
      </c>
      <c r="H2202" t="s">
        <v>21</v>
      </c>
      <c r="I2202">
        <v>4</v>
      </c>
      <c r="J2202" s="5">
        <v>6.9000000000000006E-2</v>
      </c>
      <c r="K2202" t="s">
        <v>749</v>
      </c>
      <c r="L2202" s="6">
        <v>44136</v>
      </c>
      <c r="M2202">
        <v>11</v>
      </c>
      <c r="N2202" s="7" t="s">
        <v>23</v>
      </c>
      <c r="O2202" t="s">
        <v>31</v>
      </c>
      <c r="P2202" t="s">
        <v>3769</v>
      </c>
      <c r="Q2202" t="s">
        <v>3721</v>
      </c>
      <c r="R2202" t="s">
        <v>3186</v>
      </c>
    </row>
    <row r="2203" spans="1:18" hidden="1">
      <c r="A2203">
        <v>4</v>
      </c>
      <c r="B2203" s="4" t="s">
        <v>3127</v>
      </c>
      <c r="C2203" s="4" t="s">
        <v>3789</v>
      </c>
      <c r="D2203" s="4" t="s">
        <v>3815</v>
      </c>
      <c r="E2203" s="4" t="s">
        <v>5804</v>
      </c>
      <c r="F2203" t="s">
        <v>571</v>
      </c>
      <c r="G2203" t="s">
        <v>1093</v>
      </c>
      <c r="H2203" t="s">
        <v>21</v>
      </c>
      <c r="I2203">
        <v>4</v>
      </c>
      <c r="J2203" s="5">
        <v>6.9000000000000006E-2</v>
      </c>
      <c r="K2203" t="s">
        <v>60</v>
      </c>
      <c r="L2203" s="6">
        <v>42370</v>
      </c>
      <c r="M2203">
        <v>1</v>
      </c>
      <c r="N2203" s="7" t="s">
        <v>30</v>
      </c>
      <c r="O2203" t="s">
        <v>31</v>
      </c>
      <c r="P2203" t="s">
        <v>3820</v>
      </c>
      <c r="Q2203" t="s">
        <v>3821</v>
      </c>
      <c r="R2203" t="s">
        <v>3822</v>
      </c>
    </row>
    <row r="2204" spans="1:18" hidden="1">
      <c r="A2204">
        <v>4</v>
      </c>
      <c r="B2204" s="4" t="s">
        <v>3127</v>
      </c>
      <c r="C2204" s="4" t="s">
        <v>3789</v>
      </c>
      <c r="D2204" s="4" t="s">
        <v>3815</v>
      </c>
      <c r="E2204" s="4" t="s">
        <v>5804</v>
      </c>
      <c r="F2204" t="s">
        <v>571</v>
      </c>
      <c r="G2204" t="s">
        <v>1093</v>
      </c>
      <c r="H2204" t="s">
        <v>21</v>
      </c>
      <c r="I2204">
        <v>4</v>
      </c>
      <c r="J2204" s="5">
        <v>6.9000000000000006E-2</v>
      </c>
      <c r="K2204" t="s">
        <v>80</v>
      </c>
      <c r="L2204" s="6">
        <v>42917</v>
      </c>
      <c r="M2204">
        <v>7</v>
      </c>
      <c r="N2204" s="7" t="s">
        <v>55</v>
      </c>
      <c r="O2204" t="s">
        <v>31</v>
      </c>
      <c r="P2204" t="s">
        <v>3855</v>
      </c>
      <c r="Q2204" t="s">
        <v>3856</v>
      </c>
      <c r="R2204" t="s">
        <v>3857</v>
      </c>
    </row>
    <row r="2205" spans="1:18" hidden="1">
      <c r="A2205">
        <v>4</v>
      </c>
      <c r="B2205" s="4" t="s">
        <v>3127</v>
      </c>
      <c r="C2205" s="4" t="s">
        <v>3789</v>
      </c>
      <c r="D2205" s="4" t="s">
        <v>3815</v>
      </c>
      <c r="E2205" s="4" t="s">
        <v>5804</v>
      </c>
      <c r="F2205" t="s">
        <v>571</v>
      </c>
      <c r="G2205" t="s">
        <v>1093</v>
      </c>
      <c r="H2205" t="s">
        <v>21</v>
      </c>
      <c r="I2205">
        <v>4</v>
      </c>
      <c r="J2205" s="5">
        <v>6.9000000000000006E-2</v>
      </c>
      <c r="K2205" t="s">
        <v>152</v>
      </c>
      <c r="L2205" s="6">
        <v>43374</v>
      </c>
      <c r="M2205">
        <v>10</v>
      </c>
      <c r="N2205" s="7" t="s">
        <v>23</v>
      </c>
      <c r="O2205" t="s">
        <v>31</v>
      </c>
      <c r="P2205" t="s">
        <v>3885</v>
      </c>
      <c r="Q2205" t="s">
        <v>3886</v>
      </c>
      <c r="R2205" t="s">
        <v>3887</v>
      </c>
    </row>
    <row r="2206" spans="1:18" hidden="1">
      <c r="A2206">
        <v>4</v>
      </c>
      <c r="B2206" s="4" t="s">
        <v>3127</v>
      </c>
      <c r="C2206" s="4" t="s">
        <v>3789</v>
      </c>
      <c r="D2206" s="4" t="s">
        <v>3815</v>
      </c>
      <c r="E2206" s="4" t="s">
        <v>5804</v>
      </c>
      <c r="F2206" t="s">
        <v>571</v>
      </c>
      <c r="G2206" t="s">
        <v>1093</v>
      </c>
      <c r="H2206" t="s">
        <v>21</v>
      </c>
      <c r="I2206">
        <v>4</v>
      </c>
      <c r="J2206" s="5">
        <v>6.9000000000000006E-2</v>
      </c>
      <c r="K2206" t="s">
        <v>159</v>
      </c>
      <c r="L2206" s="6">
        <v>43586</v>
      </c>
      <c r="M2206">
        <v>5</v>
      </c>
      <c r="N2206" s="7" t="s">
        <v>23</v>
      </c>
      <c r="O2206" t="s">
        <v>31</v>
      </c>
      <c r="P2206" t="s">
        <v>3892</v>
      </c>
      <c r="Q2206" t="s">
        <v>3893</v>
      </c>
      <c r="R2206" t="s">
        <v>3822</v>
      </c>
    </row>
    <row r="2207" spans="1:18" hidden="1">
      <c r="A2207">
        <v>4</v>
      </c>
      <c r="B2207" s="4" t="s">
        <v>3127</v>
      </c>
      <c r="C2207" s="4" t="s">
        <v>3789</v>
      </c>
      <c r="D2207" s="4" t="s">
        <v>3815</v>
      </c>
      <c r="E2207" s="4" t="s">
        <v>5804</v>
      </c>
      <c r="F2207" t="s">
        <v>571</v>
      </c>
      <c r="G2207" t="s">
        <v>1093</v>
      </c>
      <c r="H2207" t="s">
        <v>21</v>
      </c>
      <c r="I2207">
        <v>4</v>
      </c>
      <c r="J2207" s="5">
        <v>6.9000000000000006E-2</v>
      </c>
      <c r="K2207" t="s">
        <v>267</v>
      </c>
      <c r="L2207" s="6">
        <v>44044</v>
      </c>
      <c r="M2207">
        <v>8</v>
      </c>
      <c r="N2207" s="7" t="s">
        <v>55</v>
      </c>
      <c r="O2207" t="s">
        <v>31</v>
      </c>
      <c r="P2207" t="s">
        <v>3908</v>
      </c>
      <c r="Q2207" t="s">
        <v>3909</v>
      </c>
      <c r="R2207" t="s">
        <v>3822</v>
      </c>
    </row>
    <row r="2208" spans="1:18" hidden="1">
      <c r="A2208">
        <v>4</v>
      </c>
      <c r="B2208" s="4" t="s">
        <v>3127</v>
      </c>
      <c r="C2208" s="4" t="s">
        <v>4035</v>
      </c>
      <c r="D2208" s="4" t="s">
        <v>4036</v>
      </c>
      <c r="E2208" s="4" t="s">
        <v>5804</v>
      </c>
      <c r="F2208" t="s">
        <v>571</v>
      </c>
      <c r="G2208" t="s">
        <v>1093</v>
      </c>
      <c r="H2208" t="s">
        <v>21</v>
      </c>
      <c r="I2208">
        <v>4</v>
      </c>
      <c r="J2208" s="5">
        <v>6.9000000000000006E-2</v>
      </c>
      <c r="K2208" t="s">
        <v>304</v>
      </c>
      <c r="L2208" s="6">
        <v>43647</v>
      </c>
      <c r="M2208">
        <v>7</v>
      </c>
      <c r="N2208" s="7" t="s">
        <v>55</v>
      </c>
      <c r="O2208" t="s">
        <v>31</v>
      </c>
      <c r="P2208" t="s">
        <v>4060</v>
      </c>
      <c r="Q2208" t="s">
        <v>4061</v>
      </c>
      <c r="R2208" t="s">
        <v>4062</v>
      </c>
    </row>
    <row r="2209" spans="1:18" hidden="1">
      <c r="A2209">
        <v>4</v>
      </c>
      <c r="B2209" s="4" t="s">
        <v>3127</v>
      </c>
      <c r="C2209" s="4" t="s">
        <v>4035</v>
      </c>
      <c r="D2209" s="4" t="s">
        <v>4080</v>
      </c>
      <c r="E2209" s="4" t="s">
        <v>5804</v>
      </c>
      <c r="F2209" t="s">
        <v>571</v>
      </c>
      <c r="G2209" t="s">
        <v>1093</v>
      </c>
      <c r="H2209" t="s">
        <v>21</v>
      </c>
      <c r="I2209">
        <v>4</v>
      </c>
      <c r="J2209" s="5">
        <v>6.9000000000000006E-2</v>
      </c>
      <c r="K2209" t="s">
        <v>234</v>
      </c>
      <c r="L2209" s="6">
        <v>42826</v>
      </c>
      <c r="M2209">
        <v>4</v>
      </c>
      <c r="N2209" s="7" t="s">
        <v>23</v>
      </c>
      <c r="O2209" t="s">
        <v>31</v>
      </c>
      <c r="P2209" t="s">
        <v>4105</v>
      </c>
      <c r="Q2209" t="s">
        <v>4106</v>
      </c>
      <c r="R2209" t="s">
        <v>4062</v>
      </c>
    </row>
    <row r="2210" spans="1:18" hidden="1">
      <c r="A2210">
        <v>4</v>
      </c>
      <c r="B2210" s="4" t="s">
        <v>3127</v>
      </c>
      <c r="C2210" s="4" t="s">
        <v>4035</v>
      </c>
      <c r="D2210" s="4" t="s">
        <v>4080</v>
      </c>
      <c r="E2210" s="4" t="s">
        <v>5804</v>
      </c>
      <c r="F2210" t="s">
        <v>571</v>
      </c>
      <c r="G2210" t="s">
        <v>1093</v>
      </c>
      <c r="H2210" t="s">
        <v>21</v>
      </c>
      <c r="I2210">
        <v>4</v>
      </c>
      <c r="J2210" s="5">
        <v>6.9000000000000006E-2</v>
      </c>
      <c r="K2210" t="s">
        <v>295</v>
      </c>
      <c r="L2210" s="6">
        <v>43221</v>
      </c>
      <c r="M2210">
        <v>5</v>
      </c>
      <c r="N2210" s="7" t="s">
        <v>23</v>
      </c>
      <c r="O2210" t="s">
        <v>31</v>
      </c>
      <c r="P2210" t="s">
        <v>4126</v>
      </c>
      <c r="Q2210" t="s">
        <v>4127</v>
      </c>
      <c r="R2210" t="s">
        <v>4128</v>
      </c>
    </row>
    <row r="2211" spans="1:18" hidden="1">
      <c r="A2211">
        <v>4</v>
      </c>
      <c r="B2211" s="4" t="s">
        <v>3127</v>
      </c>
      <c r="C2211" s="4" t="s">
        <v>4035</v>
      </c>
      <c r="D2211" s="4" t="s">
        <v>4080</v>
      </c>
      <c r="E2211" s="4" t="s">
        <v>5804</v>
      </c>
      <c r="F2211" t="s">
        <v>571</v>
      </c>
      <c r="G2211" t="s">
        <v>1093</v>
      </c>
      <c r="H2211" t="s">
        <v>21</v>
      </c>
      <c r="I2211">
        <v>4</v>
      </c>
      <c r="J2211" s="5">
        <v>6.9000000000000006E-2</v>
      </c>
      <c r="K2211" t="s">
        <v>298</v>
      </c>
      <c r="L2211" s="6">
        <v>43344</v>
      </c>
      <c r="M2211">
        <v>9</v>
      </c>
      <c r="N2211" s="7" t="s">
        <v>23</v>
      </c>
      <c r="O2211" t="s">
        <v>31</v>
      </c>
      <c r="P2211" t="s">
        <v>4138</v>
      </c>
      <c r="Q2211" t="s">
        <v>4139</v>
      </c>
      <c r="R2211" t="s">
        <v>4140</v>
      </c>
    </row>
    <row r="2212" spans="1:18" hidden="1">
      <c r="A2212">
        <v>4</v>
      </c>
      <c r="B2212" s="4" t="s">
        <v>3127</v>
      </c>
      <c r="C2212" s="4" t="s">
        <v>4035</v>
      </c>
      <c r="D2212" s="4" t="s">
        <v>4080</v>
      </c>
      <c r="E2212" s="4" t="s">
        <v>5804</v>
      </c>
      <c r="F2212" t="s">
        <v>571</v>
      </c>
      <c r="G2212" t="s">
        <v>1093</v>
      </c>
      <c r="H2212" t="s">
        <v>21</v>
      </c>
      <c r="I2212">
        <v>4</v>
      </c>
      <c r="J2212" s="5">
        <v>6.9000000000000006E-2</v>
      </c>
      <c r="K2212" t="s">
        <v>156</v>
      </c>
      <c r="L2212" s="6">
        <v>43405</v>
      </c>
      <c r="M2212">
        <v>11</v>
      </c>
      <c r="N2212" s="7" t="s">
        <v>23</v>
      </c>
      <c r="O2212" t="s">
        <v>31</v>
      </c>
      <c r="P2212" t="s">
        <v>4142</v>
      </c>
      <c r="Q2212" t="s">
        <v>4106</v>
      </c>
      <c r="R2212" t="s">
        <v>4062</v>
      </c>
    </row>
    <row r="2213" spans="1:18" hidden="1">
      <c r="A2213">
        <v>4</v>
      </c>
      <c r="B2213" s="4" t="s">
        <v>3127</v>
      </c>
      <c r="C2213" s="4" t="s">
        <v>4035</v>
      </c>
      <c r="D2213" s="4" t="s">
        <v>4080</v>
      </c>
      <c r="E2213" s="4" t="s">
        <v>5804</v>
      </c>
      <c r="F2213" t="s">
        <v>571</v>
      </c>
      <c r="G2213" t="s">
        <v>1093</v>
      </c>
      <c r="H2213" t="s">
        <v>21</v>
      </c>
      <c r="I2213">
        <v>4</v>
      </c>
      <c r="J2213" s="5">
        <v>6.9000000000000006E-2</v>
      </c>
      <c r="K2213" t="s">
        <v>395</v>
      </c>
      <c r="L2213" s="6">
        <v>43497</v>
      </c>
      <c r="M2213">
        <v>2</v>
      </c>
      <c r="N2213" s="7" t="s">
        <v>30</v>
      </c>
      <c r="O2213" t="s">
        <v>31</v>
      </c>
      <c r="P2213" t="s">
        <v>4143</v>
      </c>
      <c r="Q2213" t="s">
        <v>4144</v>
      </c>
      <c r="R2213" t="s">
        <v>4062</v>
      </c>
    </row>
    <row r="2214" spans="1:18" hidden="1">
      <c r="A2214">
        <v>4</v>
      </c>
      <c r="B2214" s="4" t="s">
        <v>3127</v>
      </c>
      <c r="C2214" s="4" t="s">
        <v>4035</v>
      </c>
      <c r="D2214" s="4" t="s">
        <v>4080</v>
      </c>
      <c r="E2214" s="4" t="s">
        <v>5804</v>
      </c>
      <c r="F2214" t="s">
        <v>571</v>
      </c>
      <c r="G2214" t="s">
        <v>1093</v>
      </c>
      <c r="H2214" t="s">
        <v>21</v>
      </c>
      <c r="I2214">
        <v>4</v>
      </c>
      <c r="J2214" s="5">
        <v>6.9000000000000006E-2</v>
      </c>
      <c r="K2214" t="s">
        <v>164</v>
      </c>
      <c r="L2214" s="6">
        <v>43617</v>
      </c>
      <c r="M2214">
        <v>6</v>
      </c>
      <c r="N2214" s="7" t="s">
        <v>55</v>
      </c>
      <c r="O2214" t="s">
        <v>36</v>
      </c>
      <c r="P2214" t="s">
        <v>4150</v>
      </c>
      <c r="Q2214" t="s">
        <v>4151</v>
      </c>
      <c r="R2214" t="s">
        <v>4152</v>
      </c>
    </row>
    <row r="2215" spans="1:18" hidden="1">
      <c r="A2215">
        <v>4</v>
      </c>
      <c r="B2215" s="4" t="s">
        <v>3127</v>
      </c>
      <c r="C2215" s="4" t="s">
        <v>4035</v>
      </c>
      <c r="D2215" s="4" t="s">
        <v>4080</v>
      </c>
      <c r="E2215" s="4" t="s">
        <v>5804</v>
      </c>
      <c r="F2215" t="s">
        <v>571</v>
      </c>
      <c r="G2215" t="s">
        <v>1093</v>
      </c>
      <c r="H2215" t="s">
        <v>21</v>
      </c>
      <c r="I2215">
        <v>4</v>
      </c>
      <c r="J2215" s="5">
        <v>6.9000000000000006E-2</v>
      </c>
      <c r="K2215" t="s">
        <v>749</v>
      </c>
      <c r="L2215" s="6">
        <v>44136</v>
      </c>
      <c r="M2215">
        <v>11</v>
      </c>
      <c r="N2215" s="7" t="s">
        <v>23</v>
      </c>
      <c r="O2215" t="s">
        <v>31</v>
      </c>
      <c r="P2215" t="s">
        <v>4190</v>
      </c>
      <c r="Q2215" t="s">
        <v>4106</v>
      </c>
      <c r="R2215" t="s">
        <v>4062</v>
      </c>
    </row>
    <row r="2216" spans="1:18" hidden="1">
      <c r="A2216">
        <v>4</v>
      </c>
      <c r="B2216" s="4" t="s">
        <v>3127</v>
      </c>
      <c r="C2216" s="4" t="s">
        <v>4035</v>
      </c>
      <c r="D2216" s="4" t="s">
        <v>4080</v>
      </c>
      <c r="E2216" s="4" t="s">
        <v>5804</v>
      </c>
      <c r="F2216" t="s">
        <v>571</v>
      </c>
      <c r="G2216" t="s">
        <v>1093</v>
      </c>
      <c r="H2216" t="s">
        <v>21</v>
      </c>
      <c r="I2216">
        <v>4</v>
      </c>
      <c r="J2216" s="5">
        <v>6.9000000000000006E-2</v>
      </c>
      <c r="K2216" t="s">
        <v>753</v>
      </c>
      <c r="L2216" s="6">
        <v>44348</v>
      </c>
      <c r="M2216">
        <v>6</v>
      </c>
      <c r="N2216" s="7" t="s">
        <v>55</v>
      </c>
      <c r="O2216" t="s">
        <v>223</v>
      </c>
      <c r="P2216" t="s">
        <v>4198</v>
      </c>
      <c r="Q2216" t="s">
        <v>4199</v>
      </c>
      <c r="R2216" t="s">
        <v>4200</v>
      </c>
    </row>
    <row r="2217" spans="1:18" hidden="1">
      <c r="A2217">
        <v>4</v>
      </c>
      <c r="B2217" s="4" t="s">
        <v>3127</v>
      </c>
      <c r="C2217" s="4" t="s">
        <v>4207</v>
      </c>
      <c r="D2217" s="4" t="s">
        <v>4257</v>
      </c>
      <c r="E2217" s="4" t="s">
        <v>5804</v>
      </c>
      <c r="F2217" t="s">
        <v>571</v>
      </c>
      <c r="G2217" t="s">
        <v>1093</v>
      </c>
      <c r="H2217" t="s">
        <v>21</v>
      </c>
      <c r="I2217">
        <v>4</v>
      </c>
      <c r="J2217" s="5">
        <v>6.9000000000000006E-2</v>
      </c>
      <c r="K2217" t="s">
        <v>382</v>
      </c>
      <c r="L2217" s="6">
        <v>42401</v>
      </c>
      <c r="M2217">
        <v>2</v>
      </c>
      <c r="N2217" s="7" t="s">
        <v>30</v>
      </c>
      <c r="O2217" t="s">
        <v>31</v>
      </c>
      <c r="P2217" t="s">
        <v>4271</v>
      </c>
      <c r="Q2217" t="s">
        <v>4106</v>
      </c>
      <c r="R2217" t="s">
        <v>4272</v>
      </c>
    </row>
    <row r="2218" spans="1:18" hidden="1">
      <c r="A2218">
        <v>4</v>
      </c>
      <c r="B2218" s="4" t="s">
        <v>3127</v>
      </c>
      <c r="C2218" s="4" t="s">
        <v>4207</v>
      </c>
      <c r="D2218" s="4" t="s">
        <v>4257</v>
      </c>
      <c r="E2218" s="4" t="s">
        <v>5804</v>
      </c>
      <c r="F2218" t="s">
        <v>571</v>
      </c>
      <c r="G2218" t="s">
        <v>1093</v>
      </c>
      <c r="H2218" t="s">
        <v>21</v>
      </c>
      <c r="I2218">
        <v>4</v>
      </c>
      <c r="J2218" s="5">
        <v>6.9000000000000006E-2</v>
      </c>
      <c r="K2218" t="s">
        <v>701</v>
      </c>
      <c r="L2218" s="6">
        <v>42491</v>
      </c>
      <c r="M2218">
        <v>5</v>
      </c>
      <c r="N2218" s="7" t="s">
        <v>23</v>
      </c>
      <c r="O2218" t="s">
        <v>31</v>
      </c>
      <c r="P2218" t="s">
        <v>4283</v>
      </c>
      <c r="Q2218" t="s">
        <v>4284</v>
      </c>
      <c r="R2218" t="s">
        <v>4285</v>
      </c>
    </row>
    <row r="2219" spans="1:18" hidden="1">
      <c r="A2219">
        <v>4</v>
      </c>
      <c r="B2219" s="4" t="s">
        <v>3127</v>
      </c>
      <c r="C2219" s="4" t="s">
        <v>4207</v>
      </c>
      <c r="D2219" s="4" t="s">
        <v>4257</v>
      </c>
      <c r="E2219" s="4" t="s">
        <v>5804</v>
      </c>
      <c r="F2219" t="s">
        <v>571</v>
      </c>
      <c r="G2219" t="s">
        <v>1093</v>
      </c>
      <c r="H2219" t="s">
        <v>21</v>
      </c>
      <c r="I2219">
        <v>4</v>
      </c>
      <c r="J2219" s="5">
        <v>6.9000000000000006E-2</v>
      </c>
      <c r="K2219" t="s">
        <v>304</v>
      </c>
      <c r="L2219" s="6">
        <v>43647</v>
      </c>
      <c r="M2219">
        <v>7</v>
      </c>
      <c r="N2219" s="7" t="s">
        <v>55</v>
      </c>
      <c r="O2219" t="s">
        <v>31</v>
      </c>
      <c r="P2219" t="s">
        <v>4464</v>
      </c>
      <c r="Q2219" t="s">
        <v>4106</v>
      </c>
      <c r="R2219" t="s">
        <v>4272</v>
      </c>
    </row>
    <row r="2220" spans="1:18" hidden="1">
      <c r="A2220">
        <v>4</v>
      </c>
      <c r="B2220" s="4" t="s">
        <v>3127</v>
      </c>
      <c r="C2220" s="4" t="s">
        <v>4207</v>
      </c>
      <c r="D2220" s="4" t="s">
        <v>4257</v>
      </c>
      <c r="E2220" s="4" t="s">
        <v>5804</v>
      </c>
      <c r="F2220" t="s">
        <v>571</v>
      </c>
      <c r="G2220" t="s">
        <v>1093</v>
      </c>
      <c r="H2220" t="s">
        <v>21</v>
      </c>
      <c r="I2220">
        <v>4</v>
      </c>
      <c r="J2220" s="5">
        <v>6.9000000000000006E-2</v>
      </c>
      <c r="K2220" t="s">
        <v>691</v>
      </c>
      <c r="L2220" s="6">
        <v>43770</v>
      </c>
      <c r="M2220">
        <v>11</v>
      </c>
      <c r="N2220" s="7" t="s">
        <v>23</v>
      </c>
      <c r="O2220" t="s">
        <v>31</v>
      </c>
      <c r="P2220" t="s">
        <v>4491</v>
      </c>
      <c r="Q2220" t="s">
        <v>4106</v>
      </c>
      <c r="R2220" t="s">
        <v>4272</v>
      </c>
    </row>
    <row r="2221" spans="1:18" hidden="1">
      <c r="A2221">
        <v>4</v>
      </c>
      <c r="B2221" s="4" t="s">
        <v>3127</v>
      </c>
      <c r="C2221" s="4" t="s">
        <v>4207</v>
      </c>
      <c r="D2221" s="4" t="s">
        <v>4257</v>
      </c>
      <c r="E2221" s="4" t="s">
        <v>5804</v>
      </c>
      <c r="F2221" t="s">
        <v>571</v>
      </c>
      <c r="G2221" t="s">
        <v>1093</v>
      </c>
      <c r="H2221" t="s">
        <v>21</v>
      </c>
      <c r="I2221">
        <v>4</v>
      </c>
      <c r="J2221" s="5">
        <v>6.9000000000000006E-2</v>
      </c>
      <c r="K2221" t="s">
        <v>99</v>
      </c>
      <c r="L2221" s="6">
        <v>43891</v>
      </c>
      <c r="M2221">
        <v>3</v>
      </c>
      <c r="N2221" s="7" t="s">
        <v>23</v>
      </c>
      <c r="O2221" t="s">
        <v>31</v>
      </c>
      <c r="P2221" t="s">
        <v>4516</v>
      </c>
      <c r="Q2221" t="s">
        <v>4517</v>
      </c>
      <c r="R2221" t="s">
        <v>4518</v>
      </c>
    </row>
    <row r="2222" spans="1:18" hidden="1">
      <c r="A2222">
        <v>4</v>
      </c>
      <c r="B2222" s="4" t="s">
        <v>3127</v>
      </c>
      <c r="C2222" s="4" t="s">
        <v>4207</v>
      </c>
      <c r="D2222" s="4" t="s">
        <v>4257</v>
      </c>
      <c r="E2222" s="4" t="s">
        <v>5804</v>
      </c>
      <c r="F2222" t="s">
        <v>571</v>
      </c>
      <c r="G2222" t="s">
        <v>1093</v>
      </c>
      <c r="H2222" t="s">
        <v>21</v>
      </c>
      <c r="I2222">
        <v>4</v>
      </c>
      <c r="J2222" s="5">
        <v>6.9000000000000006E-2</v>
      </c>
      <c r="K2222" t="s">
        <v>255</v>
      </c>
      <c r="L2222" s="6">
        <v>43983</v>
      </c>
      <c r="M2222">
        <v>6</v>
      </c>
      <c r="N2222" s="7" t="s">
        <v>55</v>
      </c>
      <c r="O2222" t="s">
        <v>31</v>
      </c>
      <c r="P2222" t="s">
        <v>4526</v>
      </c>
      <c r="Q2222" t="s">
        <v>4527</v>
      </c>
      <c r="R2222" t="s">
        <v>4528</v>
      </c>
    </row>
    <row r="2223" spans="1:18" hidden="1">
      <c r="A2223">
        <v>4</v>
      </c>
      <c r="B2223" s="4" t="s">
        <v>3127</v>
      </c>
      <c r="C2223" s="4" t="s">
        <v>4207</v>
      </c>
      <c r="D2223" s="4" t="s">
        <v>4257</v>
      </c>
      <c r="E2223" s="4" t="s">
        <v>5804</v>
      </c>
      <c r="F2223" t="s">
        <v>571</v>
      </c>
      <c r="G2223" t="s">
        <v>1093</v>
      </c>
      <c r="H2223" t="s">
        <v>21</v>
      </c>
      <c r="I2223">
        <v>4</v>
      </c>
      <c r="J2223" s="5">
        <v>6.9000000000000006E-2</v>
      </c>
      <c r="K2223" t="s">
        <v>104</v>
      </c>
      <c r="L2223" s="6">
        <v>44317</v>
      </c>
      <c r="M2223">
        <v>5</v>
      </c>
      <c r="N2223" s="7" t="s">
        <v>23</v>
      </c>
      <c r="O2223" t="s">
        <v>31</v>
      </c>
      <c r="P2223" t="s">
        <v>4578</v>
      </c>
      <c r="Q2223" t="s">
        <v>4106</v>
      </c>
      <c r="R2223" t="s">
        <v>4272</v>
      </c>
    </row>
    <row r="2224" spans="1:18" hidden="1">
      <c r="A2224">
        <v>5</v>
      </c>
      <c r="B2224" s="4" t="s">
        <v>4600</v>
      </c>
      <c r="C2224" s="4" t="s">
        <v>4601</v>
      </c>
      <c r="D2224" s="4" t="s">
        <v>4635</v>
      </c>
      <c r="E2224" s="4" t="s">
        <v>5804</v>
      </c>
      <c r="F2224" t="s">
        <v>571</v>
      </c>
      <c r="G2224" t="s">
        <v>1093</v>
      </c>
      <c r="H2224" t="s">
        <v>21</v>
      </c>
      <c r="I2224">
        <v>4</v>
      </c>
      <c r="J2224" s="5">
        <v>6.9000000000000006E-2</v>
      </c>
      <c r="K2224" t="s">
        <v>178</v>
      </c>
      <c r="L2224" s="6">
        <v>44228</v>
      </c>
      <c r="M2224">
        <v>2</v>
      </c>
      <c r="N2224" s="7" t="s">
        <v>30</v>
      </c>
      <c r="O2224" t="s">
        <v>31</v>
      </c>
      <c r="P2224" t="s">
        <v>4738</v>
      </c>
      <c r="Q2224" t="s">
        <v>4739</v>
      </c>
      <c r="R2224" t="s">
        <v>4740</v>
      </c>
    </row>
    <row r="2225" spans="1:18" hidden="1">
      <c r="A2225">
        <v>5</v>
      </c>
      <c r="B2225" s="4" t="s">
        <v>4600</v>
      </c>
      <c r="C2225" s="4" t="s">
        <v>4601</v>
      </c>
      <c r="D2225" s="4" t="s">
        <v>4748</v>
      </c>
      <c r="E2225" s="4" t="s">
        <v>5804</v>
      </c>
      <c r="F2225" t="s">
        <v>571</v>
      </c>
      <c r="G2225" t="s">
        <v>1093</v>
      </c>
      <c r="H2225" t="s">
        <v>21</v>
      </c>
      <c r="I2225">
        <v>4</v>
      </c>
      <c r="J2225" s="5">
        <v>6.9000000000000006E-2</v>
      </c>
      <c r="K2225" t="s">
        <v>325</v>
      </c>
      <c r="L2225" s="6">
        <v>42095</v>
      </c>
      <c r="M2225">
        <v>4</v>
      </c>
      <c r="N2225" s="7" t="s">
        <v>23</v>
      </c>
      <c r="O2225" t="s">
        <v>31</v>
      </c>
      <c r="P2225" t="s">
        <v>4749</v>
      </c>
      <c r="Q2225" t="s">
        <v>4750</v>
      </c>
      <c r="R2225" t="s">
        <v>4751</v>
      </c>
    </row>
    <row r="2226" spans="1:18" hidden="1">
      <c r="A2226">
        <v>5</v>
      </c>
      <c r="B2226" s="4" t="s">
        <v>4600</v>
      </c>
      <c r="C2226" s="4" t="s">
        <v>4601</v>
      </c>
      <c r="D2226" s="4" t="s">
        <v>4748</v>
      </c>
      <c r="E2226" s="4" t="s">
        <v>5804</v>
      </c>
      <c r="F2226" t="s">
        <v>571</v>
      </c>
      <c r="G2226" t="s">
        <v>1093</v>
      </c>
      <c r="H2226" t="s">
        <v>21</v>
      </c>
      <c r="I2226">
        <v>4</v>
      </c>
      <c r="J2226" s="5">
        <v>6.9000000000000006E-2</v>
      </c>
      <c r="K2226" t="s">
        <v>234</v>
      </c>
      <c r="L2226" s="6">
        <v>42826</v>
      </c>
      <c r="M2226">
        <v>4</v>
      </c>
      <c r="N2226" s="7" t="s">
        <v>23</v>
      </c>
      <c r="O2226" t="s">
        <v>31</v>
      </c>
      <c r="P2226" t="s">
        <v>4780</v>
      </c>
      <c r="Q2226" t="s">
        <v>4781</v>
      </c>
      <c r="R2226" t="s">
        <v>4751</v>
      </c>
    </row>
    <row r="2227" spans="1:18" hidden="1">
      <c r="A2227">
        <v>5</v>
      </c>
      <c r="B2227" s="4" t="s">
        <v>4600</v>
      </c>
      <c r="C2227" s="4" t="s">
        <v>4601</v>
      </c>
      <c r="D2227" s="4" t="s">
        <v>4748</v>
      </c>
      <c r="E2227" s="4" t="s">
        <v>5804</v>
      </c>
      <c r="F2227" t="s">
        <v>571</v>
      </c>
      <c r="G2227" t="s">
        <v>1093</v>
      </c>
      <c r="H2227" t="s">
        <v>21</v>
      </c>
      <c r="I2227">
        <v>4</v>
      </c>
      <c r="J2227" s="5">
        <v>6.9000000000000006E-2</v>
      </c>
      <c r="K2227" t="s">
        <v>395</v>
      </c>
      <c r="L2227" s="6">
        <v>43497</v>
      </c>
      <c r="M2227">
        <v>2</v>
      </c>
      <c r="N2227" s="7" t="s">
        <v>30</v>
      </c>
      <c r="O2227" t="s">
        <v>31</v>
      </c>
      <c r="P2227" t="s">
        <v>4809</v>
      </c>
      <c r="Q2227" t="s">
        <v>4731</v>
      </c>
      <c r="R2227" t="s">
        <v>4732</v>
      </c>
    </row>
    <row r="2228" spans="1:18" hidden="1">
      <c r="A2228">
        <v>5</v>
      </c>
      <c r="B2228" s="4" t="s">
        <v>4600</v>
      </c>
      <c r="C2228" s="4" t="s">
        <v>4601</v>
      </c>
      <c r="D2228" s="4" t="s">
        <v>4748</v>
      </c>
      <c r="E2228" s="4" t="s">
        <v>5804</v>
      </c>
      <c r="F2228" t="s">
        <v>571</v>
      </c>
      <c r="G2228" t="s">
        <v>1093</v>
      </c>
      <c r="H2228" t="s">
        <v>21</v>
      </c>
      <c r="I2228">
        <v>4</v>
      </c>
      <c r="J2228" s="5">
        <v>6.9000000000000006E-2</v>
      </c>
      <c r="K2228" t="s">
        <v>168</v>
      </c>
      <c r="L2228" s="6">
        <v>43678</v>
      </c>
      <c r="M2228">
        <v>8</v>
      </c>
      <c r="N2228" s="7" t="s">
        <v>55</v>
      </c>
      <c r="O2228" t="s">
        <v>31</v>
      </c>
      <c r="P2228" t="s">
        <v>4818</v>
      </c>
      <c r="Q2228" t="s">
        <v>4819</v>
      </c>
      <c r="R2228" t="s">
        <v>4820</v>
      </c>
    </row>
    <row r="2229" spans="1:18" hidden="1">
      <c r="A2229">
        <v>5</v>
      </c>
      <c r="B2229" s="4" t="s">
        <v>4600</v>
      </c>
      <c r="C2229" s="4" t="s">
        <v>4933</v>
      </c>
      <c r="D2229" s="4" t="s">
        <v>5014</v>
      </c>
      <c r="E2229" s="4" t="s">
        <v>5804</v>
      </c>
      <c r="F2229" t="s">
        <v>571</v>
      </c>
      <c r="G2229" t="s">
        <v>1093</v>
      </c>
      <c r="H2229" t="s">
        <v>21</v>
      </c>
      <c r="I2229">
        <v>4</v>
      </c>
      <c r="J2229" s="5">
        <v>6.9000000000000006E-2</v>
      </c>
      <c r="K2229" t="s">
        <v>325</v>
      </c>
      <c r="L2229" s="6">
        <v>42095</v>
      </c>
      <c r="M2229">
        <v>4</v>
      </c>
      <c r="N2229" s="7" t="s">
        <v>23</v>
      </c>
      <c r="O2229" t="s">
        <v>31</v>
      </c>
      <c r="P2229" t="s">
        <v>5019</v>
      </c>
      <c r="Q2229" t="s">
        <v>5020</v>
      </c>
      <c r="R2229" t="s">
        <v>5021</v>
      </c>
    </row>
    <row r="2230" spans="1:18" hidden="1">
      <c r="A2230">
        <v>5</v>
      </c>
      <c r="B2230" s="4" t="s">
        <v>4600</v>
      </c>
      <c r="C2230" s="4" t="s">
        <v>4933</v>
      </c>
      <c r="D2230" s="4" t="s">
        <v>5014</v>
      </c>
      <c r="E2230" s="4" t="s">
        <v>5804</v>
      </c>
      <c r="F2230" t="s">
        <v>571</v>
      </c>
      <c r="G2230" t="s">
        <v>1093</v>
      </c>
      <c r="H2230" t="s">
        <v>21</v>
      </c>
      <c r="I2230">
        <v>4</v>
      </c>
      <c r="J2230" s="5">
        <v>6.9000000000000006E-2</v>
      </c>
      <c r="K2230" t="s">
        <v>119</v>
      </c>
      <c r="L2230" s="6">
        <v>42552</v>
      </c>
      <c r="M2230">
        <v>7</v>
      </c>
      <c r="N2230" s="7" t="s">
        <v>55</v>
      </c>
      <c r="O2230" t="s">
        <v>31</v>
      </c>
      <c r="P2230" t="s">
        <v>5059</v>
      </c>
      <c r="Q2230" t="s">
        <v>5060</v>
      </c>
      <c r="R2230" t="s">
        <v>5061</v>
      </c>
    </row>
    <row r="2231" spans="1:18" hidden="1">
      <c r="A2231">
        <v>5</v>
      </c>
      <c r="B2231" s="4" t="s">
        <v>4600</v>
      </c>
      <c r="C2231" s="4" t="s">
        <v>4933</v>
      </c>
      <c r="D2231" s="4" t="s">
        <v>5014</v>
      </c>
      <c r="E2231" s="4" t="s">
        <v>5804</v>
      </c>
      <c r="F2231" t="s">
        <v>571</v>
      </c>
      <c r="G2231" t="s">
        <v>1093</v>
      </c>
      <c r="H2231" t="s">
        <v>21</v>
      </c>
      <c r="I2231">
        <v>4</v>
      </c>
      <c r="J2231" s="5">
        <v>6.9000000000000006E-2</v>
      </c>
      <c r="K2231" t="s">
        <v>128</v>
      </c>
      <c r="L2231" s="6">
        <v>42795</v>
      </c>
      <c r="M2231">
        <v>3</v>
      </c>
      <c r="N2231" s="7" t="s">
        <v>23</v>
      </c>
      <c r="O2231" t="s">
        <v>31</v>
      </c>
      <c r="P2231" t="s">
        <v>5095</v>
      </c>
      <c r="Q2231" t="s">
        <v>5096</v>
      </c>
      <c r="R2231" t="s">
        <v>5097</v>
      </c>
    </row>
    <row r="2232" spans="1:18" hidden="1">
      <c r="A2232">
        <v>5</v>
      </c>
      <c r="B2232" s="4" t="s">
        <v>4600</v>
      </c>
      <c r="C2232" s="4" t="s">
        <v>4933</v>
      </c>
      <c r="D2232" s="4" t="s">
        <v>5014</v>
      </c>
      <c r="E2232" s="4" t="s">
        <v>5804</v>
      </c>
      <c r="F2232" t="s">
        <v>571</v>
      </c>
      <c r="G2232" t="s">
        <v>1093</v>
      </c>
      <c r="H2232" t="s">
        <v>21</v>
      </c>
      <c r="I2232">
        <v>4</v>
      </c>
      <c r="J2232" s="5">
        <v>6.9000000000000006E-2</v>
      </c>
      <c r="K2232" t="s">
        <v>234</v>
      </c>
      <c r="L2232" s="6">
        <v>42826</v>
      </c>
      <c r="M2232">
        <v>4</v>
      </c>
      <c r="N2232" s="7" t="s">
        <v>23</v>
      </c>
      <c r="O2232" t="s">
        <v>31</v>
      </c>
      <c r="P2232" t="s">
        <v>5105</v>
      </c>
      <c r="Q2232" t="s">
        <v>4731</v>
      </c>
      <c r="R2232" t="s">
        <v>4732</v>
      </c>
    </row>
    <row r="2233" spans="1:18" hidden="1">
      <c r="A2233">
        <v>5</v>
      </c>
      <c r="B2233" s="4" t="s">
        <v>4600</v>
      </c>
      <c r="C2233" s="4" t="s">
        <v>4933</v>
      </c>
      <c r="D2233" s="4" t="s">
        <v>5014</v>
      </c>
      <c r="E2233" s="4" t="s">
        <v>5804</v>
      </c>
      <c r="F2233" t="s">
        <v>571</v>
      </c>
      <c r="G2233" t="s">
        <v>1093</v>
      </c>
      <c r="H2233" t="s">
        <v>21</v>
      </c>
      <c r="I2233">
        <v>4</v>
      </c>
      <c r="J2233" s="5">
        <v>6.9000000000000006E-2</v>
      </c>
      <c r="K2233" t="s">
        <v>681</v>
      </c>
      <c r="L2233" s="6">
        <v>42887</v>
      </c>
      <c r="M2233">
        <v>6</v>
      </c>
      <c r="N2233" s="7" t="s">
        <v>55</v>
      </c>
      <c r="O2233" t="s">
        <v>31</v>
      </c>
      <c r="P2233" t="s">
        <v>5118</v>
      </c>
      <c r="Q2233" t="s">
        <v>5020</v>
      </c>
      <c r="R2233" t="s">
        <v>5021</v>
      </c>
    </row>
    <row r="2234" spans="1:18" hidden="1">
      <c r="A2234">
        <v>5</v>
      </c>
      <c r="B2234" s="4" t="s">
        <v>4600</v>
      </c>
      <c r="C2234" s="4" t="s">
        <v>4933</v>
      </c>
      <c r="D2234" s="4" t="s">
        <v>5014</v>
      </c>
      <c r="E2234" s="4" t="s">
        <v>5804</v>
      </c>
      <c r="F2234" t="s">
        <v>571</v>
      </c>
      <c r="G2234" t="s">
        <v>1093</v>
      </c>
      <c r="H2234" t="s">
        <v>21</v>
      </c>
      <c r="I2234">
        <v>4</v>
      </c>
      <c r="J2234" s="5">
        <v>6.9000000000000006E-2</v>
      </c>
      <c r="K2234" t="s">
        <v>80</v>
      </c>
      <c r="L2234" s="6">
        <v>42917</v>
      </c>
      <c r="M2234">
        <v>7</v>
      </c>
      <c r="N2234" s="7" t="s">
        <v>55</v>
      </c>
      <c r="O2234" t="s">
        <v>31</v>
      </c>
      <c r="P2234" t="s">
        <v>5127</v>
      </c>
      <c r="Q2234" t="s">
        <v>5096</v>
      </c>
      <c r="R2234" t="s">
        <v>5097</v>
      </c>
    </row>
    <row r="2235" spans="1:18" hidden="1">
      <c r="A2235">
        <v>5</v>
      </c>
      <c r="B2235" s="4" t="s">
        <v>4600</v>
      </c>
      <c r="C2235" s="4" t="s">
        <v>4933</v>
      </c>
      <c r="D2235" s="4" t="s">
        <v>5014</v>
      </c>
      <c r="E2235" s="4" t="s">
        <v>5804</v>
      </c>
      <c r="F2235" t="s">
        <v>571</v>
      </c>
      <c r="G2235" t="s">
        <v>1093</v>
      </c>
      <c r="H2235" t="s">
        <v>21</v>
      </c>
      <c r="I2235">
        <v>4</v>
      </c>
      <c r="J2235" s="5">
        <v>6.9000000000000006E-2</v>
      </c>
      <c r="K2235" t="s">
        <v>146</v>
      </c>
      <c r="L2235" s="6">
        <v>43313</v>
      </c>
      <c r="M2235">
        <v>8</v>
      </c>
      <c r="N2235" s="7" t="s">
        <v>55</v>
      </c>
      <c r="O2235" t="s">
        <v>31</v>
      </c>
      <c r="P2235" t="s">
        <v>5204</v>
      </c>
      <c r="Q2235" t="s">
        <v>5060</v>
      </c>
      <c r="R2235" t="s">
        <v>5061</v>
      </c>
    </row>
    <row r="2236" spans="1:18" hidden="1">
      <c r="A2236">
        <v>5</v>
      </c>
      <c r="B2236" s="4" t="s">
        <v>4600</v>
      </c>
      <c r="C2236" s="4" t="s">
        <v>4933</v>
      </c>
      <c r="D2236" s="4" t="s">
        <v>5014</v>
      </c>
      <c r="E2236" s="4" t="s">
        <v>5804</v>
      </c>
      <c r="F2236" t="s">
        <v>571</v>
      </c>
      <c r="G2236" t="s">
        <v>1093</v>
      </c>
      <c r="H2236" t="s">
        <v>21</v>
      </c>
      <c r="I2236">
        <v>4</v>
      </c>
      <c r="J2236" s="5">
        <v>6.9000000000000006E-2</v>
      </c>
      <c r="K2236" t="s">
        <v>298</v>
      </c>
      <c r="L2236" s="6">
        <v>43344</v>
      </c>
      <c r="M2236">
        <v>9</v>
      </c>
      <c r="N2236" s="7" t="s">
        <v>23</v>
      </c>
      <c r="O2236" t="s">
        <v>31</v>
      </c>
      <c r="P2236" t="s">
        <v>5208</v>
      </c>
      <c r="Q2236" t="s">
        <v>5020</v>
      </c>
      <c r="R2236" t="s">
        <v>5021</v>
      </c>
    </row>
    <row r="2237" spans="1:18" hidden="1">
      <c r="A2237">
        <v>5</v>
      </c>
      <c r="B2237" s="4" t="s">
        <v>4600</v>
      </c>
      <c r="C2237" s="4" t="s">
        <v>4933</v>
      </c>
      <c r="D2237" s="4" t="s">
        <v>5014</v>
      </c>
      <c r="E2237" s="4" t="s">
        <v>5804</v>
      </c>
      <c r="F2237" t="s">
        <v>571</v>
      </c>
      <c r="G2237" t="s">
        <v>1093</v>
      </c>
      <c r="H2237" t="s">
        <v>21</v>
      </c>
      <c r="I2237">
        <v>4</v>
      </c>
      <c r="J2237" s="5">
        <v>6.9000000000000006E-2</v>
      </c>
      <c r="K2237" t="s">
        <v>164</v>
      </c>
      <c r="L2237" s="6">
        <v>43617</v>
      </c>
      <c r="M2237">
        <v>6</v>
      </c>
      <c r="N2237" s="7" t="s">
        <v>55</v>
      </c>
      <c r="O2237" t="s">
        <v>31</v>
      </c>
      <c r="P2237" t="s">
        <v>5266</v>
      </c>
      <c r="Q2237" t="s">
        <v>5020</v>
      </c>
      <c r="R2237" t="s">
        <v>5021</v>
      </c>
    </row>
    <row r="2238" spans="1:18" hidden="1">
      <c r="A2238">
        <v>5</v>
      </c>
      <c r="B2238" s="4" t="s">
        <v>4600</v>
      </c>
      <c r="C2238" s="4" t="s">
        <v>4933</v>
      </c>
      <c r="D2238" s="4" t="s">
        <v>5014</v>
      </c>
      <c r="E2238" s="4" t="s">
        <v>5804</v>
      </c>
      <c r="F2238" t="s">
        <v>571</v>
      </c>
      <c r="G2238" t="s">
        <v>1093</v>
      </c>
      <c r="H2238" t="s">
        <v>21</v>
      </c>
      <c r="I2238">
        <v>4</v>
      </c>
      <c r="J2238" s="5">
        <v>6.9000000000000006E-2</v>
      </c>
      <c r="K2238" t="s">
        <v>168</v>
      </c>
      <c r="L2238" s="6">
        <v>43678</v>
      </c>
      <c r="M2238">
        <v>8</v>
      </c>
      <c r="N2238" s="7" t="s">
        <v>55</v>
      </c>
      <c r="O2238" t="s">
        <v>31</v>
      </c>
      <c r="P2238" t="s">
        <v>5278</v>
      </c>
      <c r="Q2238" t="s">
        <v>5020</v>
      </c>
      <c r="R2238" t="s">
        <v>5021</v>
      </c>
    </row>
    <row r="2239" spans="1:18" hidden="1">
      <c r="A2239">
        <v>5</v>
      </c>
      <c r="B2239" s="4" t="s">
        <v>4600</v>
      </c>
      <c r="C2239" s="4" t="s">
        <v>4933</v>
      </c>
      <c r="D2239" s="4" t="s">
        <v>5014</v>
      </c>
      <c r="E2239" s="4" t="s">
        <v>5804</v>
      </c>
      <c r="F2239" t="s">
        <v>571</v>
      </c>
      <c r="G2239" t="s">
        <v>1093</v>
      </c>
      <c r="H2239" t="s">
        <v>21</v>
      </c>
      <c r="I2239">
        <v>4</v>
      </c>
      <c r="J2239" s="5">
        <v>6.9000000000000006E-2</v>
      </c>
      <c r="K2239" t="s">
        <v>2168</v>
      </c>
      <c r="L2239" s="6">
        <v>43709</v>
      </c>
      <c r="M2239">
        <v>9</v>
      </c>
      <c r="N2239" s="7" t="s">
        <v>23</v>
      </c>
      <c r="O2239" t="s">
        <v>31</v>
      </c>
      <c r="P2239" t="s">
        <v>5289</v>
      </c>
      <c r="Q2239" t="s">
        <v>5020</v>
      </c>
      <c r="R2239" t="s">
        <v>5021</v>
      </c>
    </row>
    <row r="2240" spans="1:18" hidden="1">
      <c r="A2240">
        <v>5</v>
      </c>
      <c r="B2240" s="4" t="s">
        <v>4600</v>
      </c>
      <c r="C2240" s="4" t="s">
        <v>4933</v>
      </c>
      <c r="D2240" s="4" t="s">
        <v>5014</v>
      </c>
      <c r="E2240" s="4" t="s">
        <v>5804</v>
      </c>
      <c r="F2240" t="s">
        <v>571</v>
      </c>
      <c r="G2240" t="s">
        <v>1093</v>
      </c>
      <c r="H2240" t="s">
        <v>21</v>
      </c>
      <c r="I2240">
        <v>4</v>
      </c>
      <c r="J2240" s="5">
        <v>6.9000000000000006E-2</v>
      </c>
      <c r="K2240" t="s">
        <v>691</v>
      </c>
      <c r="L2240" s="6">
        <v>43770</v>
      </c>
      <c r="M2240">
        <v>11</v>
      </c>
      <c r="N2240" s="7" t="s">
        <v>23</v>
      </c>
      <c r="O2240" t="s">
        <v>31</v>
      </c>
      <c r="P2240" t="s">
        <v>5306</v>
      </c>
      <c r="Q2240" t="s">
        <v>5020</v>
      </c>
      <c r="R2240" t="s">
        <v>5021</v>
      </c>
    </row>
    <row r="2241" spans="1:18" hidden="1">
      <c r="A2241">
        <v>5</v>
      </c>
      <c r="B2241" s="4" t="s">
        <v>4600</v>
      </c>
      <c r="C2241" s="4" t="s">
        <v>4933</v>
      </c>
      <c r="D2241" s="4" t="s">
        <v>5014</v>
      </c>
      <c r="E2241" s="4" t="s">
        <v>5804</v>
      </c>
      <c r="F2241" t="s">
        <v>571</v>
      </c>
      <c r="G2241" t="s">
        <v>1093</v>
      </c>
      <c r="H2241" t="s">
        <v>21</v>
      </c>
      <c r="I2241">
        <v>4</v>
      </c>
      <c r="J2241" s="5">
        <v>6.9000000000000006E-2</v>
      </c>
      <c r="K2241" t="s">
        <v>267</v>
      </c>
      <c r="L2241" s="6">
        <v>44044</v>
      </c>
      <c r="M2241">
        <v>8</v>
      </c>
      <c r="N2241" s="7" t="s">
        <v>55</v>
      </c>
      <c r="O2241" t="s">
        <v>31</v>
      </c>
      <c r="P2241" t="s">
        <v>5343</v>
      </c>
      <c r="Q2241" t="s">
        <v>5020</v>
      </c>
      <c r="R2241" t="s">
        <v>5021</v>
      </c>
    </row>
    <row r="2242" spans="1:18" hidden="1">
      <c r="A2242">
        <v>5</v>
      </c>
      <c r="B2242" s="4" t="s">
        <v>4600</v>
      </c>
      <c r="C2242" s="4" t="s">
        <v>4933</v>
      </c>
      <c r="D2242" s="4" t="s">
        <v>5014</v>
      </c>
      <c r="E2242" s="4" t="s">
        <v>5804</v>
      </c>
      <c r="F2242" t="s">
        <v>571</v>
      </c>
      <c r="G2242" t="s">
        <v>1093</v>
      </c>
      <c r="H2242" t="s">
        <v>21</v>
      </c>
      <c r="I2242">
        <v>4</v>
      </c>
      <c r="J2242" s="5">
        <v>6.9000000000000006E-2</v>
      </c>
      <c r="K2242" t="s">
        <v>311</v>
      </c>
      <c r="L2242" s="6">
        <v>44256</v>
      </c>
      <c r="M2242">
        <v>3</v>
      </c>
      <c r="N2242" s="7" t="s">
        <v>23</v>
      </c>
      <c r="O2242" t="s">
        <v>31</v>
      </c>
      <c r="P2242" t="s">
        <v>5361</v>
      </c>
      <c r="Q2242" t="s">
        <v>5020</v>
      </c>
      <c r="R2242" t="s">
        <v>5021</v>
      </c>
    </row>
    <row r="2243" spans="1:18" hidden="1">
      <c r="A2243">
        <v>5</v>
      </c>
      <c r="B2243" s="4" t="s">
        <v>4600</v>
      </c>
      <c r="C2243" s="4" t="s">
        <v>4933</v>
      </c>
      <c r="D2243" s="4" t="s">
        <v>5014</v>
      </c>
      <c r="E2243" s="4" t="s">
        <v>5804</v>
      </c>
      <c r="F2243" t="s">
        <v>571</v>
      </c>
      <c r="G2243" t="s">
        <v>1093</v>
      </c>
      <c r="H2243" t="s">
        <v>21</v>
      </c>
      <c r="I2243">
        <v>4</v>
      </c>
      <c r="J2243" s="5">
        <v>6.9000000000000006E-2</v>
      </c>
      <c r="K2243" t="s">
        <v>104</v>
      </c>
      <c r="L2243" s="6">
        <v>44317</v>
      </c>
      <c r="M2243">
        <v>5</v>
      </c>
      <c r="N2243" s="7" t="s">
        <v>23</v>
      </c>
      <c r="O2243" t="s">
        <v>31</v>
      </c>
      <c r="P2243" t="s">
        <v>5366</v>
      </c>
      <c r="Q2243" t="s">
        <v>5020</v>
      </c>
      <c r="R2243" t="s">
        <v>5021</v>
      </c>
    </row>
    <row r="2244" spans="1:18" hidden="1">
      <c r="A2244">
        <v>9</v>
      </c>
      <c r="B2244" s="4" t="s">
        <v>5727</v>
      </c>
      <c r="C2244" s="4" t="s">
        <v>5755</v>
      </c>
      <c r="D2244" s="4" t="s">
        <v>5763</v>
      </c>
      <c r="E2244" s="4" t="s">
        <v>5805</v>
      </c>
      <c r="F2244" t="s">
        <v>571</v>
      </c>
      <c r="G2244" t="s">
        <v>1093</v>
      </c>
      <c r="H2244" t="s">
        <v>21</v>
      </c>
      <c r="I2244">
        <v>4</v>
      </c>
      <c r="J2244" s="5">
        <v>6.9000000000000006E-2</v>
      </c>
      <c r="K2244" t="s">
        <v>93</v>
      </c>
      <c r="L2244" s="6">
        <v>43282</v>
      </c>
      <c r="M2244">
        <v>7</v>
      </c>
      <c r="N2244" s="7" t="s">
        <v>55</v>
      </c>
      <c r="O2244" t="s">
        <v>31</v>
      </c>
      <c r="P2244" t="s">
        <v>5767</v>
      </c>
      <c r="Q2244" t="s">
        <v>5768</v>
      </c>
      <c r="R2244" t="s">
        <v>5769</v>
      </c>
    </row>
    <row r="2245" spans="1:18" hidden="1">
      <c r="A2245">
        <v>1</v>
      </c>
      <c r="B2245" s="4" t="s">
        <v>16</v>
      </c>
      <c r="C2245" s="4" t="s">
        <v>188</v>
      </c>
      <c r="D2245" s="4" t="s">
        <v>207</v>
      </c>
      <c r="E2245" s="4" t="s">
        <v>5804</v>
      </c>
      <c r="F2245" t="s">
        <v>233</v>
      </c>
      <c r="G2245" t="s">
        <v>233</v>
      </c>
      <c r="H2245" t="s">
        <v>21</v>
      </c>
      <c r="I2245">
        <v>4</v>
      </c>
      <c r="J2245" s="5">
        <v>6.9000000000000006E-2</v>
      </c>
      <c r="K2245" t="s">
        <v>234</v>
      </c>
      <c r="L2245" s="6">
        <v>42826</v>
      </c>
      <c r="M2245">
        <v>4</v>
      </c>
      <c r="N2245" s="7" t="s">
        <v>23</v>
      </c>
      <c r="O2245" t="s">
        <v>31</v>
      </c>
      <c r="P2245" t="s">
        <v>235</v>
      </c>
      <c r="Q2245" t="s">
        <v>236</v>
      </c>
      <c r="R2245" t="s">
        <v>237</v>
      </c>
    </row>
    <row r="2246" spans="1:18" hidden="1">
      <c r="A2246">
        <v>11</v>
      </c>
      <c r="B2246" s="4" t="s">
        <v>554</v>
      </c>
      <c r="C2246" s="4" t="s">
        <v>555</v>
      </c>
      <c r="D2246" s="4" t="s">
        <v>556</v>
      </c>
      <c r="E2246" s="4" t="s">
        <v>5804</v>
      </c>
      <c r="F2246" t="s">
        <v>233</v>
      </c>
      <c r="G2246" t="s">
        <v>233</v>
      </c>
      <c r="H2246" t="s">
        <v>21</v>
      </c>
      <c r="I2246">
        <v>4</v>
      </c>
      <c r="J2246" s="5">
        <v>6.9000000000000006E-2</v>
      </c>
      <c r="K2246" t="s">
        <v>115</v>
      </c>
      <c r="L2246" s="6">
        <v>42461</v>
      </c>
      <c r="M2246">
        <v>4</v>
      </c>
      <c r="N2246" s="7" t="s">
        <v>23</v>
      </c>
      <c r="O2246" t="s">
        <v>31</v>
      </c>
      <c r="P2246" t="s">
        <v>568</v>
      </c>
      <c r="Q2246" t="s">
        <v>569</v>
      </c>
      <c r="R2246" t="s">
        <v>570</v>
      </c>
    </row>
    <row r="2247" spans="1:18" hidden="1">
      <c r="A2247">
        <v>12</v>
      </c>
      <c r="B2247" s="4" t="s">
        <v>901</v>
      </c>
      <c r="C2247" s="4" t="s">
        <v>902</v>
      </c>
      <c r="D2247" s="4" t="s">
        <v>903</v>
      </c>
      <c r="E2247" s="4" t="s">
        <v>5804</v>
      </c>
      <c r="F2247" t="s">
        <v>233</v>
      </c>
      <c r="G2247" t="s">
        <v>233</v>
      </c>
      <c r="H2247" t="s">
        <v>21</v>
      </c>
      <c r="I2247">
        <v>4</v>
      </c>
      <c r="J2247" s="5">
        <v>6.9000000000000006E-2</v>
      </c>
      <c r="K2247" t="s">
        <v>204</v>
      </c>
      <c r="L2247" s="6">
        <v>43831</v>
      </c>
      <c r="M2247">
        <v>1</v>
      </c>
      <c r="N2247" s="7" t="s">
        <v>30</v>
      </c>
      <c r="O2247" t="s">
        <v>31</v>
      </c>
      <c r="P2247" t="s">
        <v>1082</v>
      </c>
      <c r="Q2247" t="s">
        <v>1083</v>
      </c>
      <c r="R2247" t="s">
        <v>1084</v>
      </c>
    </row>
    <row r="2248" spans="1:18" hidden="1">
      <c r="A2248">
        <v>12</v>
      </c>
      <c r="B2248" s="4" t="s">
        <v>901</v>
      </c>
      <c r="C2248" s="4" t="s">
        <v>1161</v>
      </c>
      <c r="D2248" s="4" t="s">
        <v>1193</v>
      </c>
      <c r="E2248" s="4" t="s">
        <v>5804</v>
      </c>
      <c r="F2248" t="s">
        <v>233</v>
      </c>
      <c r="G2248" t="s">
        <v>233</v>
      </c>
      <c r="H2248" t="s">
        <v>21</v>
      </c>
      <c r="I2248">
        <v>4</v>
      </c>
      <c r="J2248" s="5">
        <v>6.9000000000000006E-2</v>
      </c>
      <c r="K2248" t="s">
        <v>65</v>
      </c>
      <c r="L2248" s="6">
        <v>42430</v>
      </c>
      <c r="M2248">
        <v>3</v>
      </c>
      <c r="N2248" s="7" t="s">
        <v>23</v>
      </c>
      <c r="O2248" t="s">
        <v>31</v>
      </c>
      <c r="P2248" t="s">
        <v>1194</v>
      </c>
      <c r="Q2248" t="s">
        <v>1195</v>
      </c>
      <c r="R2248" t="s">
        <v>1196</v>
      </c>
    </row>
    <row r="2249" spans="1:18" hidden="1">
      <c r="A2249">
        <v>12</v>
      </c>
      <c r="B2249" s="4" t="s">
        <v>901</v>
      </c>
      <c r="C2249" s="4" t="s">
        <v>1161</v>
      </c>
      <c r="D2249" s="4" t="s">
        <v>1193</v>
      </c>
      <c r="E2249" s="4" t="s">
        <v>5804</v>
      </c>
      <c r="F2249" t="s">
        <v>233</v>
      </c>
      <c r="G2249" t="s">
        <v>233</v>
      </c>
      <c r="H2249" t="s">
        <v>21</v>
      </c>
      <c r="I2249">
        <v>4</v>
      </c>
      <c r="J2249" s="5">
        <v>6.9000000000000006E-2</v>
      </c>
      <c r="K2249" t="s">
        <v>115</v>
      </c>
      <c r="L2249" s="6">
        <v>42461</v>
      </c>
      <c r="M2249">
        <v>4</v>
      </c>
      <c r="N2249" s="7" t="s">
        <v>23</v>
      </c>
      <c r="O2249" t="s">
        <v>31</v>
      </c>
      <c r="P2249" t="s">
        <v>1197</v>
      </c>
      <c r="Q2249" t="s">
        <v>1198</v>
      </c>
      <c r="R2249" t="s">
        <v>1199</v>
      </c>
    </row>
    <row r="2250" spans="1:18" hidden="1">
      <c r="A2250">
        <v>12</v>
      </c>
      <c r="B2250" s="4" t="s">
        <v>901</v>
      </c>
      <c r="C2250" s="4" t="s">
        <v>1161</v>
      </c>
      <c r="D2250" s="4" t="s">
        <v>1193</v>
      </c>
      <c r="E2250" s="4" t="s">
        <v>5804</v>
      </c>
      <c r="F2250" t="s">
        <v>233</v>
      </c>
      <c r="G2250" t="s">
        <v>233</v>
      </c>
      <c r="H2250" t="s">
        <v>21</v>
      </c>
      <c r="I2250">
        <v>4</v>
      </c>
      <c r="J2250" s="5">
        <v>6.9000000000000006E-2</v>
      </c>
      <c r="K2250" t="s">
        <v>278</v>
      </c>
      <c r="L2250" s="6">
        <v>42675</v>
      </c>
      <c r="M2250">
        <v>11</v>
      </c>
      <c r="N2250" s="7" t="s">
        <v>23</v>
      </c>
      <c r="O2250" t="s">
        <v>31</v>
      </c>
      <c r="P2250" t="s">
        <v>1200</v>
      </c>
      <c r="Q2250" t="s">
        <v>1201</v>
      </c>
      <c r="R2250" t="s">
        <v>1202</v>
      </c>
    </row>
    <row r="2251" spans="1:18" hidden="1">
      <c r="A2251">
        <v>12</v>
      </c>
      <c r="B2251" s="4" t="s">
        <v>901</v>
      </c>
      <c r="C2251" s="4" t="s">
        <v>1161</v>
      </c>
      <c r="D2251" s="4" t="s">
        <v>1193</v>
      </c>
      <c r="E2251" s="4" t="s">
        <v>5804</v>
      </c>
      <c r="F2251" t="s">
        <v>233</v>
      </c>
      <c r="G2251" t="s">
        <v>233</v>
      </c>
      <c r="H2251" t="s">
        <v>21</v>
      </c>
      <c r="I2251">
        <v>4</v>
      </c>
      <c r="J2251" s="5">
        <v>6.9000000000000006E-2</v>
      </c>
      <c r="K2251" t="s">
        <v>278</v>
      </c>
      <c r="L2251" s="6">
        <v>42675</v>
      </c>
      <c r="M2251">
        <v>11</v>
      </c>
      <c r="N2251" s="7" t="s">
        <v>23</v>
      </c>
      <c r="O2251" t="s">
        <v>31</v>
      </c>
      <c r="P2251" t="s">
        <v>1203</v>
      </c>
      <c r="Q2251" t="s">
        <v>1198</v>
      </c>
      <c r="R2251" t="s">
        <v>1199</v>
      </c>
    </row>
    <row r="2252" spans="1:18" hidden="1">
      <c r="A2252">
        <v>12</v>
      </c>
      <c r="B2252" s="4" t="s">
        <v>901</v>
      </c>
      <c r="C2252" s="4" t="s">
        <v>1161</v>
      </c>
      <c r="D2252" s="4" t="s">
        <v>1193</v>
      </c>
      <c r="E2252" s="4" t="s">
        <v>5804</v>
      </c>
      <c r="F2252" t="s">
        <v>233</v>
      </c>
      <c r="G2252" t="s">
        <v>233</v>
      </c>
      <c r="H2252" t="s">
        <v>21</v>
      </c>
      <c r="I2252">
        <v>4</v>
      </c>
      <c r="J2252" s="5">
        <v>6.9000000000000006E-2</v>
      </c>
      <c r="K2252" t="s">
        <v>128</v>
      </c>
      <c r="L2252" s="6">
        <v>42795</v>
      </c>
      <c r="M2252">
        <v>3</v>
      </c>
      <c r="N2252" s="7" t="s">
        <v>23</v>
      </c>
      <c r="O2252" t="s">
        <v>31</v>
      </c>
      <c r="P2252" t="s">
        <v>1204</v>
      </c>
      <c r="Q2252" t="s">
        <v>1205</v>
      </c>
      <c r="R2252" t="s">
        <v>1199</v>
      </c>
    </row>
    <row r="2253" spans="1:18" hidden="1">
      <c r="A2253">
        <v>12</v>
      </c>
      <c r="B2253" s="4" t="s">
        <v>901</v>
      </c>
      <c r="C2253" s="4" t="s">
        <v>1161</v>
      </c>
      <c r="D2253" s="4" t="s">
        <v>1193</v>
      </c>
      <c r="E2253" s="4" t="s">
        <v>5804</v>
      </c>
      <c r="F2253" t="s">
        <v>233</v>
      </c>
      <c r="G2253" t="s">
        <v>233</v>
      </c>
      <c r="H2253" t="s">
        <v>21</v>
      </c>
      <c r="I2253">
        <v>4</v>
      </c>
      <c r="J2253" s="5">
        <v>6.9000000000000006E-2</v>
      </c>
      <c r="K2253" t="s">
        <v>234</v>
      </c>
      <c r="L2253" s="6">
        <v>42826</v>
      </c>
      <c r="M2253">
        <v>4</v>
      </c>
      <c r="N2253" s="7" t="s">
        <v>23</v>
      </c>
      <c r="O2253" t="s">
        <v>31</v>
      </c>
      <c r="P2253" t="s">
        <v>1206</v>
      </c>
      <c r="Q2253" t="s">
        <v>1198</v>
      </c>
      <c r="R2253" t="s">
        <v>1199</v>
      </c>
    </row>
    <row r="2254" spans="1:18" hidden="1">
      <c r="A2254">
        <v>12</v>
      </c>
      <c r="B2254" s="4" t="s">
        <v>901</v>
      </c>
      <c r="C2254" s="4" t="s">
        <v>1161</v>
      </c>
      <c r="D2254" s="4" t="s">
        <v>1193</v>
      </c>
      <c r="E2254" s="4" t="s">
        <v>5804</v>
      </c>
      <c r="F2254" t="s">
        <v>233</v>
      </c>
      <c r="G2254" t="s">
        <v>233</v>
      </c>
      <c r="H2254" t="s">
        <v>21</v>
      </c>
      <c r="I2254">
        <v>4</v>
      </c>
      <c r="J2254" s="5">
        <v>6.9000000000000006E-2</v>
      </c>
      <c r="K2254" t="s">
        <v>234</v>
      </c>
      <c r="L2254" s="6">
        <v>42826</v>
      </c>
      <c r="M2254">
        <v>4</v>
      </c>
      <c r="N2254" s="7" t="s">
        <v>23</v>
      </c>
      <c r="O2254" t="s">
        <v>31</v>
      </c>
      <c r="P2254" t="s">
        <v>1207</v>
      </c>
      <c r="Q2254" t="s">
        <v>1205</v>
      </c>
      <c r="R2254" t="s">
        <v>1199</v>
      </c>
    </row>
    <row r="2255" spans="1:18" hidden="1">
      <c r="A2255">
        <v>12</v>
      </c>
      <c r="B2255" s="4" t="s">
        <v>901</v>
      </c>
      <c r="C2255" s="4" t="s">
        <v>1161</v>
      </c>
      <c r="D2255" s="4" t="s">
        <v>1193</v>
      </c>
      <c r="E2255" s="4" t="s">
        <v>5804</v>
      </c>
      <c r="F2255" t="s">
        <v>233</v>
      </c>
      <c r="G2255" t="s">
        <v>233</v>
      </c>
      <c r="H2255" t="s">
        <v>21</v>
      </c>
      <c r="I2255">
        <v>4</v>
      </c>
      <c r="J2255" s="5">
        <v>6.9000000000000006E-2</v>
      </c>
      <c r="K2255" t="s">
        <v>749</v>
      </c>
      <c r="L2255" s="6">
        <v>44136</v>
      </c>
      <c r="M2255">
        <v>11</v>
      </c>
      <c r="N2255" s="7" t="s">
        <v>23</v>
      </c>
      <c r="O2255" t="s">
        <v>24</v>
      </c>
      <c r="P2255" t="s">
        <v>1217</v>
      </c>
      <c r="Q2255" t="s">
        <v>1218</v>
      </c>
      <c r="R2255" t="s">
        <v>1219</v>
      </c>
    </row>
    <row r="2256" spans="1:18" hidden="1">
      <c r="A2256">
        <v>12</v>
      </c>
      <c r="B2256" s="4" t="s">
        <v>901</v>
      </c>
      <c r="C2256" s="4" t="s">
        <v>1161</v>
      </c>
      <c r="D2256" s="4" t="s">
        <v>1220</v>
      </c>
      <c r="E2256" s="4" t="s">
        <v>5804</v>
      </c>
      <c r="F2256" t="s">
        <v>233</v>
      </c>
      <c r="G2256" t="s">
        <v>233</v>
      </c>
      <c r="H2256" t="s">
        <v>21</v>
      </c>
      <c r="I2256">
        <v>4</v>
      </c>
      <c r="J2256" s="5">
        <v>6.9000000000000006E-2</v>
      </c>
      <c r="K2256" t="s">
        <v>71</v>
      </c>
      <c r="L2256" s="6">
        <v>42522</v>
      </c>
      <c r="M2256">
        <v>6</v>
      </c>
      <c r="N2256" s="7" t="s">
        <v>55</v>
      </c>
      <c r="O2256" t="s">
        <v>31</v>
      </c>
      <c r="P2256" t="s">
        <v>1229</v>
      </c>
      <c r="Q2256" t="s">
        <v>1230</v>
      </c>
      <c r="R2256" t="s">
        <v>1231</v>
      </c>
    </row>
    <row r="2257" spans="1:18" hidden="1">
      <c r="A2257">
        <v>12</v>
      </c>
      <c r="B2257" s="4" t="s">
        <v>901</v>
      </c>
      <c r="C2257" s="4" t="s">
        <v>1161</v>
      </c>
      <c r="D2257" s="4" t="s">
        <v>1220</v>
      </c>
      <c r="E2257" s="4" t="s">
        <v>5804</v>
      </c>
      <c r="F2257" t="s">
        <v>233</v>
      </c>
      <c r="G2257" t="s">
        <v>233</v>
      </c>
      <c r="H2257" t="s">
        <v>21</v>
      </c>
      <c r="I2257">
        <v>4</v>
      </c>
      <c r="J2257" s="5">
        <v>6.9000000000000006E-2</v>
      </c>
      <c r="K2257" t="s">
        <v>681</v>
      </c>
      <c r="L2257" s="6">
        <v>42887</v>
      </c>
      <c r="M2257">
        <v>6</v>
      </c>
      <c r="N2257" s="7" t="s">
        <v>55</v>
      </c>
      <c r="O2257" t="s">
        <v>31</v>
      </c>
      <c r="P2257" t="s">
        <v>1252</v>
      </c>
      <c r="Q2257" t="s">
        <v>1223</v>
      </c>
      <c r="R2257" t="s">
        <v>1199</v>
      </c>
    </row>
    <row r="2258" spans="1:18" hidden="1">
      <c r="A2258">
        <v>12</v>
      </c>
      <c r="B2258" s="4" t="s">
        <v>901</v>
      </c>
      <c r="C2258" s="4" t="s">
        <v>1161</v>
      </c>
      <c r="D2258" s="4" t="s">
        <v>1220</v>
      </c>
      <c r="E2258" s="4" t="s">
        <v>5804</v>
      </c>
      <c r="F2258" t="s">
        <v>233</v>
      </c>
      <c r="G2258" t="s">
        <v>233</v>
      </c>
      <c r="H2258" t="s">
        <v>21</v>
      </c>
      <c r="I2258">
        <v>4</v>
      </c>
      <c r="J2258" s="5">
        <v>6.9000000000000006E-2</v>
      </c>
      <c r="K2258" t="s">
        <v>80</v>
      </c>
      <c r="L2258" s="6">
        <v>42917</v>
      </c>
      <c r="M2258">
        <v>7</v>
      </c>
      <c r="N2258" s="7" t="s">
        <v>55</v>
      </c>
      <c r="O2258" t="s">
        <v>31</v>
      </c>
      <c r="P2258" t="s">
        <v>1256</v>
      </c>
      <c r="Q2258" t="s">
        <v>1223</v>
      </c>
      <c r="R2258" t="s">
        <v>1199</v>
      </c>
    </row>
    <row r="2259" spans="1:18" hidden="1">
      <c r="A2259">
        <v>12</v>
      </c>
      <c r="B2259" s="4" t="s">
        <v>901</v>
      </c>
      <c r="C2259" s="4" t="s">
        <v>1161</v>
      </c>
      <c r="D2259" s="4" t="s">
        <v>1220</v>
      </c>
      <c r="E2259" s="4" t="s">
        <v>5804</v>
      </c>
      <c r="F2259" t="s">
        <v>233</v>
      </c>
      <c r="G2259" t="s">
        <v>233</v>
      </c>
      <c r="H2259" t="s">
        <v>21</v>
      </c>
      <c r="I2259">
        <v>4</v>
      </c>
      <c r="J2259" s="5">
        <v>6.9000000000000006E-2</v>
      </c>
      <c r="K2259" t="s">
        <v>93</v>
      </c>
      <c r="L2259" s="6">
        <v>43282</v>
      </c>
      <c r="M2259">
        <v>7</v>
      </c>
      <c r="N2259" s="7" t="s">
        <v>55</v>
      </c>
      <c r="O2259" t="s">
        <v>31</v>
      </c>
      <c r="P2259" t="s">
        <v>1278</v>
      </c>
      <c r="Q2259" t="s">
        <v>1279</v>
      </c>
      <c r="R2259" t="s">
        <v>1280</v>
      </c>
    </row>
    <row r="2260" spans="1:18" hidden="1">
      <c r="A2260">
        <v>12</v>
      </c>
      <c r="B2260" s="4" t="s">
        <v>901</v>
      </c>
      <c r="C2260" s="4" t="s">
        <v>1161</v>
      </c>
      <c r="D2260" s="4" t="s">
        <v>1220</v>
      </c>
      <c r="E2260" s="4" t="s">
        <v>5804</v>
      </c>
      <c r="F2260" t="s">
        <v>233</v>
      </c>
      <c r="G2260" t="s">
        <v>233</v>
      </c>
      <c r="H2260" t="s">
        <v>21</v>
      </c>
      <c r="I2260">
        <v>4</v>
      </c>
      <c r="J2260" s="5">
        <v>6.9000000000000006E-2</v>
      </c>
      <c r="K2260" t="s">
        <v>839</v>
      </c>
      <c r="L2260" s="6">
        <v>43800</v>
      </c>
      <c r="M2260">
        <v>12</v>
      </c>
      <c r="N2260" s="7" t="s">
        <v>30</v>
      </c>
      <c r="O2260" t="s">
        <v>223</v>
      </c>
      <c r="P2260" t="s">
        <v>1309</v>
      </c>
      <c r="Q2260" t="s">
        <v>1310</v>
      </c>
      <c r="R2260" t="s">
        <v>1311</v>
      </c>
    </row>
    <row r="2261" spans="1:18" hidden="1">
      <c r="A2261">
        <v>12</v>
      </c>
      <c r="B2261" s="4" t="s">
        <v>901</v>
      </c>
      <c r="C2261" s="4" t="s">
        <v>1161</v>
      </c>
      <c r="D2261" s="4" t="s">
        <v>1361</v>
      </c>
      <c r="E2261" s="4" t="s">
        <v>5804</v>
      </c>
      <c r="F2261" t="s">
        <v>233</v>
      </c>
      <c r="G2261" t="s">
        <v>233</v>
      </c>
      <c r="H2261" t="s">
        <v>21</v>
      </c>
      <c r="I2261">
        <v>4</v>
      </c>
      <c r="J2261" s="5">
        <v>6.9000000000000006E-2</v>
      </c>
      <c r="K2261" t="s">
        <v>220</v>
      </c>
      <c r="L2261" s="6">
        <v>42644</v>
      </c>
      <c r="M2261">
        <v>10</v>
      </c>
      <c r="N2261" s="7" t="s">
        <v>23</v>
      </c>
      <c r="O2261" t="s">
        <v>31</v>
      </c>
      <c r="P2261" t="s">
        <v>1362</v>
      </c>
      <c r="Q2261" t="s">
        <v>1363</v>
      </c>
      <c r="R2261" t="s">
        <v>1364</v>
      </c>
    </row>
    <row r="2262" spans="1:18" hidden="1">
      <c r="A2262">
        <v>12</v>
      </c>
      <c r="B2262" s="4" t="s">
        <v>901</v>
      </c>
      <c r="C2262" s="4" t="s">
        <v>1161</v>
      </c>
      <c r="D2262" s="4" t="s">
        <v>1361</v>
      </c>
      <c r="E2262" s="4" t="s">
        <v>5804</v>
      </c>
      <c r="F2262" t="s">
        <v>233</v>
      </c>
      <c r="G2262" t="s">
        <v>233</v>
      </c>
      <c r="H2262" t="s">
        <v>21</v>
      </c>
      <c r="I2262">
        <v>4</v>
      </c>
      <c r="J2262" s="5">
        <v>6.9000000000000006E-2</v>
      </c>
      <c r="K2262" t="s">
        <v>152</v>
      </c>
      <c r="L2262" s="6">
        <v>43374</v>
      </c>
      <c r="M2262">
        <v>10</v>
      </c>
      <c r="N2262" s="7" t="s">
        <v>23</v>
      </c>
      <c r="O2262" t="s">
        <v>31</v>
      </c>
      <c r="P2262" t="s">
        <v>1369</v>
      </c>
      <c r="Q2262" t="s">
        <v>1363</v>
      </c>
      <c r="R2262" t="s">
        <v>1364</v>
      </c>
    </row>
    <row r="2263" spans="1:18" hidden="1">
      <c r="A2263">
        <v>12</v>
      </c>
      <c r="B2263" s="4" t="s">
        <v>901</v>
      </c>
      <c r="C2263" s="4" t="s">
        <v>1161</v>
      </c>
      <c r="D2263" s="4" t="s">
        <v>1361</v>
      </c>
      <c r="E2263" s="4" t="s">
        <v>5804</v>
      </c>
      <c r="F2263" t="s">
        <v>233</v>
      </c>
      <c r="G2263" t="s">
        <v>233</v>
      </c>
      <c r="H2263" t="s">
        <v>21</v>
      </c>
      <c r="I2263">
        <v>4</v>
      </c>
      <c r="J2263" s="5">
        <v>6.9000000000000006E-2</v>
      </c>
      <c r="K2263" t="s">
        <v>654</v>
      </c>
      <c r="L2263" s="6">
        <v>43556</v>
      </c>
      <c r="M2263">
        <v>4</v>
      </c>
      <c r="N2263" s="7" t="s">
        <v>23</v>
      </c>
      <c r="O2263" t="s">
        <v>31</v>
      </c>
      <c r="P2263" t="s">
        <v>1370</v>
      </c>
      <c r="Q2263" t="s">
        <v>1363</v>
      </c>
      <c r="R2263" t="s">
        <v>1364</v>
      </c>
    </row>
    <row r="2264" spans="1:18" hidden="1">
      <c r="A2264">
        <v>12</v>
      </c>
      <c r="B2264" s="4" t="s">
        <v>901</v>
      </c>
      <c r="C2264" s="4" t="s">
        <v>1414</v>
      </c>
      <c r="D2264" s="4" t="s">
        <v>1420</v>
      </c>
      <c r="E2264" s="4" t="s">
        <v>5804</v>
      </c>
      <c r="F2264" t="s">
        <v>233</v>
      </c>
      <c r="G2264" t="s">
        <v>233</v>
      </c>
      <c r="H2264" t="s">
        <v>21</v>
      </c>
      <c r="I2264">
        <v>4</v>
      </c>
      <c r="J2264" s="5">
        <v>6.9000000000000006E-2</v>
      </c>
      <c r="K2264" t="s">
        <v>369</v>
      </c>
      <c r="L2264" s="6">
        <v>44197</v>
      </c>
      <c r="M2264">
        <v>1</v>
      </c>
      <c r="N2264" s="7" t="s">
        <v>30</v>
      </c>
      <c r="O2264" t="s">
        <v>31</v>
      </c>
      <c r="P2264" t="s">
        <v>1429</v>
      </c>
      <c r="Q2264" t="s">
        <v>1430</v>
      </c>
      <c r="R2264" t="s">
        <v>985</v>
      </c>
    </row>
    <row r="2265" spans="1:18" hidden="1">
      <c r="A2265">
        <v>12</v>
      </c>
      <c r="B2265" s="4" t="s">
        <v>901</v>
      </c>
      <c r="C2265" s="4" t="s">
        <v>1672</v>
      </c>
      <c r="D2265" s="4" t="s">
        <v>1673</v>
      </c>
      <c r="E2265" s="4" t="s">
        <v>5804</v>
      </c>
      <c r="F2265" t="s">
        <v>233</v>
      </c>
      <c r="G2265" t="s">
        <v>233</v>
      </c>
      <c r="H2265" t="s">
        <v>21</v>
      </c>
      <c r="I2265">
        <v>4</v>
      </c>
      <c r="J2265" s="5">
        <v>6.9000000000000006E-2</v>
      </c>
      <c r="K2265" t="s">
        <v>839</v>
      </c>
      <c r="L2265" s="6">
        <v>43800</v>
      </c>
      <c r="M2265">
        <v>12</v>
      </c>
      <c r="N2265" s="7" t="s">
        <v>30</v>
      </c>
      <c r="O2265" t="s">
        <v>31</v>
      </c>
      <c r="P2265" t="s">
        <v>1873</v>
      </c>
      <c r="Q2265" t="s">
        <v>1874</v>
      </c>
      <c r="R2265" t="s">
        <v>1865</v>
      </c>
    </row>
    <row r="2266" spans="1:18" hidden="1">
      <c r="A2266">
        <v>2</v>
      </c>
      <c r="B2266" s="4" t="s">
        <v>1952</v>
      </c>
      <c r="C2266" s="4" t="s">
        <v>1953</v>
      </c>
      <c r="D2266" s="4" t="s">
        <v>1954</v>
      </c>
      <c r="E2266" s="4" t="s">
        <v>5804</v>
      </c>
      <c r="F2266" t="s">
        <v>233</v>
      </c>
      <c r="G2266" t="s">
        <v>233</v>
      </c>
      <c r="H2266" t="s">
        <v>21</v>
      </c>
      <c r="I2266">
        <v>4</v>
      </c>
      <c r="J2266" s="5">
        <v>6.9000000000000006E-2</v>
      </c>
      <c r="K2266" t="s">
        <v>797</v>
      </c>
      <c r="L2266" s="6">
        <v>43252</v>
      </c>
      <c r="M2266">
        <v>6</v>
      </c>
      <c r="N2266" s="7" t="s">
        <v>55</v>
      </c>
      <c r="O2266" t="s">
        <v>31</v>
      </c>
      <c r="P2266" t="s">
        <v>2018</v>
      </c>
      <c r="Q2266" t="s">
        <v>2019</v>
      </c>
      <c r="R2266" t="s">
        <v>2020</v>
      </c>
    </row>
    <row r="2267" spans="1:18" hidden="1">
      <c r="A2267">
        <v>2</v>
      </c>
      <c r="B2267" s="4" t="s">
        <v>1952</v>
      </c>
      <c r="C2267" s="4" t="s">
        <v>1953</v>
      </c>
      <c r="D2267" s="4" t="s">
        <v>1954</v>
      </c>
      <c r="E2267" s="4" t="s">
        <v>5804</v>
      </c>
      <c r="F2267" t="s">
        <v>233</v>
      </c>
      <c r="G2267" t="s">
        <v>233</v>
      </c>
      <c r="H2267" t="s">
        <v>21</v>
      </c>
      <c r="I2267">
        <v>4</v>
      </c>
      <c r="J2267" s="5">
        <v>6.9000000000000006E-2</v>
      </c>
      <c r="K2267" t="s">
        <v>395</v>
      </c>
      <c r="L2267" s="6">
        <v>43497</v>
      </c>
      <c r="M2267">
        <v>2</v>
      </c>
      <c r="N2267" s="7" t="s">
        <v>30</v>
      </c>
      <c r="O2267" t="s">
        <v>31</v>
      </c>
      <c r="P2267" t="s">
        <v>2051</v>
      </c>
      <c r="Q2267" t="s">
        <v>2019</v>
      </c>
      <c r="R2267" t="s">
        <v>2020</v>
      </c>
    </row>
    <row r="2268" spans="1:18" hidden="1">
      <c r="A2268">
        <v>2</v>
      </c>
      <c r="B2268" s="4" t="s">
        <v>1952</v>
      </c>
      <c r="C2268" s="4" t="s">
        <v>1953</v>
      </c>
      <c r="D2268" s="4" t="s">
        <v>1954</v>
      </c>
      <c r="E2268" s="4" t="s">
        <v>5804</v>
      </c>
      <c r="F2268" t="s">
        <v>233</v>
      </c>
      <c r="G2268" t="s">
        <v>233</v>
      </c>
      <c r="H2268" t="s">
        <v>21</v>
      </c>
      <c r="I2268">
        <v>4</v>
      </c>
      <c r="J2268" s="5">
        <v>6.9000000000000006E-2</v>
      </c>
      <c r="K2268" t="s">
        <v>2070</v>
      </c>
      <c r="L2268" s="6" t="s">
        <v>673</v>
      </c>
      <c r="M2268" t="e">
        <v>#VALUE!</v>
      </c>
      <c r="N2268" s="7" t="e">
        <v>#VALUE!</v>
      </c>
      <c r="O2268" t="s">
        <v>31</v>
      </c>
      <c r="P2268" t="s">
        <v>2071</v>
      </c>
      <c r="Q2268" t="s">
        <v>2019</v>
      </c>
      <c r="R2268" t="s">
        <v>2020</v>
      </c>
    </row>
    <row r="2269" spans="1:18" hidden="1">
      <c r="A2269">
        <v>2</v>
      </c>
      <c r="B2269" s="4" t="s">
        <v>1952</v>
      </c>
      <c r="C2269" s="4" t="s">
        <v>1953</v>
      </c>
      <c r="D2269" s="4" t="s">
        <v>2072</v>
      </c>
      <c r="E2269" s="4" t="s">
        <v>5804</v>
      </c>
      <c r="F2269" t="s">
        <v>233</v>
      </c>
      <c r="G2269" t="s">
        <v>233</v>
      </c>
      <c r="H2269" t="s">
        <v>21</v>
      </c>
      <c r="I2269">
        <v>4</v>
      </c>
      <c r="J2269" s="5">
        <v>6.9000000000000006E-2</v>
      </c>
      <c r="K2269" t="s">
        <v>477</v>
      </c>
      <c r="L2269" s="6">
        <v>42705</v>
      </c>
      <c r="M2269">
        <v>12</v>
      </c>
      <c r="N2269" s="7" t="s">
        <v>30</v>
      </c>
      <c r="O2269" t="s">
        <v>31</v>
      </c>
      <c r="P2269" t="s">
        <v>2104</v>
      </c>
      <c r="Q2269" t="s">
        <v>2105</v>
      </c>
      <c r="R2269" t="s">
        <v>2106</v>
      </c>
    </row>
    <row r="2270" spans="1:18" hidden="1">
      <c r="A2270">
        <v>2</v>
      </c>
      <c r="B2270" s="4" t="s">
        <v>1952</v>
      </c>
      <c r="C2270" s="4" t="s">
        <v>1953</v>
      </c>
      <c r="D2270" s="4" t="s">
        <v>2072</v>
      </c>
      <c r="E2270" s="4" t="s">
        <v>5804</v>
      </c>
      <c r="F2270" t="s">
        <v>233</v>
      </c>
      <c r="G2270" t="s">
        <v>233</v>
      </c>
      <c r="H2270" t="s">
        <v>21</v>
      </c>
      <c r="I2270">
        <v>4</v>
      </c>
      <c r="J2270" s="5">
        <v>6.9000000000000006E-2</v>
      </c>
      <c r="K2270" t="s">
        <v>234</v>
      </c>
      <c r="L2270" s="6">
        <v>42826</v>
      </c>
      <c r="M2270">
        <v>4</v>
      </c>
      <c r="N2270" s="7" t="s">
        <v>23</v>
      </c>
      <c r="O2270" t="s">
        <v>31</v>
      </c>
      <c r="P2270" t="s">
        <v>2121</v>
      </c>
      <c r="Q2270" t="s">
        <v>2122</v>
      </c>
      <c r="R2270" t="s">
        <v>2123</v>
      </c>
    </row>
    <row r="2271" spans="1:18" hidden="1">
      <c r="A2271">
        <v>2</v>
      </c>
      <c r="B2271" s="4" t="s">
        <v>1952</v>
      </c>
      <c r="C2271" s="4" t="s">
        <v>1953</v>
      </c>
      <c r="D2271" s="4" t="s">
        <v>2072</v>
      </c>
      <c r="E2271" s="4" t="s">
        <v>5804</v>
      </c>
      <c r="F2271" t="s">
        <v>233</v>
      </c>
      <c r="G2271" t="s">
        <v>233</v>
      </c>
      <c r="H2271" t="s">
        <v>21</v>
      </c>
      <c r="I2271">
        <v>4</v>
      </c>
      <c r="J2271" s="5">
        <v>6.9000000000000006E-2</v>
      </c>
      <c r="K2271" t="s">
        <v>295</v>
      </c>
      <c r="L2271" s="6">
        <v>43221</v>
      </c>
      <c r="M2271">
        <v>5</v>
      </c>
      <c r="N2271" s="7" t="s">
        <v>23</v>
      </c>
      <c r="O2271" t="s">
        <v>31</v>
      </c>
      <c r="P2271" t="s">
        <v>2135</v>
      </c>
      <c r="Q2271" t="s">
        <v>2136</v>
      </c>
      <c r="R2271" t="s">
        <v>2137</v>
      </c>
    </row>
    <row r="2272" spans="1:18" hidden="1">
      <c r="A2272">
        <v>2</v>
      </c>
      <c r="B2272" s="4" t="s">
        <v>1952</v>
      </c>
      <c r="C2272" s="4" t="s">
        <v>1953</v>
      </c>
      <c r="D2272" s="4" t="s">
        <v>2072</v>
      </c>
      <c r="E2272" s="4" t="s">
        <v>5804</v>
      </c>
      <c r="F2272" t="s">
        <v>233</v>
      </c>
      <c r="G2272" t="s">
        <v>233</v>
      </c>
      <c r="H2272" t="s">
        <v>21</v>
      </c>
      <c r="I2272">
        <v>4</v>
      </c>
      <c r="J2272" s="5">
        <v>6.9000000000000006E-2</v>
      </c>
      <c r="K2272" t="s">
        <v>691</v>
      </c>
      <c r="L2272" s="6">
        <v>43770</v>
      </c>
      <c r="M2272">
        <v>11</v>
      </c>
      <c r="N2272" s="7" t="s">
        <v>23</v>
      </c>
      <c r="O2272" t="s">
        <v>31</v>
      </c>
      <c r="P2272" t="s">
        <v>2172</v>
      </c>
      <c r="Q2272" t="s">
        <v>2173</v>
      </c>
      <c r="R2272" t="s">
        <v>2174</v>
      </c>
    </row>
    <row r="2273" spans="1:18" hidden="1">
      <c r="A2273">
        <v>2</v>
      </c>
      <c r="B2273" s="4" t="s">
        <v>1952</v>
      </c>
      <c r="C2273" s="4" t="s">
        <v>1953</v>
      </c>
      <c r="D2273" s="4" t="s">
        <v>2072</v>
      </c>
      <c r="E2273" s="4" t="s">
        <v>5804</v>
      </c>
      <c r="F2273" t="s">
        <v>233</v>
      </c>
      <c r="G2273" t="s">
        <v>233</v>
      </c>
      <c r="H2273" t="s">
        <v>21</v>
      </c>
      <c r="I2273">
        <v>4</v>
      </c>
      <c r="J2273" s="5">
        <v>6.9000000000000006E-2</v>
      </c>
      <c r="K2273" t="s">
        <v>539</v>
      </c>
      <c r="L2273" s="6">
        <v>43922</v>
      </c>
      <c r="M2273">
        <v>4</v>
      </c>
      <c r="N2273" s="7" t="s">
        <v>23</v>
      </c>
      <c r="O2273" t="s">
        <v>31</v>
      </c>
      <c r="P2273" t="s">
        <v>2192</v>
      </c>
      <c r="Q2273" t="s">
        <v>2193</v>
      </c>
      <c r="R2273" t="s">
        <v>2137</v>
      </c>
    </row>
    <row r="2274" spans="1:18" hidden="1">
      <c r="A2274">
        <v>2</v>
      </c>
      <c r="B2274" s="4" t="s">
        <v>1952</v>
      </c>
      <c r="C2274" s="4" t="s">
        <v>1953</v>
      </c>
      <c r="D2274" s="4" t="s">
        <v>2072</v>
      </c>
      <c r="E2274" s="4" t="s">
        <v>5804</v>
      </c>
      <c r="F2274" t="s">
        <v>233</v>
      </c>
      <c r="G2274" t="s">
        <v>233</v>
      </c>
      <c r="H2274" t="s">
        <v>21</v>
      </c>
      <c r="I2274">
        <v>4</v>
      </c>
      <c r="J2274" s="5">
        <v>6.9000000000000006E-2</v>
      </c>
      <c r="K2274" t="s">
        <v>749</v>
      </c>
      <c r="L2274" s="6">
        <v>44136</v>
      </c>
      <c r="M2274">
        <v>11</v>
      </c>
      <c r="N2274" s="7" t="s">
        <v>23</v>
      </c>
      <c r="O2274" t="s">
        <v>31</v>
      </c>
      <c r="P2274" t="s">
        <v>2202</v>
      </c>
      <c r="Q2274" t="s">
        <v>2203</v>
      </c>
      <c r="R2274" t="s">
        <v>2132</v>
      </c>
    </row>
    <row r="2275" spans="1:18" hidden="1">
      <c r="A2275">
        <v>2</v>
      </c>
      <c r="B2275" s="4" t="s">
        <v>1952</v>
      </c>
      <c r="C2275" s="4" t="s">
        <v>1953</v>
      </c>
      <c r="D2275" s="4" t="s">
        <v>2224</v>
      </c>
      <c r="E2275" s="4" t="s">
        <v>5804</v>
      </c>
      <c r="F2275" t="s">
        <v>233</v>
      </c>
      <c r="G2275" t="s">
        <v>233</v>
      </c>
      <c r="H2275" t="s">
        <v>21</v>
      </c>
      <c r="I2275">
        <v>4</v>
      </c>
      <c r="J2275" s="5">
        <v>6.9000000000000006E-2</v>
      </c>
      <c r="K2275" t="s">
        <v>218</v>
      </c>
      <c r="L2275" s="6">
        <v>42614</v>
      </c>
      <c r="M2275">
        <v>9</v>
      </c>
      <c r="N2275" s="7" t="s">
        <v>23</v>
      </c>
      <c r="O2275" t="s">
        <v>31</v>
      </c>
      <c r="P2275" t="s">
        <v>2240</v>
      </c>
      <c r="Q2275" t="s">
        <v>2241</v>
      </c>
      <c r="R2275" t="s">
        <v>2242</v>
      </c>
    </row>
    <row r="2276" spans="1:18" hidden="1">
      <c r="A2276">
        <v>2</v>
      </c>
      <c r="B2276" s="4" t="s">
        <v>1952</v>
      </c>
      <c r="C2276" s="4" t="s">
        <v>1953</v>
      </c>
      <c r="D2276" s="4" t="s">
        <v>2224</v>
      </c>
      <c r="E2276" s="4" t="s">
        <v>5804</v>
      </c>
      <c r="F2276" t="s">
        <v>233</v>
      </c>
      <c r="G2276" t="s">
        <v>233</v>
      </c>
      <c r="H2276" t="s">
        <v>21</v>
      </c>
      <c r="I2276">
        <v>4</v>
      </c>
      <c r="J2276" s="5">
        <v>6.9000000000000006E-2</v>
      </c>
      <c r="K2276" t="s">
        <v>422</v>
      </c>
      <c r="L2276" s="6">
        <v>42736</v>
      </c>
      <c r="M2276">
        <v>1</v>
      </c>
      <c r="N2276" s="7" t="s">
        <v>30</v>
      </c>
      <c r="O2276" t="s">
        <v>31</v>
      </c>
      <c r="P2276" t="s">
        <v>2260</v>
      </c>
      <c r="Q2276" t="s">
        <v>2261</v>
      </c>
      <c r="R2276" t="s">
        <v>2262</v>
      </c>
    </row>
    <row r="2277" spans="1:18" hidden="1">
      <c r="A2277">
        <v>2</v>
      </c>
      <c r="B2277" s="4" t="s">
        <v>1952</v>
      </c>
      <c r="C2277" s="4" t="s">
        <v>1953</v>
      </c>
      <c r="D2277" s="4" t="s">
        <v>2224</v>
      </c>
      <c r="E2277" s="4" t="s">
        <v>5804</v>
      </c>
      <c r="F2277" t="s">
        <v>233</v>
      </c>
      <c r="G2277" t="s">
        <v>233</v>
      </c>
      <c r="H2277" t="s">
        <v>21</v>
      </c>
      <c r="I2277">
        <v>4</v>
      </c>
      <c r="J2277" s="5">
        <v>6.9000000000000006E-2</v>
      </c>
      <c r="K2277" t="s">
        <v>234</v>
      </c>
      <c r="L2277" s="6">
        <v>42826</v>
      </c>
      <c r="M2277">
        <v>4</v>
      </c>
      <c r="N2277" s="7" t="s">
        <v>23</v>
      </c>
      <c r="O2277" t="s">
        <v>31</v>
      </c>
      <c r="P2277" t="s">
        <v>2266</v>
      </c>
      <c r="Q2277" t="s">
        <v>2267</v>
      </c>
      <c r="R2277" t="s">
        <v>2268</v>
      </c>
    </row>
    <row r="2278" spans="1:18" hidden="1">
      <c r="A2278">
        <v>2</v>
      </c>
      <c r="B2278" s="4" t="s">
        <v>1952</v>
      </c>
      <c r="C2278" s="4" t="s">
        <v>1953</v>
      </c>
      <c r="D2278" s="4" t="s">
        <v>2224</v>
      </c>
      <c r="E2278" s="4" t="s">
        <v>5804</v>
      </c>
      <c r="F2278" t="s">
        <v>233</v>
      </c>
      <c r="G2278" t="s">
        <v>233</v>
      </c>
      <c r="H2278" t="s">
        <v>21</v>
      </c>
      <c r="I2278">
        <v>4</v>
      </c>
      <c r="J2278" s="5">
        <v>6.9000000000000006E-2</v>
      </c>
      <c r="K2278" t="s">
        <v>797</v>
      </c>
      <c r="L2278" s="6">
        <v>43252</v>
      </c>
      <c r="M2278">
        <v>6</v>
      </c>
      <c r="N2278" s="7" t="s">
        <v>55</v>
      </c>
      <c r="O2278" t="s">
        <v>31</v>
      </c>
      <c r="P2278" t="s">
        <v>2286</v>
      </c>
      <c r="Q2278" t="s">
        <v>2287</v>
      </c>
      <c r="R2278" t="s">
        <v>2288</v>
      </c>
    </row>
    <row r="2279" spans="1:18" hidden="1">
      <c r="A2279">
        <v>2</v>
      </c>
      <c r="B2279" s="4" t="s">
        <v>1952</v>
      </c>
      <c r="C2279" s="4" t="s">
        <v>1953</v>
      </c>
      <c r="D2279" s="4" t="s">
        <v>2224</v>
      </c>
      <c r="E2279" s="4" t="s">
        <v>5804</v>
      </c>
      <c r="F2279" t="s">
        <v>233</v>
      </c>
      <c r="G2279" t="s">
        <v>233</v>
      </c>
      <c r="H2279" t="s">
        <v>21</v>
      </c>
      <c r="I2279">
        <v>4</v>
      </c>
      <c r="J2279" s="5">
        <v>6.9000000000000006E-2</v>
      </c>
      <c r="K2279" t="s">
        <v>251</v>
      </c>
      <c r="L2279" s="6">
        <v>43952</v>
      </c>
      <c r="M2279">
        <v>5</v>
      </c>
      <c r="N2279" s="7" t="s">
        <v>23</v>
      </c>
      <c r="O2279" t="s">
        <v>31</v>
      </c>
      <c r="P2279" t="s">
        <v>2315</v>
      </c>
      <c r="Q2279" t="s">
        <v>2316</v>
      </c>
      <c r="R2279" t="s">
        <v>2317</v>
      </c>
    </row>
    <row r="2280" spans="1:18" hidden="1">
      <c r="A2280">
        <v>2</v>
      </c>
      <c r="B2280" s="4" t="s">
        <v>1952</v>
      </c>
      <c r="C2280" s="4" t="s">
        <v>1953</v>
      </c>
      <c r="D2280" s="4" t="s">
        <v>2326</v>
      </c>
      <c r="E2280" s="4" t="s">
        <v>5804</v>
      </c>
      <c r="F2280" t="s">
        <v>233</v>
      </c>
      <c r="G2280" t="s">
        <v>233</v>
      </c>
      <c r="H2280" t="s">
        <v>21</v>
      </c>
      <c r="I2280">
        <v>4</v>
      </c>
      <c r="J2280" s="5">
        <v>6.9000000000000006E-2</v>
      </c>
      <c r="K2280" t="s">
        <v>292</v>
      </c>
      <c r="L2280" s="6">
        <v>43191</v>
      </c>
      <c r="M2280">
        <v>4</v>
      </c>
      <c r="N2280" s="7" t="s">
        <v>23</v>
      </c>
      <c r="O2280" t="s">
        <v>31</v>
      </c>
      <c r="P2280" t="s">
        <v>2342</v>
      </c>
      <c r="Q2280" t="s">
        <v>2343</v>
      </c>
      <c r="R2280" t="s">
        <v>2137</v>
      </c>
    </row>
    <row r="2281" spans="1:18" hidden="1">
      <c r="A2281">
        <v>2</v>
      </c>
      <c r="B2281" s="4" t="s">
        <v>1952</v>
      </c>
      <c r="C2281" s="4" t="s">
        <v>2349</v>
      </c>
      <c r="D2281" s="4" t="s">
        <v>2354</v>
      </c>
      <c r="E2281" s="4" t="s">
        <v>5804</v>
      </c>
      <c r="F2281" t="s">
        <v>233</v>
      </c>
      <c r="G2281" t="s">
        <v>233</v>
      </c>
      <c r="H2281" t="s">
        <v>21</v>
      </c>
      <c r="I2281">
        <v>4</v>
      </c>
      <c r="J2281" s="5">
        <v>6.9000000000000006E-2</v>
      </c>
      <c r="K2281" t="s">
        <v>146</v>
      </c>
      <c r="L2281" s="6">
        <v>43313</v>
      </c>
      <c r="M2281">
        <v>8</v>
      </c>
      <c r="N2281" s="7" t="s">
        <v>55</v>
      </c>
      <c r="O2281" t="s">
        <v>31</v>
      </c>
      <c r="P2281" t="s">
        <v>2358</v>
      </c>
      <c r="Q2281" t="s">
        <v>2359</v>
      </c>
      <c r="R2281" t="s">
        <v>2360</v>
      </c>
    </row>
    <row r="2282" spans="1:18" hidden="1">
      <c r="A2282">
        <v>2</v>
      </c>
      <c r="B2282" s="4" t="s">
        <v>1952</v>
      </c>
      <c r="C2282" s="4" t="s">
        <v>2349</v>
      </c>
      <c r="D2282" s="4" t="s">
        <v>2364</v>
      </c>
      <c r="E2282" s="4" t="s">
        <v>5804</v>
      </c>
      <c r="F2282" t="s">
        <v>233</v>
      </c>
      <c r="G2282" t="s">
        <v>233</v>
      </c>
      <c r="H2282" t="s">
        <v>21</v>
      </c>
      <c r="I2282">
        <v>4</v>
      </c>
      <c r="J2282" s="5">
        <v>6.9000000000000006E-2</v>
      </c>
      <c r="K2282" t="s">
        <v>35</v>
      </c>
      <c r="L2282" s="6">
        <v>43160</v>
      </c>
      <c r="M2282">
        <v>3</v>
      </c>
      <c r="N2282" s="7" t="s">
        <v>23</v>
      </c>
      <c r="O2282" t="s">
        <v>24</v>
      </c>
      <c r="P2282" t="s">
        <v>2396</v>
      </c>
      <c r="Q2282" t="s">
        <v>2397</v>
      </c>
      <c r="R2282" t="s">
        <v>2398</v>
      </c>
    </row>
    <row r="2283" spans="1:18" hidden="1">
      <c r="A2283">
        <v>2</v>
      </c>
      <c r="B2283" s="4" t="s">
        <v>1952</v>
      </c>
      <c r="C2283" s="4" t="s">
        <v>2425</v>
      </c>
      <c r="D2283" s="4" t="s">
        <v>2509</v>
      </c>
      <c r="E2283" s="4" t="s">
        <v>5804</v>
      </c>
      <c r="F2283" t="s">
        <v>233</v>
      </c>
      <c r="G2283" t="s">
        <v>233</v>
      </c>
      <c r="H2283" t="s">
        <v>21</v>
      </c>
      <c r="I2283">
        <v>4</v>
      </c>
      <c r="J2283" s="5">
        <v>6.9000000000000006E-2</v>
      </c>
      <c r="K2283" t="s">
        <v>124</v>
      </c>
      <c r="L2283" s="6">
        <v>42767</v>
      </c>
      <c r="M2283">
        <v>2</v>
      </c>
      <c r="N2283" s="7" t="s">
        <v>30</v>
      </c>
      <c r="O2283" t="s">
        <v>31</v>
      </c>
      <c r="P2283" t="s">
        <v>2531</v>
      </c>
      <c r="Q2283" t="s">
        <v>2532</v>
      </c>
      <c r="R2283" t="s">
        <v>2533</v>
      </c>
    </row>
    <row r="2284" spans="1:18" hidden="1">
      <c r="A2284">
        <v>2</v>
      </c>
      <c r="B2284" s="4" t="s">
        <v>1952</v>
      </c>
      <c r="C2284" s="4" t="s">
        <v>2566</v>
      </c>
      <c r="D2284" s="4" t="s">
        <v>2620</v>
      </c>
      <c r="E2284" s="4" t="s">
        <v>5804</v>
      </c>
      <c r="F2284" t="s">
        <v>233</v>
      </c>
      <c r="G2284" t="s">
        <v>233</v>
      </c>
      <c r="H2284" t="s">
        <v>21</v>
      </c>
      <c r="I2284">
        <v>4</v>
      </c>
      <c r="J2284" s="5">
        <v>6.9000000000000006E-2</v>
      </c>
      <c r="K2284" t="s">
        <v>87</v>
      </c>
      <c r="L2284" s="6">
        <v>43040</v>
      </c>
      <c r="M2284">
        <v>11</v>
      </c>
      <c r="N2284" s="7" t="s">
        <v>23</v>
      </c>
      <c r="O2284" t="s">
        <v>31</v>
      </c>
      <c r="P2284" t="s">
        <v>2664</v>
      </c>
      <c r="Q2284" t="s">
        <v>2665</v>
      </c>
      <c r="R2284" t="s">
        <v>2666</v>
      </c>
    </row>
    <row r="2285" spans="1:18">
      <c r="A2285">
        <v>3</v>
      </c>
      <c r="B2285" s="4" t="s">
        <v>2764</v>
      </c>
      <c r="C2285" s="4" t="s">
        <v>2765</v>
      </c>
      <c r="D2285" s="4" t="s">
        <v>2816</v>
      </c>
      <c r="E2285" s="4" t="s">
        <v>5804</v>
      </c>
      <c r="F2285" t="s">
        <v>233</v>
      </c>
      <c r="G2285" t="s">
        <v>233</v>
      </c>
      <c r="H2285" t="s">
        <v>21</v>
      </c>
      <c r="I2285">
        <v>4</v>
      </c>
      <c r="J2285" s="5">
        <v>6.9000000000000006E-2</v>
      </c>
      <c r="K2285" t="s">
        <v>80</v>
      </c>
      <c r="L2285" s="6">
        <v>42917</v>
      </c>
      <c r="M2285">
        <v>7</v>
      </c>
      <c r="N2285" s="7" t="s">
        <v>55</v>
      </c>
      <c r="O2285" t="s">
        <v>31</v>
      </c>
      <c r="P2285" t="s">
        <v>2887</v>
      </c>
      <c r="Q2285" t="s">
        <v>2826</v>
      </c>
      <c r="R2285" t="s">
        <v>2827</v>
      </c>
    </row>
    <row r="2286" spans="1:18" hidden="1">
      <c r="A2286">
        <v>4</v>
      </c>
      <c r="B2286" s="4" t="s">
        <v>3127</v>
      </c>
      <c r="C2286" s="4" t="s">
        <v>3128</v>
      </c>
      <c r="D2286" s="4" t="s">
        <v>3190</v>
      </c>
      <c r="E2286" s="4" t="s">
        <v>5804</v>
      </c>
      <c r="F2286" t="s">
        <v>233</v>
      </c>
      <c r="G2286" t="s">
        <v>233</v>
      </c>
      <c r="H2286" t="s">
        <v>21</v>
      </c>
      <c r="I2286">
        <v>4</v>
      </c>
      <c r="J2286" s="5">
        <v>6.9000000000000006E-2</v>
      </c>
      <c r="K2286" t="s">
        <v>234</v>
      </c>
      <c r="L2286" s="6">
        <v>42826</v>
      </c>
      <c r="M2286">
        <v>4</v>
      </c>
      <c r="N2286" s="7" t="s">
        <v>23</v>
      </c>
      <c r="O2286" t="s">
        <v>31</v>
      </c>
      <c r="P2286" t="s">
        <v>3205</v>
      </c>
      <c r="Q2286" t="s">
        <v>3206</v>
      </c>
      <c r="R2286" t="s">
        <v>3207</v>
      </c>
    </row>
    <row r="2287" spans="1:18" hidden="1">
      <c r="A2287">
        <v>4</v>
      </c>
      <c r="B2287" s="4" t="s">
        <v>3127</v>
      </c>
      <c r="C2287" s="4" t="s">
        <v>3128</v>
      </c>
      <c r="D2287" s="4" t="s">
        <v>3190</v>
      </c>
      <c r="E2287" s="4" t="s">
        <v>5804</v>
      </c>
      <c r="F2287" t="s">
        <v>233</v>
      </c>
      <c r="G2287" t="s">
        <v>233</v>
      </c>
      <c r="H2287" t="s">
        <v>21</v>
      </c>
      <c r="I2287">
        <v>4</v>
      </c>
      <c r="J2287" s="5">
        <v>6.9000000000000006E-2</v>
      </c>
      <c r="K2287" t="s">
        <v>22</v>
      </c>
      <c r="L2287" s="6">
        <v>42979</v>
      </c>
      <c r="M2287">
        <v>9</v>
      </c>
      <c r="N2287" s="7" t="s">
        <v>23</v>
      </c>
      <c r="O2287" t="s">
        <v>31</v>
      </c>
      <c r="P2287" t="s">
        <v>3211</v>
      </c>
      <c r="Q2287" t="s">
        <v>3212</v>
      </c>
      <c r="R2287" t="s">
        <v>3213</v>
      </c>
    </row>
    <row r="2288" spans="1:18" hidden="1">
      <c r="A2288">
        <v>4</v>
      </c>
      <c r="B2288" s="4" t="s">
        <v>3127</v>
      </c>
      <c r="C2288" s="4" t="s">
        <v>3128</v>
      </c>
      <c r="D2288" s="4" t="s">
        <v>3190</v>
      </c>
      <c r="E2288" s="4" t="s">
        <v>5804</v>
      </c>
      <c r="F2288" t="s">
        <v>233</v>
      </c>
      <c r="G2288" t="s">
        <v>233</v>
      </c>
      <c r="H2288" t="s">
        <v>21</v>
      </c>
      <c r="I2288">
        <v>4</v>
      </c>
      <c r="J2288" s="5">
        <v>6.9000000000000006E-2</v>
      </c>
      <c r="K2288" t="s">
        <v>85</v>
      </c>
      <c r="L2288" s="6">
        <v>43009</v>
      </c>
      <c r="M2288">
        <v>10</v>
      </c>
      <c r="N2288" s="7" t="s">
        <v>23</v>
      </c>
      <c r="O2288" t="s">
        <v>31</v>
      </c>
      <c r="P2288" t="s">
        <v>3215</v>
      </c>
      <c r="Q2288" t="s">
        <v>3212</v>
      </c>
      <c r="R2288" t="s">
        <v>3213</v>
      </c>
    </row>
    <row r="2289" spans="1:18" hidden="1">
      <c r="A2289">
        <v>4</v>
      </c>
      <c r="B2289" s="4" t="s">
        <v>3127</v>
      </c>
      <c r="C2289" s="4" t="s">
        <v>3128</v>
      </c>
      <c r="D2289" s="4" t="s">
        <v>3190</v>
      </c>
      <c r="E2289" s="4" t="s">
        <v>5804</v>
      </c>
      <c r="F2289" t="s">
        <v>233</v>
      </c>
      <c r="G2289" t="s">
        <v>233</v>
      </c>
      <c r="H2289" t="s">
        <v>21</v>
      </c>
      <c r="I2289">
        <v>4</v>
      </c>
      <c r="J2289" s="5">
        <v>6.9000000000000006E-2</v>
      </c>
      <c r="K2289" t="s">
        <v>29</v>
      </c>
      <c r="L2289" s="6">
        <v>43070</v>
      </c>
      <c r="M2289">
        <v>12</v>
      </c>
      <c r="N2289" s="7" t="s">
        <v>30</v>
      </c>
      <c r="O2289" t="s">
        <v>31</v>
      </c>
      <c r="P2289" t="s">
        <v>3216</v>
      </c>
      <c r="Q2289" t="s">
        <v>3217</v>
      </c>
      <c r="R2289" t="s">
        <v>3218</v>
      </c>
    </row>
    <row r="2290" spans="1:18" hidden="1">
      <c r="A2290">
        <v>4</v>
      </c>
      <c r="B2290" s="4" t="s">
        <v>3127</v>
      </c>
      <c r="C2290" s="4" t="s">
        <v>3128</v>
      </c>
      <c r="D2290" s="4" t="s">
        <v>3190</v>
      </c>
      <c r="E2290" s="4" t="s">
        <v>5804</v>
      </c>
      <c r="F2290" t="s">
        <v>233</v>
      </c>
      <c r="G2290" t="s">
        <v>233</v>
      </c>
      <c r="H2290" t="s">
        <v>21</v>
      </c>
      <c r="I2290">
        <v>4</v>
      </c>
      <c r="J2290" s="5">
        <v>6.9000000000000006E-2</v>
      </c>
      <c r="K2290" t="s">
        <v>365</v>
      </c>
      <c r="L2290" s="6">
        <v>44105</v>
      </c>
      <c r="M2290">
        <v>10</v>
      </c>
      <c r="N2290" s="7" t="s">
        <v>23</v>
      </c>
      <c r="O2290" t="s">
        <v>31</v>
      </c>
      <c r="P2290" t="s">
        <v>3236</v>
      </c>
      <c r="Q2290" t="s">
        <v>3237</v>
      </c>
      <c r="R2290" t="s">
        <v>3207</v>
      </c>
    </row>
    <row r="2291" spans="1:18" hidden="1">
      <c r="A2291">
        <v>4</v>
      </c>
      <c r="B2291" s="4" t="s">
        <v>3127</v>
      </c>
      <c r="C2291" s="4" t="s">
        <v>3128</v>
      </c>
      <c r="D2291" s="4" t="s">
        <v>3190</v>
      </c>
      <c r="E2291" s="4" t="s">
        <v>5804</v>
      </c>
      <c r="F2291" t="s">
        <v>233</v>
      </c>
      <c r="G2291" t="s">
        <v>233</v>
      </c>
      <c r="H2291" t="s">
        <v>21</v>
      </c>
      <c r="I2291">
        <v>4</v>
      </c>
      <c r="J2291" s="5">
        <v>6.9000000000000006E-2</v>
      </c>
      <c r="K2291" t="s">
        <v>104</v>
      </c>
      <c r="L2291" s="6">
        <v>44317</v>
      </c>
      <c r="M2291">
        <v>5</v>
      </c>
      <c r="N2291" s="7" t="s">
        <v>23</v>
      </c>
      <c r="O2291" t="s">
        <v>31</v>
      </c>
      <c r="P2291" t="s">
        <v>3245</v>
      </c>
      <c r="Q2291" t="s">
        <v>3246</v>
      </c>
      <c r="R2291" t="s">
        <v>3218</v>
      </c>
    </row>
    <row r="2292" spans="1:18" hidden="1">
      <c r="A2292">
        <v>4</v>
      </c>
      <c r="B2292" s="4" t="s">
        <v>3127</v>
      </c>
      <c r="C2292" s="4" t="s">
        <v>3128</v>
      </c>
      <c r="D2292" s="4" t="s">
        <v>3247</v>
      </c>
      <c r="E2292" s="4" t="s">
        <v>5804</v>
      </c>
      <c r="F2292" t="s">
        <v>233</v>
      </c>
      <c r="G2292" t="s">
        <v>233</v>
      </c>
      <c r="H2292" t="s">
        <v>21</v>
      </c>
      <c r="I2292">
        <v>4</v>
      </c>
      <c r="J2292" s="5">
        <v>6.9000000000000006E-2</v>
      </c>
      <c r="K2292" t="s">
        <v>477</v>
      </c>
      <c r="L2292" s="6">
        <v>42705</v>
      </c>
      <c r="M2292">
        <v>12</v>
      </c>
      <c r="N2292" s="7" t="s">
        <v>30</v>
      </c>
      <c r="O2292" t="s">
        <v>31</v>
      </c>
      <c r="P2292" t="s">
        <v>3284</v>
      </c>
      <c r="Q2292" t="s">
        <v>3285</v>
      </c>
      <c r="R2292" t="s">
        <v>3207</v>
      </c>
    </row>
    <row r="2293" spans="1:18" hidden="1">
      <c r="A2293">
        <v>4</v>
      </c>
      <c r="B2293" s="4" t="s">
        <v>3127</v>
      </c>
      <c r="C2293" s="4" t="s">
        <v>3128</v>
      </c>
      <c r="D2293" s="4" t="s">
        <v>3247</v>
      </c>
      <c r="E2293" s="4" t="s">
        <v>5804</v>
      </c>
      <c r="F2293" t="s">
        <v>233</v>
      </c>
      <c r="G2293" t="s">
        <v>233</v>
      </c>
      <c r="H2293" t="s">
        <v>21</v>
      </c>
      <c r="I2293">
        <v>4</v>
      </c>
      <c r="J2293" s="5">
        <v>6.9000000000000006E-2</v>
      </c>
      <c r="K2293" t="s">
        <v>422</v>
      </c>
      <c r="L2293" s="6">
        <v>42736</v>
      </c>
      <c r="M2293">
        <v>1</v>
      </c>
      <c r="N2293" s="7" t="s">
        <v>30</v>
      </c>
      <c r="O2293" t="s">
        <v>31</v>
      </c>
      <c r="P2293" t="s">
        <v>3295</v>
      </c>
      <c r="Q2293" t="s">
        <v>3285</v>
      </c>
      <c r="R2293" t="s">
        <v>3207</v>
      </c>
    </row>
    <row r="2294" spans="1:18" hidden="1">
      <c r="A2294">
        <v>4</v>
      </c>
      <c r="B2294" s="4" t="s">
        <v>3127</v>
      </c>
      <c r="C2294" s="4" t="s">
        <v>3128</v>
      </c>
      <c r="D2294" s="4" t="s">
        <v>3247</v>
      </c>
      <c r="E2294" s="4" t="s">
        <v>5804</v>
      </c>
      <c r="F2294" t="s">
        <v>233</v>
      </c>
      <c r="G2294" t="s">
        <v>233</v>
      </c>
      <c r="H2294" t="s">
        <v>21</v>
      </c>
      <c r="I2294">
        <v>4</v>
      </c>
      <c r="J2294" s="5">
        <v>6.9000000000000006E-2</v>
      </c>
      <c r="K2294" t="s">
        <v>22</v>
      </c>
      <c r="L2294" s="6">
        <v>42979</v>
      </c>
      <c r="M2294">
        <v>9</v>
      </c>
      <c r="N2294" s="7" t="s">
        <v>23</v>
      </c>
      <c r="O2294" t="s">
        <v>31</v>
      </c>
      <c r="P2294" t="s">
        <v>3309</v>
      </c>
      <c r="Q2294" t="s">
        <v>3285</v>
      </c>
      <c r="R2294" t="s">
        <v>3207</v>
      </c>
    </row>
    <row r="2295" spans="1:18" hidden="1">
      <c r="A2295">
        <v>4</v>
      </c>
      <c r="B2295" s="4" t="s">
        <v>3127</v>
      </c>
      <c r="C2295" s="4" t="s">
        <v>3128</v>
      </c>
      <c r="D2295" s="4" t="s">
        <v>3247</v>
      </c>
      <c r="E2295" s="4" t="s">
        <v>5804</v>
      </c>
      <c r="F2295" t="s">
        <v>233</v>
      </c>
      <c r="G2295" t="s">
        <v>233</v>
      </c>
      <c r="H2295" t="s">
        <v>21</v>
      </c>
      <c r="I2295">
        <v>4</v>
      </c>
      <c r="J2295" s="5">
        <v>6.9000000000000006E-2</v>
      </c>
      <c r="K2295" t="s">
        <v>29</v>
      </c>
      <c r="L2295" s="6">
        <v>43070</v>
      </c>
      <c r="M2295">
        <v>12</v>
      </c>
      <c r="N2295" s="7" t="s">
        <v>30</v>
      </c>
      <c r="O2295" t="s">
        <v>31</v>
      </c>
      <c r="P2295" t="s">
        <v>3317</v>
      </c>
      <c r="Q2295" t="s">
        <v>3318</v>
      </c>
      <c r="R2295" t="s">
        <v>3195</v>
      </c>
    </row>
    <row r="2296" spans="1:18" hidden="1">
      <c r="A2296">
        <v>4</v>
      </c>
      <c r="B2296" s="4" t="s">
        <v>3127</v>
      </c>
      <c r="C2296" s="4" t="s">
        <v>3128</v>
      </c>
      <c r="D2296" s="4" t="s">
        <v>3247</v>
      </c>
      <c r="E2296" s="4" t="s">
        <v>5804</v>
      </c>
      <c r="F2296" t="s">
        <v>233</v>
      </c>
      <c r="G2296" t="s">
        <v>233</v>
      </c>
      <c r="H2296" t="s">
        <v>21</v>
      </c>
      <c r="I2296">
        <v>4</v>
      </c>
      <c r="J2296" s="5">
        <v>6.9000000000000006E-2</v>
      </c>
      <c r="K2296" t="s">
        <v>292</v>
      </c>
      <c r="L2296" s="6">
        <v>43191</v>
      </c>
      <c r="M2296">
        <v>4</v>
      </c>
      <c r="N2296" s="7" t="s">
        <v>23</v>
      </c>
      <c r="O2296" t="s">
        <v>31</v>
      </c>
      <c r="P2296" t="s">
        <v>3329</v>
      </c>
      <c r="Q2296" t="s">
        <v>3285</v>
      </c>
      <c r="R2296" t="s">
        <v>3207</v>
      </c>
    </row>
    <row r="2297" spans="1:18" hidden="1">
      <c r="A2297">
        <v>4</v>
      </c>
      <c r="B2297" s="4" t="s">
        <v>3127</v>
      </c>
      <c r="C2297" s="4" t="s">
        <v>3128</v>
      </c>
      <c r="D2297" s="4" t="s">
        <v>3247</v>
      </c>
      <c r="E2297" s="4" t="s">
        <v>5804</v>
      </c>
      <c r="F2297" t="s">
        <v>233</v>
      </c>
      <c r="G2297" t="s">
        <v>233</v>
      </c>
      <c r="H2297" t="s">
        <v>21</v>
      </c>
      <c r="I2297">
        <v>4</v>
      </c>
      <c r="J2297" s="5">
        <v>6.9000000000000006E-2</v>
      </c>
      <c r="K2297" t="s">
        <v>292</v>
      </c>
      <c r="L2297" s="6">
        <v>43191</v>
      </c>
      <c r="M2297">
        <v>4</v>
      </c>
      <c r="N2297" s="7" t="s">
        <v>23</v>
      </c>
      <c r="O2297" t="s">
        <v>31</v>
      </c>
      <c r="P2297" t="s">
        <v>3330</v>
      </c>
      <c r="Q2297" t="s">
        <v>3331</v>
      </c>
      <c r="R2297" t="s">
        <v>3332</v>
      </c>
    </row>
    <row r="2298" spans="1:18" hidden="1">
      <c r="A2298">
        <v>4</v>
      </c>
      <c r="B2298" s="4" t="s">
        <v>3127</v>
      </c>
      <c r="C2298" s="4" t="s">
        <v>3128</v>
      </c>
      <c r="D2298" s="4" t="s">
        <v>3247</v>
      </c>
      <c r="E2298" s="4" t="s">
        <v>5804</v>
      </c>
      <c r="F2298" t="s">
        <v>233</v>
      </c>
      <c r="G2298" t="s">
        <v>233</v>
      </c>
      <c r="H2298" t="s">
        <v>21</v>
      </c>
      <c r="I2298">
        <v>4</v>
      </c>
      <c r="J2298" s="5">
        <v>6.9000000000000006E-2</v>
      </c>
      <c r="K2298" t="s">
        <v>365</v>
      </c>
      <c r="L2298" s="6">
        <v>44105</v>
      </c>
      <c r="M2298">
        <v>10</v>
      </c>
      <c r="N2298" s="7" t="s">
        <v>23</v>
      </c>
      <c r="O2298" t="s">
        <v>31</v>
      </c>
      <c r="P2298" t="s">
        <v>3362</v>
      </c>
      <c r="Q2298" t="s">
        <v>3290</v>
      </c>
      <c r="R2298" t="s">
        <v>3218</v>
      </c>
    </row>
    <row r="2299" spans="1:18" hidden="1">
      <c r="A2299">
        <v>4</v>
      </c>
      <c r="B2299" s="4" t="s">
        <v>3127</v>
      </c>
      <c r="C2299" s="4" t="s">
        <v>3506</v>
      </c>
      <c r="D2299" s="4" t="s">
        <v>3572</v>
      </c>
      <c r="E2299" s="4" t="s">
        <v>5804</v>
      </c>
      <c r="F2299" t="s">
        <v>233</v>
      </c>
      <c r="G2299" t="s">
        <v>233</v>
      </c>
      <c r="H2299" t="s">
        <v>21</v>
      </c>
      <c r="I2299">
        <v>4</v>
      </c>
      <c r="J2299" s="5">
        <v>6.9000000000000006E-2</v>
      </c>
      <c r="K2299" t="s">
        <v>146</v>
      </c>
      <c r="L2299" s="6">
        <v>43313</v>
      </c>
      <c r="M2299">
        <v>8</v>
      </c>
      <c r="N2299" s="7" t="s">
        <v>55</v>
      </c>
      <c r="O2299" t="s">
        <v>31</v>
      </c>
      <c r="P2299" t="s">
        <v>3586</v>
      </c>
      <c r="Q2299" t="s">
        <v>3587</v>
      </c>
      <c r="R2299" t="s">
        <v>3588</v>
      </c>
    </row>
    <row r="2300" spans="1:18" hidden="1">
      <c r="A2300">
        <v>4</v>
      </c>
      <c r="B2300" s="4" t="s">
        <v>3127</v>
      </c>
      <c r="C2300" s="4" t="s">
        <v>3597</v>
      </c>
      <c r="D2300" s="4" t="s">
        <v>3617</v>
      </c>
      <c r="E2300" s="4" t="s">
        <v>5804</v>
      </c>
      <c r="F2300" t="s">
        <v>233</v>
      </c>
      <c r="G2300" t="s">
        <v>233</v>
      </c>
      <c r="H2300" t="s">
        <v>21</v>
      </c>
      <c r="I2300">
        <v>4</v>
      </c>
      <c r="J2300" s="5">
        <v>6.9000000000000006E-2</v>
      </c>
      <c r="K2300" t="s">
        <v>547</v>
      </c>
      <c r="L2300" s="6">
        <v>44075</v>
      </c>
      <c r="M2300">
        <v>9</v>
      </c>
      <c r="N2300" s="7" t="s">
        <v>23</v>
      </c>
      <c r="O2300" t="s">
        <v>31</v>
      </c>
      <c r="P2300" t="s">
        <v>3652</v>
      </c>
      <c r="Q2300" t="s">
        <v>3653</v>
      </c>
      <c r="R2300" t="s">
        <v>3654</v>
      </c>
    </row>
    <row r="2301" spans="1:18" hidden="1">
      <c r="A2301">
        <v>4</v>
      </c>
      <c r="B2301" s="4" t="s">
        <v>3127</v>
      </c>
      <c r="C2301" s="4" t="s">
        <v>3597</v>
      </c>
      <c r="D2301" s="4" t="s">
        <v>3660</v>
      </c>
      <c r="E2301" s="4" t="s">
        <v>5804</v>
      </c>
      <c r="F2301" t="s">
        <v>233</v>
      </c>
      <c r="G2301" t="s">
        <v>233</v>
      </c>
      <c r="H2301" t="s">
        <v>21</v>
      </c>
      <c r="I2301">
        <v>4</v>
      </c>
      <c r="J2301" s="5">
        <v>6.9000000000000006E-2</v>
      </c>
      <c r="K2301" t="s">
        <v>171</v>
      </c>
      <c r="L2301" s="6">
        <v>44013</v>
      </c>
      <c r="M2301">
        <v>7</v>
      </c>
      <c r="N2301" s="7" t="s">
        <v>55</v>
      </c>
      <c r="O2301" t="s">
        <v>31</v>
      </c>
      <c r="P2301" t="s">
        <v>3757</v>
      </c>
      <c r="Q2301" t="s">
        <v>3758</v>
      </c>
      <c r="R2301" t="s">
        <v>3640</v>
      </c>
    </row>
    <row r="2302" spans="1:18" hidden="1">
      <c r="A2302">
        <v>4</v>
      </c>
      <c r="B2302" s="4" t="s">
        <v>3127</v>
      </c>
      <c r="C2302" s="4" t="s">
        <v>3597</v>
      </c>
      <c r="D2302" s="4" t="s">
        <v>3660</v>
      </c>
      <c r="E2302" s="4" t="s">
        <v>5804</v>
      </c>
      <c r="F2302" t="s">
        <v>233</v>
      </c>
      <c r="G2302" t="s">
        <v>233</v>
      </c>
      <c r="H2302" t="s">
        <v>21</v>
      </c>
      <c r="I2302">
        <v>4</v>
      </c>
      <c r="J2302" s="5">
        <v>6.9000000000000006E-2</v>
      </c>
      <c r="K2302" t="s">
        <v>102</v>
      </c>
      <c r="L2302" s="6">
        <v>44287</v>
      </c>
      <c r="M2302">
        <v>4</v>
      </c>
      <c r="N2302" s="7" t="s">
        <v>23</v>
      </c>
      <c r="O2302" t="s">
        <v>31</v>
      </c>
      <c r="P2302" t="s">
        <v>3778</v>
      </c>
      <c r="Q2302" t="s">
        <v>3653</v>
      </c>
      <c r="R2302" t="s">
        <v>3654</v>
      </c>
    </row>
    <row r="2303" spans="1:18" hidden="1">
      <c r="A2303">
        <v>4</v>
      </c>
      <c r="B2303" s="4" t="s">
        <v>3127</v>
      </c>
      <c r="C2303" s="4" t="s">
        <v>3789</v>
      </c>
      <c r="D2303" s="4" t="s">
        <v>3815</v>
      </c>
      <c r="E2303" s="4" t="s">
        <v>5804</v>
      </c>
      <c r="F2303" t="s">
        <v>233</v>
      </c>
      <c r="G2303" t="s">
        <v>233</v>
      </c>
      <c r="H2303" t="s">
        <v>21</v>
      </c>
      <c r="I2303">
        <v>4</v>
      </c>
      <c r="J2303" s="5">
        <v>6.9000000000000006E-2</v>
      </c>
      <c r="K2303" t="s">
        <v>3935</v>
      </c>
      <c r="L2303" s="6" t="s">
        <v>673</v>
      </c>
      <c r="M2303" t="e">
        <v>#VALUE!</v>
      </c>
      <c r="N2303" s="7" t="e">
        <v>#VALUE!</v>
      </c>
      <c r="O2303" t="s">
        <v>31</v>
      </c>
      <c r="P2303" t="s">
        <v>3936</v>
      </c>
      <c r="Q2303" t="s">
        <v>3937</v>
      </c>
      <c r="R2303" t="s">
        <v>3938</v>
      </c>
    </row>
    <row r="2304" spans="1:18" hidden="1">
      <c r="A2304">
        <v>4</v>
      </c>
      <c r="B2304" s="4" t="s">
        <v>3127</v>
      </c>
      <c r="C2304" s="4" t="s">
        <v>3939</v>
      </c>
      <c r="D2304" s="4" t="s">
        <v>3958</v>
      </c>
      <c r="E2304" s="4" t="s">
        <v>5804</v>
      </c>
      <c r="F2304" t="s">
        <v>233</v>
      </c>
      <c r="G2304" t="s">
        <v>233</v>
      </c>
      <c r="H2304" t="s">
        <v>21</v>
      </c>
      <c r="I2304">
        <v>4</v>
      </c>
      <c r="J2304" s="5">
        <v>6.9000000000000006E-2</v>
      </c>
      <c r="K2304" t="s">
        <v>85</v>
      </c>
      <c r="L2304" s="6">
        <v>43009</v>
      </c>
      <c r="M2304">
        <v>10</v>
      </c>
      <c r="N2304" s="7" t="s">
        <v>23</v>
      </c>
      <c r="O2304" t="s">
        <v>31</v>
      </c>
      <c r="P2304" t="s">
        <v>3983</v>
      </c>
      <c r="Q2304" t="s">
        <v>3984</v>
      </c>
      <c r="R2304" t="s">
        <v>3985</v>
      </c>
    </row>
    <row r="2305" spans="1:18" hidden="1">
      <c r="A2305">
        <v>4</v>
      </c>
      <c r="B2305" s="4" t="s">
        <v>3127</v>
      </c>
      <c r="C2305" s="4" t="s">
        <v>3939</v>
      </c>
      <c r="D2305" s="4" t="s">
        <v>3958</v>
      </c>
      <c r="E2305" s="4" t="s">
        <v>5804</v>
      </c>
      <c r="F2305" t="s">
        <v>233</v>
      </c>
      <c r="G2305" t="s">
        <v>233</v>
      </c>
      <c r="H2305" t="s">
        <v>21</v>
      </c>
      <c r="I2305">
        <v>4</v>
      </c>
      <c r="J2305" s="5">
        <v>6.9000000000000006E-2</v>
      </c>
      <c r="K2305" t="s">
        <v>159</v>
      </c>
      <c r="L2305" s="6">
        <v>43586</v>
      </c>
      <c r="M2305">
        <v>5</v>
      </c>
      <c r="N2305" s="7" t="s">
        <v>23</v>
      </c>
      <c r="O2305" t="s">
        <v>31</v>
      </c>
      <c r="P2305" t="s">
        <v>3998</v>
      </c>
      <c r="Q2305" t="s">
        <v>3999</v>
      </c>
      <c r="R2305" t="s">
        <v>3814</v>
      </c>
    </row>
    <row r="2306" spans="1:18" hidden="1">
      <c r="A2306">
        <v>4</v>
      </c>
      <c r="B2306" s="4" t="s">
        <v>3127</v>
      </c>
      <c r="C2306" s="4" t="s">
        <v>3939</v>
      </c>
      <c r="D2306" s="4" t="s">
        <v>3958</v>
      </c>
      <c r="E2306" s="4" t="s">
        <v>5804</v>
      </c>
      <c r="F2306" t="s">
        <v>233</v>
      </c>
      <c r="G2306" t="s">
        <v>233</v>
      </c>
      <c r="H2306" t="s">
        <v>21</v>
      </c>
      <c r="I2306">
        <v>4</v>
      </c>
      <c r="J2306" s="5">
        <v>6.9000000000000006E-2</v>
      </c>
      <c r="K2306" t="s">
        <v>255</v>
      </c>
      <c r="L2306" s="6">
        <v>43983</v>
      </c>
      <c r="M2306">
        <v>6</v>
      </c>
      <c r="N2306" s="7" t="s">
        <v>55</v>
      </c>
      <c r="O2306" t="s">
        <v>31</v>
      </c>
      <c r="P2306" t="s">
        <v>4004</v>
      </c>
      <c r="Q2306" t="s">
        <v>4005</v>
      </c>
      <c r="R2306" t="s">
        <v>3946</v>
      </c>
    </row>
    <row r="2307" spans="1:18" hidden="1">
      <c r="A2307">
        <v>4</v>
      </c>
      <c r="B2307" s="4" t="s">
        <v>3127</v>
      </c>
      <c r="C2307" s="4" t="s">
        <v>4035</v>
      </c>
      <c r="D2307" s="4" t="s">
        <v>4080</v>
      </c>
      <c r="E2307" s="4" t="s">
        <v>5804</v>
      </c>
      <c r="F2307" t="s">
        <v>233</v>
      </c>
      <c r="G2307" t="s">
        <v>233</v>
      </c>
      <c r="H2307" t="s">
        <v>21</v>
      </c>
      <c r="I2307">
        <v>4</v>
      </c>
      <c r="J2307" s="5">
        <v>6.9000000000000006E-2</v>
      </c>
      <c r="K2307" t="s">
        <v>60</v>
      </c>
      <c r="L2307" s="6">
        <v>42370</v>
      </c>
      <c r="M2307">
        <v>1</v>
      </c>
      <c r="N2307" s="7" t="s">
        <v>30</v>
      </c>
      <c r="O2307" t="s">
        <v>31</v>
      </c>
      <c r="P2307" t="s">
        <v>4086</v>
      </c>
      <c r="Q2307" t="s">
        <v>4087</v>
      </c>
      <c r="R2307" t="s">
        <v>4088</v>
      </c>
    </row>
    <row r="2308" spans="1:18" hidden="1">
      <c r="A2308">
        <v>4</v>
      </c>
      <c r="B2308" s="4" t="s">
        <v>3127</v>
      </c>
      <c r="C2308" s="4" t="s">
        <v>4035</v>
      </c>
      <c r="D2308" s="4" t="s">
        <v>4080</v>
      </c>
      <c r="E2308" s="4" t="s">
        <v>5804</v>
      </c>
      <c r="F2308" t="s">
        <v>233</v>
      </c>
      <c r="G2308" t="s">
        <v>233</v>
      </c>
      <c r="H2308" t="s">
        <v>21</v>
      </c>
      <c r="I2308">
        <v>4</v>
      </c>
      <c r="J2308" s="5">
        <v>6.9000000000000006E-2</v>
      </c>
      <c r="K2308" t="s">
        <v>99</v>
      </c>
      <c r="L2308" s="6">
        <v>43891</v>
      </c>
      <c r="M2308">
        <v>3</v>
      </c>
      <c r="N2308" s="7" t="s">
        <v>23</v>
      </c>
      <c r="O2308" t="s">
        <v>31</v>
      </c>
      <c r="P2308" t="s">
        <v>4168</v>
      </c>
      <c r="Q2308" t="s">
        <v>4169</v>
      </c>
      <c r="R2308" t="s">
        <v>4088</v>
      </c>
    </row>
    <row r="2309" spans="1:18" hidden="1">
      <c r="A2309">
        <v>4</v>
      </c>
      <c r="B2309" s="4" t="s">
        <v>3127</v>
      </c>
      <c r="C2309" s="4" t="s">
        <v>4035</v>
      </c>
      <c r="D2309" s="4" t="s">
        <v>4080</v>
      </c>
      <c r="E2309" s="4" t="s">
        <v>5804</v>
      </c>
      <c r="F2309" t="s">
        <v>233</v>
      </c>
      <c r="G2309" t="s">
        <v>233</v>
      </c>
      <c r="H2309" t="s">
        <v>21</v>
      </c>
      <c r="I2309">
        <v>4</v>
      </c>
      <c r="J2309" s="5">
        <v>6.9000000000000006E-2</v>
      </c>
      <c r="K2309" t="s">
        <v>547</v>
      </c>
      <c r="L2309" s="6">
        <v>44075</v>
      </c>
      <c r="M2309">
        <v>9</v>
      </c>
      <c r="N2309" s="7" t="s">
        <v>23</v>
      </c>
      <c r="O2309" t="s">
        <v>31</v>
      </c>
      <c r="P2309" t="s">
        <v>4186</v>
      </c>
      <c r="Q2309" t="s">
        <v>4087</v>
      </c>
      <c r="R2309" t="s">
        <v>4088</v>
      </c>
    </row>
    <row r="2310" spans="1:18" hidden="1">
      <c r="A2310">
        <v>4</v>
      </c>
      <c r="B2310" s="4" t="s">
        <v>3127</v>
      </c>
      <c r="C2310" s="4" t="s">
        <v>4035</v>
      </c>
      <c r="D2310" s="4" t="s">
        <v>4080</v>
      </c>
      <c r="E2310" s="4" t="s">
        <v>5804</v>
      </c>
      <c r="F2310" t="s">
        <v>233</v>
      </c>
      <c r="G2310" t="s">
        <v>233</v>
      </c>
      <c r="H2310" t="s">
        <v>21</v>
      </c>
      <c r="I2310">
        <v>4</v>
      </c>
      <c r="J2310" s="5">
        <v>6.9000000000000006E-2</v>
      </c>
      <c r="K2310" t="s">
        <v>547</v>
      </c>
      <c r="L2310" s="6">
        <v>44075</v>
      </c>
      <c r="M2310">
        <v>9</v>
      </c>
      <c r="N2310" s="7" t="s">
        <v>23</v>
      </c>
      <c r="O2310" t="s">
        <v>223</v>
      </c>
      <c r="P2310" t="s">
        <v>4187</v>
      </c>
      <c r="Q2310" t="s">
        <v>4188</v>
      </c>
      <c r="R2310" t="s">
        <v>4189</v>
      </c>
    </row>
    <row r="2311" spans="1:18" hidden="1">
      <c r="A2311">
        <v>4</v>
      </c>
      <c r="B2311" s="4" t="s">
        <v>3127</v>
      </c>
      <c r="C2311" s="4" t="s">
        <v>4207</v>
      </c>
      <c r="D2311" s="4" t="s">
        <v>4257</v>
      </c>
      <c r="E2311" s="4" t="s">
        <v>5804</v>
      </c>
      <c r="F2311" t="s">
        <v>233</v>
      </c>
      <c r="G2311" t="s">
        <v>233</v>
      </c>
      <c r="H2311" t="s">
        <v>21</v>
      </c>
      <c r="I2311">
        <v>4</v>
      </c>
      <c r="J2311" s="5">
        <v>6.9000000000000006E-2</v>
      </c>
      <c r="K2311" t="s">
        <v>482</v>
      </c>
      <c r="L2311" s="6">
        <v>43435</v>
      </c>
      <c r="M2311">
        <v>12</v>
      </c>
      <c r="N2311" s="7" t="s">
        <v>30</v>
      </c>
      <c r="O2311" t="s">
        <v>31</v>
      </c>
      <c r="P2311" t="s">
        <v>4429</v>
      </c>
      <c r="Q2311" t="s">
        <v>4430</v>
      </c>
      <c r="R2311" t="s">
        <v>4431</v>
      </c>
    </row>
    <row r="2312" spans="1:18" hidden="1">
      <c r="A2312">
        <v>4</v>
      </c>
      <c r="B2312" s="4" t="s">
        <v>3127</v>
      </c>
      <c r="C2312" s="4" t="s">
        <v>4207</v>
      </c>
      <c r="D2312" s="4" t="s">
        <v>4257</v>
      </c>
      <c r="E2312" s="4" t="s">
        <v>5804</v>
      </c>
      <c r="F2312" t="s">
        <v>233</v>
      </c>
      <c r="G2312" t="s">
        <v>233</v>
      </c>
      <c r="H2312" t="s">
        <v>21</v>
      </c>
      <c r="I2312">
        <v>4</v>
      </c>
      <c r="J2312" s="5">
        <v>6.9000000000000006E-2</v>
      </c>
      <c r="K2312" t="s">
        <v>168</v>
      </c>
      <c r="L2312" s="6">
        <v>43678</v>
      </c>
      <c r="M2312">
        <v>8</v>
      </c>
      <c r="N2312" s="7" t="s">
        <v>55</v>
      </c>
      <c r="O2312" t="s">
        <v>31</v>
      </c>
      <c r="P2312" t="s">
        <v>4470</v>
      </c>
      <c r="Q2312" t="s">
        <v>4471</v>
      </c>
      <c r="R2312" t="s">
        <v>4472</v>
      </c>
    </row>
    <row r="2313" spans="1:18" hidden="1">
      <c r="A2313">
        <v>4</v>
      </c>
      <c r="B2313" s="4" t="s">
        <v>3127</v>
      </c>
      <c r="C2313" s="4" t="s">
        <v>4207</v>
      </c>
      <c r="D2313" s="4" t="s">
        <v>4257</v>
      </c>
      <c r="E2313" s="4" t="s">
        <v>5804</v>
      </c>
      <c r="F2313" t="s">
        <v>233</v>
      </c>
      <c r="G2313" t="s">
        <v>233</v>
      </c>
      <c r="H2313" t="s">
        <v>21</v>
      </c>
      <c r="I2313">
        <v>4</v>
      </c>
      <c r="J2313" s="5">
        <v>6.9000000000000006E-2</v>
      </c>
      <c r="K2313" t="s">
        <v>645</v>
      </c>
      <c r="L2313" s="6">
        <v>44440</v>
      </c>
      <c r="M2313">
        <v>9</v>
      </c>
      <c r="N2313" s="7" t="s">
        <v>23</v>
      </c>
      <c r="O2313" t="s">
        <v>31</v>
      </c>
      <c r="P2313" t="s">
        <v>4583</v>
      </c>
      <c r="Q2313" t="s">
        <v>4087</v>
      </c>
      <c r="R2313" t="s">
        <v>4088</v>
      </c>
    </row>
    <row r="2314" spans="1:18" hidden="1">
      <c r="A2314">
        <v>4</v>
      </c>
      <c r="B2314" s="4" t="s">
        <v>3127</v>
      </c>
      <c r="C2314" s="4" t="s">
        <v>4207</v>
      </c>
      <c r="D2314" s="4" t="s">
        <v>4257</v>
      </c>
      <c r="E2314" s="4" t="s">
        <v>5804</v>
      </c>
      <c r="F2314" t="s">
        <v>233</v>
      </c>
      <c r="G2314" t="s">
        <v>233</v>
      </c>
      <c r="H2314" t="s">
        <v>21</v>
      </c>
      <c r="I2314">
        <v>4</v>
      </c>
      <c r="J2314" s="5">
        <v>6.9000000000000006E-2</v>
      </c>
      <c r="K2314" t="s">
        <v>377</v>
      </c>
      <c r="L2314" s="6">
        <v>44470</v>
      </c>
      <c r="M2314">
        <v>10</v>
      </c>
      <c r="N2314" s="7" t="s">
        <v>23</v>
      </c>
      <c r="O2314" t="s">
        <v>31</v>
      </c>
      <c r="P2314" t="s">
        <v>4589</v>
      </c>
      <c r="Q2314" t="s">
        <v>4087</v>
      </c>
      <c r="R2314" t="s">
        <v>4088</v>
      </c>
    </row>
    <row r="2315" spans="1:18" hidden="1">
      <c r="A2315">
        <v>5</v>
      </c>
      <c r="B2315" s="4" t="s">
        <v>4600</v>
      </c>
      <c r="C2315" s="4" t="s">
        <v>4601</v>
      </c>
      <c r="D2315" s="4" t="s">
        <v>4748</v>
      </c>
      <c r="E2315" s="4" t="s">
        <v>5804</v>
      </c>
      <c r="F2315" t="s">
        <v>233</v>
      </c>
      <c r="G2315" t="s">
        <v>233</v>
      </c>
      <c r="H2315" t="s">
        <v>21</v>
      </c>
      <c r="I2315">
        <v>4</v>
      </c>
      <c r="J2315" s="5">
        <v>6.9000000000000006E-2</v>
      </c>
      <c r="K2315" t="s">
        <v>156</v>
      </c>
      <c r="L2315" s="6">
        <v>43405</v>
      </c>
      <c r="M2315">
        <v>11</v>
      </c>
      <c r="N2315" s="7" t="s">
        <v>23</v>
      </c>
      <c r="O2315" t="s">
        <v>31</v>
      </c>
      <c r="P2315" t="s">
        <v>4800</v>
      </c>
      <c r="Q2315" t="s">
        <v>4731</v>
      </c>
      <c r="R2315" t="s">
        <v>4732</v>
      </c>
    </row>
    <row r="2316" spans="1:18" hidden="1">
      <c r="A2316">
        <v>5</v>
      </c>
      <c r="B2316" s="4" t="s">
        <v>4600</v>
      </c>
      <c r="C2316" s="4" t="s">
        <v>4601</v>
      </c>
      <c r="D2316" s="4" t="s">
        <v>4853</v>
      </c>
      <c r="E2316" s="4" t="s">
        <v>5804</v>
      </c>
      <c r="F2316" t="s">
        <v>233</v>
      </c>
      <c r="G2316" t="s">
        <v>233</v>
      </c>
      <c r="H2316" t="s">
        <v>21</v>
      </c>
      <c r="I2316">
        <v>4</v>
      </c>
      <c r="J2316" s="5">
        <v>6.9000000000000006E-2</v>
      </c>
      <c r="K2316" t="s">
        <v>119</v>
      </c>
      <c r="L2316" s="6">
        <v>42552</v>
      </c>
      <c r="M2316">
        <v>7</v>
      </c>
      <c r="N2316" s="7" t="s">
        <v>55</v>
      </c>
      <c r="O2316" t="s">
        <v>31</v>
      </c>
      <c r="P2316" t="s">
        <v>4867</v>
      </c>
      <c r="Q2316" t="s">
        <v>4731</v>
      </c>
      <c r="R2316" t="s">
        <v>4732</v>
      </c>
    </row>
    <row r="2317" spans="1:18" hidden="1">
      <c r="A2317">
        <v>5</v>
      </c>
      <c r="B2317" s="4" t="s">
        <v>4600</v>
      </c>
      <c r="C2317" s="4" t="s">
        <v>4933</v>
      </c>
      <c r="D2317" s="4" t="s">
        <v>4934</v>
      </c>
      <c r="E2317" s="4" t="s">
        <v>5804</v>
      </c>
      <c r="F2317" t="s">
        <v>233</v>
      </c>
      <c r="G2317" t="s">
        <v>233</v>
      </c>
      <c r="H2317" t="s">
        <v>21</v>
      </c>
      <c r="I2317">
        <v>4</v>
      </c>
      <c r="J2317" s="5">
        <v>6.9000000000000006E-2</v>
      </c>
      <c r="K2317" t="s">
        <v>295</v>
      </c>
      <c r="L2317" s="6">
        <v>43221</v>
      </c>
      <c r="M2317">
        <v>5</v>
      </c>
      <c r="N2317" s="7" t="s">
        <v>23</v>
      </c>
      <c r="O2317" t="s">
        <v>31</v>
      </c>
      <c r="P2317" t="s">
        <v>4962</v>
      </c>
      <c r="Q2317" t="s">
        <v>4963</v>
      </c>
      <c r="R2317" t="s">
        <v>4964</v>
      </c>
    </row>
    <row r="2318" spans="1:18" hidden="1">
      <c r="A2318">
        <v>5</v>
      </c>
      <c r="B2318" s="4" t="s">
        <v>4600</v>
      </c>
      <c r="C2318" s="4" t="s">
        <v>4933</v>
      </c>
      <c r="D2318" s="4" t="s">
        <v>5014</v>
      </c>
      <c r="E2318" s="4" t="s">
        <v>5804</v>
      </c>
      <c r="F2318" t="s">
        <v>233</v>
      </c>
      <c r="G2318" t="s">
        <v>233</v>
      </c>
      <c r="H2318" t="s">
        <v>21</v>
      </c>
      <c r="I2318">
        <v>4</v>
      </c>
      <c r="J2318" s="5">
        <v>6.9000000000000006E-2</v>
      </c>
      <c r="K2318" t="s">
        <v>128</v>
      </c>
      <c r="L2318" s="6">
        <v>42795</v>
      </c>
      <c r="M2318">
        <v>3</v>
      </c>
      <c r="N2318" s="7" t="s">
        <v>23</v>
      </c>
      <c r="O2318" t="s">
        <v>31</v>
      </c>
      <c r="P2318" t="s">
        <v>5098</v>
      </c>
      <c r="Q2318" t="s">
        <v>5099</v>
      </c>
      <c r="R2318" t="s">
        <v>5100</v>
      </c>
    </row>
    <row r="2319" spans="1:18" hidden="1">
      <c r="A2319">
        <v>5</v>
      </c>
      <c r="B2319" s="4" t="s">
        <v>4600</v>
      </c>
      <c r="C2319" s="4" t="s">
        <v>4933</v>
      </c>
      <c r="D2319" s="4" t="s">
        <v>5014</v>
      </c>
      <c r="E2319" s="4" t="s">
        <v>5804</v>
      </c>
      <c r="F2319" t="s">
        <v>233</v>
      </c>
      <c r="G2319" t="s">
        <v>233</v>
      </c>
      <c r="H2319" t="s">
        <v>21</v>
      </c>
      <c r="I2319">
        <v>4</v>
      </c>
      <c r="J2319" s="5">
        <v>6.9000000000000006E-2</v>
      </c>
      <c r="K2319" t="s">
        <v>76</v>
      </c>
      <c r="L2319" s="6">
        <v>42856</v>
      </c>
      <c r="M2319">
        <v>5</v>
      </c>
      <c r="N2319" s="7" t="s">
        <v>23</v>
      </c>
      <c r="O2319" t="s">
        <v>31</v>
      </c>
      <c r="P2319" t="s">
        <v>5113</v>
      </c>
      <c r="Q2319" t="s">
        <v>5114</v>
      </c>
      <c r="R2319" t="s">
        <v>5100</v>
      </c>
    </row>
    <row r="2320" spans="1:18" hidden="1">
      <c r="A2320">
        <v>5</v>
      </c>
      <c r="B2320" s="4" t="s">
        <v>4600</v>
      </c>
      <c r="C2320" s="4" t="s">
        <v>4933</v>
      </c>
      <c r="D2320" s="4" t="s">
        <v>5014</v>
      </c>
      <c r="E2320" s="4" t="s">
        <v>5804</v>
      </c>
      <c r="F2320" t="s">
        <v>233</v>
      </c>
      <c r="G2320" t="s">
        <v>233</v>
      </c>
      <c r="H2320" t="s">
        <v>21</v>
      </c>
      <c r="I2320">
        <v>4</v>
      </c>
      <c r="J2320" s="5">
        <v>6.9000000000000006E-2</v>
      </c>
      <c r="K2320" t="s">
        <v>80</v>
      </c>
      <c r="L2320" s="6">
        <v>42917</v>
      </c>
      <c r="M2320">
        <v>7</v>
      </c>
      <c r="N2320" s="7" t="s">
        <v>55</v>
      </c>
      <c r="O2320" t="s">
        <v>31</v>
      </c>
      <c r="P2320" t="s">
        <v>5119</v>
      </c>
      <c r="Q2320" t="s">
        <v>5120</v>
      </c>
      <c r="R2320" t="s">
        <v>5100</v>
      </c>
    </row>
    <row r="2321" spans="1:18" hidden="1">
      <c r="A2321">
        <v>5</v>
      </c>
      <c r="B2321" s="4" t="s">
        <v>4600</v>
      </c>
      <c r="C2321" s="4" t="s">
        <v>4933</v>
      </c>
      <c r="D2321" s="4" t="s">
        <v>5014</v>
      </c>
      <c r="E2321" s="4" t="s">
        <v>5804</v>
      </c>
      <c r="F2321" t="s">
        <v>233</v>
      </c>
      <c r="G2321" t="s">
        <v>233</v>
      </c>
      <c r="H2321" t="s">
        <v>21</v>
      </c>
      <c r="I2321">
        <v>4</v>
      </c>
      <c r="J2321" s="5">
        <v>6.9000000000000006E-2</v>
      </c>
      <c r="K2321" t="s">
        <v>29</v>
      </c>
      <c r="L2321" s="6">
        <v>43070</v>
      </c>
      <c r="M2321">
        <v>12</v>
      </c>
      <c r="N2321" s="7" t="s">
        <v>30</v>
      </c>
      <c r="O2321" t="s">
        <v>31</v>
      </c>
      <c r="P2321" t="s">
        <v>5162</v>
      </c>
      <c r="Q2321" t="s">
        <v>5163</v>
      </c>
      <c r="R2321" t="s">
        <v>5100</v>
      </c>
    </row>
    <row r="2322" spans="1:18" hidden="1">
      <c r="A2322">
        <v>5</v>
      </c>
      <c r="B2322" s="4" t="s">
        <v>4600</v>
      </c>
      <c r="C2322" s="4" t="s">
        <v>4933</v>
      </c>
      <c r="D2322" s="4" t="s">
        <v>5014</v>
      </c>
      <c r="E2322" s="4" t="s">
        <v>5804</v>
      </c>
      <c r="F2322" t="s">
        <v>233</v>
      </c>
      <c r="G2322" t="s">
        <v>233</v>
      </c>
      <c r="H2322" t="s">
        <v>21</v>
      </c>
      <c r="I2322">
        <v>4</v>
      </c>
      <c r="J2322" s="5">
        <v>6.9000000000000006E-2</v>
      </c>
      <c r="K2322" t="s">
        <v>146</v>
      </c>
      <c r="L2322" s="6">
        <v>43313</v>
      </c>
      <c r="M2322">
        <v>8</v>
      </c>
      <c r="N2322" s="7" t="s">
        <v>55</v>
      </c>
      <c r="O2322" t="s">
        <v>31</v>
      </c>
      <c r="P2322" t="s">
        <v>5198</v>
      </c>
      <c r="Q2322" t="s">
        <v>5199</v>
      </c>
      <c r="R2322" t="s">
        <v>5100</v>
      </c>
    </row>
    <row r="2323" spans="1:18" hidden="1">
      <c r="A2323">
        <v>5</v>
      </c>
      <c r="B2323" s="4" t="s">
        <v>4600</v>
      </c>
      <c r="C2323" s="4" t="s">
        <v>4933</v>
      </c>
      <c r="D2323" s="4" t="s">
        <v>5014</v>
      </c>
      <c r="E2323" s="4" t="s">
        <v>5804</v>
      </c>
      <c r="F2323" t="s">
        <v>233</v>
      </c>
      <c r="G2323" t="s">
        <v>233</v>
      </c>
      <c r="H2323" t="s">
        <v>21</v>
      </c>
      <c r="I2323">
        <v>4</v>
      </c>
      <c r="J2323" s="5">
        <v>6.9000000000000006E-2</v>
      </c>
      <c r="K2323" t="s">
        <v>357</v>
      </c>
      <c r="L2323" s="6">
        <v>43739</v>
      </c>
      <c r="M2323">
        <v>10</v>
      </c>
      <c r="N2323" s="7" t="s">
        <v>23</v>
      </c>
      <c r="O2323" t="s">
        <v>31</v>
      </c>
      <c r="P2323" t="s">
        <v>5293</v>
      </c>
      <c r="Q2323" t="s">
        <v>5294</v>
      </c>
      <c r="R2323" t="s">
        <v>5295</v>
      </c>
    </row>
    <row r="2324" spans="1:18" hidden="1">
      <c r="A2324">
        <v>5</v>
      </c>
      <c r="B2324" s="4" t="s">
        <v>4600</v>
      </c>
      <c r="C2324" s="4" t="s">
        <v>4933</v>
      </c>
      <c r="D2324" s="4" t="s">
        <v>5014</v>
      </c>
      <c r="E2324" s="4" t="s">
        <v>5804</v>
      </c>
      <c r="F2324" t="s">
        <v>233</v>
      </c>
      <c r="G2324" t="s">
        <v>233</v>
      </c>
      <c r="H2324" t="s">
        <v>21</v>
      </c>
      <c r="I2324">
        <v>4</v>
      </c>
      <c r="J2324" s="5">
        <v>6.9000000000000006E-2</v>
      </c>
      <c r="K2324" t="s">
        <v>255</v>
      </c>
      <c r="L2324" s="6">
        <v>43983</v>
      </c>
      <c r="M2324">
        <v>6</v>
      </c>
      <c r="N2324" s="7" t="s">
        <v>55</v>
      </c>
      <c r="O2324" t="s">
        <v>31</v>
      </c>
      <c r="P2324" t="s">
        <v>5339</v>
      </c>
      <c r="Q2324" t="s">
        <v>5340</v>
      </c>
      <c r="R2324" t="s">
        <v>5100</v>
      </c>
    </row>
    <row r="2325" spans="1:18" hidden="1">
      <c r="A2325">
        <v>5</v>
      </c>
      <c r="B2325" s="4" t="s">
        <v>4600</v>
      </c>
      <c r="C2325" s="4" t="s">
        <v>4933</v>
      </c>
      <c r="D2325" s="4" t="s">
        <v>5014</v>
      </c>
      <c r="E2325" s="4" t="s">
        <v>5804</v>
      </c>
      <c r="F2325" t="s">
        <v>233</v>
      </c>
      <c r="G2325" t="s">
        <v>233</v>
      </c>
      <c r="H2325" t="s">
        <v>21</v>
      </c>
      <c r="I2325">
        <v>4</v>
      </c>
      <c r="J2325" s="5">
        <v>6.9000000000000006E-2</v>
      </c>
      <c r="K2325" t="s">
        <v>5383</v>
      </c>
      <c r="L2325" s="6" t="s">
        <v>673</v>
      </c>
      <c r="M2325" t="e">
        <v>#VALUE!</v>
      </c>
      <c r="N2325" s="7" t="e">
        <v>#VALUE!</v>
      </c>
      <c r="O2325" t="s">
        <v>31</v>
      </c>
      <c r="P2325" t="s">
        <v>5384</v>
      </c>
      <c r="Q2325" t="s">
        <v>4643</v>
      </c>
      <c r="R2325" t="s">
        <v>4959</v>
      </c>
    </row>
    <row r="2326" spans="1:18" hidden="1">
      <c r="A2326">
        <v>5</v>
      </c>
      <c r="B2326" s="4" t="s">
        <v>4600</v>
      </c>
      <c r="C2326" s="4" t="s">
        <v>5385</v>
      </c>
      <c r="D2326" s="4" t="s">
        <v>5386</v>
      </c>
      <c r="E2326" s="4" t="s">
        <v>5804</v>
      </c>
      <c r="F2326" t="s">
        <v>233</v>
      </c>
      <c r="G2326" t="s">
        <v>233</v>
      </c>
      <c r="H2326" t="s">
        <v>21</v>
      </c>
      <c r="I2326">
        <v>4</v>
      </c>
      <c r="J2326" s="5">
        <v>6.9000000000000006E-2</v>
      </c>
      <c r="K2326" t="s">
        <v>298</v>
      </c>
      <c r="L2326" s="6">
        <v>43344</v>
      </c>
      <c r="M2326">
        <v>9</v>
      </c>
      <c r="N2326" s="7" t="s">
        <v>23</v>
      </c>
      <c r="O2326" t="s">
        <v>31</v>
      </c>
      <c r="P2326" t="s">
        <v>5409</v>
      </c>
      <c r="Q2326" t="s">
        <v>569</v>
      </c>
      <c r="R2326" t="s">
        <v>5410</v>
      </c>
    </row>
    <row r="2327" spans="1:18" hidden="1">
      <c r="A2327">
        <v>5</v>
      </c>
      <c r="B2327" s="4" t="s">
        <v>4600</v>
      </c>
      <c r="C2327" s="4" t="s">
        <v>5385</v>
      </c>
      <c r="D2327" s="4" t="s">
        <v>5432</v>
      </c>
      <c r="E2327" s="4" t="s">
        <v>5804</v>
      </c>
      <c r="F2327" t="s">
        <v>233</v>
      </c>
      <c r="G2327" t="s">
        <v>233</v>
      </c>
      <c r="H2327" t="s">
        <v>21</v>
      </c>
      <c r="I2327">
        <v>4</v>
      </c>
      <c r="J2327" s="5">
        <v>6.9000000000000006E-2</v>
      </c>
      <c r="K2327" t="s">
        <v>218</v>
      </c>
      <c r="L2327" s="6">
        <v>42614</v>
      </c>
      <c r="M2327">
        <v>9</v>
      </c>
      <c r="N2327" s="7" t="s">
        <v>23</v>
      </c>
      <c r="O2327" t="s">
        <v>31</v>
      </c>
      <c r="P2327" t="s">
        <v>5439</v>
      </c>
      <c r="Q2327" t="s">
        <v>5440</v>
      </c>
      <c r="R2327" t="s">
        <v>5441</v>
      </c>
    </row>
    <row r="2328" spans="1:18" hidden="1">
      <c r="A2328">
        <v>8</v>
      </c>
      <c r="B2328" s="4" t="s">
        <v>5679</v>
      </c>
      <c r="C2328" s="4" t="s">
        <v>5689</v>
      </c>
      <c r="D2328" s="4" t="s">
        <v>5690</v>
      </c>
      <c r="E2328" s="4" t="s">
        <v>5805</v>
      </c>
      <c r="F2328" t="s">
        <v>233</v>
      </c>
      <c r="G2328" t="s">
        <v>233</v>
      </c>
      <c r="H2328" t="s">
        <v>21</v>
      </c>
      <c r="I2328">
        <v>4</v>
      </c>
      <c r="J2328" s="5">
        <v>6.9000000000000006E-2</v>
      </c>
      <c r="K2328" t="s">
        <v>5700</v>
      </c>
      <c r="L2328" s="6">
        <v>43221</v>
      </c>
      <c r="M2328">
        <v>5</v>
      </c>
      <c r="N2328" s="7" t="s">
        <v>23</v>
      </c>
      <c r="O2328" t="s">
        <v>31</v>
      </c>
      <c r="P2328" t="s">
        <v>5701</v>
      </c>
      <c r="Q2328" t="s">
        <v>5702</v>
      </c>
      <c r="R2328" t="s">
        <v>5703</v>
      </c>
    </row>
    <row r="2329" spans="1:18" hidden="1">
      <c r="A2329">
        <v>9</v>
      </c>
      <c r="B2329" s="4" t="s">
        <v>5727</v>
      </c>
      <c r="C2329" s="4" t="s">
        <v>5736</v>
      </c>
      <c r="D2329" s="4" t="s">
        <v>5737</v>
      </c>
      <c r="E2329" s="4" t="s">
        <v>5805</v>
      </c>
      <c r="F2329" t="s">
        <v>233</v>
      </c>
      <c r="G2329" t="s">
        <v>233</v>
      </c>
      <c r="H2329" t="s">
        <v>21</v>
      </c>
      <c r="I2329">
        <v>4</v>
      </c>
      <c r="J2329" s="5">
        <v>6.9000000000000006E-2</v>
      </c>
      <c r="K2329" t="s">
        <v>76</v>
      </c>
      <c r="L2329" s="6">
        <v>42856</v>
      </c>
      <c r="M2329">
        <v>5</v>
      </c>
      <c r="N2329" s="7" t="s">
        <v>23</v>
      </c>
      <c r="O2329" t="s">
        <v>88</v>
      </c>
      <c r="P2329" t="s">
        <v>5741</v>
      </c>
      <c r="Q2329" t="s">
        <v>5742</v>
      </c>
      <c r="R2329" t="s">
        <v>5743</v>
      </c>
    </row>
    <row r="2330" spans="1:18" hidden="1">
      <c r="A2330">
        <v>1</v>
      </c>
      <c r="B2330" s="4" t="s">
        <v>16</v>
      </c>
      <c r="C2330" s="4" t="s">
        <v>17</v>
      </c>
      <c r="D2330" s="4" t="s">
        <v>113</v>
      </c>
      <c r="E2330" s="4" t="s">
        <v>5804</v>
      </c>
      <c r="F2330" t="s">
        <v>162</v>
      </c>
      <c r="G2330" t="s">
        <v>163</v>
      </c>
      <c r="H2330" t="s">
        <v>53</v>
      </c>
      <c r="I2330" t="s">
        <v>53</v>
      </c>
      <c r="J2330" s="5" t="s">
        <v>53</v>
      </c>
      <c r="K2330" t="s">
        <v>164</v>
      </c>
      <c r="L2330" s="6">
        <v>43617</v>
      </c>
      <c r="M2330">
        <v>6</v>
      </c>
      <c r="N2330" s="7" t="s">
        <v>55</v>
      </c>
      <c r="O2330" t="s">
        <v>24</v>
      </c>
      <c r="P2330" t="s">
        <v>165</v>
      </c>
      <c r="Q2330" t="s">
        <v>166</v>
      </c>
      <c r="R2330" t="s">
        <v>167</v>
      </c>
    </row>
    <row r="2331" spans="1:18" hidden="1">
      <c r="A2331">
        <v>1</v>
      </c>
      <c r="B2331" s="4" t="s">
        <v>16</v>
      </c>
      <c r="C2331" s="4" t="s">
        <v>188</v>
      </c>
      <c r="D2331" s="4" t="s">
        <v>207</v>
      </c>
      <c r="E2331" s="4" t="s">
        <v>5804</v>
      </c>
      <c r="F2331" t="s">
        <v>162</v>
      </c>
      <c r="G2331" t="s">
        <v>244</v>
      </c>
      <c r="H2331" t="s">
        <v>53</v>
      </c>
      <c r="I2331" t="s">
        <v>53</v>
      </c>
      <c r="J2331" s="5" t="s">
        <v>53</v>
      </c>
      <c r="K2331" t="s">
        <v>245</v>
      </c>
      <c r="L2331" s="6">
        <v>43466</v>
      </c>
      <c r="M2331">
        <v>1</v>
      </c>
      <c r="N2331" s="7" t="s">
        <v>30</v>
      </c>
      <c r="O2331" t="s">
        <v>246</v>
      </c>
      <c r="P2331" t="s">
        <v>247</v>
      </c>
      <c r="Q2331" t="s">
        <v>248</v>
      </c>
      <c r="R2331" t="s">
        <v>249</v>
      </c>
    </row>
    <row r="2332" spans="1:18" hidden="1">
      <c r="A2332">
        <v>11</v>
      </c>
      <c r="B2332" s="4" t="s">
        <v>554</v>
      </c>
      <c r="C2332" s="4" t="s">
        <v>670</v>
      </c>
      <c r="D2332" s="4" t="s">
        <v>677</v>
      </c>
      <c r="E2332" s="4" t="s">
        <v>5804</v>
      </c>
      <c r="F2332" t="s">
        <v>162</v>
      </c>
      <c r="G2332" t="s">
        <v>163</v>
      </c>
      <c r="H2332" t="s">
        <v>53</v>
      </c>
      <c r="I2332" t="s">
        <v>53</v>
      </c>
      <c r="J2332" s="5" t="s">
        <v>53</v>
      </c>
      <c r="K2332" t="s">
        <v>128</v>
      </c>
      <c r="L2332" s="6">
        <v>42795</v>
      </c>
      <c r="M2332">
        <v>3</v>
      </c>
      <c r="N2332" s="7" t="s">
        <v>23</v>
      </c>
      <c r="O2332" t="s">
        <v>31</v>
      </c>
      <c r="P2332" t="s">
        <v>678</v>
      </c>
      <c r="Q2332" t="s">
        <v>679</v>
      </c>
      <c r="R2332" t="s">
        <v>680</v>
      </c>
    </row>
    <row r="2333" spans="1:18" hidden="1">
      <c r="A2333">
        <v>11</v>
      </c>
      <c r="B2333" s="4" t="s">
        <v>554</v>
      </c>
      <c r="C2333" s="4" t="s">
        <v>670</v>
      </c>
      <c r="D2333" s="4" t="s">
        <v>677</v>
      </c>
      <c r="E2333" s="4" t="s">
        <v>5804</v>
      </c>
      <c r="F2333" t="s">
        <v>162</v>
      </c>
      <c r="G2333" t="s">
        <v>244</v>
      </c>
      <c r="H2333" t="s">
        <v>53</v>
      </c>
      <c r="I2333" t="s">
        <v>53</v>
      </c>
      <c r="J2333" s="5" t="s">
        <v>53</v>
      </c>
      <c r="K2333" t="s">
        <v>292</v>
      </c>
      <c r="L2333" s="6">
        <v>43191</v>
      </c>
      <c r="M2333">
        <v>4</v>
      </c>
      <c r="N2333" s="7" t="s">
        <v>23</v>
      </c>
      <c r="O2333" t="s">
        <v>246</v>
      </c>
      <c r="P2333" t="s">
        <v>685</v>
      </c>
      <c r="Q2333" t="s">
        <v>686</v>
      </c>
      <c r="R2333" t="s">
        <v>687</v>
      </c>
    </row>
    <row r="2334" spans="1:18" hidden="1">
      <c r="A2334">
        <v>11</v>
      </c>
      <c r="B2334" s="4" t="s">
        <v>554</v>
      </c>
      <c r="C2334" s="4" t="s">
        <v>670</v>
      </c>
      <c r="D2334" s="4" t="s">
        <v>677</v>
      </c>
      <c r="E2334" s="4" t="s">
        <v>5804</v>
      </c>
      <c r="F2334" t="s">
        <v>162</v>
      </c>
      <c r="G2334" t="s">
        <v>163</v>
      </c>
      <c r="H2334" t="s">
        <v>53</v>
      </c>
      <c r="I2334" t="s">
        <v>53</v>
      </c>
      <c r="J2334" s="5" t="s">
        <v>53</v>
      </c>
      <c r="K2334" t="s">
        <v>298</v>
      </c>
      <c r="L2334" s="6">
        <v>43344</v>
      </c>
      <c r="M2334">
        <v>9</v>
      </c>
      <c r="N2334" s="7" t="s">
        <v>23</v>
      </c>
      <c r="O2334" t="s">
        <v>31</v>
      </c>
      <c r="P2334" t="s">
        <v>688</v>
      </c>
      <c r="Q2334" t="s">
        <v>679</v>
      </c>
      <c r="R2334" t="s">
        <v>680</v>
      </c>
    </row>
    <row r="2335" spans="1:18" hidden="1">
      <c r="A2335">
        <v>11</v>
      </c>
      <c r="B2335" s="4" t="s">
        <v>554</v>
      </c>
      <c r="C2335" s="4" t="s">
        <v>696</v>
      </c>
      <c r="D2335" s="4" t="s">
        <v>697</v>
      </c>
      <c r="E2335" s="4" t="s">
        <v>5804</v>
      </c>
      <c r="F2335" t="s">
        <v>162</v>
      </c>
      <c r="G2335" t="s">
        <v>244</v>
      </c>
      <c r="H2335" t="s">
        <v>53</v>
      </c>
      <c r="I2335" t="s">
        <v>53</v>
      </c>
      <c r="J2335" s="5" t="s">
        <v>53</v>
      </c>
      <c r="K2335" t="s">
        <v>115</v>
      </c>
      <c r="L2335" s="6">
        <v>42461</v>
      </c>
      <c r="M2335">
        <v>4</v>
      </c>
      <c r="N2335" s="7" t="s">
        <v>23</v>
      </c>
      <c r="O2335" t="s">
        <v>246</v>
      </c>
      <c r="P2335" t="s">
        <v>698</v>
      </c>
      <c r="Q2335" t="s">
        <v>699</v>
      </c>
      <c r="R2335" t="s">
        <v>700</v>
      </c>
    </row>
    <row r="2336" spans="1:18" hidden="1">
      <c r="A2336">
        <v>12</v>
      </c>
      <c r="B2336" s="4" t="s">
        <v>901</v>
      </c>
      <c r="C2336" s="4" t="s">
        <v>902</v>
      </c>
      <c r="D2336" s="4" t="s">
        <v>903</v>
      </c>
      <c r="E2336" s="4" t="s">
        <v>5804</v>
      </c>
      <c r="F2336" t="s">
        <v>162</v>
      </c>
      <c r="G2336" t="s">
        <v>163</v>
      </c>
      <c r="H2336" t="s">
        <v>53</v>
      </c>
      <c r="I2336" t="s">
        <v>53</v>
      </c>
      <c r="J2336" s="5" t="s">
        <v>53</v>
      </c>
      <c r="K2336" t="s">
        <v>382</v>
      </c>
      <c r="L2336" s="6">
        <v>42401</v>
      </c>
      <c r="M2336">
        <v>2</v>
      </c>
      <c r="N2336" s="7" t="s">
        <v>30</v>
      </c>
      <c r="O2336" t="s">
        <v>31</v>
      </c>
      <c r="P2336" t="s">
        <v>918</v>
      </c>
      <c r="Q2336" t="s">
        <v>919</v>
      </c>
      <c r="R2336" t="s">
        <v>920</v>
      </c>
    </row>
    <row r="2337" spans="1:18" hidden="1">
      <c r="A2337">
        <v>12</v>
      </c>
      <c r="B2337" s="4" t="s">
        <v>901</v>
      </c>
      <c r="C2337" s="4" t="s">
        <v>902</v>
      </c>
      <c r="D2337" s="4" t="s">
        <v>903</v>
      </c>
      <c r="E2337" s="4" t="s">
        <v>5804</v>
      </c>
      <c r="F2337" t="s">
        <v>162</v>
      </c>
      <c r="G2337" t="s">
        <v>244</v>
      </c>
      <c r="H2337" t="s">
        <v>53</v>
      </c>
      <c r="I2337" t="s">
        <v>53</v>
      </c>
      <c r="J2337" s="5" t="s">
        <v>53</v>
      </c>
      <c r="K2337" t="s">
        <v>142</v>
      </c>
      <c r="L2337" s="6">
        <v>43101</v>
      </c>
      <c r="M2337">
        <v>1</v>
      </c>
      <c r="N2337" s="7" t="s">
        <v>30</v>
      </c>
      <c r="O2337" t="s">
        <v>31</v>
      </c>
      <c r="P2337" t="s">
        <v>1009</v>
      </c>
      <c r="Q2337" t="s">
        <v>1010</v>
      </c>
      <c r="R2337" t="s">
        <v>1011</v>
      </c>
    </row>
    <row r="2338" spans="1:18" hidden="1">
      <c r="A2338">
        <v>12</v>
      </c>
      <c r="B2338" s="4" t="s">
        <v>901</v>
      </c>
      <c r="C2338" s="4" t="s">
        <v>902</v>
      </c>
      <c r="D2338" s="4" t="s">
        <v>903</v>
      </c>
      <c r="E2338" s="4" t="s">
        <v>5804</v>
      </c>
      <c r="F2338" t="s">
        <v>162</v>
      </c>
      <c r="G2338" t="s">
        <v>244</v>
      </c>
      <c r="H2338" t="s">
        <v>53</v>
      </c>
      <c r="I2338" t="s">
        <v>53</v>
      </c>
      <c r="J2338" s="5" t="s">
        <v>53</v>
      </c>
      <c r="K2338" t="s">
        <v>146</v>
      </c>
      <c r="L2338" s="6">
        <v>43313</v>
      </c>
      <c r="M2338">
        <v>8</v>
      </c>
      <c r="N2338" s="7" t="s">
        <v>55</v>
      </c>
      <c r="O2338" t="s">
        <v>246</v>
      </c>
      <c r="P2338" t="s">
        <v>1043</v>
      </c>
      <c r="Q2338" t="s">
        <v>1044</v>
      </c>
      <c r="R2338" t="s">
        <v>1045</v>
      </c>
    </row>
    <row r="2339" spans="1:18" hidden="1">
      <c r="A2339">
        <v>12</v>
      </c>
      <c r="B2339" s="4" t="s">
        <v>901</v>
      </c>
      <c r="C2339" s="4" t="s">
        <v>902</v>
      </c>
      <c r="D2339" s="4" t="s">
        <v>903</v>
      </c>
      <c r="E2339" s="4" t="s">
        <v>5804</v>
      </c>
      <c r="F2339" t="s">
        <v>162</v>
      </c>
      <c r="G2339" t="s">
        <v>163</v>
      </c>
      <c r="H2339" t="s">
        <v>53</v>
      </c>
      <c r="I2339" t="s">
        <v>53</v>
      </c>
      <c r="J2339" s="5" t="s">
        <v>53</v>
      </c>
      <c r="K2339" t="s">
        <v>539</v>
      </c>
      <c r="L2339" s="6">
        <v>43922</v>
      </c>
      <c r="M2339">
        <v>4</v>
      </c>
      <c r="N2339" s="7" t="s">
        <v>23</v>
      </c>
      <c r="O2339" t="s">
        <v>24</v>
      </c>
      <c r="P2339" t="s">
        <v>1097</v>
      </c>
      <c r="Q2339" t="s">
        <v>1098</v>
      </c>
      <c r="R2339" t="s">
        <v>1099</v>
      </c>
    </row>
    <row r="2340" spans="1:18" hidden="1">
      <c r="A2340">
        <v>12</v>
      </c>
      <c r="B2340" s="4" t="s">
        <v>901</v>
      </c>
      <c r="C2340" s="4" t="s">
        <v>1161</v>
      </c>
      <c r="D2340" s="4" t="s">
        <v>1220</v>
      </c>
      <c r="E2340" s="4" t="s">
        <v>5804</v>
      </c>
      <c r="F2340" t="s">
        <v>162</v>
      </c>
      <c r="G2340" t="s">
        <v>244</v>
      </c>
      <c r="H2340" t="s">
        <v>53</v>
      </c>
      <c r="I2340" t="s">
        <v>53</v>
      </c>
      <c r="J2340" s="5" t="s">
        <v>53</v>
      </c>
      <c r="K2340" t="s">
        <v>124</v>
      </c>
      <c r="L2340" s="6">
        <v>42767</v>
      </c>
      <c r="M2340">
        <v>2</v>
      </c>
      <c r="N2340" s="7" t="s">
        <v>30</v>
      </c>
      <c r="O2340" t="s">
        <v>31</v>
      </c>
      <c r="P2340" t="s">
        <v>1247</v>
      </c>
      <c r="Q2340" t="s">
        <v>1248</v>
      </c>
      <c r="R2340" t="s">
        <v>1249</v>
      </c>
    </row>
    <row r="2341" spans="1:18" hidden="1">
      <c r="A2341">
        <v>12</v>
      </c>
      <c r="B2341" s="4" t="s">
        <v>901</v>
      </c>
      <c r="C2341" s="4" t="s">
        <v>1161</v>
      </c>
      <c r="D2341" s="4" t="s">
        <v>1220</v>
      </c>
      <c r="E2341" s="4" t="s">
        <v>5804</v>
      </c>
      <c r="F2341" t="s">
        <v>162</v>
      </c>
      <c r="G2341" t="s">
        <v>244</v>
      </c>
      <c r="H2341" t="s">
        <v>53</v>
      </c>
      <c r="I2341" t="s">
        <v>53</v>
      </c>
      <c r="J2341" s="5" t="s">
        <v>53</v>
      </c>
      <c r="K2341" t="s">
        <v>87</v>
      </c>
      <c r="L2341" s="6">
        <v>43040</v>
      </c>
      <c r="M2341">
        <v>11</v>
      </c>
      <c r="N2341" s="7" t="s">
        <v>23</v>
      </c>
      <c r="O2341" t="s">
        <v>31</v>
      </c>
      <c r="P2341" t="s">
        <v>1264</v>
      </c>
      <c r="Q2341" t="s">
        <v>1248</v>
      </c>
      <c r="R2341" t="s">
        <v>1249</v>
      </c>
    </row>
    <row r="2342" spans="1:18" hidden="1">
      <c r="A2342">
        <v>12</v>
      </c>
      <c r="B2342" s="4" t="s">
        <v>901</v>
      </c>
      <c r="C2342" s="4" t="s">
        <v>1161</v>
      </c>
      <c r="D2342" s="4" t="s">
        <v>1220</v>
      </c>
      <c r="E2342" s="4" t="s">
        <v>5804</v>
      </c>
      <c r="F2342" t="s">
        <v>162</v>
      </c>
      <c r="G2342" t="s">
        <v>244</v>
      </c>
      <c r="H2342" t="s">
        <v>53</v>
      </c>
      <c r="I2342" t="s">
        <v>53</v>
      </c>
      <c r="J2342" s="5" t="s">
        <v>53</v>
      </c>
      <c r="K2342" t="s">
        <v>295</v>
      </c>
      <c r="L2342" s="6">
        <v>43221</v>
      </c>
      <c r="M2342">
        <v>5</v>
      </c>
      <c r="N2342" s="7" t="s">
        <v>23</v>
      </c>
      <c r="O2342" t="s">
        <v>31</v>
      </c>
      <c r="P2342" t="s">
        <v>1273</v>
      </c>
      <c r="Q2342" t="s">
        <v>1248</v>
      </c>
      <c r="R2342" t="s">
        <v>1249</v>
      </c>
    </row>
    <row r="2343" spans="1:18" hidden="1">
      <c r="A2343">
        <v>12</v>
      </c>
      <c r="B2343" s="4" t="s">
        <v>901</v>
      </c>
      <c r="C2343" s="4" t="s">
        <v>1161</v>
      </c>
      <c r="D2343" s="4" t="s">
        <v>1220</v>
      </c>
      <c r="E2343" s="4" t="s">
        <v>5804</v>
      </c>
      <c r="F2343" t="s">
        <v>162</v>
      </c>
      <c r="G2343" t="s">
        <v>244</v>
      </c>
      <c r="H2343" t="s">
        <v>53</v>
      </c>
      <c r="I2343" t="s">
        <v>53</v>
      </c>
      <c r="J2343" s="5" t="s">
        <v>53</v>
      </c>
      <c r="K2343" t="s">
        <v>797</v>
      </c>
      <c r="L2343" s="6">
        <v>43252</v>
      </c>
      <c r="M2343">
        <v>6</v>
      </c>
      <c r="N2343" s="7" t="s">
        <v>55</v>
      </c>
      <c r="O2343" t="s">
        <v>31</v>
      </c>
      <c r="P2343" t="s">
        <v>1277</v>
      </c>
      <c r="Q2343" t="s">
        <v>1248</v>
      </c>
      <c r="R2343" t="s">
        <v>1249</v>
      </c>
    </row>
    <row r="2344" spans="1:18" hidden="1">
      <c r="A2344">
        <v>12</v>
      </c>
      <c r="B2344" s="4" t="s">
        <v>901</v>
      </c>
      <c r="C2344" s="4" t="s">
        <v>1161</v>
      </c>
      <c r="D2344" s="4" t="s">
        <v>1220</v>
      </c>
      <c r="E2344" s="4" t="s">
        <v>5804</v>
      </c>
      <c r="F2344" t="s">
        <v>162</v>
      </c>
      <c r="G2344" t="s">
        <v>244</v>
      </c>
      <c r="H2344" t="s">
        <v>53</v>
      </c>
      <c r="I2344" t="s">
        <v>53</v>
      </c>
      <c r="J2344" s="5" t="s">
        <v>53</v>
      </c>
      <c r="K2344" t="s">
        <v>267</v>
      </c>
      <c r="L2344" s="6">
        <v>44044</v>
      </c>
      <c r="M2344">
        <v>8</v>
      </c>
      <c r="N2344" s="7" t="s">
        <v>55</v>
      </c>
      <c r="O2344" t="s">
        <v>31</v>
      </c>
      <c r="P2344" t="s">
        <v>1318</v>
      </c>
      <c r="Q2344" t="s">
        <v>1248</v>
      </c>
      <c r="R2344" t="s">
        <v>1249</v>
      </c>
    </row>
    <row r="2345" spans="1:18" hidden="1">
      <c r="A2345">
        <v>12</v>
      </c>
      <c r="B2345" s="4" t="s">
        <v>901</v>
      </c>
      <c r="C2345" s="4" t="s">
        <v>1161</v>
      </c>
      <c r="D2345" s="4" t="s">
        <v>1220</v>
      </c>
      <c r="E2345" s="4" t="s">
        <v>5804</v>
      </c>
      <c r="F2345" t="s">
        <v>162</v>
      </c>
      <c r="G2345" t="s">
        <v>244</v>
      </c>
      <c r="H2345" t="s">
        <v>53</v>
      </c>
      <c r="I2345" t="s">
        <v>53</v>
      </c>
      <c r="J2345" s="5" t="s">
        <v>53</v>
      </c>
      <c r="K2345" t="s">
        <v>102</v>
      </c>
      <c r="L2345" s="6">
        <v>44287</v>
      </c>
      <c r="M2345">
        <v>4</v>
      </c>
      <c r="N2345" s="7" t="s">
        <v>23</v>
      </c>
      <c r="O2345" t="s">
        <v>31</v>
      </c>
      <c r="P2345" t="s">
        <v>1323</v>
      </c>
      <c r="Q2345" t="s">
        <v>1248</v>
      </c>
      <c r="R2345" t="s">
        <v>1249</v>
      </c>
    </row>
    <row r="2346" spans="1:18" hidden="1">
      <c r="A2346">
        <v>12</v>
      </c>
      <c r="B2346" s="4" t="s">
        <v>901</v>
      </c>
      <c r="C2346" s="4" t="s">
        <v>1161</v>
      </c>
      <c r="D2346" s="4" t="s">
        <v>1374</v>
      </c>
      <c r="E2346" s="4" t="s">
        <v>5804</v>
      </c>
      <c r="F2346" t="s">
        <v>162</v>
      </c>
      <c r="G2346" t="s">
        <v>244</v>
      </c>
      <c r="H2346" t="s">
        <v>53</v>
      </c>
      <c r="I2346" t="s">
        <v>53</v>
      </c>
      <c r="J2346" s="5" t="s">
        <v>53</v>
      </c>
      <c r="K2346" t="s">
        <v>71</v>
      </c>
      <c r="L2346" s="6">
        <v>42522</v>
      </c>
      <c r="M2346">
        <v>6</v>
      </c>
      <c r="N2346" s="7" t="s">
        <v>55</v>
      </c>
      <c r="O2346" t="s">
        <v>246</v>
      </c>
      <c r="P2346" t="s">
        <v>1379</v>
      </c>
      <c r="Q2346" t="s">
        <v>1380</v>
      </c>
      <c r="R2346" t="s">
        <v>1381</v>
      </c>
    </row>
    <row r="2347" spans="1:18" hidden="1">
      <c r="A2347">
        <v>12</v>
      </c>
      <c r="B2347" s="4" t="s">
        <v>901</v>
      </c>
      <c r="C2347" s="4" t="s">
        <v>1414</v>
      </c>
      <c r="D2347" s="4" t="s">
        <v>1420</v>
      </c>
      <c r="E2347" s="4" t="s">
        <v>5804</v>
      </c>
      <c r="F2347" t="s">
        <v>162</v>
      </c>
      <c r="G2347" t="s">
        <v>163</v>
      </c>
      <c r="H2347" t="s">
        <v>53</v>
      </c>
      <c r="I2347" t="s">
        <v>53</v>
      </c>
      <c r="J2347" s="5" t="s">
        <v>53</v>
      </c>
      <c r="K2347" t="s">
        <v>255</v>
      </c>
      <c r="L2347" s="6">
        <v>43983</v>
      </c>
      <c r="M2347">
        <v>6</v>
      </c>
      <c r="N2347" s="7" t="s">
        <v>55</v>
      </c>
      <c r="O2347" t="s">
        <v>31</v>
      </c>
      <c r="P2347" t="s">
        <v>1427</v>
      </c>
      <c r="Q2347" t="s">
        <v>1428</v>
      </c>
      <c r="R2347" t="s">
        <v>1108</v>
      </c>
    </row>
    <row r="2348" spans="1:18" hidden="1">
      <c r="A2348">
        <v>12</v>
      </c>
      <c r="B2348" s="4" t="s">
        <v>901</v>
      </c>
      <c r="C2348" s="4" t="s">
        <v>1414</v>
      </c>
      <c r="D2348" s="4" t="s">
        <v>1431</v>
      </c>
      <c r="E2348" s="4" t="s">
        <v>5804</v>
      </c>
      <c r="F2348" t="s">
        <v>162</v>
      </c>
      <c r="G2348" t="s">
        <v>244</v>
      </c>
      <c r="H2348" t="s">
        <v>53</v>
      </c>
      <c r="I2348" t="s">
        <v>53</v>
      </c>
      <c r="J2348" s="5" t="s">
        <v>53</v>
      </c>
      <c r="K2348" t="s">
        <v>119</v>
      </c>
      <c r="L2348" s="6">
        <v>42552</v>
      </c>
      <c r="M2348">
        <v>7</v>
      </c>
      <c r="N2348" s="7" t="s">
        <v>55</v>
      </c>
      <c r="O2348" t="s">
        <v>246</v>
      </c>
      <c r="P2348" t="s">
        <v>1432</v>
      </c>
      <c r="Q2348" t="s">
        <v>1433</v>
      </c>
      <c r="R2348" t="s">
        <v>1434</v>
      </c>
    </row>
    <row r="2349" spans="1:18" hidden="1">
      <c r="A2349">
        <v>12</v>
      </c>
      <c r="B2349" s="4" t="s">
        <v>901</v>
      </c>
      <c r="C2349" s="4" t="s">
        <v>1414</v>
      </c>
      <c r="D2349" s="4" t="s">
        <v>1431</v>
      </c>
      <c r="E2349" s="4" t="s">
        <v>5804</v>
      </c>
      <c r="F2349" t="s">
        <v>162</v>
      </c>
      <c r="G2349" t="s">
        <v>244</v>
      </c>
      <c r="H2349" t="s">
        <v>53</v>
      </c>
      <c r="I2349" t="s">
        <v>53</v>
      </c>
      <c r="J2349" s="5" t="s">
        <v>53</v>
      </c>
      <c r="K2349" t="s">
        <v>482</v>
      </c>
      <c r="L2349" s="6">
        <v>43435</v>
      </c>
      <c r="M2349">
        <v>12</v>
      </c>
      <c r="N2349" s="7" t="s">
        <v>30</v>
      </c>
      <c r="O2349" t="s">
        <v>246</v>
      </c>
      <c r="P2349" t="s">
        <v>1435</v>
      </c>
      <c r="Q2349" t="s">
        <v>1436</v>
      </c>
      <c r="R2349" t="s">
        <v>1437</v>
      </c>
    </row>
    <row r="2350" spans="1:18" hidden="1">
      <c r="A2350">
        <v>12</v>
      </c>
      <c r="B2350" s="4" t="s">
        <v>901</v>
      </c>
      <c r="C2350" s="4" t="s">
        <v>1414</v>
      </c>
      <c r="D2350" s="4" t="s">
        <v>1452</v>
      </c>
      <c r="E2350" s="4" t="s">
        <v>5804</v>
      </c>
      <c r="F2350" t="s">
        <v>162</v>
      </c>
      <c r="G2350" t="s">
        <v>244</v>
      </c>
      <c r="H2350" t="s">
        <v>53</v>
      </c>
      <c r="I2350" t="s">
        <v>53</v>
      </c>
      <c r="J2350" s="5" t="s">
        <v>53</v>
      </c>
      <c r="K2350" t="s">
        <v>164</v>
      </c>
      <c r="L2350" s="6">
        <v>43617</v>
      </c>
      <c r="M2350">
        <v>6</v>
      </c>
      <c r="N2350" s="7" t="s">
        <v>55</v>
      </c>
      <c r="O2350" t="s">
        <v>246</v>
      </c>
      <c r="P2350" t="s">
        <v>1453</v>
      </c>
      <c r="Q2350" t="s">
        <v>1454</v>
      </c>
      <c r="R2350" t="s">
        <v>1434</v>
      </c>
    </row>
    <row r="2351" spans="1:18" hidden="1">
      <c r="A2351">
        <v>12</v>
      </c>
      <c r="B2351" s="4" t="s">
        <v>901</v>
      </c>
      <c r="C2351" s="4" t="s">
        <v>1672</v>
      </c>
      <c r="D2351" s="4" t="s">
        <v>1673</v>
      </c>
      <c r="E2351" s="4" t="s">
        <v>5804</v>
      </c>
      <c r="F2351" t="s">
        <v>162</v>
      </c>
      <c r="G2351" t="s">
        <v>244</v>
      </c>
      <c r="H2351" t="s">
        <v>53</v>
      </c>
      <c r="I2351" t="s">
        <v>53</v>
      </c>
      <c r="J2351" s="5" t="s">
        <v>53</v>
      </c>
      <c r="K2351" t="s">
        <v>558</v>
      </c>
      <c r="L2351" s="6">
        <v>42339</v>
      </c>
      <c r="M2351">
        <v>12</v>
      </c>
      <c r="N2351" s="7" t="s">
        <v>30</v>
      </c>
      <c r="O2351" t="s">
        <v>246</v>
      </c>
      <c r="P2351" t="s">
        <v>1681</v>
      </c>
      <c r="Q2351" t="s">
        <v>1682</v>
      </c>
      <c r="R2351" t="s">
        <v>1683</v>
      </c>
    </row>
    <row r="2352" spans="1:18" hidden="1">
      <c r="A2352">
        <v>12</v>
      </c>
      <c r="B2352" s="4" t="s">
        <v>901</v>
      </c>
      <c r="C2352" s="4" t="s">
        <v>1672</v>
      </c>
      <c r="D2352" s="4" t="s">
        <v>1673</v>
      </c>
      <c r="E2352" s="4" t="s">
        <v>5804</v>
      </c>
      <c r="F2352" t="s">
        <v>162</v>
      </c>
      <c r="G2352" t="s">
        <v>244</v>
      </c>
      <c r="H2352" t="s">
        <v>53</v>
      </c>
      <c r="I2352" t="s">
        <v>53</v>
      </c>
      <c r="J2352" s="5" t="s">
        <v>53</v>
      </c>
      <c r="K2352" t="s">
        <v>218</v>
      </c>
      <c r="L2352" s="6">
        <v>42614</v>
      </c>
      <c r="M2352">
        <v>9</v>
      </c>
      <c r="N2352" s="7" t="s">
        <v>23</v>
      </c>
      <c r="O2352" t="s">
        <v>246</v>
      </c>
      <c r="P2352" t="s">
        <v>1726</v>
      </c>
      <c r="Q2352" t="s">
        <v>1727</v>
      </c>
      <c r="R2352" t="s">
        <v>1728</v>
      </c>
    </row>
    <row r="2353" spans="1:18" hidden="1">
      <c r="A2353">
        <v>12</v>
      </c>
      <c r="B2353" s="4" t="s">
        <v>901</v>
      </c>
      <c r="C2353" s="4" t="s">
        <v>1672</v>
      </c>
      <c r="D2353" s="4" t="s">
        <v>1673</v>
      </c>
      <c r="E2353" s="4" t="s">
        <v>5804</v>
      </c>
      <c r="F2353" t="s">
        <v>162</v>
      </c>
      <c r="G2353" t="s">
        <v>244</v>
      </c>
      <c r="H2353" t="s">
        <v>53</v>
      </c>
      <c r="I2353" t="s">
        <v>53</v>
      </c>
      <c r="J2353" s="5" t="s">
        <v>53</v>
      </c>
      <c r="K2353" t="s">
        <v>83</v>
      </c>
      <c r="L2353" s="6">
        <v>42948</v>
      </c>
      <c r="M2353">
        <v>8</v>
      </c>
      <c r="N2353" s="7" t="s">
        <v>55</v>
      </c>
      <c r="O2353" t="s">
        <v>246</v>
      </c>
      <c r="P2353" t="s">
        <v>1770</v>
      </c>
      <c r="Q2353" t="s">
        <v>1682</v>
      </c>
      <c r="R2353" t="s">
        <v>1683</v>
      </c>
    </row>
    <row r="2354" spans="1:18" hidden="1">
      <c r="A2354">
        <v>12</v>
      </c>
      <c r="B2354" s="4" t="s">
        <v>901</v>
      </c>
      <c r="C2354" s="4" t="s">
        <v>1672</v>
      </c>
      <c r="D2354" s="4" t="s">
        <v>1673</v>
      </c>
      <c r="E2354" s="4" t="s">
        <v>5804</v>
      </c>
      <c r="F2354" t="s">
        <v>162</v>
      </c>
      <c r="G2354" t="s">
        <v>244</v>
      </c>
      <c r="H2354" t="s">
        <v>53</v>
      </c>
      <c r="I2354" t="s">
        <v>53</v>
      </c>
      <c r="J2354" s="5" t="s">
        <v>53</v>
      </c>
      <c r="K2354" t="s">
        <v>245</v>
      </c>
      <c r="L2354" s="6">
        <v>43466</v>
      </c>
      <c r="M2354">
        <v>1</v>
      </c>
      <c r="N2354" s="7" t="s">
        <v>30</v>
      </c>
      <c r="O2354" t="s">
        <v>246</v>
      </c>
      <c r="P2354" t="s">
        <v>1852</v>
      </c>
      <c r="Q2354" t="s">
        <v>1682</v>
      </c>
      <c r="R2354" t="s">
        <v>1683</v>
      </c>
    </row>
    <row r="2355" spans="1:18" hidden="1">
      <c r="A2355">
        <v>12</v>
      </c>
      <c r="B2355" s="4" t="s">
        <v>901</v>
      </c>
      <c r="C2355" s="4" t="s">
        <v>1672</v>
      </c>
      <c r="D2355" s="4" t="s">
        <v>1673</v>
      </c>
      <c r="E2355" s="4" t="s">
        <v>5804</v>
      </c>
      <c r="F2355" t="s">
        <v>162</v>
      </c>
      <c r="G2355" t="s">
        <v>244</v>
      </c>
      <c r="H2355" t="s">
        <v>53</v>
      </c>
      <c r="I2355" t="s">
        <v>53</v>
      </c>
      <c r="J2355" s="5" t="s">
        <v>53</v>
      </c>
      <c r="K2355" t="s">
        <v>1948</v>
      </c>
      <c r="L2355" s="6" t="s">
        <v>673</v>
      </c>
      <c r="M2355" t="e">
        <v>#VALUE!</v>
      </c>
      <c r="N2355" s="7" t="e">
        <v>#VALUE!</v>
      </c>
      <c r="O2355" t="s">
        <v>979</v>
      </c>
      <c r="P2355" t="s">
        <v>1949</v>
      </c>
      <c r="Q2355" t="s">
        <v>1950</v>
      </c>
      <c r="R2355" t="s">
        <v>1951</v>
      </c>
    </row>
    <row r="2356" spans="1:18" hidden="1">
      <c r="A2356">
        <v>2</v>
      </c>
      <c r="B2356" s="4" t="s">
        <v>1952</v>
      </c>
      <c r="C2356" s="4" t="s">
        <v>1953</v>
      </c>
      <c r="D2356" s="4" t="s">
        <v>1954</v>
      </c>
      <c r="E2356" s="4" t="s">
        <v>5804</v>
      </c>
      <c r="F2356" t="s">
        <v>162</v>
      </c>
      <c r="G2356" t="s">
        <v>244</v>
      </c>
      <c r="H2356" t="s">
        <v>53</v>
      </c>
      <c r="I2356" t="s">
        <v>53</v>
      </c>
      <c r="J2356" s="5" t="s">
        <v>53</v>
      </c>
      <c r="K2356" t="s">
        <v>35</v>
      </c>
      <c r="L2356" s="6">
        <v>43160</v>
      </c>
      <c r="M2356">
        <v>3</v>
      </c>
      <c r="N2356" s="7" t="s">
        <v>23</v>
      </c>
      <c r="O2356" t="s">
        <v>246</v>
      </c>
      <c r="P2356" t="s">
        <v>2015</v>
      </c>
      <c r="Q2356" t="s">
        <v>2016</v>
      </c>
      <c r="R2356" t="s">
        <v>1434</v>
      </c>
    </row>
    <row r="2357" spans="1:18" hidden="1">
      <c r="A2357">
        <v>2</v>
      </c>
      <c r="B2357" s="4" t="s">
        <v>1952</v>
      </c>
      <c r="C2357" s="4" t="s">
        <v>2425</v>
      </c>
      <c r="D2357" s="4" t="s">
        <v>2446</v>
      </c>
      <c r="E2357" s="4" t="s">
        <v>5804</v>
      </c>
      <c r="F2357" t="s">
        <v>162</v>
      </c>
      <c r="G2357" t="s">
        <v>244</v>
      </c>
      <c r="H2357" t="s">
        <v>53</v>
      </c>
      <c r="I2357" t="s">
        <v>53</v>
      </c>
      <c r="J2357" s="5" t="s">
        <v>53</v>
      </c>
      <c r="K2357" t="s">
        <v>319</v>
      </c>
      <c r="L2357" s="6">
        <v>42583</v>
      </c>
      <c r="M2357">
        <v>8</v>
      </c>
      <c r="N2357" s="7" t="s">
        <v>55</v>
      </c>
      <c r="O2357" t="s">
        <v>246</v>
      </c>
      <c r="P2357" t="s">
        <v>2458</v>
      </c>
      <c r="Q2357" t="s">
        <v>2459</v>
      </c>
      <c r="R2357" t="s">
        <v>2460</v>
      </c>
    </row>
    <row r="2358" spans="1:18" hidden="1">
      <c r="A2358">
        <v>2</v>
      </c>
      <c r="B2358" s="4" t="s">
        <v>1952</v>
      </c>
      <c r="C2358" s="4" t="s">
        <v>2425</v>
      </c>
      <c r="D2358" s="4" t="s">
        <v>2509</v>
      </c>
      <c r="E2358" s="4" t="s">
        <v>5804</v>
      </c>
      <c r="F2358" t="s">
        <v>162</v>
      </c>
      <c r="G2358" t="s">
        <v>244</v>
      </c>
      <c r="H2358" t="s">
        <v>53</v>
      </c>
      <c r="I2358" t="s">
        <v>53</v>
      </c>
      <c r="J2358" s="5" t="s">
        <v>53</v>
      </c>
      <c r="K2358" t="s">
        <v>119</v>
      </c>
      <c r="L2358" s="6">
        <v>42552</v>
      </c>
      <c r="M2358">
        <v>7</v>
      </c>
      <c r="N2358" s="7" t="s">
        <v>55</v>
      </c>
      <c r="O2358" t="s">
        <v>246</v>
      </c>
      <c r="P2358" t="s">
        <v>2517</v>
      </c>
      <c r="Q2358" t="s">
        <v>2518</v>
      </c>
      <c r="R2358" t="s">
        <v>2519</v>
      </c>
    </row>
    <row r="2359" spans="1:18">
      <c r="A2359">
        <v>3</v>
      </c>
      <c r="B2359" s="4" t="s">
        <v>2764</v>
      </c>
      <c r="C2359" s="4" t="s">
        <v>2765</v>
      </c>
      <c r="D2359" s="4" t="s">
        <v>2816</v>
      </c>
      <c r="E2359" s="4" t="s">
        <v>5804</v>
      </c>
      <c r="F2359" t="s">
        <v>162</v>
      </c>
      <c r="G2359" t="s">
        <v>163</v>
      </c>
      <c r="H2359" t="s">
        <v>53</v>
      </c>
      <c r="I2359" t="s">
        <v>53</v>
      </c>
      <c r="J2359" s="5" t="s">
        <v>53</v>
      </c>
      <c r="K2359" t="s">
        <v>168</v>
      </c>
      <c r="L2359" s="6">
        <v>43678</v>
      </c>
      <c r="M2359">
        <v>8</v>
      </c>
      <c r="N2359" s="7" t="s">
        <v>55</v>
      </c>
      <c r="O2359" t="s">
        <v>31</v>
      </c>
      <c r="P2359" t="s">
        <v>2970</v>
      </c>
      <c r="Q2359" t="s">
        <v>2971</v>
      </c>
      <c r="R2359" t="s">
        <v>2972</v>
      </c>
    </row>
    <row r="2360" spans="1:18" hidden="1">
      <c r="A2360">
        <v>4</v>
      </c>
      <c r="B2360" s="4" t="s">
        <v>3127</v>
      </c>
      <c r="C2360" s="4" t="s">
        <v>3128</v>
      </c>
      <c r="D2360" s="4" t="s">
        <v>3247</v>
      </c>
      <c r="E2360" s="4" t="s">
        <v>5804</v>
      </c>
      <c r="F2360" t="s">
        <v>162</v>
      </c>
      <c r="G2360" t="s">
        <v>244</v>
      </c>
      <c r="H2360" t="s">
        <v>53</v>
      </c>
      <c r="I2360" t="s">
        <v>53</v>
      </c>
      <c r="J2360" s="5" t="s">
        <v>53</v>
      </c>
      <c r="K2360" t="s">
        <v>220</v>
      </c>
      <c r="L2360" s="6">
        <v>42644</v>
      </c>
      <c r="M2360">
        <v>10</v>
      </c>
      <c r="N2360" s="7" t="s">
        <v>23</v>
      </c>
      <c r="O2360" t="s">
        <v>246</v>
      </c>
      <c r="P2360" t="s">
        <v>3279</v>
      </c>
      <c r="Q2360" t="s">
        <v>3280</v>
      </c>
      <c r="R2360" t="s">
        <v>3281</v>
      </c>
    </row>
    <row r="2361" spans="1:18" hidden="1">
      <c r="A2361">
        <v>4</v>
      </c>
      <c r="B2361" s="4" t="s">
        <v>3127</v>
      </c>
      <c r="C2361" s="4" t="s">
        <v>3374</v>
      </c>
      <c r="D2361" s="4" t="s">
        <v>3375</v>
      </c>
      <c r="E2361" s="4" t="s">
        <v>5804</v>
      </c>
      <c r="F2361" t="s">
        <v>162</v>
      </c>
      <c r="G2361" t="s">
        <v>244</v>
      </c>
      <c r="H2361" t="s">
        <v>53</v>
      </c>
      <c r="I2361" t="s">
        <v>53</v>
      </c>
      <c r="J2361" s="5" t="s">
        <v>53</v>
      </c>
      <c r="K2361" t="s">
        <v>65</v>
      </c>
      <c r="L2361" s="6">
        <v>42430</v>
      </c>
      <c r="M2361">
        <v>3</v>
      </c>
      <c r="N2361" s="7" t="s">
        <v>23</v>
      </c>
      <c r="O2361" t="s">
        <v>246</v>
      </c>
      <c r="P2361" t="s">
        <v>3382</v>
      </c>
      <c r="Q2361" t="s">
        <v>3383</v>
      </c>
      <c r="R2361" t="s">
        <v>3384</v>
      </c>
    </row>
    <row r="2362" spans="1:18" hidden="1">
      <c r="A2362">
        <v>4</v>
      </c>
      <c r="B2362" s="4" t="s">
        <v>3127</v>
      </c>
      <c r="C2362" s="4" t="s">
        <v>3374</v>
      </c>
      <c r="D2362" s="4" t="s">
        <v>3375</v>
      </c>
      <c r="E2362" s="4" t="s">
        <v>5804</v>
      </c>
      <c r="F2362" t="s">
        <v>162</v>
      </c>
      <c r="G2362" t="s">
        <v>244</v>
      </c>
      <c r="H2362" t="s">
        <v>53</v>
      </c>
      <c r="I2362" t="s">
        <v>53</v>
      </c>
      <c r="J2362" s="5" t="s">
        <v>53</v>
      </c>
      <c r="K2362" t="s">
        <v>3435</v>
      </c>
      <c r="L2362" s="6">
        <v>43252</v>
      </c>
      <c r="M2362">
        <v>6</v>
      </c>
      <c r="N2362" s="7" t="s">
        <v>55</v>
      </c>
      <c r="O2362" t="s">
        <v>246</v>
      </c>
      <c r="P2362" t="s">
        <v>3436</v>
      </c>
      <c r="Q2362" t="s">
        <v>3437</v>
      </c>
      <c r="R2362" t="s">
        <v>3384</v>
      </c>
    </row>
    <row r="2363" spans="1:18" hidden="1">
      <c r="A2363">
        <v>4</v>
      </c>
      <c r="B2363" s="4" t="s">
        <v>3127</v>
      </c>
      <c r="C2363" s="4" t="s">
        <v>4035</v>
      </c>
      <c r="D2363" s="4" t="s">
        <v>4080</v>
      </c>
      <c r="E2363" s="4" t="s">
        <v>5804</v>
      </c>
      <c r="F2363" t="s">
        <v>162</v>
      </c>
      <c r="G2363" t="s">
        <v>244</v>
      </c>
      <c r="H2363" t="s">
        <v>53</v>
      </c>
      <c r="I2363" t="s">
        <v>53</v>
      </c>
      <c r="J2363" s="5" t="s">
        <v>53</v>
      </c>
      <c r="K2363" t="s">
        <v>71</v>
      </c>
      <c r="L2363" s="6">
        <v>42522</v>
      </c>
      <c r="M2363">
        <v>6</v>
      </c>
      <c r="N2363" s="7" t="s">
        <v>55</v>
      </c>
      <c r="O2363" t="s">
        <v>246</v>
      </c>
      <c r="P2363" t="s">
        <v>4095</v>
      </c>
      <c r="Q2363" t="s">
        <v>4096</v>
      </c>
      <c r="R2363" t="s">
        <v>4097</v>
      </c>
    </row>
    <row r="2364" spans="1:18" hidden="1">
      <c r="A2364">
        <v>4</v>
      </c>
      <c r="B2364" s="4" t="s">
        <v>3127</v>
      </c>
      <c r="C2364" s="4" t="s">
        <v>4207</v>
      </c>
      <c r="D2364" s="4" t="s">
        <v>4208</v>
      </c>
      <c r="E2364" s="4" t="s">
        <v>5804</v>
      </c>
      <c r="F2364" t="s">
        <v>162</v>
      </c>
      <c r="G2364" t="s">
        <v>244</v>
      </c>
      <c r="H2364" t="s">
        <v>53</v>
      </c>
      <c r="I2364" t="s">
        <v>53</v>
      </c>
      <c r="J2364" s="5" t="s">
        <v>53</v>
      </c>
      <c r="K2364" t="s">
        <v>171</v>
      </c>
      <c r="L2364" s="6">
        <v>44013</v>
      </c>
      <c r="M2364">
        <v>7</v>
      </c>
      <c r="N2364" s="7" t="s">
        <v>55</v>
      </c>
      <c r="O2364" t="s">
        <v>31</v>
      </c>
      <c r="P2364" t="s">
        <v>4242</v>
      </c>
      <c r="Q2364" t="s">
        <v>4243</v>
      </c>
      <c r="R2364" t="s">
        <v>4244</v>
      </c>
    </row>
    <row r="2365" spans="1:18" hidden="1">
      <c r="A2365">
        <v>4</v>
      </c>
      <c r="B2365" s="4" t="s">
        <v>3127</v>
      </c>
      <c r="C2365" s="4" t="s">
        <v>4207</v>
      </c>
      <c r="D2365" s="4" t="s">
        <v>4208</v>
      </c>
      <c r="E2365" s="4" t="s">
        <v>5804</v>
      </c>
      <c r="F2365" t="s">
        <v>162</v>
      </c>
      <c r="G2365" t="s">
        <v>244</v>
      </c>
      <c r="H2365" t="s">
        <v>53</v>
      </c>
      <c r="I2365" t="s">
        <v>53</v>
      </c>
      <c r="J2365" s="5" t="s">
        <v>53</v>
      </c>
      <c r="K2365" t="s">
        <v>104</v>
      </c>
      <c r="L2365" s="6">
        <v>44317</v>
      </c>
      <c r="M2365">
        <v>5</v>
      </c>
      <c r="N2365" s="7" t="s">
        <v>23</v>
      </c>
      <c r="O2365" t="s">
        <v>246</v>
      </c>
      <c r="P2365" t="s">
        <v>4254</v>
      </c>
      <c r="Q2365" t="s">
        <v>4255</v>
      </c>
      <c r="R2365" t="s">
        <v>4244</v>
      </c>
    </row>
    <row r="2366" spans="1:18" hidden="1">
      <c r="A2366">
        <v>4</v>
      </c>
      <c r="B2366" s="4" t="s">
        <v>3127</v>
      </c>
      <c r="C2366" s="4" t="s">
        <v>4207</v>
      </c>
      <c r="D2366" s="4" t="s">
        <v>4257</v>
      </c>
      <c r="E2366" s="4" t="s">
        <v>5804</v>
      </c>
      <c r="F2366" t="s">
        <v>162</v>
      </c>
      <c r="G2366" t="s">
        <v>244</v>
      </c>
      <c r="H2366" t="s">
        <v>53</v>
      </c>
      <c r="I2366" t="s">
        <v>53</v>
      </c>
      <c r="J2366" s="5" t="s">
        <v>53</v>
      </c>
      <c r="K2366" t="s">
        <v>164</v>
      </c>
      <c r="L2366" s="6">
        <v>43617</v>
      </c>
      <c r="M2366">
        <v>6</v>
      </c>
      <c r="N2366" s="7" t="s">
        <v>55</v>
      </c>
      <c r="O2366" t="s">
        <v>31</v>
      </c>
      <c r="P2366" t="s">
        <v>4460</v>
      </c>
      <c r="Q2366" t="s">
        <v>4461</v>
      </c>
      <c r="R2366" t="s">
        <v>4244</v>
      </c>
    </row>
    <row r="2367" spans="1:18" hidden="1">
      <c r="A2367">
        <v>5</v>
      </c>
      <c r="B2367" s="4" t="s">
        <v>4600</v>
      </c>
      <c r="C2367" s="4" t="s">
        <v>4601</v>
      </c>
      <c r="D2367" s="4" t="s">
        <v>4602</v>
      </c>
      <c r="E2367" s="4" t="s">
        <v>5804</v>
      </c>
      <c r="F2367" t="s">
        <v>162</v>
      </c>
      <c r="G2367" t="s">
        <v>163</v>
      </c>
      <c r="H2367" t="s">
        <v>53</v>
      </c>
      <c r="I2367" t="s">
        <v>53</v>
      </c>
      <c r="J2367" s="5" t="s">
        <v>53</v>
      </c>
      <c r="K2367" t="s">
        <v>4633</v>
      </c>
      <c r="L2367" s="6" t="s">
        <v>673</v>
      </c>
      <c r="M2367" t="e">
        <v>#VALUE!</v>
      </c>
      <c r="N2367" s="7" t="e">
        <v>#VALUE!</v>
      </c>
      <c r="O2367" t="s">
        <v>193</v>
      </c>
      <c r="P2367" t="s">
        <v>4634</v>
      </c>
      <c r="Q2367" t="s">
        <v>1002</v>
      </c>
      <c r="R2367" t="s">
        <v>1003</v>
      </c>
    </row>
    <row r="2368" spans="1:18" hidden="1">
      <c r="A2368">
        <v>5</v>
      </c>
      <c r="B2368" s="4" t="s">
        <v>4600</v>
      </c>
      <c r="C2368" s="4" t="s">
        <v>4601</v>
      </c>
      <c r="D2368" s="4" t="s">
        <v>4635</v>
      </c>
      <c r="E2368" s="4" t="s">
        <v>5804</v>
      </c>
      <c r="F2368" t="s">
        <v>162</v>
      </c>
      <c r="G2368" t="s">
        <v>244</v>
      </c>
      <c r="H2368" t="s">
        <v>53</v>
      </c>
      <c r="I2368" t="s">
        <v>53</v>
      </c>
      <c r="J2368" s="5" t="s">
        <v>53</v>
      </c>
      <c r="K2368" t="s">
        <v>319</v>
      </c>
      <c r="L2368" s="6">
        <v>42583</v>
      </c>
      <c r="M2368">
        <v>8</v>
      </c>
      <c r="N2368" s="7" t="s">
        <v>55</v>
      </c>
      <c r="O2368" t="s">
        <v>246</v>
      </c>
      <c r="P2368" t="s">
        <v>4648</v>
      </c>
      <c r="Q2368" t="s">
        <v>4649</v>
      </c>
      <c r="R2368" t="s">
        <v>4650</v>
      </c>
    </row>
    <row r="2369" spans="1:18" hidden="1">
      <c r="A2369">
        <v>5</v>
      </c>
      <c r="B2369" s="4" t="s">
        <v>4600</v>
      </c>
      <c r="C2369" s="4" t="s">
        <v>4601</v>
      </c>
      <c r="D2369" s="4" t="s">
        <v>4635</v>
      </c>
      <c r="E2369" s="4" t="s">
        <v>5804</v>
      </c>
      <c r="F2369" t="s">
        <v>162</v>
      </c>
      <c r="G2369" t="s">
        <v>244</v>
      </c>
      <c r="H2369" t="s">
        <v>53</v>
      </c>
      <c r="I2369" t="s">
        <v>53</v>
      </c>
      <c r="J2369" s="5" t="s">
        <v>53</v>
      </c>
      <c r="K2369" t="s">
        <v>22</v>
      </c>
      <c r="L2369" s="6">
        <v>42979</v>
      </c>
      <c r="M2369">
        <v>9</v>
      </c>
      <c r="N2369" s="7" t="s">
        <v>23</v>
      </c>
      <c r="O2369" t="s">
        <v>246</v>
      </c>
      <c r="P2369" t="s">
        <v>4666</v>
      </c>
      <c r="Q2369" t="s">
        <v>4667</v>
      </c>
      <c r="R2369" t="s">
        <v>4668</v>
      </c>
    </row>
    <row r="2370" spans="1:18" hidden="1">
      <c r="A2370">
        <v>5</v>
      </c>
      <c r="B2370" s="4" t="s">
        <v>4600</v>
      </c>
      <c r="C2370" s="4" t="s">
        <v>4601</v>
      </c>
      <c r="D2370" s="4" t="s">
        <v>4635</v>
      </c>
      <c r="E2370" s="4" t="s">
        <v>5804</v>
      </c>
      <c r="F2370" t="s">
        <v>162</v>
      </c>
      <c r="G2370" t="s">
        <v>244</v>
      </c>
      <c r="H2370" t="s">
        <v>53</v>
      </c>
      <c r="I2370" t="s">
        <v>53</v>
      </c>
      <c r="J2370" s="5" t="s">
        <v>53</v>
      </c>
      <c r="K2370" t="s">
        <v>35</v>
      </c>
      <c r="L2370" s="6">
        <v>43160</v>
      </c>
      <c r="M2370">
        <v>3</v>
      </c>
      <c r="N2370" s="7" t="s">
        <v>23</v>
      </c>
      <c r="O2370" t="s">
        <v>246</v>
      </c>
      <c r="P2370" t="s">
        <v>4672</v>
      </c>
      <c r="Q2370" t="s">
        <v>4673</v>
      </c>
      <c r="R2370" t="s">
        <v>4665</v>
      </c>
    </row>
    <row r="2371" spans="1:18" hidden="1">
      <c r="A2371">
        <v>5</v>
      </c>
      <c r="B2371" s="4" t="s">
        <v>4600</v>
      </c>
      <c r="C2371" s="4" t="s">
        <v>4601</v>
      </c>
      <c r="D2371" s="4" t="s">
        <v>4635</v>
      </c>
      <c r="E2371" s="4" t="s">
        <v>5804</v>
      </c>
      <c r="F2371" t="s">
        <v>162</v>
      </c>
      <c r="G2371" t="s">
        <v>244</v>
      </c>
      <c r="H2371" t="s">
        <v>53</v>
      </c>
      <c r="I2371" t="s">
        <v>53</v>
      </c>
      <c r="J2371" s="5" t="s">
        <v>53</v>
      </c>
      <c r="K2371" t="s">
        <v>146</v>
      </c>
      <c r="L2371" s="6">
        <v>43313</v>
      </c>
      <c r="M2371">
        <v>8</v>
      </c>
      <c r="N2371" s="7" t="s">
        <v>55</v>
      </c>
      <c r="O2371" t="s">
        <v>246</v>
      </c>
      <c r="P2371" t="s">
        <v>4681</v>
      </c>
      <c r="Q2371" t="s">
        <v>4649</v>
      </c>
      <c r="R2371" t="s">
        <v>4650</v>
      </c>
    </row>
    <row r="2372" spans="1:18" hidden="1">
      <c r="A2372">
        <v>5</v>
      </c>
      <c r="B2372" s="4" t="s">
        <v>4600</v>
      </c>
      <c r="C2372" s="4" t="s">
        <v>4601</v>
      </c>
      <c r="D2372" s="4" t="s">
        <v>4635</v>
      </c>
      <c r="E2372" s="4" t="s">
        <v>5804</v>
      </c>
      <c r="F2372" t="s">
        <v>162</v>
      </c>
      <c r="G2372" t="s">
        <v>244</v>
      </c>
      <c r="H2372" t="s">
        <v>53</v>
      </c>
      <c r="I2372" t="s">
        <v>53</v>
      </c>
      <c r="J2372" s="5" t="s">
        <v>53</v>
      </c>
      <c r="K2372" t="s">
        <v>304</v>
      </c>
      <c r="L2372" s="6">
        <v>43647</v>
      </c>
      <c r="M2372">
        <v>7</v>
      </c>
      <c r="N2372" s="7" t="s">
        <v>55</v>
      </c>
      <c r="O2372" t="s">
        <v>246</v>
      </c>
      <c r="P2372" t="s">
        <v>4701</v>
      </c>
      <c r="Q2372" t="s">
        <v>4702</v>
      </c>
      <c r="R2372" t="s">
        <v>4665</v>
      </c>
    </row>
    <row r="2373" spans="1:18" hidden="1">
      <c r="A2373">
        <v>5</v>
      </c>
      <c r="B2373" s="4" t="s">
        <v>4600</v>
      </c>
      <c r="C2373" s="4" t="s">
        <v>4601</v>
      </c>
      <c r="D2373" s="4" t="s">
        <v>4635</v>
      </c>
      <c r="E2373" s="4" t="s">
        <v>5804</v>
      </c>
      <c r="F2373" t="s">
        <v>162</v>
      </c>
      <c r="G2373" t="s">
        <v>244</v>
      </c>
      <c r="H2373" t="s">
        <v>53</v>
      </c>
      <c r="I2373" t="s">
        <v>53</v>
      </c>
      <c r="J2373" s="5" t="s">
        <v>53</v>
      </c>
      <c r="K2373" t="s">
        <v>726</v>
      </c>
      <c r="L2373" s="6">
        <v>43709</v>
      </c>
      <c r="M2373">
        <v>9</v>
      </c>
      <c r="N2373" s="7" t="s">
        <v>23</v>
      </c>
      <c r="O2373" t="s">
        <v>246</v>
      </c>
      <c r="P2373" t="s">
        <v>4707</v>
      </c>
      <c r="Q2373" t="s">
        <v>4708</v>
      </c>
      <c r="R2373" t="s">
        <v>4665</v>
      </c>
    </row>
    <row r="2374" spans="1:18" hidden="1">
      <c r="A2374">
        <v>5</v>
      </c>
      <c r="B2374" s="4" t="s">
        <v>4600</v>
      </c>
      <c r="C2374" s="4" t="s">
        <v>4601</v>
      </c>
      <c r="D2374" s="4" t="s">
        <v>4635</v>
      </c>
      <c r="E2374" s="4" t="s">
        <v>5804</v>
      </c>
      <c r="F2374" t="s">
        <v>162</v>
      </c>
      <c r="G2374" t="s">
        <v>244</v>
      </c>
      <c r="H2374" t="s">
        <v>53</v>
      </c>
      <c r="I2374" t="s">
        <v>53</v>
      </c>
      <c r="J2374" s="5" t="s">
        <v>53</v>
      </c>
      <c r="K2374" t="s">
        <v>726</v>
      </c>
      <c r="L2374" s="6">
        <v>43709</v>
      </c>
      <c r="M2374">
        <v>9</v>
      </c>
      <c r="N2374" s="7" t="s">
        <v>23</v>
      </c>
      <c r="O2374" t="s">
        <v>246</v>
      </c>
      <c r="P2374" t="s">
        <v>4709</v>
      </c>
      <c r="Q2374" t="s">
        <v>4710</v>
      </c>
      <c r="R2374" t="s">
        <v>4665</v>
      </c>
    </row>
    <row r="2375" spans="1:18" hidden="1">
      <c r="A2375">
        <v>5</v>
      </c>
      <c r="B2375" s="4" t="s">
        <v>4600</v>
      </c>
      <c r="C2375" s="4" t="s">
        <v>4601</v>
      </c>
      <c r="D2375" s="4" t="s">
        <v>4635</v>
      </c>
      <c r="E2375" s="4" t="s">
        <v>5804</v>
      </c>
      <c r="F2375" t="s">
        <v>162</v>
      </c>
      <c r="G2375" t="s">
        <v>244</v>
      </c>
      <c r="H2375" t="s">
        <v>53</v>
      </c>
      <c r="I2375" t="s">
        <v>53</v>
      </c>
      <c r="J2375" s="5" t="s">
        <v>53</v>
      </c>
      <c r="K2375" t="s">
        <v>357</v>
      </c>
      <c r="L2375" s="6">
        <v>43739</v>
      </c>
      <c r="M2375">
        <v>10</v>
      </c>
      <c r="N2375" s="7" t="s">
        <v>23</v>
      </c>
      <c r="O2375" t="s">
        <v>246</v>
      </c>
      <c r="P2375" t="s">
        <v>4714</v>
      </c>
      <c r="Q2375" t="s">
        <v>4715</v>
      </c>
      <c r="R2375" t="s">
        <v>4716</v>
      </c>
    </row>
    <row r="2376" spans="1:18" hidden="1">
      <c r="A2376">
        <v>5</v>
      </c>
      <c r="B2376" s="4" t="s">
        <v>4600</v>
      </c>
      <c r="C2376" s="4" t="s">
        <v>4601</v>
      </c>
      <c r="D2376" s="4" t="s">
        <v>4635</v>
      </c>
      <c r="E2376" s="4" t="s">
        <v>5804</v>
      </c>
      <c r="F2376" t="s">
        <v>162</v>
      </c>
      <c r="G2376" t="s">
        <v>163</v>
      </c>
      <c r="H2376" t="s">
        <v>53</v>
      </c>
      <c r="I2376" t="s">
        <v>53</v>
      </c>
      <c r="J2376" s="5" t="s">
        <v>53</v>
      </c>
      <c r="K2376" t="s">
        <v>357</v>
      </c>
      <c r="L2376" s="6">
        <v>43739</v>
      </c>
      <c r="M2376">
        <v>10</v>
      </c>
      <c r="N2376" s="7" t="s">
        <v>23</v>
      </c>
      <c r="O2376" t="s">
        <v>31</v>
      </c>
      <c r="P2376" t="s">
        <v>4717</v>
      </c>
      <c r="Q2376" t="s">
        <v>4718</v>
      </c>
      <c r="R2376" t="s">
        <v>4719</v>
      </c>
    </row>
    <row r="2377" spans="1:18" hidden="1">
      <c r="A2377">
        <v>5</v>
      </c>
      <c r="B2377" s="4" t="s">
        <v>4600</v>
      </c>
      <c r="C2377" s="4" t="s">
        <v>4601</v>
      </c>
      <c r="D2377" s="4" t="s">
        <v>4635</v>
      </c>
      <c r="E2377" s="4" t="s">
        <v>5804</v>
      </c>
      <c r="F2377" t="s">
        <v>162</v>
      </c>
      <c r="G2377" t="s">
        <v>163</v>
      </c>
      <c r="H2377" t="s">
        <v>53</v>
      </c>
      <c r="I2377" t="s">
        <v>53</v>
      </c>
      <c r="J2377" s="5" t="s">
        <v>53</v>
      </c>
      <c r="K2377" t="s">
        <v>691</v>
      </c>
      <c r="L2377" s="6">
        <v>43770</v>
      </c>
      <c r="M2377">
        <v>11</v>
      </c>
      <c r="N2377" s="7" t="s">
        <v>23</v>
      </c>
      <c r="O2377" t="s">
        <v>31</v>
      </c>
      <c r="P2377" t="s">
        <v>4721</v>
      </c>
      <c r="Q2377" t="s">
        <v>4722</v>
      </c>
      <c r="R2377" t="s">
        <v>4723</v>
      </c>
    </row>
    <row r="2378" spans="1:18" hidden="1">
      <c r="A2378">
        <v>5</v>
      </c>
      <c r="B2378" s="4" t="s">
        <v>4600</v>
      </c>
      <c r="C2378" s="4" t="s">
        <v>4601</v>
      </c>
      <c r="D2378" s="4" t="s">
        <v>4635</v>
      </c>
      <c r="E2378" s="4" t="s">
        <v>5804</v>
      </c>
      <c r="F2378" t="s">
        <v>162</v>
      </c>
      <c r="G2378" t="s">
        <v>244</v>
      </c>
      <c r="H2378" t="s">
        <v>53</v>
      </c>
      <c r="I2378" t="s">
        <v>53</v>
      </c>
      <c r="J2378" s="5" t="s">
        <v>53</v>
      </c>
      <c r="K2378" t="s">
        <v>630</v>
      </c>
      <c r="L2378" s="6">
        <v>44378</v>
      </c>
      <c r="M2378">
        <v>7</v>
      </c>
      <c r="N2378" s="7" t="s">
        <v>55</v>
      </c>
      <c r="O2378" t="s">
        <v>246</v>
      </c>
      <c r="P2378" t="s">
        <v>4744</v>
      </c>
      <c r="Q2378" t="s">
        <v>4649</v>
      </c>
      <c r="R2378" t="s">
        <v>4650</v>
      </c>
    </row>
    <row r="2379" spans="1:18" hidden="1">
      <c r="A2379">
        <v>5</v>
      </c>
      <c r="B2379" s="4" t="s">
        <v>4600</v>
      </c>
      <c r="C2379" s="4" t="s">
        <v>4601</v>
      </c>
      <c r="D2379" s="4" t="s">
        <v>4748</v>
      </c>
      <c r="E2379" s="4" t="s">
        <v>5804</v>
      </c>
      <c r="F2379" t="s">
        <v>162</v>
      </c>
      <c r="G2379" t="s">
        <v>244</v>
      </c>
      <c r="H2379" t="s">
        <v>53</v>
      </c>
      <c r="I2379" t="s">
        <v>53</v>
      </c>
      <c r="J2379" s="5" t="s">
        <v>53</v>
      </c>
      <c r="K2379" t="s">
        <v>382</v>
      </c>
      <c r="L2379" s="6">
        <v>42401</v>
      </c>
      <c r="M2379">
        <v>2</v>
      </c>
      <c r="N2379" s="7" t="s">
        <v>30</v>
      </c>
      <c r="O2379" t="s">
        <v>246</v>
      </c>
      <c r="P2379" t="s">
        <v>4758</v>
      </c>
      <c r="Q2379" t="s">
        <v>4759</v>
      </c>
      <c r="R2379" t="s">
        <v>4614</v>
      </c>
    </row>
    <row r="2380" spans="1:18" hidden="1">
      <c r="A2380">
        <v>5</v>
      </c>
      <c r="B2380" s="4" t="s">
        <v>4600</v>
      </c>
      <c r="C2380" s="4" t="s">
        <v>4601</v>
      </c>
      <c r="D2380" s="4" t="s">
        <v>4748</v>
      </c>
      <c r="E2380" s="4" t="s">
        <v>5804</v>
      </c>
      <c r="F2380" t="s">
        <v>162</v>
      </c>
      <c r="G2380" t="s">
        <v>163</v>
      </c>
      <c r="H2380" t="s">
        <v>53</v>
      </c>
      <c r="I2380" t="s">
        <v>53</v>
      </c>
      <c r="J2380" s="5" t="s">
        <v>53</v>
      </c>
      <c r="K2380" t="s">
        <v>701</v>
      </c>
      <c r="L2380" s="6">
        <v>42491</v>
      </c>
      <c r="M2380">
        <v>5</v>
      </c>
      <c r="N2380" s="7" t="s">
        <v>23</v>
      </c>
      <c r="O2380" t="s">
        <v>31</v>
      </c>
      <c r="P2380" t="s">
        <v>4763</v>
      </c>
      <c r="Q2380" t="s">
        <v>4764</v>
      </c>
      <c r="R2380" t="s">
        <v>4723</v>
      </c>
    </row>
    <row r="2381" spans="1:18" hidden="1">
      <c r="A2381">
        <v>5</v>
      </c>
      <c r="B2381" s="4" t="s">
        <v>4600</v>
      </c>
      <c r="C2381" s="4" t="s">
        <v>4601</v>
      </c>
      <c r="D2381" s="4" t="s">
        <v>4748</v>
      </c>
      <c r="E2381" s="4" t="s">
        <v>5804</v>
      </c>
      <c r="F2381" t="s">
        <v>162</v>
      </c>
      <c r="G2381" t="s">
        <v>244</v>
      </c>
      <c r="H2381" t="s">
        <v>53</v>
      </c>
      <c r="I2381" t="s">
        <v>53</v>
      </c>
      <c r="J2381" s="5" t="s">
        <v>53</v>
      </c>
      <c r="K2381" t="s">
        <v>71</v>
      </c>
      <c r="L2381" s="6">
        <v>42522</v>
      </c>
      <c r="M2381">
        <v>6</v>
      </c>
      <c r="N2381" s="7" t="s">
        <v>55</v>
      </c>
      <c r="O2381" t="s">
        <v>246</v>
      </c>
      <c r="P2381" t="s">
        <v>4768</v>
      </c>
      <c r="Q2381" t="s">
        <v>4769</v>
      </c>
      <c r="R2381" t="s">
        <v>4614</v>
      </c>
    </row>
    <row r="2382" spans="1:18" hidden="1">
      <c r="A2382">
        <v>5</v>
      </c>
      <c r="B2382" s="4" t="s">
        <v>4600</v>
      </c>
      <c r="C2382" s="4" t="s">
        <v>4601</v>
      </c>
      <c r="D2382" s="4" t="s">
        <v>4748</v>
      </c>
      <c r="E2382" s="4" t="s">
        <v>5804</v>
      </c>
      <c r="F2382" t="s">
        <v>162</v>
      </c>
      <c r="G2382" t="s">
        <v>244</v>
      </c>
      <c r="H2382" t="s">
        <v>53</v>
      </c>
      <c r="I2382" t="s">
        <v>53</v>
      </c>
      <c r="J2382" s="5" t="s">
        <v>53</v>
      </c>
      <c r="K2382" t="s">
        <v>218</v>
      </c>
      <c r="L2382" s="6">
        <v>42614</v>
      </c>
      <c r="M2382">
        <v>9</v>
      </c>
      <c r="N2382" s="7" t="s">
        <v>23</v>
      </c>
      <c r="O2382" t="s">
        <v>246</v>
      </c>
      <c r="P2382" t="s">
        <v>4775</v>
      </c>
      <c r="Q2382" t="s">
        <v>4769</v>
      </c>
      <c r="R2382" t="s">
        <v>4614</v>
      </c>
    </row>
    <row r="2383" spans="1:18" hidden="1">
      <c r="A2383">
        <v>5</v>
      </c>
      <c r="B2383" s="4" t="s">
        <v>4600</v>
      </c>
      <c r="C2383" s="4" t="s">
        <v>4601</v>
      </c>
      <c r="D2383" s="4" t="s">
        <v>4748</v>
      </c>
      <c r="E2383" s="4" t="s">
        <v>5804</v>
      </c>
      <c r="F2383" t="s">
        <v>162</v>
      </c>
      <c r="G2383" t="s">
        <v>244</v>
      </c>
      <c r="H2383" t="s">
        <v>53</v>
      </c>
      <c r="I2383" t="s">
        <v>53</v>
      </c>
      <c r="J2383" s="5" t="s">
        <v>53</v>
      </c>
      <c r="K2383" t="s">
        <v>4777</v>
      </c>
      <c r="L2383" s="6">
        <v>42795</v>
      </c>
      <c r="M2383">
        <v>3</v>
      </c>
      <c r="N2383" s="7" t="s">
        <v>23</v>
      </c>
      <c r="O2383" t="s">
        <v>246</v>
      </c>
      <c r="P2383" t="s">
        <v>4778</v>
      </c>
      <c r="Q2383" t="s">
        <v>4779</v>
      </c>
      <c r="R2383" t="s">
        <v>4716</v>
      </c>
    </row>
    <row r="2384" spans="1:18" hidden="1">
      <c r="A2384">
        <v>5</v>
      </c>
      <c r="B2384" s="4" t="s">
        <v>4600</v>
      </c>
      <c r="C2384" s="4" t="s">
        <v>4601</v>
      </c>
      <c r="D2384" s="4" t="s">
        <v>4748</v>
      </c>
      <c r="E2384" s="4" t="s">
        <v>5804</v>
      </c>
      <c r="F2384" t="s">
        <v>162</v>
      </c>
      <c r="G2384" t="s">
        <v>244</v>
      </c>
      <c r="H2384" t="s">
        <v>53</v>
      </c>
      <c r="I2384" t="s">
        <v>53</v>
      </c>
      <c r="J2384" s="5" t="s">
        <v>53</v>
      </c>
      <c r="K2384" t="s">
        <v>85</v>
      </c>
      <c r="L2384" s="6">
        <v>43009</v>
      </c>
      <c r="M2384">
        <v>10</v>
      </c>
      <c r="N2384" s="7" t="s">
        <v>23</v>
      </c>
      <c r="O2384" t="s">
        <v>246</v>
      </c>
      <c r="P2384" t="s">
        <v>4789</v>
      </c>
      <c r="Q2384" t="s">
        <v>4790</v>
      </c>
      <c r="R2384" t="s">
        <v>4716</v>
      </c>
    </row>
    <row r="2385" spans="1:18" hidden="1">
      <c r="A2385">
        <v>5</v>
      </c>
      <c r="B2385" s="4" t="s">
        <v>4600</v>
      </c>
      <c r="C2385" s="4" t="s">
        <v>4601</v>
      </c>
      <c r="D2385" s="4" t="s">
        <v>4748</v>
      </c>
      <c r="E2385" s="4" t="s">
        <v>5804</v>
      </c>
      <c r="F2385" t="s">
        <v>162</v>
      </c>
      <c r="G2385" t="s">
        <v>163</v>
      </c>
      <c r="H2385" t="s">
        <v>53</v>
      </c>
      <c r="I2385" t="s">
        <v>53</v>
      </c>
      <c r="J2385" s="5" t="s">
        <v>53</v>
      </c>
      <c r="K2385" t="s">
        <v>85</v>
      </c>
      <c r="L2385" s="6">
        <v>43009</v>
      </c>
      <c r="M2385">
        <v>10</v>
      </c>
      <c r="N2385" s="7" t="s">
        <v>23</v>
      </c>
      <c r="O2385" t="s">
        <v>31</v>
      </c>
      <c r="P2385" t="s">
        <v>4791</v>
      </c>
      <c r="Q2385" t="s">
        <v>4764</v>
      </c>
      <c r="R2385" t="s">
        <v>4723</v>
      </c>
    </row>
    <row r="2386" spans="1:18" hidden="1">
      <c r="A2386">
        <v>5</v>
      </c>
      <c r="B2386" s="4" t="s">
        <v>4600</v>
      </c>
      <c r="C2386" s="4" t="s">
        <v>4601</v>
      </c>
      <c r="D2386" s="4" t="s">
        <v>4748</v>
      </c>
      <c r="E2386" s="4" t="s">
        <v>5804</v>
      </c>
      <c r="F2386" t="s">
        <v>162</v>
      </c>
      <c r="G2386" t="s">
        <v>163</v>
      </c>
      <c r="H2386" t="s">
        <v>53</v>
      </c>
      <c r="I2386" t="s">
        <v>53</v>
      </c>
      <c r="J2386" s="5" t="s">
        <v>53</v>
      </c>
      <c r="K2386" t="s">
        <v>85</v>
      </c>
      <c r="L2386" s="6">
        <v>43009</v>
      </c>
      <c r="M2386">
        <v>10</v>
      </c>
      <c r="N2386" s="7" t="s">
        <v>23</v>
      </c>
      <c r="O2386" t="s">
        <v>31</v>
      </c>
      <c r="P2386" t="s">
        <v>4792</v>
      </c>
      <c r="Q2386" t="s">
        <v>4764</v>
      </c>
      <c r="R2386" t="s">
        <v>4723</v>
      </c>
    </row>
    <row r="2387" spans="1:18" hidden="1">
      <c r="A2387">
        <v>5</v>
      </c>
      <c r="B2387" s="4" t="s">
        <v>4600</v>
      </c>
      <c r="C2387" s="4" t="s">
        <v>4601</v>
      </c>
      <c r="D2387" s="4" t="s">
        <v>4748</v>
      </c>
      <c r="E2387" s="4" t="s">
        <v>5804</v>
      </c>
      <c r="F2387" t="s">
        <v>162</v>
      </c>
      <c r="G2387" t="s">
        <v>244</v>
      </c>
      <c r="H2387" t="s">
        <v>53</v>
      </c>
      <c r="I2387" t="s">
        <v>53</v>
      </c>
      <c r="J2387" s="5" t="s">
        <v>53</v>
      </c>
      <c r="K2387" t="s">
        <v>482</v>
      </c>
      <c r="L2387" s="6">
        <v>43435</v>
      </c>
      <c r="M2387">
        <v>12</v>
      </c>
      <c r="N2387" s="7" t="s">
        <v>30</v>
      </c>
      <c r="O2387" t="s">
        <v>246</v>
      </c>
      <c r="P2387" t="s">
        <v>4802</v>
      </c>
      <c r="Q2387" t="s">
        <v>4803</v>
      </c>
      <c r="R2387" t="s">
        <v>4804</v>
      </c>
    </row>
    <row r="2388" spans="1:18" hidden="1">
      <c r="A2388">
        <v>5</v>
      </c>
      <c r="B2388" s="4" t="s">
        <v>4600</v>
      </c>
      <c r="C2388" s="4" t="s">
        <v>4601</v>
      </c>
      <c r="D2388" s="4" t="s">
        <v>4748</v>
      </c>
      <c r="E2388" s="4" t="s">
        <v>5804</v>
      </c>
      <c r="F2388" t="s">
        <v>162</v>
      </c>
      <c r="G2388" t="s">
        <v>244</v>
      </c>
      <c r="H2388" t="s">
        <v>53</v>
      </c>
      <c r="I2388" t="s">
        <v>53</v>
      </c>
      <c r="J2388" s="5" t="s">
        <v>53</v>
      </c>
      <c r="K2388" t="s">
        <v>43</v>
      </c>
      <c r="L2388" s="6">
        <v>43525</v>
      </c>
      <c r="M2388">
        <v>3</v>
      </c>
      <c r="N2388" s="7" t="s">
        <v>23</v>
      </c>
      <c r="O2388" t="s">
        <v>246</v>
      </c>
      <c r="P2388" t="s">
        <v>4810</v>
      </c>
      <c r="Q2388" t="s">
        <v>4811</v>
      </c>
      <c r="R2388" t="s">
        <v>1437</v>
      </c>
    </row>
    <row r="2389" spans="1:18" hidden="1">
      <c r="A2389">
        <v>5</v>
      </c>
      <c r="B2389" s="4" t="s">
        <v>4600</v>
      </c>
      <c r="C2389" s="4" t="s">
        <v>4601</v>
      </c>
      <c r="D2389" s="4" t="s">
        <v>4748</v>
      </c>
      <c r="E2389" s="4" t="s">
        <v>5804</v>
      </c>
      <c r="F2389" t="s">
        <v>162</v>
      </c>
      <c r="G2389" t="s">
        <v>163</v>
      </c>
      <c r="H2389" t="s">
        <v>53</v>
      </c>
      <c r="I2389" t="s">
        <v>53</v>
      </c>
      <c r="J2389" s="5" t="s">
        <v>53</v>
      </c>
      <c r="K2389" t="s">
        <v>43</v>
      </c>
      <c r="L2389" s="6">
        <v>43525</v>
      </c>
      <c r="M2389">
        <v>3</v>
      </c>
      <c r="N2389" s="7" t="s">
        <v>23</v>
      </c>
      <c r="O2389" t="s">
        <v>31</v>
      </c>
      <c r="P2389" t="s">
        <v>4812</v>
      </c>
      <c r="Q2389" t="s">
        <v>4764</v>
      </c>
      <c r="R2389" t="s">
        <v>4723</v>
      </c>
    </row>
    <row r="2390" spans="1:18" hidden="1">
      <c r="A2390">
        <v>5</v>
      </c>
      <c r="B2390" s="4" t="s">
        <v>4600</v>
      </c>
      <c r="C2390" s="4" t="s">
        <v>4601</v>
      </c>
      <c r="D2390" s="4" t="s">
        <v>4748</v>
      </c>
      <c r="E2390" s="4" t="s">
        <v>5804</v>
      </c>
      <c r="F2390" t="s">
        <v>162</v>
      </c>
      <c r="G2390" t="s">
        <v>244</v>
      </c>
      <c r="H2390" t="s">
        <v>53</v>
      </c>
      <c r="I2390" t="s">
        <v>53</v>
      </c>
      <c r="J2390" s="5" t="s">
        <v>53</v>
      </c>
      <c r="K2390" t="s">
        <v>159</v>
      </c>
      <c r="L2390" s="6">
        <v>43586</v>
      </c>
      <c r="M2390">
        <v>5</v>
      </c>
      <c r="N2390" s="7" t="s">
        <v>23</v>
      </c>
      <c r="O2390" t="s">
        <v>246</v>
      </c>
      <c r="P2390" t="s">
        <v>4813</v>
      </c>
      <c r="Q2390" t="s">
        <v>4814</v>
      </c>
      <c r="R2390" t="s">
        <v>4772</v>
      </c>
    </row>
    <row r="2391" spans="1:18" hidden="1">
      <c r="A2391">
        <v>5</v>
      </c>
      <c r="B2391" s="4" t="s">
        <v>4600</v>
      </c>
      <c r="C2391" s="4" t="s">
        <v>4601</v>
      </c>
      <c r="D2391" s="4" t="s">
        <v>4748</v>
      </c>
      <c r="E2391" s="4" t="s">
        <v>5804</v>
      </c>
      <c r="F2391" t="s">
        <v>162</v>
      </c>
      <c r="G2391" t="s">
        <v>244</v>
      </c>
      <c r="H2391" t="s">
        <v>53</v>
      </c>
      <c r="I2391" t="s">
        <v>53</v>
      </c>
      <c r="J2391" s="5" t="s">
        <v>53</v>
      </c>
      <c r="K2391" t="s">
        <v>539</v>
      </c>
      <c r="L2391" s="6">
        <v>43922</v>
      </c>
      <c r="M2391">
        <v>4</v>
      </c>
      <c r="N2391" s="7" t="s">
        <v>23</v>
      </c>
      <c r="O2391" t="s">
        <v>246</v>
      </c>
      <c r="P2391" t="s">
        <v>4827</v>
      </c>
      <c r="Q2391" t="s">
        <v>4828</v>
      </c>
      <c r="R2391" t="s">
        <v>4772</v>
      </c>
    </row>
    <row r="2392" spans="1:18" hidden="1">
      <c r="A2392">
        <v>5</v>
      </c>
      <c r="B2392" s="4" t="s">
        <v>4600</v>
      </c>
      <c r="C2392" s="4" t="s">
        <v>4601</v>
      </c>
      <c r="D2392" s="4" t="s">
        <v>4748</v>
      </c>
      <c r="E2392" s="4" t="s">
        <v>5804</v>
      </c>
      <c r="F2392" t="s">
        <v>162</v>
      </c>
      <c r="G2392" t="s">
        <v>244</v>
      </c>
      <c r="H2392" t="s">
        <v>53</v>
      </c>
      <c r="I2392" t="s">
        <v>53</v>
      </c>
      <c r="J2392" s="5" t="s">
        <v>53</v>
      </c>
      <c r="K2392" t="s">
        <v>251</v>
      </c>
      <c r="L2392" s="6">
        <v>43952</v>
      </c>
      <c r="M2392">
        <v>5</v>
      </c>
      <c r="N2392" s="7" t="s">
        <v>23</v>
      </c>
      <c r="O2392" t="s">
        <v>246</v>
      </c>
      <c r="P2392" t="s">
        <v>4830</v>
      </c>
      <c r="Q2392" t="s">
        <v>4831</v>
      </c>
      <c r="R2392" t="s">
        <v>4665</v>
      </c>
    </row>
    <row r="2393" spans="1:18" hidden="1">
      <c r="A2393">
        <v>5</v>
      </c>
      <c r="B2393" s="4" t="s">
        <v>4600</v>
      </c>
      <c r="C2393" s="4" t="s">
        <v>4601</v>
      </c>
      <c r="D2393" s="4" t="s">
        <v>4748</v>
      </c>
      <c r="E2393" s="4" t="s">
        <v>5804</v>
      </c>
      <c r="F2393" t="s">
        <v>162</v>
      </c>
      <c r="G2393" t="s">
        <v>244</v>
      </c>
      <c r="H2393" t="s">
        <v>53</v>
      </c>
      <c r="I2393" t="s">
        <v>53</v>
      </c>
      <c r="J2393" s="5" t="s">
        <v>53</v>
      </c>
      <c r="K2393" t="s">
        <v>753</v>
      </c>
      <c r="L2393" s="6">
        <v>44348</v>
      </c>
      <c r="M2393">
        <v>6</v>
      </c>
      <c r="N2393" s="7" t="s">
        <v>55</v>
      </c>
      <c r="O2393" t="s">
        <v>246</v>
      </c>
      <c r="P2393" t="s">
        <v>4838</v>
      </c>
      <c r="Q2393" t="s">
        <v>4839</v>
      </c>
      <c r="R2393" t="s">
        <v>4665</v>
      </c>
    </row>
    <row r="2394" spans="1:18" hidden="1">
      <c r="A2394">
        <v>5</v>
      </c>
      <c r="B2394" s="4" t="s">
        <v>4600</v>
      </c>
      <c r="C2394" s="4" t="s">
        <v>4601</v>
      </c>
      <c r="D2394" s="4" t="s">
        <v>4748</v>
      </c>
      <c r="E2394" s="4" t="s">
        <v>5804</v>
      </c>
      <c r="F2394" t="s">
        <v>162</v>
      </c>
      <c r="G2394" t="s">
        <v>244</v>
      </c>
      <c r="H2394" t="s">
        <v>53</v>
      </c>
      <c r="I2394" t="s">
        <v>53</v>
      </c>
      <c r="J2394" s="5" t="s">
        <v>53</v>
      </c>
      <c r="K2394" t="s">
        <v>489</v>
      </c>
      <c r="L2394" s="6">
        <v>44409</v>
      </c>
      <c r="M2394">
        <v>8</v>
      </c>
      <c r="N2394" s="7" t="s">
        <v>55</v>
      </c>
      <c r="O2394" t="s">
        <v>246</v>
      </c>
      <c r="P2394" t="s">
        <v>4841</v>
      </c>
      <c r="Q2394" t="s">
        <v>4842</v>
      </c>
      <c r="R2394" t="s">
        <v>4665</v>
      </c>
    </row>
    <row r="2395" spans="1:18" hidden="1">
      <c r="A2395">
        <v>5</v>
      </c>
      <c r="B2395" s="4" t="s">
        <v>4600</v>
      </c>
      <c r="C2395" s="4" t="s">
        <v>4601</v>
      </c>
      <c r="D2395" s="4" t="s">
        <v>4853</v>
      </c>
      <c r="E2395" s="4" t="s">
        <v>5804</v>
      </c>
      <c r="F2395" t="s">
        <v>162</v>
      </c>
      <c r="G2395" t="s">
        <v>244</v>
      </c>
      <c r="H2395" t="s">
        <v>53</v>
      </c>
      <c r="I2395" t="s">
        <v>53</v>
      </c>
      <c r="J2395" s="5" t="s">
        <v>53</v>
      </c>
      <c r="K2395" t="s">
        <v>558</v>
      </c>
      <c r="L2395" s="6">
        <v>42339</v>
      </c>
      <c r="M2395">
        <v>12</v>
      </c>
      <c r="N2395" s="7" t="s">
        <v>30</v>
      </c>
      <c r="O2395" t="s">
        <v>246</v>
      </c>
      <c r="P2395" t="s">
        <v>4854</v>
      </c>
      <c r="Q2395" t="s">
        <v>4855</v>
      </c>
      <c r="R2395" t="s">
        <v>4804</v>
      </c>
    </row>
    <row r="2396" spans="1:18" hidden="1">
      <c r="A2396">
        <v>5</v>
      </c>
      <c r="B2396" s="4" t="s">
        <v>4600</v>
      </c>
      <c r="C2396" s="4" t="s">
        <v>4601</v>
      </c>
      <c r="D2396" s="4" t="s">
        <v>4853</v>
      </c>
      <c r="E2396" s="4" t="s">
        <v>5804</v>
      </c>
      <c r="F2396" t="s">
        <v>162</v>
      </c>
      <c r="G2396" t="s">
        <v>163</v>
      </c>
      <c r="H2396" t="s">
        <v>53</v>
      </c>
      <c r="I2396" t="s">
        <v>53</v>
      </c>
      <c r="J2396" s="5" t="s">
        <v>53</v>
      </c>
      <c r="K2396" t="s">
        <v>60</v>
      </c>
      <c r="L2396" s="6">
        <v>42370</v>
      </c>
      <c r="M2396">
        <v>1</v>
      </c>
      <c r="N2396" s="7" t="s">
        <v>30</v>
      </c>
      <c r="O2396" t="s">
        <v>31</v>
      </c>
      <c r="P2396" t="s">
        <v>4856</v>
      </c>
      <c r="Q2396" t="s">
        <v>4857</v>
      </c>
      <c r="R2396" t="s">
        <v>4858</v>
      </c>
    </row>
    <row r="2397" spans="1:18" hidden="1">
      <c r="A2397">
        <v>5</v>
      </c>
      <c r="B2397" s="4" t="s">
        <v>4600</v>
      </c>
      <c r="C2397" s="4" t="s">
        <v>4601</v>
      </c>
      <c r="D2397" s="4" t="s">
        <v>4853</v>
      </c>
      <c r="E2397" s="4" t="s">
        <v>5804</v>
      </c>
      <c r="F2397" t="s">
        <v>162</v>
      </c>
      <c r="G2397" t="s">
        <v>163</v>
      </c>
      <c r="H2397" t="s">
        <v>53</v>
      </c>
      <c r="I2397" t="s">
        <v>53</v>
      </c>
      <c r="J2397" s="5" t="s">
        <v>53</v>
      </c>
      <c r="K2397" t="s">
        <v>382</v>
      </c>
      <c r="L2397" s="6">
        <v>42401</v>
      </c>
      <c r="M2397">
        <v>2</v>
      </c>
      <c r="N2397" s="7" t="s">
        <v>30</v>
      </c>
      <c r="O2397" t="s">
        <v>31</v>
      </c>
      <c r="P2397" t="s">
        <v>4859</v>
      </c>
      <c r="Q2397" t="s">
        <v>4860</v>
      </c>
      <c r="R2397" t="s">
        <v>4861</v>
      </c>
    </row>
    <row r="2398" spans="1:18" hidden="1">
      <c r="A2398">
        <v>5</v>
      </c>
      <c r="B2398" s="4" t="s">
        <v>4600</v>
      </c>
      <c r="C2398" s="4" t="s">
        <v>4601</v>
      </c>
      <c r="D2398" s="4" t="s">
        <v>4853</v>
      </c>
      <c r="E2398" s="4" t="s">
        <v>5804</v>
      </c>
      <c r="F2398" t="s">
        <v>162</v>
      </c>
      <c r="G2398" t="s">
        <v>163</v>
      </c>
      <c r="H2398" t="s">
        <v>53</v>
      </c>
      <c r="I2398" t="s">
        <v>53</v>
      </c>
      <c r="J2398" s="5" t="s">
        <v>53</v>
      </c>
      <c r="K2398" t="s">
        <v>115</v>
      </c>
      <c r="L2398" s="6">
        <v>42461</v>
      </c>
      <c r="M2398">
        <v>4</v>
      </c>
      <c r="N2398" s="7" t="s">
        <v>23</v>
      </c>
      <c r="O2398" t="s">
        <v>31</v>
      </c>
      <c r="P2398" t="s">
        <v>4862</v>
      </c>
      <c r="Q2398" t="s">
        <v>4764</v>
      </c>
      <c r="R2398" t="s">
        <v>4723</v>
      </c>
    </row>
    <row r="2399" spans="1:18" hidden="1">
      <c r="A2399">
        <v>5</v>
      </c>
      <c r="B2399" s="4" t="s">
        <v>4600</v>
      </c>
      <c r="C2399" s="4" t="s">
        <v>4601</v>
      </c>
      <c r="D2399" s="4" t="s">
        <v>4853</v>
      </c>
      <c r="E2399" s="4" t="s">
        <v>5804</v>
      </c>
      <c r="F2399" t="s">
        <v>162</v>
      </c>
      <c r="G2399" t="s">
        <v>244</v>
      </c>
      <c r="H2399" t="s">
        <v>53</v>
      </c>
      <c r="I2399" t="s">
        <v>53</v>
      </c>
      <c r="J2399" s="5" t="s">
        <v>53</v>
      </c>
      <c r="K2399" t="s">
        <v>119</v>
      </c>
      <c r="L2399" s="6">
        <v>42552</v>
      </c>
      <c r="M2399">
        <v>7</v>
      </c>
      <c r="N2399" s="7" t="s">
        <v>55</v>
      </c>
      <c r="O2399" t="s">
        <v>246</v>
      </c>
      <c r="P2399" t="s">
        <v>4865</v>
      </c>
      <c r="Q2399" t="s">
        <v>4866</v>
      </c>
      <c r="R2399" t="s">
        <v>4772</v>
      </c>
    </row>
    <row r="2400" spans="1:18" hidden="1">
      <c r="A2400">
        <v>5</v>
      </c>
      <c r="B2400" s="4" t="s">
        <v>4600</v>
      </c>
      <c r="C2400" s="4" t="s">
        <v>4601</v>
      </c>
      <c r="D2400" s="4" t="s">
        <v>4853</v>
      </c>
      <c r="E2400" s="4" t="s">
        <v>5804</v>
      </c>
      <c r="F2400" t="s">
        <v>162</v>
      </c>
      <c r="G2400" t="s">
        <v>163</v>
      </c>
      <c r="H2400" t="s">
        <v>53</v>
      </c>
      <c r="I2400" t="s">
        <v>53</v>
      </c>
      <c r="J2400" s="5" t="s">
        <v>53</v>
      </c>
      <c r="K2400" t="s">
        <v>119</v>
      </c>
      <c r="L2400" s="6">
        <v>42552</v>
      </c>
      <c r="M2400">
        <v>7</v>
      </c>
      <c r="N2400" s="7" t="s">
        <v>55</v>
      </c>
      <c r="O2400" t="s">
        <v>31</v>
      </c>
      <c r="P2400" t="s">
        <v>4868</v>
      </c>
      <c r="Q2400" t="s">
        <v>4869</v>
      </c>
      <c r="R2400" t="s">
        <v>4870</v>
      </c>
    </row>
    <row r="2401" spans="1:18" hidden="1">
      <c r="A2401">
        <v>5</v>
      </c>
      <c r="B2401" s="4" t="s">
        <v>4600</v>
      </c>
      <c r="C2401" s="4" t="s">
        <v>4601</v>
      </c>
      <c r="D2401" s="4" t="s">
        <v>4853</v>
      </c>
      <c r="E2401" s="4" t="s">
        <v>5804</v>
      </c>
      <c r="F2401" t="s">
        <v>162</v>
      </c>
      <c r="G2401" t="s">
        <v>163</v>
      </c>
      <c r="H2401" t="s">
        <v>53</v>
      </c>
      <c r="I2401" t="s">
        <v>53</v>
      </c>
      <c r="J2401" s="5" t="s">
        <v>53</v>
      </c>
      <c r="K2401" t="s">
        <v>319</v>
      </c>
      <c r="L2401" s="6">
        <v>42583</v>
      </c>
      <c r="M2401">
        <v>8</v>
      </c>
      <c r="N2401" s="7" t="s">
        <v>55</v>
      </c>
      <c r="O2401" t="s">
        <v>31</v>
      </c>
      <c r="P2401" t="s">
        <v>4871</v>
      </c>
      <c r="Q2401" t="s">
        <v>4764</v>
      </c>
      <c r="R2401" t="s">
        <v>4723</v>
      </c>
    </row>
    <row r="2402" spans="1:18" hidden="1">
      <c r="A2402">
        <v>5</v>
      </c>
      <c r="B2402" s="4" t="s">
        <v>4600</v>
      </c>
      <c r="C2402" s="4" t="s">
        <v>4601</v>
      </c>
      <c r="D2402" s="4" t="s">
        <v>4853</v>
      </c>
      <c r="E2402" s="4" t="s">
        <v>5804</v>
      </c>
      <c r="F2402" t="s">
        <v>162</v>
      </c>
      <c r="G2402" t="s">
        <v>163</v>
      </c>
      <c r="H2402" t="s">
        <v>53</v>
      </c>
      <c r="I2402" t="s">
        <v>53</v>
      </c>
      <c r="J2402" s="5" t="s">
        <v>53</v>
      </c>
      <c r="K2402" t="s">
        <v>319</v>
      </c>
      <c r="L2402" s="6">
        <v>42583</v>
      </c>
      <c r="M2402">
        <v>8</v>
      </c>
      <c r="N2402" s="7" t="s">
        <v>55</v>
      </c>
      <c r="O2402" t="s">
        <v>246</v>
      </c>
      <c r="P2402" t="s">
        <v>4872</v>
      </c>
      <c r="Q2402" t="s">
        <v>4873</v>
      </c>
      <c r="R2402" t="s">
        <v>4665</v>
      </c>
    </row>
    <row r="2403" spans="1:18" hidden="1">
      <c r="A2403">
        <v>5</v>
      </c>
      <c r="B2403" s="4" t="s">
        <v>4600</v>
      </c>
      <c r="C2403" s="4" t="s">
        <v>4601</v>
      </c>
      <c r="D2403" s="4" t="s">
        <v>4853</v>
      </c>
      <c r="E2403" s="4" t="s">
        <v>5804</v>
      </c>
      <c r="F2403" t="s">
        <v>162</v>
      </c>
      <c r="G2403" t="s">
        <v>244</v>
      </c>
      <c r="H2403" t="s">
        <v>53</v>
      </c>
      <c r="I2403" t="s">
        <v>53</v>
      </c>
      <c r="J2403" s="5" t="s">
        <v>53</v>
      </c>
      <c r="K2403" t="s">
        <v>278</v>
      </c>
      <c r="L2403" s="6">
        <v>42675</v>
      </c>
      <c r="M2403">
        <v>11</v>
      </c>
      <c r="N2403" s="7" t="s">
        <v>23</v>
      </c>
      <c r="O2403" t="s">
        <v>246</v>
      </c>
      <c r="P2403" t="s">
        <v>4877</v>
      </c>
      <c r="Q2403" t="s">
        <v>4878</v>
      </c>
      <c r="R2403" t="s">
        <v>4716</v>
      </c>
    </row>
    <row r="2404" spans="1:18" hidden="1">
      <c r="A2404">
        <v>5</v>
      </c>
      <c r="B2404" s="4" t="s">
        <v>4600</v>
      </c>
      <c r="C2404" s="4" t="s">
        <v>4601</v>
      </c>
      <c r="D2404" s="4" t="s">
        <v>4853</v>
      </c>
      <c r="E2404" s="4" t="s">
        <v>5804</v>
      </c>
      <c r="F2404" t="s">
        <v>162</v>
      </c>
      <c r="G2404" t="s">
        <v>163</v>
      </c>
      <c r="H2404" t="s">
        <v>53</v>
      </c>
      <c r="I2404" t="s">
        <v>53</v>
      </c>
      <c r="J2404" s="5" t="s">
        <v>53</v>
      </c>
      <c r="K2404" t="s">
        <v>422</v>
      </c>
      <c r="L2404" s="6">
        <v>42736</v>
      </c>
      <c r="M2404">
        <v>1</v>
      </c>
      <c r="N2404" s="7" t="s">
        <v>30</v>
      </c>
      <c r="O2404" t="s">
        <v>31</v>
      </c>
      <c r="P2404" t="s">
        <v>4882</v>
      </c>
      <c r="Q2404" t="s">
        <v>4869</v>
      </c>
      <c r="R2404" t="s">
        <v>4870</v>
      </c>
    </row>
    <row r="2405" spans="1:18" hidden="1">
      <c r="A2405">
        <v>5</v>
      </c>
      <c r="B2405" s="4" t="s">
        <v>4600</v>
      </c>
      <c r="C2405" s="4" t="s">
        <v>4601</v>
      </c>
      <c r="D2405" s="4" t="s">
        <v>4853</v>
      </c>
      <c r="E2405" s="4" t="s">
        <v>5804</v>
      </c>
      <c r="F2405" t="s">
        <v>162</v>
      </c>
      <c r="G2405" t="s">
        <v>163</v>
      </c>
      <c r="H2405" t="s">
        <v>53</v>
      </c>
      <c r="I2405" t="s">
        <v>53</v>
      </c>
      <c r="J2405" s="5" t="s">
        <v>53</v>
      </c>
      <c r="K2405" t="s">
        <v>124</v>
      </c>
      <c r="L2405" s="6">
        <v>42767</v>
      </c>
      <c r="M2405">
        <v>2</v>
      </c>
      <c r="N2405" s="7" t="s">
        <v>30</v>
      </c>
      <c r="O2405" t="s">
        <v>31</v>
      </c>
      <c r="P2405" t="s">
        <v>4883</v>
      </c>
      <c r="Q2405" t="s">
        <v>4764</v>
      </c>
      <c r="R2405" t="s">
        <v>4723</v>
      </c>
    </row>
    <row r="2406" spans="1:18" hidden="1">
      <c r="A2406">
        <v>5</v>
      </c>
      <c r="B2406" s="4" t="s">
        <v>4600</v>
      </c>
      <c r="C2406" s="4" t="s">
        <v>4601</v>
      </c>
      <c r="D2406" s="4" t="s">
        <v>4853</v>
      </c>
      <c r="E2406" s="4" t="s">
        <v>5804</v>
      </c>
      <c r="F2406" t="s">
        <v>162</v>
      </c>
      <c r="G2406" t="s">
        <v>163</v>
      </c>
      <c r="H2406" t="s">
        <v>53</v>
      </c>
      <c r="I2406" t="s">
        <v>53</v>
      </c>
      <c r="J2406" s="5" t="s">
        <v>53</v>
      </c>
      <c r="K2406" t="s">
        <v>76</v>
      </c>
      <c r="L2406" s="6">
        <v>42856</v>
      </c>
      <c r="M2406">
        <v>5</v>
      </c>
      <c r="N2406" s="7" t="s">
        <v>23</v>
      </c>
      <c r="O2406" t="s">
        <v>24</v>
      </c>
      <c r="P2406" t="s">
        <v>4885</v>
      </c>
      <c r="Q2406" t="s">
        <v>4886</v>
      </c>
      <c r="R2406" t="s">
        <v>4870</v>
      </c>
    </row>
    <row r="2407" spans="1:18" hidden="1">
      <c r="A2407">
        <v>5</v>
      </c>
      <c r="B2407" s="4" t="s">
        <v>4600</v>
      </c>
      <c r="C2407" s="4" t="s">
        <v>4601</v>
      </c>
      <c r="D2407" s="4" t="s">
        <v>4853</v>
      </c>
      <c r="E2407" s="4" t="s">
        <v>5804</v>
      </c>
      <c r="F2407" t="s">
        <v>162</v>
      </c>
      <c r="G2407" t="s">
        <v>163</v>
      </c>
      <c r="H2407" t="s">
        <v>53</v>
      </c>
      <c r="I2407" t="s">
        <v>53</v>
      </c>
      <c r="J2407" s="5" t="s">
        <v>53</v>
      </c>
      <c r="K2407" t="s">
        <v>80</v>
      </c>
      <c r="L2407" s="6">
        <v>42917</v>
      </c>
      <c r="M2407">
        <v>7</v>
      </c>
      <c r="N2407" s="7" t="s">
        <v>55</v>
      </c>
      <c r="O2407" t="s">
        <v>246</v>
      </c>
      <c r="P2407" t="s">
        <v>4887</v>
      </c>
      <c r="Q2407" t="s">
        <v>4888</v>
      </c>
      <c r="R2407" t="s">
        <v>4665</v>
      </c>
    </row>
    <row r="2408" spans="1:18" hidden="1">
      <c r="A2408">
        <v>5</v>
      </c>
      <c r="B2408" s="4" t="s">
        <v>4600</v>
      </c>
      <c r="C2408" s="4" t="s">
        <v>4601</v>
      </c>
      <c r="D2408" s="4" t="s">
        <v>4853</v>
      </c>
      <c r="E2408" s="4" t="s">
        <v>5804</v>
      </c>
      <c r="F2408" t="s">
        <v>162</v>
      </c>
      <c r="G2408" t="s">
        <v>163</v>
      </c>
      <c r="H2408" t="s">
        <v>53</v>
      </c>
      <c r="I2408" t="s">
        <v>53</v>
      </c>
      <c r="J2408" s="5" t="s">
        <v>53</v>
      </c>
      <c r="K2408" t="s">
        <v>80</v>
      </c>
      <c r="L2408" s="6">
        <v>42917</v>
      </c>
      <c r="M2408">
        <v>7</v>
      </c>
      <c r="N2408" s="7" t="s">
        <v>55</v>
      </c>
      <c r="O2408" t="s">
        <v>36</v>
      </c>
      <c r="P2408" t="s">
        <v>4889</v>
      </c>
      <c r="Q2408" t="s">
        <v>4890</v>
      </c>
      <c r="R2408" t="s">
        <v>4870</v>
      </c>
    </row>
    <row r="2409" spans="1:18" hidden="1">
      <c r="A2409">
        <v>5</v>
      </c>
      <c r="B2409" s="4" t="s">
        <v>4600</v>
      </c>
      <c r="C2409" s="4" t="s">
        <v>4601</v>
      </c>
      <c r="D2409" s="4" t="s">
        <v>4853</v>
      </c>
      <c r="E2409" s="4" t="s">
        <v>5804</v>
      </c>
      <c r="F2409" t="s">
        <v>162</v>
      </c>
      <c r="G2409" t="s">
        <v>163</v>
      </c>
      <c r="H2409" t="s">
        <v>53</v>
      </c>
      <c r="I2409" t="s">
        <v>53</v>
      </c>
      <c r="J2409" s="5" t="s">
        <v>53</v>
      </c>
      <c r="K2409" t="s">
        <v>85</v>
      </c>
      <c r="L2409" s="6">
        <v>43009</v>
      </c>
      <c r="M2409">
        <v>10</v>
      </c>
      <c r="N2409" s="7" t="s">
        <v>23</v>
      </c>
      <c r="O2409" t="s">
        <v>246</v>
      </c>
      <c r="P2409" t="s">
        <v>4897</v>
      </c>
      <c r="Q2409" t="s">
        <v>4898</v>
      </c>
      <c r="R2409" t="s">
        <v>4665</v>
      </c>
    </row>
    <row r="2410" spans="1:18" hidden="1">
      <c r="A2410">
        <v>5</v>
      </c>
      <c r="B2410" s="4" t="s">
        <v>4600</v>
      </c>
      <c r="C2410" s="4" t="s">
        <v>4601</v>
      </c>
      <c r="D2410" s="4" t="s">
        <v>4853</v>
      </c>
      <c r="E2410" s="4" t="s">
        <v>5804</v>
      </c>
      <c r="F2410" t="s">
        <v>162</v>
      </c>
      <c r="G2410" t="s">
        <v>163</v>
      </c>
      <c r="H2410" t="s">
        <v>53</v>
      </c>
      <c r="I2410" t="s">
        <v>53</v>
      </c>
      <c r="J2410" s="5" t="s">
        <v>53</v>
      </c>
      <c r="K2410" t="s">
        <v>35</v>
      </c>
      <c r="L2410" s="6">
        <v>43160</v>
      </c>
      <c r="M2410">
        <v>3</v>
      </c>
      <c r="N2410" s="7" t="s">
        <v>23</v>
      </c>
      <c r="O2410" t="s">
        <v>31</v>
      </c>
      <c r="P2410" t="s">
        <v>4902</v>
      </c>
      <c r="Q2410" t="s">
        <v>4860</v>
      </c>
      <c r="R2410" t="s">
        <v>4861</v>
      </c>
    </row>
    <row r="2411" spans="1:18" hidden="1">
      <c r="A2411">
        <v>5</v>
      </c>
      <c r="B2411" s="4" t="s">
        <v>4600</v>
      </c>
      <c r="C2411" s="4" t="s">
        <v>4601</v>
      </c>
      <c r="D2411" s="4" t="s">
        <v>4853</v>
      </c>
      <c r="E2411" s="4" t="s">
        <v>5804</v>
      </c>
      <c r="F2411" t="s">
        <v>162</v>
      </c>
      <c r="G2411" t="s">
        <v>163</v>
      </c>
      <c r="H2411" t="s">
        <v>53</v>
      </c>
      <c r="I2411" t="s">
        <v>53</v>
      </c>
      <c r="J2411" s="5" t="s">
        <v>53</v>
      </c>
      <c r="K2411" t="s">
        <v>295</v>
      </c>
      <c r="L2411" s="6">
        <v>43221</v>
      </c>
      <c r="M2411">
        <v>5</v>
      </c>
      <c r="N2411" s="7" t="s">
        <v>23</v>
      </c>
      <c r="O2411" t="s">
        <v>31</v>
      </c>
      <c r="P2411" t="s">
        <v>4903</v>
      </c>
      <c r="Q2411" t="s">
        <v>4904</v>
      </c>
      <c r="R2411" t="s">
        <v>4905</v>
      </c>
    </row>
    <row r="2412" spans="1:18" hidden="1">
      <c r="A2412">
        <v>5</v>
      </c>
      <c r="B2412" s="4" t="s">
        <v>4600</v>
      </c>
      <c r="C2412" s="4" t="s">
        <v>4601</v>
      </c>
      <c r="D2412" s="4" t="s">
        <v>4853</v>
      </c>
      <c r="E2412" s="4" t="s">
        <v>5804</v>
      </c>
      <c r="F2412" t="s">
        <v>162</v>
      </c>
      <c r="G2412" t="s">
        <v>244</v>
      </c>
      <c r="H2412" t="s">
        <v>53</v>
      </c>
      <c r="I2412" t="s">
        <v>53</v>
      </c>
      <c r="J2412" s="5" t="s">
        <v>53</v>
      </c>
      <c r="K2412" t="s">
        <v>93</v>
      </c>
      <c r="L2412" s="6">
        <v>43282</v>
      </c>
      <c r="M2412">
        <v>7</v>
      </c>
      <c r="N2412" s="7" t="s">
        <v>55</v>
      </c>
      <c r="O2412" t="s">
        <v>246</v>
      </c>
      <c r="P2412" t="s">
        <v>4908</v>
      </c>
      <c r="Q2412" t="s">
        <v>4909</v>
      </c>
      <c r="R2412" t="s">
        <v>4665</v>
      </c>
    </row>
    <row r="2413" spans="1:18" hidden="1">
      <c r="A2413">
        <v>5</v>
      </c>
      <c r="B2413" s="4" t="s">
        <v>4600</v>
      </c>
      <c r="C2413" s="4" t="s">
        <v>4601</v>
      </c>
      <c r="D2413" s="4" t="s">
        <v>4853</v>
      </c>
      <c r="E2413" s="4" t="s">
        <v>5804</v>
      </c>
      <c r="F2413" t="s">
        <v>162</v>
      </c>
      <c r="G2413" t="s">
        <v>244</v>
      </c>
      <c r="H2413" t="s">
        <v>53</v>
      </c>
      <c r="I2413" t="s">
        <v>53</v>
      </c>
      <c r="J2413" s="5" t="s">
        <v>53</v>
      </c>
      <c r="K2413" t="s">
        <v>93</v>
      </c>
      <c r="L2413" s="6">
        <v>43282</v>
      </c>
      <c r="M2413">
        <v>7</v>
      </c>
      <c r="N2413" s="7" t="s">
        <v>55</v>
      </c>
      <c r="O2413" t="s">
        <v>246</v>
      </c>
      <c r="P2413" t="s">
        <v>4910</v>
      </c>
      <c r="Q2413" t="s">
        <v>4911</v>
      </c>
      <c r="R2413" t="s">
        <v>4614</v>
      </c>
    </row>
    <row r="2414" spans="1:18" hidden="1">
      <c r="A2414">
        <v>5</v>
      </c>
      <c r="B2414" s="4" t="s">
        <v>4600</v>
      </c>
      <c r="C2414" s="4" t="s">
        <v>4601</v>
      </c>
      <c r="D2414" s="4" t="s">
        <v>4853</v>
      </c>
      <c r="E2414" s="4" t="s">
        <v>5804</v>
      </c>
      <c r="F2414" t="s">
        <v>162</v>
      </c>
      <c r="G2414" t="s">
        <v>244</v>
      </c>
      <c r="H2414" t="s">
        <v>53</v>
      </c>
      <c r="I2414" t="s">
        <v>53</v>
      </c>
      <c r="J2414" s="5" t="s">
        <v>53</v>
      </c>
      <c r="K2414" t="s">
        <v>146</v>
      </c>
      <c r="L2414" s="6">
        <v>43313</v>
      </c>
      <c r="M2414">
        <v>8</v>
      </c>
      <c r="N2414" s="7" t="s">
        <v>55</v>
      </c>
      <c r="O2414" t="s">
        <v>246</v>
      </c>
      <c r="P2414" t="s">
        <v>4912</v>
      </c>
      <c r="Q2414" t="s">
        <v>4913</v>
      </c>
      <c r="R2414" t="s">
        <v>4665</v>
      </c>
    </row>
    <row r="2415" spans="1:18" hidden="1">
      <c r="A2415">
        <v>5</v>
      </c>
      <c r="B2415" s="4" t="s">
        <v>4600</v>
      </c>
      <c r="C2415" s="4" t="s">
        <v>4601</v>
      </c>
      <c r="D2415" s="4" t="s">
        <v>4853</v>
      </c>
      <c r="E2415" s="4" t="s">
        <v>5804</v>
      </c>
      <c r="F2415" t="s">
        <v>162</v>
      </c>
      <c r="G2415" t="s">
        <v>244</v>
      </c>
      <c r="H2415" t="s">
        <v>53</v>
      </c>
      <c r="I2415" t="s">
        <v>53</v>
      </c>
      <c r="J2415" s="5" t="s">
        <v>53</v>
      </c>
      <c r="K2415" t="s">
        <v>146</v>
      </c>
      <c r="L2415" s="6">
        <v>43313</v>
      </c>
      <c r="M2415">
        <v>8</v>
      </c>
      <c r="N2415" s="7" t="s">
        <v>55</v>
      </c>
      <c r="O2415" t="s">
        <v>246</v>
      </c>
      <c r="P2415" t="s">
        <v>4914</v>
      </c>
      <c r="Q2415" t="s">
        <v>4915</v>
      </c>
      <c r="R2415" t="s">
        <v>4665</v>
      </c>
    </row>
    <row r="2416" spans="1:18" hidden="1">
      <c r="A2416">
        <v>5</v>
      </c>
      <c r="B2416" s="4" t="s">
        <v>4600</v>
      </c>
      <c r="C2416" s="4" t="s">
        <v>4601</v>
      </c>
      <c r="D2416" s="4" t="s">
        <v>4853</v>
      </c>
      <c r="E2416" s="4" t="s">
        <v>5804</v>
      </c>
      <c r="F2416" t="s">
        <v>162</v>
      </c>
      <c r="G2416" t="s">
        <v>163</v>
      </c>
      <c r="H2416" t="s">
        <v>53</v>
      </c>
      <c r="I2416" t="s">
        <v>53</v>
      </c>
      <c r="J2416" s="5" t="s">
        <v>53</v>
      </c>
      <c r="K2416" t="s">
        <v>159</v>
      </c>
      <c r="L2416" s="6">
        <v>43586</v>
      </c>
      <c r="M2416">
        <v>5</v>
      </c>
      <c r="N2416" s="7" t="s">
        <v>23</v>
      </c>
      <c r="O2416" t="s">
        <v>31</v>
      </c>
      <c r="P2416" t="s">
        <v>4916</v>
      </c>
      <c r="Q2416" t="s">
        <v>4764</v>
      </c>
      <c r="R2416" t="s">
        <v>4723</v>
      </c>
    </row>
    <row r="2417" spans="1:18" hidden="1">
      <c r="A2417">
        <v>5</v>
      </c>
      <c r="B2417" s="4" t="s">
        <v>4600</v>
      </c>
      <c r="C2417" s="4" t="s">
        <v>4601</v>
      </c>
      <c r="D2417" s="4" t="s">
        <v>4853</v>
      </c>
      <c r="E2417" s="4" t="s">
        <v>5804</v>
      </c>
      <c r="F2417" t="s">
        <v>162</v>
      </c>
      <c r="G2417" t="s">
        <v>163</v>
      </c>
      <c r="H2417" t="s">
        <v>53</v>
      </c>
      <c r="I2417" t="s">
        <v>53</v>
      </c>
      <c r="J2417" s="5" t="s">
        <v>53</v>
      </c>
      <c r="K2417" t="s">
        <v>159</v>
      </c>
      <c r="L2417" s="6">
        <v>43586</v>
      </c>
      <c r="M2417">
        <v>5</v>
      </c>
      <c r="N2417" s="7" t="s">
        <v>23</v>
      </c>
      <c r="O2417" t="s">
        <v>31</v>
      </c>
      <c r="P2417" t="s">
        <v>4917</v>
      </c>
      <c r="Q2417" t="s">
        <v>4860</v>
      </c>
      <c r="R2417" t="s">
        <v>4861</v>
      </c>
    </row>
    <row r="2418" spans="1:18" hidden="1">
      <c r="A2418">
        <v>5</v>
      </c>
      <c r="B2418" s="4" t="s">
        <v>4600</v>
      </c>
      <c r="C2418" s="4" t="s">
        <v>4601</v>
      </c>
      <c r="D2418" s="4" t="s">
        <v>4853</v>
      </c>
      <c r="E2418" s="4" t="s">
        <v>5804</v>
      </c>
      <c r="F2418" t="s">
        <v>162</v>
      </c>
      <c r="G2418" t="s">
        <v>244</v>
      </c>
      <c r="H2418" t="s">
        <v>53</v>
      </c>
      <c r="I2418" t="s">
        <v>53</v>
      </c>
      <c r="J2418" s="5" t="s">
        <v>53</v>
      </c>
      <c r="K2418" t="s">
        <v>304</v>
      </c>
      <c r="L2418" s="6">
        <v>43647</v>
      </c>
      <c r="M2418">
        <v>7</v>
      </c>
      <c r="N2418" s="7" t="s">
        <v>55</v>
      </c>
      <c r="O2418" t="s">
        <v>31</v>
      </c>
      <c r="P2418" t="s">
        <v>4918</v>
      </c>
      <c r="Q2418" t="s">
        <v>4919</v>
      </c>
      <c r="R2418" t="s">
        <v>4920</v>
      </c>
    </row>
    <row r="2419" spans="1:18" hidden="1">
      <c r="A2419">
        <v>5</v>
      </c>
      <c r="B2419" s="4" t="s">
        <v>4600</v>
      </c>
      <c r="C2419" s="4" t="s">
        <v>4601</v>
      </c>
      <c r="D2419" s="4" t="s">
        <v>4853</v>
      </c>
      <c r="E2419" s="4" t="s">
        <v>5804</v>
      </c>
      <c r="F2419" t="s">
        <v>162</v>
      </c>
      <c r="G2419" t="s">
        <v>244</v>
      </c>
      <c r="H2419" t="s">
        <v>53</v>
      </c>
      <c r="I2419" t="s">
        <v>53</v>
      </c>
      <c r="J2419" s="5" t="s">
        <v>53</v>
      </c>
      <c r="K2419" t="s">
        <v>726</v>
      </c>
      <c r="L2419" s="6">
        <v>43709</v>
      </c>
      <c r="M2419">
        <v>9</v>
      </c>
      <c r="N2419" s="7" t="s">
        <v>23</v>
      </c>
      <c r="O2419" t="s">
        <v>246</v>
      </c>
      <c r="P2419" t="s">
        <v>4921</v>
      </c>
      <c r="Q2419" t="s">
        <v>4922</v>
      </c>
      <c r="R2419" t="s">
        <v>4665</v>
      </c>
    </row>
    <row r="2420" spans="1:18" hidden="1">
      <c r="A2420">
        <v>5</v>
      </c>
      <c r="B2420" s="4" t="s">
        <v>4600</v>
      </c>
      <c r="C2420" s="4" t="s">
        <v>4601</v>
      </c>
      <c r="D2420" s="4" t="s">
        <v>4853</v>
      </c>
      <c r="E2420" s="4" t="s">
        <v>5804</v>
      </c>
      <c r="F2420" t="s">
        <v>162</v>
      </c>
      <c r="G2420" t="s">
        <v>163</v>
      </c>
      <c r="H2420" t="s">
        <v>53</v>
      </c>
      <c r="I2420" t="s">
        <v>53</v>
      </c>
      <c r="J2420" s="5" t="s">
        <v>53</v>
      </c>
      <c r="K2420" t="s">
        <v>691</v>
      </c>
      <c r="L2420" s="6">
        <v>43770</v>
      </c>
      <c r="M2420">
        <v>11</v>
      </c>
      <c r="N2420" s="7" t="s">
        <v>23</v>
      </c>
      <c r="O2420" t="s">
        <v>31</v>
      </c>
      <c r="P2420" t="s">
        <v>4923</v>
      </c>
      <c r="Q2420" t="s">
        <v>4904</v>
      </c>
      <c r="R2420" t="s">
        <v>4905</v>
      </c>
    </row>
    <row r="2421" spans="1:18" hidden="1">
      <c r="A2421">
        <v>5</v>
      </c>
      <c r="B2421" s="4" t="s">
        <v>4600</v>
      </c>
      <c r="C2421" s="4" t="s">
        <v>4601</v>
      </c>
      <c r="D2421" s="4" t="s">
        <v>4853</v>
      </c>
      <c r="E2421" s="4" t="s">
        <v>5804</v>
      </c>
      <c r="F2421" t="s">
        <v>162</v>
      </c>
      <c r="G2421" t="s">
        <v>244</v>
      </c>
      <c r="H2421" t="s">
        <v>53</v>
      </c>
      <c r="I2421" t="s">
        <v>53</v>
      </c>
      <c r="J2421" s="5" t="s">
        <v>53</v>
      </c>
      <c r="K2421" t="s">
        <v>255</v>
      </c>
      <c r="L2421" s="6">
        <v>43983</v>
      </c>
      <c r="M2421">
        <v>6</v>
      </c>
      <c r="N2421" s="7" t="s">
        <v>55</v>
      </c>
      <c r="O2421" t="s">
        <v>246</v>
      </c>
      <c r="P2421" t="s">
        <v>4927</v>
      </c>
      <c r="Q2421" t="s">
        <v>4769</v>
      </c>
      <c r="R2421" t="s">
        <v>4614</v>
      </c>
    </row>
    <row r="2422" spans="1:18" hidden="1">
      <c r="A2422">
        <v>5</v>
      </c>
      <c r="B2422" s="4" t="s">
        <v>4600</v>
      </c>
      <c r="C2422" s="4" t="s">
        <v>4601</v>
      </c>
      <c r="D2422" s="4" t="s">
        <v>4853</v>
      </c>
      <c r="E2422" s="4" t="s">
        <v>5804</v>
      </c>
      <c r="F2422" t="s">
        <v>162</v>
      </c>
      <c r="G2422" t="s">
        <v>163</v>
      </c>
      <c r="H2422" t="s">
        <v>53</v>
      </c>
      <c r="I2422" t="s">
        <v>53</v>
      </c>
      <c r="J2422" s="5" t="s">
        <v>53</v>
      </c>
      <c r="K2422" t="s">
        <v>267</v>
      </c>
      <c r="L2422" s="6">
        <v>44044</v>
      </c>
      <c r="M2422">
        <v>8</v>
      </c>
      <c r="N2422" s="7" t="s">
        <v>55</v>
      </c>
      <c r="O2422" t="s">
        <v>31</v>
      </c>
      <c r="P2422" t="s">
        <v>4928</v>
      </c>
      <c r="Q2422" t="s">
        <v>4860</v>
      </c>
      <c r="R2422" t="s">
        <v>4861</v>
      </c>
    </row>
    <row r="2423" spans="1:18" hidden="1">
      <c r="A2423">
        <v>5</v>
      </c>
      <c r="B2423" s="4" t="s">
        <v>4600</v>
      </c>
      <c r="C2423" s="4" t="s">
        <v>4601</v>
      </c>
      <c r="D2423" s="4" t="s">
        <v>4853</v>
      </c>
      <c r="E2423" s="4" t="s">
        <v>5804</v>
      </c>
      <c r="F2423" t="s">
        <v>162</v>
      </c>
      <c r="G2423" t="s">
        <v>244</v>
      </c>
      <c r="H2423" t="s">
        <v>53</v>
      </c>
      <c r="I2423" t="s">
        <v>53</v>
      </c>
      <c r="J2423" s="5" t="s">
        <v>53</v>
      </c>
      <c r="K2423" t="s">
        <v>267</v>
      </c>
      <c r="L2423" s="6">
        <v>44044</v>
      </c>
      <c r="M2423">
        <v>8</v>
      </c>
      <c r="N2423" s="7" t="s">
        <v>55</v>
      </c>
      <c r="O2423" t="s">
        <v>31</v>
      </c>
      <c r="P2423" t="s">
        <v>4929</v>
      </c>
      <c r="Q2423" t="s">
        <v>4919</v>
      </c>
      <c r="R2423" t="s">
        <v>4920</v>
      </c>
    </row>
    <row r="2424" spans="1:18" hidden="1">
      <c r="A2424">
        <v>5</v>
      </c>
      <c r="B2424" s="4" t="s">
        <v>4600</v>
      </c>
      <c r="C2424" s="4" t="s">
        <v>4933</v>
      </c>
      <c r="D2424" s="4" t="s">
        <v>5014</v>
      </c>
      <c r="E2424" s="4" t="s">
        <v>5804</v>
      </c>
      <c r="F2424" t="s">
        <v>162</v>
      </c>
      <c r="G2424" t="s">
        <v>244</v>
      </c>
      <c r="H2424" t="s">
        <v>53</v>
      </c>
      <c r="I2424" t="s">
        <v>53</v>
      </c>
      <c r="J2424" s="5" t="s">
        <v>53</v>
      </c>
      <c r="K2424" t="s">
        <v>87</v>
      </c>
      <c r="L2424" s="6">
        <v>43040</v>
      </c>
      <c r="M2424">
        <v>11</v>
      </c>
      <c r="N2424" s="7" t="s">
        <v>23</v>
      </c>
      <c r="O2424" t="s">
        <v>246</v>
      </c>
      <c r="P2424" t="s">
        <v>5154</v>
      </c>
      <c r="Q2424" t="s">
        <v>5155</v>
      </c>
      <c r="R2424" t="s">
        <v>5156</v>
      </c>
    </row>
    <row r="2425" spans="1:18" hidden="1">
      <c r="A2425">
        <v>5</v>
      </c>
      <c r="B2425" s="4" t="s">
        <v>4600</v>
      </c>
      <c r="C2425" s="4" t="s">
        <v>4933</v>
      </c>
      <c r="D2425" s="4" t="s">
        <v>5014</v>
      </c>
      <c r="E2425" s="4" t="s">
        <v>5804</v>
      </c>
      <c r="F2425" t="s">
        <v>162</v>
      </c>
      <c r="G2425" t="s">
        <v>244</v>
      </c>
      <c r="H2425" t="s">
        <v>53</v>
      </c>
      <c r="I2425" t="s">
        <v>53</v>
      </c>
      <c r="J2425" s="5" t="s">
        <v>53</v>
      </c>
      <c r="K2425" t="s">
        <v>245</v>
      </c>
      <c r="L2425" s="6">
        <v>43466</v>
      </c>
      <c r="M2425">
        <v>1</v>
      </c>
      <c r="N2425" s="7" t="s">
        <v>30</v>
      </c>
      <c r="O2425" t="s">
        <v>246</v>
      </c>
      <c r="P2425" t="s">
        <v>5232</v>
      </c>
      <c r="Q2425" t="s">
        <v>5233</v>
      </c>
      <c r="R2425" t="s">
        <v>5156</v>
      </c>
    </row>
    <row r="2426" spans="1:18" hidden="1">
      <c r="A2426">
        <v>6</v>
      </c>
      <c r="B2426" s="4" t="s">
        <v>5462</v>
      </c>
      <c r="C2426" s="4" t="s">
        <v>5463</v>
      </c>
      <c r="D2426" s="4" t="s">
        <v>5464</v>
      </c>
      <c r="E2426" s="4" t="s">
        <v>5804</v>
      </c>
      <c r="F2426" t="s">
        <v>162</v>
      </c>
      <c r="G2426" t="s">
        <v>244</v>
      </c>
      <c r="H2426" t="s">
        <v>53</v>
      </c>
      <c r="I2426" t="s">
        <v>53</v>
      </c>
      <c r="J2426" s="5" t="s">
        <v>53</v>
      </c>
      <c r="K2426" t="s">
        <v>178</v>
      </c>
      <c r="L2426" s="6">
        <v>44228</v>
      </c>
      <c r="M2426">
        <v>2</v>
      </c>
      <c r="N2426" s="7" t="s">
        <v>30</v>
      </c>
      <c r="O2426" t="s">
        <v>31</v>
      </c>
      <c r="P2426" t="s">
        <v>5490</v>
      </c>
      <c r="Q2426" t="s">
        <v>5491</v>
      </c>
      <c r="R2426" t="s">
        <v>5492</v>
      </c>
    </row>
    <row r="2427" spans="1:18" hidden="1">
      <c r="A2427">
        <v>6</v>
      </c>
      <c r="B2427" s="4" t="s">
        <v>5462</v>
      </c>
      <c r="C2427" s="4" t="s">
        <v>5463</v>
      </c>
      <c r="D2427" s="4" t="s">
        <v>5497</v>
      </c>
      <c r="E2427" s="4" t="s">
        <v>5804</v>
      </c>
      <c r="F2427" t="s">
        <v>162</v>
      </c>
      <c r="G2427" t="s">
        <v>244</v>
      </c>
      <c r="H2427" t="s">
        <v>53</v>
      </c>
      <c r="I2427" t="s">
        <v>53</v>
      </c>
      <c r="J2427" s="5" t="s">
        <v>53</v>
      </c>
      <c r="K2427" t="s">
        <v>681</v>
      </c>
      <c r="L2427" s="6">
        <v>42887</v>
      </c>
      <c r="M2427">
        <v>6</v>
      </c>
      <c r="N2427" s="7" t="s">
        <v>55</v>
      </c>
      <c r="O2427" t="s">
        <v>246</v>
      </c>
      <c r="P2427" t="s">
        <v>5523</v>
      </c>
      <c r="Q2427" t="s">
        <v>5524</v>
      </c>
      <c r="R2427" t="s">
        <v>5492</v>
      </c>
    </row>
    <row r="2428" spans="1:18" hidden="1">
      <c r="A2428">
        <v>6</v>
      </c>
      <c r="B2428" s="4" t="s">
        <v>5462</v>
      </c>
      <c r="C2428" s="4" t="s">
        <v>5463</v>
      </c>
      <c r="D2428" s="4" t="s">
        <v>5497</v>
      </c>
      <c r="E2428" s="4" t="s">
        <v>5804</v>
      </c>
      <c r="F2428" t="s">
        <v>162</v>
      </c>
      <c r="G2428" t="s">
        <v>244</v>
      </c>
      <c r="H2428" t="s">
        <v>53</v>
      </c>
      <c r="I2428" t="s">
        <v>53</v>
      </c>
      <c r="J2428" s="5" t="s">
        <v>53</v>
      </c>
      <c r="K2428" t="s">
        <v>35</v>
      </c>
      <c r="L2428" s="6">
        <v>43160</v>
      </c>
      <c r="M2428">
        <v>3</v>
      </c>
      <c r="N2428" s="7" t="s">
        <v>23</v>
      </c>
      <c r="O2428" t="s">
        <v>31</v>
      </c>
      <c r="P2428" t="s">
        <v>5540</v>
      </c>
      <c r="Q2428" t="s">
        <v>5491</v>
      </c>
      <c r="R2428" t="s">
        <v>5492</v>
      </c>
    </row>
    <row r="2429" spans="1:18" hidden="1">
      <c r="A2429">
        <v>6</v>
      </c>
      <c r="B2429" s="4" t="s">
        <v>5462</v>
      </c>
      <c r="C2429" s="4" t="s">
        <v>5463</v>
      </c>
      <c r="D2429" s="4" t="s">
        <v>5497</v>
      </c>
      <c r="E2429" s="4" t="s">
        <v>5804</v>
      </c>
      <c r="F2429" t="s">
        <v>162</v>
      </c>
      <c r="G2429" t="s">
        <v>244</v>
      </c>
      <c r="H2429" t="s">
        <v>53</v>
      </c>
      <c r="I2429" t="s">
        <v>53</v>
      </c>
      <c r="J2429" s="5" t="s">
        <v>53</v>
      </c>
      <c r="K2429" t="s">
        <v>99</v>
      </c>
      <c r="L2429" s="6">
        <v>43891</v>
      </c>
      <c r="M2429">
        <v>3</v>
      </c>
      <c r="N2429" s="7" t="s">
        <v>23</v>
      </c>
      <c r="O2429" t="s">
        <v>246</v>
      </c>
      <c r="P2429" t="s">
        <v>5578</v>
      </c>
      <c r="Q2429" t="s">
        <v>5524</v>
      </c>
      <c r="R2429" t="s">
        <v>5492</v>
      </c>
    </row>
    <row r="2430" spans="1:18" hidden="1">
      <c r="A2430">
        <v>6</v>
      </c>
      <c r="B2430" s="4" t="s">
        <v>5462</v>
      </c>
      <c r="C2430" s="4" t="s">
        <v>5463</v>
      </c>
      <c r="D2430" s="4" t="s">
        <v>5497</v>
      </c>
      <c r="E2430" s="4" t="s">
        <v>5804</v>
      </c>
      <c r="F2430" t="s">
        <v>162</v>
      </c>
      <c r="G2430" t="s">
        <v>244</v>
      </c>
      <c r="H2430" t="s">
        <v>53</v>
      </c>
      <c r="I2430" t="s">
        <v>53</v>
      </c>
      <c r="J2430" s="5" t="s">
        <v>53</v>
      </c>
      <c r="K2430" t="s">
        <v>365</v>
      </c>
      <c r="L2430" s="6">
        <v>44105</v>
      </c>
      <c r="M2430">
        <v>10</v>
      </c>
      <c r="N2430" s="7" t="s">
        <v>23</v>
      </c>
      <c r="O2430" t="s">
        <v>246</v>
      </c>
      <c r="P2430" t="s">
        <v>5580</v>
      </c>
      <c r="Q2430" t="s">
        <v>5581</v>
      </c>
      <c r="R2430" t="s">
        <v>5492</v>
      </c>
    </row>
    <row r="2431" spans="1:18" hidden="1">
      <c r="A2431">
        <v>1</v>
      </c>
      <c r="B2431" s="4" t="s">
        <v>16</v>
      </c>
      <c r="C2431" s="4" t="s">
        <v>17</v>
      </c>
      <c r="D2431" s="4" t="s">
        <v>47</v>
      </c>
      <c r="E2431" s="4" t="s">
        <v>5804</v>
      </c>
      <c r="F2431" t="s">
        <v>64</v>
      </c>
      <c r="G2431" t="s">
        <v>64</v>
      </c>
      <c r="H2431" t="s">
        <v>53</v>
      </c>
      <c r="I2431" t="s">
        <v>53</v>
      </c>
      <c r="J2431" s="5" t="s">
        <v>53</v>
      </c>
      <c r="K2431" t="s">
        <v>65</v>
      </c>
      <c r="L2431" s="6">
        <v>42430</v>
      </c>
      <c r="M2431">
        <v>3</v>
      </c>
      <c r="N2431" s="7" t="s">
        <v>23</v>
      </c>
      <c r="O2431" t="s">
        <v>66</v>
      </c>
      <c r="P2431" t="s">
        <v>67</v>
      </c>
      <c r="Q2431" t="s">
        <v>68</v>
      </c>
      <c r="R2431" t="s">
        <v>69</v>
      </c>
    </row>
    <row r="2432" spans="1:18" hidden="1">
      <c r="A2432">
        <v>1</v>
      </c>
      <c r="B2432" s="4" t="s">
        <v>16</v>
      </c>
      <c r="C2432" s="4" t="s">
        <v>17</v>
      </c>
      <c r="D2432" s="4" t="s">
        <v>47</v>
      </c>
      <c r="E2432" s="4" t="s">
        <v>5804</v>
      </c>
      <c r="F2432" t="s">
        <v>64</v>
      </c>
      <c r="G2432" t="s">
        <v>64</v>
      </c>
      <c r="H2432" t="s">
        <v>53</v>
      </c>
      <c r="I2432" t="s">
        <v>53</v>
      </c>
      <c r="J2432" s="5" t="s">
        <v>53</v>
      </c>
      <c r="K2432" t="s">
        <v>76</v>
      </c>
      <c r="L2432" s="6">
        <v>42856</v>
      </c>
      <c r="M2432">
        <v>5</v>
      </c>
      <c r="N2432" s="7" t="s">
        <v>23</v>
      </c>
      <c r="O2432" t="s">
        <v>66</v>
      </c>
      <c r="P2432" t="s">
        <v>79</v>
      </c>
      <c r="Q2432" t="s">
        <v>68</v>
      </c>
      <c r="R2432" t="s">
        <v>69</v>
      </c>
    </row>
    <row r="2433" spans="1:18" hidden="1">
      <c r="A2433">
        <v>1</v>
      </c>
      <c r="B2433" s="4" t="s">
        <v>16</v>
      </c>
      <c r="C2433" s="4" t="s">
        <v>17</v>
      </c>
      <c r="D2433" s="4" t="s">
        <v>47</v>
      </c>
      <c r="E2433" s="4" t="s">
        <v>5804</v>
      </c>
      <c r="F2433" t="s">
        <v>64</v>
      </c>
      <c r="G2433" t="s">
        <v>64</v>
      </c>
      <c r="H2433" t="s">
        <v>53</v>
      </c>
      <c r="I2433" t="s">
        <v>53</v>
      </c>
      <c r="J2433" s="5" t="s">
        <v>53</v>
      </c>
      <c r="K2433" t="s">
        <v>80</v>
      </c>
      <c r="L2433" s="6">
        <v>42917</v>
      </c>
      <c r="M2433">
        <v>7</v>
      </c>
      <c r="N2433" s="7" t="s">
        <v>55</v>
      </c>
      <c r="O2433" t="s">
        <v>66</v>
      </c>
      <c r="P2433" t="s">
        <v>81</v>
      </c>
      <c r="Q2433" t="s">
        <v>68</v>
      </c>
      <c r="R2433" t="s">
        <v>69</v>
      </c>
    </row>
    <row r="2434" spans="1:18" hidden="1">
      <c r="A2434">
        <v>1</v>
      </c>
      <c r="B2434" s="4" t="s">
        <v>16</v>
      </c>
      <c r="C2434" s="4" t="s">
        <v>17</v>
      </c>
      <c r="D2434" s="4" t="s">
        <v>47</v>
      </c>
      <c r="E2434" s="4" t="s">
        <v>5804</v>
      </c>
      <c r="F2434" t="s">
        <v>64</v>
      </c>
      <c r="G2434" t="s">
        <v>64</v>
      </c>
      <c r="H2434" t="s">
        <v>53</v>
      </c>
      <c r="I2434" t="s">
        <v>53</v>
      </c>
      <c r="J2434" s="5" t="s">
        <v>53</v>
      </c>
      <c r="K2434" t="s">
        <v>80</v>
      </c>
      <c r="L2434" s="6">
        <v>42917</v>
      </c>
      <c r="M2434">
        <v>7</v>
      </c>
      <c r="N2434" s="7" t="s">
        <v>55</v>
      </c>
      <c r="O2434" t="s">
        <v>66</v>
      </c>
      <c r="P2434" t="s">
        <v>82</v>
      </c>
      <c r="Q2434" t="s">
        <v>68</v>
      </c>
      <c r="R2434" t="s">
        <v>69</v>
      </c>
    </row>
    <row r="2435" spans="1:18" hidden="1">
      <c r="A2435">
        <v>1</v>
      </c>
      <c r="B2435" s="4" t="s">
        <v>16</v>
      </c>
      <c r="C2435" s="4" t="s">
        <v>17</v>
      </c>
      <c r="D2435" s="4" t="s">
        <v>47</v>
      </c>
      <c r="E2435" s="4" t="s">
        <v>5804</v>
      </c>
      <c r="F2435" t="s">
        <v>64</v>
      </c>
      <c r="G2435" t="s">
        <v>64</v>
      </c>
      <c r="H2435" t="s">
        <v>53</v>
      </c>
      <c r="I2435" t="s">
        <v>53</v>
      </c>
      <c r="J2435" s="5" t="s">
        <v>53</v>
      </c>
      <c r="K2435" t="s">
        <v>83</v>
      </c>
      <c r="L2435" s="6">
        <v>42948</v>
      </c>
      <c r="M2435">
        <v>8</v>
      </c>
      <c r="N2435" s="7" t="s">
        <v>55</v>
      </c>
      <c r="O2435" t="s">
        <v>66</v>
      </c>
      <c r="P2435" t="s">
        <v>84</v>
      </c>
      <c r="Q2435" t="s">
        <v>68</v>
      </c>
      <c r="R2435" t="s">
        <v>69</v>
      </c>
    </row>
    <row r="2436" spans="1:18" hidden="1">
      <c r="A2436">
        <v>1</v>
      </c>
      <c r="B2436" s="4" t="s">
        <v>16</v>
      </c>
      <c r="C2436" s="4" t="s">
        <v>17</v>
      </c>
      <c r="D2436" s="4" t="s">
        <v>47</v>
      </c>
      <c r="E2436" s="4" t="s">
        <v>5804</v>
      </c>
      <c r="F2436" t="s">
        <v>64</v>
      </c>
      <c r="G2436" t="s">
        <v>64</v>
      </c>
      <c r="H2436" t="s">
        <v>53</v>
      </c>
      <c r="I2436" t="s">
        <v>53</v>
      </c>
      <c r="J2436" s="5" t="s">
        <v>53</v>
      </c>
      <c r="K2436" t="s">
        <v>85</v>
      </c>
      <c r="L2436" s="6">
        <v>43009</v>
      </c>
      <c r="M2436">
        <v>10</v>
      </c>
      <c r="N2436" s="7" t="s">
        <v>23</v>
      </c>
      <c r="O2436" t="s">
        <v>66</v>
      </c>
      <c r="P2436" t="s">
        <v>86</v>
      </c>
      <c r="Q2436" t="s">
        <v>68</v>
      </c>
      <c r="R2436" t="s">
        <v>69</v>
      </c>
    </row>
    <row r="2437" spans="1:18" hidden="1">
      <c r="A2437">
        <v>1</v>
      </c>
      <c r="B2437" s="4" t="s">
        <v>16</v>
      </c>
      <c r="C2437" s="4" t="s">
        <v>17</v>
      </c>
      <c r="D2437" s="4" t="s">
        <v>47</v>
      </c>
      <c r="E2437" s="4" t="s">
        <v>5804</v>
      </c>
      <c r="F2437" t="s">
        <v>64</v>
      </c>
      <c r="G2437" t="s">
        <v>64</v>
      </c>
      <c r="H2437" t="s">
        <v>53</v>
      </c>
      <c r="I2437" t="s">
        <v>53</v>
      </c>
      <c r="J2437" s="5" t="s">
        <v>53</v>
      </c>
      <c r="K2437" t="s">
        <v>29</v>
      </c>
      <c r="L2437" s="6">
        <v>43070</v>
      </c>
      <c r="M2437">
        <v>12</v>
      </c>
      <c r="N2437" s="7" t="s">
        <v>30</v>
      </c>
      <c r="O2437" t="s">
        <v>66</v>
      </c>
      <c r="P2437" t="s">
        <v>92</v>
      </c>
      <c r="Q2437" t="s">
        <v>68</v>
      </c>
      <c r="R2437" t="s">
        <v>69</v>
      </c>
    </row>
    <row r="2438" spans="1:18" hidden="1">
      <c r="A2438">
        <v>1</v>
      </c>
      <c r="B2438" s="4" t="s">
        <v>16</v>
      </c>
      <c r="C2438" s="4" t="s">
        <v>17</v>
      </c>
      <c r="D2438" s="4" t="s">
        <v>47</v>
      </c>
      <c r="E2438" s="4" t="s">
        <v>5804</v>
      </c>
      <c r="F2438" t="s">
        <v>64</v>
      </c>
      <c r="G2438" t="s">
        <v>64</v>
      </c>
      <c r="H2438" t="s">
        <v>53</v>
      </c>
      <c r="I2438" t="s">
        <v>53</v>
      </c>
      <c r="J2438" s="5" t="s">
        <v>53</v>
      </c>
      <c r="K2438" t="s">
        <v>93</v>
      </c>
      <c r="L2438" s="6">
        <v>43282</v>
      </c>
      <c r="M2438">
        <v>7</v>
      </c>
      <c r="N2438" s="7" t="s">
        <v>55</v>
      </c>
      <c r="O2438" t="s">
        <v>88</v>
      </c>
      <c r="P2438" t="s">
        <v>94</v>
      </c>
      <c r="Q2438" t="s">
        <v>95</v>
      </c>
      <c r="R2438" t="s">
        <v>96</v>
      </c>
    </row>
    <row r="2439" spans="1:18" hidden="1">
      <c r="A2439">
        <v>1</v>
      </c>
      <c r="B2439" s="4" t="s">
        <v>16</v>
      </c>
      <c r="C2439" s="4" t="s">
        <v>17</v>
      </c>
      <c r="D2439" s="4" t="s">
        <v>113</v>
      </c>
      <c r="E2439" s="4" t="s">
        <v>5804</v>
      </c>
      <c r="F2439" t="s">
        <v>64</v>
      </c>
      <c r="G2439" t="s">
        <v>64</v>
      </c>
      <c r="H2439" t="s">
        <v>53</v>
      </c>
      <c r="I2439" t="s">
        <v>53</v>
      </c>
      <c r="J2439" s="5" t="s">
        <v>53</v>
      </c>
      <c r="K2439" t="s">
        <v>168</v>
      </c>
      <c r="L2439" s="6">
        <v>43678</v>
      </c>
      <c r="M2439">
        <v>8</v>
      </c>
      <c r="N2439" s="7" t="s">
        <v>55</v>
      </c>
      <c r="O2439" t="s">
        <v>66</v>
      </c>
      <c r="P2439" t="s">
        <v>169</v>
      </c>
      <c r="Q2439" t="s">
        <v>170</v>
      </c>
      <c r="R2439" t="s">
        <v>91</v>
      </c>
    </row>
    <row r="2440" spans="1:18" hidden="1">
      <c r="A2440">
        <v>1</v>
      </c>
      <c r="B2440" s="4" t="s">
        <v>16</v>
      </c>
      <c r="C2440" s="4" t="s">
        <v>188</v>
      </c>
      <c r="D2440" s="4" t="s">
        <v>207</v>
      </c>
      <c r="E2440" s="4" t="s">
        <v>5804</v>
      </c>
      <c r="F2440" t="s">
        <v>64</v>
      </c>
      <c r="G2440" t="s">
        <v>64</v>
      </c>
      <c r="H2440" t="s">
        <v>53</v>
      </c>
      <c r="I2440" t="s">
        <v>53</v>
      </c>
      <c r="J2440" s="5" t="s">
        <v>53</v>
      </c>
      <c r="K2440" t="s">
        <v>152</v>
      </c>
      <c r="L2440" s="6">
        <v>43374</v>
      </c>
      <c r="M2440">
        <v>10</v>
      </c>
      <c r="N2440" s="7" t="s">
        <v>23</v>
      </c>
      <c r="O2440" t="s">
        <v>36</v>
      </c>
      <c r="P2440" t="s">
        <v>241</v>
      </c>
      <c r="Q2440" t="s">
        <v>242</v>
      </c>
      <c r="R2440" t="s">
        <v>243</v>
      </c>
    </row>
    <row r="2441" spans="1:18" hidden="1">
      <c r="A2441">
        <v>1</v>
      </c>
      <c r="B2441" s="4" t="s">
        <v>16</v>
      </c>
      <c r="C2441" s="4" t="s">
        <v>188</v>
      </c>
      <c r="D2441" s="4" t="s">
        <v>207</v>
      </c>
      <c r="E2441" s="4" t="s">
        <v>5804</v>
      </c>
      <c r="F2441" t="s">
        <v>64</v>
      </c>
      <c r="G2441" t="s">
        <v>64</v>
      </c>
      <c r="H2441" t="s">
        <v>53</v>
      </c>
      <c r="I2441" t="s">
        <v>53</v>
      </c>
      <c r="J2441" s="5" t="s">
        <v>53</v>
      </c>
      <c r="K2441" t="s">
        <v>251</v>
      </c>
      <c r="L2441" s="6">
        <v>43952</v>
      </c>
      <c r="M2441">
        <v>5</v>
      </c>
      <c r="N2441" s="7" t="s">
        <v>23</v>
      </c>
      <c r="O2441" t="s">
        <v>36</v>
      </c>
      <c r="P2441" t="s">
        <v>253</v>
      </c>
      <c r="Q2441" t="s">
        <v>242</v>
      </c>
      <c r="R2441" t="s">
        <v>254</v>
      </c>
    </row>
    <row r="2442" spans="1:18" hidden="1">
      <c r="A2442">
        <v>1</v>
      </c>
      <c r="B2442" s="4" t="s">
        <v>16</v>
      </c>
      <c r="C2442" s="4" t="s">
        <v>188</v>
      </c>
      <c r="D2442" s="4" t="s">
        <v>207</v>
      </c>
      <c r="E2442" s="4" t="s">
        <v>5804</v>
      </c>
      <c r="F2442" t="s">
        <v>64</v>
      </c>
      <c r="G2442" t="s">
        <v>64</v>
      </c>
      <c r="H2442" t="s">
        <v>53</v>
      </c>
      <c r="I2442" t="s">
        <v>53</v>
      </c>
      <c r="J2442" s="5" t="s">
        <v>53</v>
      </c>
      <c r="K2442" t="s">
        <v>171</v>
      </c>
      <c r="L2442" s="6">
        <v>44013</v>
      </c>
      <c r="M2442">
        <v>7</v>
      </c>
      <c r="N2442" s="7" t="s">
        <v>55</v>
      </c>
      <c r="O2442" t="s">
        <v>36</v>
      </c>
      <c r="P2442" t="s">
        <v>265</v>
      </c>
      <c r="Q2442" t="s">
        <v>242</v>
      </c>
      <c r="R2442" t="s">
        <v>254</v>
      </c>
    </row>
    <row r="2443" spans="1:18" hidden="1">
      <c r="A2443">
        <v>1</v>
      </c>
      <c r="B2443" s="4" t="s">
        <v>16</v>
      </c>
      <c r="C2443" s="4" t="s">
        <v>323</v>
      </c>
      <c r="D2443" s="4" t="s">
        <v>381</v>
      </c>
      <c r="E2443" s="4" t="s">
        <v>5804</v>
      </c>
      <c r="F2443" t="s">
        <v>64</v>
      </c>
      <c r="G2443" t="s">
        <v>64</v>
      </c>
      <c r="H2443" t="s">
        <v>53</v>
      </c>
      <c r="I2443" t="s">
        <v>53</v>
      </c>
      <c r="J2443" s="5" t="s">
        <v>53</v>
      </c>
      <c r="K2443" t="s">
        <v>319</v>
      </c>
      <c r="L2443" s="6">
        <v>42583</v>
      </c>
      <c r="M2443">
        <v>8</v>
      </c>
      <c r="N2443" s="7" t="s">
        <v>55</v>
      </c>
      <c r="O2443" t="s">
        <v>66</v>
      </c>
      <c r="P2443" t="s">
        <v>386</v>
      </c>
      <c r="Q2443" t="s">
        <v>387</v>
      </c>
      <c r="R2443" t="s">
        <v>388</v>
      </c>
    </row>
    <row r="2444" spans="1:18" hidden="1">
      <c r="A2444">
        <v>1</v>
      </c>
      <c r="B2444" s="4" t="s">
        <v>16</v>
      </c>
      <c r="C2444" s="4" t="s">
        <v>462</v>
      </c>
      <c r="D2444" s="4" t="s">
        <v>476</v>
      </c>
      <c r="E2444" s="4" t="s">
        <v>5804</v>
      </c>
      <c r="F2444" t="s">
        <v>64</v>
      </c>
      <c r="G2444" t="s">
        <v>64</v>
      </c>
      <c r="H2444" t="s">
        <v>53</v>
      </c>
      <c r="I2444" t="s">
        <v>53</v>
      </c>
      <c r="J2444" s="5" t="s">
        <v>53</v>
      </c>
      <c r="K2444" t="s">
        <v>482</v>
      </c>
      <c r="L2444" s="6">
        <v>43435</v>
      </c>
      <c r="M2444">
        <v>12</v>
      </c>
      <c r="N2444" s="7" t="s">
        <v>30</v>
      </c>
      <c r="O2444" t="s">
        <v>66</v>
      </c>
      <c r="P2444" t="s">
        <v>483</v>
      </c>
      <c r="Q2444" t="s">
        <v>484</v>
      </c>
      <c r="R2444" t="s">
        <v>485</v>
      </c>
    </row>
    <row r="2445" spans="1:18" hidden="1">
      <c r="A2445">
        <v>11</v>
      </c>
      <c r="B2445" s="4" t="s">
        <v>554</v>
      </c>
      <c r="C2445" s="4" t="s">
        <v>555</v>
      </c>
      <c r="D2445" s="4" t="s">
        <v>556</v>
      </c>
      <c r="E2445" s="4" t="s">
        <v>5804</v>
      </c>
      <c r="F2445" t="s">
        <v>64</v>
      </c>
      <c r="G2445" t="s">
        <v>64</v>
      </c>
      <c r="H2445" t="s">
        <v>53</v>
      </c>
      <c r="I2445" t="s">
        <v>53</v>
      </c>
      <c r="J2445" s="5" t="s">
        <v>53</v>
      </c>
      <c r="K2445" t="s">
        <v>382</v>
      </c>
      <c r="L2445" s="6">
        <v>42401</v>
      </c>
      <c r="M2445">
        <v>2</v>
      </c>
      <c r="N2445" s="7" t="s">
        <v>30</v>
      </c>
      <c r="O2445" t="s">
        <v>66</v>
      </c>
      <c r="P2445" t="s">
        <v>565</v>
      </c>
      <c r="Q2445" t="s">
        <v>566</v>
      </c>
      <c r="R2445" t="s">
        <v>567</v>
      </c>
    </row>
    <row r="2446" spans="1:18" hidden="1">
      <c r="A2446">
        <v>11</v>
      </c>
      <c r="B2446" s="4" t="s">
        <v>554</v>
      </c>
      <c r="C2446" s="4" t="s">
        <v>555</v>
      </c>
      <c r="D2446" s="4" t="s">
        <v>556</v>
      </c>
      <c r="E2446" s="4" t="s">
        <v>5804</v>
      </c>
      <c r="F2446" t="s">
        <v>64</v>
      </c>
      <c r="G2446" t="s">
        <v>64</v>
      </c>
      <c r="H2446" t="s">
        <v>53</v>
      </c>
      <c r="I2446" t="s">
        <v>53</v>
      </c>
      <c r="J2446" s="5" t="s">
        <v>53</v>
      </c>
      <c r="K2446" t="s">
        <v>295</v>
      </c>
      <c r="L2446" s="6">
        <v>43221</v>
      </c>
      <c r="M2446">
        <v>5</v>
      </c>
      <c r="N2446" s="7" t="s">
        <v>23</v>
      </c>
      <c r="O2446" t="s">
        <v>66</v>
      </c>
      <c r="P2446" t="s">
        <v>592</v>
      </c>
      <c r="Q2446" t="s">
        <v>593</v>
      </c>
      <c r="R2446" t="s">
        <v>594</v>
      </c>
    </row>
    <row r="2447" spans="1:18" hidden="1">
      <c r="A2447">
        <v>11</v>
      </c>
      <c r="B2447" s="4" t="s">
        <v>554</v>
      </c>
      <c r="C2447" s="4" t="s">
        <v>555</v>
      </c>
      <c r="D2447" s="4" t="s">
        <v>556</v>
      </c>
      <c r="E2447" s="4" t="s">
        <v>5804</v>
      </c>
      <c r="F2447" t="s">
        <v>64</v>
      </c>
      <c r="G2447" t="s">
        <v>64</v>
      </c>
      <c r="H2447" t="s">
        <v>53</v>
      </c>
      <c r="I2447" t="s">
        <v>53</v>
      </c>
      <c r="J2447" s="5" t="s">
        <v>53</v>
      </c>
      <c r="K2447" t="s">
        <v>298</v>
      </c>
      <c r="L2447" s="6">
        <v>43344</v>
      </c>
      <c r="M2447">
        <v>9</v>
      </c>
      <c r="N2447" s="7" t="s">
        <v>23</v>
      </c>
      <c r="O2447" t="s">
        <v>66</v>
      </c>
      <c r="P2447" t="s">
        <v>595</v>
      </c>
      <c r="Q2447" t="s">
        <v>593</v>
      </c>
      <c r="R2447" t="s">
        <v>594</v>
      </c>
    </row>
    <row r="2448" spans="1:18" hidden="1">
      <c r="A2448">
        <v>11</v>
      </c>
      <c r="B2448" s="4" t="s">
        <v>554</v>
      </c>
      <c r="C2448" s="4" t="s">
        <v>555</v>
      </c>
      <c r="D2448" s="4" t="s">
        <v>556</v>
      </c>
      <c r="E2448" s="4" t="s">
        <v>5804</v>
      </c>
      <c r="F2448" t="s">
        <v>64</v>
      </c>
      <c r="G2448" t="s">
        <v>64</v>
      </c>
      <c r="H2448" t="s">
        <v>53</v>
      </c>
      <c r="I2448" t="s">
        <v>53</v>
      </c>
      <c r="J2448" s="5" t="s">
        <v>53</v>
      </c>
      <c r="K2448" t="s">
        <v>156</v>
      </c>
      <c r="L2448" s="6">
        <v>43405</v>
      </c>
      <c r="M2448">
        <v>11</v>
      </c>
      <c r="N2448" s="7" t="s">
        <v>23</v>
      </c>
      <c r="O2448" t="s">
        <v>66</v>
      </c>
      <c r="P2448" t="s">
        <v>599</v>
      </c>
      <c r="Q2448" t="s">
        <v>600</v>
      </c>
      <c r="R2448" t="s">
        <v>601</v>
      </c>
    </row>
    <row r="2449" spans="1:18" hidden="1">
      <c r="A2449">
        <v>11</v>
      </c>
      <c r="B2449" s="4" t="s">
        <v>554</v>
      </c>
      <c r="C2449" s="4" t="s">
        <v>555</v>
      </c>
      <c r="D2449" s="4" t="s">
        <v>556</v>
      </c>
      <c r="E2449" s="4" t="s">
        <v>5804</v>
      </c>
      <c r="F2449" t="s">
        <v>64</v>
      </c>
      <c r="G2449" t="s">
        <v>64</v>
      </c>
      <c r="H2449" t="s">
        <v>53</v>
      </c>
      <c r="I2449" t="s">
        <v>53</v>
      </c>
      <c r="J2449" s="5" t="s">
        <v>53</v>
      </c>
      <c r="K2449" t="s">
        <v>159</v>
      </c>
      <c r="L2449" s="6">
        <v>43586</v>
      </c>
      <c r="M2449">
        <v>5</v>
      </c>
      <c r="N2449" s="7" t="s">
        <v>23</v>
      </c>
      <c r="O2449" t="s">
        <v>66</v>
      </c>
      <c r="P2449" t="s">
        <v>608</v>
      </c>
      <c r="Q2449" t="s">
        <v>593</v>
      </c>
      <c r="R2449" t="s">
        <v>594</v>
      </c>
    </row>
    <row r="2450" spans="1:18" hidden="1">
      <c r="A2450">
        <v>11</v>
      </c>
      <c r="B2450" s="4" t="s">
        <v>554</v>
      </c>
      <c r="C2450" s="4" t="s">
        <v>555</v>
      </c>
      <c r="D2450" s="4" t="s">
        <v>556</v>
      </c>
      <c r="E2450" s="4" t="s">
        <v>5804</v>
      </c>
      <c r="F2450" t="s">
        <v>64</v>
      </c>
      <c r="G2450" t="s">
        <v>64</v>
      </c>
      <c r="H2450" t="s">
        <v>53</v>
      </c>
      <c r="I2450" t="s">
        <v>53</v>
      </c>
      <c r="J2450" s="5" t="s">
        <v>53</v>
      </c>
      <c r="K2450" t="s">
        <v>311</v>
      </c>
      <c r="L2450" s="6">
        <v>44256</v>
      </c>
      <c r="M2450">
        <v>3</v>
      </c>
      <c r="N2450" s="7" t="s">
        <v>23</v>
      </c>
      <c r="O2450" t="s">
        <v>66</v>
      </c>
      <c r="P2450" t="s">
        <v>624</v>
      </c>
      <c r="Q2450" t="s">
        <v>593</v>
      </c>
      <c r="R2450" t="s">
        <v>594</v>
      </c>
    </row>
    <row r="2451" spans="1:18" hidden="1">
      <c r="A2451">
        <v>11</v>
      </c>
      <c r="B2451" s="4" t="s">
        <v>554</v>
      </c>
      <c r="C2451" s="4" t="s">
        <v>555</v>
      </c>
      <c r="D2451" s="4" t="s">
        <v>556</v>
      </c>
      <c r="E2451" s="4" t="s">
        <v>5804</v>
      </c>
      <c r="F2451" t="s">
        <v>64</v>
      </c>
      <c r="G2451" t="s">
        <v>64</v>
      </c>
      <c r="H2451" t="s">
        <v>53</v>
      </c>
      <c r="I2451" t="s">
        <v>53</v>
      </c>
      <c r="J2451" s="5" t="s">
        <v>53</v>
      </c>
      <c r="K2451" t="s">
        <v>630</v>
      </c>
      <c r="L2451" s="6">
        <v>44378</v>
      </c>
      <c r="M2451">
        <v>7</v>
      </c>
      <c r="N2451" s="7" t="s">
        <v>55</v>
      </c>
      <c r="O2451" t="s">
        <v>31</v>
      </c>
      <c r="P2451" t="s">
        <v>631</v>
      </c>
      <c r="Q2451" t="s">
        <v>632</v>
      </c>
      <c r="R2451" t="s">
        <v>564</v>
      </c>
    </row>
    <row r="2452" spans="1:18" hidden="1">
      <c r="A2452">
        <v>11</v>
      </c>
      <c r="B2452" s="4" t="s">
        <v>554</v>
      </c>
      <c r="C2452" s="4" t="s">
        <v>648</v>
      </c>
      <c r="D2452" s="4" t="s">
        <v>663</v>
      </c>
      <c r="E2452" s="4" t="s">
        <v>5804</v>
      </c>
      <c r="F2452" t="s">
        <v>64</v>
      </c>
      <c r="G2452" t="s">
        <v>64</v>
      </c>
      <c r="H2452" t="s">
        <v>53</v>
      </c>
      <c r="I2452" t="s">
        <v>53</v>
      </c>
      <c r="J2452" s="5" t="s">
        <v>53</v>
      </c>
      <c r="K2452" t="s">
        <v>87</v>
      </c>
      <c r="L2452" s="6">
        <v>43040</v>
      </c>
      <c r="M2452">
        <v>11</v>
      </c>
      <c r="N2452" s="7" t="s">
        <v>23</v>
      </c>
      <c r="O2452" t="s">
        <v>36</v>
      </c>
      <c r="P2452" t="s">
        <v>667</v>
      </c>
      <c r="Q2452" t="s">
        <v>668</v>
      </c>
      <c r="R2452" t="s">
        <v>669</v>
      </c>
    </row>
    <row r="2453" spans="1:18" hidden="1">
      <c r="A2453">
        <v>11</v>
      </c>
      <c r="B2453" s="4" t="s">
        <v>554</v>
      </c>
      <c r="C2453" s="4" t="s">
        <v>696</v>
      </c>
      <c r="D2453" s="4" t="s">
        <v>697</v>
      </c>
      <c r="E2453" s="4" t="s">
        <v>5804</v>
      </c>
      <c r="F2453" t="s">
        <v>64</v>
      </c>
      <c r="G2453" t="s">
        <v>64</v>
      </c>
      <c r="H2453" t="s">
        <v>53</v>
      </c>
      <c r="I2453" t="s">
        <v>53</v>
      </c>
      <c r="J2453" s="5" t="s">
        <v>53</v>
      </c>
      <c r="K2453" t="s">
        <v>701</v>
      </c>
      <c r="L2453" s="6">
        <v>42491</v>
      </c>
      <c r="M2453">
        <v>5</v>
      </c>
      <c r="N2453" s="7" t="s">
        <v>23</v>
      </c>
      <c r="O2453" t="s">
        <v>66</v>
      </c>
      <c r="P2453" t="s">
        <v>702</v>
      </c>
      <c r="Q2453" t="s">
        <v>703</v>
      </c>
      <c r="R2453" t="s">
        <v>704</v>
      </c>
    </row>
    <row r="2454" spans="1:18" hidden="1">
      <c r="A2454">
        <v>11</v>
      </c>
      <c r="B2454" s="4" t="s">
        <v>554</v>
      </c>
      <c r="C2454" s="4" t="s">
        <v>696</v>
      </c>
      <c r="D2454" s="4" t="s">
        <v>697</v>
      </c>
      <c r="E2454" s="4" t="s">
        <v>5804</v>
      </c>
      <c r="F2454" t="s">
        <v>64</v>
      </c>
      <c r="G2454" t="s">
        <v>64</v>
      </c>
      <c r="H2454" t="s">
        <v>53</v>
      </c>
      <c r="I2454" t="s">
        <v>53</v>
      </c>
      <c r="J2454" s="5" t="s">
        <v>53</v>
      </c>
      <c r="K2454" t="s">
        <v>119</v>
      </c>
      <c r="L2454" s="6">
        <v>42552</v>
      </c>
      <c r="M2454">
        <v>7</v>
      </c>
      <c r="N2454" s="7" t="s">
        <v>55</v>
      </c>
      <c r="O2454" t="s">
        <v>66</v>
      </c>
      <c r="P2454" t="s">
        <v>705</v>
      </c>
      <c r="Q2454" t="s">
        <v>703</v>
      </c>
      <c r="R2454" t="s">
        <v>704</v>
      </c>
    </row>
    <row r="2455" spans="1:18" hidden="1">
      <c r="A2455">
        <v>11</v>
      </c>
      <c r="B2455" s="4" t="s">
        <v>554</v>
      </c>
      <c r="C2455" s="4" t="s">
        <v>696</v>
      </c>
      <c r="D2455" s="4" t="s">
        <v>697</v>
      </c>
      <c r="E2455" s="4" t="s">
        <v>5804</v>
      </c>
      <c r="F2455" t="s">
        <v>64</v>
      </c>
      <c r="G2455" t="s">
        <v>64</v>
      </c>
      <c r="H2455" t="s">
        <v>53</v>
      </c>
      <c r="I2455" t="s">
        <v>53</v>
      </c>
      <c r="J2455" s="5" t="s">
        <v>53</v>
      </c>
      <c r="K2455" t="s">
        <v>220</v>
      </c>
      <c r="L2455" s="6">
        <v>42644</v>
      </c>
      <c r="M2455">
        <v>10</v>
      </c>
      <c r="N2455" s="7" t="s">
        <v>23</v>
      </c>
      <c r="O2455" t="s">
        <v>66</v>
      </c>
      <c r="P2455" t="s">
        <v>706</v>
      </c>
      <c r="Q2455" t="s">
        <v>703</v>
      </c>
      <c r="R2455" t="s">
        <v>704</v>
      </c>
    </row>
    <row r="2456" spans="1:18" hidden="1">
      <c r="A2456">
        <v>11</v>
      </c>
      <c r="B2456" s="4" t="s">
        <v>554</v>
      </c>
      <c r="C2456" s="4" t="s">
        <v>696</v>
      </c>
      <c r="D2456" s="4" t="s">
        <v>697</v>
      </c>
      <c r="E2456" s="4" t="s">
        <v>5804</v>
      </c>
      <c r="F2456" t="s">
        <v>64</v>
      </c>
      <c r="G2456" t="s">
        <v>64</v>
      </c>
      <c r="H2456" t="s">
        <v>53</v>
      </c>
      <c r="I2456" t="s">
        <v>53</v>
      </c>
      <c r="J2456" s="5" t="s">
        <v>53</v>
      </c>
      <c r="K2456" t="s">
        <v>220</v>
      </c>
      <c r="L2456" s="6">
        <v>42644</v>
      </c>
      <c r="M2456">
        <v>10</v>
      </c>
      <c r="N2456" s="7" t="s">
        <v>23</v>
      </c>
      <c r="O2456" t="s">
        <v>66</v>
      </c>
      <c r="P2456" t="s">
        <v>707</v>
      </c>
      <c r="Q2456" t="s">
        <v>703</v>
      </c>
      <c r="R2456" t="s">
        <v>704</v>
      </c>
    </row>
    <row r="2457" spans="1:18" hidden="1">
      <c r="A2457">
        <v>11</v>
      </c>
      <c r="B2457" s="4" t="s">
        <v>554</v>
      </c>
      <c r="C2457" s="4" t="s">
        <v>696</v>
      </c>
      <c r="D2457" s="4" t="s">
        <v>697</v>
      </c>
      <c r="E2457" s="4" t="s">
        <v>5804</v>
      </c>
      <c r="F2457" t="s">
        <v>64</v>
      </c>
      <c r="G2457" t="s">
        <v>64</v>
      </c>
      <c r="H2457" t="s">
        <v>53</v>
      </c>
      <c r="I2457" t="s">
        <v>53</v>
      </c>
      <c r="J2457" s="5" t="s">
        <v>53</v>
      </c>
      <c r="K2457" t="s">
        <v>124</v>
      </c>
      <c r="L2457" s="6">
        <v>42767</v>
      </c>
      <c r="M2457">
        <v>2</v>
      </c>
      <c r="N2457" s="7" t="s">
        <v>30</v>
      </c>
      <c r="O2457" t="s">
        <v>66</v>
      </c>
      <c r="P2457" t="s">
        <v>711</v>
      </c>
      <c r="Q2457" t="s">
        <v>703</v>
      </c>
      <c r="R2457" t="s">
        <v>704</v>
      </c>
    </row>
    <row r="2458" spans="1:18" hidden="1">
      <c r="A2458">
        <v>11</v>
      </c>
      <c r="B2458" s="4" t="s">
        <v>554</v>
      </c>
      <c r="C2458" s="4" t="s">
        <v>696</v>
      </c>
      <c r="D2458" s="4" t="s">
        <v>697</v>
      </c>
      <c r="E2458" s="4" t="s">
        <v>5804</v>
      </c>
      <c r="F2458" t="s">
        <v>64</v>
      </c>
      <c r="G2458" t="s">
        <v>64</v>
      </c>
      <c r="H2458" t="s">
        <v>53</v>
      </c>
      <c r="I2458" t="s">
        <v>53</v>
      </c>
      <c r="J2458" s="5" t="s">
        <v>53</v>
      </c>
      <c r="K2458" t="s">
        <v>93</v>
      </c>
      <c r="L2458" s="6">
        <v>43282</v>
      </c>
      <c r="M2458">
        <v>7</v>
      </c>
      <c r="N2458" s="7" t="s">
        <v>55</v>
      </c>
      <c r="O2458" t="s">
        <v>66</v>
      </c>
      <c r="P2458" t="s">
        <v>721</v>
      </c>
      <c r="Q2458" t="s">
        <v>703</v>
      </c>
      <c r="R2458" t="s">
        <v>704</v>
      </c>
    </row>
    <row r="2459" spans="1:18" hidden="1">
      <c r="A2459">
        <v>11</v>
      </c>
      <c r="B2459" s="4" t="s">
        <v>554</v>
      </c>
      <c r="C2459" s="4" t="s">
        <v>696</v>
      </c>
      <c r="D2459" s="4" t="s">
        <v>697</v>
      </c>
      <c r="E2459" s="4" t="s">
        <v>5804</v>
      </c>
      <c r="F2459" t="s">
        <v>64</v>
      </c>
      <c r="G2459" t="s">
        <v>64</v>
      </c>
      <c r="H2459" t="s">
        <v>53</v>
      </c>
      <c r="I2459" t="s">
        <v>53</v>
      </c>
      <c r="J2459" s="5" t="s">
        <v>53</v>
      </c>
      <c r="K2459" t="s">
        <v>146</v>
      </c>
      <c r="L2459" s="6">
        <v>43313</v>
      </c>
      <c r="M2459">
        <v>8</v>
      </c>
      <c r="N2459" s="7" t="s">
        <v>55</v>
      </c>
      <c r="O2459" t="s">
        <v>66</v>
      </c>
      <c r="P2459" t="s">
        <v>722</v>
      </c>
      <c r="Q2459" t="s">
        <v>703</v>
      </c>
      <c r="R2459" t="s">
        <v>704</v>
      </c>
    </row>
    <row r="2460" spans="1:18" hidden="1">
      <c r="A2460">
        <v>11</v>
      </c>
      <c r="B2460" s="4" t="s">
        <v>554</v>
      </c>
      <c r="C2460" s="4" t="s">
        <v>696</v>
      </c>
      <c r="D2460" s="4" t="s">
        <v>697</v>
      </c>
      <c r="E2460" s="4" t="s">
        <v>5804</v>
      </c>
      <c r="F2460" t="s">
        <v>64</v>
      </c>
      <c r="G2460" t="s">
        <v>64</v>
      </c>
      <c r="H2460" t="s">
        <v>53</v>
      </c>
      <c r="I2460" t="s">
        <v>53</v>
      </c>
      <c r="J2460" s="5" t="s">
        <v>53</v>
      </c>
      <c r="K2460" t="s">
        <v>152</v>
      </c>
      <c r="L2460" s="6">
        <v>43374</v>
      </c>
      <c r="M2460">
        <v>10</v>
      </c>
      <c r="N2460" s="7" t="s">
        <v>23</v>
      </c>
      <c r="O2460" t="s">
        <v>66</v>
      </c>
      <c r="P2460" t="s">
        <v>723</v>
      </c>
      <c r="Q2460" t="s">
        <v>703</v>
      </c>
      <c r="R2460" t="s">
        <v>704</v>
      </c>
    </row>
    <row r="2461" spans="1:18" hidden="1">
      <c r="A2461">
        <v>11</v>
      </c>
      <c r="B2461" s="4" t="s">
        <v>554</v>
      </c>
      <c r="C2461" s="4" t="s">
        <v>696</v>
      </c>
      <c r="D2461" s="4" t="s">
        <v>697</v>
      </c>
      <c r="E2461" s="4" t="s">
        <v>5804</v>
      </c>
      <c r="F2461" t="s">
        <v>64</v>
      </c>
      <c r="G2461" t="s">
        <v>64</v>
      </c>
      <c r="H2461" t="s">
        <v>53</v>
      </c>
      <c r="I2461" t="s">
        <v>53</v>
      </c>
      <c r="J2461" s="5" t="s">
        <v>53</v>
      </c>
      <c r="K2461" t="s">
        <v>395</v>
      </c>
      <c r="L2461" s="6">
        <v>43497</v>
      </c>
      <c r="M2461">
        <v>2</v>
      </c>
      <c r="N2461" s="7" t="s">
        <v>30</v>
      </c>
      <c r="O2461" t="s">
        <v>66</v>
      </c>
      <c r="P2461" t="s">
        <v>724</v>
      </c>
      <c r="Q2461" t="s">
        <v>703</v>
      </c>
      <c r="R2461" t="s">
        <v>704</v>
      </c>
    </row>
    <row r="2462" spans="1:18" hidden="1">
      <c r="A2462">
        <v>11</v>
      </c>
      <c r="B2462" s="4" t="s">
        <v>554</v>
      </c>
      <c r="C2462" s="4" t="s">
        <v>696</v>
      </c>
      <c r="D2462" s="4" t="s">
        <v>697</v>
      </c>
      <c r="E2462" s="4" t="s">
        <v>5804</v>
      </c>
      <c r="F2462" t="s">
        <v>64</v>
      </c>
      <c r="G2462" t="s">
        <v>64</v>
      </c>
      <c r="H2462" t="s">
        <v>53</v>
      </c>
      <c r="I2462" t="s">
        <v>53</v>
      </c>
      <c r="J2462" s="5" t="s">
        <v>53</v>
      </c>
      <c r="K2462" t="s">
        <v>726</v>
      </c>
      <c r="L2462" s="6">
        <v>43709</v>
      </c>
      <c r="M2462">
        <v>9</v>
      </c>
      <c r="N2462" s="7" t="s">
        <v>23</v>
      </c>
      <c r="O2462" t="s">
        <v>66</v>
      </c>
      <c r="P2462" t="s">
        <v>727</v>
      </c>
      <c r="Q2462" t="s">
        <v>703</v>
      </c>
      <c r="R2462" t="s">
        <v>704</v>
      </c>
    </row>
    <row r="2463" spans="1:18" hidden="1">
      <c r="A2463">
        <v>11</v>
      </c>
      <c r="B2463" s="4" t="s">
        <v>554</v>
      </c>
      <c r="C2463" s="4" t="s">
        <v>696</v>
      </c>
      <c r="D2463" s="4" t="s">
        <v>697</v>
      </c>
      <c r="E2463" s="4" t="s">
        <v>5804</v>
      </c>
      <c r="F2463" t="s">
        <v>64</v>
      </c>
      <c r="G2463" t="s">
        <v>64</v>
      </c>
      <c r="H2463" t="s">
        <v>53</v>
      </c>
      <c r="I2463" t="s">
        <v>53</v>
      </c>
      <c r="J2463" s="5" t="s">
        <v>53</v>
      </c>
      <c r="K2463" t="s">
        <v>251</v>
      </c>
      <c r="L2463" s="6">
        <v>43952</v>
      </c>
      <c r="M2463">
        <v>5</v>
      </c>
      <c r="N2463" s="7" t="s">
        <v>23</v>
      </c>
      <c r="O2463" t="s">
        <v>66</v>
      </c>
      <c r="P2463" t="s">
        <v>735</v>
      </c>
      <c r="Q2463" t="s">
        <v>703</v>
      </c>
      <c r="R2463" t="s">
        <v>704</v>
      </c>
    </row>
    <row r="2464" spans="1:18" hidden="1">
      <c r="A2464">
        <v>11</v>
      </c>
      <c r="B2464" s="4" t="s">
        <v>554</v>
      </c>
      <c r="C2464" s="4" t="s">
        <v>696</v>
      </c>
      <c r="D2464" s="4" t="s">
        <v>697</v>
      </c>
      <c r="E2464" s="4" t="s">
        <v>5804</v>
      </c>
      <c r="F2464" t="s">
        <v>64</v>
      </c>
      <c r="G2464" t="s">
        <v>64</v>
      </c>
      <c r="H2464" t="s">
        <v>53</v>
      </c>
      <c r="I2464" t="s">
        <v>53</v>
      </c>
      <c r="J2464" s="5" t="s">
        <v>53</v>
      </c>
      <c r="K2464" t="s">
        <v>255</v>
      </c>
      <c r="L2464" s="6">
        <v>43983</v>
      </c>
      <c r="M2464">
        <v>6</v>
      </c>
      <c r="N2464" s="7" t="s">
        <v>55</v>
      </c>
      <c r="O2464" t="s">
        <v>66</v>
      </c>
      <c r="P2464" t="s">
        <v>736</v>
      </c>
      <c r="Q2464" t="s">
        <v>703</v>
      </c>
      <c r="R2464" t="s">
        <v>704</v>
      </c>
    </row>
    <row r="2465" spans="1:18" hidden="1">
      <c r="A2465">
        <v>11</v>
      </c>
      <c r="B2465" s="4" t="s">
        <v>554</v>
      </c>
      <c r="C2465" s="4" t="s">
        <v>696</v>
      </c>
      <c r="D2465" s="4" t="s">
        <v>697</v>
      </c>
      <c r="E2465" s="4" t="s">
        <v>5804</v>
      </c>
      <c r="F2465" t="s">
        <v>64</v>
      </c>
      <c r="G2465" t="s">
        <v>64</v>
      </c>
      <c r="H2465" t="s">
        <v>53</v>
      </c>
      <c r="I2465" t="s">
        <v>53</v>
      </c>
      <c r="J2465" s="5" t="s">
        <v>53</v>
      </c>
      <c r="K2465" t="s">
        <v>267</v>
      </c>
      <c r="L2465" s="6">
        <v>44044</v>
      </c>
      <c r="M2465">
        <v>8</v>
      </c>
      <c r="N2465" s="7" t="s">
        <v>55</v>
      </c>
      <c r="O2465" t="s">
        <v>66</v>
      </c>
      <c r="P2465" t="s">
        <v>741</v>
      </c>
      <c r="Q2465" t="s">
        <v>703</v>
      </c>
      <c r="R2465" t="s">
        <v>704</v>
      </c>
    </row>
    <row r="2466" spans="1:18" hidden="1">
      <c r="A2466">
        <v>11</v>
      </c>
      <c r="B2466" s="4" t="s">
        <v>554</v>
      </c>
      <c r="C2466" s="4" t="s">
        <v>696</v>
      </c>
      <c r="D2466" s="4" t="s">
        <v>697</v>
      </c>
      <c r="E2466" s="4" t="s">
        <v>5804</v>
      </c>
      <c r="F2466" t="s">
        <v>64</v>
      </c>
      <c r="G2466" t="s">
        <v>64</v>
      </c>
      <c r="H2466" t="s">
        <v>53</v>
      </c>
      <c r="I2466" t="s">
        <v>53</v>
      </c>
      <c r="J2466" s="5" t="s">
        <v>53</v>
      </c>
      <c r="K2466" t="s">
        <v>365</v>
      </c>
      <c r="L2466" s="6">
        <v>44105</v>
      </c>
      <c r="M2466">
        <v>10</v>
      </c>
      <c r="N2466" s="7" t="s">
        <v>23</v>
      </c>
      <c r="O2466" t="s">
        <v>66</v>
      </c>
      <c r="P2466" t="s">
        <v>747</v>
      </c>
      <c r="Q2466" t="s">
        <v>703</v>
      </c>
      <c r="R2466" t="s">
        <v>704</v>
      </c>
    </row>
    <row r="2467" spans="1:18" hidden="1">
      <c r="A2467">
        <v>11</v>
      </c>
      <c r="B2467" s="4" t="s">
        <v>554</v>
      </c>
      <c r="C2467" s="4" t="s">
        <v>696</v>
      </c>
      <c r="D2467" s="4" t="s">
        <v>697</v>
      </c>
      <c r="E2467" s="4" t="s">
        <v>5804</v>
      </c>
      <c r="F2467" t="s">
        <v>64</v>
      </c>
      <c r="G2467" t="s">
        <v>64</v>
      </c>
      <c r="H2467" t="s">
        <v>53</v>
      </c>
      <c r="I2467" t="s">
        <v>53</v>
      </c>
      <c r="J2467" s="5" t="s">
        <v>53</v>
      </c>
      <c r="K2467" t="s">
        <v>365</v>
      </c>
      <c r="L2467" s="6">
        <v>44105</v>
      </c>
      <c r="M2467">
        <v>10</v>
      </c>
      <c r="N2467" s="7" t="s">
        <v>23</v>
      </c>
      <c r="O2467" t="s">
        <v>66</v>
      </c>
      <c r="P2467" t="s">
        <v>748</v>
      </c>
      <c r="Q2467" t="s">
        <v>703</v>
      </c>
      <c r="R2467" t="s">
        <v>704</v>
      </c>
    </row>
    <row r="2468" spans="1:18" hidden="1">
      <c r="A2468">
        <v>11</v>
      </c>
      <c r="B2468" s="4" t="s">
        <v>554</v>
      </c>
      <c r="C2468" s="4" t="s">
        <v>696</v>
      </c>
      <c r="D2468" s="4" t="s">
        <v>697</v>
      </c>
      <c r="E2468" s="4" t="s">
        <v>5804</v>
      </c>
      <c r="F2468" t="s">
        <v>64</v>
      </c>
      <c r="G2468" t="s">
        <v>64</v>
      </c>
      <c r="H2468" t="s">
        <v>53</v>
      </c>
      <c r="I2468" t="s">
        <v>53</v>
      </c>
      <c r="J2468" s="5" t="s">
        <v>53</v>
      </c>
      <c r="K2468" t="s">
        <v>753</v>
      </c>
      <c r="L2468" s="6">
        <v>44348</v>
      </c>
      <c r="M2468">
        <v>6</v>
      </c>
      <c r="N2468" s="7" t="s">
        <v>55</v>
      </c>
      <c r="O2468" t="s">
        <v>66</v>
      </c>
      <c r="P2468" t="s">
        <v>754</v>
      </c>
      <c r="Q2468" t="s">
        <v>703</v>
      </c>
      <c r="R2468" t="s">
        <v>704</v>
      </c>
    </row>
    <row r="2469" spans="1:18" hidden="1">
      <c r="A2469">
        <v>11</v>
      </c>
      <c r="B2469" s="4" t="s">
        <v>554</v>
      </c>
      <c r="C2469" s="4" t="s">
        <v>696</v>
      </c>
      <c r="D2469" s="4" t="s">
        <v>697</v>
      </c>
      <c r="E2469" s="4" t="s">
        <v>5804</v>
      </c>
      <c r="F2469" t="s">
        <v>64</v>
      </c>
      <c r="G2469" t="s">
        <v>64</v>
      </c>
      <c r="H2469" t="s">
        <v>53</v>
      </c>
      <c r="I2469" t="s">
        <v>53</v>
      </c>
      <c r="J2469" s="5" t="s">
        <v>53</v>
      </c>
      <c r="K2469" t="s">
        <v>109</v>
      </c>
      <c r="L2469" s="6">
        <v>44531</v>
      </c>
      <c r="M2469">
        <v>12</v>
      </c>
      <c r="N2469" s="7" t="s">
        <v>30</v>
      </c>
      <c r="O2469" t="s">
        <v>66</v>
      </c>
      <c r="P2469" t="s">
        <v>755</v>
      </c>
      <c r="Q2469" t="s">
        <v>703</v>
      </c>
      <c r="R2469" t="s">
        <v>704</v>
      </c>
    </row>
    <row r="2470" spans="1:18" hidden="1">
      <c r="A2470">
        <v>11</v>
      </c>
      <c r="B2470" s="4" t="s">
        <v>554</v>
      </c>
      <c r="C2470" s="4" t="s">
        <v>696</v>
      </c>
      <c r="D2470" s="4" t="s">
        <v>697</v>
      </c>
      <c r="E2470" s="4" t="s">
        <v>5804</v>
      </c>
      <c r="F2470" t="s">
        <v>64</v>
      </c>
      <c r="G2470" t="s">
        <v>64</v>
      </c>
      <c r="H2470" t="s">
        <v>53</v>
      </c>
      <c r="I2470" t="s">
        <v>53</v>
      </c>
      <c r="J2470" s="5" t="s">
        <v>53</v>
      </c>
      <c r="K2470" t="s">
        <v>109</v>
      </c>
      <c r="L2470" s="6">
        <v>44531</v>
      </c>
      <c r="M2470">
        <v>12</v>
      </c>
      <c r="N2470" s="7" t="s">
        <v>30</v>
      </c>
      <c r="O2470" t="s">
        <v>66</v>
      </c>
      <c r="P2470" t="s">
        <v>756</v>
      </c>
      <c r="Q2470" t="s">
        <v>703</v>
      </c>
      <c r="R2470" t="s">
        <v>704</v>
      </c>
    </row>
    <row r="2471" spans="1:18" hidden="1">
      <c r="A2471">
        <v>11</v>
      </c>
      <c r="B2471" s="4" t="s">
        <v>554</v>
      </c>
      <c r="C2471" s="4" t="s">
        <v>696</v>
      </c>
      <c r="D2471" s="4" t="s">
        <v>759</v>
      </c>
      <c r="E2471" s="4" t="s">
        <v>5804</v>
      </c>
      <c r="F2471" t="s">
        <v>64</v>
      </c>
      <c r="G2471" t="s">
        <v>64</v>
      </c>
      <c r="H2471" t="s">
        <v>53</v>
      </c>
      <c r="I2471" t="s">
        <v>53</v>
      </c>
      <c r="J2471" s="5" t="s">
        <v>53</v>
      </c>
      <c r="K2471" t="s">
        <v>760</v>
      </c>
      <c r="L2471" s="6">
        <v>42248</v>
      </c>
      <c r="M2471">
        <v>9</v>
      </c>
      <c r="N2471" s="7" t="s">
        <v>23</v>
      </c>
      <c r="O2471" t="s">
        <v>66</v>
      </c>
      <c r="P2471" t="s">
        <v>761</v>
      </c>
      <c r="Q2471" t="s">
        <v>703</v>
      </c>
      <c r="R2471" t="s">
        <v>704</v>
      </c>
    </row>
    <row r="2472" spans="1:18" hidden="1">
      <c r="A2472">
        <v>11</v>
      </c>
      <c r="B2472" s="4" t="s">
        <v>554</v>
      </c>
      <c r="C2472" s="4" t="s">
        <v>696</v>
      </c>
      <c r="D2472" s="4" t="s">
        <v>759</v>
      </c>
      <c r="E2472" s="4" t="s">
        <v>5804</v>
      </c>
      <c r="F2472" t="s">
        <v>64</v>
      </c>
      <c r="G2472" t="s">
        <v>64</v>
      </c>
      <c r="H2472" t="s">
        <v>53</v>
      </c>
      <c r="I2472" t="s">
        <v>53</v>
      </c>
      <c r="J2472" s="5" t="s">
        <v>53</v>
      </c>
      <c r="K2472" t="s">
        <v>115</v>
      </c>
      <c r="L2472" s="6">
        <v>42461</v>
      </c>
      <c r="M2472">
        <v>4</v>
      </c>
      <c r="N2472" s="7" t="s">
        <v>23</v>
      </c>
      <c r="O2472" t="s">
        <v>66</v>
      </c>
      <c r="P2472" t="s">
        <v>768</v>
      </c>
      <c r="Q2472" t="s">
        <v>703</v>
      </c>
      <c r="R2472" t="s">
        <v>704</v>
      </c>
    </row>
    <row r="2473" spans="1:18" hidden="1">
      <c r="A2473">
        <v>11</v>
      </c>
      <c r="B2473" s="4" t="s">
        <v>554</v>
      </c>
      <c r="C2473" s="4" t="s">
        <v>696</v>
      </c>
      <c r="D2473" s="4" t="s">
        <v>759</v>
      </c>
      <c r="E2473" s="4" t="s">
        <v>5804</v>
      </c>
      <c r="F2473" t="s">
        <v>64</v>
      </c>
      <c r="G2473" t="s">
        <v>64</v>
      </c>
      <c r="H2473" t="s">
        <v>53</v>
      </c>
      <c r="I2473" t="s">
        <v>53</v>
      </c>
      <c r="J2473" s="5" t="s">
        <v>53</v>
      </c>
      <c r="K2473" t="s">
        <v>115</v>
      </c>
      <c r="L2473" s="6">
        <v>42461</v>
      </c>
      <c r="M2473">
        <v>4</v>
      </c>
      <c r="N2473" s="7" t="s">
        <v>23</v>
      </c>
      <c r="O2473" t="s">
        <v>66</v>
      </c>
      <c r="P2473" t="s">
        <v>769</v>
      </c>
      <c r="Q2473" t="s">
        <v>703</v>
      </c>
      <c r="R2473" t="s">
        <v>704</v>
      </c>
    </row>
    <row r="2474" spans="1:18" hidden="1">
      <c r="A2474">
        <v>11</v>
      </c>
      <c r="B2474" s="4" t="s">
        <v>554</v>
      </c>
      <c r="C2474" s="4" t="s">
        <v>696</v>
      </c>
      <c r="D2474" s="4" t="s">
        <v>759</v>
      </c>
      <c r="E2474" s="4" t="s">
        <v>5804</v>
      </c>
      <c r="F2474" t="s">
        <v>64</v>
      </c>
      <c r="G2474" t="s">
        <v>64</v>
      </c>
      <c r="H2474" t="s">
        <v>53</v>
      </c>
      <c r="I2474" t="s">
        <v>53</v>
      </c>
      <c r="J2474" s="5" t="s">
        <v>53</v>
      </c>
      <c r="K2474" t="s">
        <v>701</v>
      </c>
      <c r="L2474" s="6">
        <v>42491</v>
      </c>
      <c r="M2474">
        <v>5</v>
      </c>
      <c r="N2474" s="7" t="s">
        <v>23</v>
      </c>
      <c r="O2474" t="s">
        <v>66</v>
      </c>
      <c r="P2474" t="s">
        <v>770</v>
      </c>
      <c r="Q2474" t="s">
        <v>703</v>
      </c>
      <c r="R2474" t="s">
        <v>704</v>
      </c>
    </row>
    <row r="2475" spans="1:18" hidden="1">
      <c r="A2475">
        <v>11</v>
      </c>
      <c r="B2475" s="4" t="s">
        <v>554</v>
      </c>
      <c r="C2475" s="4" t="s">
        <v>696</v>
      </c>
      <c r="D2475" s="4" t="s">
        <v>759</v>
      </c>
      <c r="E2475" s="4" t="s">
        <v>5804</v>
      </c>
      <c r="F2475" t="s">
        <v>64</v>
      </c>
      <c r="G2475" t="s">
        <v>64</v>
      </c>
      <c r="H2475" t="s">
        <v>53</v>
      </c>
      <c r="I2475" t="s">
        <v>53</v>
      </c>
      <c r="J2475" s="5" t="s">
        <v>53</v>
      </c>
      <c r="K2475" t="s">
        <v>220</v>
      </c>
      <c r="L2475" s="6">
        <v>42644</v>
      </c>
      <c r="M2475">
        <v>10</v>
      </c>
      <c r="N2475" s="7" t="s">
        <v>23</v>
      </c>
      <c r="O2475" t="s">
        <v>66</v>
      </c>
      <c r="P2475" t="s">
        <v>778</v>
      </c>
      <c r="Q2475" t="s">
        <v>703</v>
      </c>
      <c r="R2475" t="s">
        <v>704</v>
      </c>
    </row>
    <row r="2476" spans="1:18" hidden="1">
      <c r="A2476">
        <v>11</v>
      </c>
      <c r="B2476" s="4" t="s">
        <v>554</v>
      </c>
      <c r="C2476" s="4" t="s">
        <v>696</v>
      </c>
      <c r="D2476" s="4" t="s">
        <v>759</v>
      </c>
      <c r="E2476" s="4" t="s">
        <v>5804</v>
      </c>
      <c r="F2476" t="s">
        <v>64</v>
      </c>
      <c r="G2476" t="s">
        <v>64</v>
      </c>
      <c r="H2476" t="s">
        <v>53</v>
      </c>
      <c r="I2476" t="s">
        <v>53</v>
      </c>
      <c r="J2476" s="5" t="s">
        <v>53</v>
      </c>
      <c r="K2476" t="s">
        <v>146</v>
      </c>
      <c r="L2476" s="6">
        <v>43313</v>
      </c>
      <c r="M2476">
        <v>8</v>
      </c>
      <c r="N2476" s="7" t="s">
        <v>55</v>
      </c>
      <c r="O2476" t="s">
        <v>66</v>
      </c>
      <c r="P2476" t="s">
        <v>805</v>
      </c>
      <c r="Q2476" t="s">
        <v>703</v>
      </c>
      <c r="R2476" t="s">
        <v>704</v>
      </c>
    </row>
    <row r="2477" spans="1:18" hidden="1">
      <c r="A2477">
        <v>11</v>
      </c>
      <c r="B2477" s="4" t="s">
        <v>554</v>
      </c>
      <c r="C2477" s="4" t="s">
        <v>696</v>
      </c>
      <c r="D2477" s="4" t="s">
        <v>759</v>
      </c>
      <c r="E2477" s="4" t="s">
        <v>5804</v>
      </c>
      <c r="F2477" t="s">
        <v>64</v>
      </c>
      <c r="G2477" t="s">
        <v>64</v>
      </c>
      <c r="H2477" t="s">
        <v>53</v>
      </c>
      <c r="I2477" t="s">
        <v>53</v>
      </c>
      <c r="J2477" s="5" t="s">
        <v>53</v>
      </c>
      <c r="K2477" t="s">
        <v>152</v>
      </c>
      <c r="L2477" s="6">
        <v>43374</v>
      </c>
      <c r="M2477">
        <v>10</v>
      </c>
      <c r="N2477" s="7" t="s">
        <v>23</v>
      </c>
      <c r="O2477" t="s">
        <v>66</v>
      </c>
      <c r="P2477" t="s">
        <v>813</v>
      </c>
      <c r="Q2477" t="s">
        <v>703</v>
      </c>
      <c r="R2477" t="s">
        <v>704</v>
      </c>
    </row>
    <row r="2478" spans="1:18" hidden="1">
      <c r="A2478">
        <v>11</v>
      </c>
      <c r="B2478" s="4" t="s">
        <v>554</v>
      </c>
      <c r="C2478" s="4" t="s">
        <v>696</v>
      </c>
      <c r="D2478" s="4" t="s">
        <v>759</v>
      </c>
      <c r="E2478" s="4" t="s">
        <v>5804</v>
      </c>
      <c r="F2478" t="s">
        <v>64</v>
      </c>
      <c r="G2478" t="s">
        <v>64</v>
      </c>
      <c r="H2478" t="s">
        <v>53</v>
      </c>
      <c r="I2478" t="s">
        <v>53</v>
      </c>
      <c r="J2478" s="5" t="s">
        <v>53</v>
      </c>
      <c r="K2478" t="s">
        <v>814</v>
      </c>
      <c r="L2478" s="6">
        <v>43405</v>
      </c>
      <c r="M2478">
        <v>11</v>
      </c>
      <c r="N2478" s="7" t="s">
        <v>23</v>
      </c>
      <c r="O2478" t="s">
        <v>66</v>
      </c>
      <c r="P2478" t="s">
        <v>815</v>
      </c>
      <c r="Q2478" t="s">
        <v>703</v>
      </c>
      <c r="R2478" t="s">
        <v>704</v>
      </c>
    </row>
    <row r="2479" spans="1:18" hidden="1">
      <c r="A2479">
        <v>11</v>
      </c>
      <c r="B2479" s="4" t="s">
        <v>554</v>
      </c>
      <c r="C2479" s="4" t="s">
        <v>696</v>
      </c>
      <c r="D2479" s="4" t="s">
        <v>759</v>
      </c>
      <c r="E2479" s="4" t="s">
        <v>5804</v>
      </c>
      <c r="F2479" t="s">
        <v>64</v>
      </c>
      <c r="G2479" t="s">
        <v>64</v>
      </c>
      <c r="H2479" t="s">
        <v>53</v>
      </c>
      <c r="I2479" t="s">
        <v>53</v>
      </c>
      <c r="J2479" s="5" t="s">
        <v>53</v>
      </c>
      <c r="K2479" t="s">
        <v>482</v>
      </c>
      <c r="L2479" s="6">
        <v>43435</v>
      </c>
      <c r="M2479">
        <v>12</v>
      </c>
      <c r="N2479" s="7" t="s">
        <v>30</v>
      </c>
      <c r="O2479" t="s">
        <v>66</v>
      </c>
      <c r="P2479" t="s">
        <v>816</v>
      </c>
      <c r="Q2479" t="s">
        <v>703</v>
      </c>
      <c r="R2479" t="s">
        <v>704</v>
      </c>
    </row>
    <row r="2480" spans="1:18" hidden="1">
      <c r="A2480">
        <v>11</v>
      </c>
      <c r="B2480" s="4" t="s">
        <v>554</v>
      </c>
      <c r="C2480" s="4" t="s">
        <v>696</v>
      </c>
      <c r="D2480" s="4" t="s">
        <v>759</v>
      </c>
      <c r="E2480" s="4" t="s">
        <v>5804</v>
      </c>
      <c r="F2480" t="s">
        <v>64</v>
      </c>
      <c r="G2480" t="s">
        <v>64</v>
      </c>
      <c r="H2480" t="s">
        <v>53</v>
      </c>
      <c r="I2480" t="s">
        <v>53</v>
      </c>
      <c r="J2480" s="5" t="s">
        <v>53</v>
      </c>
      <c r="K2480" t="s">
        <v>159</v>
      </c>
      <c r="L2480" s="6">
        <v>43586</v>
      </c>
      <c r="M2480">
        <v>5</v>
      </c>
      <c r="N2480" s="7" t="s">
        <v>23</v>
      </c>
      <c r="O2480" t="s">
        <v>66</v>
      </c>
      <c r="P2480" t="s">
        <v>824</v>
      </c>
      <c r="Q2480" t="s">
        <v>703</v>
      </c>
      <c r="R2480" t="s">
        <v>704</v>
      </c>
    </row>
    <row r="2481" spans="1:18" hidden="1">
      <c r="A2481">
        <v>11</v>
      </c>
      <c r="B2481" s="4" t="s">
        <v>554</v>
      </c>
      <c r="C2481" s="4" t="s">
        <v>696</v>
      </c>
      <c r="D2481" s="4" t="s">
        <v>759</v>
      </c>
      <c r="E2481" s="4" t="s">
        <v>5804</v>
      </c>
      <c r="F2481" t="s">
        <v>64</v>
      </c>
      <c r="G2481" t="s">
        <v>64</v>
      </c>
      <c r="H2481" t="s">
        <v>53</v>
      </c>
      <c r="I2481" t="s">
        <v>53</v>
      </c>
      <c r="J2481" s="5" t="s">
        <v>53</v>
      </c>
      <c r="K2481" t="s">
        <v>159</v>
      </c>
      <c r="L2481" s="6">
        <v>43586</v>
      </c>
      <c r="M2481">
        <v>5</v>
      </c>
      <c r="N2481" s="7" t="s">
        <v>23</v>
      </c>
      <c r="O2481" t="s">
        <v>66</v>
      </c>
      <c r="P2481" t="s">
        <v>825</v>
      </c>
      <c r="Q2481" t="s">
        <v>703</v>
      </c>
      <c r="R2481" t="s">
        <v>704</v>
      </c>
    </row>
    <row r="2482" spans="1:18" hidden="1">
      <c r="A2482">
        <v>11</v>
      </c>
      <c r="B2482" s="4" t="s">
        <v>554</v>
      </c>
      <c r="C2482" s="4" t="s">
        <v>696</v>
      </c>
      <c r="D2482" s="4" t="s">
        <v>759</v>
      </c>
      <c r="E2482" s="4" t="s">
        <v>5804</v>
      </c>
      <c r="F2482" t="s">
        <v>64</v>
      </c>
      <c r="G2482" t="s">
        <v>64</v>
      </c>
      <c r="H2482" t="s">
        <v>53</v>
      </c>
      <c r="I2482" t="s">
        <v>53</v>
      </c>
      <c r="J2482" s="5" t="s">
        <v>53</v>
      </c>
      <c r="K2482" t="s">
        <v>168</v>
      </c>
      <c r="L2482" s="6">
        <v>43678</v>
      </c>
      <c r="M2482">
        <v>8</v>
      </c>
      <c r="N2482" s="7" t="s">
        <v>55</v>
      </c>
      <c r="O2482" t="s">
        <v>66</v>
      </c>
      <c r="P2482" t="s">
        <v>832</v>
      </c>
      <c r="Q2482" t="s">
        <v>703</v>
      </c>
      <c r="R2482" t="s">
        <v>704</v>
      </c>
    </row>
    <row r="2483" spans="1:18" hidden="1">
      <c r="A2483">
        <v>11</v>
      </c>
      <c r="B2483" s="4" t="s">
        <v>554</v>
      </c>
      <c r="C2483" s="4" t="s">
        <v>696</v>
      </c>
      <c r="D2483" s="4" t="s">
        <v>759</v>
      </c>
      <c r="E2483" s="4" t="s">
        <v>5804</v>
      </c>
      <c r="F2483" t="s">
        <v>64</v>
      </c>
      <c r="G2483" t="s">
        <v>64</v>
      </c>
      <c r="H2483" t="s">
        <v>53</v>
      </c>
      <c r="I2483" t="s">
        <v>53</v>
      </c>
      <c r="J2483" s="5" t="s">
        <v>53</v>
      </c>
      <c r="K2483" t="s">
        <v>357</v>
      </c>
      <c r="L2483" s="6">
        <v>43739</v>
      </c>
      <c r="M2483">
        <v>10</v>
      </c>
      <c r="N2483" s="7" t="s">
        <v>23</v>
      </c>
      <c r="O2483" t="s">
        <v>66</v>
      </c>
      <c r="P2483" t="s">
        <v>835</v>
      </c>
      <c r="Q2483" t="s">
        <v>703</v>
      </c>
      <c r="R2483" t="s">
        <v>704</v>
      </c>
    </row>
    <row r="2484" spans="1:18" hidden="1">
      <c r="A2484">
        <v>11</v>
      </c>
      <c r="B2484" s="4" t="s">
        <v>554</v>
      </c>
      <c r="C2484" s="4" t="s">
        <v>696</v>
      </c>
      <c r="D2484" s="4" t="s">
        <v>759</v>
      </c>
      <c r="E2484" s="4" t="s">
        <v>5804</v>
      </c>
      <c r="F2484" t="s">
        <v>64</v>
      </c>
      <c r="G2484" t="s">
        <v>64</v>
      </c>
      <c r="H2484" t="s">
        <v>53</v>
      </c>
      <c r="I2484" t="s">
        <v>53</v>
      </c>
      <c r="J2484" s="5" t="s">
        <v>53</v>
      </c>
      <c r="K2484" t="s">
        <v>691</v>
      </c>
      <c r="L2484" s="6">
        <v>43770</v>
      </c>
      <c r="M2484">
        <v>11</v>
      </c>
      <c r="N2484" s="7" t="s">
        <v>23</v>
      </c>
      <c r="O2484" t="s">
        <v>66</v>
      </c>
      <c r="P2484" t="s">
        <v>838</v>
      </c>
      <c r="Q2484" t="s">
        <v>703</v>
      </c>
      <c r="R2484" t="s">
        <v>704</v>
      </c>
    </row>
    <row r="2485" spans="1:18" hidden="1">
      <c r="A2485">
        <v>11</v>
      </c>
      <c r="B2485" s="4" t="s">
        <v>554</v>
      </c>
      <c r="C2485" s="4" t="s">
        <v>696</v>
      </c>
      <c r="D2485" s="4" t="s">
        <v>759</v>
      </c>
      <c r="E2485" s="4" t="s">
        <v>5804</v>
      </c>
      <c r="F2485" t="s">
        <v>64</v>
      </c>
      <c r="G2485" t="s">
        <v>64</v>
      </c>
      <c r="H2485" t="s">
        <v>53</v>
      </c>
      <c r="I2485" t="s">
        <v>53</v>
      </c>
      <c r="J2485" s="5" t="s">
        <v>53</v>
      </c>
      <c r="K2485" t="s">
        <v>539</v>
      </c>
      <c r="L2485" s="6">
        <v>43922</v>
      </c>
      <c r="M2485">
        <v>4</v>
      </c>
      <c r="N2485" s="7" t="s">
        <v>23</v>
      </c>
      <c r="O2485" t="s">
        <v>66</v>
      </c>
      <c r="P2485" t="s">
        <v>845</v>
      </c>
      <c r="Q2485" t="s">
        <v>703</v>
      </c>
      <c r="R2485" t="s">
        <v>704</v>
      </c>
    </row>
    <row r="2486" spans="1:18" hidden="1">
      <c r="A2486">
        <v>11</v>
      </c>
      <c r="B2486" s="4" t="s">
        <v>554</v>
      </c>
      <c r="C2486" s="4" t="s">
        <v>696</v>
      </c>
      <c r="D2486" s="4" t="s">
        <v>759</v>
      </c>
      <c r="E2486" s="4" t="s">
        <v>5804</v>
      </c>
      <c r="F2486" t="s">
        <v>64</v>
      </c>
      <c r="G2486" t="s">
        <v>64</v>
      </c>
      <c r="H2486" t="s">
        <v>53</v>
      </c>
      <c r="I2486" t="s">
        <v>53</v>
      </c>
      <c r="J2486" s="5" t="s">
        <v>53</v>
      </c>
      <c r="K2486" t="s">
        <v>267</v>
      </c>
      <c r="L2486" s="6">
        <v>44044</v>
      </c>
      <c r="M2486">
        <v>8</v>
      </c>
      <c r="N2486" s="7" t="s">
        <v>55</v>
      </c>
      <c r="O2486" t="s">
        <v>66</v>
      </c>
      <c r="P2486" t="s">
        <v>863</v>
      </c>
      <c r="Q2486" t="s">
        <v>703</v>
      </c>
      <c r="R2486" t="s">
        <v>704</v>
      </c>
    </row>
    <row r="2487" spans="1:18" hidden="1">
      <c r="A2487">
        <v>11</v>
      </c>
      <c r="B2487" s="4" t="s">
        <v>554</v>
      </c>
      <c r="C2487" s="4" t="s">
        <v>696</v>
      </c>
      <c r="D2487" s="4" t="s">
        <v>759</v>
      </c>
      <c r="E2487" s="4" t="s">
        <v>5804</v>
      </c>
      <c r="F2487" t="s">
        <v>64</v>
      </c>
      <c r="G2487" t="s">
        <v>64</v>
      </c>
      <c r="H2487" t="s">
        <v>53</v>
      </c>
      <c r="I2487" t="s">
        <v>53</v>
      </c>
      <c r="J2487" s="5" t="s">
        <v>53</v>
      </c>
      <c r="K2487" t="s">
        <v>365</v>
      </c>
      <c r="L2487" s="6">
        <v>44105</v>
      </c>
      <c r="M2487">
        <v>10</v>
      </c>
      <c r="N2487" s="7" t="s">
        <v>23</v>
      </c>
      <c r="O2487" t="s">
        <v>66</v>
      </c>
      <c r="P2487" t="s">
        <v>868</v>
      </c>
      <c r="Q2487" t="s">
        <v>703</v>
      </c>
      <c r="R2487" t="s">
        <v>704</v>
      </c>
    </row>
    <row r="2488" spans="1:18" hidden="1">
      <c r="A2488">
        <v>11</v>
      </c>
      <c r="B2488" s="4" t="s">
        <v>554</v>
      </c>
      <c r="C2488" s="4" t="s">
        <v>696</v>
      </c>
      <c r="D2488" s="4" t="s">
        <v>759</v>
      </c>
      <c r="E2488" s="4" t="s">
        <v>5804</v>
      </c>
      <c r="F2488" t="s">
        <v>64</v>
      </c>
      <c r="G2488" t="s">
        <v>64</v>
      </c>
      <c r="H2488" t="s">
        <v>53</v>
      </c>
      <c r="I2488" t="s">
        <v>53</v>
      </c>
      <c r="J2488" s="5" t="s">
        <v>53</v>
      </c>
      <c r="K2488" t="s">
        <v>749</v>
      </c>
      <c r="L2488" s="6">
        <v>44136</v>
      </c>
      <c r="M2488">
        <v>11</v>
      </c>
      <c r="N2488" s="7" t="s">
        <v>23</v>
      </c>
      <c r="O2488" t="s">
        <v>66</v>
      </c>
      <c r="P2488" t="s">
        <v>872</v>
      </c>
      <c r="Q2488" t="s">
        <v>703</v>
      </c>
      <c r="R2488" t="s">
        <v>704</v>
      </c>
    </row>
    <row r="2489" spans="1:18" hidden="1">
      <c r="A2489">
        <v>11</v>
      </c>
      <c r="B2489" s="4" t="s">
        <v>554</v>
      </c>
      <c r="C2489" s="4" t="s">
        <v>696</v>
      </c>
      <c r="D2489" s="4" t="s">
        <v>759</v>
      </c>
      <c r="E2489" s="4" t="s">
        <v>5804</v>
      </c>
      <c r="F2489" t="s">
        <v>64</v>
      </c>
      <c r="G2489" t="s">
        <v>64</v>
      </c>
      <c r="H2489" t="s">
        <v>53</v>
      </c>
      <c r="I2489" t="s">
        <v>53</v>
      </c>
      <c r="J2489" s="5" t="s">
        <v>53</v>
      </c>
      <c r="K2489" t="s">
        <v>104</v>
      </c>
      <c r="L2489" s="6">
        <v>44317</v>
      </c>
      <c r="M2489">
        <v>5</v>
      </c>
      <c r="N2489" s="7" t="s">
        <v>23</v>
      </c>
      <c r="O2489" t="s">
        <v>66</v>
      </c>
      <c r="P2489" t="s">
        <v>885</v>
      </c>
      <c r="Q2489" t="s">
        <v>703</v>
      </c>
      <c r="R2489" t="s">
        <v>704</v>
      </c>
    </row>
    <row r="2490" spans="1:18" hidden="1">
      <c r="A2490">
        <v>11</v>
      </c>
      <c r="B2490" s="4" t="s">
        <v>554</v>
      </c>
      <c r="C2490" s="4" t="s">
        <v>696</v>
      </c>
      <c r="D2490" s="4" t="s">
        <v>759</v>
      </c>
      <c r="E2490" s="4" t="s">
        <v>5804</v>
      </c>
      <c r="F2490" t="s">
        <v>64</v>
      </c>
      <c r="G2490" t="s">
        <v>64</v>
      </c>
      <c r="H2490" t="s">
        <v>53</v>
      </c>
      <c r="I2490" t="s">
        <v>53</v>
      </c>
      <c r="J2490" s="5" t="s">
        <v>53</v>
      </c>
      <c r="K2490" t="s">
        <v>753</v>
      </c>
      <c r="L2490" s="6">
        <v>44348</v>
      </c>
      <c r="M2490">
        <v>6</v>
      </c>
      <c r="N2490" s="7" t="s">
        <v>55</v>
      </c>
      <c r="O2490" t="s">
        <v>66</v>
      </c>
      <c r="P2490" t="s">
        <v>886</v>
      </c>
      <c r="Q2490" t="s">
        <v>703</v>
      </c>
      <c r="R2490" t="s">
        <v>704</v>
      </c>
    </row>
    <row r="2491" spans="1:18" hidden="1">
      <c r="A2491">
        <v>11</v>
      </c>
      <c r="B2491" s="4" t="s">
        <v>554</v>
      </c>
      <c r="C2491" s="4" t="s">
        <v>696</v>
      </c>
      <c r="D2491" s="4" t="s">
        <v>759</v>
      </c>
      <c r="E2491" s="4" t="s">
        <v>5804</v>
      </c>
      <c r="F2491" t="s">
        <v>64</v>
      </c>
      <c r="G2491" t="s">
        <v>64</v>
      </c>
      <c r="H2491" t="s">
        <v>53</v>
      </c>
      <c r="I2491" t="s">
        <v>53</v>
      </c>
      <c r="J2491" s="5" t="s">
        <v>53</v>
      </c>
      <c r="K2491" t="s">
        <v>182</v>
      </c>
      <c r="L2491" s="6">
        <v>44501</v>
      </c>
      <c r="M2491">
        <v>11</v>
      </c>
      <c r="N2491" s="7" t="s">
        <v>23</v>
      </c>
      <c r="O2491" t="s">
        <v>66</v>
      </c>
      <c r="P2491" t="s">
        <v>894</v>
      </c>
      <c r="Q2491" t="s">
        <v>703</v>
      </c>
      <c r="R2491" t="s">
        <v>704</v>
      </c>
    </row>
    <row r="2492" spans="1:18" hidden="1">
      <c r="A2492">
        <v>2</v>
      </c>
      <c r="B2492" s="4" t="s">
        <v>1952</v>
      </c>
      <c r="C2492" s="4" t="s">
        <v>1953</v>
      </c>
      <c r="D2492" s="4" t="s">
        <v>2224</v>
      </c>
      <c r="E2492" s="4" t="s">
        <v>5804</v>
      </c>
      <c r="F2492" t="s">
        <v>64</v>
      </c>
      <c r="G2492" t="s">
        <v>64</v>
      </c>
      <c r="H2492" t="s">
        <v>53</v>
      </c>
      <c r="I2492" t="s">
        <v>53</v>
      </c>
      <c r="J2492" s="5" t="s">
        <v>53</v>
      </c>
      <c r="K2492" t="s">
        <v>295</v>
      </c>
      <c r="L2492" s="6">
        <v>43221</v>
      </c>
      <c r="M2492">
        <v>5</v>
      </c>
      <c r="N2492" s="7" t="s">
        <v>23</v>
      </c>
      <c r="O2492" t="s">
        <v>36</v>
      </c>
      <c r="P2492" t="s">
        <v>2283</v>
      </c>
      <c r="Q2492" t="s">
        <v>2284</v>
      </c>
      <c r="R2492" t="s">
        <v>2285</v>
      </c>
    </row>
    <row r="2493" spans="1:18" hidden="1">
      <c r="A2493">
        <v>5</v>
      </c>
      <c r="B2493" s="4" t="s">
        <v>4600</v>
      </c>
      <c r="C2493" s="4" t="s">
        <v>4601</v>
      </c>
      <c r="D2493" s="4" t="s">
        <v>4635</v>
      </c>
      <c r="E2493" s="4" t="s">
        <v>5804</v>
      </c>
      <c r="F2493" t="s">
        <v>64</v>
      </c>
      <c r="G2493" t="s">
        <v>64</v>
      </c>
      <c r="H2493" t="s">
        <v>53</v>
      </c>
      <c r="I2493" t="s">
        <v>53</v>
      </c>
      <c r="J2493" s="5" t="s">
        <v>53</v>
      </c>
      <c r="K2493" t="s">
        <v>278</v>
      </c>
      <c r="L2493" s="6">
        <v>42675</v>
      </c>
      <c r="M2493">
        <v>11</v>
      </c>
      <c r="N2493" s="7" t="s">
        <v>23</v>
      </c>
      <c r="O2493" t="s">
        <v>66</v>
      </c>
      <c r="P2493" t="s">
        <v>4651</v>
      </c>
      <c r="Q2493" t="s">
        <v>4652</v>
      </c>
      <c r="R2493" t="s">
        <v>4653</v>
      </c>
    </row>
    <row r="2494" spans="1:18" hidden="1">
      <c r="A2494">
        <v>5</v>
      </c>
      <c r="B2494" s="4" t="s">
        <v>4600</v>
      </c>
      <c r="C2494" s="4" t="s">
        <v>4601</v>
      </c>
      <c r="D2494" s="4" t="s">
        <v>4748</v>
      </c>
      <c r="E2494" s="4" t="s">
        <v>5804</v>
      </c>
      <c r="F2494" t="s">
        <v>64</v>
      </c>
      <c r="G2494" t="s">
        <v>64</v>
      </c>
      <c r="H2494" t="s">
        <v>53</v>
      </c>
      <c r="I2494" t="s">
        <v>53</v>
      </c>
      <c r="J2494" s="5" t="s">
        <v>53</v>
      </c>
      <c r="K2494" t="s">
        <v>109</v>
      </c>
      <c r="L2494" s="6">
        <v>44531</v>
      </c>
      <c r="M2494">
        <v>12</v>
      </c>
      <c r="N2494" s="7" t="s">
        <v>30</v>
      </c>
      <c r="O2494" t="s">
        <v>31</v>
      </c>
      <c r="P2494" t="s">
        <v>4850</v>
      </c>
      <c r="Q2494" t="s">
        <v>4851</v>
      </c>
      <c r="R2494" t="s">
        <v>4852</v>
      </c>
    </row>
    <row r="2495" spans="1:18" hidden="1">
      <c r="A2495">
        <v>9</v>
      </c>
      <c r="B2495" s="4" t="s">
        <v>5727</v>
      </c>
      <c r="C2495" s="4" t="s">
        <v>5736</v>
      </c>
      <c r="D2495" s="4" t="s">
        <v>5744</v>
      </c>
      <c r="E2495" s="4" t="s">
        <v>5805</v>
      </c>
      <c r="F2495" t="s">
        <v>64</v>
      </c>
      <c r="G2495" t="s">
        <v>64</v>
      </c>
      <c r="H2495" t="s">
        <v>53</v>
      </c>
      <c r="I2495" t="s">
        <v>53</v>
      </c>
      <c r="J2495" s="5" t="s">
        <v>53</v>
      </c>
      <c r="K2495" t="s">
        <v>76</v>
      </c>
      <c r="L2495" s="6">
        <v>42856</v>
      </c>
      <c r="M2495">
        <v>5</v>
      </c>
      <c r="N2495" s="7" t="s">
        <v>23</v>
      </c>
      <c r="O2495" t="s">
        <v>88</v>
      </c>
      <c r="P2495" t="s">
        <v>5745</v>
      </c>
      <c r="Q2495" t="s">
        <v>5746</v>
      </c>
      <c r="R2495" t="s">
        <v>5747</v>
      </c>
    </row>
    <row r="2496" spans="1:18" hidden="1">
      <c r="A2496">
        <v>1</v>
      </c>
      <c r="B2496" s="4" t="s">
        <v>16</v>
      </c>
      <c r="C2496" s="4" t="s">
        <v>17</v>
      </c>
      <c r="D2496" s="4" t="s">
        <v>47</v>
      </c>
      <c r="E2496" s="4" t="s">
        <v>5804</v>
      </c>
      <c r="F2496" t="s">
        <v>70</v>
      </c>
      <c r="G2496" t="s">
        <v>70</v>
      </c>
      <c r="H2496" t="s">
        <v>53</v>
      </c>
      <c r="I2496" t="s">
        <v>53</v>
      </c>
      <c r="J2496" s="5" t="s">
        <v>53</v>
      </c>
      <c r="K2496" t="s">
        <v>71</v>
      </c>
      <c r="L2496" s="6">
        <v>42522</v>
      </c>
      <c r="M2496">
        <v>6</v>
      </c>
      <c r="N2496" s="7" t="s">
        <v>55</v>
      </c>
      <c r="O2496" t="s">
        <v>72</v>
      </c>
      <c r="P2496" t="s">
        <v>73</v>
      </c>
      <c r="Q2496" t="s">
        <v>74</v>
      </c>
      <c r="R2496" t="s">
        <v>75</v>
      </c>
    </row>
    <row r="2497" spans="1:18" hidden="1">
      <c r="A2497">
        <v>10</v>
      </c>
      <c r="B2497" s="4" t="s">
        <v>505</v>
      </c>
      <c r="C2497" s="4" t="s">
        <v>506</v>
      </c>
      <c r="D2497" s="4" t="s">
        <v>507</v>
      </c>
      <c r="E2497" s="4" t="s">
        <v>5805</v>
      </c>
      <c r="F2497" t="s">
        <v>70</v>
      </c>
      <c r="G2497" t="s">
        <v>70</v>
      </c>
      <c r="H2497" t="s">
        <v>53</v>
      </c>
      <c r="I2497" t="s">
        <v>53</v>
      </c>
      <c r="J2497" s="5" t="s">
        <v>53</v>
      </c>
      <c r="K2497" t="s">
        <v>119</v>
      </c>
      <c r="L2497" s="6">
        <v>42552</v>
      </c>
      <c r="M2497">
        <v>7</v>
      </c>
      <c r="N2497" s="7" t="s">
        <v>55</v>
      </c>
      <c r="O2497" t="s">
        <v>508</v>
      </c>
      <c r="P2497" t="s">
        <v>509</v>
      </c>
      <c r="Q2497" t="s">
        <v>510</v>
      </c>
      <c r="R2497" t="s">
        <v>511</v>
      </c>
    </row>
    <row r="2498" spans="1:18" hidden="1">
      <c r="A2498">
        <v>11</v>
      </c>
      <c r="B2498" s="4" t="s">
        <v>554</v>
      </c>
      <c r="C2498" s="4" t="s">
        <v>670</v>
      </c>
      <c r="D2498" s="4" t="s">
        <v>677</v>
      </c>
      <c r="E2498" s="4" t="s">
        <v>5804</v>
      </c>
      <c r="F2498" t="s">
        <v>70</v>
      </c>
      <c r="G2498" t="s">
        <v>70</v>
      </c>
      <c r="H2498" t="s">
        <v>53</v>
      </c>
      <c r="I2498" t="s">
        <v>53</v>
      </c>
      <c r="J2498" s="5" t="s">
        <v>53</v>
      </c>
      <c r="K2498" t="s">
        <v>691</v>
      </c>
      <c r="L2498" s="6">
        <v>43770</v>
      </c>
      <c r="M2498">
        <v>11</v>
      </c>
      <c r="N2498" s="7" t="s">
        <v>23</v>
      </c>
      <c r="O2498" t="s">
        <v>692</v>
      </c>
      <c r="P2498" t="s">
        <v>693</v>
      </c>
      <c r="Q2498" t="s">
        <v>694</v>
      </c>
      <c r="R2498" t="s">
        <v>695</v>
      </c>
    </row>
    <row r="2499" spans="1:18" hidden="1">
      <c r="A2499">
        <v>11</v>
      </c>
      <c r="B2499" s="4" t="s">
        <v>554</v>
      </c>
      <c r="C2499" s="4" t="s">
        <v>696</v>
      </c>
      <c r="D2499" s="4" t="s">
        <v>759</v>
      </c>
      <c r="E2499" s="4" t="s">
        <v>5804</v>
      </c>
      <c r="F2499" t="s">
        <v>70</v>
      </c>
      <c r="G2499" t="s">
        <v>70</v>
      </c>
      <c r="H2499" t="s">
        <v>53</v>
      </c>
      <c r="I2499" t="s">
        <v>53</v>
      </c>
      <c r="J2499" s="5" t="s">
        <v>53</v>
      </c>
      <c r="K2499" t="s">
        <v>65</v>
      </c>
      <c r="L2499" s="6">
        <v>42430</v>
      </c>
      <c r="M2499">
        <v>3</v>
      </c>
      <c r="N2499" s="7" t="s">
        <v>23</v>
      </c>
      <c r="O2499" t="s">
        <v>692</v>
      </c>
      <c r="P2499" t="s">
        <v>765</v>
      </c>
      <c r="Q2499" t="s">
        <v>766</v>
      </c>
      <c r="R2499" t="s">
        <v>767</v>
      </c>
    </row>
    <row r="2500" spans="1:18" hidden="1">
      <c r="A2500">
        <v>11</v>
      </c>
      <c r="B2500" s="4" t="s">
        <v>554</v>
      </c>
      <c r="C2500" s="4" t="s">
        <v>696</v>
      </c>
      <c r="D2500" s="4" t="s">
        <v>759</v>
      </c>
      <c r="E2500" s="4" t="s">
        <v>5804</v>
      </c>
      <c r="F2500" t="s">
        <v>70</v>
      </c>
      <c r="G2500" t="s">
        <v>70</v>
      </c>
      <c r="H2500" t="s">
        <v>53</v>
      </c>
      <c r="I2500" t="s">
        <v>53</v>
      </c>
      <c r="J2500" s="5" t="s">
        <v>53</v>
      </c>
      <c r="K2500" t="s">
        <v>786</v>
      </c>
      <c r="L2500" s="6">
        <v>42887</v>
      </c>
      <c r="M2500">
        <v>6</v>
      </c>
      <c r="N2500" s="7" t="s">
        <v>55</v>
      </c>
      <c r="O2500" t="s">
        <v>31</v>
      </c>
      <c r="P2500" t="s">
        <v>787</v>
      </c>
      <c r="Q2500" t="s">
        <v>788</v>
      </c>
      <c r="R2500" t="s">
        <v>789</v>
      </c>
    </row>
    <row r="2501" spans="1:18" hidden="1">
      <c r="A2501">
        <v>11</v>
      </c>
      <c r="B2501" s="4" t="s">
        <v>554</v>
      </c>
      <c r="C2501" s="4" t="s">
        <v>696</v>
      </c>
      <c r="D2501" s="4" t="s">
        <v>759</v>
      </c>
      <c r="E2501" s="4" t="s">
        <v>5804</v>
      </c>
      <c r="F2501" t="s">
        <v>70</v>
      </c>
      <c r="G2501" t="s">
        <v>70</v>
      </c>
      <c r="H2501" t="s">
        <v>53</v>
      </c>
      <c r="I2501" t="s">
        <v>53</v>
      </c>
      <c r="J2501" s="5" t="s">
        <v>53</v>
      </c>
      <c r="K2501" t="s">
        <v>159</v>
      </c>
      <c r="L2501" s="6">
        <v>43586</v>
      </c>
      <c r="M2501">
        <v>5</v>
      </c>
      <c r="N2501" s="7" t="s">
        <v>23</v>
      </c>
      <c r="O2501" t="s">
        <v>508</v>
      </c>
      <c r="P2501" t="s">
        <v>827</v>
      </c>
      <c r="Q2501" t="s">
        <v>828</v>
      </c>
      <c r="R2501" t="s">
        <v>767</v>
      </c>
    </row>
    <row r="2502" spans="1:18" hidden="1">
      <c r="A2502">
        <v>11</v>
      </c>
      <c r="B2502" s="4" t="s">
        <v>554</v>
      </c>
      <c r="C2502" s="4" t="s">
        <v>696</v>
      </c>
      <c r="D2502" s="4" t="s">
        <v>759</v>
      </c>
      <c r="E2502" s="4" t="s">
        <v>5804</v>
      </c>
      <c r="F2502" t="s">
        <v>70</v>
      </c>
      <c r="G2502" t="s">
        <v>70</v>
      </c>
      <c r="H2502" t="s">
        <v>53</v>
      </c>
      <c r="I2502" t="s">
        <v>53</v>
      </c>
      <c r="J2502" s="5" t="s">
        <v>53</v>
      </c>
      <c r="K2502" t="s">
        <v>539</v>
      </c>
      <c r="L2502" s="6">
        <v>43922</v>
      </c>
      <c r="M2502">
        <v>4</v>
      </c>
      <c r="N2502" s="7" t="s">
        <v>23</v>
      </c>
      <c r="O2502" t="s">
        <v>508</v>
      </c>
      <c r="P2502" t="s">
        <v>849</v>
      </c>
      <c r="Q2502" t="s">
        <v>850</v>
      </c>
      <c r="R2502" t="s">
        <v>767</v>
      </c>
    </row>
    <row r="2503" spans="1:18" hidden="1">
      <c r="A2503">
        <v>11</v>
      </c>
      <c r="B2503" s="4" t="s">
        <v>554</v>
      </c>
      <c r="C2503" s="4" t="s">
        <v>696</v>
      </c>
      <c r="D2503" s="4" t="s">
        <v>759</v>
      </c>
      <c r="E2503" s="4" t="s">
        <v>5804</v>
      </c>
      <c r="F2503" t="s">
        <v>70</v>
      </c>
      <c r="G2503" t="s">
        <v>70</v>
      </c>
      <c r="H2503" t="s">
        <v>53</v>
      </c>
      <c r="I2503" t="s">
        <v>53</v>
      </c>
      <c r="J2503" s="5" t="s">
        <v>53</v>
      </c>
      <c r="K2503" t="s">
        <v>255</v>
      </c>
      <c r="L2503" s="6">
        <v>43983</v>
      </c>
      <c r="M2503">
        <v>6</v>
      </c>
      <c r="N2503" s="7" t="s">
        <v>55</v>
      </c>
      <c r="O2503" t="s">
        <v>31</v>
      </c>
      <c r="P2503" t="s">
        <v>857</v>
      </c>
      <c r="Q2503" t="s">
        <v>858</v>
      </c>
      <c r="R2503" t="s">
        <v>767</v>
      </c>
    </row>
    <row r="2504" spans="1:18" hidden="1">
      <c r="A2504">
        <v>12</v>
      </c>
      <c r="B2504" s="4" t="s">
        <v>901</v>
      </c>
      <c r="C2504" s="4" t="s">
        <v>902</v>
      </c>
      <c r="D2504" s="4" t="s">
        <v>903</v>
      </c>
      <c r="E2504" s="4" t="s">
        <v>5804</v>
      </c>
      <c r="F2504" t="s">
        <v>70</v>
      </c>
      <c r="G2504" t="s">
        <v>70</v>
      </c>
      <c r="H2504" t="s">
        <v>53</v>
      </c>
      <c r="I2504" t="s">
        <v>53</v>
      </c>
      <c r="J2504" s="5" t="s">
        <v>53</v>
      </c>
      <c r="K2504" t="s">
        <v>220</v>
      </c>
      <c r="L2504" s="6">
        <v>42644</v>
      </c>
      <c r="M2504">
        <v>10</v>
      </c>
      <c r="N2504" s="7" t="s">
        <v>23</v>
      </c>
      <c r="O2504" t="s">
        <v>72</v>
      </c>
      <c r="P2504" t="s">
        <v>953</v>
      </c>
      <c r="Q2504" t="s">
        <v>954</v>
      </c>
      <c r="R2504" t="s">
        <v>955</v>
      </c>
    </row>
    <row r="2505" spans="1:18" hidden="1">
      <c r="A2505">
        <v>12</v>
      </c>
      <c r="B2505" s="4" t="s">
        <v>901</v>
      </c>
      <c r="C2505" s="4" t="s">
        <v>902</v>
      </c>
      <c r="D2505" s="4" t="s">
        <v>903</v>
      </c>
      <c r="E2505" s="4" t="s">
        <v>5804</v>
      </c>
      <c r="F2505" t="s">
        <v>70</v>
      </c>
      <c r="G2505" t="s">
        <v>70</v>
      </c>
      <c r="H2505" t="s">
        <v>53</v>
      </c>
      <c r="I2505" t="s">
        <v>53</v>
      </c>
      <c r="J2505" s="5" t="s">
        <v>53</v>
      </c>
      <c r="K2505" t="s">
        <v>220</v>
      </c>
      <c r="L2505" s="6">
        <v>42644</v>
      </c>
      <c r="M2505">
        <v>10</v>
      </c>
      <c r="N2505" s="7" t="s">
        <v>23</v>
      </c>
      <c r="O2505" t="s">
        <v>72</v>
      </c>
      <c r="P2505" t="s">
        <v>960</v>
      </c>
      <c r="Q2505" t="s">
        <v>961</v>
      </c>
      <c r="R2505" t="s">
        <v>962</v>
      </c>
    </row>
    <row r="2506" spans="1:18" hidden="1">
      <c r="A2506">
        <v>12</v>
      </c>
      <c r="B2506" s="4" t="s">
        <v>901</v>
      </c>
      <c r="C2506" s="4" t="s">
        <v>1672</v>
      </c>
      <c r="D2506" s="4" t="s">
        <v>1673</v>
      </c>
      <c r="E2506" s="4" t="s">
        <v>5804</v>
      </c>
      <c r="F2506" t="s">
        <v>70</v>
      </c>
      <c r="G2506" t="s">
        <v>70</v>
      </c>
      <c r="H2506" t="s">
        <v>53</v>
      </c>
      <c r="I2506" t="s">
        <v>53</v>
      </c>
      <c r="J2506" s="5" t="s">
        <v>53</v>
      </c>
      <c r="K2506" t="s">
        <v>115</v>
      </c>
      <c r="L2506" s="6">
        <v>42461</v>
      </c>
      <c r="M2506">
        <v>4</v>
      </c>
      <c r="N2506" s="7" t="s">
        <v>23</v>
      </c>
      <c r="O2506" t="s">
        <v>72</v>
      </c>
      <c r="P2506" t="s">
        <v>1690</v>
      </c>
      <c r="Q2506" t="s">
        <v>1691</v>
      </c>
      <c r="R2506" t="s">
        <v>1692</v>
      </c>
    </row>
    <row r="2507" spans="1:18" hidden="1">
      <c r="A2507">
        <v>12</v>
      </c>
      <c r="B2507" s="4" t="s">
        <v>901</v>
      </c>
      <c r="C2507" s="4" t="s">
        <v>1672</v>
      </c>
      <c r="D2507" s="4" t="s">
        <v>1673</v>
      </c>
      <c r="E2507" s="4" t="s">
        <v>5804</v>
      </c>
      <c r="F2507" t="s">
        <v>70</v>
      </c>
      <c r="G2507" t="s">
        <v>70</v>
      </c>
      <c r="H2507" t="s">
        <v>53</v>
      </c>
      <c r="I2507" t="s">
        <v>53</v>
      </c>
      <c r="J2507" s="5" t="s">
        <v>53</v>
      </c>
      <c r="K2507" t="s">
        <v>124</v>
      </c>
      <c r="L2507" s="6">
        <v>42767</v>
      </c>
      <c r="M2507">
        <v>2</v>
      </c>
      <c r="N2507" s="7" t="s">
        <v>30</v>
      </c>
      <c r="O2507" t="s">
        <v>508</v>
      </c>
      <c r="P2507" t="s">
        <v>1744</v>
      </c>
      <c r="Q2507" t="s">
        <v>1745</v>
      </c>
      <c r="R2507" t="s">
        <v>1746</v>
      </c>
    </row>
    <row r="2508" spans="1:18" hidden="1">
      <c r="A2508">
        <v>12</v>
      </c>
      <c r="B2508" s="4" t="s">
        <v>901</v>
      </c>
      <c r="C2508" s="4" t="s">
        <v>1672</v>
      </c>
      <c r="D2508" s="4" t="s">
        <v>1673</v>
      </c>
      <c r="E2508" s="4" t="s">
        <v>5804</v>
      </c>
      <c r="F2508" t="s">
        <v>70</v>
      </c>
      <c r="G2508" t="s">
        <v>70</v>
      </c>
      <c r="H2508" t="s">
        <v>53</v>
      </c>
      <c r="I2508" t="s">
        <v>53</v>
      </c>
      <c r="J2508" s="5" t="s">
        <v>53</v>
      </c>
      <c r="K2508" t="s">
        <v>128</v>
      </c>
      <c r="L2508" s="6">
        <v>42795</v>
      </c>
      <c r="M2508">
        <v>3</v>
      </c>
      <c r="N2508" s="7" t="s">
        <v>23</v>
      </c>
      <c r="O2508" t="s">
        <v>508</v>
      </c>
      <c r="P2508" t="s">
        <v>1747</v>
      </c>
      <c r="Q2508" t="s">
        <v>1748</v>
      </c>
      <c r="R2508" t="s">
        <v>1749</v>
      </c>
    </row>
    <row r="2509" spans="1:18" hidden="1">
      <c r="A2509">
        <v>12</v>
      </c>
      <c r="B2509" s="4" t="s">
        <v>901</v>
      </c>
      <c r="C2509" s="4" t="s">
        <v>1672</v>
      </c>
      <c r="D2509" s="4" t="s">
        <v>1673</v>
      </c>
      <c r="E2509" s="4" t="s">
        <v>5804</v>
      </c>
      <c r="F2509" t="s">
        <v>70</v>
      </c>
      <c r="G2509" t="s">
        <v>70</v>
      </c>
      <c r="H2509" t="s">
        <v>53</v>
      </c>
      <c r="I2509" t="s">
        <v>53</v>
      </c>
      <c r="J2509" s="5" t="s">
        <v>53</v>
      </c>
      <c r="K2509" t="s">
        <v>681</v>
      </c>
      <c r="L2509" s="6">
        <v>42887</v>
      </c>
      <c r="M2509">
        <v>6</v>
      </c>
      <c r="N2509" s="7" t="s">
        <v>55</v>
      </c>
      <c r="O2509" t="s">
        <v>31</v>
      </c>
      <c r="P2509" t="s">
        <v>1750</v>
      </c>
      <c r="Q2509" t="s">
        <v>1751</v>
      </c>
      <c r="R2509" t="s">
        <v>1752</v>
      </c>
    </row>
    <row r="2510" spans="1:18" hidden="1">
      <c r="A2510">
        <v>12</v>
      </c>
      <c r="B2510" s="4" t="s">
        <v>901</v>
      </c>
      <c r="C2510" s="4" t="s">
        <v>1672</v>
      </c>
      <c r="D2510" s="4" t="s">
        <v>1673</v>
      </c>
      <c r="E2510" s="4" t="s">
        <v>5804</v>
      </c>
      <c r="F2510" t="s">
        <v>70</v>
      </c>
      <c r="G2510" t="s">
        <v>70</v>
      </c>
      <c r="H2510" t="s">
        <v>53</v>
      </c>
      <c r="I2510" t="s">
        <v>53</v>
      </c>
      <c r="J2510" s="5" t="s">
        <v>53</v>
      </c>
      <c r="K2510" t="s">
        <v>83</v>
      </c>
      <c r="L2510" s="6">
        <v>42948</v>
      </c>
      <c r="M2510">
        <v>8</v>
      </c>
      <c r="N2510" s="7" t="s">
        <v>55</v>
      </c>
      <c r="O2510" t="s">
        <v>31</v>
      </c>
      <c r="P2510" t="s">
        <v>1767</v>
      </c>
      <c r="Q2510" t="s">
        <v>1751</v>
      </c>
      <c r="R2510" t="s">
        <v>1752</v>
      </c>
    </row>
    <row r="2511" spans="1:18" hidden="1">
      <c r="A2511">
        <v>12</v>
      </c>
      <c r="B2511" s="4" t="s">
        <v>901</v>
      </c>
      <c r="C2511" s="4" t="s">
        <v>1672</v>
      </c>
      <c r="D2511" s="4" t="s">
        <v>1673</v>
      </c>
      <c r="E2511" s="4" t="s">
        <v>5804</v>
      </c>
      <c r="F2511" t="s">
        <v>70</v>
      </c>
      <c r="G2511" t="s">
        <v>70</v>
      </c>
      <c r="H2511" t="s">
        <v>53</v>
      </c>
      <c r="I2511" t="s">
        <v>53</v>
      </c>
      <c r="J2511" s="5" t="s">
        <v>53</v>
      </c>
      <c r="K2511" t="s">
        <v>298</v>
      </c>
      <c r="L2511" s="6">
        <v>43344</v>
      </c>
      <c r="M2511">
        <v>9</v>
      </c>
      <c r="N2511" s="7" t="s">
        <v>23</v>
      </c>
      <c r="O2511" t="s">
        <v>508</v>
      </c>
      <c r="P2511" t="s">
        <v>1830</v>
      </c>
      <c r="Q2511" t="s">
        <v>1831</v>
      </c>
      <c r="R2511" t="s">
        <v>1832</v>
      </c>
    </row>
    <row r="2512" spans="1:18" hidden="1">
      <c r="A2512">
        <v>12</v>
      </c>
      <c r="B2512" s="4" t="s">
        <v>901</v>
      </c>
      <c r="C2512" s="4" t="s">
        <v>1672</v>
      </c>
      <c r="D2512" s="4" t="s">
        <v>1673</v>
      </c>
      <c r="E2512" s="4" t="s">
        <v>5804</v>
      </c>
      <c r="F2512" t="s">
        <v>70</v>
      </c>
      <c r="G2512" t="s">
        <v>70</v>
      </c>
      <c r="H2512" t="s">
        <v>53</v>
      </c>
      <c r="I2512" t="s">
        <v>53</v>
      </c>
      <c r="J2512" s="5" t="s">
        <v>53</v>
      </c>
      <c r="K2512" t="s">
        <v>298</v>
      </c>
      <c r="L2512" s="6">
        <v>43344</v>
      </c>
      <c r="M2512">
        <v>9</v>
      </c>
      <c r="N2512" s="7" t="s">
        <v>23</v>
      </c>
      <c r="O2512" t="s">
        <v>31</v>
      </c>
      <c r="P2512" t="s">
        <v>1833</v>
      </c>
      <c r="Q2512" t="s">
        <v>1834</v>
      </c>
      <c r="R2512" t="s">
        <v>1835</v>
      </c>
    </row>
    <row r="2513" spans="1:18" hidden="1">
      <c r="A2513">
        <v>12</v>
      </c>
      <c r="B2513" s="4" t="s">
        <v>901</v>
      </c>
      <c r="C2513" s="4" t="s">
        <v>1672</v>
      </c>
      <c r="D2513" s="4" t="s">
        <v>1673</v>
      </c>
      <c r="E2513" s="4" t="s">
        <v>5804</v>
      </c>
      <c r="F2513" t="s">
        <v>70</v>
      </c>
      <c r="G2513" t="s">
        <v>70</v>
      </c>
      <c r="H2513" t="s">
        <v>53</v>
      </c>
      <c r="I2513" t="s">
        <v>53</v>
      </c>
      <c r="J2513" s="5" t="s">
        <v>53</v>
      </c>
      <c r="K2513" t="s">
        <v>152</v>
      </c>
      <c r="L2513" s="6">
        <v>43374</v>
      </c>
      <c r="M2513">
        <v>10</v>
      </c>
      <c r="N2513" s="7" t="s">
        <v>23</v>
      </c>
      <c r="O2513" t="s">
        <v>979</v>
      </c>
      <c r="P2513" t="s">
        <v>1842</v>
      </c>
      <c r="Q2513" t="s">
        <v>1843</v>
      </c>
      <c r="R2513" t="s">
        <v>1844</v>
      </c>
    </row>
    <row r="2514" spans="1:18" hidden="1">
      <c r="A2514">
        <v>12</v>
      </c>
      <c r="B2514" s="4" t="s">
        <v>901</v>
      </c>
      <c r="C2514" s="4" t="s">
        <v>1672</v>
      </c>
      <c r="D2514" s="4" t="s">
        <v>1673</v>
      </c>
      <c r="E2514" s="4" t="s">
        <v>5804</v>
      </c>
      <c r="F2514" t="s">
        <v>70</v>
      </c>
      <c r="G2514" t="s">
        <v>70</v>
      </c>
      <c r="H2514" t="s">
        <v>53</v>
      </c>
      <c r="I2514" t="s">
        <v>53</v>
      </c>
      <c r="J2514" s="5" t="s">
        <v>53</v>
      </c>
      <c r="K2514" t="s">
        <v>159</v>
      </c>
      <c r="L2514" s="6">
        <v>43586</v>
      </c>
      <c r="M2514">
        <v>5</v>
      </c>
      <c r="N2514" s="7" t="s">
        <v>23</v>
      </c>
      <c r="O2514" t="s">
        <v>72</v>
      </c>
      <c r="P2514" t="s">
        <v>1861</v>
      </c>
      <c r="Q2514" t="s">
        <v>1691</v>
      </c>
      <c r="R2514" t="s">
        <v>1692</v>
      </c>
    </row>
    <row r="2515" spans="1:18" hidden="1">
      <c r="A2515">
        <v>12</v>
      </c>
      <c r="B2515" s="4" t="s">
        <v>901</v>
      </c>
      <c r="C2515" s="4" t="s">
        <v>1672</v>
      </c>
      <c r="D2515" s="4" t="s">
        <v>1673</v>
      </c>
      <c r="E2515" s="4" t="s">
        <v>5804</v>
      </c>
      <c r="F2515" t="s">
        <v>70</v>
      </c>
      <c r="G2515" t="s">
        <v>70</v>
      </c>
      <c r="H2515" t="s">
        <v>53</v>
      </c>
      <c r="I2515" t="s">
        <v>53</v>
      </c>
      <c r="J2515" s="5" t="s">
        <v>53</v>
      </c>
      <c r="K2515" t="s">
        <v>164</v>
      </c>
      <c r="L2515" s="6">
        <v>43617</v>
      </c>
      <c r="M2515">
        <v>6</v>
      </c>
      <c r="N2515" s="7" t="s">
        <v>55</v>
      </c>
      <c r="O2515" t="s">
        <v>508</v>
      </c>
      <c r="P2515" t="s">
        <v>1866</v>
      </c>
      <c r="Q2515" t="s">
        <v>1745</v>
      </c>
      <c r="R2515" t="s">
        <v>1746</v>
      </c>
    </row>
    <row r="2516" spans="1:18" hidden="1">
      <c r="A2516">
        <v>2</v>
      </c>
      <c r="B2516" s="4" t="s">
        <v>1952</v>
      </c>
      <c r="C2516" s="4" t="s">
        <v>1953</v>
      </c>
      <c r="D2516" s="4" t="s">
        <v>2072</v>
      </c>
      <c r="E2516" s="4" t="s">
        <v>5804</v>
      </c>
      <c r="F2516" t="s">
        <v>70</v>
      </c>
      <c r="G2516" t="s">
        <v>70</v>
      </c>
      <c r="H2516" t="s">
        <v>53</v>
      </c>
      <c r="I2516" t="s">
        <v>53</v>
      </c>
      <c r="J2516" s="5" t="s">
        <v>53</v>
      </c>
      <c r="K2516" t="s">
        <v>558</v>
      </c>
      <c r="L2516" s="6">
        <v>42339</v>
      </c>
      <c r="M2516">
        <v>12</v>
      </c>
      <c r="N2516" s="7" t="s">
        <v>30</v>
      </c>
      <c r="O2516" t="s">
        <v>979</v>
      </c>
      <c r="P2516" t="s">
        <v>2077</v>
      </c>
      <c r="Q2516" t="s">
        <v>2078</v>
      </c>
      <c r="R2516" t="s">
        <v>2079</v>
      </c>
    </row>
    <row r="2517" spans="1:18" hidden="1">
      <c r="A2517">
        <v>2</v>
      </c>
      <c r="B2517" s="4" t="s">
        <v>1952</v>
      </c>
      <c r="C2517" s="4" t="s">
        <v>2566</v>
      </c>
      <c r="D2517" s="4" t="s">
        <v>2735</v>
      </c>
      <c r="E2517" s="4" t="s">
        <v>5804</v>
      </c>
      <c r="F2517" t="s">
        <v>70</v>
      </c>
      <c r="G2517" t="s">
        <v>70</v>
      </c>
      <c r="H2517" t="s">
        <v>53</v>
      </c>
      <c r="I2517" t="s">
        <v>53</v>
      </c>
      <c r="J2517" s="5" t="s">
        <v>53</v>
      </c>
      <c r="K2517" t="s">
        <v>29</v>
      </c>
      <c r="L2517" s="6">
        <v>43070</v>
      </c>
      <c r="M2517">
        <v>12</v>
      </c>
      <c r="N2517" s="7" t="s">
        <v>30</v>
      </c>
      <c r="O2517" t="s">
        <v>692</v>
      </c>
      <c r="P2517" t="s">
        <v>2741</v>
      </c>
      <c r="Q2517" t="s">
        <v>2742</v>
      </c>
      <c r="R2517" t="s">
        <v>2743</v>
      </c>
    </row>
    <row r="2518" spans="1:18" hidden="1">
      <c r="A2518">
        <v>2</v>
      </c>
      <c r="B2518" s="4" t="s">
        <v>1952</v>
      </c>
      <c r="C2518" s="4" t="s">
        <v>2566</v>
      </c>
      <c r="D2518" s="4" t="s">
        <v>2735</v>
      </c>
      <c r="E2518" s="4" t="s">
        <v>5804</v>
      </c>
      <c r="F2518" t="s">
        <v>70</v>
      </c>
      <c r="G2518" t="s">
        <v>70</v>
      </c>
      <c r="H2518" t="s">
        <v>53</v>
      </c>
      <c r="I2518" t="s">
        <v>53</v>
      </c>
      <c r="J2518" s="5" t="s">
        <v>53</v>
      </c>
      <c r="K2518" t="s">
        <v>29</v>
      </c>
      <c r="L2518" s="6">
        <v>43070</v>
      </c>
      <c r="M2518">
        <v>12</v>
      </c>
      <c r="N2518" s="7" t="s">
        <v>30</v>
      </c>
      <c r="O2518" t="s">
        <v>692</v>
      </c>
      <c r="P2518" t="s">
        <v>2744</v>
      </c>
      <c r="Q2518" t="s">
        <v>2742</v>
      </c>
      <c r="R2518" t="s">
        <v>2743</v>
      </c>
    </row>
    <row r="2519" spans="1:18" hidden="1">
      <c r="A2519">
        <v>2</v>
      </c>
      <c r="B2519" s="4" t="s">
        <v>1952</v>
      </c>
      <c r="C2519" s="4" t="s">
        <v>2566</v>
      </c>
      <c r="D2519" s="4" t="s">
        <v>2735</v>
      </c>
      <c r="E2519" s="4" t="s">
        <v>5804</v>
      </c>
      <c r="F2519" t="s">
        <v>70</v>
      </c>
      <c r="G2519" t="s">
        <v>70</v>
      </c>
      <c r="H2519" t="s">
        <v>53</v>
      </c>
      <c r="I2519" t="s">
        <v>53</v>
      </c>
      <c r="J2519" s="5" t="s">
        <v>53</v>
      </c>
      <c r="K2519" t="s">
        <v>245</v>
      </c>
      <c r="L2519" s="6">
        <v>43466</v>
      </c>
      <c r="M2519">
        <v>1</v>
      </c>
      <c r="N2519" s="7" t="s">
        <v>30</v>
      </c>
      <c r="O2519" t="s">
        <v>692</v>
      </c>
      <c r="P2519" t="s">
        <v>2754</v>
      </c>
      <c r="Q2519" t="s">
        <v>2742</v>
      </c>
      <c r="R2519" t="s">
        <v>2743</v>
      </c>
    </row>
    <row r="2520" spans="1:18" hidden="1">
      <c r="A2520">
        <v>2</v>
      </c>
      <c r="B2520" s="4" t="s">
        <v>1952</v>
      </c>
      <c r="C2520" s="4" t="s">
        <v>2566</v>
      </c>
      <c r="D2520" s="4" t="s">
        <v>2735</v>
      </c>
      <c r="E2520" s="4" t="s">
        <v>5804</v>
      </c>
      <c r="F2520" t="s">
        <v>70</v>
      </c>
      <c r="G2520" t="s">
        <v>70</v>
      </c>
      <c r="H2520" t="s">
        <v>53</v>
      </c>
      <c r="I2520" t="s">
        <v>53</v>
      </c>
      <c r="J2520" s="5" t="s">
        <v>53</v>
      </c>
      <c r="K2520" t="s">
        <v>395</v>
      </c>
      <c r="L2520" s="6">
        <v>43497</v>
      </c>
      <c r="M2520">
        <v>2</v>
      </c>
      <c r="N2520" s="7" t="s">
        <v>30</v>
      </c>
      <c r="O2520" t="s">
        <v>692</v>
      </c>
      <c r="P2520" t="s">
        <v>2756</v>
      </c>
      <c r="Q2520" t="s">
        <v>2742</v>
      </c>
      <c r="R2520" t="s">
        <v>2743</v>
      </c>
    </row>
    <row r="2521" spans="1:18" hidden="1">
      <c r="A2521">
        <v>4</v>
      </c>
      <c r="B2521" s="4" t="s">
        <v>3127</v>
      </c>
      <c r="C2521" s="4" t="s">
        <v>3374</v>
      </c>
      <c r="D2521" s="4" t="s">
        <v>3375</v>
      </c>
      <c r="E2521" s="4" t="s">
        <v>5804</v>
      </c>
      <c r="F2521" t="s">
        <v>70</v>
      </c>
      <c r="G2521" t="s">
        <v>70</v>
      </c>
      <c r="H2521" t="s">
        <v>53</v>
      </c>
      <c r="I2521" t="s">
        <v>53</v>
      </c>
      <c r="J2521" s="5" t="s">
        <v>53</v>
      </c>
      <c r="K2521" t="s">
        <v>319</v>
      </c>
      <c r="L2521" s="6">
        <v>42583</v>
      </c>
      <c r="M2521">
        <v>8</v>
      </c>
      <c r="N2521" s="7" t="s">
        <v>55</v>
      </c>
      <c r="O2521" t="s">
        <v>508</v>
      </c>
      <c r="P2521" t="s">
        <v>3397</v>
      </c>
      <c r="Q2521" t="s">
        <v>3398</v>
      </c>
      <c r="R2521" t="s">
        <v>3399</v>
      </c>
    </row>
    <row r="2522" spans="1:18" hidden="1">
      <c r="A2522">
        <v>4</v>
      </c>
      <c r="B2522" s="4" t="s">
        <v>3127</v>
      </c>
      <c r="C2522" s="4" t="s">
        <v>3374</v>
      </c>
      <c r="D2522" s="4" t="s">
        <v>3375</v>
      </c>
      <c r="E2522" s="4" t="s">
        <v>5804</v>
      </c>
      <c r="F2522" t="s">
        <v>70</v>
      </c>
      <c r="G2522" t="s">
        <v>70</v>
      </c>
      <c r="H2522" t="s">
        <v>53</v>
      </c>
      <c r="I2522" t="s">
        <v>53</v>
      </c>
      <c r="J2522" s="5" t="s">
        <v>53</v>
      </c>
      <c r="K2522" t="s">
        <v>298</v>
      </c>
      <c r="L2522" s="6">
        <v>43344</v>
      </c>
      <c r="M2522">
        <v>9</v>
      </c>
      <c r="N2522" s="7" t="s">
        <v>23</v>
      </c>
      <c r="O2522" t="s">
        <v>508</v>
      </c>
      <c r="P2522" t="s">
        <v>3439</v>
      </c>
      <c r="Q2522" t="s">
        <v>3440</v>
      </c>
      <c r="R2522" t="s">
        <v>3441</v>
      </c>
    </row>
    <row r="2523" spans="1:18" hidden="1">
      <c r="A2523">
        <v>4</v>
      </c>
      <c r="B2523" s="4" t="s">
        <v>3127</v>
      </c>
      <c r="C2523" s="4" t="s">
        <v>3374</v>
      </c>
      <c r="D2523" s="4" t="s">
        <v>3375</v>
      </c>
      <c r="E2523" s="4" t="s">
        <v>5804</v>
      </c>
      <c r="F2523" t="s">
        <v>70</v>
      </c>
      <c r="G2523" t="s">
        <v>70</v>
      </c>
      <c r="H2523" t="s">
        <v>53</v>
      </c>
      <c r="I2523" t="s">
        <v>53</v>
      </c>
      <c r="J2523" s="5" t="s">
        <v>53</v>
      </c>
      <c r="K2523" t="s">
        <v>654</v>
      </c>
      <c r="L2523" s="6">
        <v>43556</v>
      </c>
      <c r="M2523">
        <v>4</v>
      </c>
      <c r="N2523" s="7" t="s">
        <v>23</v>
      </c>
      <c r="O2523" t="s">
        <v>508</v>
      </c>
      <c r="P2523" t="s">
        <v>3456</v>
      </c>
      <c r="Q2523" t="s">
        <v>3440</v>
      </c>
      <c r="R2523" t="s">
        <v>3441</v>
      </c>
    </row>
    <row r="2524" spans="1:18" hidden="1">
      <c r="A2524">
        <v>4</v>
      </c>
      <c r="B2524" s="4" t="s">
        <v>3127</v>
      </c>
      <c r="C2524" s="4" t="s">
        <v>3374</v>
      </c>
      <c r="D2524" s="4" t="s">
        <v>3375</v>
      </c>
      <c r="E2524" s="4" t="s">
        <v>5804</v>
      </c>
      <c r="F2524" t="s">
        <v>70</v>
      </c>
      <c r="G2524" t="s">
        <v>70</v>
      </c>
      <c r="H2524" t="s">
        <v>53</v>
      </c>
      <c r="I2524" t="s">
        <v>53</v>
      </c>
      <c r="J2524" s="5" t="s">
        <v>53</v>
      </c>
      <c r="K2524" t="s">
        <v>159</v>
      </c>
      <c r="L2524" s="6">
        <v>43586</v>
      </c>
      <c r="M2524">
        <v>5</v>
      </c>
      <c r="N2524" s="7" t="s">
        <v>23</v>
      </c>
      <c r="O2524" t="s">
        <v>979</v>
      </c>
      <c r="P2524" t="s">
        <v>3457</v>
      </c>
      <c r="Q2524" t="s">
        <v>3458</v>
      </c>
      <c r="R2524" t="s">
        <v>3459</v>
      </c>
    </row>
    <row r="2525" spans="1:18" hidden="1">
      <c r="A2525">
        <v>4</v>
      </c>
      <c r="B2525" s="4" t="s">
        <v>3127</v>
      </c>
      <c r="C2525" s="4" t="s">
        <v>3374</v>
      </c>
      <c r="D2525" s="4" t="s">
        <v>3375</v>
      </c>
      <c r="E2525" s="4" t="s">
        <v>5804</v>
      </c>
      <c r="F2525" t="s">
        <v>70</v>
      </c>
      <c r="G2525" t="s">
        <v>70</v>
      </c>
      <c r="H2525" t="s">
        <v>53</v>
      </c>
      <c r="I2525" t="s">
        <v>53</v>
      </c>
      <c r="J2525" s="5" t="s">
        <v>53</v>
      </c>
      <c r="K2525" t="s">
        <v>168</v>
      </c>
      <c r="L2525" s="6">
        <v>43678</v>
      </c>
      <c r="M2525">
        <v>8</v>
      </c>
      <c r="N2525" s="7" t="s">
        <v>55</v>
      </c>
      <c r="O2525" t="s">
        <v>979</v>
      </c>
      <c r="P2525" t="s">
        <v>3463</v>
      </c>
      <c r="Q2525" t="s">
        <v>3464</v>
      </c>
      <c r="R2525" t="s">
        <v>3465</v>
      </c>
    </row>
    <row r="2526" spans="1:18" hidden="1">
      <c r="A2526">
        <v>4</v>
      </c>
      <c r="B2526" s="4" t="s">
        <v>3127</v>
      </c>
      <c r="C2526" s="4" t="s">
        <v>3374</v>
      </c>
      <c r="D2526" s="4" t="s">
        <v>3375</v>
      </c>
      <c r="E2526" s="4" t="s">
        <v>5804</v>
      </c>
      <c r="F2526" t="s">
        <v>70</v>
      </c>
      <c r="G2526" t="s">
        <v>70</v>
      </c>
      <c r="H2526" t="s">
        <v>53</v>
      </c>
      <c r="I2526" t="s">
        <v>53</v>
      </c>
      <c r="J2526" s="5" t="s">
        <v>53</v>
      </c>
      <c r="K2526" t="s">
        <v>365</v>
      </c>
      <c r="L2526" s="6">
        <v>44105</v>
      </c>
      <c r="M2526">
        <v>10</v>
      </c>
      <c r="N2526" s="7" t="s">
        <v>23</v>
      </c>
      <c r="O2526" t="s">
        <v>508</v>
      </c>
      <c r="P2526" t="s">
        <v>3498</v>
      </c>
      <c r="Q2526" t="s">
        <v>3440</v>
      </c>
      <c r="R2526" t="s">
        <v>3441</v>
      </c>
    </row>
    <row r="2527" spans="1:18" hidden="1">
      <c r="A2527">
        <v>4</v>
      </c>
      <c r="B2527" s="4" t="s">
        <v>3127</v>
      </c>
      <c r="C2527" s="4" t="s">
        <v>3506</v>
      </c>
      <c r="D2527" s="4" t="s">
        <v>3537</v>
      </c>
      <c r="E2527" s="4" t="s">
        <v>5804</v>
      </c>
      <c r="F2527" t="s">
        <v>70</v>
      </c>
      <c r="G2527" t="s">
        <v>70</v>
      </c>
      <c r="H2527" t="s">
        <v>53</v>
      </c>
      <c r="I2527" t="s">
        <v>53</v>
      </c>
      <c r="J2527" s="5" t="s">
        <v>53</v>
      </c>
      <c r="K2527" t="s">
        <v>124</v>
      </c>
      <c r="L2527" s="6">
        <v>42767</v>
      </c>
      <c r="M2527">
        <v>2</v>
      </c>
      <c r="N2527" s="7" t="s">
        <v>30</v>
      </c>
      <c r="O2527" t="s">
        <v>508</v>
      </c>
      <c r="P2527" t="s">
        <v>3551</v>
      </c>
      <c r="Q2527" t="s">
        <v>3552</v>
      </c>
      <c r="R2527" t="s">
        <v>3553</v>
      </c>
    </row>
    <row r="2528" spans="1:18" hidden="1">
      <c r="A2528">
        <v>4</v>
      </c>
      <c r="B2528" s="4" t="s">
        <v>3127</v>
      </c>
      <c r="C2528" s="4" t="s">
        <v>3939</v>
      </c>
      <c r="D2528" s="4" t="s">
        <v>3958</v>
      </c>
      <c r="E2528" s="4" t="s">
        <v>5804</v>
      </c>
      <c r="F2528" t="s">
        <v>70</v>
      </c>
      <c r="G2528" t="s">
        <v>70</v>
      </c>
      <c r="H2528" t="s">
        <v>53</v>
      </c>
      <c r="I2528" t="s">
        <v>53</v>
      </c>
      <c r="J2528" s="5" t="s">
        <v>53</v>
      </c>
      <c r="K2528" t="s">
        <v>175</v>
      </c>
      <c r="L2528" s="6">
        <v>44166</v>
      </c>
      <c r="M2528">
        <v>12</v>
      </c>
      <c r="N2528" s="7" t="s">
        <v>30</v>
      </c>
      <c r="O2528" t="s">
        <v>31</v>
      </c>
      <c r="P2528" t="s">
        <v>4020</v>
      </c>
      <c r="Q2528" t="s">
        <v>4021</v>
      </c>
      <c r="R2528" t="s">
        <v>4022</v>
      </c>
    </row>
    <row r="2529" spans="1:18" hidden="1">
      <c r="A2529">
        <v>4</v>
      </c>
      <c r="B2529" s="4" t="s">
        <v>3127</v>
      </c>
      <c r="C2529" s="4" t="s">
        <v>4035</v>
      </c>
      <c r="D2529" s="4" t="s">
        <v>4036</v>
      </c>
      <c r="E2529" s="4" t="s">
        <v>5804</v>
      </c>
      <c r="F2529" t="s">
        <v>70</v>
      </c>
      <c r="G2529" t="s">
        <v>70</v>
      </c>
      <c r="H2529" t="s">
        <v>53</v>
      </c>
      <c r="I2529" t="s">
        <v>53</v>
      </c>
      <c r="J2529" s="5" t="s">
        <v>53</v>
      </c>
      <c r="K2529" t="s">
        <v>422</v>
      </c>
      <c r="L2529" s="6">
        <v>42736</v>
      </c>
      <c r="M2529">
        <v>1</v>
      </c>
      <c r="N2529" s="7" t="s">
        <v>30</v>
      </c>
      <c r="O2529" t="s">
        <v>979</v>
      </c>
      <c r="P2529" t="s">
        <v>4046</v>
      </c>
      <c r="Q2529" t="s">
        <v>4047</v>
      </c>
      <c r="R2529" t="s">
        <v>4048</v>
      </c>
    </row>
    <row r="2530" spans="1:18" hidden="1">
      <c r="A2530">
        <v>4</v>
      </c>
      <c r="B2530" s="4" t="s">
        <v>3127</v>
      </c>
      <c r="C2530" s="4" t="s">
        <v>4035</v>
      </c>
      <c r="D2530" s="4" t="s">
        <v>4080</v>
      </c>
      <c r="E2530" s="4" t="s">
        <v>5804</v>
      </c>
      <c r="F2530" t="s">
        <v>70</v>
      </c>
      <c r="G2530" t="s">
        <v>70</v>
      </c>
      <c r="H2530" t="s">
        <v>53</v>
      </c>
      <c r="I2530" t="s">
        <v>53</v>
      </c>
      <c r="J2530" s="5" t="s">
        <v>53</v>
      </c>
      <c r="K2530" t="s">
        <v>60</v>
      </c>
      <c r="L2530" s="6">
        <v>42370</v>
      </c>
      <c r="M2530">
        <v>1</v>
      </c>
      <c r="N2530" s="7" t="s">
        <v>30</v>
      </c>
      <c r="O2530" t="s">
        <v>979</v>
      </c>
      <c r="P2530" t="s">
        <v>4081</v>
      </c>
      <c r="Q2530" t="s">
        <v>4082</v>
      </c>
      <c r="R2530" t="s">
        <v>4048</v>
      </c>
    </row>
    <row r="2531" spans="1:18" hidden="1">
      <c r="A2531">
        <v>5</v>
      </c>
      <c r="B2531" s="4" t="s">
        <v>4600</v>
      </c>
      <c r="C2531" s="4" t="s">
        <v>4601</v>
      </c>
      <c r="D2531" s="4" t="s">
        <v>4602</v>
      </c>
      <c r="E2531" s="4" t="s">
        <v>5804</v>
      </c>
      <c r="F2531" t="s">
        <v>70</v>
      </c>
      <c r="G2531" t="s">
        <v>70</v>
      </c>
      <c r="H2531" t="s">
        <v>53</v>
      </c>
      <c r="I2531" t="s">
        <v>53</v>
      </c>
      <c r="J2531" s="5" t="s">
        <v>53</v>
      </c>
      <c r="K2531" t="s">
        <v>477</v>
      </c>
      <c r="L2531" s="6">
        <v>42705</v>
      </c>
      <c r="M2531">
        <v>12</v>
      </c>
      <c r="N2531" s="7" t="s">
        <v>30</v>
      </c>
      <c r="O2531" t="s">
        <v>692</v>
      </c>
      <c r="P2531" t="s">
        <v>4609</v>
      </c>
      <c r="Q2531" t="s">
        <v>4610</v>
      </c>
      <c r="R2531" t="s">
        <v>4611</v>
      </c>
    </row>
    <row r="2532" spans="1:18" hidden="1">
      <c r="A2532">
        <v>5</v>
      </c>
      <c r="B2532" s="4" t="s">
        <v>4600</v>
      </c>
      <c r="C2532" s="4" t="s">
        <v>4601</v>
      </c>
      <c r="D2532" s="4" t="s">
        <v>4748</v>
      </c>
      <c r="E2532" s="4" t="s">
        <v>5804</v>
      </c>
      <c r="F2532" t="s">
        <v>70</v>
      </c>
      <c r="G2532" t="s">
        <v>70</v>
      </c>
      <c r="H2532" t="s">
        <v>53</v>
      </c>
      <c r="I2532" t="s">
        <v>53</v>
      </c>
      <c r="J2532" s="5" t="s">
        <v>53</v>
      </c>
      <c r="K2532" t="s">
        <v>71</v>
      </c>
      <c r="L2532" s="6">
        <v>42522</v>
      </c>
      <c r="M2532">
        <v>6</v>
      </c>
      <c r="N2532" s="7" t="s">
        <v>55</v>
      </c>
      <c r="O2532" t="s">
        <v>246</v>
      </c>
      <c r="P2532" t="s">
        <v>4770</v>
      </c>
      <c r="Q2532" t="s">
        <v>4771</v>
      </c>
      <c r="R2532" t="s">
        <v>4772</v>
      </c>
    </row>
    <row r="2533" spans="1:18" hidden="1">
      <c r="A2533">
        <v>5</v>
      </c>
      <c r="B2533" s="4" t="s">
        <v>4600</v>
      </c>
      <c r="C2533" s="4" t="s">
        <v>4601</v>
      </c>
      <c r="D2533" s="4" t="s">
        <v>4748</v>
      </c>
      <c r="E2533" s="4" t="s">
        <v>5804</v>
      </c>
      <c r="F2533" t="s">
        <v>70</v>
      </c>
      <c r="G2533" t="s">
        <v>70</v>
      </c>
      <c r="H2533" t="s">
        <v>53</v>
      </c>
      <c r="I2533" t="s">
        <v>53</v>
      </c>
      <c r="J2533" s="5" t="s">
        <v>53</v>
      </c>
      <c r="K2533" t="s">
        <v>298</v>
      </c>
      <c r="L2533" s="6">
        <v>43344</v>
      </c>
      <c r="M2533">
        <v>9</v>
      </c>
      <c r="N2533" s="7" t="s">
        <v>23</v>
      </c>
      <c r="O2533" t="s">
        <v>444</v>
      </c>
      <c r="P2533" t="s">
        <v>4797</v>
      </c>
      <c r="Q2533" t="s">
        <v>4798</v>
      </c>
      <c r="R2533" t="s">
        <v>4799</v>
      </c>
    </row>
    <row r="2534" spans="1:18" hidden="1">
      <c r="A2534">
        <v>5</v>
      </c>
      <c r="B2534" s="4" t="s">
        <v>4600</v>
      </c>
      <c r="C2534" s="4" t="s">
        <v>4933</v>
      </c>
      <c r="D2534" s="4" t="s">
        <v>5014</v>
      </c>
      <c r="E2534" s="4" t="s">
        <v>5804</v>
      </c>
      <c r="F2534" t="s">
        <v>70</v>
      </c>
      <c r="G2534" t="s">
        <v>70</v>
      </c>
      <c r="H2534" t="s">
        <v>53</v>
      </c>
      <c r="I2534" t="s">
        <v>53</v>
      </c>
      <c r="J2534" s="5" t="s">
        <v>53</v>
      </c>
      <c r="K2534" t="s">
        <v>701</v>
      </c>
      <c r="L2534" s="6">
        <v>42491</v>
      </c>
      <c r="M2534">
        <v>5</v>
      </c>
      <c r="N2534" s="7" t="s">
        <v>23</v>
      </c>
      <c r="O2534" t="s">
        <v>508</v>
      </c>
      <c r="P2534" t="s">
        <v>5044</v>
      </c>
      <c r="Q2534" t="s">
        <v>5045</v>
      </c>
      <c r="R2534" t="s">
        <v>5046</v>
      </c>
    </row>
    <row r="2535" spans="1:18" hidden="1">
      <c r="A2535">
        <v>5</v>
      </c>
      <c r="B2535" s="4" t="s">
        <v>4600</v>
      </c>
      <c r="C2535" s="4" t="s">
        <v>4933</v>
      </c>
      <c r="D2535" s="4" t="s">
        <v>5014</v>
      </c>
      <c r="E2535" s="4" t="s">
        <v>5804</v>
      </c>
      <c r="F2535" t="s">
        <v>70</v>
      </c>
      <c r="G2535" t="s">
        <v>70</v>
      </c>
      <c r="H2535" t="s">
        <v>53</v>
      </c>
      <c r="I2535" t="s">
        <v>53</v>
      </c>
      <c r="J2535" s="5" t="s">
        <v>53</v>
      </c>
      <c r="K2535" t="s">
        <v>71</v>
      </c>
      <c r="L2535" s="6">
        <v>42522</v>
      </c>
      <c r="M2535">
        <v>6</v>
      </c>
      <c r="N2535" s="7" t="s">
        <v>55</v>
      </c>
      <c r="O2535" t="s">
        <v>508</v>
      </c>
      <c r="P2535" t="s">
        <v>5050</v>
      </c>
      <c r="Q2535" t="s">
        <v>5051</v>
      </c>
      <c r="R2535" t="s">
        <v>5046</v>
      </c>
    </row>
    <row r="2536" spans="1:18" hidden="1">
      <c r="A2536">
        <v>5</v>
      </c>
      <c r="B2536" s="4" t="s">
        <v>4600</v>
      </c>
      <c r="C2536" s="4" t="s">
        <v>4933</v>
      </c>
      <c r="D2536" s="4" t="s">
        <v>5014</v>
      </c>
      <c r="E2536" s="4" t="s">
        <v>5804</v>
      </c>
      <c r="F2536" t="s">
        <v>70</v>
      </c>
      <c r="G2536" t="s">
        <v>70</v>
      </c>
      <c r="H2536" t="s">
        <v>53</v>
      </c>
      <c r="I2536" t="s">
        <v>53</v>
      </c>
      <c r="J2536" s="5" t="s">
        <v>53</v>
      </c>
      <c r="K2536" t="s">
        <v>218</v>
      </c>
      <c r="L2536" s="6">
        <v>42614</v>
      </c>
      <c r="M2536">
        <v>9</v>
      </c>
      <c r="N2536" s="7" t="s">
        <v>23</v>
      </c>
      <c r="O2536" t="s">
        <v>979</v>
      </c>
      <c r="P2536" t="s">
        <v>5068</v>
      </c>
      <c r="Q2536" t="s">
        <v>5069</v>
      </c>
      <c r="R2536" t="s">
        <v>5070</v>
      </c>
    </row>
    <row r="2537" spans="1:18" hidden="1">
      <c r="A2537">
        <v>5</v>
      </c>
      <c r="B2537" s="4" t="s">
        <v>4600</v>
      </c>
      <c r="C2537" s="4" t="s">
        <v>4933</v>
      </c>
      <c r="D2537" s="4" t="s">
        <v>5014</v>
      </c>
      <c r="E2537" s="4" t="s">
        <v>5804</v>
      </c>
      <c r="F2537" t="s">
        <v>70</v>
      </c>
      <c r="G2537" t="s">
        <v>70</v>
      </c>
      <c r="H2537" t="s">
        <v>53</v>
      </c>
      <c r="I2537" t="s">
        <v>53</v>
      </c>
      <c r="J2537" s="5" t="s">
        <v>53</v>
      </c>
      <c r="K2537" t="s">
        <v>218</v>
      </c>
      <c r="L2537" s="6">
        <v>42614</v>
      </c>
      <c r="M2537">
        <v>9</v>
      </c>
      <c r="N2537" s="7" t="s">
        <v>23</v>
      </c>
      <c r="O2537" t="s">
        <v>979</v>
      </c>
      <c r="P2537" t="s">
        <v>5071</v>
      </c>
      <c r="Q2537" t="s">
        <v>5072</v>
      </c>
      <c r="R2537" t="s">
        <v>5073</v>
      </c>
    </row>
    <row r="2538" spans="1:18" hidden="1">
      <c r="A2538">
        <v>5</v>
      </c>
      <c r="B2538" s="4" t="s">
        <v>4600</v>
      </c>
      <c r="C2538" s="4" t="s">
        <v>4933</v>
      </c>
      <c r="D2538" s="4" t="s">
        <v>5014</v>
      </c>
      <c r="E2538" s="4" t="s">
        <v>5804</v>
      </c>
      <c r="F2538" t="s">
        <v>70</v>
      </c>
      <c r="G2538" t="s">
        <v>70</v>
      </c>
      <c r="H2538" t="s">
        <v>53</v>
      </c>
      <c r="I2538" t="s">
        <v>53</v>
      </c>
      <c r="J2538" s="5" t="s">
        <v>53</v>
      </c>
      <c r="K2538" t="s">
        <v>278</v>
      </c>
      <c r="L2538" s="6">
        <v>42675</v>
      </c>
      <c r="M2538">
        <v>11</v>
      </c>
      <c r="N2538" s="7" t="s">
        <v>23</v>
      </c>
      <c r="O2538" t="s">
        <v>979</v>
      </c>
      <c r="P2538" t="s">
        <v>5074</v>
      </c>
      <c r="Q2538" t="s">
        <v>5075</v>
      </c>
      <c r="R2538" t="s">
        <v>5076</v>
      </c>
    </row>
    <row r="2539" spans="1:18" hidden="1">
      <c r="A2539">
        <v>5</v>
      </c>
      <c r="B2539" s="4" t="s">
        <v>4600</v>
      </c>
      <c r="C2539" s="4" t="s">
        <v>4933</v>
      </c>
      <c r="D2539" s="4" t="s">
        <v>5014</v>
      </c>
      <c r="E2539" s="4" t="s">
        <v>5804</v>
      </c>
      <c r="F2539" t="s">
        <v>70</v>
      </c>
      <c r="G2539" t="s">
        <v>70</v>
      </c>
      <c r="H2539" t="s">
        <v>53</v>
      </c>
      <c r="I2539" t="s">
        <v>53</v>
      </c>
      <c r="J2539" s="5" t="s">
        <v>53</v>
      </c>
      <c r="K2539" t="s">
        <v>278</v>
      </c>
      <c r="L2539" s="6">
        <v>42675</v>
      </c>
      <c r="M2539">
        <v>11</v>
      </c>
      <c r="N2539" s="7" t="s">
        <v>23</v>
      </c>
      <c r="O2539" t="s">
        <v>692</v>
      </c>
      <c r="P2539" t="s">
        <v>5080</v>
      </c>
      <c r="Q2539" t="s">
        <v>5081</v>
      </c>
      <c r="R2539" t="s">
        <v>4799</v>
      </c>
    </row>
    <row r="2540" spans="1:18" hidden="1">
      <c r="A2540">
        <v>5</v>
      </c>
      <c r="B2540" s="4" t="s">
        <v>4600</v>
      </c>
      <c r="C2540" s="4" t="s">
        <v>4933</v>
      </c>
      <c r="D2540" s="4" t="s">
        <v>5014</v>
      </c>
      <c r="E2540" s="4" t="s">
        <v>5804</v>
      </c>
      <c r="F2540" t="s">
        <v>70</v>
      </c>
      <c r="G2540" t="s">
        <v>70</v>
      </c>
      <c r="H2540" t="s">
        <v>53</v>
      </c>
      <c r="I2540" t="s">
        <v>53</v>
      </c>
      <c r="J2540" s="5" t="s">
        <v>53</v>
      </c>
      <c r="K2540" t="s">
        <v>80</v>
      </c>
      <c r="L2540" s="6">
        <v>42917</v>
      </c>
      <c r="M2540">
        <v>7</v>
      </c>
      <c r="N2540" s="7" t="s">
        <v>55</v>
      </c>
      <c r="O2540" t="s">
        <v>72</v>
      </c>
      <c r="P2540" t="s">
        <v>5121</v>
      </c>
      <c r="Q2540" t="s">
        <v>5122</v>
      </c>
      <c r="R2540" t="s">
        <v>5076</v>
      </c>
    </row>
    <row r="2541" spans="1:18" hidden="1">
      <c r="A2541">
        <v>5</v>
      </c>
      <c r="B2541" s="4" t="s">
        <v>4600</v>
      </c>
      <c r="C2541" s="4" t="s">
        <v>4933</v>
      </c>
      <c r="D2541" s="4" t="s">
        <v>5014</v>
      </c>
      <c r="E2541" s="4" t="s">
        <v>5804</v>
      </c>
      <c r="F2541" t="s">
        <v>70</v>
      </c>
      <c r="G2541" t="s">
        <v>70</v>
      </c>
      <c r="H2541" t="s">
        <v>53</v>
      </c>
      <c r="I2541" t="s">
        <v>53</v>
      </c>
      <c r="J2541" s="5" t="s">
        <v>53</v>
      </c>
      <c r="K2541" t="s">
        <v>80</v>
      </c>
      <c r="L2541" s="6">
        <v>42917</v>
      </c>
      <c r="M2541">
        <v>7</v>
      </c>
      <c r="N2541" s="7" t="s">
        <v>55</v>
      </c>
      <c r="O2541" t="s">
        <v>692</v>
      </c>
      <c r="P2541" t="s">
        <v>5125</v>
      </c>
      <c r="Q2541" t="s">
        <v>5126</v>
      </c>
      <c r="R2541" t="s">
        <v>4799</v>
      </c>
    </row>
    <row r="2542" spans="1:18" hidden="1">
      <c r="A2542">
        <v>5</v>
      </c>
      <c r="B2542" s="4" t="s">
        <v>4600</v>
      </c>
      <c r="C2542" s="4" t="s">
        <v>4933</v>
      </c>
      <c r="D2542" s="4" t="s">
        <v>5014</v>
      </c>
      <c r="E2542" s="4" t="s">
        <v>5804</v>
      </c>
      <c r="F2542" t="s">
        <v>70</v>
      </c>
      <c r="G2542" t="s">
        <v>70</v>
      </c>
      <c r="H2542" t="s">
        <v>53</v>
      </c>
      <c r="I2542" t="s">
        <v>53</v>
      </c>
      <c r="J2542" s="5" t="s">
        <v>53</v>
      </c>
      <c r="K2542" t="s">
        <v>5139</v>
      </c>
      <c r="L2542" s="6">
        <v>42948</v>
      </c>
      <c r="M2542">
        <v>8</v>
      </c>
      <c r="N2542" s="7" t="s">
        <v>55</v>
      </c>
      <c r="O2542" t="s">
        <v>72</v>
      </c>
      <c r="P2542" t="s">
        <v>5140</v>
      </c>
      <c r="Q2542" t="s">
        <v>5141</v>
      </c>
      <c r="R2542" t="s">
        <v>5076</v>
      </c>
    </row>
    <row r="2543" spans="1:18" hidden="1">
      <c r="A2543">
        <v>5</v>
      </c>
      <c r="B2543" s="4" t="s">
        <v>4600</v>
      </c>
      <c r="C2543" s="4" t="s">
        <v>4933</v>
      </c>
      <c r="D2543" s="4" t="s">
        <v>5014</v>
      </c>
      <c r="E2543" s="4" t="s">
        <v>5804</v>
      </c>
      <c r="F2543" t="s">
        <v>70</v>
      </c>
      <c r="G2543" t="s">
        <v>70</v>
      </c>
      <c r="H2543" t="s">
        <v>53</v>
      </c>
      <c r="I2543" t="s">
        <v>53</v>
      </c>
      <c r="J2543" s="5" t="s">
        <v>53</v>
      </c>
      <c r="K2543" t="s">
        <v>482</v>
      </c>
      <c r="L2543" s="6">
        <v>43435</v>
      </c>
      <c r="M2543">
        <v>12</v>
      </c>
      <c r="N2543" s="7" t="s">
        <v>30</v>
      </c>
      <c r="O2543" t="s">
        <v>5217</v>
      </c>
      <c r="P2543" t="s">
        <v>5218</v>
      </c>
      <c r="Q2543" t="s">
        <v>5219</v>
      </c>
      <c r="R2543" t="s">
        <v>2079</v>
      </c>
    </row>
    <row r="2544" spans="1:18" hidden="1">
      <c r="A2544">
        <v>5</v>
      </c>
      <c r="B2544" s="4" t="s">
        <v>4600</v>
      </c>
      <c r="C2544" s="4" t="s">
        <v>4933</v>
      </c>
      <c r="D2544" s="4" t="s">
        <v>5014</v>
      </c>
      <c r="E2544" s="4" t="s">
        <v>5804</v>
      </c>
      <c r="F2544" t="s">
        <v>70</v>
      </c>
      <c r="G2544" t="s">
        <v>70</v>
      </c>
      <c r="H2544" t="s">
        <v>53</v>
      </c>
      <c r="I2544" t="s">
        <v>53</v>
      </c>
      <c r="J2544" s="5" t="s">
        <v>53</v>
      </c>
      <c r="K2544" t="s">
        <v>654</v>
      </c>
      <c r="L2544" s="6">
        <v>43556</v>
      </c>
      <c r="M2544">
        <v>4</v>
      </c>
      <c r="N2544" s="7" t="s">
        <v>23</v>
      </c>
      <c r="O2544" t="s">
        <v>508</v>
      </c>
      <c r="P2544" t="s">
        <v>5255</v>
      </c>
      <c r="Q2544" t="s">
        <v>5256</v>
      </c>
      <c r="R2544" t="s">
        <v>5046</v>
      </c>
    </row>
    <row r="2545" spans="1:18" hidden="1">
      <c r="A2545">
        <v>5</v>
      </c>
      <c r="B2545" s="4" t="s">
        <v>4600</v>
      </c>
      <c r="C2545" s="4" t="s">
        <v>4933</v>
      </c>
      <c r="D2545" s="4" t="s">
        <v>5014</v>
      </c>
      <c r="E2545" s="4" t="s">
        <v>5804</v>
      </c>
      <c r="F2545" t="s">
        <v>70</v>
      </c>
      <c r="G2545" t="s">
        <v>70</v>
      </c>
      <c r="H2545" t="s">
        <v>53</v>
      </c>
      <c r="I2545" t="s">
        <v>53</v>
      </c>
      <c r="J2545" s="5" t="s">
        <v>53</v>
      </c>
      <c r="K2545" t="s">
        <v>357</v>
      </c>
      <c r="L2545" s="6">
        <v>43739</v>
      </c>
      <c r="M2545">
        <v>10</v>
      </c>
      <c r="N2545" s="7" t="s">
        <v>23</v>
      </c>
      <c r="O2545" t="s">
        <v>72</v>
      </c>
      <c r="P2545" t="s">
        <v>5296</v>
      </c>
      <c r="Q2545" t="s">
        <v>5297</v>
      </c>
      <c r="R2545" t="s">
        <v>5076</v>
      </c>
    </row>
    <row r="2546" spans="1:18" hidden="1">
      <c r="A2546">
        <v>1</v>
      </c>
      <c r="B2546" s="4" t="s">
        <v>16</v>
      </c>
      <c r="C2546" s="4" t="s">
        <v>188</v>
      </c>
      <c r="D2546" s="4" t="s">
        <v>189</v>
      </c>
      <c r="E2546" s="4" t="s">
        <v>5804</v>
      </c>
      <c r="F2546" t="s">
        <v>196</v>
      </c>
      <c r="G2546" t="s">
        <v>196</v>
      </c>
      <c r="H2546" t="s">
        <v>53</v>
      </c>
      <c r="I2546" t="s">
        <v>53</v>
      </c>
      <c r="J2546" s="5" t="s">
        <v>53</v>
      </c>
      <c r="K2546" t="s">
        <v>124</v>
      </c>
      <c r="L2546" s="6">
        <v>42767</v>
      </c>
      <c r="M2546">
        <v>2</v>
      </c>
      <c r="N2546" s="7" t="s">
        <v>30</v>
      </c>
      <c r="O2546" t="s">
        <v>31</v>
      </c>
      <c r="P2546" t="s">
        <v>197</v>
      </c>
      <c r="Q2546" t="s">
        <v>198</v>
      </c>
      <c r="R2546" t="s">
        <v>199</v>
      </c>
    </row>
    <row r="2547" spans="1:18" hidden="1">
      <c r="A2547">
        <v>1</v>
      </c>
      <c r="B2547" s="4" t="s">
        <v>16</v>
      </c>
      <c r="C2547" s="4" t="s">
        <v>188</v>
      </c>
      <c r="D2547" s="4" t="s">
        <v>207</v>
      </c>
      <c r="E2547" s="4" t="s">
        <v>5804</v>
      </c>
      <c r="F2547" t="s">
        <v>196</v>
      </c>
      <c r="G2547" t="s">
        <v>196</v>
      </c>
      <c r="H2547" t="s">
        <v>53</v>
      </c>
      <c r="I2547" t="s">
        <v>53</v>
      </c>
      <c r="J2547" s="5" t="s">
        <v>53</v>
      </c>
      <c r="K2547" t="s">
        <v>208</v>
      </c>
      <c r="L2547" s="6">
        <v>42125</v>
      </c>
      <c r="M2547">
        <v>5</v>
      </c>
      <c r="N2547" s="7" t="s">
        <v>23</v>
      </c>
      <c r="O2547" t="s">
        <v>36</v>
      </c>
      <c r="P2547" t="s">
        <v>209</v>
      </c>
      <c r="Q2547" t="s">
        <v>210</v>
      </c>
      <c r="R2547" t="s">
        <v>211</v>
      </c>
    </row>
    <row r="2548" spans="1:18" hidden="1">
      <c r="A2548">
        <v>1</v>
      </c>
      <c r="B2548" s="4" t="s">
        <v>16</v>
      </c>
      <c r="C2548" s="4" t="s">
        <v>188</v>
      </c>
      <c r="D2548" s="4" t="s">
        <v>207</v>
      </c>
      <c r="E2548" s="4" t="s">
        <v>5804</v>
      </c>
      <c r="F2548" t="s">
        <v>196</v>
      </c>
      <c r="G2548" t="s">
        <v>196</v>
      </c>
      <c r="H2548" t="s">
        <v>53</v>
      </c>
      <c r="I2548" t="s">
        <v>53</v>
      </c>
      <c r="J2548" s="5" t="s">
        <v>53</v>
      </c>
      <c r="K2548" t="s">
        <v>115</v>
      </c>
      <c r="L2548" s="6">
        <v>42461</v>
      </c>
      <c r="M2548">
        <v>4</v>
      </c>
      <c r="N2548" s="7" t="s">
        <v>23</v>
      </c>
      <c r="O2548" t="s">
        <v>36</v>
      </c>
      <c r="P2548" t="s">
        <v>212</v>
      </c>
      <c r="Q2548" t="s">
        <v>213</v>
      </c>
      <c r="R2548" t="s">
        <v>214</v>
      </c>
    </row>
    <row r="2549" spans="1:18" hidden="1">
      <c r="A2549">
        <v>1</v>
      </c>
      <c r="B2549" s="4" t="s">
        <v>16</v>
      </c>
      <c r="C2549" s="4" t="s">
        <v>188</v>
      </c>
      <c r="D2549" s="4" t="s">
        <v>207</v>
      </c>
      <c r="E2549" s="4" t="s">
        <v>5804</v>
      </c>
      <c r="F2549" t="s">
        <v>196</v>
      </c>
      <c r="G2549" t="s">
        <v>196</v>
      </c>
      <c r="H2549" t="s">
        <v>53</v>
      </c>
      <c r="I2549" t="s">
        <v>53</v>
      </c>
      <c r="J2549" s="5" t="s">
        <v>53</v>
      </c>
      <c r="K2549" t="s">
        <v>71</v>
      </c>
      <c r="L2549" s="6">
        <v>42522</v>
      </c>
      <c r="M2549">
        <v>6</v>
      </c>
      <c r="N2549" s="7" t="s">
        <v>55</v>
      </c>
      <c r="O2549" t="s">
        <v>31</v>
      </c>
      <c r="P2549" t="s">
        <v>215</v>
      </c>
      <c r="Q2549" t="s">
        <v>216</v>
      </c>
      <c r="R2549" t="s">
        <v>217</v>
      </c>
    </row>
    <row r="2550" spans="1:18" hidden="1">
      <c r="A2550">
        <v>1</v>
      </c>
      <c r="B2550" s="4" t="s">
        <v>16</v>
      </c>
      <c r="C2550" s="4" t="s">
        <v>188</v>
      </c>
      <c r="D2550" s="4" t="s">
        <v>207</v>
      </c>
      <c r="E2550" s="4" t="s">
        <v>5804</v>
      </c>
      <c r="F2550" t="s">
        <v>196</v>
      </c>
      <c r="G2550" t="s">
        <v>196</v>
      </c>
      <c r="H2550" t="s">
        <v>53</v>
      </c>
      <c r="I2550" t="s">
        <v>53</v>
      </c>
      <c r="J2550" s="5" t="s">
        <v>53</v>
      </c>
      <c r="K2550" t="s">
        <v>218</v>
      </c>
      <c r="L2550" s="6">
        <v>42614</v>
      </c>
      <c r="M2550">
        <v>9</v>
      </c>
      <c r="N2550" s="7" t="s">
        <v>23</v>
      </c>
      <c r="O2550" t="s">
        <v>31</v>
      </c>
      <c r="P2550" t="s">
        <v>219</v>
      </c>
      <c r="Q2550" t="s">
        <v>216</v>
      </c>
      <c r="R2550" t="s">
        <v>217</v>
      </c>
    </row>
    <row r="2551" spans="1:18" hidden="1">
      <c r="A2551">
        <v>1</v>
      </c>
      <c r="B2551" s="4" t="s">
        <v>16</v>
      </c>
      <c r="C2551" s="4" t="s">
        <v>188</v>
      </c>
      <c r="D2551" s="4" t="s">
        <v>207</v>
      </c>
      <c r="E2551" s="4" t="s">
        <v>5804</v>
      </c>
      <c r="F2551" t="s">
        <v>196</v>
      </c>
      <c r="G2551" t="s">
        <v>196</v>
      </c>
      <c r="H2551" t="s">
        <v>53</v>
      </c>
      <c r="I2551" t="s">
        <v>53</v>
      </c>
      <c r="J2551" s="5" t="s">
        <v>53</v>
      </c>
      <c r="K2551" t="s">
        <v>142</v>
      </c>
      <c r="L2551" s="6">
        <v>43101</v>
      </c>
      <c r="M2551">
        <v>1</v>
      </c>
      <c r="N2551" s="7" t="s">
        <v>30</v>
      </c>
      <c r="O2551" t="s">
        <v>223</v>
      </c>
      <c r="P2551" t="s">
        <v>238</v>
      </c>
      <c r="Q2551" t="s">
        <v>239</v>
      </c>
      <c r="R2551" t="s">
        <v>240</v>
      </c>
    </row>
    <row r="2552" spans="1:18" hidden="1">
      <c r="A2552">
        <v>1</v>
      </c>
      <c r="B2552" s="4" t="s">
        <v>16</v>
      </c>
      <c r="C2552" s="4" t="s">
        <v>188</v>
      </c>
      <c r="D2552" s="4" t="s">
        <v>207</v>
      </c>
      <c r="E2552" s="4" t="s">
        <v>5804</v>
      </c>
      <c r="F2552" t="s">
        <v>196</v>
      </c>
      <c r="G2552" t="s">
        <v>196</v>
      </c>
      <c r="H2552" t="s">
        <v>53</v>
      </c>
      <c r="I2552" t="s">
        <v>53</v>
      </c>
      <c r="J2552" s="5" t="s">
        <v>53</v>
      </c>
      <c r="K2552" t="s">
        <v>251</v>
      </c>
      <c r="L2552" s="6">
        <v>43952</v>
      </c>
      <c r="M2552">
        <v>5</v>
      </c>
      <c r="N2552" s="7" t="s">
        <v>23</v>
      </c>
      <c r="O2552" t="s">
        <v>31</v>
      </c>
      <c r="P2552" t="s">
        <v>252</v>
      </c>
      <c r="Q2552" t="s">
        <v>216</v>
      </c>
      <c r="R2552" t="s">
        <v>217</v>
      </c>
    </row>
    <row r="2553" spans="1:18" hidden="1">
      <c r="A2553">
        <v>1</v>
      </c>
      <c r="B2553" s="4" t="s">
        <v>16</v>
      </c>
      <c r="C2553" s="4" t="s">
        <v>188</v>
      </c>
      <c r="D2553" s="4" t="s">
        <v>207</v>
      </c>
      <c r="E2553" s="4" t="s">
        <v>5804</v>
      </c>
      <c r="F2553" t="s">
        <v>196</v>
      </c>
      <c r="G2553" t="s">
        <v>196</v>
      </c>
      <c r="H2553" t="s">
        <v>53</v>
      </c>
      <c r="I2553" t="s">
        <v>53</v>
      </c>
      <c r="J2553" s="5" t="s">
        <v>53</v>
      </c>
      <c r="K2553" t="s">
        <v>255</v>
      </c>
      <c r="L2553" s="6">
        <v>43983</v>
      </c>
      <c r="M2553">
        <v>6</v>
      </c>
      <c r="N2553" s="7" t="s">
        <v>55</v>
      </c>
      <c r="O2553" t="s">
        <v>36</v>
      </c>
      <c r="P2553" t="s">
        <v>256</v>
      </c>
      <c r="Q2553" t="s">
        <v>257</v>
      </c>
      <c r="R2553" t="s">
        <v>258</v>
      </c>
    </row>
    <row r="2554" spans="1:18" hidden="1">
      <c r="A2554">
        <v>1</v>
      </c>
      <c r="B2554" s="4" t="s">
        <v>16</v>
      </c>
      <c r="C2554" s="4" t="s">
        <v>188</v>
      </c>
      <c r="D2554" s="4" t="s">
        <v>207</v>
      </c>
      <c r="E2554" s="4" t="s">
        <v>5804</v>
      </c>
      <c r="F2554" t="s">
        <v>196</v>
      </c>
      <c r="G2554" t="s">
        <v>196</v>
      </c>
      <c r="H2554" t="s">
        <v>53</v>
      </c>
      <c r="I2554" t="s">
        <v>53</v>
      </c>
      <c r="J2554" s="5" t="s">
        <v>53</v>
      </c>
      <c r="K2554" t="s">
        <v>171</v>
      </c>
      <c r="L2554" s="6">
        <v>44013</v>
      </c>
      <c r="M2554">
        <v>7</v>
      </c>
      <c r="N2554" s="7" t="s">
        <v>55</v>
      </c>
      <c r="O2554" t="s">
        <v>24</v>
      </c>
      <c r="P2554" t="s">
        <v>262</v>
      </c>
      <c r="Q2554" t="s">
        <v>263</v>
      </c>
      <c r="R2554" t="s">
        <v>264</v>
      </c>
    </row>
    <row r="2555" spans="1:18" hidden="1">
      <c r="A2555">
        <v>1</v>
      </c>
      <c r="B2555" s="4" t="s">
        <v>16</v>
      </c>
      <c r="C2555" s="4" t="s">
        <v>188</v>
      </c>
      <c r="D2555" s="4" t="s">
        <v>207</v>
      </c>
      <c r="E2555" s="4" t="s">
        <v>5804</v>
      </c>
      <c r="F2555" t="s">
        <v>196</v>
      </c>
      <c r="G2555" t="s">
        <v>196</v>
      </c>
      <c r="H2555" t="s">
        <v>53</v>
      </c>
      <c r="I2555" t="s">
        <v>53</v>
      </c>
      <c r="J2555" s="5" t="s">
        <v>53</v>
      </c>
      <c r="K2555" t="s">
        <v>175</v>
      </c>
      <c r="L2555" s="6">
        <v>44166</v>
      </c>
      <c r="M2555">
        <v>12</v>
      </c>
      <c r="N2555" s="7" t="s">
        <v>30</v>
      </c>
      <c r="O2555" t="s">
        <v>31</v>
      </c>
      <c r="P2555" t="s">
        <v>271</v>
      </c>
      <c r="Q2555" t="s">
        <v>216</v>
      </c>
      <c r="R2555" t="s">
        <v>217</v>
      </c>
    </row>
    <row r="2556" spans="1:18" hidden="1">
      <c r="A2556">
        <v>1</v>
      </c>
      <c r="B2556" s="4" t="s">
        <v>16</v>
      </c>
      <c r="C2556" s="4" t="s">
        <v>188</v>
      </c>
      <c r="D2556" s="4" t="s">
        <v>272</v>
      </c>
      <c r="E2556" s="4" t="s">
        <v>5804</v>
      </c>
      <c r="F2556" t="s">
        <v>196</v>
      </c>
      <c r="G2556" t="s">
        <v>196</v>
      </c>
      <c r="H2556" t="s">
        <v>53</v>
      </c>
      <c r="I2556" t="s">
        <v>53</v>
      </c>
      <c r="J2556" s="5" t="s">
        <v>53</v>
      </c>
      <c r="K2556" t="s">
        <v>65</v>
      </c>
      <c r="L2556" s="6">
        <v>42430</v>
      </c>
      <c r="M2556">
        <v>3</v>
      </c>
      <c r="N2556" s="7" t="s">
        <v>23</v>
      </c>
      <c r="O2556" t="s">
        <v>31</v>
      </c>
      <c r="P2556" t="s">
        <v>273</v>
      </c>
      <c r="Q2556" t="s">
        <v>216</v>
      </c>
      <c r="R2556" t="s">
        <v>274</v>
      </c>
    </row>
    <row r="2557" spans="1:18" hidden="1">
      <c r="A2557">
        <v>1</v>
      </c>
      <c r="B2557" s="4" t="s">
        <v>16</v>
      </c>
      <c r="C2557" s="4" t="s">
        <v>188</v>
      </c>
      <c r="D2557" s="4" t="s">
        <v>272</v>
      </c>
      <c r="E2557" s="4" t="s">
        <v>5804</v>
      </c>
      <c r="F2557" t="s">
        <v>196</v>
      </c>
      <c r="G2557" t="s">
        <v>196</v>
      </c>
      <c r="H2557" t="s">
        <v>53</v>
      </c>
      <c r="I2557" t="s">
        <v>53</v>
      </c>
      <c r="J2557" s="5" t="s">
        <v>53</v>
      </c>
      <c r="K2557" t="s">
        <v>220</v>
      </c>
      <c r="L2557" s="6">
        <v>42644</v>
      </c>
      <c r="M2557">
        <v>10</v>
      </c>
      <c r="N2557" s="7" t="s">
        <v>23</v>
      </c>
      <c r="O2557" t="s">
        <v>223</v>
      </c>
      <c r="P2557" t="s">
        <v>275</v>
      </c>
      <c r="Q2557" t="s">
        <v>276</v>
      </c>
      <c r="R2557" t="s">
        <v>277</v>
      </c>
    </row>
    <row r="2558" spans="1:18" hidden="1">
      <c r="A2558">
        <v>1</v>
      </c>
      <c r="B2558" s="4" t="s">
        <v>16</v>
      </c>
      <c r="C2558" s="4" t="s">
        <v>188</v>
      </c>
      <c r="D2558" s="4" t="s">
        <v>272</v>
      </c>
      <c r="E2558" s="4" t="s">
        <v>5804</v>
      </c>
      <c r="F2558" t="s">
        <v>196</v>
      </c>
      <c r="G2558" t="s">
        <v>196</v>
      </c>
      <c r="H2558" t="s">
        <v>53</v>
      </c>
      <c r="I2558" t="s">
        <v>53</v>
      </c>
      <c r="J2558" s="5" t="s">
        <v>53</v>
      </c>
      <c r="K2558" t="s">
        <v>278</v>
      </c>
      <c r="L2558" s="6">
        <v>42675</v>
      </c>
      <c r="M2558">
        <v>11</v>
      </c>
      <c r="N2558" s="7" t="s">
        <v>23</v>
      </c>
      <c r="O2558" t="s">
        <v>223</v>
      </c>
      <c r="P2558" t="s">
        <v>279</v>
      </c>
      <c r="Q2558" t="s">
        <v>276</v>
      </c>
      <c r="R2558" t="s">
        <v>277</v>
      </c>
    </row>
    <row r="2559" spans="1:18" hidden="1">
      <c r="A2559">
        <v>1</v>
      </c>
      <c r="B2559" s="4" t="s">
        <v>16</v>
      </c>
      <c r="C2559" s="4" t="s">
        <v>188</v>
      </c>
      <c r="D2559" s="4" t="s">
        <v>272</v>
      </c>
      <c r="E2559" s="4" t="s">
        <v>5804</v>
      </c>
      <c r="F2559" t="s">
        <v>196</v>
      </c>
      <c r="G2559" t="s">
        <v>196</v>
      </c>
      <c r="H2559" t="s">
        <v>53</v>
      </c>
      <c r="I2559" t="s">
        <v>53</v>
      </c>
      <c r="J2559" s="5" t="s">
        <v>53</v>
      </c>
      <c r="K2559" t="s">
        <v>85</v>
      </c>
      <c r="L2559" s="6">
        <v>43009</v>
      </c>
      <c r="M2559">
        <v>10</v>
      </c>
      <c r="N2559" s="7" t="s">
        <v>23</v>
      </c>
      <c r="O2559" t="s">
        <v>66</v>
      </c>
      <c r="P2559" t="s">
        <v>285</v>
      </c>
      <c r="Q2559" t="s">
        <v>286</v>
      </c>
      <c r="R2559" t="s">
        <v>287</v>
      </c>
    </row>
    <row r="2560" spans="1:18" hidden="1">
      <c r="A2560">
        <v>1</v>
      </c>
      <c r="B2560" s="4" t="s">
        <v>16</v>
      </c>
      <c r="C2560" s="4" t="s">
        <v>188</v>
      </c>
      <c r="D2560" s="4" t="s">
        <v>272</v>
      </c>
      <c r="E2560" s="4" t="s">
        <v>5804</v>
      </c>
      <c r="F2560" t="s">
        <v>196</v>
      </c>
      <c r="G2560" t="s">
        <v>196</v>
      </c>
      <c r="H2560" t="s">
        <v>53</v>
      </c>
      <c r="I2560" t="s">
        <v>53</v>
      </c>
      <c r="J2560" s="5" t="s">
        <v>53</v>
      </c>
      <c r="K2560" t="s">
        <v>292</v>
      </c>
      <c r="L2560" s="6">
        <v>43191</v>
      </c>
      <c r="M2560">
        <v>4</v>
      </c>
      <c r="N2560" s="7" t="s">
        <v>23</v>
      </c>
      <c r="O2560" t="s">
        <v>31</v>
      </c>
      <c r="P2560" t="s">
        <v>293</v>
      </c>
      <c r="Q2560" t="s">
        <v>294</v>
      </c>
      <c r="R2560" t="s">
        <v>274</v>
      </c>
    </row>
    <row r="2561" spans="1:18" hidden="1">
      <c r="A2561">
        <v>1</v>
      </c>
      <c r="B2561" s="4" t="s">
        <v>16</v>
      </c>
      <c r="C2561" s="4" t="s">
        <v>188</v>
      </c>
      <c r="D2561" s="4" t="s">
        <v>272</v>
      </c>
      <c r="E2561" s="4" t="s">
        <v>5804</v>
      </c>
      <c r="F2561" t="s">
        <v>196</v>
      </c>
      <c r="G2561" t="s">
        <v>196</v>
      </c>
      <c r="H2561" t="s">
        <v>53</v>
      </c>
      <c r="I2561" t="s">
        <v>53</v>
      </c>
      <c r="J2561" s="5" t="s">
        <v>53</v>
      </c>
      <c r="K2561" t="s">
        <v>295</v>
      </c>
      <c r="L2561" s="6">
        <v>43221</v>
      </c>
      <c r="M2561">
        <v>5</v>
      </c>
      <c r="N2561" s="7" t="s">
        <v>23</v>
      </c>
      <c r="O2561" t="s">
        <v>31</v>
      </c>
      <c r="P2561" t="s">
        <v>296</v>
      </c>
      <c r="Q2561" t="s">
        <v>294</v>
      </c>
      <c r="R2561" t="s">
        <v>274</v>
      </c>
    </row>
    <row r="2562" spans="1:18" hidden="1">
      <c r="A2562">
        <v>1</v>
      </c>
      <c r="B2562" s="4" t="s">
        <v>16</v>
      </c>
      <c r="C2562" s="4" t="s">
        <v>188</v>
      </c>
      <c r="D2562" s="4" t="s">
        <v>272</v>
      </c>
      <c r="E2562" s="4" t="s">
        <v>5804</v>
      </c>
      <c r="F2562" t="s">
        <v>196</v>
      </c>
      <c r="G2562" t="s">
        <v>196</v>
      </c>
      <c r="H2562" t="s">
        <v>53</v>
      </c>
      <c r="I2562" t="s">
        <v>53</v>
      </c>
      <c r="J2562" s="5" t="s">
        <v>53</v>
      </c>
      <c r="K2562" t="s">
        <v>146</v>
      </c>
      <c r="L2562" s="6">
        <v>43313</v>
      </c>
      <c r="M2562">
        <v>8</v>
      </c>
      <c r="N2562" s="7" t="s">
        <v>55</v>
      </c>
      <c r="O2562" t="s">
        <v>223</v>
      </c>
      <c r="P2562" t="s">
        <v>297</v>
      </c>
      <c r="Q2562" t="s">
        <v>276</v>
      </c>
      <c r="R2562" t="s">
        <v>277</v>
      </c>
    </row>
    <row r="2563" spans="1:18" hidden="1">
      <c r="A2563">
        <v>1</v>
      </c>
      <c r="B2563" s="4" t="s">
        <v>16</v>
      </c>
      <c r="C2563" s="4" t="s">
        <v>188</v>
      </c>
      <c r="D2563" s="4" t="s">
        <v>272</v>
      </c>
      <c r="E2563" s="4" t="s">
        <v>5804</v>
      </c>
      <c r="F2563" t="s">
        <v>196</v>
      </c>
      <c r="G2563" t="s">
        <v>196</v>
      </c>
      <c r="H2563" t="s">
        <v>53</v>
      </c>
      <c r="I2563" t="s">
        <v>53</v>
      </c>
      <c r="J2563" s="5" t="s">
        <v>53</v>
      </c>
      <c r="K2563" t="s">
        <v>298</v>
      </c>
      <c r="L2563" s="6">
        <v>43344</v>
      </c>
      <c r="M2563">
        <v>9</v>
      </c>
      <c r="N2563" s="7" t="s">
        <v>23</v>
      </c>
      <c r="O2563" t="s">
        <v>31</v>
      </c>
      <c r="P2563" t="s">
        <v>299</v>
      </c>
      <c r="Q2563" t="s">
        <v>300</v>
      </c>
      <c r="R2563" t="s">
        <v>301</v>
      </c>
    </row>
    <row r="2564" spans="1:18" hidden="1">
      <c r="A2564">
        <v>1</v>
      </c>
      <c r="B2564" s="4" t="s">
        <v>16</v>
      </c>
      <c r="C2564" s="4" t="s">
        <v>188</v>
      </c>
      <c r="D2564" s="4" t="s">
        <v>272</v>
      </c>
      <c r="E2564" s="4" t="s">
        <v>5804</v>
      </c>
      <c r="F2564" t="s">
        <v>196</v>
      </c>
      <c r="G2564" t="s">
        <v>196</v>
      </c>
      <c r="H2564" t="s">
        <v>53</v>
      </c>
      <c r="I2564" t="s">
        <v>53</v>
      </c>
      <c r="J2564" s="5" t="s">
        <v>53</v>
      </c>
      <c r="K2564" t="s">
        <v>164</v>
      </c>
      <c r="L2564" s="6">
        <v>43617</v>
      </c>
      <c r="M2564">
        <v>6</v>
      </c>
      <c r="N2564" s="7" t="s">
        <v>55</v>
      </c>
      <c r="O2564" t="s">
        <v>66</v>
      </c>
      <c r="P2564" t="s">
        <v>302</v>
      </c>
      <c r="Q2564" t="s">
        <v>286</v>
      </c>
      <c r="R2564" t="s">
        <v>303</v>
      </c>
    </row>
    <row r="2565" spans="1:18" hidden="1">
      <c r="A2565">
        <v>1</v>
      </c>
      <c r="B2565" s="4" t="s">
        <v>16</v>
      </c>
      <c r="C2565" s="4" t="s">
        <v>188</v>
      </c>
      <c r="D2565" s="4" t="s">
        <v>272</v>
      </c>
      <c r="E2565" s="4" t="s">
        <v>5804</v>
      </c>
      <c r="F2565" t="s">
        <v>196</v>
      </c>
      <c r="G2565" t="s">
        <v>196</v>
      </c>
      <c r="H2565" t="s">
        <v>53</v>
      </c>
      <c r="I2565" t="s">
        <v>53</v>
      </c>
      <c r="J2565" s="5" t="s">
        <v>53</v>
      </c>
      <c r="K2565" t="s">
        <v>168</v>
      </c>
      <c r="L2565" s="6">
        <v>43678</v>
      </c>
      <c r="M2565">
        <v>8</v>
      </c>
      <c r="N2565" s="7" t="s">
        <v>55</v>
      </c>
      <c r="O2565" t="s">
        <v>31</v>
      </c>
      <c r="P2565" t="s">
        <v>308</v>
      </c>
      <c r="Q2565" t="s">
        <v>294</v>
      </c>
      <c r="R2565" t="s">
        <v>274</v>
      </c>
    </row>
    <row r="2566" spans="1:18" hidden="1">
      <c r="A2566">
        <v>1</v>
      </c>
      <c r="B2566" s="4" t="s">
        <v>16</v>
      </c>
      <c r="C2566" s="4" t="s">
        <v>188</v>
      </c>
      <c r="D2566" s="4" t="s">
        <v>272</v>
      </c>
      <c r="E2566" s="4" t="s">
        <v>5804</v>
      </c>
      <c r="F2566" t="s">
        <v>196</v>
      </c>
      <c r="G2566" t="s">
        <v>196</v>
      </c>
      <c r="H2566" t="s">
        <v>53</v>
      </c>
      <c r="I2566" t="s">
        <v>53</v>
      </c>
      <c r="J2566" s="5" t="s">
        <v>53</v>
      </c>
      <c r="K2566" t="s">
        <v>168</v>
      </c>
      <c r="L2566" s="6">
        <v>43678</v>
      </c>
      <c r="M2566">
        <v>8</v>
      </c>
      <c r="N2566" s="7" t="s">
        <v>55</v>
      </c>
      <c r="O2566" t="s">
        <v>31</v>
      </c>
      <c r="P2566" t="s">
        <v>309</v>
      </c>
      <c r="Q2566" t="s">
        <v>294</v>
      </c>
      <c r="R2566" t="s">
        <v>310</v>
      </c>
    </row>
    <row r="2567" spans="1:18" hidden="1">
      <c r="A2567">
        <v>1</v>
      </c>
      <c r="B2567" s="4" t="s">
        <v>16</v>
      </c>
      <c r="C2567" s="4" t="s">
        <v>188</v>
      </c>
      <c r="D2567" s="4" t="s">
        <v>272</v>
      </c>
      <c r="E2567" s="4" t="s">
        <v>5804</v>
      </c>
      <c r="F2567" t="s">
        <v>196</v>
      </c>
      <c r="G2567" t="s">
        <v>196</v>
      </c>
      <c r="H2567" t="s">
        <v>53</v>
      </c>
      <c r="I2567" t="s">
        <v>53</v>
      </c>
      <c r="J2567" s="5" t="s">
        <v>53</v>
      </c>
      <c r="K2567" t="s">
        <v>311</v>
      </c>
      <c r="L2567" s="6">
        <v>44256</v>
      </c>
      <c r="M2567">
        <v>3</v>
      </c>
      <c r="N2567" s="7" t="s">
        <v>23</v>
      </c>
      <c r="O2567" t="s">
        <v>31</v>
      </c>
      <c r="P2567" t="s">
        <v>312</v>
      </c>
      <c r="Q2567" t="s">
        <v>216</v>
      </c>
      <c r="R2567" t="s">
        <v>274</v>
      </c>
    </row>
    <row r="2568" spans="1:18" hidden="1">
      <c r="A2568">
        <v>1</v>
      </c>
      <c r="B2568" s="4" t="s">
        <v>16</v>
      </c>
      <c r="C2568" s="4" t="s">
        <v>188</v>
      </c>
      <c r="D2568" s="4" t="s">
        <v>313</v>
      </c>
      <c r="E2568" s="4" t="s">
        <v>5804</v>
      </c>
      <c r="F2568" t="s">
        <v>196</v>
      </c>
      <c r="G2568" t="s">
        <v>196</v>
      </c>
      <c r="H2568" t="s">
        <v>53</v>
      </c>
      <c r="I2568" t="s">
        <v>53</v>
      </c>
      <c r="J2568" s="5" t="s">
        <v>53</v>
      </c>
      <c r="K2568" t="s">
        <v>71</v>
      </c>
      <c r="L2568" s="6">
        <v>42522</v>
      </c>
      <c r="M2568">
        <v>6</v>
      </c>
      <c r="N2568" s="7" t="s">
        <v>55</v>
      </c>
      <c r="O2568" t="s">
        <v>31</v>
      </c>
      <c r="P2568" t="s">
        <v>314</v>
      </c>
      <c r="Q2568" t="s">
        <v>216</v>
      </c>
      <c r="R2568" t="s">
        <v>315</v>
      </c>
    </row>
    <row r="2569" spans="1:18" hidden="1">
      <c r="A2569">
        <v>1</v>
      </c>
      <c r="B2569" s="4" t="s">
        <v>16</v>
      </c>
      <c r="C2569" s="4" t="s">
        <v>188</v>
      </c>
      <c r="D2569" s="4" t="s">
        <v>313</v>
      </c>
      <c r="E2569" s="4" t="s">
        <v>5804</v>
      </c>
      <c r="F2569" t="s">
        <v>196</v>
      </c>
      <c r="G2569" t="s">
        <v>196</v>
      </c>
      <c r="H2569" t="s">
        <v>53</v>
      </c>
      <c r="I2569" t="s">
        <v>53</v>
      </c>
      <c r="J2569" s="5" t="s">
        <v>53</v>
      </c>
      <c r="K2569" t="s">
        <v>319</v>
      </c>
      <c r="L2569" s="6">
        <v>42583</v>
      </c>
      <c r="M2569">
        <v>8</v>
      </c>
      <c r="N2569" s="7" t="s">
        <v>55</v>
      </c>
      <c r="O2569" t="s">
        <v>88</v>
      </c>
      <c r="P2569" t="s">
        <v>320</v>
      </c>
      <c r="Q2569" t="s">
        <v>321</v>
      </c>
      <c r="R2569" t="s">
        <v>322</v>
      </c>
    </row>
    <row r="2570" spans="1:18" hidden="1">
      <c r="A2570">
        <v>11</v>
      </c>
      <c r="B2570" s="4" t="s">
        <v>554</v>
      </c>
      <c r="C2570" s="4" t="s">
        <v>696</v>
      </c>
      <c r="D2570" s="4" t="s">
        <v>759</v>
      </c>
      <c r="E2570" s="4" t="s">
        <v>5804</v>
      </c>
      <c r="F2570" t="s">
        <v>196</v>
      </c>
      <c r="G2570" t="s">
        <v>196</v>
      </c>
      <c r="H2570" t="s">
        <v>53</v>
      </c>
      <c r="I2570" t="s">
        <v>53</v>
      </c>
      <c r="J2570" s="5" t="s">
        <v>53</v>
      </c>
      <c r="K2570" t="s">
        <v>726</v>
      </c>
      <c r="L2570" s="6">
        <v>43709</v>
      </c>
      <c r="M2570">
        <v>9</v>
      </c>
      <c r="N2570" s="7" t="s">
        <v>23</v>
      </c>
      <c r="O2570" t="s">
        <v>31</v>
      </c>
      <c r="P2570" t="s">
        <v>833</v>
      </c>
      <c r="Q2570" t="s">
        <v>834</v>
      </c>
      <c r="R2570" t="s">
        <v>564</v>
      </c>
    </row>
    <row r="2571" spans="1:18" hidden="1">
      <c r="A2571">
        <v>12</v>
      </c>
      <c r="B2571" s="4" t="s">
        <v>901</v>
      </c>
      <c r="C2571" s="4" t="s">
        <v>1161</v>
      </c>
      <c r="D2571" s="4" t="s">
        <v>1361</v>
      </c>
      <c r="E2571" s="4" t="s">
        <v>5804</v>
      </c>
      <c r="F2571" t="s">
        <v>196</v>
      </c>
      <c r="G2571" t="s">
        <v>196</v>
      </c>
      <c r="H2571" t="s">
        <v>53</v>
      </c>
      <c r="I2571" t="s">
        <v>53</v>
      </c>
      <c r="J2571" s="5" t="s">
        <v>53</v>
      </c>
      <c r="K2571" t="s">
        <v>539</v>
      </c>
      <c r="L2571" s="6">
        <v>43922</v>
      </c>
      <c r="M2571">
        <v>4</v>
      </c>
      <c r="N2571" s="7" t="s">
        <v>23</v>
      </c>
      <c r="O2571" t="s">
        <v>31</v>
      </c>
      <c r="P2571" t="s">
        <v>1371</v>
      </c>
      <c r="Q2571" t="s">
        <v>1372</v>
      </c>
      <c r="R2571" t="s">
        <v>1373</v>
      </c>
    </row>
    <row r="2572" spans="1:18" hidden="1">
      <c r="A2572">
        <v>12</v>
      </c>
      <c r="B2572" s="4" t="s">
        <v>901</v>
      </c>
      <c r="C2572" s="4" t="s">
        <v>1672</v>
      </c>
      <c r="D2572" s="4" t="s">
        <v>1673</v>
      </c>
      <c r="E2572" s="4" t="s">
        <v>5804</v>
      </c>
      <c r="F2572" t="s">
        <v>196</v>
      </c>
      <c r="G2572" t="s">
        <v>196</v>
      </c>
      <c r="H2572" t="s">
        <v>53</v>
      </c>
      <c r="I2572" t="s">
        <v>53</v>
      </c>
      <c r="J2572" s="5" t="s">
        <v>53</v>
      </c>
      <c r="K2572" t="s">
        <v>369</v>
      </c>
      <c r="L2572" s="6">
        <v>44197</v>
      </c>
      <c r="M2572">
        <v>1</v>
      </c>
      <c r="N2572" s="7" t="s">
        <v>30</v>
      </c>
      <c r="O2572" t="s">
        <v>31</v>
      </c>
      <c r="P2572" t="s">
        <v>1919</v>
      </c>
      <c r="Q2572" t="s">
        <v>1920</v>
      </c>
      <c r="R2572" t="s">
        <v>1921</v>
      </c>
    </row>
    <row r="2573" spans="1:18" hidden="1">
      <c r="A2573">
        <v>2</v>
      </c>
      <c r="B2573" s="4" t="s">
        <v>1952</v>
      </c>
      <c r="C2573" s="4" t="s">
        <v>1953</v>
      </c>
      <c r="D2573" s="4" t="s">
        <v>2072</v>
      </c>
      <c r="E2573" s="4" t="s">
        <v>5804</v>
      </c>
      <c r="F2573" t="s">
        <v>196</v>
      </c>
      <c r="G2573" t="s">
        <v>196</v>
      </c>
      <c r="H2573" t="s">
        <v>53</v>
      </c>
      <c r="I2573" t="s">
        <v>53</v>
      </c>
      <c r="J2573" s="5" t="s">
        <v>53</v>
      </c>
      <c r="K2573" t="s">
        <v>204</v>
      </c>
      <c r="L2573" s="6">
        <v>43831</v>
      </c>
      <c r="M2573">
        <v>1</v>
      </c>
      <c r="N2573" s="7" t="s">
        <v>30</v>
      </c>
      <c r="O2573" t="s">
        <v>31</v>
      </c>
      <c r="P2573" t="s">
        <v>2182</v>
      </c>
      <c r="Q2573" t="s">
        <v>2183</v>
      </c>
      <c r="R2573" t="s">
        <v>2137</v>
      </c>
    </row>
    <row r="2574" spans="1:18" hidden="1">
      <c r="A2574">
        <v>2</v>
      </c>
      <c r="B2574" s="4" t="s">
        <v>1952</v>
      </c>
      <c r="C2574" s="4" t="s">
        <v>2566</v>
      </c>
      <c r="D2574" s="4" t="s">
        <v>2620</v>
      </c>
      <c r="E2574" s="4" t="s">
        <v>5804</v>
      </c>
      <c r="F2574" t="s">
        <v>196</v>
      </c>
      <c r="G2574" t="s">
        <v>196</v>
      </c>
      <c r="H2574" t="s">
        <v>53</v>
      </c>
      <c r="I2574" t="s">
        <v>53</v>
      </c>
      <c r="J2574" s="5" t="s">
        <v>53</v>
      </c>
      <c r="K2574" t="s">
        <v>245</v>
      </c>
      <c r="L2574" s="6">
        <v>43466</v>
      </c>
      <c r="M2574">
        <v>1</v>
      </c>
      <c r="N2574" s="7" t="s">
        <v>30</v>
      </c>
      <c r="O2574" t="s">
        <v>31</v>
      </c>
      <c r="P2574" t="s">
        <v>2682</v>
      </c>
      <c r="Q2574" t="s">
        <v>2683</v>
      </c>
      <c r="R2574" t="s">
        <v>2684</v>
      </c>
    </row>
    <row r="2575" spans="1:18" hidden="1">
      <c r="A2575">
        <v>9</v>
      </c>
      <c r="B2575" s="4" t="s">
        <v>5727</v>
      </c>
      <c r="C2575" s="4" t="s">
        <v>5770</v>
      </c>
      <c r="D2575" s="4" t="s">
        <v>5771</v>
      </c>
      <c r="E2575" s="4" t="s">
        <v>5805</v>
      </c>
      <c r="F2575" t="s">
        <v>196</v>
      </c>
      <c r="G2575" t="s">
        <v>196</v>
      </c>
      <c r="H2575" t="s">
        <v>53</v>
      </c>
      <c r="I2575" t="s">
        <v>53</v>
      </c>
      <c r="J2575" s="5" t="s">
        <v>53</v>
      </c>
      <c r="K2575" t="s">
        <v>164</v>
      </c>
      <c r="L2575" s="6">
        <v>43617</v>
      </c>
      <c r="M2575">
        <v>6</v>
      </c>
      <c r="N2575" s="7" t="s">
        <v>55</v>
      </c>
      <c r="O2575" t="s">
        <v>31</v>
      </c>
      <c r="P2575" t="s">
        <v>5773</v>
      </c>
      <c r="Q2575" t="s">
        <v>5774</v>
      </c>
      <c r="R2575" t="s">
        <v>5775</v>
      </c>
    </row>
  </sheetData>
  <autoFilter ref="A1:R2575" xr:uid="{2C4B831E-F59B-EE4E-8D7F-3B9B8924C6CF}">
    <filterColumn colId="1">
      <filters>
        <filter val="3. 철골공사"/>
      </filters>
    </filterColumn>
    <sortState xmlns:xlrd2="http://schemas.microsoft.com/office/spreadsheetml/2017/richdata2" ref="A2:R2575">
      <sortCondition ref="F1:F2575"/>
    </sortState>
  </autoFilter>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06280-A64F-1642-B826-81BF37DB3805}">
  <sheetPr>
    <tabColor theme="7" tint="0.79998168889431442"/>
  </sheetPr>
  <dimension ref="B2:V52"/>
  <sheetViews>
    <sheetView zoomScaleNormal="100" workbookViewId="0">
      <selection activeCell="V32" sqref="V32"/>
    </sheetView>
  </sheetViews>
  <sheetFormatPr baseColWidth="10" defaultRowHeight="18"/>
  <cols>
    <col min="1" max="1" width="5.7109375" customWidth="1"/>
    <col min="2" max="2" width="18.85546875" hidden="1" customWidth="1"/>
    <col min="3" max="3" width="5.7109375" hidden="1" customWidth="1"/>
    <col min="4" max="4" width="8.7109375" hidden="1" customWidth="1"/>
    <col min="5" max="5" width="5" hidden="1" customWidth="1"/>
    <col min="6" max="6" width="27.7109375" hidden="1" customWidth="1"/>
    <col min="7" max="7" width="5.7109375" hidden="1" customWidth="1"/>
    <col min="8" max="8" width="8.7109375" hidden="1" customWidth="1"/>
    <col min="9" max="9" width="6.5703125" hidden="1" customWidth="1"/>
    <col min="10" max="10" width="41.85546875" bestFit="1" customWidth="1"/>
    <col min="11" max="11" width="5.7109375" bestFit="1" customWidth="1"/>
    <col min="12" max="12" width="8.7109375" bestFit="1" customWidth="1"/>
    <col min="13" max="13" width="25" bestFit="1" customWidth="1"/>
    <col min="16" max="16" width="48.140625" bestFit="1" customWidth="1"/>
    <col min="18" max="18" width="19.140625" bestFit="1" customWidth="1"/>
    <col min="19" max="19" width="39.140625" bestFit="1" customWidth="1"/>
  </cols>
  <sheetData>
    <row r="2" spans="2:22" ht="19" thickBot="1">
      <c r="J2" s="12" t="s">
        <v>5802</v>
      </c>
      <c r="M2" t="s">
        <v>5813</v>
      </c>
    </row>
    <row r="3" spans="2:22">
      <c r="B3" s="12" t="s">
        <v>5791</v>
      </c>
      <c r="R3" t="s">
        <v>6073</v>
      </c>
      <c r="S3" s="19" t="s">
        <v>5812</v>
      </c>
      <c r="T3" s="19" t="s">
        <v>5788</v>
      </c>
      <c r="U3" s="19" t="s">
        <v>5787</v>
      </c>
      <c r="V3" s="23" t="s">
        <v>6074</v>
      </c>
    </row>
    <row r="4" spans="2:22" ht="20">
      <c r="P4" s="16" t="s">
        <v>5815</v>
      </c>
      <c r="R4" s="20" t="s">
        <v>5871</v>
      </c>
      <c r="S4" s="21" t="s">
        <v>4207</v>
      </c>
      <c r="T4" s="12">
        <v>255</v>
      </c>
      <c r="U4" s="22">
        <v>0.10075069142631371</v>
      </c>
      <c r="V4">
        <v>1</v>
      </c>
    </row>
    <row r="5" spans="2:22" ht="20">
      <c r="B5" s="8" t="s">
        <v>1</v>
      </c>
      <c r="C5" t="s">
        <v>5788</v>
      </c>
      <c r="D5" t="s">
        <v>5787</v>
      </c>
      <c r="F5" s="8" t="s">
        <v>5784</v>
      </c>
      <c r="G5" t="s">
        <v>5788</v>
      </c>
      <c r="H5" t="s">
        <v>5787</v>
      </c>
      <c r="J5" s="8" t="s">
        <v>5812</v>
      </c>
      <c r="K5" t="s">
        <v>5788</v>
      </c>
      <c r="L5" t="s">
        <v>5787</v>
      </c>
      <c r="P5" s="18"/>
      <c r="R5" s="20" t="s">
        <v>4600</v>
      </c>
      <c r="S5" s="21" t="s">
        <v>4933</v>
      </c>
      <c r="T5" s="12">
        <v>208</v>
      </c>
      <c r="U5" s="22">
        <v>8.2180956143816666E-2</v>
      </c>
      <c r="V5">
        <v>2</v>
      </c>
    </row>
    <row r="6" spans="2:22" ht="20">
      <c r="B6" t="s">
        <v>3127</v>
      </c>
      <c r="C6">
        <v>751</v>
      </c>
      <c r="D6" s="11">
        <v>0.29672066376926115</v>
      </c>
      <c r="F6" s="9" t="s">
        <v>3127</v>
      </c>
      <c r="G6">
        <v>751</v>
      </c>
      <c r="H6" s="11">
        <v>0.29672066376926115</v>
      </c>
      <c r="J6" s="9" t="s">
        <v>3127</v>
      </c>
      <c r="L6" s="11"/>
      <c r="P6" s="17" t="s">
        <v>5816</v>
      </c>
      <c r="R6" s="20" t="s">
        <v>1952</v>
      </c>
      <c r="S6" s="21" t="s">
        <v>1953</v>
      </c>
      <c r="T6" s="12">
        <v>180</v>
      </c>
      <c r="U6" s="22">
        <v>7.1118135124456736E-2</v>
      </c>
      <c r="V6">
        <v>3</v>
      </c>
    </row>
    <row r="7" spans="2:22" ht="20">
      <c r="B7" t="s">
        <v>901</v>
      </c>
      <c r="C7">
        <v>463</v>
      </c>
      <c r="D7" s="11">
        <v>0.18293164757013039</v>
      </c>
      <c r="F7" s="10" t="s">
        <v>3128</v>
      </c>
      <c r="G7">
        <v>115</v>
      </c>
      <c r="H7" s="11">
        <v>4.5436586329514028E-2</v>
      </c>
      <c r="J7" s="10" t="s">
        <v>4207</v>
      </c>
      <c r="K7">
        <v>255</v>
      </c>
      <c r="L7" s="11">
        <v>0.10075069142631371</v>
      </c>
      <c r="P7" s="18"/>
      <c r="R7" s="20" t="s">
        <v>2764</v>
      </c>
      <c r="S7" s="21" t="s">
        <v>2765</v>
      </c>
      <c r="T7" s="12">
        <v>167</v>
      </c>
      <c r="U7" s="22">
        <v>6.5981825365468191E-2</v>
      </c>
      <c r="V7">
        <v>4</v>
      </c>
    </row>
    <row r="8" spans="2:22" ht="20">
      <c r="B8" t="s">
        <v>4600</v>
      </c>
      <c r="C8">
        <v>390</v>
      </c>
      <c r="D8" s="11">
        <v>0.15408929276965627</v>
      </c>
      <c r="F8" s="10" t="s">
        <v>3374</v>
      </c>
      <c r="G8">
        <v>58</v>
      </c>
      <c r="H8" s="11">
        <v>2.2915843540102725E-2</v>
      </c>
      <c r="J8" s="10" t="s">
        <v>3597</v>
      </c>
      <c r="K8">
        <v>116</v>
      </c>
      <c r="L8" s="11">
        <v>4.5831687080205449E-2</v>
      </c>
      <c r="P8" s="18" t="s">
        <v>5825</v>
      </c>
      <c r="R8" s="20" t="s">
        <v>4600</v>
      </c>
      <c r="S8" s="21" t="s">
        <v>4601</v>
      </c>
      <c r="T8" s="12">
        <v>150</v>
      </c>
      <c r="U8" s="22">
        <v>5.9265112603713949E-2</v>
      </c>
      <c r="V8">
        <v>5</v>
      </c>
    </row>
    <row r="9" spans="2:22" ht="20">
      <c r="B9" t="s">
        <v>1952</v>
      </c>
      <c r="C9">
        <v>336</v>
      </c>
      <c r="D9" s="11">
        <v>0.13275385223231925</v>
      </c>
      <c r="F9" s="10" t="s">
        <v>3506</v>
      </c>
      <c r="G9">
        <v>40</v>
      </c>
      <c r="H9" s="11">
        <v>1.5804030027657054E-2</v>
      </c>
      <c r="J9" s="10" t="s">
        <v>3128</v>
      </c>
      <c r="K9">
        <v>115</v>
      </c>
      <c r="L9" s="11">
        <v>4.5436586329514028E-2</v>
      </c>
      <c r="P9" s="18" t="s">
        <v>5820</v>
      </c>
      <c r="R9" s="20" t="s">
        <v>901</v>
      </c>
      <c r="S9" s="21" t="s">
        <v>1161</v>
      </c>
      <c r="T9" s="12">
        <v>127</v>
      </c>
      <c r="U9" s="22">
        <v>5.0177795337811144E-2</v>
      </c>
      <c r="V9">
        <v>6</v>
      </c>
    </row>
    <row r="10" spans="2:22" ht="20">
      <c r="B10" t="s">
        <v>2764</v>
      </c>
      <c r="C10">
        <v>167</v>
      </c>
      <c r="D10" s="11">
        <v>6.5981825365468191E-2</v>
      </c>
      <c r="F10" s="10" t="s">
        <v>3597</v>
      </c>
      <c r="G10">
        <v>116</v>
      </c>
      <c r="H10" s="11">
        <v>4.5831687080205449E-2</v>
      </c>
      <c r="J10" s="10" t="s">
        <v>4035</v>
      </c>
      <c r="K10">
        <v>67</v>
      </c>
      <c r="L10" s="11">
        <v>2.6471750296325564E-2</v>
      </c>
      <c r="P10" s="17" t="s">
        <v>5821</v>
      </c>
      <c r="R10" s="20" t="s">
        <v>901</v>
      </c>
      <c r="S10" s="21" t="s">
        <v>1672</v>
      </c>
      <c r="T10" s="12">
        <v>126</v>
      </c>
      <c r="U10" s="22">
        <v>4.9782694587119716E-2</v>
      </c>
      <c r="V10">
        <v>7</v>
      </c>
    </row>
    <row r="11" spans="2:22" ht="20">
      <c r="B11" t="s">
        <v>554</v>
      </c>
      <c r="C11">
        <v>157</v>
      </c>
      <c r="D11" s="11">
        <v>6.2030817858553931E-2</v>
      </c>
      <c r="F11" s="10" t="s">
        <v>3789</v>
      </c>
      <c r="G11">
        <v>61</v>
      </c>
      <c r="H11" s="11">
        <v>2.4101145792177005E-2</v>
      </c>
      <c r="J11" s="10" t="s">
        <v>3789</v>
      </c>
      <c r="K11">
        <v>61</v>
      </c>
      <c r="L11" s="11">
        <v>2.4101145792177005E-2</v>
      </c>
      <c r="P11" s="17" t="s">
        <v>5822</v>
      </c>
      <c r="R11" s="20" t="s">
        <v>901</v>
      </c>
      <c r="S11" s="21" t="s">
        <v>902</v>
      </c>
      <c r="T11" s="12">
        <v>124</v>
      </c>
      <c r="U11" s="22">
        <v>4.899249308573686E-2</v>
      </c>
      <c r="V11">
        <v>8</v>
      </c>
    </row>
    <row r="12" spans="2:22" ht="20">
      <c r="B12" t="s">
        <v>16</v>
      </c>
      <c r="C12">
        <v>153</v>
      </c>
      <c r="D12" s="11">
        <v>6.0450414855788226E-2</v>
      </c>
      <c r="F12" s="10" t="s">
        <v>3939</v>
      </c>
      <c r="G12">
        <v>39</v>
      </c>
      <c r="H12" s="11">
        <v>1.5408929276965626E-2</v>
      </c>
      <c r="J12" s="10" t="s">
        <v>3374</v>
      </c>
      <c r="K12">
        <v>58</v>
      </c>
      <c r="L12" s="11">
        <v>2.2915843540102725E-2</v>
      </c>
      <c r="P12" s="17" t="s">
        <v>5823</v>
      </c>
      <c r="R12" s="20" t="s">
        <v>5871</v>
      </c>
      <c r="S12" s="21" t="s">
        <v>3597</v>
      </c>
      <c r="T12" s="12">
        <v>116</v>
      </c>
      <c r="U12" s="22">
        <v>4.5831687080205449E-2</v>
      </c>
      <c r="V12">
        <v>9</v>
      </c>
    </row>
    <row r="13" spans="2:22" ht="20">
      <c r="B13" t="s">
        <v>5462</v>
      </c>
      <c r="C13">
        <v>60</v>
      </c>
      <c r="D13" s="11">
        <v>2.3706045041485577E-2</v>
      </c>
      <c r="F13" s="10" t="s">
        <v>4035</v>
      </c>
      <c r="G13">
        <v>67</v>
      </c>
      <c r="H13" s="11">
        <v>2.6471750296325564E-2</v>
      </c>
      <c r="J13" s="10" t="s">
        <v>3506</v>
      </c>
      <c r="K13">
        <v>40</v>
      </c>
      <c r="L13" s="11">
        <v>1.5804030027657054E-2</v>
      </c>
      <c r="P13" s="17" t="s">
        <v>5824</v>
      </c>
      <c r="R13" s="20" t="s">
        <v>5871</v>
      </c>
      <c r="S13" s="21" t="s">
        <v>3128</v>
      </c>
      <c r="T13" s="12">
        <v>115</v>
      </c>
      <c r="U13" s="22">
        <v>4.5436586329514028E-2</v>
      </c>
      <c r="V13">
        <v>10</v>
      </c>
    </row>
    <row r="14" spans="2:22" ht="20">
      <c r="B14" t="s">
        <v>5586</v>
      </c>
      <c r="C14">
        <v>54</v>
      </c>
      <c r="D14" s="11">
        <v>2.1335440537337019E-2</v>
      </c>
      <c r="F14" s="10" t="s">
        <v>4207</v>
      </c>
      <c r="G14">
        <v>255</v>
      </c>
      <c r="H14" s="11">
        <v>0.10075069142631371</v>
      </c>
      <c r="J14" s="10" t="s">
        <v>3939</v>
      </c>
      <c r="K14">
        <v>39</v>
      </c>
      <c r="L14" s="11">
        <v>1.5408929276965626E-2</v>
      </c>
      <c r="P14" s="18"/>
      <c r="R14" s="20" t="s">
        <v>554</v>
      </c>
      <c r="S14" s="21" t="s">
        <v>696</v>
      </c>
      <c r="T14" s="12">
        <v>106</v>
      </c>
      <c r="U14" s="22">
        <v>4.1880679573291189E-2</v>
      </c>
      <c r="V14">
        <v>11</v>
      </c>
    </row>
    <row r="15" spans="2:22" ht="20">
      <c r="B15" t="s">
        <v>5785</v>
      </c>
      <c r="C15">
        <v>2531</v>
      </c>
      <c r="D15" s="11">
        <v>1</v>
      </c>
      <c r="F15" s="9" t="s">
        <v>901</v>
      </c>
      <c r="G15">
        <v>463</v>
      </c>
      <c r="H15" s="11">
        <v>0.18293164757013039</v>
      </c>
      <c r="J15" s="9" t="s">
        <v>901</v>
      </c>
      <c r="L15" s="11"/>
      <c r="P15" s="17" t="s">
        <v>5828</v>
      </c>
      <c r="R15" s="20" t="s">
        <v>1952</v>
      </c>
      <c r="S15" s="21" t="s">
        <v>2566</v>
      </c>
      <c r="T15" s="12">
        <v>79</v>
      </c>
      <c r="U15" s="22">
        <v>3.121295930462268E-2</v>
      </c>
      <c r="V15">
        <v>12</v>
      </c>
    </row>
    <row r="16" spans="2:22">
      <c r="F16" s="9" t="s">
        <v>4600</v>
      </c>
      <c r="G16">
        <v>390</v>
      </c>
      <c r="H16" s="11">
        <v>0.15408929276965627</v>
      </c>
      <c r="J16" s="10" t="s">
        <v>1161</v>
      </c>
      <c r="K16">
        <v>127</v>
      </c>
      <c r="L16" s="11">
        <v>5.0177795337811144E-2</v>
      </c>
      <c r="R16" s="20" t="s">
        <v>5871</v>
      </c>
      <c r="S16" s="21" t="s">
        <v>4035</v>
      </c>
      <c r="T16" s="12">
        <v>67</v>
      </c>
      <c r="U16" s="22">
        <v>2.6471750296325564E-2</v>
      </c>
      <c r="V16">
        <v>13</v>
      </c>
    </row>
    <row r="17" spans="6:22" ht="20">
      <c r="F17" s="9" t="s">
        <v>1952</v>
      </c>
      <c r="G17">
        <v>336</v>
      </c>
      <c r="H17" s="11">
        <v>0.13275385223231925</v>
      </c>
      <c r="J17" s="10" t="s">
        <v>1672</v>
      </c>
      <c r="K17">
        <v>126</v>
      </c>
      <c r="L17" s="11">
        <v>4.9782694587119716E-2</v>
      </c>
      <c r="P17" s="17" t="s">
        <v>6072</v>
      </c>
      <c r="R17" s="20" t="s">
        <v>5871</v>
      </c>
      <c r="S17" s="21" t="s">
        <v>3789</v>
      </c>
      <c r="T17" s="12">
        <v>61</v>
      </c>
      <c r="U17" s="22">
        <v>2.4101145792177005E-2</v>
      </c>
      <c r="V17">
        <v>14</v>
      </c>
    </row>
    <row r="18" spans="6:22">
      <c r="F18" s="9" t="s">
        <v>2764</v>
      </c>
      <c r="G18">
        <v>167</v>
      </c>
      <c r="H18" s="11">
        <v>6.5981825365468191E-2</v>
      </c>
      <c r="J18" s="10" t="s">
        <v>902</v>
      </c>
      <c r="K18">
        <v>124</v>
      </c>
      <c r="L18" s="11">
        <v>4.899249308573686E-2</v>
      </c>
      <c r="R18" s="20" t="s">
        <v>5462</v>
      </c>
      <c r="S18" s="21" t="s">
        <v>5463</v>
      </c>
      <c r="T18" s="12">
        <v>60</v>
      </c>
      <c r="U18" s="22">
        <v>2.3706045041485577E-2</v>
      </c>
      <c r="V18">
        <v>15</v>
      </c>
    </row>
    <row r="19" spans="6:22">
      <c r="F19" s="9" t="s">
        <v>554</v>
      </c>
      <c r="G19">
        <v>157</v>
      </c>
      <c r="H19" s="11">
        <v>6.2030817858553931E-2</v>
      </c>
      <c r="J19" s="10" t="s">
        <v>1463</v>
      </c>
      <c r="K19">
        <v>47</v>
      </c>
      <c r="L19" s="11">
        <v>1.8569735282497037E-2</v>
      </c>
      <c r="R19" s="20" t="s">
        <v>5871</v>
      </c>
      <c r="S19" s="21" t="s">
        <v>3374</v>
      </c>
      <c r="T19" s="12">
        <v>58</v>
      </c>
      <c r="U19" s="22">
        <v>2.2915843540102725E-2</v>
      </c>
      <c r="V19">
        <v>16</v>
      </c>
    </row>
    <row r="20" spans="6:22">
      <c r="F20" s="9" t="s">
        <v>16</v>
      </c>
      <c r="G20">
        <v>153</v>
      </c>
      <c r="H20" s="11">
        <v>6.0450414855788226E-2</v>
      </c>
      <c r="J20" s="10" t="s">
        <v>1600</v>
      </c>
      <c r="K20">
        <v>25</v>
      </c>
      <c r="L20" s="11">
        <v>9.8775187672856587E-3</v>
      </c>
      <c r="R20" s="20" t="s">
        <v>1952</v>
      </c>
      <c r="S20" s="21" t="s">
        <v>2425</v>
      </c>
      <c r="T20" s="12">
        <v>51</v>
      </c>
      <c r="U20" s="22">
        <v>2.0150138285262742E-2</v>
      </c>
      <c r="V20">
        <v>17</v>
      </c>
    </row>
    <row r="21" spans="6:22">
      <c r="F21" s="9" t="s">
        <v>5462</v>
      </c>
      <c r="G21">
        <v>60</v>
      </c>
      <c r="H21" s="11">
        <v>2.3706045041485577E-2</v>
      </c>
      <c r="J21" s="10" t="s">
        <v>1414</v>
      </c>
      <c r="K21">
        <v>12</v>
      </c>
      <c r="L21" s="11">
        <v>4.7412090082971162E-3</v>
      </c>
      <c r="R21" s="20" t="s">
        <v>16</v>
      </c>
      <c r="S21" s="21" t="s">
        <v>323</v>
      </c>
      <c r="T21" s="12">
        <v>48</v>
      </c>
      <c r="U21" s="22">
        <v>1.8964836033188465E-2</v>
      </c>
      <c r="V21">
        <v>18</v>
      </c>
    </row>
    <row r="22" spans="6:22">
      <c r="F22" s="9" t="s">
        <v>5586</v>
      </c>
      <c r="G22">
        <v>54</v>
      </c>
      <c r="H22" s="11">
        <v>2.1335440537337019E-2</v>
      </c>
      <c r="J22" s="10" t="s">
        <v>1455</v>
      </c>
      <c r="K22">
        <v>2</v>
      </c>
      <c r="L22" s="11">
        <v>7.9020150138285259E-4</v>
      </c>
      <c r="R22" s="20" t="s">
        <v>901</v>
      </c>
      <c r="S22" s="21" t="s">
        <v>1463</v>
      </c>
      <c r="T22" s="12">
        <v>47</v>
      </c>
      <c r="U22" s="22">
        <v>1.8569735282497037E-2</v>
      </c>
      <c r="V22">
        <v>19</v>
      </c>
    </row>
    <row r="23" spans="6:22">
      <c r="F23" s="9" t="s">
        <v>5785</v>
      </c>
      <c r="G23">
        <v>2531</v>
      </c>
      <c r="H23" s="11">
        <v>1</v>
      </c>
      <c r="J23" s="9" t="s">
        <v>4600</v>
      </c>
      <c r="L23" s="11"/>
      <c r="R23" s="20" t="s">
        <v>16</v>
      </c>
      <c r="S23" s="21" t="s">
        <v>17</v>
      </c>
      <c r="T23" s="12">
        <v>46</v>
      </c>
      <c r="U23" s="22">
        <v>1.8174634531805612E-2</v>
      </c>
      <c r="V23">
        <v>20</v>
      </c>
    </row>
    <row r="24" spans="6:22">
      <c r="J24" s="10" t="s">
        <v>4933</v>
      </c>
      <c r="K24">
        <v>208</v>
      </c>
      <c r="L24" s="11">
        <v>8.2180956143816666E-2</v>
      </c>
      <c r="R24" s="20" t="s">
        <v>16</v>
      </c>
      <c r="S24" s="21" t="s">
        <v>188</v>
      </c>
      <c r="T24" s="12">
        <v>45</v>
      </c>
      <c r="U24" s="22">
        <v>1.7779533781114184E-2</v>
      </c>
      <c r="V24">
        <v>21</v>
      </c>
    </row>
    <row r="25" spans="6:22">
      <c r="J25" s="10" t="s">
        <v>4601</v>
      </c>
      <c r="K25">
        <v>150</v>
      </c>
      <c r="L25" s="11">
        <v>5.9265112603713949E-2</v>
      </c>
      <c r="R25" s="20" t="s">
        <v>5871</v>
      </c>
      <c r="S25" s="21" t="s">
        <v>3506</v>
      </c>
      <c r="T25" s="12">
        <v>40</v>
      </c>
      <c r="U25" s="22">
        <v>1.5804030027657054E-2</v>
      </c>
      <c r="V25">
        <v>22</v>
      </c>
    </row>
    <row r="26" spans="6:22">
      <c r="J26" s="10" t="s">
        <v>5385</v>
      </c>
      <c r="K26">
        <v>32</v>
      </c>
      <c r="L26" s="11">
        <v>1.2643224022125641E-2</v>
      </c>
      <c r="R26" s="20" t="s">
        <v>5871</v>
      </c>
      <c r="S26" s="21" t="s">
        <v>3939</v>
      </c>
      <c r="T26" s="12">
        <v>39</v>
      </c>
      <c r="U26" s="22">
        <v>1.5408929276965626E-2</v>
      </c>
      <c r="V26">
        <v>23</v>
      </c>
    </row>
    <row r="27" spans="6:22">
      <c r="J27" s="9" t="s">
        <v>1952</v>
      </c>
      <c r="L27" s="11"/>
      <c r="R27" s="20" t="s">
        <v>554</v>
      </c>
      <c r="S27" s="21" t="s">
        <v>555</v>
      </c>
      <c r="T27" s="12">
        <v>36</v>
      </c>
      <c r="U27" s="22">
        <v>1.4223627024891347E-2</v>
      </c>
      <c r="V27">
        <v>24</v>
      </c>
    </row>
    <row r="28" spans="6:22">
      <c r="J28" s="10" t="s">
        <v>1953</v>
      </c>
      <c r="K28">
        <v>180</v>
      </c>
      <c r="L28" s="11">
        <v>7.1118135124456736E-2</v>
      </c>
      <c r="R28" s="20" t="s">
        <v>4600</v>
      </c>
      <c r="S28" s="21" t="s">
        <v>5385</v>
      </c>
      <c r="T28" s="12">
        <v>32</v>
      </c>
      <c r="U28" s="22">
        <v>1.2643224022125641E-2</v>
      </c>
      <c r="V28">
        <v>25</v>
      </c>
    </row>
    <row r="29" spans="6:22">
      <c r="J29" s="10" t="s">
        <v>2566</v>
      </c>
      <c r="K29">
        <v>79</v>
      </c>
      <c r="L29" s="11">
        <v>3.121295930462268E-2</v>
      </c>
      <c r="R29" s="20" t="s">
        <v>5586</v>
      </c>
      <c r="S29" s="21" t="s">
        <v>5587</v>
      </c>
      <c r="T29" s="12">
        <v>31</v>
      </c>
      <c r="U29" s="22">
        <v>1.2248123271434215E-2</v>
      </c>
      <c r="V29">
        <v>26</v>
      </c>
    </row>
    <row r="30" spans="6:22">
      <c r="J30" s="10" t="s">
        <v>2425</v>
      </c>
      <c r="K30">
        <v>51</v>
      </c>
      <c r="L30" s="11">
        <v>2.0150138285262742E-2</v>
      </c>
      <c r="R30" s="20" t="s">
        <v>1952</v>
      </c>
      <c r="S30" s="21" t="s">
        <v>2349</v>
      </c>
      <c r="T30" s="12">
        <v>26</v>
      </c>
      <c r="U30" s="22">
        <v>1.0272619517977083E-2</v>
      </c>
      <c r="V30">
        <v>27</v>
      </c>
    </row>
    <row r="31" spans="6:22">
      <c r="J31" s="10" t="s">
        <v>2349</v>
      </c>
      <c r="K31">
        <v>26</v>
      </c>
      <c r="L31" s="11">
        <v>1.0272619517977083E-2</v>
      </c>
      <c r="R31" s="20" t="s">
        <v>901</v>
      </c>
      <c r="S31" s="21" t="s">
        <v>1600</v>
      </c>
      <c r="T31" s="12">
        <v>25</v>
      </c>
      <c r="U31" s="22">
        <v>9.8775187672856587E-3</v>
      </c>
      <c r="V31">
        <v>28</v>
      </c>
    </row>
    <row r="32" spans="6:22">
      <c r="J32" s="9" t="s">
        <v>2764</v>
      </c>
      <c r="L32" s="11"/>
      <c r="R32" s="20" t="s">
        <v>5586</v>
      </c>
      <c r="S32" s="21" t="s">
        <v>5632</v>
      </c>
      <c r="T32" s="12">
        <v>23</v>
      </c>
      <c r="U32" s="22">
        <v>9.087317265902806E-3</v>
      </c>
      <c r="V32">
        <v>29</v>
      </c>
    </row>
    <row r="33" spans="10:22">
      <c r="J33" s="10" t="s">
        <v>2765</v>
      </c>
      <c r="K33">
        <v>167</v>
      </c>
      <c r="L33" s="11">
        <v>6.5981825365468191E-2</v>
      </c>
      <c r="R33" s="20" t="s">
        <v>901</v>
      </c>
      <c r="S33" s="21" t="s">
        <v>1414</v>
      </c>
      <c r="T33" s="12">
        <v>12</v>
      </c>
      <c r="U33" s="22">
        <v>4.7412090082971162E-3</v>
      </c>
      <c r="V33">
        <v>30</v>
      </c>
    </row>
    <row r="34" spans="10:22">
      <c r="J34" s="9" t="s">
        <v>554</v>
      </c>
      <c r="L34" s="11"/>
      <c r="R34" s="20" t="s">
        <v>16</v>
      </c>
      <c r="S34" s="21" t="s">
        <v>462</v>
      </c>
      <c r="T34" s="12">
        <v>11</v>
      </c>
      <c r="U34" s="22">
        <v>4.3461082576056898E-3</v>
      </c>
      <c r="V34">
        <v>31</v>
      </c>
    </row>
    <row r="35" spans="10:22">
      <c r="J35" s="10" t="s">
        <v>696</v>
      </c>
      <c r="K35">
        <v>106</v>
      </c>
      <c r="L35" s="11">
        <v>4.1880679573291189E-2</v>
      </c>
      <c r="R35" s="20" t="s">
        <v>554</v>
      </c>
      <c r="S35" s="21" t="s">
        <v>648</v>
      </c>
      <c r="T35" s="12">
        <v>7</v>
      </c>
      <c r="U35" s="22">
        <v>2.765705254839984E-3</v>
      </c>
      <c r="V35">
        <v>32</v>
      </c>
    </row>
    <row r="36" spans="10:22">
      <c r="J36" s="10" t="s">
        <v>555</v>
      </c>
      <c r="K36">
        <v>36</v>
      </c>
      <c r="L36" s="11">
        <v>1.4223627024891347E-2</v>
      </c>
      <c r="R36" s="20" t="s">
        <v>554</v>
      </c>
      <c r="S36" s="21" t="s">
        <v>670</v>
      </c>
      <c r="T36" s="12">
        <v>7</v>
      </c>
      <c r="U36" s="22">
        <v>2.765705254839984E-3</v>
      </c>
      <c r="V36">
        <v>33</v>
      </c>
    </row>
    <row r="37" spans="10:22">
      <c r="J37" s="10" t="s">
        <v>648</v>
      </c>
      <c r="K37">
        <v>7</v>
      </c>
      <c r="L37" s="11">
        <v>2.765705254839984E-3</v>
      </c>
      <c r="R37" s="20" t="s">
        <v>901</v>
      </c>
      <c r="S37" s="21" t="s">
        <v>1455</v>
      </c>
      <c r="T37" s="12">
        <v>2</v>
      </c>
      <c r="U37" s="22">
        <v>7.9020150138285259E-4</v>
      </c>
      <c r="V37">
        <v>34</v>
      </c>
    </row>
    <row r="38" spans="10:22">
      <c r="J38" s="10" t="s">
        <v>670</v>
      </c>
      <c r="K38">
        <v>7</v>
      </c>
      <c r="L38" s="11">
        <v>2.765705254839984E-3</v>
      </c>
      <c r="R38" s="20" t="s">
        <v>16</v>
      </c>
      <c r="S38" s="21" t="s">
        <v>496</v>
      </c>
      <c r="T38" s="12">
        <v>2</v>
      </c>
      <c r="U38" s="22">
        <v>7.9020150138285259E-4</v>
      </c>
      <c r="V38">
        <v>35</v>
      </c>
    </row>
    <row r="39" spans="10:22">
      <c r="J39" s="10" t="s">
        <v>896</v>
      </c>
      <c r="K39">
        <v>1</v>
      </c>
      <c r="L39" s="11">
        <v>3.9510075069142629E-4</v>
      </c>
      <c r="R39" s="20" t="s">
        <v>554</v>
      </c>
      <c r="S39" s="21" t="s">
        <v>896</v>
      </c>
      <c r="T39" s="12">
        <v>1</v>
      </c>
      <c r="U39" s="22">
        <v>3.9510075069142629E-4</v>
      </c>
      <c r="V39">
        <v>36</v>
      </c>
    </row>
    <row r="40" spans="10:22">
      <c r="J40" s="9" t="s">
        <v>16</v>
      </c>
      <c r="L40" s="11"/>
      <c r="R40" s="20" t="s">
        <v>16</v>
      </c>
      <c r="S40" s="21" t="s">
        <v>491</v>
      </c>
      <c r="T40" s="12">
        <v>1</v>
      </c>
      <c r="U40" s="22">
        <v>3.9510075069142629E-4</v>
      </c>
      <c r="V40">
        <v>37</v>
      </c>
    </row>
    <row r="41" spans="10:22">
      <c r="J41" s="10" t="s">
        <v>323</v>
      </c>
      <c r="K41">
        <v>48</v>
      </c>
      <c r="L41" s="11">
        <v>1.8964836033188465E-2</v>
      </c>
    </row>
    <row r="42" spans="10:22">
      <c r="J42" s="10" t="s">
        <v>17</v>
      </c>
      <c r="K42">
        <v>46</v>
      </c>
      <c r="L42" s="11">
        <v>1.8174634531805612E-2</v>
      </c>
    </row>
    <row r="43" spans="10:22">
      <c r="J43" s="10" t="s">
        <v>188</v>
      </c>
      <c r="K43">
        <v>45</v>
      </c>
      <c r="L43" s="11">
        <v>1.7779533781114184E-2</v>
      </c>
    </row>
    <row r="44" spans="10:22">
      <c r="J44" s="10" t="s">
        <v>462</v>
      </c>
      <c r="K44">
        <v>11</v>
      </c>
      <c r="L44" s="11">
        <v>4.3461082576056898E-3</v>
      </c>
    </row>
    <row r="45" spans="10:22">
      <c r="J45" s="10" t="s">
        <v>496</v>
      </c>
      <c r="K45">
        <v>2</v>
      </c>
      <c r="L45" s="11">
        <v>7.9020150138285259E-4</v>
      </c>
    </row>
    <row r="46" spans="10:22">
      <c r="J46" s="10" t="s">
        <v>491</v>
      </c>
      <c r="K46">
        <v>1</v>
      </c>
      <c r="L46" s="11">
        <v>3.9510075069142629E-4</v>
      </c>
    </row>
    <row r="47" spans="10:22">
      <c r="J47" s="9" t="s">
        <v>5462</v>
      </c>
      <c r="L47" s="11"/>
    </row>
    <row r="48" spans="10:22">
      <c r="J48" s="10" t="s">
        <v>5463</v>
      </c>
      <c r="K48">
        <v>60</v>
      </c>
      <c r="L48" s="11">
        <v>2.3706045041485577E-2</v>
      </c>
    </row>
    <row r="49" spans="10:12">
      <c r="J49" s="9" t="s">
        <v>5586</v>
      </c>
      <c r="L49" s="11"/>
    </row>
    <row r="50" spans="10:12">
      <c r="J50" s="10" t="s">
        <v>5587</v>
      </c>
      <c r="K50">
        <v>31</v>
      </c>
      <c r="L50" s="11">
        <v>1.2248123271434215E-2</v>
      </c>
    </row>
    <row r="51" spans="10:12">
      <c r="J51" s="10" t="s">
        <v>5632</v>
      </c>
      <c r="K51">
        <v>23</v>
      </c>
      <c r="L51" s="11">
        <v>9.087317265902806E-3</v>
      </c>
    </row>
    <row r="52" spans="10:12">
      <c r="J52" s="9" t="s">
        <v>5785</v>
      </c>
      <c r="K52">
        <v>2531</v>
      </c>
      <c r="L52" s="11">
        <v>1</v>
      </c>
    </row>
  </sheetData>
  <phoneticPr fontId="2" type="noConversion"/>
  <conditionalFormatting pivot="1" sqref="K6:K52">
    <cfRule type="dataBar" priority="2">
      <dataBar>
        <cfvo type="min"/>
        <cfvo type="max"/>
        <color rgb="FF638EC6"/>
      </dataBar>
      <extLst>
        <ext xmlns:x14="http://schemas.microsoft.com/office/spreadsheetml/2009/9/main" uri="{B025F937-C7B1-47D3-B67F-A62EFF666E3E}">
          <x14:id>{F7F8A20A-9892-4042-ADCF-EFFD427325CB}</x14:id>
        </ext>
      </extLst>
    </cfRule>
  </conditionalFormatting>
  <conditionalFormatting sqref="T4:T40">
    <cfRule type="dataBar" priority="4">
      <dataBar>
        <cfvo type="min"/>
        <cfvo type="max"/>
        <color rgb="FF638EC6"/>
      </dataBar>
      <extLst>
        <ext xmlns:x14="http://schemas.microsoft.com/office/spreadsheetml/2009/9/main" uri="{B025F937-C7B1-47D3-B67F-A62EFF666E3E}">
          <x14:id>{2D4F4555-5C48-564F-A69E-E670DF7C236C}</x14:id>
        </ext>
      </extLst>
    </cfRule>
  </conditionalFormatting>
  <pageMargins left="0.7" right="0.7" top="0.75" bottom="0.75" header="0.3" footer="0.3"/>
  <tableParts count="1">
    <tablePart r:id="rId4"/>
  </tableParts>
  <extLst>
    <ext xmlns:x14="http://schemas.microsoft.com/office/spreadsheetml/2009/9/main" uri="{78C0D931-6437-407d-A8EE-F0AAD7539E65}">
      <x14:conditionalFormattings>
        <x14:conditionalFormatting xmlns:xm="http://schemas.microsoft.com/office/excel/2006/main" pivot="1">
          <x14:cfRule type="dataBar" id="{F7F8A20A-9892-4042-ADCF-EFFD427325CB}">
            <x14:dataBar minLength="0" maxLength="100" border="1" negativeBarBorderColorSameAsPositive="0">
              <x14:cfvo type="autoMin"/>
              <x14:cfvo type="autoMax"/>
              <x14:borderColor rgb="FF638EC6"/>
              <x14:negativeFillColor rgb="FFFF0000"/>
              <x14:negativeBorderColor rgb="FFFF0000"/>
              <x14:axisColor rgb="FF000000"/>
            </x14:dataBar>
          </x14:cfRule>
          <xm:sqref>K6:K52</xm:sqref>
        </x14:conditionalFormatting>
        <x14:conditionalFormatting xmlns:xm="http://schemas.microsoft.com/office/excel/2006/main">
          <x14:cfRule type="dataBar" id="{2D4F4555-5C48-564F-A69E-E670DF7C236C}">
            <x14:dataBar minLength="0" maxLength="100" border="1" negativeBarBorderColorSameAsPositive="0">
              <x14:cfvo type="autoMin"/>
              <x14:cfvo type="autoMax"/>
              <x14:borderColor rgb="FF638EC6"/>
              <x14:negativeFillColor rgb="FFFF0000"/>
              <x14:negativeBorderColor rgb="FFFF0000"/>
              <x14:axisColor rgb="FF000000"/>
            </x14:dataBar>
          </x14:cfRule>
          <xm:sqref>T4:T40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78A59-8695-BB43-8D0C-FF558921D0BA}">
  <sheetPr>
    <tabColor theme="7" tint="0.79998168889431442"/>
  </sheetPr>
  <dimension ref="B1:T481"/>
  <sheetViews>
    <sheetView zoomScaleNormal="100" workbookViewId="0">
      <selection activeCell="R5" sqref="R5"/>
    </sheetView>
  </sheetViews>
  <sheetFormatPr baseColWidth="10" defaultRowHeight="18"/>
  <cols>
    <col min="2" max="2" width="21.140625" bestFit="1" customWidth="1"/>
    <col min="3" max="3" width="5.7109375" bestFit="1" customWidth="1"/>
    <col min="4" max="5" width="8.7109375" bestFit="1" customWidth="1"/>
    <col min="6" max="6" width="21.140625" bestFit="1" customWidth="1"/>
    <col min="7" max="7" width="5.7109375" bestFit="1" customWidth="1"/>
    <col min="8" max="9" width="8.7109375" bestFit="1" customWidth="1"/>
    <col min="10" max="10" width="28" bestFit="1" customWidth="1"/>
    <col min="11" max="11" width="5.7109375" bestFit="1" customWidth="1"/>
    <col min="12" max="12" width="8.7109375" bestFit="1" customWidth="1"/>
    <col min="14" max="14" width="41.140625" bestFit="1" customWidth="1"/>
    <col min="15" max="15" width="5.7109375" bestFit="1" customWidth="1"/>
    <col min="16" max="16" width="8.7109375" bestFit="1" customWidth="1"/>
    <col min="18" max="18" width="39.7109375" bestFit="1" customWidth="1"/>
    <col min="19" max="19" width="8.7109375" bestFit="1" customWidth="1"/>
    <col min="20" max="20" width="12" bestFit="1" customWidth="1"/>
  </cols>
  <sheetData>
    <row r="1" spans="2:20">
      <c r="B1" s="12" t="s">
        <v>5801</v>
      </c>
      <c r="F1" s="12" t="s">
        <v>5809</v>
      </c>
      <c r="J1" s="12" t="s">
        <v>5810</v>
      </c>
      <c r="N1" s="12" t="s">
        <v>5811</v>
      </c>
      <c r="R1" s="12" t="s">
        <v>5800</v>
      </c>
    </row>
    <row r="4" spans="2:20">
      <c r="B4" s="8" t="s">
        <v>5784</v>
      </c>
      <c r="C4" t="s">
        <v>5788</v>
      </c>
      <c r="D4" t="s">
        <v>5787</v>
      </c>
      <c r="F4" s="8" t="s">
        <v>5784</v>
      </c>
      <c r="G4" t="s">
        <v>5788</v>
      </c>
      <c r="H4" t="s">
        <v>5787</v>
      </c>
      <c r="J4" s="8" t="s">
        <v>5784</v>
      </c>
      <c r="K4" t="s">
        <v>5788</v>
      </c>
      <c r="L4" t="s">
        <v>5787</v>
      </c>
      <c r="N4" s="8" t="s">
        <v>5784</v>
      </c>
      <c r="O4" t="s">
        <v>5788</v>
      </c>
      <c r="P4" t="s">
        <v>5787</v>
      </c>
      <c r="R4" s="8" t="s">
        <v>5784</v>
      </c>
      <c r="S4" t="s">
        <v>5787</v>
      </c>
      <c r="T4" t="s">
        <v>5799</v>
      </c>
    </row>
    <row r="5" spans="2:20">
      <c r="B5" s="9" t="s">
        <v>16</v>
      </c>
      <c r="C5">
        <v>153</v>
      </c>
      <c r="D5" s="11">
        <v>5.944055944055944E-2</v>
      </c>
      <c r="F5" s="9" t="s">
        <v>3127</v>
      </c>
      <c r="G5">
        <v>751</v>
      </c>
      <c r="H5" s="11">
        <v>0.29176379176379175</v>
      </c>
      <c r="J5" s="9" t="s">
        <v>3127</v>
      </c>
      <c r="K5">
        <v>751</v>
      </c>
      <c r="L5" s="11">
        <v>0.29176379176379175</v>
      </c>
      <c r="N5" s="9" t="s">
        <v>16</v>
      </c>
      <c r="O5">
        <v>153</v>
      </c>
      <c r="P5" s="11">
        <v>5.944055944055944E-2</v>
      </c>
      <c r="R5" s="9" t="s">
        <v>4257</v>
      </c>
      <c r="S5" s="11">
        <v>9.0132090132090129E-2</v>
      </c>
      <c r="T5">
        <v>232</v>
      </c>
    </row>
    <row r="6" spans="2:20">
      <c r="B6" s="9" t="s">
        <v>505</v>
      </c>
      <c r="C6">
        <v>15</v>
      </c>
      <c r="D6" s="11">
        <v>5.8275058275058279E-3</v>
      </c>
      <c r="F6" s="9" t="s">
        <v>901</v>
      </c>
      <c r="G6">
        <v>463</v>
      </c>
      <c r="H6" s="11">
        <v>0.17987567987567987</v>
      </c>
      <c r="J6" s="10" t="s">
        <v>3128</v>
      </c>
      <c r="K6">
        <v>115</v>
      </c>
      <c r="L6" s="11">
        <v>4.467754467754468E-2</v>
      </c>
      <c r="N6" s="9" t="s">
        <v>505</v>
      </c>
      <c r="O6">
        <v>15</v>
      </c>
      <c r="P6" s="11">
        <v>5.8275058275058279E-3</v>
      </c>
      <c r="R6" s="9" t="s">
        <v>5014</v>
      </c>
      <c r="S6" s="11">
        <v>6.8376068376068383E-2</v>
      </c>
      <c r="T6">
        <v>176</v>
      </c>
    </row>
    <row r="7" spans="2:20">
      <c r="B7" s="9" t="s">
        <v>554</v>
      </c>
      <c r="C7">
        <v>157</v>
      </c>
      <c r="D7" s="11">
        <v>6.0994560994560992E-2</v>
      </c>
      <c r="F7" s="9" t="s">
        <v>4600</v>
      </c>
      <c r="G7">
        <v>390</v>
      </c>
      <c r="H7" s="11">
        <v>0.15151515151515152</v>
      </c>
      <c r="J7" s="10" t="s">
        <v>3374</v>
      </c>
      <c r="K7">
        <v>58</v>
      </c>
      <c r="L7" s="11">
        <v>2.2533022533022532E-2</v>
      </c>
      <c r="N7" s="9" t="s">
        <v>554</v>
      </c>
      <c r="O7">
        <v>157</v>
      </c>
      <c r="P7" s="11">
        <v>6.0994560994560992E-2</v>
      </c>
      <c r="R7" s="9" t="s">
        <v>2816</v>
      </c>
      <c r="S7" s="11">
        <v>5.011655011655012E-2</v>
      </c>
      <c r="T7">
        <v>129</v>
      </c>
    </row>
    <row r="8" spans="2:20">
      <c r="B8" s="9" t="s">
        <v>901</v>
      </c>
      <c r="C8">
        <v>463</v>
      </c>
      <c r="D8" s="11">
        <v>0.17987567987567987</v>
      </c>
      <c r="F8" s="9" t="s">
        <v>1952</v>
      </c>
      <c r="G8">
        <v>336</v>
      </c>
      <c r="H8" s="11">
        <v>0.13053613053613053</v>
      </c>
      <c r="J8" s="10" t="s">
        <v>3506</v>
      </c>
      <c r="K8">
        <v>40</v>
      </c>
      <c r="L8" s="11">
        <v>1.554001554001554E-2</v>
      </c>
      <c r="N8" s="9" t="s">
        <v>901</v>
      </c>
      <c r="O8">
        <v>463</v>
      </c>
      <c r="P8" s="11">
        <v>0.17987567987567987</v>
      </c>
      <c r="R8" s="9" t="s">
        <v>1673</v>
      </c>
      <c r="S8" s="11">
        <v>4.8951048951048952E-2</v>
      </c>
      <c r="T8">
        <v>126</v>
      </c>
    </row>
    <row r="9" spans="2:20">
      <c r="B9" s="9" t="s">
        <v>1952</v>
      </c>
      <c r="C9">
        <v>336</v>
      </c>
      <c r="D9" s="11">
        <v>0.13053613053613053</v>
      </c>
      <c r="F9" s="9" t="s">
        <v>2764</v>
      </c>
      <c r="G9">
        <v>167</v>
      </c>
      <c r="H9" s="11">
        <v>6.487956487956488E-2</v>
      </c>
      <c r="J9" s="10" t="s">
        <v>3597</v>
      </c>
      <c r="K9">
        <v>116</v>
      </c>
      <c r="L9" s="11">
        <v>4.5066045066045064E-2</v>
      </c>
      <c r="N9" s="9" t="s">
        <v>1952</v>
      </c>
      <c r="O9">
        <v>336</v>
      </c>
      <c r="P9" s="11">
        <v>0.13053613053613053</v>
      </c>
      <c r="R9" s="9" t="s">
        <v>903</v>
      </c>
      <c r="S9" s="11">
        <v>4.8174048174048176E-2</v>
      </c>
      <c r="T9">
        <v>124</v>
      </c>
    </row>
    <row r="10" spans="2:20">
      <c r="B10" s="9" t="s">
        <v>2764</v>
      </c>
      <c r="C10">
        <v>167</v>
      </c>
      <c r="D10" s="11">
        <v>6.487956487956488E-2</v>
      </c>
      <c r="F10" s="9" t="s">
        <v>554</v>
      </c>
      <c r="G10">
        <v>157</v>
      </c>
      <c r="H10" s="11">
        <v>6.0994560994560992E-2</v>
      </c>
      <c r="J10" s="10" t="s">
        <v>3789</v>
      </c>
      <c r="K10">
        <v>61</v>
      </c>
      <c r="L10" s="11">
        <v>2.36985236985237E-2</v>
      </c>
      <c r="N10" s="9" t="s">
        <v>2764</v>
      </c>
      <c r="O10">
        <v>167</v>
      </c>
      <c r="P10" s="11">
        <v>6.487956487956488E-2</v>
      </c>
      <c r="R10" s="9" t="s">
        <v>3660</v>
      </c>
      <c r="S10" s="11">
        <v>3.4188034188034191E-2</v>
      </c>
      <c r="T10">
        <v>88</v>
      </c>
    </row>
    <row r="11" spans="2:20">
      <c r="B11" s="9" t="s">
        <v>3127</v>
      </c>
      <c r="C11">
        <v>751</v>
      </c>
      <c r="D11" s="11">
        <v>0.29176379176379175</v>
      </c>
      <c r="F11" s="9" t="s">
        <v>16</v>
      </c>
      <c r="G11">
        <v>153</v>
      </c>
      <c r="H11" s="11">
        <v>5.944055944055944E-2</v>
      </c>
      <c r="J11" s="10" t="s">
        <v>3939</v>
      </c>
      <c r="K11">
        <v>39</v>
      </c>
      <c r="L11" s="11">
        <v>1.5151515151515152E-2</v>
      </c>
      <c r="N11" s="9" t="s">
        <v>3127</v>
      </c>
      <c r="O11">
        <v>751</v>
      </c>
      <c r="P11" s="11">
        <v>0.29176379176379175</v>
      </c>
      <c r="R11" s="9" t="s">
        <v>2072</v>
      </c>
      <c r="S11" s="11">
        <v>2.9526029526029528E-2</v>
      </c>
      <c r="T11">
        <v>76</v>
      </c>
    </row>
    <row r="12" spans="2:20">
      <c r="B12" s="9" t="s">
        <v>4600</v>
      </c>
      <c r="C12">
        <v>390</v>
      </c>
      <c r="D12" s="11">
        <v>0.15151515151515152</v>
      </c>
      <c r="F12" s="9" t="s">
        <v>5462</v>
      </c>
      <c r="G12">
        <v>60</v>
      </c>
      <c r="H12" s="11">
        <v>2.3310023310023312E-2</v>
      </c>
      <c r="J12" s="10" t="s">
        <v>4035</v>
      </c>
      <c r="K12">
        <v>67</v>
      </c>
      <c r="L12" s="11">
        <v>2.6029526029526028E-2</v>
      </c>
      <c r="N12" s="10" t="s">
        <v>3128</v>
      </c>
      <c r="O12">
        <v>115</v>
      </c>
      <c r="P12" s="11">
        <v>4.467754467754468E-2</v>
      </c>
      <c r="R12" s="9" t="s">
        <v>759</v>
      </c>
      <c r="S12" s="11">
        <v>2.836052836052836E-2</v>
      </c>
      <c r="T12">
        <v>73</v>
      </c>
    </row>
    <row r="13" spans="2:20">
      <c r="B13" s="9" t="s">
        <v>5462</v>
      </c>
      <c r="C13">
        <v>60</v>
      </c>
      <c r="D13" s="11">
        <v>2.3310023310023312E-2</v>
      </c>
      <c r="F13" s="9" t="s">
        <v>5586</v>
      </c>
      <c r="G13">
        <v>54</v>
      </c>
      <c r="H13" s="11">
        <v>2.097902097902098E-2</v>
      </c>
      <c r="J13" s="10" t="s">
        <v>4207</v>
      </c>
      <c r="K13">
        <v>255</v>
      </c>
      <c r="L13" s="11">
        <v>9.9067599067599071E-2</v>
      </c>
      <c r="N13" s="13" t="s">
        <v>3129</v>
      </c>
      <c r="O13">
        <v>22</v>
      </c>
      <c r="P13" s="11">
        <v>8.5470085470085479E-3</v>
      </c>
      <c r="R13" s="9" t="s">
        <v>1220</v>
      </c>
      <c r="S13" s="11">
        <v>2.7583527583527584E-2</v>
      </c>
      <c r="T13">
        <v>71</v>
      </c>
    </row>
    <row r="14" spans="2:20">
      <c r="B14" s="9" t="s">
        <v>5586</v>
      </c>
      <c r="C14">
        <v>54</v>
      </c>
      <c r="D14" s="11">
        <v>2.097902097902098E-2</v>
      </c>
      <c r="F14" s="9" t="s">
        <v>5727</v>
      </c>
      <c r="G14">
        <v>17</v>
      </c>
      <c r="H14" s="11">
        <v>6.6045066045066049E-3</v>
      </c>
      <c r="J14" s="9" t="s">
        <v>901</v>
      </c>
      <c r="K14">
        <v>463</v>
      </c>
      <c r="L14" s="11">
        <v>0.17987567987567987</v>
      </c>
      <c r="N14" s="13" t="s">
        <v>3190</v>
      </c>
      <c r="O14">
        <v>25</v>
      </c>
      <c r="P14" s="11">
        <v>9.7125097125097121E-3</v>
      </c>
      <c r="R14" s="9" t="s">
        <v>3247</v>
      </c>
      <c r="S14" s="11">
        <v>2.641802641802642E-2</v>
      </c>
      <c r="T14">
        <v>68</v>
      </c>
    </row>
    <row r="15" spans="2:20">
      <c r="B15" s="9" t="s">
        <v>5679</v>
      </c>
      <c r="C15">
        <v>11</v>
      </c>
      <c r="D15" s="11">
        <v>4.2735042735042739E-3</v>
      </c>
      <c r="F15" s="9" t="s">
        <v>505</v>
      </c>
      <c r="G15">
        <v>15</v>
      </c>
      <c r="H15" s="11">
        <v>5.8275058275058279E-3</v>
      </c>
      <c r="J15" s="9" t="s">
        <v>4600</v>
      </c>
      <c r="K15">
        <v>390</v>
      </c>
      <c r="L15" s="11">
        <v>0.15151515151515152</v>
      </c>
      <c r="N15" s="13" t="s">
        <v>3247</v>
      </c>
      <c r="O15">
        <v>68</v>
      </c>
      <c r="P15" s="11">
        <v>2.641802641802642E-2</v>
      </c>
      <c r="R15" s="9" t="s">
        <v>3375</v>
      </c>
      <c r="S15" s="11">
        <v>2.2533022533022532E-2</v>
      </c>
      <c r="T15">
        <v>58</v>
      </c>
    </row>
    <row r="16" spans="2:20">
      <c r="B16" s="9" t="s">
        <v>5727</v>
      </c>
      <c r="C16">
        <v>17</v>
      </c>
      <c r="D16" s="11">
        <v>6.6045066045066049E-3</v>
      </c>
      <c r="F16" s="9" t="s">
        <v>5679</v>
      </c>
      <c r="G16">
        <v>11</v>
      </c>
      <c r="H16" s="11">
        <v>4.2735042735042739E-3</v>
      </c>
      <c r="J16" s="9" t="s">
        <v>1952</v>
      </c>
      <c r="K16">
        <v>336</v>
      </c>
      <c r="L16" s="11">
        <v>0.13053613053613053</v>
      </c>
      <c r="N16" s="10" t="s">
        <v>3374</v>
      </c>
      <c r="O16">
        <v>58</v>
      </c>
      <c r="P16" s="11">
        <v>2.2533022533022532E-2</v>
      </c>
      <c r="R16" s="9" t="s">
        <v>4080</v>
      </c>
      <c r="S16" s="11">
        <v>2.0202020202020204E-2</v>
      </c>
      <c r="T16">
        <v>52</v>
      </c>
    </row>
    <row r="17" spans="2:20">
      <c r="B17" s="9" t="s">
        <v>5785</v>
      </c>
      <c r="C17">
        <v>2574</v>
      </c>
      <c r="D17" s="11">
        <v>1</v>
      </c>
      <c r="F17" s="9" t="s">
        <v>5785</v>
      </c>
      <c r="G17">
        <v>2574</v>
      </c>
      <c r="H17" s="11">
        <v>1</v>
      </c>
      <c r="J17" s="9" t="s">
        <v>2764</v>
      </c>
      <c r="K17">
        <v>167</v>
      </c>
      <c r="L17" s="11">
        <v>6.487956487956488E-2</v>
      </c>
      <c r="N17" s="10" t="s">
        <v>3506</v>
      </c>
      <c r="O17">
        <v>40</v>
      </c>
      <c r="P17" s="11">
        <v>1.554001554001554E-2</v>
      </c>
      <c r="R17" s="9" t="s">
        <v>3815</v>
      </c>
      <c r="S17" s="11">
        <v>2.0202020202020204E-2</v>
      </c>
      <c r="T17">
        <v>52</v>
      </c>
    </row>
    <row r="18" spans="2:20">
      <c r="J18" s="9" t="s">
        <v>554</v>
      </c>
      <c r="K18">
        <v>157</v>
      </c>
      <c r="L18" s="11">
        <v>6.0994560994560992E-2</v>
      </c>
      <c r="N18" s="10" t="s">
        <v>3597</v>
      </c>
      <c r="O18">
        <v>116</v>
      </c>
      <c r="P18" s="11">
        <v>4.5066045066045064E-2</v>
      </c>
      <c r="R18" s="9" t="s">
        <v>4748</v>
      </c>
      <c r="S18" s="11">
        <v>1.9425019425019424E-2</v>
      </c>
      <c r="T18">
        <v>50</v>
      </c>
    </row>
    <row r="19" spans="2:20">
      <c r="J19" s="9" t="s">
        <v>16</v>
      </c>
      <c r="K19">
        <v>153</v>
      </c>
      <c r="L19" s="11">
        <v>5.944055944055944E-2</v>
      </c>
      <c r="N19" s="10" t="s">
        <v>3789</v>
      </c>
      <c r="O19">
        <v>61</v>
      </c>
      <c r="P19" s="11">
        <v>2.36985236985237E-2</v>
      </c>
      <c r="R19" s="9" t="s">
        <v>2620</v>
      </c>
      <c r="S19" s="11">
        <v>1.9036519036519036E-2</v>
      </c>
      <c r="T19">
        <v>49</v>
      </c>
    </row>
    <row r="20" spans="2:20">
      <c r="J20" s="10" t="s">
        <v>17</v>
      </c>
      <c r="K20">
        <v>46</v>
      </c>
      <c r="L20" s="11">
        <v>1.7871017871017872E-2</v>
      </c>
      <c r="N20" s="10" t="s">
        <v>3939</v>
      </c>
      <c r="O20">
        <v>39</v>
      </c>
      <c r="P20" s="11">
        <v>1.5151515151515152E-2</v>
      </c>
      <c r="R20" s="9" t="s">
        <v>1954</v>
      </c>
      <c r="S20" s="11">
        <v>1.8648018648018648E-2</v>
      </c>
      <c r="T20">
        <v>48</v>
      </c>
    </row>
    <row r="21" spans="2:20">
      <c r="J21" s="10" t="s">
        <v>188</v>
      </c>
      <c r="K21">
        <v>45</v>
      </c>
      <c r="L21" s="11">
        <v>1.7482517482517484E-2</v>
      </c>
      <c r="N21" s="10" t="s">
        <v>4035</v>
      </c>
      <c r="O21">
        <v>67</v>
      </c>
      <c r="P21" s="11">
        <v>2.6029526029526028E-2</v>
      </c>
      <c r="R21" s="9" t="s">
        <v>2224</v>
      </c>
      <c r="S21" s="11">
        <v>1.8648018648018648E-2</v>
      </c>
      <c r="T21">
        <v>48</v>
      </c>
    </row>
    <row r="22" spans="2:20">
      <c r="J22" s="10" t="s">
        <v>323</v>
      </c>
      <c r="K22">
        <v>48</v>
      </c>
      <c r="L22" s="11">
        <v>1.8648018648018648E-2</v>
      </c>
      <c r="N22" s="10" t="s">
        <v>4207</v>
      </c>
      <c r="O22">
        <v>255</v>
      </c>
      <c r="P22" s="11">
        <v>9.9067599067599071E-2</v>
      </c>
      <c r="R22" s="9" t="s">
        <v>4635</v>
      </c>
      <c r="S22" s="11">
        <v>1.825951825951826E-2</v>
      </c>
      <c r="T22">
        <v>47</v>
      </c>
    </row>
    <row r="23" spans="2:20">
      <c r="J23" s="10" t="s">
        <v>462</v>
      </c>
      <c r="K23">
        <v>11</v>
      </c>
      <c r="L23" s="11">
        <v>4.2735042735042739E-3</v>
      </c>
      <c r="N23" s="9" t="s">
        <v>4600</v>
      </c>
      <c r="O23">
        <v>390</v>
      </c>
      <c r="P23" s="11">
        <v>0.15151515151515152</v>
      </c>
      <c r="R23" s="9" t="s">
        <v>5497</v>
      </c>
      <c r="S23" s="11">
        <v>1.6317016317016316E-2</v>
      </c>
      <c r="T23">
        <v>42</v>
      </c>
    </row>
    <row r="24" spans="2:20">
      <c r="J24" s="10" t="s">
        <v>491</v>
      </c>
      <c r="K24">
        <v>1</v>
      </c>
      <c r="L24" s="11">
        <v>3.885003885003885E-4</v>
      </c>
      <c r="N24" s="9" t="s">
        <v>5462</v>
      </c>
      <c r="O24">
        <v>60</v>
      </c>
      <c r="P24" s="11">
        <v>2.3310023310023312E-2</v>
      </c>
      <c r="R24" s="9" t="s">
        <v>4853</v>
      </c>
      <c r="S24" s="11">
        <v>1.5928515928515928E-2</v>
      </c>
      <c r="T24">
        <v>41</v>
      </c>
    </row>
    <row r="25" spans="2:20">
      <c r="J25" s="10" t="s">
        <v>496</v>
      </c>
      <c r="K25">
        <v>2</v>
      </c>
      <c r="L25" s="11">
        <v>7.77000777000777E-4</v>
      </c>
      <c r="N25" s="9" t="s">
        <v>5586</v>
      </c>
      <c r="O25">
        <v>54</v>
      </c>
      <c r="P25" s="11">
        <v>2.097902097902098E-2</v>
      </c>
      <c r="R25" s="9" t="s">
        <v>3958</v>
      </c>
      <c r="S25" s="11">
        <v>1.282051282051282E-2</v>
      </c>
      <c r="T25">
        <v>33</v>
      </c>
    </row>
    <row r="26" spans="2:20">
      <c r="J26" s="9" t="s">
        <v>5462</v>
      </c>
      <c r="K26">
        <v>60</v>
      </c>
      <c r="L26" s="11">
        <v>2.3310023310023312E-2</v>
      </c>
      <c r="N26" s="9" t="s">
        <v>5679</v>
      </c>
      <c r="O26">
        <v>11</v>
      </c>
      <c r="P26" s="11">
        <v>4.2735042735042739E-3</v>
      </c>
      <c r="R26" s="9" t="s">
        <v>697</v>
      </c>
      <c r="S26" s="11">
        <v>1.282051282051282E-2</v>
      </c>
      <c r="T26">
        <v>33</v>
      </c>
    </row>
    <row r="27" spans="2:20">
      <c r="J27" s="9" t="s">
        <v>5586</v>
      </c>
      <c r="K27">
        <v>54</v>
      </c>
      <c r="L27" s="11">
        <v>2.097902097902098E-2</v>
      </c>
      <c r="N27" s="9" t="s">
        <v>5727</v>
      </c>
      <c r="O27">
        <v>17</v>
      </c>
      <c r="P27" s="11">
        <v>6.6045066045066049E-3</v>
      </c>
      <c r="R27" s="9" t="s">
        <v>4934</v>
      </c>
      <c r="S27" s="11">
        <v>1.2432012432012432E-2</v>
      </c>
      <c r="T27">
        <v>32</v>
      </c>
    </row>
    <row r="28" spans="2:20">
      <c r="J28" s="9" t="s">
        <v>5727</v>
      </c>
      <c r="K28">
        <v>17</v>
      </c>
      <c r="L28" s="11">
        <v>6.6045066045066049E-3</v>
      </c>
      <c r="N28" s="9" t="s">
        <v>5785</v>
      </c>
      <c r="O28">
        <v>2574</v>
      </c>
      <c r="P28" s="11">
        <v>1</v>
      </c>
      <c r="R28" s="9" t="s">
        <v>556</v>
      </c>
      <c r="S28" s="11">
        <v>1.1655011655011656E-2</v>
      </c>
      <c r="T28">
        <v>30</v>
      </c>
    </row>
    <row r="29" spans="2:20">
      <c r="J29" s="9" t="s">
        <v>505</v>
      </c>
      <c r="K29">
        <v>15</v>
      </c>
      <c r="L29" s="11">
        <v>5.8275058275058279E-3</v>
      </c>
      <c r="R29" s="9" t="s">
        <v>1464</v>
      </c>
      <c r="S29" s="11">
        <v>1.048951048951049E-2</v>
      </c>
      <c r="T29">
        <v>27</v>
      </c>
    </row>
    <row r="30" spans="2:20">
      <c r="J30" s="9" t="s">
        <v>5679</v>
      </c>
      <c r="K30">
        <v>11</v>
      </c>
      <c r="L30" s="11">
        <v>4.2735042735042739E-3</v>
      </c>
      <c r="R30" s="9" t="s">
        <v>5596</v>
      </c>
      <c r="S30" s="11">
        <v>1.0101010101010102E-2</v>
      </c>
      <c r="T30">
        <v>26</v>
      </c>
    </row>
    <row r="31" spans="2:20">
      <c r="J31" s="9" t="s">
        <v>5785</v>
      </c>
      <c r="K31">
        <v>2574</v>
      </c>
      <c r="L31" s="11">
        <v>1</v>
      </c>
      <c r="R31" s="9" t="s">
        <v>3190</v>
      </c>
      <c r="S31" s="11">
        <v>9.7125097125097121E-3</v>
      </c>
      <c r="T31">
        <v>25</v>
      </c>
    </row>
    <row r="32" spans="2:20">
      <c r="R32" s="9" t="s">
        <v>1601</v>
      </c>
      <c r="S32" s="11">
        <v>9.7125097125097121E-3</v>
      </c>
      <c r="T32">
        <v>25</v>
      </c>
    </row>
    <row r="33" spans="18:20">
      <c r="R33" s="9" t="s">
        <v>5633</v>
      </c>
      <c r="S33" s="11">
        <v>8.9355089355089359E-3</v>
      </c>
      <c r="T33">
        <v>23</v>
      </c>
    </row>
    <row r="34" spans="18:20">
      <c r="R34" s="9" t="s">
        <v>113</v>
      </c>
      <c r="S34" s="11">
        <v>8.9355089355089359E-3</v>
      </c>
      <c r="T34">
        <v>23</v>
      </c>
    </row>
    <row r="35" spans="18:20">
      <c r="R35" s="9" t="s">
        <v>2446</v>
      </c>
      <c r="S35" s="11">
        <v>8.9355089355089359E-3</v>
      </c>
      <c r="T35">
        <v>23</v>
      </c>
    </row>
    <row r="36" spans="18:20">
      <c r="R36" s="9" t="s">
        <v>4208</v>
      </c>
      <c r="S36" s="11">
        <v>8.9355089355089359E-3</v>
      </c>
      <c r="T36">
        <v>23</v>
      </c>
    </row>
    <row r="37" spans="18:20">
      <c r="R37" s="9" t="s">
        <v>3129</v>
      </c>
      <c r="S37" s="11">
        <v>8.5470085470085479E-3</v>
      </c>
      <c r="T37">
        <v>22</v>
      </c>
    </row>
    <row r="38" spans="18:20">
      <c r="R38" s="9" t="s">
        <v>5386</v>
      </c>
      <c r="S38" s="11">
        <v>8.1585081585081581E-3</v>
      </c>
      <c r="T38">
        <v>21</v>
      </c>
    </row>
    <row r="39" spans="18:20">
      <c r="R39" s="9" t="s">
        <v>3092</v>
      </c>
      <c r="S39" s="11">
        <v>8.1585081585081581E-3</v>
      </c>
      <c r="T39">
        <v>21</v>
      </c>
    </row>
    <row r="40" spans="18:20">
      <c r="R40" s="9" t="s">
        <v>207</v>
      </c>
      <c r="S40" s="11">
        <v>8.1585081585081581E-3</v>
      </c>
      <c r="T40">
        <v>21</v>
      </c>
    </row>
    <row r="41" spans="18:20">
      <c r="R41" s="9" t="s">
        <v>2509</v>
      </c>
      <c r="S41" s="11">
        <v>8.1585081585081581E-3</v>
      </c>
      <c r="T41">
        <v>21</v>
      </c>
    </row>
    <row r="42" spans="18:20">
      <c r="R42" s="9" t="s">
        <v>3617</v>
      </c>
      <c r="S42" s="11">
        <v>8.1585081585081581E-3</v>
      </c>
      <c r="T42">
        <v>21</v>
      </c>
    </row>
    <row r="43" spans="18:20">
      <c r="R43" s="9" t="s">
        <v>324</v>
      </c>
      <c r="S43" s="11">
        <v>7.77000777000777E-3</v>
      </c>
      <c r="T43">
        <v>20</v>
      </c>
    </row>
    <row r="44" spans="18:20">
      <c r="R44" s="9" t="s">
        <v>1374</v>
      </c>
      <c r="S44" s="11">
        <v>7.3815073815073819E-3</v>
      </c>
      <c r="T44">
        <v>19</v>
      </c>
    </row>
    <row r="45" spans="18:20">
      <c r="R45" s="9" t="s">
        <v>47</v>
      </c>
      <c r="S45" s="11">
        <v>7.3815073815073819E-3</v>
      </c>
      <c r="T45">
        <v>19</v>
      </c>
    </row>
    <row r="46" spans="18:20">
      <c r="R46" s="10" t="s">
        <v>59</v>
      </c>
      <c r="S46" s="11">
        <v>3.885003885003885E-4</v>
      </c>
      <c r="T46">
        <v>1</v>
      </c>
    </row>
    <row r="47" spans="18:20">
      <c r="R47" s="10" t="s">
        <v>20</v>
      </c>
      <c r="S47" s="11">
        <v>2.7195027195027195E-3</v>
      </c>
      <c r="T47">
        <v>7</v>
      </c>
    </row>
    <row r="48" spans="18:20">
      <c r="R48" s="10" t="s">
        <v>52</v>
      </c>
      <c r="S48" s="11">
        <v>3.885003885003885E-4</v>
      </c>
      <c r="T48">
        <v>1</v>
      </c>
    </row>
    <row r="49" spans="18:20">
      <c r="R49" s="10" t="s">
        <v>108</v>
      </c>
      <c r="S49" s="11">
        <v>3.885003885003885E-4</v>
      </c>
      <c r="T49">
        <v>1</v>
      </c>
    </row>
    <row r="50" spans="18:20">
      <c r="R50" s="13" t="s">
        <v>24</v>
      </c>
      <c r="S50" s="11">
        <v>3.885003885003885E-4</v>
      </c>
      <c r="T50">
        <v>1</v>
      </c>
    </row>
    <row r="51" spans="18:20">
      <c r="R51" s="10" t="s">
        <v>64</v>
      </c>
      <c r="S51" s="11">
        <v>3.108003108003108E-3</v>
      </c>
      <c r="T51">
        <v>8</v>
      </c>
    </row>
    <row r="52" spans="18:20">
      <c r="R52" s="13" t="s">
        <v>88</v>
      </c>
      <c r="S52" s="11">
        <v>3.885003885003885E-4</v>
      </c>
      <c r="T52">
        <v>1</v>
      </c>
    </row>
    <row r="53" spans="18:20">
      <c r="R53" s="13" t="s">
        <v>66</v>
      </c>
      <c r="S53" s="11">
        <v>2.7195027195027195E-3</v>
      </c>
      <c r="T53">
        <v>7</v>
      </c>
    </row>
    <row r="54" spans="18:20">
      <c r="R54" s="10" t="s">
        <v>70</v>
      </c>
      <c r="S54" s="11">
        <v>3.885003885003885E-4</v>
      </c>
      <c r="T54">
        <v>1</v>
      </c>
    </row>
    <row r="55" spans="18:20">
      <c r="R55" s="13" t="s">
        <v>72</v>
      </c>
      <c r="S55" s="11">
        <v>3.885003885003885E-4</v>
      </c>
      <c r="T55">
        <v>1</v>
      </c>
    </row>
    <row r="56" spans="18:20">
      <c r="R56" s="9" t="s">
        <v>408</v>
      </c>
      <c r="S56" s="11">
        <v>7.3815073815073819E-3</v>
      </c>
      <c r="T56">
        <v>19</v>
      </c>
    </row>
    <row r="57" spans="18:20">
      <c r="R57" s="10" t="s">
        <v>444</v>
      </c>
      <c r="S57" s="11">
        <v>3.885003885003885E-4</v>
      </c>
      <c r="T57">
        <v>1</v>
      </c>
    </row>
    <row r="58" spans="18:20">
      <c r="R58" s="13" t="s">
        <v>444</v>
      </c>
      <c r="S58" s="11">
        <v>3.885003885003885E-4</v>
      </c>
      <c r="T58">
        <v>1</v>
      </c>
    </row>
    <row r="59" spans="18:20">
      <c r="R59" s="10" t="s">
        <v>28</v>
      </c>
      <c r="S59" s="11">
        <v>7.77000777000777E-4</v>
      </c>
      <c r="T59">
        <v>2</v>
      </c>
    </row>
    <row r="60" spans="18:20">
      <c r="R60" s="10" t="s">
        <v>227</v>
      </c>
      <c r="S60" s="11">
        <v>6.216006216006216E-3</v>
      </c>
      <c r="T60">
        <v>16</v>
      </c>
    </row>
    <row r="61" spans="18:20">
      <c r="R61" s="13" t="s">
        <v>36</v>
      </c>
      <c r="S61" s="11">
        <v>7.77000777000777E-4</v>
      </c>
      <c r="T61">
        <v>2</v>
      </c>
    </row>
    <row r="62" spans="18:20">
      <c r="R62" s="13" t="s">
        <v>88</v>
      </c>
      <c r="S62" s="11">
        <v>1.554001554001554E-3</v>
      </c>
      <c r="T62">
        <v>4</v>
      </c>
    </row>
    <row r="63" spans="18:20">
      <c r="R63" s="13" t="s">
        <v>31</v>
      </c>
      <c r="S63" s="11">
        <v>1.1655011655011655E-3</v>
      </c>
      <c r="T63">
        <v>3</v>
      </c>
    </row>
    <row r="64" spans="18:20">
      <c r="R64" s="13" t="s">
        <v>24</v>
      </c>
      <c r="S64" s="11">
        <v>2.331002331002331E-3</v>
      </c>
      <c r="T64">
        <v>6</v>
      </c>
    </row>
    <row r="65" spans="18:20">
      <c r="R65" s="13" t="s">
        <v>418</v>
      </c>
      <c r="S65" s="11">
        <v>3.885003885003885E-4</v>
      </c>
      <c r="T65">
        <v>1</v>
      </c>
    </row>
    <row r="66" spans="18:20">
      <c r="R66" s="9" t="s">
        <v>5464</v>
      </c>
      <c r="S66" s="11">
        <v>6.993006993006993E-3</v>
      </c>
      <c r="T66">
        <v>18</v>
      </c>
    </row>
    <row r="67" spans="18:20">
      <c r="R67" s="10" t="s">
        <v>557</v>
      </c>
      <c r="S67" s="11">
        <v>3.885003885003885E-4</v>
      </c>
      <c r="T67">
        <v>1</v>
      </c>
    </row>
    <row r="68" spans="18:20">
      <c r="R68" s="10" t="s">
        <v>266</v>
      </c>
      <c r="S68" s="11">
        <v>3.885003885003885E-4</v>
      </c>
      <c r="T68">
        <v>1</v>
      </c>
    </row>
    <row r="69" spans="18:20">
      <c r="R69" s="10" t="s">
        <v>20</v>
      </c>
      <c r="S69" s="11">
        <v>3.885003885003885E-4</v>
      </c>
      <c r="T69">
        <v>1</v>
      </c>
    </row>
    <row r="70" spans="18:20">
      <c r="R70" s="10" t="s">
        <v>123</v>
      </c>
      <c r="S70" s="11">
        <v>7.77000777000777E-4</v>
      </c>
      <c r="T70">
        <v>2</v>
      </c>
    </row>
    <row r="71" spans="18:20">
      <c r="R71" s="13" t="s">
        <v>36</v>
      </c>
      <c r="S71" s="11">
        <v>3.885003885003885E-4</v>
      </c>
      <c r="T71">
        <v>1</v>
      </c>
    </row>
    <row r="72" spans="18:20">
      <c r="R72" s="13" t="s">
        <v>24</v>
      </c>
      <c r="S72" s="11">
        <v>3.885003885003885E-4</v>
      </c>
      <c r="T72">
        <v>1</v>
      </c>
    </row>
    <row r="73" spans="18:20">
      <c r="R73" s="10" t="s">
        <v>588</v>
      </c>
      <c r="S73" s="11">
        <v>3.885003885003885E-4</v>
      </c>
      <c r="T73">
        <v>1</v>
      </c>
    </row>
    <row r="74" spans="18:20">
      <c r="R74" s="10" t="s">
        <v>650</v>
      </c>
      <c r="S74" s="11">
        <v>3.4965034965034965E-3</v>
      </c>
      <c r="T74">
        <v>9</v>
      </c>
    </row>
    <row r="75" spans="18:20">
      <c r="R75" s="13" t="s">
        <v>36</v>
      </c>
      <c r="S75" s="11">
        <v>3.108003108003108E-3</v>
      </c>
      <c r="T75">
        <v>8</v>
      </c>
    </row>
    <row r="76" spans="18:20">
      <c r="R76" s="13" t="s">
        <v>24</v>
      </c>
      <c r="S76" s="11">
        <v>3.885003885003885E-4</v>
      </c>
      <c r="T76">
        <v>1</v>
      </c>
    </row>
    <row r="77" spans="18:20">
      <c r="R77" s="10" t="s">
        <v>519</v>
      </c>
      <c r="S77" s="11">
        <v>3.885003885003885E-4</v>
      </c>
      <c r="T77">
        <v>1</v>
      </c>
    </row>
    <row r="78" spans="18:20">
      <c r="R78" s="10" t="s">
        <v>244</v>
      </c>
      <c r="S78" s="11">
        <v>3.885003885003885E-4</v>
      </c>
      <c r="T78">
        <v>1</v>
      </c>
    </row>
    <row r="79" spans="18:20">
      <c r="R79" s="10" t="s">
        <v>114</v>
      </c>
      <c r="S79" s="11">
        <v>3.885003885003885E-4</v>
      </c>
      <c r="T79">
        <v>1</v>
      </c>
    </row>
    <row r="80" spans="18:20">
      <c r="R80" s="13" t="s">
        <v>223</v>
      </c>
      <c r="S80" s="11">
        <v>3.885003885003885E-4</v>
      </c>
      <c r="T80">
        <v>1</v>
      </c>
    </row>
    <row r="81" spans="18:20">
      <c r="R81" s="9" t="s">
        <v>2567</v>
      </c>
      <c r="S81" s="11">
        <v>6.6045066045066049E-3</v>
      </c>
      <c r="T81">
        <v>17</v>
      </c>
    </row>
    <row r="82" spans="18:20">
      <c r="R82" s="10" t="s">
        <v>42</v>
      </c>
      <c r="S82" s="11">
        <v>3.885003885003885E-4</v>
      </c>
      <c r="T82">
        <v>1</v>
      </c>
    </row>
    <row r="83" spans="18:20">
      <c r="R83" s="10" t="s">
        <v>123</v>
      </c>
      <c r="S83" s="11">
        <v>7.77000777000777E-4</v>
      </c>
      <c r="T83">
        <v>2</v>
      </c>
    </row>
    <row r="84" spans="18:20">
      <c r="R84" s="13" t="s">
        <v>31</v>
      </c>
      <c r="S84" s="11">
        <v>3.885003885003885E-4</v>
      </c>
      <c r="T84">
        <v>1</v>
      </c>
    </row>
    <row r="85" spans="18:20">
      <c r="R85" s="13" t="s">
        <v>193</v>
      </c>
      <c r="S85" s="11">
        <v>3.885003885003885E-4</v>
      </c>
      <c r="T85">
        <v>1</v>
      </c>
    </row>
    <row r="86" spans="18:20">
      <c r="R86" s="10" t="s">
        <v>588</v>
      </c>
      <c r="S86" s="11">
        <v>3.885003885003885E-4</v>
      </c>
      <c r="T86">
        <v>1</v>
      </c>
    </row>
    <row r="87" spans="18:20">
      <c r="R87" s="10" t="s">
        <v>810</v>
      </c>
      <c r="S87" s="11">
        <v>3.885003885003885E-4</v>
      </c>
      <c r="T87">
        <v>1</v>
      </c>
    </row>
    <row r="88" spans="18:20">
      <c r="R88" s="10" t="s">
        <v>2568</v>
      </c>
      <c r="S88" s="11">
        <v>1.9425019425019425E-3</v>
      </c>
      <c r="T88">
        <v>5</v>
      </c>
    </row>
    <row r="89" spans="18:20">
      <c r="R89" s="13" t="s">
        <v>36</v>
      </c>
      <c r="S89" s="11">
        <v>1.1655011655011655E-3</v>
      </c>
      <c r="T89">
        <v>3</v>
      </c>
    </row>
    <row r="90" spans="18:20">
      <c r="R90" s="13" t="s">
        <v>88</v>
      </c>
      <c r="S90" s="11">
        <v>7.77000777000777E-4</v>
      </c>
      <c r="T90">
        <v>2</v>
      </c>
    </row>
    <row r="91" spans="18:20">
      <c r="R91" s="10" t="s">
        <v>580</v>
      </c>
      <c r="S91" s="11">
        <v>1.9425019425019425E-3</v>
      </c>
      <c r="T91">
        <v>5</v>
      </c>
    </row>
    <row r="92" spans="18:20">
      <c r="R92" s="13" t="s">
        <v>88</v>
      </c>
      <c r="S92" s="11">
        <v>1.1655011655011655E-3</v>
      </c>
      <c r="T92">
        <v>3</v>
      </c>
    </row>
    <row r="93" spans="18:20">
      <c r="R93" s="13" t="s">
        <v>31</v>
      </c>
      <c r="S93" s="11">
        <v>3.885003885003885E-4</v>
      </c>
      <c r="T93">
        <v>1</v>
      </c>
    </row>
    <row r="94" spans="18:20">
      <c r="R94" s="13" t="s">
        <v>223</v>
      </c>
      <c r="S94" s="11">
        <v>3.885003885003885E-4</v>
      </c>
      <c r="T94">
        <v>1</v>
      </c>
    </row>
    <row r="95" spans="18:20">
      <c r="R95" s="10" t="s">
        <v>114</v>
      </c>
      <c r="S95" s="11">
        <v>3.885003885003885E-4</v>
      </c>
      <c r="T95">
        <v>1</v>
      </c>
    </row>
    <row r="96" spans="18:20">
      <c r="R96" s="13" t="s">
        <v>31</v>
      </c>
      <c r="S96" s="11">
        <v>3.885003885003885E-4</v>
      </c>
      <c r="T96">
        <v>1</v>
      </c>
    </row>
    <row r="97" spans="18:20">
      <c r="R97" s="10" t="s">
        <v>1722</v>
      </c>
      <c r="S97" s="11">
        <v>3.885003885003885E-4</v>
      </c>
      <c r="T97">
        <v>1</v>
      </c>
    </row>
    <row r="98" spans="18:20">
      <c r="R98" s="13" t="s">
        <v>1722</v>
      </c>
      <c r="S98" s="11">
        <v>3.885003885003885E-4</v>
      </c>
      <c r="T98">
        <v>1</v>
      </c>
    </row>
    <row r="99" spans="18:20">
      <c r="R99" s="9" t="s">
        <v>2766</v>
      </c>
      <c r="S99" s="11">
        <v>6.6045066045066049E-3</v>
      </c>
      <c r="T99">
        <v>17</v>
      </c>
    </row>
    <row r="100" spans="18:20">
      <c r="R100" s="10" t="s">
        <v>59</v>
      </c>
      <c r="S100" s="11">
        <v>7.77000777000777E-4</v>
      </c>
      <c r="T100">
        <v>2</v>
      </c>
    </row>
    <row r="101" spans="18:20">
      <c r="R101" s="10" t="s">
        <v>266</v>
      </c>
      <c r="S101" s="11">
        <v>3.885003885003885E-4</v>
      </c>
      <c r="T101">
        <v>1</v>
      </c>
    </row>
    <row r="102" spans="18:20">
      <c r="R102" s="10" t="s">
        <v>28</v>
      </c>
      <c r="S102" s="11">
        <v>3.885003885003885E-4</v>
      </c>
      <c r="T102">
        <v>1</v>
      </c>
    </row>
    <row r="103" spans="18:20">
      <c r="R103" s="10" t="s">
        <v>914</v>
      </c>
      <c r="S103" s="11">
        <v>1.9425019425019425E-3</v>
      </c>
      <c r="T103">
        <v>5</v>
      </c>
    </row>
    <row r="104" spans="18:20">
      <c r="R104" s="10" t="s">
        <v>288</v>
      </c>
      <c r="S104" s="11">
        <v>2.7195027195027195E-3</v>
      </c>
      <c r="T104">
        <v>7</v>
      </c>
    </row>
    <row r="105" spans="18:20">
      <c r="R105" s="10" t="s">
        <v>114</v>
      </c>
      <c r="S105" s="11">
        <v>3.885003885003885E-4</v>
      </c>
      <c r="T105">
        <v>1</v>
      </c>
    </row>
    <row r="106" spans="18:20">
      <c r="R106" s="13" t="s">
        <v>193</v>
      </c>
      <c r="S106" s="11">
        <v>3.885003885003885E-4</v>
      </c>
      <c r="T106">
        <v>1</v>
      </c>
    </row>
    <row r="107" spans="18:20">
      <c r="R107" s="9" t="s">
        <v>2364</v>
      </c>
      <c r="S107" s="11">
        <v>6.6045066045066049E-3</v>
      </c>
      <c r="T107">
        <v>17</v>
      </c>
    </row>
    <row r="108" spans="18:20">
      <c r="R108" s="10" t="s">
        <v>1312</v>
      </c>
      <c r="S108" s="11">
        <v>3.4965034965034965E-3</v>
      </c>
      <c r="T108">
        <v>9</v>
      </c>
    </row>
    <row r="109" spans="18:20">
      <c r="R109" s="13" t="s">
        <v>88</v>
      </c>
      <c r="S109" s="11">
        <v>3.885003885003885E-4</v>
      </c>
      <c r="T109">
        <v>1</v>
      </c>
    </row>
    <row r="110" spans="18:20">
      <c r="R110" s="13" t="s">
        <v>31</v>
      </c>
      <c r="S110" s="11">
        <v>2.7195027195027195E-3</v>
      </c>
      <c r="T110">
        <v>7</v>
      </c>
    </row>
    <row r="111" spans="18:20">
      <c r="R111" s="13" t="s">
        <v>24</v>
      </c>
      <c r="S111" s="11">
        <v>3.885003885003885E-4</v>
      </c>
      <c r="T111">
        <v>1</v>
      </c>
    </row>
    <row r="112" spans="18:20">
      <c r="R112" s="10" t="s">
        <v>1056</v>
      </c>
      <c r="S112" s="11">
        <v>7.77000777000777E-4</v>
      </c>
      <c r="T112">
        <v>2</v>
      </c>
    </row>
    <row r="113" spans="18:20">
      <c r="R113" s="13" t="s">
        <v>31</v>
      </c>
      <c r="S113" s="11">
        <v>7.77000777000777E-4</v>
      </c>
      <c r="T113">
        <v>2</v>
      </c>
    </row>
    <row r="114" spans="18:20">
      <c r="R114" s="10" t="s">
        <v>1999</v>
      </c>
      <c r="S114" s="11">
        <v>3.885003885003885E-4</v>
      </c>
      <c r="T114">
        <v>1</v>
      </c>
    </row>
    <row r="115" spans="18:20">
      <c r="R115" s="13" t="s">
        <v>31</v>
      </c>
      <c r="S115" s="11">
        <v>3.885003885003885E-4</v>
      </c>
      <c r="T115">
        <v>1</v>
      </c>
    </row>
    <row r="116" spans="18:20">
      <c r="R116" s="10" t="s">
        <v>2180</v>
      </c>
      <c r="S116" s="11">
        <v>1.554001554001554E-3</v>
      </c>
      <c r="T116">
        <v>4</v>
      </c>
    </row>
    <row r="117" spans="18:20">
      <c r="R117" s="13" t="s">
        <v>31</v>
      </c>
      <c r="S117" s="11">
        <v>1.554001554001554E-3</v>
      </c>
      <c r="T117">
        <v>4</v>
      </c>
    </row>
    <row r="118" spans="18:20">
      <c r="R118" s="10" t="s">
        <v>233</v>
      </c>
      <c r="S118" s="11">
        <v>3.885003885003885E-4</v>
      </c>
      <c r="T118">
        <v>1</v>
      </c>
    </row>
    <row r="119" spans="18:20">
      <c r="R119" s="9" t="s">
        <v>272</v>
      </c>
      <c r="S119" s="11">
        <v>6.216006216006216E-3</v>
      </c>
      <c r="T119">
        <v>16</v>
      </c>
    </row>
    <row r="120" spans="18:20">
      <c r="R120" s="10" t="s">
        <v>20</v>
      </c>
      <c r="S120" s="11">
        <v>3.885003885003885E-4</v>
      </c>
      <c r="T120">
        <v>1</v>
      </c>
    </row>
    <row r="121" spans="18:20">
      <c r="R121" s="10" t="s">
        <v>108</v>
      </c>
      <c r="S121" s="11">
        <v>3.885003885003885E-4</v>
      </c>
      <c r="T121">
        <v>1</v>
      </c>
    </row>
    <row r="122" spans="18:20">
      <c r="R122" s="13" t="s">
        <v>24</v>
      </c>
      <c r="S122" s="11">
        <v>3.885003885003885E-4</v>
      </c>
      <c r="T122">
        <v>1</v>
      </c>
    </row>
    <row r="123" spans="18:20">
      <c r="R123" s="10" t="s">
        <v>28</v>
      </c>
      <c r="S123" s="11">
        <v>3.885003885003885E-4</v>
      </c>
      <c r="T123">
        <v>1</v>
      </c>
    </row>
    <row r="124" spans="18:20">
      <c r="R124" s="10" t="s">
        <v>288</v>
      </c>
      <c r="S124" s="11">
        <v>3.885003885003885E-4</v>
      </c>
      <c r="T124">
        <v>1</v>
      </c>
    </row>
    <row r="125" spans="18:20">
      <c r="R125" s="10" t="s">
        <v>196</v>
      </c>
      <c r="S125" s="11">
        <v>4.662004662004662E-3</v>
      </c>
      <c r="T125">
        <v>12</v>
      </c>
    </row>
    <row r="126" spans="18:20">
      <c r="R126" s="13" t="s">
        <v>31</v>
      </c>
      <c r="S126" s="11">
        <v>2.7195027195027195E-3</v>
      </c>
      <c r="T126">
        <v>7</v>
      </c>
    </row>
    <row r="127" spans="18:20">
      <c r="R127" s="13" t="s">
        <v>66</v>
      </c>
      <c r="S127" s="11">
        <v>7.77000777000777E-4</v>
      </c>
      <c r="T127">
        <v>2</v>
      </c>
    </row>
    <row r="128" spans="18:20">
      <c r="R128" s="13" t="s">
        <v>223</v>
      </c>
      <c r="S128" s="11">
        <v>1.1655011655011655E-3</v>
      </c>
      <c r="T128">
        <v>3</v>
      </c>
    </row>
    <row r="129" spans="18:20">
      <c r="R129" s="9" t="s">
        <v>3537</v>
      </c>
      <c r="S129" s="11">
        <v>6.216006216006216E-3</v>
      </c>
      <c r="T129">
        <v>16</v>
      </c>
    </row>
    <row r="130" spans="18:20">
      <c r="R130" s="10" t="s">
        <v>1730</v>
      </c>
      <c r="S130" s="11">
        <v>1.1655011655011655E-3</v>
      </c>
      <c r="T130">
        <v>3</v>
      </c>
    </row>
    <row r="131" spans="18:20">
      <c r="R131" s="13" t="s">
        <v>31</v>
      </c>
      <c r="S131" s="11">
        <v>1.1655011655011655E-3</v>
      </c>
      <c r="T131">
        <v>3</v>
      </c>
    </row>
    <row r="132" spans="18:20">
      <c r="R132" s="10" t="s">
        <v>851</v>
      </c>
      <c r="S132" s="11">
        <v>3.885003885003885E-4</v>
      </c>
      <c r="T132">
        <v>1</v>
      </c>
    </row>
    <row r="133" spans="18:20">
      <c r="R133" s="13" t="s">
        <v>223</v>
      </c>
      <c r="S133" s="11">
        <v>3.885003885003885E-4</v>
      </c>
      <c r="T133">
        <v>1</v>
      </c>
    </row>
    <row r="134" spans="18:20">
      <c r="R134" s="10" t="s">
        <v>571</v>
      </c>
      <c r="S134" s="11">
        <v>3.885003885003885E-3</v>
      </c>
      <c r="T134">
        <v>10</v>
      </c>
    </row>
    <row r="135" spans="18:20">
      <c r="R135" s="10" t="s">
        <v>543</v>
      </c>
      <c r="S135" s="11">
        <v>3.885003885003885E-4</v>
      </c>
      <c r="T135">
        <v>1</v>
      </c>
    </row>
    <row r="136" spans="18:20">
      <c r="R136" s="13" t="s">
        <v>979</v>
      </c>
      <c r="S136" s="11">
        <v>3.885003885003885E-4</v>
      </c>
      <c r="T136">
        <v>1</v>
      </c>
    </row>
    <row r="137" spans="18:20">
      <c r="R137" s="10" t="s">
        <v>70</v>
      </c>
      <c r="S137" s="11">
        <v>3.885003885003885E-4</v>
      </c>
      <c r="T137">
        <v>1</v>
      </c>
    </row>
    <row r="138" spans="18:20">
      <c r="R138" s="13" t="s">
        <v>508</v>
      </c>
      <c r="S138" s="11">
        <v>3.885003885003885E-4</v>
      </c>
      <c r="T138">
        <v>1</v>
      </c>
    </row>
    <row r="139" spans="18:20">
      <c r="R139" s="9" t="s">
        <v>4036</v>
      </c>
      <c r="S139" s="11">
        <v>5.8275058275058279E-3</v>
      </c>
      <c r="T139">
        <v>15</v>
      </c>
    </row>
    <row r="140" spans="18:20">
      <c r="R140" s="10" t="s">
        <v>557</v>
      </c>
      <c r="S140" s="11">
        <v>3.885003885003885E-4</v>
      </c>
      <c r="T140">
        <v>1</v>
      </c>
    </row>
    <row r="141" spans="18:20">
      <c r="R141" s="10" t="s">
        <v>1730</v>
      </c>
      <c r="S141" s="11">
        <v>3.885003885003885E-4</v>
      </c>
      <c r="T141">
        <v>1</v>
      </c>
    </row>
    <row r="142" spans="18:20">
      <c r="R142" s="13" t="s">
        <v>31</v>
      </c>
      <c r="S142" s="11">
        <v>3.885003885003885E-4</v>
      </c>
      <c r="T142">
        <v>1</v>
      </c>
    </row>
    <row r="143" spans="18:20">
      <c r="R143" s="10" t="s">
        <v>266</v>
      </c>
      <c r="S143" s="11">
        <v>7.77000777000777E-4</v>
      </c>
      <c r="T143">
        <v>2</v>
      </c>
    </row>
    <row r="144" spans="18:20">
      <c r="R144" s="10" t="s">
        <v>123</v>
      </c>
      <c r="S144" s="11">
        <v>3.885003885003885E-4</v>
      </c>
      <c r="T144">
        <v>1</v>
      </c>
    </row>
    <row r="145" spans="18:20">
      <c r="R145" s="13" t="s">
        <v>31</v>
      </c>
      <c r="S145" s="11">
        <v>3.885003885003885E-4</v>
      </c>
      <c r="T145">
        <v>1</v>
      </c>
    </row>
    <row r="146" spans="18:20">
      <c r="R146" s="10" t="s">
        <v>620</v>
      </c>
      <c r="S146" s="11">
        <v>1.1655011655011655E-3</v>
      </c>
      <c r="T146">
        <v>3</v>
      </c>
    </row>
    <row r="147" spans="18:20">
      <c r="R147" s="10" t="s">
        <v>1533</v>
      </c>
      <c r="S147" s="11">
        <v>7.77000777000777E-4</v>
      </c>
      <c r="T147">
        <v>2</v>
      </c>
    </row>
    <row r="148" spans="18:20">
      <c r="R148" s="13" t="s">
        <v>31</v>
      </c>
      <c r="S148" s="11">
        <v>7.77000777000777E-4</v>
      </c>
      <c r="T148">
        <v>2</v>
      </c>
    </row>
    <row r="149" spans="18:20">
      <c r="R149" s="10" t="s">
        <v>443</v>
      </c>
      <c r="S149" s="11">
        <v>3.885003885003885E-4</v>
      </c>
      <c r="T149">
        <v>1</v>
      </c>
    </row>
    <row r="150" spans="18:20">
      <c r="R150" s="10" t="s">
        <v>1093</v>
      </c>
      <c r="S150" s="11">
        <v>3.885003885003885E-4</v>
      </c>
      <c r="T150">
        <v>1</v>
      </c>
    </row>
    <row r="151" spans="18:20">
      <c r="R151" s="10" t="s">
        <v>1232</v>
      </c>
      <c r="S151" s="11">
        <v>7.77000777000777E-4</v>
      </c>
      <c r="T151">
        <v>2</v>
      </c>
    </row>
    <row r="152" spans="18:20">
      <c r="R152" s="13" t="s">
        <v>88</v>
      </c>
      <c r="S152" s="11">
        <v>3.885003885003885E-4</v>
      </c>
      <c r="T152">
        <v>1</v>
      </c>
    </row>
    <row r="153" spans="18:20">
      <c r="R153" s="13" t="s">
        <v>24</v>
      </c>
      <c r="S153" s="11">
        <v>3.885003885003885E-4</v>
      </c>
      <c r="T153">
        <v>1</v>
      </c>
    </row>
    <row r="154" spans="18:20">
      <c r="R154" s="10" t="s">
        <v>70</v>
      </c>
      <c r="S154" s="11">
        <v>3.885003885003885E-4</v>
      </c>
      <c r="T154">
        <v>1</v>
      </c>
    </row>
    <row r="155" spans="18:20">
      <c r="R155" s="13" t="s">
        <v>979</v>
      </c>
      <c r="S155" s="11">
        <v>3.885003885003885E-4</v>
      </c>
      <c r="T155">
        <v>1</v>
      </c>
    </row>
    <row r="156" spans="18:20">
      <c r="R156" s="9" t="s">
        <v>2735</v>
      </c>
      <c r="S156" s="11">
        <v>5.0505050505050509E-3</v>
      </c>
      <c r="T156">
        <v>13</v>
      </c>
    </row>
    <row r="157" spans="18:20">
      <c r="R157" s="10" t="s">
        <v>557</v>
      </c>
      <c r="S157" s="11">
        <v>3.885003885003885E-4</v>
      </c>
      <c r="T157">
        <v>1</v>
      </c>
    </row>
    <row r="158" spans="18:20">
      <c r="R158" s="10" t="s">
        <v>42</v>
      </c>
      <c r="S158" s="11">
        <v>7.77000777000777E-4</v>
      </c>
      <c r="T158">
        <v>2</v>
      </c>
    </row>
    <row r="159" spans="18:20">
      <c r="R159" s="10" t="s">
        <v>1730</v>
      </c>
      <c r="S159" s="11">
        <v>3.885003885003885E-4</v>
      </c>
      <c r="T159">
        <v>1</v>
      </c>
    </row>
    <row r="160" spans="18:20">
      <c r="R160" s="13" t="s">
        <v>31</v>
      </c>
      <c r="S160" s="11">
        <v>3.885003885003885E-4</v>
      </c>
      <c r="T160">
        <v>1</v>
      </c>
    </row>
    <row r="161" spans="18:20">
      <c r="R161" s="10" t="s">
        <v>519</v>
      </c>
      <c r="S161" s="11">
        <v>1.1655011655011655E-3</v>
      </c>
      <c r="T161">
        <v>3</v>
      </c>
    </row>
    <row r="162" spans="18:20">
      <c r="R162" s="10" t="s">
        <v>987</v>
      </c>
      <c r="S162" s="11">
        <v>3.885003885003885E-4</v>
      </c>
      <c r="T162">
        <v>1</v>
      </c>
    </row>
    <row r="163" spans="18:20">
      <c r="R163" s="10" t="s">
        <v>444</v>
      </c>
      <c r="S163" s="11">
        <v>3.885003885003885E-4</v>
      </c>
      <c r="T163">
        <v>1</v>
      </c>
    </row>
    <row r="164" spans="18:20">
      <c r="R164" s="13" t="s">
        <v>444</v>
      </c>
      <c r="S164" s="11">
        <v>3.885003885003885E-4</v>
      </c>
      <c r="T164">
        <v>1</v>
      </c>
    </row>
    <row r="165" spans="18:20">
      <c r="R165" s="10" t="s">
        <v>70</v>
      </c>
      <c r="S165" s="11">
        <v>1.554001554001554E-3</v>
      </c>
      <c r="T165">
        <v>4</v>
      </c>
    </row>
    <row r="166" spans="18:20">
      <c r="R166" s="13" t="s">
        <v>692</v>
      </c>
      <c r="S166" s="11">
        <v>1.554001554001554E-3</v>
      </c>
      <c r="T166">
        <v>4</v>
      </c>
    </row>
    <row r="167" spans="18:20">
      <c r="R167" s="9" t="s">
        <v>3507</v>
      </c>
      <c r="S167" s="11">
        <v>5.0505050505050509E-3</v>
      </c>
      <c r="T167">
        <v>13</v>
      </c>
    </row>
    <row r="168" spans="18:20">
      <c r="R168" s="10" t="s">
        <v>1730</v>
      </c>
      <c r="S168" s="11">
        <v>1.1655011655011655E-3</v>
      </c>
      <c r="T168">
        <v>3</v>
      </c>
    </row>
    <row r="169" spans="18:20">
      <c r="R169" s="13" t="s">
        <v>31</v>
      </c>
      <c r="S169" s="11">
        <v>1.1655011655011655E-3</v>
      </c>
      <c r="T169">
        <v>3</v>
      </c>
    </row>
    <row r="170" spans="18:20">
      <c r="R170" s="10" t="s">
        <v>266</v>
      </c>
      <c r="S170" s="11">
        <v>3.885003885003885E-4</v>
      </c>
      <c r="T170">
        <v>1</v>
      </c>
    </row>
    <row r="171" spans="18:20">
      <c r="R171" s="10" t="s">
        <v>123</v>
      </c>
      <c r="S171" s="11">
        <v>3.885003885003885E-4</v>
      </c>
      <c r="T171">
        <v>1</v>
      </c>
    </row>
    <row r="172" spans="18:20">
      <c r="R172" s="13" t="s">
        <v>24</v>
      </c>
      <c r="S172" s="11">
        <v>3.885003885003885E-4</v>
      </c>
      <c r="T172">
        <v>1</v>
      </c>
    </row>
    <row r="173" spans="18:20">
      <c r="R173" s="10" t="s">
        <v>620</v>
      </c>
      <c r="S173" s="11">
        <v>3.885003885003885E-4</v>
      </c>
      <c r="T173">
        <v>1</v>
      </c>
    </row>
    <row r="174" spans="18:20">
      <c r="R174" s="10" t="s">
        <v>1533</v>
      </c>
      <c r="S174" s="11">
        <v>3.885003885003885E-4</v>
      </c>
      <c r="T174">
        <v>1</v>
      </c>
    </row>
    <row r="175" spans="18:20">
      <c r="R175" s="13" t="s">
        <v>31</v>
      </c>
      <c r="S175" s="11">
        <v>3.885003885003885E-4</v>
      </c>
      <c r="T175">
        <v>1</v>
      </c>
    </row>
    <row r="176" spans="18:20">
      <c r="R176" s="10" t="s">
        <v>571</v>
      </c>
      <c r="S176" s="11">
        <v>1.554001554001554E-3</v>
      </c>
      <c r="T176">
        <v>4</v>
      </c>
    </row>
    <row r="177" spans="18:20">
      <c r="R177" s="10" t="s">
        <v>519</v>
      </c>
      <c r="S177" s="11">
        <v>3.885003885003885E-4</v>
      </c>
      <c r="T177">
        <v>1</v>
      </c>
    </row>
    <row r="178" spans="18:20">
      <c r="R178" s="10" t="s">
        <v>1232</v>
      </c>
      <c r="S178" s="11">
        <v>3.885003885003885E-4</v>
      </c>
      <c r="T178">
        <v>1</v>
      </c>
    </row>
    <row r="179" spans="18:20">
      <c r="R179" s="13" t="s">
        <v>36</v>
      </c>
      <c r="S179" s="11">
        <v>3.885003885003885E-4</v>
      </c>
      <c r="T179">
        <v>1</v>
      </c>
    </row>
    <row r="180" spans="18:20">
      <c r="R180" s="9" t="s">
        <v>4602</v>
      </c>
      <c r="S180" s="11">
        <v>4.662004662004662E-3</v>
      </c>
      <c r="T180">
        <v>12</v>
      </c>
    </row>
    <row r="181" spans="18:20">
      <c r="R181" s="10" t="s">
        <v>59</v>
      </c>
      <c r="S181" s="11">
        <v>3.885003885003885E-4</v>
      </c>
      <c r="T181">
        <v>1</v>
      </c>
    </row>
    <row r="182" spans="18:20">
      <c r="R182" s="10" t="s">
        <v>20</v>
      </c>
      <c r="S182" s="11">
        <v>7.77000777000777E-4</v>
      </c>
      <c r="T182">
        <v>2</v>
      </c>
    </row>
    <row r="183" spans="18:20">
      <c r="R183" s="10" t="s">
        <v>956</v>
      </c>
      <c r="S183" s="11">
        <v>3.885003885003885E-4</v>
      </c>
      <c r="T183">
        <v>1</v>
      </c>
    </row>
    <row r="184" spans="18:20">
      <c r="R184" s="10" t="s">
        <v>620</v>
      </c>
      <c r="S184" s="11">
        <v>3.885003885003885E-4</v>
      </c>
      <c r="T184">
        <v>1</v>
      </c>
    </row>
    <row r="185" spans="18:20">
      <c r="R185" s="10" t="s">
        <v>1533</v>
      </c>
      <c r="S185" s="11">
        <v>3.885003885003885E-4</v>
      </c>
      <c r="T185">
        <v>1</v>
      </c>
    </row>
    <row r="186" spans="18:20">
      <c r="R186" s="13" t="s">
        <v>31</v>
      </c>
      <c r="S186" s="11">
        <v>3.885003885003885E-4</v>
      </c>
      <c r="T186">
        <v>1</v>
      </c>
    </row>
    <row r="187" spans="18:20">
      <c r="R187" s="10" t="s">
        <v>1017</v>
      </c>
      <c r="S187" s="11">
        <v>3.885003885003885E-4</v>
      </c>
      <c r="T187">
        <v>1</v>
      </c>
    </row>
    <row r="188" spans="18:20">
      <c r="R188" s="10" t="s">
        <v>28</v>
      </c>
      <c r="S188" s="11">
        <v>7.77000777000777E-4</v>
      </c>
      <c r="T188">
        <v>2</v>
      </c>
    </row>
    <row r="189" spans="18:20">
      <c r="R189" s="10" t="s">
        <v>163</v>
      </c>
      <c r="S189" s="11">
        <v>3.885003885003885E-4</v>
      </c>
      <c r="T189">
        <v>1</v>
      </c>
    </row>
    <row r="190" spans="18:20">
      <c r="R190" s="13" t="s">
        <v>193</v>
      </c>
      <c r="S190" s="11">
        <v>3.885003885003885E-4</v>
      </c>
      <c r="T190">
        <v>1</v>
      </c>
    </row>
    <row r="191" spans="18:20">
      <c r="R191" s="10" t="s">
        <v>910</v>
      </c>
      <c r="S191" s="11">
        <v>3.885003885003885E-4</v>
      </c>
      <c r="T191">
        <v>1</v>
      </c>
    </row>
    <row r="192" spans="18:20">
      <c r="R192" s="10" t="s">
        <v>70</v>
      </c>
      <c r="S192" s="11">
        <v>3.885003885003885E-4</v>
      </c>
      <c r="T192">
        <v>1</v>
      </c>
    </row>
    <row r="193" spans="18:20">
      <c r="R193" s="13" t="s">
        <v>692</v>
      </c>
      <c r="S193" s="11">
        <v>3.885003885003885E-4</v>
      </c>
      <c r="T193">
        <v>1</v>
      </c>
    </row>
    <row r="194" spans="18:20">
      <c r="R194" s="9" t="s">
        <v>1193</v>
      </c>
      <c r="S194" s="11">
        <v>4.2735042735042739E-3</v>
      </c>
      <c r="T194">
        <v>11</v>
      </c>
    </row>
    <row r="195" spans="18:20">
      <c r="R195" s="10" t="s">
        <v>59</v>
      </c>
      <c r="S195" s="11">
        <v>3.885003885003885E-4</v>
      </c>
      <c r="T195">
        <v>1</v>
      </c>
    </row>
    <row r="196" spans="18:20">
      <c r="R196" s="10" t="s">
        <v>571</v>
      </c>
      <c r="S196" s="11">
        <v>7.77000777000777E-4</v>
      </c>
      <c r="T196">
        <v>2</v>
      </c>
    </row>
    <row r="197" spans="18:20">
      <c r="R197" s="10" t="s">
        <v>233</v>
      </c>
      <c r="S197" s="11">
        <v>3.108003108003108E-3</v>
      </c>
      <c r="T197">
        <v>8</v>
      </c>
    </row>
    <row r="198" spans="18:20">
      <c r="R198" s="9" t="s">
        <v>524</v>
      </c>
      <c r="S198" s="11">
        <v>4.2735042735042739E-3</v>
      </c>
      <c r="T198">
        <v>11</v>
      </c>
    </row>
    <row r="199" spans="18:20">
      <c r="R199" s="10" t="s">
        <v>20</v>
      </c>
      <c r="S199" s="11">
        <v>3.885003885003885E-4</v>
      </c>
      <c r="T199">
        <v>1</v>
      </c>
    </row>
    <row r="200" spans="18:20">
      <c r="R200" s="10" t="s">
        <v>123</v>
      </c>
      <c r="S200" s="11">
        <v>3.885003885003885E-4</v>
      </c>
      <c r="T200">
        <v>1</v>
      </c>
    </row>
    <row r="201" spans="18:20">
      <c r="R201" s="13" t="s">
        <v>31</v>
      </c>
      <c r="S201" s="11">
        <v>3.885003885003885E-4</v>
      </c>
      <c r="T201">
        <v>1</v>
      </c>
    </row>
    <row r="202" spans="18:20">
      <c r="R202" s="10" t="s">
        <v>132</v>
      </c>
      <c r="S202" s="11">
        <v>2.331002331002331E-3</v>
      </c>
      <c r="T202">
        <v>6</v>
      </c>
    </row>
    <row r="203" spans="18:20">
      <c r="R203" s="13" t="s">
        <v>525</v>
      </c>
      <c r="S203" s="11">
        <v>2.331002331002331E-3</v>
      </c>
      <c r="T203">
        <v>6</v>
      </c>
    </row>
    <row r="204" spans="18:20">
      <c r="R204" s="10" t="s">
        <v>543</v>
      </c>
      <c r="S204" s="11">
        <v>3.885003885003885E-4</v>
      </c>
      <c r="T204">
        <v>1</v>
      </c>
    </row>
    <row r="205" spans="18:20">
      <c r="R205" s="13" t="s">
        <v>72</v>
      </c>
      <c r="S205" s="11">
        <v>3.885003885003885E-4</v>
      </c>
      <c r="T205">
        <v>1</v>
      </c>
    </row>
    <row r="206" spans="18:20">
      <c r="R206" s="10" t="s">
        <v>28</v>
      </c>
      <c r="S206" s="11">
        <v>3.885003885003885E-4</v>
      </c>
      <c r="T206">
        <v>1</v>
      </c>
    </row>
    <row r="207" spans="18:20">
      <c r="R207" s="10" t="s">
        <v>535</v>
      </c>
      <c r="S207" s="11">
        <v>3.885003885003885E-4</v>
      </c>
      <c r="T207">
        <v>1</v>
      </c>
    </row>
    <row r="208" spans="18:20">
      <c r="R208" s="13" t="s">
        <v>24</v>
      </c>
      <c r="S208" s="11">
        <v>3.885003885003885E-4</v>
      </c>
      <c r="T208">
        <v>1</v>
      </c>
    </row>
    <row r="209" spans="18:20">
      <c r="R209" s="9" t="s">
        <v>5432</v>
      </c>
      <c r="S209" s="11">
        <v>4.2735042735042739E-3</v>
      </c>
      <c r="T209">
        <v>11</v>
      </c>
    </row>
    <row r="210" spans="18:20">
      <c r="R210" s="10" t="s">
        <v>42</v>
      </c>
      <c r="S210" s="11">
        <v>3.885003885003885E-4</v>
      </c>
      <c r="T210">
        <v>1</v>
      </c>
    </row>
    <row r="211" spans="18:20">
      <c r="R211" s="10" t="s">
        <v>59</v>
      </c>
      <c r="S211" s="11">
        <v>3.885003885003885E-4</v>
      </c>
      <c r="T211">
        <v>1</v>
      </c>
    </row>
    <row r="212" spans="18:20">
      <c r="R212" s="10" t="s">
        <v>20</v>
      </c>
      <c r="S212" s="11">
        <v>3.885003885003885E-4</v>
      </c>
      <c r="T212">
        <v>1</v>
      </c>
    </row>
    <row r="213" spans="18:20">
      <c r="R213" s="10" t="s">
        <v>956</v>
      </c>
      <c r="S213" s="11">
        <v>1.554001554001554E-3</v>
      </c>
      <c r="T213">
        <v>4</v>
      </c>
    </row>
    <row r="214" spans="18:20">
      <c r="R214" s="10" t="s">
        <v>3336</v>
      </c>
      <c r="S214" s="11">
        <v>3.885003885003885E-4</v>
      </c>
      <c r="T214">
        <v>1</v>
      </c>
    </row>
    <row r="215" spans="18:20">
      <c r="R215" s="13" t="s">
        <v>88</v>
      </c>
      <c r="S215" s="11">
        <v>3.885003885003885E-4</v>
      </c>
      <c r="T215">
        <v>1</v>
      </c>
    </row>
    <row r="216" spans="18:20">
      <c r="R216" s="10" t="s">
        <v>1163</v>
      </c>
      <c r="S216" s="11">
        <v>7.77000777000777E-4</v>
      </c>
      <c r="T216">
        <v>2</v>
      </c>
    </row>
    <row r="217" spans="18:20">
      <c r="R217" s="10" t="s">
        <v>233</v>
      </c>
      <c r="S217" s="11">
        <v>3.885003885003885E-4</v>
      </c>
      <c r="T217">
        <v>1</v>
      </c>
    </row>
    <row r="218" spans="18:20">
      <c r="R218" s="9" t="s">
        <v>3572</v>
      </c>
      <c r="S218" s="11">
        <v>4.2735042735042739E-3</v>
      </c>
      <c r="T218">
        <v>11</v>
      </c>
    </row>
    <row r="219" spans="18:20">
      <c r="R219" s="10" t="s">
        <v>1344</v>
      </c>
      <c r="S219" s="11">
        <v>3.885003885003885E-4</v>
      </c>
      <c r="T219">
        <v>1</v>
      </c>
    </row>
    <row r="220" spans="18:20">
      <c r="R220" s="10" t="s">
        <v>3142</v>
      </c>
      <c r="S220" s="11">
        <v>3.885003885003885E-4</v>
      </c>
      <c r="T220">
        <v>1</v>
      </c>
    </row>
    <row r="221" spans="18:20">
      <c r="R221" s="13" t="s">
        <v>31</v>
      </c>
      <c r="S221" s="11">
        <v>3.885003885003885E-4</v>
      </c>
      <c r="T221">
        <v>1</v>
      </c>
    </row>
    <row r="222" spans="18:20">
      <c r="R222" s="10" t="s">
        <v>571</v>
      </c>
      <c r="S222" s="11">
        <v>1.9425019425019425E-3</v>
      </c>
      <c r="T222">
        <v>5</v>
      </c>
    </row>
    <row r="223" spans="18:20">
      <c r="R223" s="10" t="s">
        <v>1017</v>
      </c>
      <c r="S223" s="11">
        <v>3.885003885003885E-4</v>
      </c>
      <c r="T223">
        <v>1</v>
      </c>
    </row>
    <row r="224" spans="18:20">
      <c r="R224" s="10" t="s">
        <v>519</v>
      </c>
      <c r="S224" s="11">
        <v>3.885003885003885E-4</v>
      </c>
      <c r="T224">
        <v>1</v>
      </c>
    </row>
    <row r="225" spans="18:20">
      <c r="R225" s="10" t="s">
        <v>987</v>
      </c>
      <c r="S225" s="11">
        <v>3.885003885003885E-4</v>
      </c>
      <c r="T225">
        <v>1</v>
      </c>
    </row>
    <row r="226" spans="18:20">
      <c r="R226" s="10" t="s">
        <v>233</v>
      </c>
      <c r="S226" s="11">
        <v>3.885003885003885E-4</v>
      </c>
      <c r="T226">
        <v>1</v>
      </c>
    </row>
    <row r="227" spans="18:20">
      <c r="R227" s="9" t="s">
        <v>381</v>
      </c>
      <c r="S227" s="11">
        <v>3.4965034965034965E-3</v>
      </c>
      <c r="T227">
        <v>9</v>
      </c>
    </row>
    <row r="228" spans="18:20">
      <c r="R228" s="10" t="s">
        <v>42</v>
      </c>
      <c r="S228" s="11">
        <v>3.885003885003885E-4</v>
      </c>
      <c r="T228">
        <v>1</v>
      </c>
    </row>
    <row r="229" spans="18:20">
      <c r="R229" s="10" t="s">
        <v>20</v>
      </c>
      <c r="S229" s="11">
        <v>3.885003885003885E-4</v>
      </c>
      <c r="T229">
        <v>1</v>
      </c>
    </row>
    <row r="230" spans="18:20">
      <c r="R230" s="10" t="s">
        <v>28</v>
      </c>
      <c r="S230" s="11">
        <v>3.885003885003885E-4</v>
      </c>
      <c r="T230">
        <v>1</v>
      </c>
    </row>
    <row r="231" spans="18:20">
      <c r="R231" s="10" t="s">
        <v>227</v>
      </c>
      <c r="S231" s="11">
        <v>1.9425019425019425E-3</v>
      </c>
      <c r="T231">
        <v>5</v>
      </c>
    </row>
    <row r="232" spans="18:20">
      <c r="R232" s="13" t="s">
        <v>24</v>
      </c>
      <c r="S232" s="11">
        <v>1.9425019425019425E-3</v>
      </c>
      <c r="T232">
        <v>5</v>
      </c>
    </row>
    <row r="233" spans="18:20">
      <c r="R233" s="10" t="s">
        <v>64</v>
      </c>
      <c r="S233" s="11">
        <v>3.885003885003885E-4</v>
      </c>
      <c r="T233">
        <v>1</v>
      </c>
    </row>
    <row r="234" spans="18:20">
      <c r="R234" s="13" t="s">
        <v>66</v>
      </c>
      <c r="S234" s="11">
        <v>3.885003885003885E-4</v>
      </c>
      <c r="T234">
        <v>1</v>
      </c>
    </row>
    <row r="235" spans="18:20">
      <c r="R235" s="9" t="s">
        <v>1557</v>
      </c>
      <c r="S235" s="11">
        <v>3.4965034965034965E-3</v>
      </c>
      <c r="T235">
        <v>9</v>
      </c>
    </row>
    <row r="236" spans="18:20">
      <c r="R236" s="10" t="s">
        <v>1056</v>
      </c>
      <c r="S236" s="11">
        <v>3.885003885003885E-4</v>
      </c>
      <c r="T236">
        <v>1</v>
      </c>
    </row>
    <row r="237" spans="18:20">
      <c r="R237" s="13" t="s">
        <v>36</v>
      </c>
      <c r="S237" s="11">
        <v>3.885003885003885E-4</v>
      </c>
      <c r="T237">
        <v>1</v>
      </c>
    </row>
    <row r="238" spans="18:20">
      <c r="R238" s="10" t="s">
        <v>28</v>
      </c>
      <c r="S238" s="11">
        <v>3.108003108003108E-3</v>
      </c>
      <c r="T238">
        <v>8</v>
      </c>
    </row>
    <row r="239" spans="18:20">
      <c r="R239" s="9" t="s">
        <v>3790</v>
      </c>
      <c r="S239" s="11">
        <v>3.4965034965034965E-3</v>
      </c>
      <c r="T239">
        <v>9</v>
      </c>
    </row>
    <row r="240" spans="18:20">
      <c r="R240" s="10" t="s">
        <v>557</v>
      </c>
      <c r="S240" s="11">
        <v>3.885003885003885E-4</v>
      </c>
      <c r="T240">
        <v>1</v>
      </c>
    </row>
    <row r="241" spans="18:20">
      <c r="R241" s="10" t="s">
        <v>266</v>
      </c>
      <c r="S241" s="11">
        <v>3.885003885003885E-4</v>
      </c>
      <c r="T241">
        <v>1</v>
      </c>
    </row>
    <row r="242" spans="18:20">
      <c r="R242" s="10" t="s">
        <v>956</v>
      </c>
      <c r="S242" s="11">
        <v>3.885003885003885E-4</v>
      </c>
      <c r="T242">
        <v>1</v>
      </c>
    </row>
    <row r="243" spans="18:20">
      <c r="R243" s="10" t="s">
        <v>3336</v>
      </c>
      <c r="S243" s="11">
        <v>3.885003885003885E-4</v>
      </c>
      <c r="T243">
        <v>1</v>
      </c>
    </row>
    <row r="244" spans="18:20">
      <c r="R244" s="13" t="s">
        <v>24</v>
      </c>
      <c r="S244" s="11">
        <v>3.885003885003885E-4</v>
      </c>
      <c r="T244">
        <v>1</v>
      </c>
    </row>
    <row r="245" spans="18:20">
      <c r="R245" s="10" t="s">
        <v>620</v>
      </c>
      <c r="S245" s="11">
        <v>3.885003885003885E-4</v>
      </c>
      <c r="T245">
        <v>1</v>
      </c>
    </row>
    <row r="246" spans="18:20">
      <c r="R246" s="10" t="s">
        <v>1533</v>
      </c>
      <c r="S246" s="11">
        <v>3.885003885003885E-4</v>
      </c>
      <c r="T246">
        <v>1</v>
      </c>
    </row>
    <row r="247" spans="18:20">
      <c r="R247" s="13" t="s">
        <v>31</v>
      </c>
      <c r="S247" s="11">
        <v>3.885003885003885E-4</v>
      </c>
      <c r="T247">
        <v>1</v>
      </c>
    </row>
    <row r="248" spans="18:20">
      <c r="R248" s="10" t="s">
        <v>1017</v>
      </c>
      <c r="S248" s="11">
        <v>3.885003885003885E-4</v>
      </c>
      <c r="T248">
        <v>1</v>
      </c>
    </row>
    <row r="249" spans="18:20">
      <c r="R249" s="10" t="s">
        <v>936</v>
      </c>
      <c r="S249" s="11">
        <v>3.885003885003885E-4</v>
      </c>
      <c r="T249">
        <v>1</v>
      </c>
    </row>
    <row r="250" spans="18:20">
      <c r="R250" s="10" t="s">
        <v>905</v>
      </c>
      <c r="S250" s="11">
        <v>3.885003885003885E-4</v>
      </c>
      <c r="T250">
        <v>1</v>
      </c>
    </row>
    <row r="251" spans="18:20">
      <c r="R251" s="9" t="s">
        <v>2326</v>
      </c>
      <c r="S251" s="11">
        <v>3.108003108003108E-3</v>
      </c>
      <c r="T251">
        <v>8</v>
      </c>
    </row>
    <row r="252" spans="18:20">
      <c r="R252" s="10" t="s">
        <v>557</v>
      </c>
      <c r="S252" s="11">
        <v>3.885003885003885E-4</v>
      </c>
      <c r="T252">
        <v>1</v>
      </c>
    </row>
    <row r="253" spans="18:20">
      <c r="R253" s="10" t="s">
        <v>1312</v>
      </c>
      <c r="S253" s="11">
        <v>1.9425019425019425E-3</v>
      </c>
      <c r="T253">
        <v>5</v>
      </c>
    </row>
    <row r="254" spans="18:20">
      <c r="R254" s="13" t="s">
        <v>36</v>
      </c>
      <c r="S254" s="11">
        <v>3.885003885003885E-4</v>
      </c>
      <c r="T254">
        <v>1</v>
      </c>
    </row>
    <row r="255" spans="18:20">
      <c r="R255" s="13" t="s">
        <v>31</v>
      </c>
      <c r="S255" s="11">
        <v>7.77000777000777E-4</v>
      </c>
      <c r="T255">
        <v>2</v>
      </c>
    </row>
    <row r="256" spans="18:20">
      <c r="R256" s="13" t="s">
        <v>24</v>
      </c>
      <c r="S256" s="11">
        <v>3.885003885003885E-4</v>
      </c>
      <c r="T256">
        <v>1</v>
      </c>
    </row>
    <row r="257" spans="18:20">
      <c r="R257" s="13" t="s">
        <v>418</v>
      </c>
      <c r="S257" s="11">
        <v>3.885003885003885E-4</v>
      </c>
      <c r="T257">
        <v>1</v>
      </c>
    </row>
    <row r="258" spans="18:20">
      <c r="R258" s="10" t="s">
        <v>571</v>
      </c>
      <c r="S258" s="11">
        <v>3.885003885003885E-4</v>
      </c>
      <c r="T258">
        <v>1</v>
      </c>
    </row>
    <row r="259" spans="18:20">
      <c r="R259" s="10" t="s">
        <v>233</v>
      </c>
      <c r="S259" s="11">
        <v>3.885003885003885E-4</v>
      </c>
      <c r="T259">
        <v>1</v>
      </c>
    </row>
    <row r="260" spans="18:20">
      <c r="R260" s="9" t="s">
        <v>3598</v>
      </c>
      <c r="S260" s="11">
        <v>2.7195027195027195E-3</v>
      </c>
      <c r="T260">
        <v>7</v>
      </c>
    </row>
    <row r="261" spans="18:20">
      <c r="R261" s="10" t="s">
        <v>1730</v>
      </c>
      <c r="S261" s="11">
        <v>3.885003885003885E-4</v>
      </c>
      <c r="T261">
        <v>1</v>
      </c>
    </row>
    <row r="262" spans="18:20">
      <c r="R262" s="13" t="s">
        <v>31</v>
      </c>
      <c r="S262" s="11">
        <v>3.885003885003885E-4</v>
      </c>
      <c r="T262">
        <v>1</v>
      </c>
    </row>
    <row r="263" spans="18:20">
      <c r="R263" s="10" t="s">
        <v>1344</v>
      </c>
      <c r="S263" s="11">
        <v>1.554001554001554E-3</v>
      </c>
      <c r="T263">
        <v>4</v>
      </c>
    </row>
    <row r="264" spans="18:20">
      <c r="R264" s="10" t="s">
        <v>1017</v>
      </c>
      <c r="S264" s="11">
        <v>3.885003885003885E-4</v>
      </c>
      <c r="T264">
        <v>1</v>
      </c>
    </row>
    <row r="265" spans="18:20">
      <c r="R265" s="10" t="s">
        <v>910</v>
      </c>
      <c r="S265" s="11">
        <v>3.885003885003885E-4</v>
      </c>
      <c r="T265">
        <v>1</v>
      </c>
    </row>
    <row r="266" spans="18:20">
      <c r="R266" s="9" t="s">
        <v>2426</v>
      </c>
      <c r="S266" s="11">
        <v>2.7195027195027195E-3</v>
      </c>
      <c r="T266">
        <v>7</v>
      </c>
    </row>
    <row r="267" spans="18:20">
      <c r="R267" s="10" t="s">
        <v>20</v>
      </c>
      <c r="S267" s="11">
        <v>1.1655011655011655E-3</v>
      </c>
      <c r="T267">
        <v>3</v>
      </c>
    </row>
    <row r="268" spans="18:20">
      <c r="R268" s="10" t="s">
        <v>1232</v>
      </c>
      <c r="S268" s="11">
        <v>7.77000777000777E-4</v>
      </c>
      <c r="T268">
        <v>2</v>
      </c>
    </row>
    <row r="269" spans="18:20">
      <c r="R269" s="13" t="s">
        <v>24</v>
      </c>
      <c r="S269" s="11">
        <v>3.885003885003885E-4</v>
      </c>
      <c r="T269">
        <v>1</v>
      </c>
    </row>
    <row r="270" spans="18:20">
      <c r="R270" s="13" t="s">
        <v>193</v>
      </c>
      <c r="S270" s="11">
        <v>3.885003885003885E-4</v>
      </c>
      <c r="T270">
        <v>1</v>
      </c>
    </row>
    <row r="271" spans="18:20">
      <c r="R271" s="10" t="s">
        <v>810</v>
      </c>
      <c r="S271" s="11">
        <v>7.77000777000777E-4</v>
      </c>
      <c r="T271">
        <v>2</v>
      </c>
    </row>
    <row r="272" spans="18:20">
      <c r="R272" s="9" t="s">
        <v>1162</v>
      </c>
      <c r="S272" s="11">
        <v>2.331002331002331E-3</v>
      </c>
      <c r="T272">
        <v>6</v>
      </c>
    </row>
    <row r="273" spans="18:20">
      <c r="R273" s="10" t="s">
        <v>42</v>
      </c>
      <c r="S273" s="11">
        <v>3.885003885003885E-4</v>
      </c>
      <c r="T273">
        <v>1</v>
      </c>
    </row>
    <row r="274" spans="18:20">
      <c r="R274" s="10" t="s">
        <v>59</v>
      </c>
      <c r="S274" s="11">
        <v>1.554001554001554E-3</v>
      </c>
      <c r="T274">
        <v>4</v>
      </c>
    </row>
    <row r="275" spans="18:20">
      <c r="R275" s="10" t="s">
        <v>1163</v>
      </c>
      <c r="S275" s="11">
        <v>3.885003885003885E-4</v>
      </c>
      <c r="T275">
        <v>1</v>
      </c>
    </row>
    <row r="276" spans="18:20">
      <c r="R276" s="9" t="s">
        <v>677</v>
      </c>
      <c r="S276" s="11">
        <v>2.331002331002331E-3</v>
      </c>
      <c r="T276">
        <v>6</v>
      </c>
    </row>
    <row r="277" spans="18:20">
      <c r="R277" s="10" t="s">
        <v>20</v>
      </c>
      <c r="S277" s="11">
        <v>7.77000777000777E-4</v>
      </c>
      <c r="T277">
        <v>2</v>
      </c>
    </row>
    <row r="278" spans="18:20">
      <c r="R278" s="10" t="s">
        <v>163</v>
      </c>
      <c r="S278" s="11">
        <v>7.77000777000777E-4</v>
      </c>
      <c r="T278">
        <v>2</v>
      </c>
    </row>
    <row r="279" spans="18:20">
      <c r="R279" s="13" t="s">
        <v>31</v>
      </c>
      <c r="S279" s="11">
        <v>7.77000777000777E-4</v>
      </c>
      <c r="T279">
        <v>2</v>
      </c>
    </row>
    <row r="280" spans="18:20">
      <c r="R280" s="10" t="s">
        <v>244</v>
      </c>
      <c r="S280" s="11">
        <v>3.885003885003885E-4</v>
      </c>
      <c r="T280">
        <v>1</v>
      </c>
    </row>
    <row r="281" spans="18:20">
      <c r="R281" s="10" t="s">
        <v>70</v>
      </c>
      <c r="S281" s="11">
        <v>3.885003885003885E-4</v>
      </c>
      <c r="T281">
        <v>1</v>
      </c>
    </row>
    <row r="282" spans="18:20">
      <c r="R282" s="13" t="s">
        <v>692</v>
      </c>
      <c r="S282" s="11">
        <v>3.885003885003885E-4</v>
      </c>
      <c r="T282">
        <v>1</v>
      </c>
    </row>
    <row r="283" spans="18:20">
      <c r="R283" s="9" t="s">
        <v>463</v>
      </c>
      <c r="S283" s="11">
        <v>2.331002331002331E-3</v>
      </c>
      <c r="T283">
        <v>6</v>
      </c>
    </row>
    <row r="284" spans="18:20">
      <c r="R284" s="10" t="s">
        <v>20</v>
      </c>
      <c r="S284" s="11">
        <v>3.885003885003885E-4</v>
      </c>
      <c r="T284">
        <v>1</v>
      </c>
    </row>
    <row r="285" spans="18:20">
      <c r="R285" s="10" t="s">
        <v>108</v>
      </c>
      <c r="S285" s="11">
        <v>3.885003885003885E-4</v>
      </c>
      <c r="T285">
        <v>1</v>
      </c>
    </row>
    <row r="286" spans="18:20">
      <c r="R286" s="13" t="s">
        <v>36</v>
      </c>
      <c r="S286" s="11">
        <v>3.885003885003885E-4</v>
      </c>
      <c r="T286">
        <v>1</v>
      </c>
    </row>
    <row r="287" spans="18:20">
      <c r="R287" s="10" t="s">
        <v>288</v>
      </c>
      <c r="S287" s="11">
        <v>3.885003885003885E-4</v>
      </c>
      <c r="T287">
        <v>1</v>
      </c>
    </row>
    <row r="288" spans="18:20">
      <c r="R288" s="10" t="s">
        <v>114</v>
      </c>
      <c r="S288" s="11">
        <v>1.1655011655011655E-3</v>
      </c>
      <c r="T288">
        <v>3</v>
      </c>
    </row>
    <row r="289" spans="18:20">
      <c r="R289" s="13" t="s">
        <v>36</v>
      </c>
      <c r="S289" s="11">
        <v>1.1655011655011655E-3</v>
      </c>
      <c r="T289">
        <v>3</v>
      </c>
    </row>
    <row r="290" spans="18:20">
      <c r="R290" s="9" t="s">
        <v>1361</v>
      </c>
      <c r="S290" s="11">
        <v>2.331002331002331E-3</v>
      </c>
      <c r="T290">
        <v>6</v>
      </c>
    </row>
    <row r="291" spans="18:20">
      <c r="R291" s="10" t="s">
        <v>1017</v>
      </c>
      <c r="S291" s="11">
        <v>7.77000777000777E-4</v>
      </c>
      <c r="T291">
        <v>2</v>
      </c>
    </row>
    <row r="292" spans="18:20">
      <c r="R292" s="10" t="s">
        <v>233</v>
      </c>
      <c r="S292" s="11">
        <v>1.1655011655011655E-3</v>
      </c>
      <c r="T292">
        <v>3</v>
      </c>
    </row>
    <row r="293" spans="18:20">
      <c r="R293" s="10" t="s">
        <v>196</v>
      </c>
      <c r="S293" s="11">
        <v>3.885003885003885E-4</v>
      </c>
      <c r="T293">
        <v>1</v>
      </c>
    </row>
    <row r="294" spans="18:20">
      <c r="R294" s="13" t="s">
        <v>31</v>
      </c>
      <c r="S294" s="11">
        <v>3.885003885003885E-4</v>
      </c>
      <c r="T294">
        <v>1</v>
      </c>
    </row>
    <row r="295" spans="18:20">
      <c r="R295" s="9" t="s">
        <v>5690</v>
      </c>
      <c r="S295" s="11">
        <v>2.331002331002331E-3</v>
      </c>
      <c r="T295">
        <v>6</v>
      </c>
    </row>
    <row r="296" spans="18:20">
      <c r="R296" s="10" t="s">
        <v>42</v>
      </c>
      <c r="S296" s="11">
        <v>3.885003885003885E-4</v>
      </c>
      <c r="T296">
        <v>1</v>
      </c>
    </row>
    <row r="297" spans="18:20">
      <c r="R297" s="10" t="s">
        <v>1312</v>
      </c>
      <c r="S297" s="11">
        <v>3.885003885003885E-4</v>
      </c>
      <c r="T297">
        <v>1</v>
      </c>
    </row>
    <row r="298" spans="18:20">
      <c r="R298" s="13" t="s">
        <v>31</v>
      </c>
      <c r="S298" s="11">
        <v>3.885003885003885E-4</v>
      </c>
      <c r="T298">
        <v>1</v>
      </c>
    </row>
    <row r="299" spans="18:20">
      <c r="R299" s="10" t="s">
        <v>123</v>
      </c>
      <c r="S299" s="11">
        <v>3.885003885003885E-4</v>
      </c>
      <c r="T299">
        <v>1</v>
      </c>
    </row>
    <row r="300" spans="18:20">
      <c r="R300" s="13" t="s">
        <v>31</v>
      </c>
      <c r="S300" s="11">
        <v>3.885003885003885E-4</v>
      </c>
      <c r="T300">
        <v>1</v>
      </c>
    </row>
    <row r="301" spans="18:20">
      <c r="R301" s="10" t="s">
        <v>571</v>
      </c>
      <c r="S301" s="11">
        <v>3.885003885003885E-4</v>
      </c>
      <c r="T301">
        <v>1</v>
      </c>
    </row>
    <row r="302" spans="18:20">
      <c r="R302" s="10" t="s">
        <v>233</v>
      </c>
      <c r="S302" s="11">
        <v>3.885003885003885E-4</v>
      </c>
      <c r="T302">
        <v>1</v>
      </c>
    </row>
    <row r="303" spans="18:20">
      <c r="R303" s="10" t="s">
        <v>810</v>
      </c>
      <c r="S303" s="11">
        <v>3.885003885003885E-4</v>
      </c>
      <c r="T303">
        <v>1</v>
      </c>
    </row>
    <row r="304" spans="18:20">
      <c r="R304" s="9" t="s">
        <v>633</v>
      </c>
      <c r="S304" s="11">
        <v>2.331002331002331E-3</v>
      </c>
      <c r="T304">
        <v>6</v>
      </c>
    </row>
    <row r="305" spans="18:20">
      <c r="R305" s="10" t="s">
        <v>20</v>
      </c>
      <c r="S305" s="11">
        <v>1.1655011655011655E-3</v>
      </c>
      <c r="T305">
        <v>3</v>
      </c>
    </row>
    <row r="306" spans="18:20">
      <c r="R306" s="10" t="s">
        <v>123</v>
      </c>
      <c r="S306" s="11">
        <v>3.885003885003885E-4</v>
      </c>
      <c r="T306">
        <v>1</v>
      </c>
    </row>
    <row r="307" spans="18:20">
      <c r="R307" s="13" t="s">
        <v>36</v>
      </c>
      <c r="S307" s="11">
        <v>3.885003885003885E-4</v>
      </c>
      <c r="T307">
        <v>1</v>
      </c>
    </row>
    <row r="308" spans="18:20">
      <c r="R308" s="10" t="s">
        <v>519</v>
      </c>
      <c r="S308" s="11">
        <v>3.885003885003885E-4</v>
      </c>
      <c r="T308">
        <v>1</v>
      </c>
    </row>
    <row r="309" spans="18:20">
      <c r="R309" s="10" t="s">
        <v>114</v>
      </c>
      <c r="S309" s="11">
        <v>3.885003885003885E-4</v>
      </c>
      <c r="T309">
        <v>1</v>
      </c>
    </row>
    <row r="310" spans="18:20">
      <c r="R310" s="13" t="s">
        <v>36</v>
      </c>
      <c r="S310" s="11">
        <v>3.885003885003885E-4</v>
      </c>
      <c r="T310">
        <v>1</v>
      </c>
    </row>
    <row r="311" spans="18:20">
      <c r="R311" s="9" t="s">
        <v>1538</v>
      </c>
      <c r="S311" s="11">
        <v>2.331002331002331E-3</v>
      </c>
      <c r="T311">
        <v>6</v>
      </c>
    </row>
    <row r="312" spans="18:20">
      <c r="R312" s="10" t="s">
        <v>956</v>
      </c>
      <c r="S312" s="11">
        <v>3.885003885003885E-4</v>
      </c>
      <c r="T312">
        <v>1</v>
      </c>
    </row>
    <row r="313" spans="18:20">
      <c r="R313" s="10" t="s">
        <v>1533</v>
      </c>
      <c r="S313" s="11">
        <v>1.9425019425019425E-3</v>
      </c>
      <c r="T313">
        <v>5</v>
      </c>
    </row>
    <row r="314" spans="18:20">
      <c r="R314" s="13" t="s">
        <v>88</v>
      </c>
      <c r="S314" s="11">
        <v>3.885003885003885E-4</v>
      </c>
      <c r="T314">
        <v>1</v>
      </c>
    </row>
    <row r="315" spans="18:20">
      <c r="R315" s="13" t="s">
        <v>31</v>
      </c>
      <c r="S315" s="11">
        <v>1.1655011655011655E-3</v>
      </c>
      <c r="T315">
        <v>3</v>
      </c>
    </row>
    <row r="316" spans="18:20">
      <c r="R316" s="13" t="s">
        <v>66</v>
      </c>
      <c r="S316" s="11">
        <v>3.885003885003885E-4</v>
      </c>
      <c r="T316">
        <v>1</v>
      </c>
    </row>
    <row r="317" spans="18:20">
      <c r="R317" s="9" t="s">
        <v>3940</v>
      </c>
      <c r="S317" s="11">
        <v>2.331002331002331E-3</v>
      </c>
      <c r="T317">
        <v>6</v>
      </c>
    </row>
    <row r="318" spans="18:20">
      <c r="R318" s="10" t="s">
        <v>266</v>
      </c>
      <c r="S318" s="11">
        <v>1.1655011655011655E-3</v>
      </c>
      <c r="T318">
        <v>3</v>
      </c>
    </row>
    <row r="319" spans="18:20">
      <c r="R319" s="10" t="s">
        <v>620</v>
      </c>
      <c r="S319" s="11">
        <v>7.77000777000777E-4</v>
      </c>
      <c r="T319">
        <v>2</v>
      </c>
    </row>
    <row r="320" spans="18:20">
      <c r="R320" s="10" t="s">
        <v>571</v>
      </c>
      <c r="S320" s="11">
        <v>3.885003885003885E-4</v>
      </c>
      <c r="T320">
        <v>1</v>
      </c>
    </row>
    <row r="321" spans="18:20">
      <c r="R321" s="9" t="s">
        <v>2411</v>
      </c>
      <c r="S321" s="11">
        <v>1.9425019425019425E-3</v>
      </c>
      <c r="T321">
        <v>5</v>
      </c>
    </row>
    <row r="322" spans="18:20">
      <c r="R322" s="10" t="s">
        <v>571</v>
      </c>
      <c r="S322" s="11">
        <v>3.885003885003885E-4</v>
      </c>
      <c r="T322">
        <v>1</v>
      </c>
    </row>
    <row r="323" spans="18:20">
      <c r="R323" s="10" t="s">
        <v>2180</v>
      </c>
      <c r="S323" s="11">
        <v>1.554001554001554E-3</v>
      </c>
      <c r="T323">
        <v>4</v>
      </c>
    </row>
    <row r="324" spans="18:20">
      <c r="R324" s="13" t="s">
        <v>31</v>
      </c>
      <c r="S324" s="11">
        <v>1.554001554001554E-3</v>
      </c>
      <c r="T324">
        <v>4</v>
      </c>
    </row>
    <row r="325" spans="18:20">
      <c r="R325" s="9" t="s">
        <v>189</v>
      </c>
      <c r="S325" s="11">
        <v>1.9425019425019425E-3</v>
      </c>
      <c r="T325">
        <v>5</v>
      </c>
    </row>
    <row r="326" spans="18:20">
      <c r="R326" s="10" t="s">
        <v>20</v>
      </c>
      <c r="S326" s="11">
        <v>7.77000777000777E-4</v>
      </c>
      <c r="T326">
        <v>2</v>
      </c>
    </row>
    <row r="327" spans="18:20">
      <c r="R327" s="10" t="s">
        <v>201</v>
      </c>
      <c r="S327" s="11">
        <v>3.885003885003885E-4</v>
      </c>
      <c r="T327">
        <v>1</v>
      </c>
    </row>
    <row r="328" spans="18:20">
      <c r="R328" s="13" t="s">
        <v>31</v>
      </c>
      <c r="S328" s="11">
        <v>3.885003885003885E-4</v>
      </c>
      <c r="T328">
        <v>1</v>
      </c>
    </row>
    <row r="329" spans="18:20">
      <c r="R329" s="10" t="s">
        <v>28</v>
      </c>
      <c r="S329" s="11">
        <v>3.885003885003885E-4</v>
      </c>
      <c r="T329">
        <v>1</v>
      </c>
    </row>
    <row r="330" spans="18:20">
      <c r="R330" s="10" t="s">
        <v>196</v>
      </c>
      <c r="S330" s="11">
        <v>3.885003885003885E-4</v>
      </c>
      <c r="T330">
        <v>1</v>
      </c>
    </row>
    <row r="331" spans="18:20">
      <c r="R331" s="13" t="s">
        <v>31</v>
      </c>
      <c r="S331" s="11">
        <v>3.885003885003885E-4</v>
      </c>
      <c r="T331">
        <v>1</v>
      </c>
    </row>
    <row r="332" spans="18:20">
      <c r="R332" s="9" t="s">
        <v>5588</v>
      </c>
      <c r="S332" s="11">
        <v>1.9425019425019425E-3</v>
      </c>
      <c r="T332">
        <v>5</v>
      </c>
    </row>
    <row r="333" spans="18:20">
      <c r="R333" s="10" t="s">
        <v>588</v>
      </c>
      <c r="S333" s="11">
        <v>3.885003885003885E-4</v>
      </c>
      <c r="T333">
        <v>1</v>
      </c>
    </row>
    <row r="334" spans="18:20">
      <c r="R334" s="10" t="s">
        <v>114</v>
      </c>
      <c r="S334" s="11">
        <v>1.554001554001554E-3</v>
      </c>
      <c r="T334">
        <v>4</v>
      </c>
    </row>
    <row r="335" spans="18:20">
      <c r="R335" s="13" t="s">
        <v>36</v>
      </c>
      <c r="S335" s="11">
        <v>1.1655011655011655E-3</v>
      </c>
      <c r="T335">
        <v>3</v>
      </c>
    </row>
    <row r="336" spans="18:20">
      <c r="R336" s="13" t="s">
        <v>223</v>
      </c>
      <c r="S336" s="11">
        <v>3.885003885003885E-4</v>
      </c>
      <c r="T336">
        <v>1</v>
      </c>
    </row>
    <row r="337" spans="18:20">
      <c r="R337" s="9" t="s">
        <v>649</v>
      </c>
      <c r="S337" s="11">
        <v>1.9425019425019425E-3</v>
      </c>
      <c r="T337">
        <v>5</v>
      </c>
    </row>
    <row r="338" spans="18:20">
      <c r="R338" s="10" t="s">
        <v>650</v>
      </c>
      <c r="S338" s="11">
        <v>1.554001554001554E-3</v>
      </c>
      <c r="T338">
        <v>4</v>
      </c>
    </row>
    <row r="339" spans="18:20">
      <c r="R339" s="13" t="s">
        <v>36</v>
      </c>
      <c r="S339" s="11">
        <v>1.1655011655011655E-3</v>
      </c>
      <c r="T339">
        <v>3</v>
      </c>
    </row>
    <row r="340" spans="18:20">
      <c r="R340" s="13" t="s">
        <v>24</v>
      </c>
      <c r="S340" s="11">
        <v>3.885003885003885E-4</v>
      </c>
      <c r="T340">
        <v>1</v>
      </c>
    </row>
    <row r="341" spans="18:20">
      <c r="R341" s="10" t="s">
        <v>114</v>
      </c>
      <c r="S341" s="11">
        <v>3.885003885003885E-4</v>
      </c>
      <c r="T341">
        <v>1</v>
      </c>
    </row>
    <row r="342" spans="18:20">
      <c r="R342" s="13" t="s">
        <v>223</v>
      </c>
      <c r="S342" s="11">
        <v>3.885003885003885E-4</v>
      </c>
      <c r="T342">
        <v>1</v>
      </c>
    </row>
    <row r="343" spans="18:20">
      <c r="R343" s="9" t="s">
        <v>476</v>
      </c>
      <c r="S343" s="11">
        <v>1.9425019425019425E-3</v>
      </c>
      <c r="T343">
        <v>5</v>
      </c>
    </row>
    <row r="344" spans="18:20">
      <c r="R344" s="10" t="s">
        <v>20</v>
      </c>
      <c r="S344" s="11">
        <v>3.885003885003885E-4</v>
      </c>
      <c r="T344">
        <v>1</v>
      </c>
    </row>
    <row r="345" spans="18:20">
      <c r="R345" s="10" t="s">
        <v>444</v>
      </c>
      <c r="S345" s="11">
        <v>3.885003885003885E-4</v>
      </c>
      <c r="T345">
        <v>1</v>
      </c>
    </row>
    <row r="346" spans="18:20">
      <c r="R346" s="13" t="s">
        <v>444</v>
      </c>
      <c r="S346" s="11">
        <v>3.885003885003885E-4</v>
      </c>
      <c r="T346">
        <v>1</v>
      </c>
    </row>
    <row r="347" spans="18:20">
      <c r="R347" s="10" t="s">
        <v>288</v>
      </c>
      <c r="S347" s="11">
        <v>3.885003885003885E-4</v>
      </c>
      <c r="T347">
        <v>1</v>
      </c>
    </row>
    <row r="348" spans="18:20">
      <c r="R348" s="10" t="s">
        <v>64</v>
      </c>
      <c r="S348" s="11">
        <v>3.885003885003885E-4</v>
      </c>
      <c r="T348">
        <v>1</v>
      </c>
    </row>
    <row r="349" spans="18:20">
      <c r="R349" s="13" t="s">
        <v>66</v>
      </c>
      <c r="S349" s="11">
        <v>3.885003885003885E-4</v>
      </c>
      <c r="T349">
        <v>1</v>
      </c>
    </row>
    <row r="350" spans="18:20">
      <c r="R350" s="10" t="s">
        <v>114</v>
      </c>
      <c r="S350" s="11">
        <v>3.885003885003885E-4</v>
      </c>
      <c r="T350">
        <v>1</v>
      </c>
    </row>
    <row r="351" spans="18:20">
      <c r="R351" s="13" t="s">
        <v>36</v>
      </c>
      <c r="S351" s="11">
        <v>3.885003885003885E-4</v>
      </c>
      <c r="T351">
        <v>1</v>
      </c>
    </row>
    <row r="352" spans="18:20">
      <c r="R352" s="9" t="s">
        <v>5744</v>
      </c>
      <c r="S352" s="11">
        <v>1.9425019425019425E-3</v>
      </c>
      <c r="T352">
        <v>5</v>
      </c>
    </row>
    <row r="353" spans="18:20">
      <c r="R353" s="10" t="s">
        <v>123</v>
      </c>
      <c r="S353" s="11">
        <v>3.885003885003885E-4</v>
      </c>
      <c r="T353">
        <v>1</v>
      </c>
    </row>
    <row r="354" spans="18:20">
      <c r="R354" s="13" t="s">
        <v>88</v>
      </c>
      <c r="S354" s="11">
        <v>3.885003885003885E-4</v>
      </c>
      <c r="T354">
        <v>1</v>
      </c>
    </row>
    <row r="355" spans="18:20">
      <c r="R355" s="10" t="s">
        <v>108</v>
      </c>
      <c r="S355" s="11">
        <v>1.1655011655011655E-3</v>
      </c>
      <c r="T355">
        <v>3</v>
      </c>
    </row>
    <row r="356" spans="18:20">
      <c r="R356" s="13" t="s">
        <v>24</v>
      </c>
      <c r="S356" s="11">
        <v>1.1655011655011655E-3</v>
      </c>
      <c r="T356">
        <v>3</v>
      </c>
    </row>
    <row r="357" spans="18:20">
      <c r="R357" s="10" t="s">
        <v>64</v>
      </c>
      <c r="S357" s="11">
        <v>3.885003885003885E-4</v>
      </c>
      <c r="T357">
        <v>1</v>
      </c>
    </row>
    <row r="358" spans="18:20">
      <c r="R358" s="13" t="s">
        <v>88</v>
      </c>
      <c r="S358" s="11">
        <v>3.885003885003885E-4</v>
      </c>
      <c r="T358">
        <v>1</v>
      </c>
    </row>
    <row r="359" spans="18:20">
      <c r="R359" s="9" t="s">
        <v>1351</v>
      </c>
      <c r="S359" s="11">
        <v>1.554001554001554E-3</v>
      </c>
      <c r="T359">
        <v>4</v>
      </c>
    </row>
    <row r="360" spans="18:20">
      <c r="R360" s="10" t="s">
        <v>1358</v>
      </c>
      <c r="S360" s="11">
        <v>7.77000777000777E-4</v>
      </c>
      <c r="T360">
        <v>2</v>
      </c>
    </row>
    <row r="361" spans="18:20">
      <c r="R361" s="13" t="s">
        <v>31</v>
      </c>
      <c r="S361" s="11">
        <v>7.77000777000777E-4</v>
      </c>
      <c r="T361">
        <v>2</v>
      </c>
    </row>
    <row r="362" spans="18:20">
      <c r="R362" s="10" t="s">
        <v>571</v>
      </c>
      <c r="S362" s="11">
        <v>3.885003885003885E-4</v>
      </c>
      <c r="T362">
        <v>1</v>
      </c>
    </row>
    <row r="363" spans="18:20">
      <c r="R363" s="10" t="s">
        <v>519</v>
      </c>
      <c r="S363" s="11">
        <v>3.885003885003885E-4</v>
      </c>
      <c r="T363">
        <v>1</v>
      </c>
    </row>
    <row r="364" spans="18:20">
      <c r="R364" s="9" t="s">
        <v>507</v>
      </c>
      <c r="S364" s="11">
        <v>1.554001554001554E-3</v>
      </c>
      <c r="T364">
        <v>4</v>
      </c>
    </row>
    <row r="365" spans="18:20">
      <c r="R365" s="10" t="s">
        <v>519</v>
      </c>
      <c r="S365" s="11">
        <v>3.885003885003885E-4</v>
      </c>
      <c r="T365">
        <v>1</v>
      </c>
    </row>
    <row r="366" spans="18:20">
      <c r="R366" s="10" t="s">
        <v>444</v>
      </c>
      <c r="S366" s="11">
        <v>3.885003885003885E-4</v>
      </c>
      <c r="T366">
        <v>1</v>
      </c>
    </row>
    <row r="367" spans="18:20">
      <c r="R367" s="13" t="s">
        <v>512</v>
      </c>
      <c r="S367" s="11">
        <v>3.885003885003885E-4</v>
      </c>
      <c r="T367">
        <v>1</v>
      </c>
    </row>
    <row r="368" spans="18:20">
      <c r="R368" s="10" t="s">
        <v>114</v>
      </c>
      <c r="S368" s="11">
        <v>3.885003885003885E-4</v>
      </c>
      <c r="T368">
        <v>1</v>
      </c>
    </row>
    <row r="369" spans="18:20">
      <c r="R369" s="13" t="s">
        <v>88</v>
      </c>
      <c r="S369" s="11">
        <v>3.885003885003885E-4</v>
      </c>
      <c r="T369">
        <v>1</v>
      </c>
    </row>
    <row r="370" spans="18:20">
      <c r="R370" s="10" t="s">
        <v>70</v>
      </c>
      <c r="S370" s="11">
        <v>3.885003885003885E-4</v>
      </c>
      <c r="T370">
        <v>1</v>
      </c>
    </row>
    <row r="371" spans="18:20">
      <c r="R371" s="13" t="s">
        <v>508</v>
      </c>
      <c r="S371" s="11">
        <v>3.885003885003885E-4</v>
      </c>
      <c r="T371">
        <v>1</v>
      </c>
    </row>
    <row r="372" spans="18:20">
      <c r="R372" s="9" t="s">
        <v>18</v>
      </c>
      <c r="S372" s="11">
        <v>1.554001554001554E-3</v>
      </c>
      <c r="T372">
        <v>4</v>
      </c>
    </row>
    <row r="373" spans="18:20">
      <c r="R373" s="9" t="s">
        <v>1420</v>
      </c>
      <c r="S373" s="11">
        <v>1.554001554001554E-3</v>
      </c>
      <c r="T373">
        <v>4</v>
      </c>
    </row>
    <row r="374" spans="18:20">
      <c r="R374" s="10" t="s">
        <v>132</v>
      </c>
      <c r="S374" s="11">
        <v>3.885003885003885E-4</v>
      </c>
      <c r="T374">
        <v>1</v>
      </c>
    </row>
    <row r="375" spans="18:20">
      <c r="R375" s="13" t="s">
        <v>864</v>
      </c>
      <c r="S375" s="11">
        <v>3.885003885003885E-4</v>
      </c>
      <c r="T375">
        <v>1</v>
      </c>
    </row>
    <row r="376" spans="18:20">
      <c r="R376" s="10" t="s">
        <v>233</v>
      </c>
      <c r="S376" s="11">
        <v>3.885003885003885E-4</v>
      </c>
      <c r="T376">
        <v>1</v>
      </c>
    </row>
    <row r="377" spans="18:20">
      <c r="R377" s="10" t="s">
        <v>163</v>
      </c>
      <c r="S377" s="11">
        <v>3.885003885003885E-4</v>
      </c>
      <c r="T377">
        <v>1</v>
      </c>
    </row>
    <row r="378" spans="18:20">
      <c r="R378" s="13" t="s">
        <v>31</v>
      </c>
      <c r="S378" s="11">
        <v>3.885003885003885E-4</v>
      </c>
      <c r="T378">
        <v>1</v>
      </c>
    </row>
    <row r="379" spans="18:20">
      <c r="R379" s="10" t="s">
        <v>905</v>
      </c>
      <c r="S379" s="11">
        <v>3.885003885003885E-4</v>
      </c>
      <c r="T379">
        <v>1</v>
      </c>
    </row>
    <row r="380" spans="18:20">
      <c r="R380" s="9" t="s">
        <v>1180</v>
      </c>
      <c r="S380" s="11">
        <v>1.554001554001554E-3</v>
      </c>
      <c r="T380">
        <v>4</v>
      </c>
    </row>
    <row r="381" spans="18:20">
      <c r="R381" s="10" t="s">
        <v>571</v>
      </c>
      <c r="S381" s="11">
        <v>3.885003885003885E-4</v>
      </c>
      <c r="T381">
        <v>1</v>
      </c>
    </row>
    <row r="382" spans="18:20">
      <c r="R382" s="10" t="s">
        <v>1017</v>
      </c>
      <c r="S382" s="11">
        <v>3.885003885003885E-4</v>
      </c>
      <c r="T382">
        <v>1</v>
      </c>
    </row>
    <row r="383" spans="18:20">
      <c r="R383" s="10" t="s">
        <v>288</v>
      </c>
      <c r="S383" s="11">
        <v>7.77000777000777E-4</v>
      </c>
      <c r="T383">
        <v>2</v>
      </c>
    </row>
    <row r="384" spans="18:20">
      <c r="R384" s="9" t="s">
        <v>313</v>
      </c>
      <c r="S384" s="11">
        <v>1.1655011655011655E-3</v>
      </c>
      <c r="T384">
        <v>3</v>
      </c>
    </row>
    <row r="385" spans="18:20">
      <c r="R385" s="10" t="s">
        <v>266</v>
      </c>
      <c r="S385" s="11">
        <v>3.885003885003885E-4</v>
      </c>
      <c r="T385">
        <v>1</v>
      </c>
    </row>
    <row r="386" spans="18:20">
      <c r="R386" s="10" t="s">
        <v>196</v>
      </c>
      <c r="S386" s="11">
        <v>7.77000777000777E-4</v>
      </c>
      <c r="T386">
        <v>2</v>
      </c>
    </row>
    <row r="387" spans="18:20">
      <c r="R387" s="13" t="s">
        <v>88</v>
      </c>
      <c r="S387" s="11">
        <v>3.885003885003885E-4</v>
      </c>
      <c r="T387">
        <v>1</v>
      </c>
    </row>
    <row r="388" spans="18:20">
      <c r="R388" s="13" t="s">
        <v>31</v>
      </c>
      <c r="S388" s="11">
        <v>3.885003885003885E-4</v>
      </c>
      <c r="T388">
        <v>1</v>
      </c>
    </row>
    <row r="389" spans="18:20">
      <c r="R389" s="9" t="s">
        <v>1342</v>
      </c>
      <c r="S389" s="11">
        <v>1.1655011655011655E-3</v>
      </c>
      <c r="T389">
        <v>3</v>
      </c>
    </row>
    <row r="390" spans="18:20">
      <c r="R390" s="10" t="s">
        <v>1344</v>
      </c>
      <c r="S390" s="11">
        <v>7.77000777000777E-4</v>
      </c>
      <c r="T390">
        <v>2</v>
      </c>
    </row>
    <row r="391" spans="18:20">
      <c r="R391" s="10" t="s">
        <v>571</v>
      </c>
      <c r="S391" s="11">
        <v>3.885003885003885E-4</v>
      </c>
      <c r="T391">
        <v>1</v>
      </c>
    </row>
    <row r="392" spans="18:20">
      <c r="R392" s="9" t="s">
        <v>1590</v>
      </c>
      <c r="S392" s="11">
        <v>1.1655011655011655E-3</v>
      </c>
      <c r="T392">
        <v>3</v>
      </c>
    </row>
    <row r="393" spans="18:20">
      <c r="R393" s="10" t="s">
        <v>266</v>
      </c>
      <c r="S393" s="11">
        <v>1.1655011655011655E-3</v>
      </c>
      <c r="T393">
        <v>3</v>
      </c>
    </row>
    <row r="394" spans="18:20">
      <c r="R394" s="9" t="s">
        <v>2354</v>
      </c>
      <c r="S394" s="11">
        <v>1.1655011655011655E-3</v>
      </c>
      <c r="T394">
        <v>3</v>
      </c>
    </row>
    <row r="395" spans="18:20">
      <c r="R395" s="10" t="s">
        <v>571</v>
      </c>
      <c r="S395" s="11">
        <v>3.885003885003885E-4</v>
      </c>
      <c r="T395">
        <v>1</v>
      </c>
    </row>
    <row r="396" spans="18:20">
      <c r="R396" s="10" t="s">
        <v>543</v>
      </c>
      <c r="S396" s="11">
        <v>3.885003885003885E-4</v>
      </c>
      <c r="T396">
        <v>1</v>
      </c>
    </row>
    <row r="397" spans="18:20">
      <c r="R397" s="13" t="s">
        <v>979</v>
      </c>
      <c r="S397" s="11">
        <v>3.885003885003885E-4</v>
      </c>
      <c r="T397">
        <v>1</v>
      </c>
    </row>
    <row r="398" spans="18:20">
      <c r="R398" s="10" t="s">
        <v>233</v>
      </c>
      <c r="S398" s="11">
        <v>3.885003885003885E-4</v>
      </c>
      <c r="T398">
        <v>1</v>
      </c>
    </row>
    <row r="399" spans="18:20">
      <c r="R399" s="9" t="s">
        <v>5763</v>
      </c>
      <c r="S399" s="11">
        <v>7.77000777000777E-4</v>
      </c>
      <c r="T399">
        <v>2</v>
      </c>
    </row>
    <row r="400" spans="18:20">
      <c r="R400" s="10" t="s">
        <v>1093</v>
      </c>
      <c r="S400" s="11">
        <v>3.885003885003885E-4</v>
      </c>
      <c r="T400">
        <v>1</v>
      </c>
    </row>
    <row r="401" spans="18:20">
      <c r="R401" s="10" t="s">
        <v>810</v>
      </c>
      <c r="S401" s="11">
        <v>3.885003885003885E-4</v>
      </c>
      <c r="T401">
        <v>1</v>
      </c>
    </row>
    <row r="402" spans="18:20">
      <c r="R402" s="9" t="s">
        <v>5756</v>
      </c>
      <c r="S402" s="11">
        <v>7.77000777000777E-4</v>
      </c>
      <c r="T402">
        <v>2</v>
      </c>
    </row>
    <row r="403" spans="18:20">
      <c r="R403" s="10" t="s">
        <v>266</v>
      </c>
      <c r="S403" s="11">
        <v>3.885003885003885E-4</v>
      </c>
      <c r="T403">
        <v>1</v>
      </c>
    </row>
    <row r="404" spans="18:20">
      <c r="R404" s="10" t="s">
        <v>108</v>
      </c>
      <c r="S404" s="11">
        <v>3.885003885003885E-4</v>
      </c>
      <c r="T404">
        <v>1</v>
      </c>
    </row>
    <row r="405" spans="18:20">
      <c r="R405" s="13" t="s">
        <v>66</v>
      </c>
      <c r="S405" s="11">
        <v>3.885003885003885E-4</v>
      </c>
      <c r="T405">
        <v>1</v>
      </c>
    </row>
    <row r="406" spans="18:20">
      <c r="R406" s="9" t="s">
        <v>5729</v>
      </c>
      <c r="S406" s="11">
        <v>7.77000777000777E-4</v>
      </c>
      <c r="T406">
        <v>2</v>
      </c>
    </row>
    <row r="407" spans="18:20">
      <c r="R407" s="10" t="s">
        <v>620</v>
      </c>
      <c r="S407" s="11">
        <v>3.885003885003885E-4</v>
      </c>
      <c r="T407">
        <v>1</v>
      </c>
    </row>
    <row r="408" spans="18:20">
      <c r="R408" s="10" t="s">
        <v>114</v>
      </c>
      <c r="S408" s="11">
        <v>3.885003885003885E-4</v>
      </c>
      <c r="T408">
        <v>1</v>
      </c>
    </row>
    <row r="409" spans="18:20">
      <c r="R409" s="13" t="s">
        <v>223</v>
      </c>
      <c r="S409" s="11">
        <v>3.885003885003885E-4</v>
      </c>
      <c r="T409">
        <v>1</v>
      </c>
    </row>
    <row r="410" spans="18:20">
      <c r="R410" s="9" t="s">
        <v>1431</v>
      </c>
      <c r="S410" s="11">
        <v>7.77000777000777E-4</v>
      </c>
      <c r="T410">
        <v>2</v>
      </c>
    </row>
    <row r="411" spans="18:20">
      <c r="R411" s="10" t="s">
        <v>244</v>
      </c>
      <c r="S411" s="11">
        <v>7.77000777000777E-4</v>
      </c>
      <c r="T411">
        <v>2</v>
      </c>
    </row>
    <row r="412" spans="18:20">
      <c r="R412" s="9" t="s">
        <v>1583</v>
      </c>
      <c r="S412" s="11">
        <v>7.77000777000777E-4</v>
      </c>
      <c r="T412">
        <v>2</v>
      </c>
    </row>
    <row r="413" spans="18:20">
      <c r="R413" s="10" t="s">
        <v>557</v>
      </c>
      <c r="S413" s="11">
        <v>3.885003885003885E-4</v>
      </c>
      <c r="T413">
        <v>1</v>
      </c>
    </row>
    <row r="414" spans="18:20">
      <c r="R414" s="10" t="s">
        <v>519</v>
      </c>
      <c r="S414" s="11">
        <v>3.885003885003885E-4</v>
      </c>
      <c r="T414">
        <v>1</v>
      </c>
    </row>
    <row r="415" spans="18:20">
      <c r="R415" s="9" t="s">
        <v>1438</v>
      </c>
      <c r="S415" s="11">
        <v>7.77000777000777E-4</v>
      </c>
      <c r="T415">
        <v>2</v>
      </c>
    </row>
    <row r="416" spans="18:20">
      <c r="R416" s="10" t="s">
        <v>266</v>
      </c>
      <c r="S416" s="11">
        <v>3.885003885003885E-4</v>
      </c>
      <c r="T416">
        <v>1</v>
      </c>
    </row>
    <row r="417" spans="18:20">
      <c r="R417" s="10" t="s">
        <v>1017</v>
      </c>
      <c r="S417" s="11">
        <v>3.885003885003885E-4</v>
      </c>
      <c r="T417">
        <v>1</v>
      </c>
    </row>
    <row r="418" spans="18:20">
      <c r="R418" s="9" t="s">
        <v>5771</v>
      </c>
      <c r="S418" s="11">
        <v>7.77000777000777E-4</v>
      </c>
      <c r="T418">
        <v>2</v>
      </c>
    </row>
    <row r="419" spans="18:20">
      <c r="R419" s="10" t="s">
        <v>20</v>
      </c>
      <c r="S419" s="11">
        <v>3.885003885003885E-4</v>
      </c>
      <c r="T419">
        <v>1</v>
      </c>
    </row>
    <row r="420" spans="18:20">
      <c r="R420" s="10" t="s">
        <v>196</v>
      </c>
      <c r="S420" s="11">
        <v>3.885003885003885E-4</v>
      </c>
      <c r="T420">
        <v>1</v>
      </c>
    </row>
    <row r="421" spans="18:20">
      <c r="R421" s="13" t="s">
        <v>31</v>
      </c>
      <c r="S421" s="11">
        <v>3.885003885003885E-4</v>
      </c>
      <c r="T421">
        <v>1</v>
      </c>
    </row>
    <row r="422" spans="18:20">
      <c r="R422" s="9" t="s">
        <v>1445</v>
      </c>
      <c r="S422" s="11">
        <v>7.77000777000777E-4</v>
      </c>
      <c r="T422">
        <v>2</v>
      </c>
    </row>
    <row r="423" spans="18:20">
      <c r="R423" s="10" t="s">
        <v>543</v>
      </c>
      <c r="S423" s="11">
        <v>7.77000777000777E-4</v>
      </c>
      <c r="T423">
        <v>2</v>
      </c>
    </row>
    <row r="424" spans="18:20">
      <c r="R424" s="13" t="s">
        <v>979</v>
      </c>
      <c r="S424" s="11">
        <v>7.77000777000777E-4</v>
      </c>
      <c r="T424">
        <v>2</v>
      </c>
    </row>
    <row r="425" spans="18:20">
      <c r="R425" s="9" t="s">
        <v>5737</v>
      </c>
      <c r="S425" s="11">
        <v>7.77000777000777E-4</v>
      </c>
      <c r="T425">
        <v>2</v>
      </c>
    </row>
    <row r="426" spans="18:20">
      <c r="R426" s="10" t="s">
        <v>108</v>
      </c>
      <c r="S426" s="11">
        <v>3.885003885003885E-4</v>
      </c>
      <c r="T426">
        <v>1</v>
      </c>
    </row>
    <row r="427" spans="18:20">
      <c r="R427" s="13" t="s">
        <v>24</v>
      </c>
      <c r="S427" s="11">
        <v>3.885003885003885E-4</v>
      </c>
      <c r="T427">
        <v>1</v>
      </c>
    </row>
    <row r="428" spans="18:20">
      <c r="R428" s="10" t="s">
        <v>233</v>
      </c>
      <c r="S428" s="11">
        <v>3.885003885003885E-4</v>
      </c>
      <c r="T428">
        <v>1</v>
      </c>
    </row>
    <row r="429" spans="18:20">
      <c r="R429" s="9" t="s">
        <v>1456</v>
      </c>
      <c r="S429" s="11">
        <v>7.77000777000777E-4</v>
      </c>
      <c r="T429">
        <v>2</v>
      </c>
    </row>
    <row r="430" spans="18:20">
      <c r="R430" s="10" t="s">
        <v>956</v>
      </c>
      <c r="S430" s="11">
        <v>3.885003885003885E-4</v>
      </c>
      <c r="T430">
        <v>1</v>
      </c>
    </row>
    <row r="431" spans="18:20">
      <c r="R431" s="10" t="s">
        <v>123</v>
      </c>
      <c r="S431" s="11">
        <v>3.885003885003885E-4</v>
      </c>
      <c r="T431">
        <v>1</v>
      </c>
    </row>
    <row r="432" spans="18:20">
      <c r="R432" s="13" t="s">
        <v>88</v>
      </c>
      <c r="S432" s="11">
        <v>3.885003885003885E-4</v>
      </c>
      <c r="T432">
        <v>1</v>
      </c>
    </row>
    <row r="433" spans="18:20">
      <c r="R433" s="9" t="s">
        <v>1337</v>
      </c>
      <c r="S433" s="11">
        <v>7.77000777000777E-4</v>
      </c>
      <c r="T433">
        <v>2</v>
      </c>
    </row>
    <row r="434" spans="18:20">
      <c r="R434" s="10" t="s">
        <v>612</v>
      </c>
      <c r="S434" s="11">
        <v>3.885003885003885E-4</v>
      </c>
      <c r="T434">
        <v>1</v>
      </c>
    </row>
    <row r="435" spans="18:20">
      <c r="R435" s="13" t="s">
        <v>36</v>
      </c>
      <c r="S435" s="11">
        <v>3.885003885003885E-4</v>
      </c>
      <c r="T435">
        <v>1</v>
      </c>
    </row>
    <row r="436" spans="18:20">
      <c r="R436" s="10" t="s">
        <v>1093</v>
      </c>
      <c r="S436" s="11">
        <v>3.885003885003885E-4</v>
      </c>
      <c r="T436">
        <v>1</v>
      </c>
    </row>
    <row r="437" spans="18:20">
      <c r="R437" s="9" t="s">
        <v>663</v>
      </c>
      <c r="S437" s="11">
        <v>7.77000777000777E-4</v>
      </c>
      <c r="T437">
        <v>2</v>
      </c>
    </row>
    <row r="438" spans="18:20">
      <c r="R438" s="10" t="s">
        <v>612</v>
      </c>
      <c r="S438" s="11">
        <v>3.885003885003885E-4</v>
      </c>
      <c r="T438">
        <v>1</v>
      </c>
    </row>
    <row r="439" spans="18:20">
      <c r="R439" s="13" t="s">
        <v>31</v>
      </c>
      <c r="S439" s="11">
        <v>3.885003885003885E-4</v>
      </c>
      <c r="T439">
        <v>1</v>
      </c>
    </row>
    <row r="440" spans="18:20">
      <c r="R440" s="10" t="s">
        <v>64</v>
      </c>
      <c r="S440" s="11">
        <v>3.885003885003885E-4</v>
      </c>
      <c r="T440">
        <v>1</v>
      </c>
    </row>
    <row r="441" spans="18:20">
      <c r="R441" s="13" t="s">
        <v>36</v>
      </c>
      <c r="S441" s="11">
        <v>3.885003885003885E-4</v>
      </c>
      <c r="T441">
        <v>1</v>
      </c>
    </row>
    <row r="442" spans="18:20">
      <c r="R442" s="9" t="s">
        <v>5722</v>
      </c>
      <c r="S442" s="11">
        <v>3.885003885003885E-4</v>
      </c>
      <c r="T442">
        <v>1</v>
      </c>
    </row>
    <row r="443" spans="18:20">
      <c r="R443" s="10" t="s">
        <v>557</v>
      </c>
      <c r="S443" s="11">
        <v>3.885003885003885E-4</v>
      </c>
      <c r="T443">
        <v>1</v>
      </c>
    </row>
    <row r="444" spans="18:20">
      <c r="R444" s="9" t="s">
        <v>497</v>
      </c>
      <c r="S444" s="11">
        <v>3.885003885003885E-4</v>
      </c>
      <c r="T444">
        <v>1</v>
      </c>
    </row>
    <row r="445" spans="18:20">
      <c r="R445" s="10" t="s">
        <v>123</v>
      </c>
      <c r="S445" s="11">
        <v>3.885003885003885E-4</v>
      </c>
      <c r="T445">
        <v>1</v>
      </c>
    </row>
    <row r="446" spans="18:20">
      <c r="R446" s="13" t="s">
        <v>193</v>
      </c>
      <c r="S446" s="11">
        <v>3.885003885003885E-4</v>
      </c>
      <c r="T446">
        <v>1</v>
      </c>
    </row>
    <row r="447" spans="18:20">
      <c r="R447" s="9" t="s">
        <v>2350</v>
      </c>
      <c r="S447" s="11">
        <v>3.885003885003885E-4</v>
      </c>
      <c r="T447">
        <v>1</v>
      </c>
    </row>
    <row r="448" spans="18:20">
      <c r="R448" s="10" t="s">
        <v>1056</v>
      </c>
      <c r="S448" s="11">
        <v>3.885003885003885E-4</v>
      </c>
      <c r="T448">
        <v>1</v>
      </c>
    </row>
    <row r="449" spans="18:20">
      <c r="R449" s="13" t="s">
        <v>24</v>
      </c>
      <c r="S449" s="11">
        <v>3.885003885003885E-4</v>
      </c>
      <c r="T449">
        <v>1</v>
      </c>
    </row>
    <row r="450" spans="18:20">
      <c r="R450" s="9" t="s">
        <v>5780</v>
      </c>
      <c r="S450" s="11">
        <v>3.885003885003885E-4</v>
      </c>
      <c r="T450">
        <v>1</v>
      </c>
    </row>
    <row r="451" spans="18:20">
      <c r="R451" s="10" t="s">
        <v>288</v>
      </c>
      <c r="S451" s="11">
        <v>3.885003885003885E-4</v>
      </c>
      <c r="T451">
        <v>1</v>
      </c>
    </row>
    <row r="452" spans="18:20">
      <c r="R452" s="9" t="s">
        <v>5717</v>
      </c>
      <c r="S452" s="11">
        <v>3.885003885003885E-4</v>
      </c>
      <c r="T452">
        <v>1</v>
      </c>
    </row>
    <row r="453" spans="18:20">
      <c r="R453" s="10" t="s">
        <v>588</v>
      </c>
      <c r="S453" s="11">
        <v>3.885003885003885E-4</v>
      </c>
      <c r="T453">
        <v>1</v>
      </c>
    </row>
    <row r="454" spans="18:20">
      <c r="R454" s="9" t="s">
        <v>5681</v>
      </c>
      <c r="S454" s="11">
        <v>3.885003885003885E-4</v>
      </c>
      <c r="T454">
        <v>1</v>
      </c>
    </row>
    <row r="455" spans="18:20">
      <c r="R455" s="10" t="s">
        <v>1312</v>
      </c>
      <c r="S455" s="11">
        <v>3.885003885003885E-4</v>
      </c>
      <c r="T455">
        <v>1</v>
      </c>
    </row>
    <row r="456" spans="18:20">
      <c r="R456" s="13" t="s">
        <v>36</v>
      </c>
      <c r="S456" s="11">
        <v>3.885003885003885E-4</v>
      </c>
      <c r="T456">
        <v>1</v>
      </c>
    </row>
    <row r="457" spans="18:20">
      <c r="R457" s="9" t="s">
        <v>897</v>
      </c>
      <c r="S457" s="11">
        <v>3.885003885003885E-4</v>
      </c>
      <c r="T457">
        <v>1</v>
      </c>
    </row>
    <row r="458" spans="18:20">
      <c r="R458" s="10" t="s">
        <v>443</v>
      </c>
      <c r="S458" s="11">
        <v>3.885003885003885E-4</v>
      </c>
      <c r="T458">
        <v>1</v>
      </c>
    </row>
    <row r="459" spans="18:20">
      <c r="R459" s="9" t="s">
        <v>5685</v>
      </c>
      <c r="S459" s="11">
        <v>3.885003885003885E-4</v>
      </c>
      <c r="T459">
        <v>1</v>
      </c>
    </row>
    <row r="460" spans="18:20">
      <c r="R460" s="10" t="s">
        <v>42</v>
      </c>
      <c r="S460" s="11">
        <v>3.885003885003885E-4</v>
      </c>
      <c r="T460">
        <v>1</v>
      </c>
    </row>
    <row r="461" spans="18:20">
      <c r="R461" s="9" t="s">
        <v>1415</v>
      </c>
      <c r="S461" s="11">
        <v>3.885003885003885E-4</v>
      </c>
      <c r="T461">
        <v>1</v>
      </c>
    </row>
    <row r="462" spans="18:20">
      <c r="R462" s="10" t="s">
        <v>20</v>
      </c>
      <c r="S462" s="11">
        <v>3.885003885003885E-4</v>
      </c>
      <c r="T462">
        <v>1</v>
      </c>
    </row>
    <row r="463" spans="18:20">
      <c r="R463" s="9" t="s">
        <v>1412</v>
      </c>
      <c r="S463" s="11">
        <v>3.885003885003885E-4</v>
      </c>
      <c r="T463">
        <v>1</v>
      </c>
    </row>
    <row r="464" spans="18:20">
      <c r="R464" s="10" t="s">
        <v>571</v>
      </c>
      <c r="S464" s="11">
        <v>3.885003885003885E-4</v>
      </c>
      <c r="T464">
        <v>1</v>
      </c>
    </row>
    <row r="465" spans="18:20">
      <c r="R465" s="9" t="s">
        <v>1452</v>
      </c>
      <c r="S465" s="11">
        <v>3.885003885003885E-4</v>
      </c>
      <c r="T465">
        <v>1</v>
      </c>
    </row>
    <row r="466" spans="18:20">
      <c r="R466" s="10" t="s">
        <v>244</v>
      </c>
      <c r="S466" s="11">
        <v>3.885003885003885E-4</v>
      </c>
      <c r="T466">
        <v>1</v>
      </c>
    </row>
    <row r="467" spans="18:20">
      <c r="R467" s="9" t="s">
        <v>5712</v>
      </c>
      <c r="S467" s="11">
        <v>3.885003885003885E-4</v>
      </c>
      <c r="T467">
        <v>1</v>
      </c>
    </row>
    <row r="468" spans="18:20">
      <c r="R468" s="10" t="s">
        <v>873</v>
      </c>
      <c r="S468" s="11">
        <v>3.885003885003885E-4</v>
      </c>
      <c r="T468">
        <v>1</v>
      </c>
    </row>
    <row r="469" spans="18:20">
      <c r="R469" s="13" t="s">
        <v>31</v>
      </c>
      <c r="S469" s="11">
        <v>3.885003885003885E-4</v>
      </c>
      <c r="T469">
        <v>1</v>
      </c>
    </row>
    <row r="470" spans="18:20">
      <c r="R470" s="9" t="s">
        <v>5777</v>
      </c>
      <c r="S470" s="11">
        <v>3.885003885003885E-4</v>
      </c>
      <c r="T470">
        <v>1</v>
      </c>
    </row>
    <row r="471" spans="18:20">
      <c r="R471" s="10" t="s">
        <v>123</v>
      </c>
      <c r="S471" s="11">
        <v>3.885003885003885E-4</v>
      </c>
      <c r="T471">
        <v>1</v>
      </c>
    </row>
    <row r="472" spans="18:20">
      <c r="R472" s="13" t="s">
        <v>88</v>
      </c>
      <c r="S472" s="11">
        <v>3.885003885003885E-4</v>
      </c>
      <c r="T472">
        <v>1</v>
      </c>
    </row>
    <row r="473" spans="18:20">
      <c r="R473" s="9" t="s">
        <v>671</v>
      </c>
      <c r="S473" s="11">
        <v>3.885003885003885E-4</v>
      </c>
      <c r="T473">
        <v>1</v>
      </c>
    </row>
    <row r="474" spans="18:20">
      <c r="R474" s="10" t="s">
        <v>20</v>
      </c>
      <c r="S474" s="11">
        <v>3.885003885003885E-4</v>
      </c>
      <c r="T474">
        <v>1</v>
      </c>
    </row>
    <row r="475" spans="18:20">
      <c r="R475" s="9" t="s">
        <v>492</v>
      </c>
      <c r="S475" s="11">
        <v>3.885003885003885E-4</v>
      </c>
      <c r="T475">
        <v>1</v>
      </c>
    </row>
    <row r="476" spans="18:20">
      <c r="R476" s="10" t="s">
        <v>108</v>
      </c>
      <c r="S476" s="11">
        <v>3.885003885003885E-4</v>
      </c>
      <c r="T476">
        <v>1</v>
      </c>
    </row>
    <row r="477" spans="18:20">
      <c r="R477" s="13" t="s">
        <v>24</v>
      </c>
      <c r="S477" s="11">
        <v>3.885003885003885E-4</v>
      </c>
      <c r="T477">
        <v>1</v>
      </c>
    </row>
    <row r="478" spans="18:20">
      <c r="R478" s="9" t="s">
        <v>501</v>
      </c>
      <c r="S478" s="11">
        <v>3.885003885003885E-4</v>
      </c>
      <c r="T478">
        <v>1</v>
      </c>
    </row>
    <row r="479" spans="18:20">
      <c r="R479" s="10" t="s">
        <v>123</v>
      </c>
      <c r="S479" s="11">
        <v>3.885003885003885E-4</v>
      </c>
      <c r="T479">
        <v>1</v>
      </c>
    </row>
    <row r="480" spans="18:20">
      <c r="R480" s="13" t="s">
        <v>31</v>
      </c>
      <c r="S480" s="11">
        <v>3.885003885003885E-4</v>
      </c>
      <c r="T480">
        <v>1</v>
      </c>
    </row>
    <row r="481" spans="18:20">
      <c r="R481" s="9" t="s">
        <v>5785</v>
      </c>
      <c r="S481" s="11">
        <v>1</v>
      </c>
      <c r="T481">
        <v>2574</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85CDC-5085-F044-BADE-EB463D3DC410}">
  <sheetPr>
    <tabColor theme="7" tint="0.79998168889431442"/>
  </sheetPr>
  <dimension ref="A4:AH47"/>
  <sheetViews>
    <sheetView zoomScale="75" workbookViewId="0">
      <selection activeCell="H21" sqref="H21"/>
    </sheetView>
  </sheetViews>
  <sheetFormatPr baseColWidth="10" defaultRowHeight="18"/>
  <cols>
    <col min="1" max="1" width="29.85546875" bestFit="1" customWidth="1"/>
    <col min="2" max="38" width="20.7109375" customWidth="1"/>
    <col min="39" max="39" width="21.5703125" bestFit="1" customWidth="1"/>
    <col min="40" max="41" width="10.5703125" bestFit="1" customWidth="1"/>
    <col min="42" max="42" width="7.140625" bestFit="1" customWidth="1"/>
    <col min="43" max="43" width="11.5703125" bestFit="1" customWidth="1"/>
    <col min="44" max="44" width="30.28515625" bestFit="1" customWidth="1"/>
    <col min="45" max="45" width="26.5703125" bestFit="1" customWidth="1"/>
    <col min="46" max="46" width="24.42578125" bestFit="1" customWidth="1"/>
    <col min="47" max="47" width="10.5703125" bestFit="1" customWidth="1"/>
    <col min="48" max="48" width="12.28515625" bestFit="1" customWidth="1"/>
    <col min="49" max="49" width="31.42578125" bestFit="1" customWidth="1"/>
    <col min="50" max="50" width="10.5703125" bestFit="1" customWidth="1"/>
    <col min="51" max="51" width="7.140625" bestFit="1" customWidth="1"/>
    <col min="52" max="52" width="12.28515625" bestFit="1" customWidth="1"/>
    <col min="53" max="53" width="17.7109375" bestFit="1" customWidth="1"/>
    <col min="54" max="54" width="18.5703125" bestFit="1" customWidth="1"/>
    <col min="55" max="55" width="7.140625" bestFit="1" customWidth="1"/>
    <col min="56" max="56" width="24.42578125" bestFit="1" customWidth="1"/>
    <col min="57" max="57" width="12.28515625" bestFit="1" customWidth="1"/>
    <col min="58" max="58" width="32" bestFit="1" customWidth="1"/>
    <col min="59" max="59" width="7.140625" bestFit="1" customWidth="1"/>
    <col min="60" max="60" width="20.7109375" bestFit="1" customWidth="1"/>
    <col min="61" max="61" width="7.140625" bestFit="1" customWidth="1"/>
    <col min="62" max="62" width="23.28515625" bestFit="1" customWidth="1"/>
    <col min="63" max="63" width="18.85546875" bestFit="1" customWidth="1"/>
    <col min="64" max="64" width="7.140625" bestFit="1" customWidth="1"/>
    <col min="65" max="65" width="10.5703125" bestFit="1" customWidth="1"/>
    <col min="66" max="66" width="25.7109375" bestFit="1" customWidth="1"/>
    <col min="67" max="67" width="10.5703125" bestFit="1" customWidth="1"/>
    <col min="68" max="68" width="31.42578125" bestFit="1" customWidth="1"/>
    <col min="69" max="69" width="5.42578125" bestFit="1" customWidth="1"/>
    <col min="70" max="74" width="7.140625" bestFit="1" customWidth="1"/>
    <col min="75" max="75" width="22" bestFit="1" customWidth="1"/>
    <col min="76" max="77" width="10.5703125" bestFit="1" customWidth="1"/>
    <col min="78" max="78" width="12.28515625" bestFit="1" customWidth="1"/>
    <col min="79" max="79" width="31.42578125" bestFit="1" customWidth="1"/>
    <col min="80" max="80" width="5.42578125" bestFit="1" customWidth="1"/>
    <col min="81" max="81" width="24.140625" bestFit="1" customWidth="1"/>
    <col min="82" max="83" width="7.140625" bestFit="1" customWidth="1"/>
    <col min="84" max="84" width="17.7109375" bestFit="1" customWidth="1"/>
    <col min="85" max="85" width="7.140625" bestFit="1" customWidth="1"/>
    <col min="86" max="86" width="10.5703125" bestFit="1" customWidth="1"/>
    <col min="87" max="87" width="14" bestFit="1" customWidth="1"/>
    <col min="88" max="88" width="22" bestFit="1" customWidth="1"/>
    <col min="89" max="89" width="8.85546875" bestFit="1" customWidth="1"/>
    <col min="90" max="91" width="10.5703125" bestFit="1" customWidth="1"/>
    <col min="92" max="92" width="12.28515625" bestFit="1" customWidth="1"/>
    <col min="93" max="93" width="10.5703125" bestFit="1" customWidth="1"/>
    <col min="94" max="94" width="12.28515625" bestFit="1" customWidth="1"/>
    <col min="95" max="95" width="31.42578125" bestFit="1" customWidth="1"/>
    <col min="96" max="96" width="8.85546875" bestFit="1" customWidth="1"/>
    <col min="97" max="97" width="24.140625" bestFit="1" customWidth="1"/>
    <col min="98" max="100" width="7.140625" bestFit="1" customWidth="1"/>
    <col min="101" max="101" width="8.85546875" bestFit="1" customWidth="1"/>
    <col min="102" max="103" width="12.28515625" bestFit="1" customWidth="1"/>
    <col min="104" max="104" width="18.5703125" bestFit="1" customWidth="1"/>
    <col min="105" max="105" width="7.140625" bestFit="1" customWidth="1"/>
    <col min="106" max="106" width="10.5703125" bestFit="1" customWidth="1"/>
    <col min="107" max="107" width="25.140625" bestFit="1" customWidth="1"/>
    <col min="108" max="108" width="15.85546875" bestFit="1" customWidth="1"/>
    <col min="109" max="109" width="33" bestFit="1" customWidth="1"/>
    <col min="110" max="110" width="7.140625" bestFit="1" customWidth="1"/>
    <col min="111" max="111" width="8.85546875" bestFit="1" customWidth="1"/>
    <col min="112" max="112" width="27" bestFit="1" customWidth="1"/>
    <col min="113" max="113" width="7.140625" bestFit="1" customWidth="1"/>
    <col min="114" max="114" width="18.5703125" bestFit="1" customWidth="1"/>
    <col min="115" max="115" width="23.28515625" bestFit="1" customWidth="1"/>
    <col min="116" max="117" width="8.85546875" bestFit="1" customWidth="1"/>
    <col min="118" max="118" width="10.5703125" bestFit="1" customWidth="1"/>
    <col min="119" max="119" width="7.140625" bestFit="1" customWidth="1"/>
    <col min="120" max="120" width="12.28515625" bestFit="1" customWidth="1"/>
    <col min="121" max="121" width="18.5703125" bestFit="1" customWidth="1"/>
    <col min="122" max="122" width="7.140625" bestFit="1" customWidth="1"/>
    <col min="123" max="123" width="28.85546875" bestFit="1" customWidth="1"/>
    <col min="124" max="124" width="12.28515625" bestFit="1" customWidth="1"/>
    <col min="125" max="125" width="25.140625" bestFit="1" customWidth="1"/>
    <col min="126" max="126" width="28.85546875" bestFit="1" customWidth="1"/>
    <col min="127" max="127" width="7.140625" bestFit="1" customWidth="1"/>
    <col min="128" max="128" width="12.28515625" bestFit="1" customWidth="1"/>
    <col min="129" max="129" width="39.5703125" bestFit="1" customWidth="1"/>
    <col min="130" max="130" width="18.5703125" bestFit="1" customWidth="1"/>
    <col min="131" max="131" width="14" bestFit="1" customWidth="1"/>
    <col min="132" max="132" width="30.7109375" bestFit="1" customWidth="1"/>
    <col min="133" max="133" width="15.85546875" bestFit="1" customWidth="1"/>
    <col min="134" max="134" width="12.28515625" bestFit="1" customWidth="1"/>
    <col min="135" max="135" width="7.140625" bestFit="1" customWidth="1"/>
    <col min="136" max="136" width="12.28515625" bestFit="1" customWidth="1"/>
    <col min="137" max="137" width="7.140625" bestFit="1" customWidth="1"/>
    <col min="138" max="138" width="27" bestFit="1" customWidth="1"/>
    <col min="139" max="139" width="23.28515625" bestFit="1" customWidth="1"/>
    <col min="140" max="140" width="21.28515625" bestFit="1" customWidth="1"/>
    <col min="141" max="141" width="5.42578125" bestFit="1" customWidth="1"/>
    <col min="142" max="142" width="18.5703125" bestFit="1" customWidth="1"/>
    <col min="143" max="143" width="7.140625" bestFit="1" customWidth="1"/>
    <col min="144" max="145" width="23.28515625" bestFit="1" customWidth="1"/>
    <col min="146" max="146" width="8.85546875" bestFit="1" customWidth="1"/>
    <col min="147" max="147" width="30.7109375" bestFit="1" customWidth="1"/>
    <col min="148" max="148" width="35.85546875" bestFit="1" customWidth="1"/>
    <col min="149" max="149" width="30.28515625" bestFit="1" customWidth="1"/>
    <col min="150" max="150" width="10.5703125" bestFit="1" customWidth="1"/>
    <col min="151" max="151" width="25.140625" bestFit="1" customWidth="1"/>
    <col min="152" max="153" width="10.5703125" bestFit="1" customWidth="1"/>
    <col min="154" max="154" width="31.42578125" bestFit="1" customWidth="1"/>
    <col min="155" max="155" width="8.85546875" bestFit="1" customWidth="1"/>
    <col min="156" max="156" width="21.28515625" bestFit="1" customWidth="1"/>
    <col min="157" max="157" width="8.85546875" bestFit="1" customWidth="1"/>
    <col min="158" max="158" width="27.5703125" bestFit="1" customWidth="1"/>
    <col min="159" max="159" width="10.5703125" bestFit="1" customWidth="1"/>
    <col min="160" max="160" width="22" bestFit="1" customWidth="1"/>
    <col min="161" max="161" width="12.28515625" bestFit="1" customWidth="1"/>
    <col min="162" max="162" width="25.140625" bestFit="1" customWidth="1"/>
    <col min="163" max="163" width="36.7109375" bestFit="1" customWidth="1"/>
    <col min="164" max="164" width="12.28515625" bestFit="1" customWidth="1"/>
    <col min="165" max="165" width="31.42578125" bestFit="1" customWidth="1"/>
    <col min="166" max="166" width="15.85546875" bestFit="1" customWidth="1"/>
    <col min="167" max="167" width="28.7109375" bestFit="1" customWidth="1"/>
    <col min="168" max="169" width="8.85546875" bestFit="1" customWidth="1"/>
    <col min="170" max="171" width="10.5703125" bestFit="1" customWidth="1"/>
    <col min="172" max="172" width="7.140625" bestFit="1" customWidth="1"/>
    <col min="173" max="173" width="12.28515625" bestFit="1" customWidth="1"/>
    <col min="174" max="174" width="10.5703125" bestFit="1" customWidth="1"/>
    <col min="175" max="175" width="15.85546875" bestFit="1" customWidth="1"/>
    <col min="176" max="176" width="12.28515625" bestFit="1" customWidth="1"/>
    <col min="177" max="177" width="31.42578125" bestFit="1" customWidth="1"/>
    <col min="178" max="178" width="8.85546875" bestFit="1" customWidth="1"/>
    <col min="179" max="179" width="5.42578125" bestFit="1" customWidth="1"/>
    <col min="180" max="180" width="7.140625" bestFit="1" customWidth="1"/>
    <col min="181" max="181" width="10.5703125" bestFit="1" customWidth="1"/>
    <col min="182" max="182" width="7.140625" bestFit="1" customWidth="1"/>
    <col min="183" max="183" width="8.85546875" bestFit="1" customWidth="1"/>
    <col min="184" max="184" width="7.140625" bestFit="1" customWidth="1"/>
    <col min="185" max="185" width="12.28515625" bestFit="1" customWidth="1"/>
    <col min="186" max="186" width="7.140625" bestFit="1" customWidth="1"/>
    <col min="187" max="187" width="15.85546875" bestFit="1" customWidth="1"/>
    <col min="188" max="188" width="10.5703125" bestFit="1" customWidth="1"/>
    <col min="189" max="189" width="17.7109375" bestFit="1" customWidth="1"/>
    <col min="190" max="190" width="18.5703125" bestFit="1" customWidth="1"/>
    <col min="191" max="191" width="7.140625" bestFit="1" customWidth="1"/>
    <col min="192" max="192" width="10.5703125" bestFit="1" customWidth="1"/>
    <col min="193" max="193" width="14" bestFit="1" customWidth="1"/>
    <col min="194" max="194" width="31.28515625" bestFit="1" customWidth="1"/>
    <col min="195" max="196" width="8.85546875" bestFit="1" customWidth="1"/>
    <col min="197" max="198" width="10.5703125" bestFit="1" customWidth="1"/>
    <col min="199" max="200" width="8.85546875" bestFit="1" customWidth="1"/>
    <col min="201" max="201" width="7.140625" bestFit="1" customWidth="1"/>
    <col min="202" max="202" width="10.5703125" bestFit="1" customWidth="1"/>
    <col min="203" max="203" width="7.140625" bestFit="1" customWidth="1"/>
    <col min="204" max="204" width="12.28515625" bestFit="1" customWidth="1"/>
    <col min="205" max="205" width="18.5703125" bestFit="1" customWidth="1"/>
    <col min="206" max="206" width="7.140625" bestFit="1" customWidth="1"/>
    <col min="207" max="207" width="24" bestFit="1" customWidth="1"/>
    <col min="208" max="208" width="8.85546875" bestFit="1" customWidth="1"/>
    <col min="209" max="210" width="10.5703125" bestFit="1" customWidth="1"/>
    <col min="211" max="211" width="7.140625" bestFit="1" customWidth="1"/>
    <col min="212" max="212" width="31.42578125" bestFit="1" customWidth="1"/>
    <col min="213" max="214" width="8.85546875" bestFit="1" customWidth="1"/>
    <col min="215" max="215" width="24.140625" bestFit="1" customWidth="1"/>
    <col min="216" max="216" width="10.5703125" bestFit="1" customWidth="1"/>
    <col min="217" max="217" width="7.140625" bestFit="1" customWidth="1"/>
    <col min="218" max="218" width="8.85546875" bestFit="1" customWidth="1"/>
    <col min="219" max="219" width="12.28515625" bestFit="1" customWidth="1"/>
    <col min="220" max="220" width="15.85546875" bestFit="1" customWidth="1"/>
    <col min="221" max="221" width="18.5703125" bestFit="1" customWidth="1"/>
    <col min="222" max="222" width="10.5703125" bestFit="1" customWidth="1"/>
    <col min="223" max="223" width="14" bestFit="1" customWidth="1"/>
    <col min="224" max="224" width="24" bestFit="1" customWidth="1"/>
    <col min="225" max="226" width="8.85546875" bestFit="1" customWidth="1"/>
    <col min="227" max="227" width="10.5703125" bestFit="1" customWidth="1"/>
    <col min="228" max="228" width="7.140625" bestFit="1" customWidth="1"/>
    <col min="229" max="229" width="8.85546875" bestFit="1" customWidth="1"/>
    <col min="230" max="230" width="24.140625" bestFit="1" customWidth="1"/>
    <col min="231" max="231" width="7.140625" bestFit="1" customWidth="1"/>
    <col min="232" max="232" width="10.5703125" bestFit="1" customWidth="1"/>
    <col min="233" max="233" width="7.140625" bestFit="1" customWidth="1"/>
    <col min="234" max="234" width="8.85546875" bestFit="1" customWidth="1"/>
    <col min="235" max="236" width="12.28515625" bestFit="1" customWidth="1"/>
    <col min="237" max="237" width="18.5703125" bestFit="1" customWidth="1"/>
    <col min="238" max="238" width="7.140625" bestFit="1" customWidth="1"/>
    <col min="239" max="239" width="24" bestFit="1" customWidth="1"/>
    <col min="240" max="240" width="8.85546875" bestFit="1" customWidth="1"/>
    <col min="241" max="241" width="7.140625" bestFit="1" customWidth="1"/>
    <col min="242" max="242" width="18.5703125" bestFit="1" customWidth="1"/>
    <col min="243" max="243" width="19.5703125" bestFit="1" customWidth="1"/>
    <col min="244" max="244" width="15.85546875" bestFit="1" customWidth="1"/>
    <col min="245" max="245" width="17.7109375" bestFit="1" customWidth="1"/>
    <col min="246" max="246" width="18.5703125" bestFit="1" customWidth="1"/>
    <col min="247" max="247" width="20.7109375" bestFit="1" customWidth="1"/>
    <col min="248" max="248" width="10.5703125" bestFit="1" customWidth="1"/>
    <col min="249" max="249" width="8.85546875" bestFit="1" customWidth="1"/>
    <col min="250" max="250" width="7.140625" bestFit="1" customWidth="1"/>
    <col min="251" max="251" width="18.5703125" bestFit="1" customWidth="1"/>
    <col min="252" max="252" width="20.7109375" bestFit="1" customWidth="1"/>
    <col min="253" max="253" width="15.85546875" bestFit="1" customWidth="1"/>
    <col min="254" max="254" width="10.5703125" bestFit="1" customWidth="1"/>
    <col min="255" max="255" width="22.7109375" bestFit="1" customWidth="1"/>
    <col min="256" max="256" width="8.85546875" bestFit="1" customWidth="1"/>
    <col min="257" max="258" width="10.5703125" bestFit="1" customWidth="1"/>
    <col min="259" max="259" width="7.140625" bestFit="1" customWidth="1"/>
    <col min="260" max="260" width="12.28515625" bestFit="1" customWidth="1"/>
    <col min="261" max="261" width="7.140625" bestFit="1" customWidth="1"/>
    <col min="262" max="262" width="15.85546875" bestFit="1" customWidth="1"/>
    <col min="263" max="263" width="7.140625" bestFit="1" customWidth="1"/>
    <col min="264" max="264" width="15.85546875" bestFit="1" customWidth="1"/>
    <col min="265" max="265" width="10.5703125" bestFit="1" customWidth="1"/>
    <col min="266" max="266" width="12.28515625" bestFit="1" customWidth="1"/>
    <col min="267" max="267" width="24.140625" bestFit="1" customWidth="1"/>
    <col min="268" max="268" width="7.140625" bestFit="1" customWidth="1"/>
    <col min="269" max="269" width="10.5703125" bestFit="1" customWidth="1"/>
    <col min="270" max="270" width="7.140625" bestFit="1" customWidth="1"/>
    <col min="271" max="271" width="8.85546875" bestFit="1" customWidth="1"/>
    <col min="272" max="272" width="12.28515625" bestFit="1" customWidth="1"/>
    <col min="273" max="273" width="18.5703125" bestFit="1" customWidth="1"/>
    <col min="274" max="274" width="7.140625" bestFit="1" customWidth="1"/>
    <col min="275" max="275" width="24.42578125" bestFit="1" customWidth="1"/>
    <col min="276" max="277" width="10.5703125" bestFit="1" customWidth="1"/>
    <col min="278" max="278" width="12.28515625" bestFit="1" customWidth="1"/>
    <col min="279" max="279" width="10.5703125" bestFit="1" customWidth="1"/>
    <col min="280" max="280" width="26.5703125" bestFit="1" customWidth="1"/>
    <col min="281" max="282" width="8.85546875" bestFit="1" customWidth="1"/>
    <col min="283" max="284" width="10.5703125" bestFit="1" customWidth="1"/>
    <col min="285" max="285" width="31.42578125" bestFit="1" customWidth="1"/>
    <col min="286" max="288" width="8.85546875" bestFit="1" customWidth="1"/>
    <col min="289" max="289" width="10.5703125" bestFit="1" customWidth="1"/>
    <col min="290" max="290" width="7.140625" bestFit="1" customWidth="1"/>
    <col min="291" max="291" width="12.28515625" bestFit="1" customWidth="1"/>
    <col min="292" max="292" width="18.5703125" bestFit="1" customWidth="1"/>
    <col min="293" max="293" width="14" bestFit="1" customWidth="1"/>
    <col min="294" max="294" width="22" bestFit="1" customWidth="1"/>
    <col min="295" max="295" width="8.85546875" bestFit="1" customWidth="1"/>
    <col min="296" max="296" width="7.140625" bestFit="1" customWidth="1"/>
    <col min="297" max="297" width="8.85546875" bestFit="1" customWidth="1"/>
    <col min="298" max="298" width="10.5703125" bestFit="1" customWidth="1"/>
    <col min="299" max="299" width="12.28515625" bestFit="1" customWidth="1"/>
    <col min="300" max="300" width="10.5703125" bestFit="1" customWidth="1"/>
    <col min="301" max="301" width="26.5703125" bestFit="1" customWidth="1"/>
    <col min="302" max="303" width="10.5703125" bestFit="1" customWidth="1"/>
    <col min="304" max="304" width="12.28515625" bestFit="1" customWidth="1"/>
    <col min="305" max="305" width="25.140625" bestFit="1" customWidth="1"/>
    <col min="306" max="306" width="8.85546875" bestFit="1" customWidth="1"/>
    <col min="307" max="308" width="10.5703125" bestFit="1" customWidth="1"/>
    <col min="309" max="309" width="7.140625" bestFit="1" customWidth="1"/>
    <col min="310" max="310" width="12.28515625" bestFit="1" customWidth="1"/>
    <col min="311" max="311" width="8.85546875" bestFit="1" customWidth="1"/>
    <col min="312" max="312" width="24.140625" bestFit="1" customWidth="1"/>
    <col min="313" max="314" width="7.140625" bestFit="1" customWidth="1"/>
    <col min="315" max="315" width="8.85546875" bestFit="1" customWidth="1"/>
    <col min="316" max="316" width="12.28515625" bestFit="1" customWidth="1"/>
    <col min="317" max="317" width="18.5703125" bestFit="1" customWidth="1"/>
    <col min="318" max="318" width="7.140625" bestFit="1" customWidth="1"/>
    <col min="319" max="319" width="28.42578125" bestFit="1" customWidth="1"/>
    <col min="320" max="320" width="8.85546875" bestFit="1" customWidth="1"/>
    <col min="321" max="321" width="10.5703125" bestFit="1" customWidth="1"/>
    <col min="322" max="322" width="31.42578125" bestFit="1" customWidth="1"/>
    <col min="323" max="323" width="8.85546875" bestFit="1" customWidth="1"/>
    <col min="324" max="324" width="12.28515625" bestFit="1" customWidth="1"/>
    <col min="325" max="325" width="36.42578125" bestFit="1" customWidth="1"/>
    <col min="326" max="326" width="10.5703125" bestFit="1" customWidth="1"/>
    <col min="327" max="327" width="7.140625" bestFit="1" customWidth="1"/>
    <col min="328" max="328" width="12.28515625" bestFit="1" customWidth="1"/>
    <col min="329" max="330" width="8.85546875" bestFit="1" customWidth="1"/>
    <col min="331" max="331" width="7.140625" bestFit="1" customWidth="1"/>
    <col min="332" max="332" width="8.85546875" bestFit="1" customWidth="1"/>
    <col min="333" max="333" width="12.28515625" bestFit="1" customWidth="1"/>
    <col min="334" max="334" width="15.85546875" bestFit="1" customWidth="1"/>
    <col min="335" max="335" width="12.28515625" bestFit="1" customWidth="1"/>
    <col min="336" max="336" width="15" bestFit="1" customWidth="1"/>
    <col min="337" max="337" width="10.5703125" bestFit="1" customWidth="1"/>
    <col min="338" max="338" width="7.140625" bestFit="1" customWidth="1"/>
    <col min="339" max="339" width="31.42578125" bestFit="1" customWidth="1"/>
    <col min="340" max="341" width="7.140625" bestFit="1" customWidth="1"/>
    <col min="342" max="342" width="8.85546875" bestFit="1" customWidth="1"/>
    <col min="343" max="344" width="12.28515625" bestFit="1" customWidth="1"/>
    <col min="345" max="345" width="18.5703125" bestFit="1" customWidth="1"/>
    <col min="346" max="346" width="22.7109375" bestFit="1" customWidth="1"/>
    <col min="347" max="348" width="8.85546875" bestFit="1" customWidth="1"/>
    <col min="349" max="350" width="10.5703125" bestFit="1" customWidth="1"/>
    <col min="351" max="351" width="7.140625" bestFit="1" customWidth="1"/>
    <col min="352" max="352" width="12.28515625" bestFit="1" customWidth="1"/>
    <col min="353" max="353" width="17.7109375" bestFit="1" customWidth="1"/>
    <col min="354" max="354" width="12.28515625" bestFit="1" customWidth="1"/>
    <col min="355" max="355" width="31.42578125" bestFit="1" customWidth="1"/>
    <col min="356" max="358" width="8.85546875" bestFit="1" customWidth="1"/>
    <col min="359" max="359" width="5.42578125" bestFit="1" customWidth="1"/>
    <col min="360" max="361" width="7.140625" bestFit="1" customWidth="1"/>
    <col min="362" max="362" width="8.85546875" bestFit="1" customWidth="1"/>
    <col min="363" max="363" width="12.28515625" bestFit="1" customWidth="1"/>
    <col min="364" max="364" width="7.140625" bestFit="1" customWidth="1"/>
    <col min="365" max="365" width="15.85546875" bestFit="1" customWidth="1"/>
    <col min="366" max="366" width="12.28515625" bestFit="1" customWidth="1"/>
    <col min="367" max="367" width="18.5703125" bestFit="1" customWidth="1"/>
    <col min="368" max="368" width="7.140625" bestFit="1" customWidth="1"/>
    <col min="369" max="369" width="39.7109375" bestFit="1" customWidth="1"/>
    <col min="370" max="370" width="8.85546875" bestFit="1" customWidth="1"/>
    <col min="371" max="371" width="10.5703125" bestFit="1" customWidth="1"/>
    <col min="372" max="372" width="7.140625" bestFit="1" customWidth="1"/>
    <col min="373" max="374" width="12.28515625" bestFit="1" customWidth="1"/>
    <col min="375" max="375" width="31.42578125" bestFit="1" customWidth="1"/>
    <col min="376" max="377" width="8.85546875" bestFit="1" customWidth="1"/>
    <col min="378" max="378" width="7.140625" bestFit="1" customWidth="1"/>
    <col min="379" max="379" width="10.5703125" bestFit="1" customWidth="1"/>
    <col min="380" max="380" width="7.140625" bestFit="1" customWidth="1"/>
    <col min="381" max="381" width="8.85546875" bestFit="1" customWidth="1"/>
    <col min="382" max="383" width="12.28515625" bestFit="1" customWidth="1"/>
    <col min="384" max="384" width="7.140625" bestFit="1" customWidth="1"/>
    <col min="385" max="385" width="10.5703125" bestFit="1" customWidth="1"/>
    <col min="386" max="386" width="31.42578125" bestFit="1" customWidth="1"/>
    <col min="387" max="387" width="7.140625" bestFit="1" customWidth="1"/>
    <col min="388" max="388" width="12.28515625" bestFit="1" customWidth="1"/>
    <col min="389" max="389" width="31.42578125" bestFit="1" customWidth="1"/>
    <col min="390" max="390" width="8.85546875" bestFit="1" customWidth="1"/>
    <col min="391" max="391" width="7.140625" bestFit="1" customWidth="1"/>
    <col min="392" max="392" width="12.28515625" bestFit="1" customWidth="1"/>
    <col min="393" max="393" width="22.7109375" bestFit="1" customWidth="1"/>
    <col min="394" max="394" width="24.140625" bestFit="1" customWidth="1"/>
    <col min="395" max="395" width="7.140625" bestFit="1" customWidth="1"/>
    <col min="396" max="396" width="17.7109375" bestFit="1" customWidth="1"/>
    <col min="397" max="397" width="10.5703125" bestFit="1" customWidth="1"/>
    <col min="398" max="398" width="32.140625" bestFit="1" customWidth="1"/>
    <col min="399" max="399" width="8.85546875" bestFit="1" customWidth="1"/>
    <col min="400" max="400" width="7.140625" bestFit="1" customWidth="1"/>
    <col min="401" max="401" width="8.85546875" bestFit="1" customWidth="1"/>
    <col min="402" max="402" width="12.28515625" bestFit="1" customWidth="1"/>
    <col min="403" max="403" width="18.5703125" bestFit="1" customWidth="1"/>
    <col min="404" max="404" width="17.7109375" bestFit="1" customWidth="1"/>
    <col min="405" max="405" width="8.85546875" bestFit="1" customWidth="1"/>
    <col min="406" max="406" width="7.140625" bestFit="1" customWidth="1"/>
    <col min="407" max="407" width="8.85546875" bestFit="1" customWidth="1"/>
    <col min="408" max="408" width="15.85546875" bestFit="1" customWidth="1"/>
    <col min="409" max="409" width="10.5703125" bestFit="1" customWidth="1"/>
    <col min="410" max="410" width="7.140625" bestFit="1" customWidth="1"/>
    <col min="411" max="411" width="12.28515625" bestFit="1" customWidth="1"/>
    <col min="412" max="412" width="31.42578125" bestFit="1" customWidth="1"/>
    <col min="413" max="413" width="8.85546875" bestFit="1" customWidth="1"/>
    <col min="414" max="414" width="10.5703125" bestFit="1" customWidth="1"/>
    <col min="415" max="415" width="8.85546875" bestFit="1" customWidth="1"/>
    <col min="416" max="417" width="12.28515625" bestFit="1" customWidth="1"/>
    <col min="418" max="418" width="18.5703125" bestFit="1" customWidth="1"/>
    <col min="419" max="419" width="15.85546875" bestFit="1" customWidth="1"/>
    <col min="420" max="421" width="10.5703125" bestFit="1" customWidth="1"/>
    <col min="422" max="423" width="12.28515625" bestFit="1" customWidth="1"/>
    <col min="424" max="424" width="8.85546875" bestFit="1" customWidth="1"/>
    <col min="425" max="425" width="24.140625" bestFit="1" customWidth="1"/>
    <col min="426" max="426" width="7.140625" bestFit="1" customWidth="1"/>
    <col min="427" max="427" width="8.85546875" bestFit="1" customWidth="1"/>
    <col min="428" max="429" width="12.28515625" bestFit="1" customWidth="1"/>
    <col min="430" max="430" width="18.5703125" bestFit="1" customWidth="1"/>
    <col min="431" max="431" width="33.28515625" bestFit="1" customWidth="1"/>
    <col min="432" max="432" width="12.28515625" bestFit="1" customWidth="1"/>
    <col min="433" max="433" width="10.5703125" bestFit="1" customWidth="1"/>
    <col min="434" max="434" width="17.7109375" bestFit="1" customWidth="1"/>
    <col min="435" max="435" width="31.42578125" bestFit="1" customWidth="1"/>
    <col min="436" max="438" width="8.85546875" bestFit="1" customWidth="1"/>
    <col min="439" max="439" width="24.7109375" bestFit="1" customWidth="1"/>
    <col min="440" max="440" width="8.85546875" bestFit="1" customWidth="1"/>
    <col min="441" max="442" width="10.5703125" bestFit="1" customWidth="1"/>
    <col min="443" max="443" width="7.140625" bestFit="1" customWidth="1"/>
    <col min="444" max="444" width="12.28515625" bestFit="1" customWidth="1"/>
    <col min="445" max="445" width="10.5703125" bestFit="1" customWidth="1"/>
    <col min="446" max="446" width="12.28515625" bestFit="1" customWidth="1"/>
    <col min="447" max="447" width="31.42578125" bestFit="1" customWidth="1"/>
    <col min="448" max="451" width="8.85546875" bestFit="1" customWidth="1"/>
    <col min="452" max="452" width="12.28515625" bestFit="1" customWidth="1"/>
    <col min="453" max="453" width="15.85546875" bestFit="1" customWidth="1"/>
    <col min="454" max="454" width="12.28515625" bestFit="1" customWidth="1"/>
    <col min="455" max="455" width="18.5703125" bestFit="1" customWidth="1"/>
    <col min="456" max="456" width="36.42578125" bestFit="1" customWidth="1"/>
    <col min="457" max="457" width="31.42578125" bestFit="1" customWidth="1"/>
    <col min="458" max="458" width="7.140625" bestFit="1" customWidth="1"/>
    <col min="459" max="459" width="22.7109375" bestFit="1" customWidth="1"/>
    <col min="460" max="460" width="10.5703125" bestFit="1" customWidth="1"/>
    <col min="461" max="461" width="12.28515625" bestFit="1" customWidth="1"/>
    <col min="462" max="463" width="7.140625" bestFit="1" customWidth="1"/>
    <col min="464" max="464" width="8.85546875" bestFit="1" customWidth="1"/>
    <col min="465" max="465" width="12.28515625" bestFit="1" customWidth="1"/>
    <col min="466" max="466" width="18.5703125" bestFit="1" customWidth="1"/>
    <col min="467" max="467" width="10.5703125" bestFit="1" customWidth="1"/>
    <col min="468" max="468" width="24.42578125" bestFit="1" customWidth="1"/>
    <col min="469" max="469" width="10.5703125" bestFit="1" customWidth="1"/>
    <col min="470" max="470" width="7.140625" bestFit="1" customWidth="1"/>
    <col min="471" max="471" width="12.28515625" bestFit="1" customWidth="1"/>
    <col min="472" max="472" width="31.42578125" bestFit="1" customWidth="1"/>
    <col min="473" max="473" width="8.85546875" bestFit="1" customWidth="1"/>
    <col min="474" max="474" width="10.5703125" bestFit="1" customWidth="1"/>
    <col min="475" max="475" width="12.28515625" bestFit="1" customWidth="1"/>
    <col min="476" max="476" width="10.5703125" bestFit="1" customWidth="1"/>
    <col min="477" max="477" width="31.5703125" bestFit="1" customWidth="1"/>
    <col min="478" max="479" width="10.5703125" bestFit="1" customWidth="1"/>
    <col min="480" max="480" width="12.28515625" bestFit="1" customWidth="1"/>
    <col min="481" max="481" width="15.85546875" bestFit="1" customWidth="1"/>
    <col min="482" max="482" width="31.42578125" bestFit="1" customWidth="1"/>
    <col min="483" max="485" width="8.85546875" bestFit="1" customWidth="1"/>
    <col min="486" max="486" width="7.140625" bestFit="1" customWidth="1"/>
    <col min="487" max="487" width="10.5703125" bestFit="1" customWidth="1"/>
    <col min="488" max="488" width="7.140625" bestFit="1" customWidth="1"/>
    <col min="489" max="489" width="8.85546875" bestFit="1" customWidth="1"/>
    <col min="490" max="490" width="12.28515625" bestFit="1" customWidth="1"/>
    <col min="491" max="491" width="17.7109375" bestFit="1" customWidth="1"/>
    <col min="492" max="492" width="12.28515625" bestFit="1" customWidth="1"/>
    <col min="493" max="493" width="18.5703125" bestFit="1" customWidth="1"/>
    <col min="494" max="494" width="7.140625" bestFit="1" customWidth="1"/>
    <col min="495" max="495" width="10.5703125" bestFit="1" customWidth="1"/>
    <col min="496" max="496" width="30.28515625" bestFit="1" customWidth="1"/>
    <col min="497" max="498" width="10.5703125" bestFit="1" customWidth="1"/>
    <col min="499" max="499" width="12.28515625" bestFit="1" customWidth="1"/>
    <col min="500" max="501" width="8.85546875" bestFit="1" customWidth="1"/>
    <col min="502" max="502" width="12.28515625" bestFit="1" customWidth="1"/>
    <col min="503" max="503" width="7.140625" bestFit="1" customWidth="1"/>
    <col min="504" max="504" width="26.5703125" bestFit="1" customWidth="1"/>
    <col min="505" max="505" width="8.85546875" bestFit="1" customWidth="1"/>
    <col min="506" max="507" width="10.5703125" bestFit="1" customWidth="1"/>
    <col min="508" max="508" width="12.28515625" bestFit="1" customWidth="1"/>
    <col min="509" max="509" width="10.5703125" bestFit="1" customWidth="1"/>
    <col min="510" max="510" width="12.28515625" bestFit="1" customWidth="1"/>
    <col min="511" max="511" width="31.42578125" bestFit="1" customWidth="1"/>
    <col min="512" max="512" width="8.85546875" bestFit="1" customWidth="1"/>
    <col min="513" max="513" width="7.140625" bestFit="1" customWidth="1"/>
    <col min="514" max="514" width="10.5703125" bestFit="1" customWidth="1"/>
    <col min="515" max="515" width="7.140625" bestFit="1" customWidth="1"/>
    <col min="516" max="516" width="8.85546875" bestFit="1" customWidth="1"/>
    <col min="517" max="517" width="12.28515625" bestFit="1" customWidth="1"/>
    <col min="518" max="518" width="15.85546875" bestFit="1" customWidth="1"/>
    <col min="519" max="519" width="12.28515625" bestFit="1" customWidth="1"/>
    <col min="520" max="520" width="18.5703125" bestFit="1" customWidth="1"/>
    <col min="521" max="521" width="7.140625" bestFit="1" customWidth="1"/>
    <col min="522" max="522" width="33.140625" bestFit="1" customWidth="1"/>
    <col min="523" max="524" width="10.5703125" bestFit="1" customWidth="1"/>
    <col min="525" max="525" width="31.42578125" bestFit="1" customWidth="1"/>
    <col min="526" max="528" width="8.85546875" bestFit="1" customWidth="1"/>
    <col min="529" max="529" width="7.140625" bestFit="1" customWidth="1"/>
    <col min="530" max="530" width="10.5703125" bestFit="1" customWidth="1"/>
    <col min="531" max="531" width="19.5703125" bestFit="1" customWidth="1"/>
    <col min="532" max="532" width="8.85546875" bestFit="1" customWidth="1"/>
    <col min="533" max="533" width="10.5703125" bestFit="1" customWidth="1"/>
    <col min="534" max="534" width="7.140625" bestFit="1" customWidth="1"/>
    <col min="535" max="536" width="12.28515625" bestFit="1" customWidth="1"/>
    <col min="537" max="537" width="31.42578125" bestFit="1" customWidth="1"/>
    <col min="538" max="539" width="8.85546875" bestFit="1" customWidth="1"/>
    <col min="540" max="540" width="24.140625" bestFit="1" customWidth="1"/>
    <col min="541" max="541" width="10.5703125" bestFit="1" customWidth="1"/>
    <col min="542" max="542" width="8.85546875" bestFit="1" customWidth="1"/>
    <col min="543" max="543" width="15.85546875" bestFit="1" customWidth="1"/>
    <col min="544" max="544" width="12.28515625" bestFit="1" customWidth="1"/>
    <col min="545" max="546" width="7.140625" bestFit="1" customWidth="1"/>
    <col min="547" max="547" width="19.5703125" bestFit="1" customWidth="1"/>
    <col min="548" max="548" width="12.28515625" bestFit="1" customWidth="1"/>
    <col min="549" max="549" width="10.5703125" bestFit="1" customWidth="1"/>
    <col min="550" max="550" width="12.28515625" bestFit="1" customWidth="1"/>
    <col min="551" max="551" width="31.42578125" bestFit="1" customWidth="1"/>
    <col min="552" max="552" width="8.85546875" bestFit="1" customWidth="1"/>
    <col min="553" max="553" width="7.140625" bestFit="1" customWidth="1"/>
    <col min="554" max="554" width="8.85546875" bestFit="1" customWidth="1"/>
    <col min="555" max="555" width="12.28515625" bestFit="1" customWidth="1"/>
    <col min="556" max="556" width="17.7109375" bestFit="1" customWidth="1"/>
    <col min="557" max="557" width="12.28515625" bestFit="1" customWidth="1"/>
    <col min="558" max="558" width="18.5703125" bestFit="1" customWidth="1"/>
    <col min="559" max="560" width="7.140625" bestFit="1" customWidth="1"/>
    <col min="561" max="561" width="10.5703125" bestFit="1" customWidth="1"/>
    <col min="562" max="562" width="36.42578125" bestFit="1" customWidth="1"/>
    <col min="563" max="563" width="8.85546875" bestFit="1" customWidth="1"/>
    <col min="564" max="565" width="10.5703125" bestFit="1" customWidth="1"/>
    <col min="566" max="566" width="12.28515625" bestFit="1" customWidth="1"/>
    <col min="567" max="567" width="10.5703125" bestFit="1" customWidth="1"/>
    <col min="568" max="568" width="12.28515625" bestFit="1" customWidth="1"/>
    <col min="569" max="569" width="7.140625" bestFit="1" customWidth="1"/>
    <col min="570" max="570" width="18.5703125" bestFit="1" customWidth="1"/>
    <col min="571" max="571" width="7.140625" bestFit="1" customWidth="1"/>
    <col min="572" max="572" width="33.140625" bestFit="1" customWidth="1"/>
    <col min="573" max="573" width="8.85546875" bestFit="1" customWidth="1"/>
    <col min="574" max="574" width="10.5703125" bestFit="1" customWidth="1"/>
    <col min="575" max="575" width="7.140625" bestFit="1" customWidth="1"/>
    <col min="576" max="576" width="12.28515625" bestFit="1" customWidth="1"/>
    <col min="577" max="577" width="10.5703125" bestFit="1" customWidth="1"/>
    <col min="578" max="578" width="12.28515625" bestFit="1" customWidth="1"/>
    <col min="579" max="579" width="31.42578125" bestFit="1" customWidth="1"/>
    <col min="580" max="580" width="8.85546875" bestFit="1" customWidth="1"/>
    <col min="581" max="581" width="7.140625" bestFit="1" customWidth="1"/>
    <col min="582" max="582" width="8.85546875" bestFit="1" customWidth="1"/>
    <col min="583" max="583" width="18.5703125" bestFit="1" customWidth="1"/>
    <col min="584" max="584" width="22" bestFit="1" customWidth="1"/>
    <col min="585" max="585" width="8.85546875" bestFit="1" customWidth="1"/>
    <col min="586" max="587" width="10.5703125" bestFit="1" customWidth="1"/>
    <col min="588" max="588" width="7.140625" bestFit="1" customWidth="1"/>
    <col min="589" max="589" width="12.28515625" bestFit="1" customWidth="1"/>
    <col min="590" max="590" width="10.5703125" bestFit="1" customWidth="1"/>
    <col min="591" max="591" width="15.85546875" bestFit="1" customWidth="1"/>
    <col min="592" max="592" width="12.28515625" bestFit="1" customWidth="1"/>
    <col min="593" max="593" width="31.42578125" bestFit="1" customWidth="1"/>
    <col min="594" max="596" width="8.85546875" bestFit="1" customWidth="1"/>
    <col min="597" max="597" width="5.42578125" bestFit="1" customWidth="1"/>
    <col min="598" max="598" width="24.140625" bestFit="1" customWidth="1"/>
    <col min="599" max="599" width="7.140625" bestFit="1" customWidth="1"/>
    <col min="600" max="600" width="10.5703125" bestFit="1" customWidth="1"/>
    <col min="601" max="601" width="7.140625" bestFit="1" customWidth="1"/>
    <col min="602" max="602" width="8.85546875" bestFit="1" customWidth="1"/>
    <col min="603" max="603" width="12.28515625" bestFit="1" customWidth="1"/>
    <col min="604" max="604" width="7.140625" bestFit="1" customWidth="1"/>
    <col min="605" max="605" width="15.85546875" bestFit="1" customWidth="1"/>
    <col min="606" max="606" width="10.5703125" bestFit="1" customWidth="1"/>
    <col min="607" max="607" width="17.7109375" bestFit="1" customWidth="1"/>
    <col min="608" max="608" width="12.28515625" bestFit="1" customWidth="1"/>
    <col min="609" max="609" width="18.5703125" bestFit="1" customWidth="1"/>
    <col min="610" max="610" width="7.140625" bestFit="1" customWidth="1"/>
    <col min="611" max="611" width="10.5703125" bestFit="1" customWidth="1"/>
    <col min="612" max="612" width="25.85546875" bestFit="1" customWidth="1"/>
    <col min="613" max="613" width="10.5703125" bestFit="1" customWidth="1"/>
    <col min="614" max="614" width="31.42578125" bestFit="1" customWidth="1"/>
    <col min="615" max="615" width="8.85546875" bestFit="1" customWidth="1"/>
    <col min="616" max="616" width="10.5703125" bestFit="1" customWidth="1"/>
    <col min="617" max="617" width="15.85546875" bestFit="1" customWidth="1"/>
    <col min="618" max="618" width="17.7109375" bestFit="1" customWidth="1"/>
    <col min="619" max="619" width="18.5703125" bestFit="1" customWidth="1"/>
    <col min="620" max="620" width="31.5703125" bestFit="1" customWidth="1"/>
    <col min="621" max="622" width="10.5703125" bestFit="1" customWidth="1"/>
    <col min="623" max="623" width="17.7109375" bestFit="1" customWidth="1"/>
    <col min="624" max="624" width="15.85546875" bestFit="1" customWidth="1"/>
    <col min="625" max="625" width="18.5703125" bestFit="1" customWidth="1"/>
    <col min="626" max="626" width="22" bestFit="1" customWidth="1"/>
    <col min="627" max="627" width="10.5703125" bestFit="1" customWidth="1"/>
    <col min="628" max="629" width="12.28515625" bestFit="1" customWidth="1"/>
    <col min="630" max="630" width="7.140625" bestFit="1" customWidth="1"/>
    <col min="631" max="631" width="12.28515625" bestFit="1" customWidth="1"/>
    <col min="632" max="632" width="7.140625" bestFit="1" customWidth="1"/>
    <col min="633" max="633" width="22.7109375" bestFit="1" customWidth="1"/>
    <col min="634" max="634" width="10.5703125" bestFit="1" customWidth="1"/>
    <col min="635" max="635" width="7.140625" bestFit="1" customWidth="1"/>
    <col min="636" max="636" width="12.28515625" bestFit="1" customWidth="1"/>
    <col min="637" max="637" width="31.42578125" bestFit="1" customWidth="1"/>
    <col min="638" max="638" width="7.140625" bestFit="1" customWidth="1"/>
    <col min="639" max="639" width="10.5703125" bestFit="1" customWidth="1"/>
    <col min="640" max="640" width="8.85546875" bestFit="1" customWidth="1"/>
    <col min="641" max="643" width="7.140625" bestFit="1" customWidth="1"/>
    <col min="644" max="644" width="20.28515625" bestFit="1" customWidth="1"/>
    <col min="645" max="645" width="12.28515625" bestFit="1" customWidth="1"/>
    <col min="646" max="646" width="15.85546875" bestFit="1" customWidth="1"/>
    <col min="647" max="648" width="10.5703125" bestFit="1" customWidth="1"/>
    <col min="649" max="649" width="24.140625" bestFit="1" customWidth="1"/>
    <col min="650" max="650" width="17.7109375" bestFit="1" customWidth="1"/>
    <col min="651" max="651" width="18.42578125" bestFit="1" customWidth="1"/>
    <col min="652" max="652" width="15.85546875" bestFit="1" customWidth="1"/>
    <col min="653" max="653" width="12.28515625" bestFit="1" customWidth="1"/>
    <col min="654" max="654" width="17.7109375" bestFit="1" customWidth="1"/>
    <col min="655" max="655" width="6.85546875" bestFit="1" customWidth="1"/>
  </cols>
  <sheetData>
    <row r="4" spans="1:34">
      <c r="A4" s="8" t="s">
        <v>5807</v>
      </c>
      <c r="B4" s="8" t="s">
        <v>5806</v>
      </c>
    </row>
    <row r="5" spans="1:34">
      <c r="B5" t="s">
        <v>19</v>
      </c>
      <c r="C5" t="s">
        <v>571</v>
      </c>
      <c r="D5" t="s">
        <v>904</v>
      </c>
      <c r="E5" t="s">
        <v>200</v>
      </c>
      <c r="F5" t="s">
        <v>41</v>
      </c>
      <c r="G5" t="s">
        <v>1017</v>
      </c>
      <c r="H5" t="s">
        <v>162</v>
      </c>
      <c r="I5" t="s">
        <v>519</v>
      </c>
      <c r="J5" t="s">
        <v>233</v>
      </c>
      <c r="K5" t="s">
        <v>1312</v>
      </c>
      <c r="L5" t="s">
        <v>956</v>
      </c>
      <c r="M5" t="s">
        <v>64</v>
      </c>
      <c r="N5" t="s">
        <v>588</v>
      </c>
      <c r="O5" t="s">
        <v>70</v>
      </c>
      <c r="P5" t="s">
        <v>557</v>
      </c>
      <c r="Q5" t="s">
        <v>52</v>
      </c>
      <c r="R5" t="s">
        <v>1730</v>
      </c>
      <c r="S5" t="s">
        <v>196</v>
      </c>
      <c r="T5" t="s">
        <v>650</v>
      </c>
      <c r="U5" t="s">
        <v>1533</v>
      </c>
      <c r="V5" t="s">
        <v>1163</v>
      </c>
      <c r="W5" t="s">
        <v>108</v>
      </c>
      <c r="X5" t="s">
        <v>132</v>
      </c>
      <c r="Y5" t="s">
        <v>716</v>
      </c>
      <c r="Z5" t="s">
        <v>443</v>
      </c>
      <c r="AA5" t="s">
        <v>1358</v>
      </c>
      <c r="AB5" t="s">
        <v>534</v>
      </c>
      <c r="AC5" t="s">
        <v>444</v>
      </c>
      <c r="AD5" t="s">
        <v>1999</v>
      </c>
      <c r="AE5" t="s">
        <v>851</v>
      </c>
      <c r="AF5" t="s">
        <v>1995</v>
      </c>
      <c r="AG5" t="s">
        <v>3336</v>
      </c>
      <c r="AH5" t="s">
        <v>5785</v>
      </c>
    </row>
    <row r="6" spans="1:34">
      <c r="A6" s="8" t="s">
        <v>5784</v>
      </c>
      <c r="AF6" t="s">
        <v>1722</v>
      </c>
    </row>
    <row r="7" spans="1:34">
      <c r="A7" s="9" t="s">
        <v>3127</v>
      </c>
      <c r="B7">
        <v>83</v>
      </c>
      <c r="C7">
        <v>166</v>
      </c>
      <c r="D7">
        <v>187</v>
      </c>
      <c r="E7">
        <v>43</v>
      </c>
      <c r="F7">
        <v>48</v>
      </c>
      <c r="G7">
        <v>54</v>
      </c>
      <c r="H7">
        <v>7</v>
      </c>
      <c r="I7">
        <v>40</v>
      </c>
      <c r="J7">
        <v>29</v>
      </c>
      <c r="K7">
        <v>1</v>
      </c>
      <c r="L7">
        <v>6</v>
      </c>
      <c r="N7">
        <v>10</v>
      </c>
      <c r="O7">
        <v>10</v>
      </c>
      <c r="P7">
        <v>8</v>
      </c>
      <c r="Q7">
        <v>11</v>
      </c>
      <c r="R7">
        <v>17</v>
      </c>
      <c r="U7">
        <v>11</v>
      </c>
      <c r="V7">
        <v>6</v>
      </c>
      <c r="W7">
        <v>1</v>
      </c>
      <c r="X7">
        <v>1</v>
      </c>
      <c r="Z7">
        <v>4</v>
      </c>
      <c r="AA7">
        <v>1</v>
      </c>
      <c r="AB7">
        <v>2</v>
      </c>
      <c r="AC7">
        <v>1</v>
      </c>
      <c r="AE7">
        <v>2</v>
      </c>
      <c r="AG7">
        <v>2</v>
      </c>
      <c r="AH7">
        <v>751</v>
      </c>
    </row>
    <row r="8" spans="1:34">
      <c r="A8" s="9" t="s">
        <v>901</v>
      </c>
      <c r="B8">
        <v>106</v>
      </c>
      <c r="C8">
        <v>58</v>
      </c>
      <c r="D8">
        <v>35</v>
      </c>
      <c r="E8">
        <v>33</v>
      </c>
      <c r="F8">
        <v>30</v>
      </c>
      <c r="G8">
        <v>11</v>
      </c>
      <c r="H8">
        <v>20</v>
      </c>
      <c r="I8">
        <v>22</v>
      </c>
      <c r="J8">
        <v>19</v>
      </c>
      <c r="K8">
        <v>2</v>
      </c>
      <c r="L8">
        <v>14</v>
      </c>
      <c r="N8">
        <v>16</v>
      </c>
      <c r="O8">
        <v>12</v>
      </c>
      <c r="P8">
        <v>10</v>
      </c>
      <c r="Q8">
        <v>16</v>
      </c>
      <c r="R8">
        <v>2</v>
      </c>
      <c r="S8">
        <v>2</v>
      </c>
      <c r="T8">
        <v>1</v>
      </c>
      <c r="U8">
        <v>6</v>
      </c>
      <c r="V8">
        <v>3</v>
      </c>
      <c r="W8">
        <v>2</v>
      </c>
      <c r="X8">
        <v>3</v>
      </c>
      <c r="Y8">
        <v>4</v>
      </c>
      <c r="Z8">
        <v>6</v>
      </c>
      <c r="AA8">
        <v>15</v>
      </c>
      <c r="AB8">
        <v>3</v>
      </c>
      <c r="AC8">
        <v>4</v>
      </c>
      <c r="AE8">
        <v>1</v>
      </c>
      <c r="AF8">
        <v>7</v>
      </c>
      <c r="AH8">
        <v>463</v>
      </c>
    </row>
    <row r="9" spans="1:34">
      <c r="A9" s="9" t="s">
        <v>4600</v>
      </c>
      <c r="B9">
        <v>44</v>
      </c>
      <c r="C9">
        <v>26</v>
      </c>
      <c r="D9">
        <v>32</v>
      </c>
      <c r="E9">
        <v>20</v>
      </c>
      <c r="F9">
        <v>24</v>
      </c>
      <c r="G9">
        <v>39</v>
      </c>
      <c r="H9">
        <v>59</v>
      </c>
      <c r="I9">
        <v>2</v>
      </c>
      <c r="J9">
        <v>13</v>
      </c>
      <c r="K9">
        <v>1</v>
      </c>
      <c r="L9">
        <v>59</v>
      </c>
      <c r="M9">
        <v>2</v>
      </c>
      <c r="N9">
        <v>12</v>
      </c>
      <c r="O9">
        <v>15</v>
      </c>
      <c r="P9">
        <v>3</v>
      </c>
      <c r="R9">
        <v>3</v>
      </c>
      <c r="U9">
        <v>5</v>
      </c>
      <c r="V9">
        <v>9</v>
      </c>
      <c r="W9">
        <v>1</v>
      </c>
      <c r="X9">
        <v>2</v>
      </c>
      <c r="Y9">
        <v>8</v>
      </c>
      <c r="Z9">
        <v>2</v>
      </c>
      <c r="AB9">
        <v>4</v>
      </c>
      <c r="AC9">
        <v>1</v>
      </c>
      <c r="AE9">
        <v>2</v>
      </c>
      <c r="AF9">
        <v>1</v>
      </c>
      <c r="AG9">
        <v>1</v>
      </c>
      <c r="AH9">
        <v>390</v>
      </c>
    </row>
    <row r="10" spans="1:34">
      <c r="A10" s="9" t="s">
        <v>1952</v>
      </c>
      <c r="B10">
        <v>57</v>
      </c>
      <c r="C10">
        <v>40</v>
      </c>
      <c r="D10">
        <v>3</v>
      </c>
      <c r="E10">
        <v>34</v>
      </c>
      <c r="F10">
        <v>27</v>
      </c>
      <c r="G10">
        <v>4</v>
      </c>
      <c r="H10">
        <v>3</v>
      </c>
      <c r="I10">
        <v>19</v>
      </c>
      <c r="J10">
        <v>19</v>
      </c>
      <c r="K10">
        <v>74</v>
      </c>
      <c r="M10">
        <v>1</v>
      </c>
      <c r="N10">
        <v>1</v>
      </c>
      <c r="O10">
        <v>5</v>
      </c>
      <c r="P10">
        <v>9</v>
      </c>
      <c r="Q10">
        <v>3</v>
      </c>
      <c r="R10">
        <v>6</v>
      </c>
      <c r="S10">
        <v>2</v>
      </c>
      <c r="U10">
        <v>2</v>
      </c>
      <c r="V10">
        <v>3</v>
      </c>
      <c r="Z10">
        <v>2</v>
      </c>
      <c r="AA10">
        <v>1</v>
      </c>
      <c r="AB10">
        <v>1</v>
      </c>
      <c r="AC10">
        <v>4</v>
      </c>
      <c r="AD10">
        <v>10</v>
      </c>
      <c r="AE10">
        <v>3</v>
      </c>
      <c r="AF10">
        <v>3</v>
      </c>
      <c r="AH10">
        <v>336</v>
      </c>
    </row>
    <row r="11" spans="1:34">
      <c r="A11" s="9" t="s">
        <v>2764</v>
      </c>
      <c r="B11">
        <v>21</v>
      </c>
      <c r="C11">
        <v>4</v>
      </c>
      <c r="D11">
        <v>6</v>
      </c>
      <c r="E11">
        <v>105</v>
      </c>
      <c r="F11">
        <v>12</v>
      </c>
      <c r="G11">
        <v>4</v>
      </c>
      <c r="H11">
        <v>1</v>
      </c>
      <c r="I11">
        <v>3</v>
      </c>
      <c r="J11">
        <v>1</v>
      </c>
      <c r="P11">
        <v>4</v>
      </c>
      <c r="Q11">
        <v>1</v>
      </c>
      <c r="R11">
        <v>3</v>
      </c>
      <c r="AD11">
        <v>1</v>
      </c>
      <c r="AE11">
        <v>1</v>
      </c>
      <c r="AH11">
        <v>167</v>
      </c>
    </row>
    <row r="12" spans="1:34">
      <c r="A12" s="9" t="s">
        <v>554</v>
      </c>
      <c r="B12">
        <v>48</v>
      </c>
      <c r="C12">
        <v>1</v>
      </c>
      <c r="E12">
        <v>6</v>
      </c>
      <c r="H12">
        <v>4</v>
      </c>
      <c r="I12">
        <v>4</v>
      </c>
      <c r="J12">
        <v>1</v>
      </c>
      <c r="M12">
        <v>47</v>
      </c>
      <c r="N12">
        <v>7</v>
      </c>
      <c r="O12">
        <v>6</v>
      </c>
      <c r="P12">
        <v>3</v>
      </c>
      <c r="Q12">
        <v>4</v>
      </c>
      <c r="S12">
        <v>1</v>
      </c>
      <c r="T12">
        <v>4</v>
      </c>
      <c r="W12">
        <v>3</v>
      </c>
      <c r="X12">
        <v>6</v>
      </c>
      <c r="Y12">
        <v>6</v>
      </c>
      <c r="Z12">
        <v>2</v>
      </c>
      <c r="AB12">
        <v>2</v>
      </c>
      <c r="AC12">
        <v>1</v>
      </c>
      <c r="AE12">
        <v>1</v>
      </c>
      <c r="AH12">
        <v>157</v>
      </c>
    </row>
    <row r="13" spans="1:34">
      <c r="A13" s="9" t="s">
        <v>16</v>
      </c>
      <c r="B13">
        <v>93</v>
      </c>
      <c r="E13">
        <v>7</v>
      </c>
      <c r="F13">
        <v>3</v>
      </c>
      <c r="H13">
        <v>2</v>
      </c>
      <c r="J13">
        <v>1</v>
      </c>
      <c r="M13">
        <v>14</v>
      </c>
      <c r="O13">
        <v>1</v>
      </c>
      <c r="Q13">
        <v>1</v>
      </c>
      <c r="S13">
        <v>24</v>
      </c>
      <c r="W13">
        <v>4</v>
      </c>
      <c r="X13">
        <v>1</v>
      </c>
      <c r="AC13">
        <v>2</v>
      </c>
      <c r="AH13">
        <v>153</v>
      </c>
    </row>
    <row r="14" spans="1:34">
      <c r="A14" s="9" t="s">
        <v>5462</v>
      </c>
      <c r="B14">
        <v>18</v>
      </c>
      <c r="E14">
        <v>2</v>
      </c>
      <c r="G14">
        <v>4</v>
      </c>
      <c r="H14">
        <v>5</v>
      </c>
      <c r="I14">
        <v>1</v>
      </c>
      <c r="N14">
        <v>1</v>
      </c>
      <c r="P14">
        <v>1</v>
      </c>
      <c r="Q14">
        <v>2</v>
      </c>
      <c r="R14">
        <v>1</v>
      </c>
      <c r="T14">
        <v>20</v>
      </c>
      <c r="W14">
        <v>4</v>
      </c>
      <c r="Z14">
        <v>1</v>
      </c>
      <c r="AH14">
        <v>60</v>
      </c>
    </row>
    <row r="15" spans="1:34">
      <c r="A15" s="9" t="s">
        <v>5586</v>
      </c>
      <c r="B15">
        <v>47</v>
      </c>
      <c r="F15">
        <v>1</v>
      </c>
      <c r="L15">
        <v>1</v>
      </c>
      <c r="N15">
        <v>4</v>
      </c>
      <c r="AE15">
        <v>1</v>
      </c>
      <c r="AH15">
        <v>54</v>
      </c>
    </row>
    <row r="16" spans="1:34">
      <c r="A16" s="9" t="s">
        <v>5727</v>
      </c>
    </row>
    <row r="17" spans="1:34">
      <c r="A17" s="10" t="s">
        <v>5728</v>
      </c>
    </row>
    <row r="18" spans="1:34">
      <c r="A18" s="13" t="s">
        <v>5729</v>
      </c>
      <c r="B18">
        <v>1</v>
      </c>
      <c r="E18">
        <v>1</v>
      </c>
      <c r="AH18">
        <v>2</v>
      </c>
    </row>
    <row r="19" spans="1:34">
      <c r="A19" s="10" t="s">
        <v>5736</v>
      </c>
    </row>
    <row r="20" spans="1:34">
      <c r="A20" s="13" t="s">
        <v>5737</v>
      </c>
      <c r="J20">
        <v>1</v>
      </c>
      <c r="W20">
        <v>1</v>
      </c>
      <c r="AH20">
        <v>2</v>
      </c>
    </row>
    <row r="21" spans="1:34">
      <c r="A21" s="13" t="s">
        <v>5744</v>
      </c>
      <c r="B21">
        <v>1</v>
      </c>
      <c r="M21">
        <v>1</v>
      </c>
      <c r="W21">
        <v>3</v>
      </c>
      <c r="AH21">
        <v>5</v>
      </c>
    </row>
    <row r="22" spans="1:34">
      <c r="A22" s="10" t="s">
        <v>5755</v>
      </c>
    </row>
    <row r="23" spans="1:34">
      <c r="A23" s="13" t="s">
        <v>5756</v>
      </c>
      <c r="B23">
        <v>1</v>
      </c>
      <c r="W23">
        <v>1</v>
      </c>
      <c r="AH23">
        <v>2</v>
      </c>
    </row>
    <row r="24" spans="1:34">
      <c r="A24" s="13" t="s">
        <v>5763</v>
      </c>
      <c r="C24">
        <v>1</v>
      </c>
      <c r="E24">
        <v>1</v>
      </c>
      <c r="AH24">
        <v>2</v>
      </c>
    </row>
    <row r="25" spans="1:34">
      <c r="A25" s="10" t="s">
        <v>5770</v>
      </c>
    </row>
    <row r="26" spans="1:34">
      <c r="A26" s="13" t="s">
        <v>5771</v>
      </c>
      <c r="B26">
        <v>1</v>
      </c>
      <c r="S26">
        <v>1</v>
      </c>
      <c r="AH26">
        <v>2</v>
      </c>
    </row>
    <row r="27" spans="1:34">
      <c r="A27" s="10" t="s">
        <v>5776</v>
      </c>
    </row>
    <row r="28" spans="1:34">
      <c r="A28" s="13" t="s">
        <v>5777</v>
      </c>
      <c r="B28">
        <v>1</v>
      </c>
      <c r="AH28">
        <v>1</v>
      </c>
    </row>
    <row r="29" spans="1:34">
      <c r="A29" s="10" t="s">
        <v>5779</v>
      </c>
    </row>
    <row r="30" spans="1:34">
      <c r="A30" s="13" t="s">
        <v>5780</v>
      </c>
      <c r="E30">
        <v>1</v>
      </c>
      <c r="AH30">
        <v>1</v>
      </c>
    </row>
    <row r="31" spans="1:34">
      <c r="A31" s="9" t="s">
        <v>505</v>
      </c>
    </row>
    <row r="32" spans="1:34">
      <c r="A32" s="10" t="s">
        <v>506</v>
      </c>
    </row>
    <row r="33" spans="1:34">
      <c r="A33" s="13" t="s">
        <v>507</v>
      </c>
      <c r="B33">
        <v>1</v>
      </c>
      <c r="I33">
        <v>1</v>
      </c>
      <c r="O33">
        <v>1</v>
      </c>
      <c r="AC33">
        <v>1</v>
      </c>
      <c r="AH33">
        <v>4</v>
      </c>
    </row>
    <row r="34" spans="1:34">
      <c r="A34" s="10" t="s">
        <v>523</v>
      </c>
    </row>
    <row r="35" spans="1:34">
      <c r="A35" s="13" t="s">
        <v>524</v>
      </c>
      <c r="B35">
        <v>3</v>
      </c>
      <c r="X35">
        <v>6</v>
      </c>
      <c r="AB35">
        <v>2</v>
      </c>
      <c r="AH35">
        <v>11</v>
      </c>
    </row>
    <row r="36" spans="1:34">
      <c r="A36" s="9" t="s">
        <v>5679</v>
      </c>
    </row>
    <row r="37" spans="1:34">
      <c r="A37" s="10" t="s">
        <v>5680</v>
      </c>
    </row>
    <row r="38" spans="1:34">
      <c r="A38" s="13" t="s">
        <v>5681</v>
      </c>
      <c r="K38">
        <v>1</v>
      </c>
      <c r="AH38">
        <v>1</v>
      </c>
    </row>
    <row r="39" spans="1:34">
      <c r="A39" s="13" t="s">
        <v>5685</v>
      </c>
      <c r="F39">
        <v>1</v>
      </c>
      <c r="AH39">
        <v>1</v>
      </c>
    </row>
    <row r="40" spans="1:34">
      <c r="A40" s="10" t="s">
        <v>5689</v>
      </c>
    </row>
    <row r="41" spans="1:34">
      <c r="A41" s="13" t="s">
        <v>5690</v>
      </c>
      <c r="B41">
        <v>1</v>
      </c>
      <c r="C41">
        <v>1</v>
      </c>
      <c r="E41">
        <v>1</v>
      </c>
      <c r="F41">
        <v>1</v>
      </c>
      <c r="J41">
        <v>1</v>
      </c>
      <c r="K41">
        <v>1</v>
      </c>
      <c r="AH41">
        <v>6</v>
      </c>
    </row>
    <row r="42" spans="1:34">
      <c r="A42" s="13" t="s">
        <v>5712</v>
      </c>
      <c r="B42">
        <v>1</v>
      </c>
      <c r="AH42">
        <v>1</v>
      </c>
    </row>
    <row r="43" spans="1:34">
      <c r="A43" s="10" t="s">
        <v>5716</v>
      </c>
    </row>
    <row r="44" spans="1:34">
      <c r="A44" s="13" t="s">
        <v>5717</v>
      </c>
      <c r="N44">
        <v>1</v>
      </c>
      <c r="AH44">
        <v>1</v>
      </c>
    </row>
    <row r="45" spans="1:34">
      <c r="A45" s="10" t="s">
        <v>5721</v>
      </c>
    </row>
    <row r="46" spans="1:34">
      <c r="A46" s="13" t="s">
        <v>5722</v>
      </c>
      <c r="P46">
        <v>1</v>
      </c>
      <c r="AH46">
        <v>1</v>
      </c>
    </row>
    <row r="47" spans="1:34">
      <c r="A47" s="9" t="s">
        <v>5785</v>
      </c>
      <c r="B47">
        <v>528</v>
      </c>
      <c r="C47">
        <v>297</v>
      </c>
      <c r="D47">
        <v>263</v>
      </c>
      <c r="E47">
        <v>254</v>
      </c>
      <c r="F47">
        <v>147</v>
      </c>
      <c r="G47">
        <v>116</v>
      </c>
      <c r="H47">
        <v>101</v>
      </c>
      <c r="I47">
        <v>92</v>
      </c>
      <c r="J47">
        <v>85</v>
      </c>
      <c r="K47">
        <v>80</v>
      </c>
      <c r="L47">
        <v>80</v>
      </c>
      <c r="M47">
        <v>65</v>
      </c>
      <c r="N47">
        <v>52</v>
      </c>
      <c r="O47">
        <v>50</v>
      </c>
      <c r="P47">
        <v>39</v>
      </c>
      <c r="Q47">
        <v>38</v>
      </c>
      <c r="R47">
        <v>32</v>
      </c>
      <c r="S47">
        <v>30</v>
      </c>
      <c r="T47">
        <v>25</v>
      </c>
      <c r="U47">
        <v>24</v>
      </c>
      <c r="V47">
        <v>21</v>
      </c>
      <c r="W47">
        <v>20</v>
      </c>
      <c r="X47">
        <v>19</v>
      </c>
      <c r="Y47">
        <v>18</v>
      </c>
      <c r="Z47">
        <v>17</v>
      </c>
      <c r="AA47">
        <v>17</v>
      </c>
      <c r="AB47">
        <v>14</v>
      </c>
      <c r="AC47">
        <v>14</v>
      </c>
      <c r="AD47">
        <v>11</v>
      </c>
      <c r="AE47">
        <v>11</v>
      </c>
      <c r="AF47">
        <v>11</v>
      </c>
      <c r="AG47">
        <v>3</v>
      </c>
      <c r="AH47">
        <v>2574</v>
      </c>
    </row>
  </sheetData>
  <phoneticPr fontId="2" type="noConversion"/>
  <conditionalFormatting pivot="1" sqref="B47:AE47 AG47">
    <cfRule type="dataBar" priority="2">
      <dataBar>
        <cfvo type="min"/>
        <cfvo type="max"/>
        <color rgb="FFFFB628"/>
      </dataBar>
      <extLst>
        <ext xmlns:x14="http://schemas.microsoft.com/office/spreadsheetml/2009/9/main" uri="{B025F937-C7B1-47D3-B67F-A62EFF666E3E}">
          <x14:id>{4AB1F7C6-41FA-574C-8AF3-79E830C792E1}</x14:id>
        </ext>
      </extLst>
    </cfRule>
  </conditionalFormatting>
  <conditionalFormatting pivot="1" sqref="AH7 AH8 AH10 AH9 AH11 AH13 AH12 AH15 AH14">
    <cfRule type="dataBar" priority="1">
      <dataBar>
        <cfvo type="min"/>
        <cfvo type="max"/>
        <color rgb="FF638EC6"/>
      </dataBar>
      <extLst>
        <ext xmlns:x14="http://schemas.microsoft.com/office/spreadsheetml/2009/9/main" uri="{B025F937-C7B1-47D3-B67F-A62EFF666E3E}">
          <x14:id>{FA44F4A5-12A9-1242-A699-1FCE3BB781D1}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4AB1F7C6-41FA-574C-8AF3-79E830C792E1}">
            <x14:dataBar minLength="0" maxLength="100" border="1" negativeBarBorderColorSameAsPositive="0">
              <x14:cfvo type="autoMin"/>
              <x14:cfvo type="autoMax"/>
              <x14:borderColor rgb="FFFFB628"/>
              <x14:negativeFillColor rgb="FFFF0000"/>
              <x14:negativeBorderColor rgb="FFFF0000"/>
              <x14:axisColor rgb="FF000000"/>
            </x14:dataBar>
          </x14:cfRule>
          <xm:sqref>B47:AE47 AG47</xm:sqref>
        </x14:conditionalFormatting>
        <x14:conditionalFormatting xmlns:xm="http://schemas.microsoft.com/office/excel/2006/main" pivot="1">
          <x14:cfRule type="dataBar" id="{FA44F4A5-12A9-1242-A699-1FCE3BB781D1}">
            <x14:dataBar minLength="0" maxLength="100" border="1" negativeBarBorderColorSameAsPositive="0">
              <x14:cfvo type="autoMin"/>
              <x14:cfvo type="autoMax"/>
              <x14:borderColor rgb="FF638EC6"/>
              <x14:negativeFillColor rgb="FFFF0000"/>
              <x14:negativeBorderColor rgb="FFFF0000"/>
              <x14:axisColor rgb="FF000000"/>
            </x14:dataBar>
          </x14:cfRule>
          <xm:sqref>AH7 AH8 AH10 AH9 AH11 AH13 AH12 AH15 AH14</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C1189-DCB5-564D-97F6-6B928722FA74}">
  <sheetPr>
    <tabColor theme="9" tint="0.79998168889431442"/>
  </sheetPr>
  <dimension ref="A4:R64"/>
  <sheetViews>
    <sheetView topLeftCell="BB3" zoomScale="86" workbookViewId="0">
      <selection activeCell="D43" sqref="D43"/>
    </sheetView>
  </sheetViews>
  <sheetFormatPr baseColWidth="10" defaultRowHeight="18"/>
  <cols>
    <col min="1" max="1" width="55.42578125" customWidth="1"/>
    <col min="2" max="2" width="22" bestFit="1" customWidth="1"/>
    <col min="3" max="3" width="6" bestFit="1" customWidth="1"/>
    <col min="4" max="4" width="9" bestFit="1" customWidth="1"/>
    <col min="5" max="5" width="8.7109375" bestFit="1" customWidth="1"/>
    <col min="6" max="6" width="32.85546875" bestFit="1" customWidth="1"/>
    <col min="7" max="7" width="6" bestFit="1" customWidth="1"/>
    <col min="8" max="8" width="9" bestFit="1" customWidth="1"/>
    <col min="9" max="9" width="11" bestFit="1" customWidth="1"/>
    <col min="10" max="10" width="31.28515625" bestFit="1" customWidth="1"/>
    <col min="11" max="11" width="6" bestFit="1" customWidth="1"/>
    <col min="12" max="12" width="9" bestFit="1" customWidth="1"/>
    <col min="14" max="14" width="22" bestFit="1" customWidth="1"/>
    <col min="15" max="15" width="6" bestFit="1" customWidth="1"/>
    <col min="16" max="16" width="9" bestFit="1" customWidth="1"/>
    <col min="17" max="17" width="8.7109375" bestFit="1" customWidth="1"/>
  </cols>
  <sheetData>
    <row r="4" spans="1:18">
      <c r="B4" s="12" t="s">
        <v>5794</v>
      </c>
      <c r="F4" s="12" t="s">
        <v>5794</v>
      </c>
      <c r="J4" s="12" t="s">
        <v>5795</v>
      </c>
      <c r="N4" s="12" t="s">
        <v>5796</v>
      </c>
    </row>
    <row r="5" spans="1:18" ht="23">
      <c r="A5" s="15" t="s">
        <v>5814</v>
      </c>
      <c r="B5" s="8" t="s">
        <v>5790</v>
      </c>
      <c r="C5" t="s">
        <v>5788</v>
      </c>
      <c r="D5" t="s">
        <v>5787</v>
      </c>
      <c r="F5" s="8" t="s">
        <v>5784</v>
      </c>
      <c r="G5" t="s">
        <v>5788</v>
      </c>
      <c r="H5" t="s">
        <v>5787</v>
      </c>
      <c r="J5" s="8" t="s">
        <v>5</v>
      </c>
      <c r="K5" t="s">
        <v>5788</v>
      </c>
      <c r="L5" t="s">
        <v>5787</v>
      </c>
      <c r="N5" s="8" t="s">
        <v>5784</v>
      </c>
      <c r="O5" t="s">
        <v>5788</v>
      </c>
      <c r="P5" t="s">
        <v>5787</v>
      </c>
      <c r="R5" t="s">
        <v>6071</v>
      </c>
    </row>
    <row r="6" spans="1:18">
      <c r="B6" t="s">
        <v>557</v>
      </c>
      <c r="C6">
        <v>39</v>
      </c>
      <c r="D6" s="11">
        <v>1.5151515151515152E-2</v>
      </c>
      <c r="F6" s="9" t="s">
        <v>19</v>
      </c>
      <c r="H6" s="11"/>
      <c r="I6" s="14"/>
      <c r="J6" t="s">
        <v>910</v>
      </c>
      <c r="K6">
        <v>129</v>
      </c>
      <c r="L6" s="11">
        <v>5.011655011655012E-2</v>
      </c>
      <c r="N6" s="9" t="s">
        <v>19</v>
      </c>
      <c r="O6">
        <v>528</v>
      </c>
      <c r="P6" s="11">
        <v>0.20512820512820512</v>
      </c>
    </row>
    <row r="7" spans="1:18">
      <c r="A7" t="s">
        <v>5817</v>
      </c>
      <c r="B7" t="s">
        <v>41</v>
      </c>
      <c r="C7">
        <v>147</v>
      </c>
      <c r="D7" s="11">
        <v>5.7109557109557112E-2</v>
      </c>
      <c r="F7" s="10" t="s">
        <v>266</v>
      </c>
      <c r="H7" s="11"/>
      <c r="I7" s="14"/>
      <c r="J7" t="s">
        <v>571</v>
      </c>
      <c r="K7">
        <v>129</v>
      </c>
      <c r="L7" s="11">
        <v>5.011655011655012E-2</v>
      </c>
      <c r="N7" s="9" t="s">
        <v>571</v>
      </c>
      <c r="O7">
        <v>297</v>
      </c>
      <c r="P7" s="11">
        <v>0.11538461538461539</v>
      </c>
    </row>
    <row r="8" spans="1:18">
      <c r="A8" t="s">
        <v>5819</v>
      </c>
      <c r="B8" t="s">
        <v>1312</v>
      </c>
      <c r="C8">
        <v>80</v>
      </c>
      <c r="D8" s="11">
        <v>3.108003108003108E-2</v>
      </c>
      <c r="F8" s="13" t="s">
        <v>36</v>
      </c>
      <c r="H8" s="11"/>
      <c r="I8" s="14"/>
      <c r="J8" t="s">
        <v>914</v>
      </c>
      <c r="K8">
        <v>118</v>
      </c>
      <c r="L8" s="11">
        <v>4.584304584304584E-2</v>
      </c>
      <c r="N8" s="9" t="s">
        <v>904</v>
      </c>
      <c r="O8">
        <v>263</v>
      </c>
      <c r="P8" s="11">
        <v>0.10217560217560218</v>
      </c>
    </row>
    <row r="9" spans="1:18">
      <c r="A9" t="s">
        <v>5818</v>
      </c>
      <c r="B9" t="s">
        <v>19</v>
      </c>
      <c r="C9">
        <v>528</v>
      </c>
      <c r="D9" s="11">
        <v>0.20512820512820512</v>
      </c>
      <c r="F9" s="132" t="s">
        <v>3127</v>
      </c>
      <c r="H9" s="11"/>
      <c r="I9" s="14"/>
      <c r="J9" t="s">
        <v>1017</v>
      </c>
      <c r="K9">
        <v>116</v>
      </c>
      <c r="L9" s="11">
        <v>4.5066045066045064E-2</v>
      </c>
      <c r="N9" s="9" t="s">
        <v>200</v>
      </c>
      <c r="O9">
        <v>254</v>
      </c>
      <c r="P9" s="11">
        <v>9.8679098679098673E-2</v>
      </c>
    </row>
    <row r="10" spans="1:18">
      <c r="A10" t="s">
        <v>5826</v>
      </c>
      <c r="B10" t="s">
        <v>200</v>
      </c>
      <c r="C10">
        <v>254</v>
      </c>
      <c r="D10" s="11">
        <v>9.8679098679098673E-2</v>
      </c>
      <c r="F10" s="133" t="s">
        <v>3247</v>
      </c>
      <c r="G10">
        <v>1</v>
      </c>
      <c r="H10" s="11">
        <v>3.885003885003885E-4</v>
      </c>
      <c r="I10" s="14"/>
      <c r="J10" t="s">
        <v>266</v>
      </c>
      <c r="K10">
        <v>114</v>
      </c>
      <c r="L10" s="11">
        <v>4.4289044289044288E-2</v>
      </c>
      <c r="N10" s="9" t="s">
        <v>41</v>
      </c>
      <c r="O10">
        <v>147</v>
      </c>
      <c r="P10" s="11">
        <v>5.7109557109557112E-2</v>
      </c>
    </row>
    <row r="11" spans="1:18">
      <c r="A11" t="s">
        <v>5827</v>
      </c>
      <c r="B11" t="s">
        <v>1730</v>
      </c>
      <c r="C11">
        <v>32</v>
      </c>
      <c r="D11" s="11">
        <v>1.2432012432012432E-2</v>
      </c>
      <c r="F11" s="132" t="s">
        <v>4600</v>
      </c>
      <c r="H11" s="11"/>
      <c r="I11" s="14"/>
      <c r="J11" t="s">
        <v>20</v>
      </c>
      <c r="K11">
        <v>104</v>
      </c>
      <c r="L11" s="11">
        <v>4.0404040404040407E-2</v>
      </c>
      <c r="N11" s="9" t="s">
        <v>1017</v>
      </c>
      <c r="O11">
        <v>116</v>
      </c>
      <c r="P11" s="11">
        <v>4.5066045066045064E-2</v>
      </c>
    </row>
    <row r="12" spans="1:18">
      <c r="B12" t="s">
        <v>956</v>
      </c>
      <c r="C12">
        <v>80</v>
      </c>
      <c r="D12" s="11">
        <v>3.108003108003108E-2</v>
      </c>
      <c r="F12" s="133" t="s">
        <v>5014</v>
      </c>
      <c r="G12">
        <v>1</v>
      </c>
      <c r="H12" s="11">
        <v>3.885003885003885E-4</v>
      </c>
      <c r="I12" s="14"/>
      <c r="J12" t="s">
        <v>519</v>
      </c>
      <c r="K12">
        <v>92</v>
      </c>
      <c r="L12" s="11">
        <v>3.5742035742035744E-2</v>
      </c>
      <c r="N12" s="9" t="s">
        <v>162</v>
      </c>
      <c r="O12">
        <v>101</v>
      </c>
      <c r="P12" s="11">
        <v>3.923853923853924E-2</v>
      </c>
    </row>
    <row r="13" spans="1:18">
      <c r="A13" t="s">
        <v>5829</v>
      </c>
      <c r="B13" t="s">
        <v>3336</v>
      </c>
      <c r="C13">
        <v>3</v>
      </c>
      <c r="D13" s="11">
        <v>1.1655011655011655E-3</v>
      </c>
      <c r="F13" s="13" t="s">
        <v>88</v>
      </c>
      <c r="G13">
        <v>21</v>
      </c>
      <c r="H13" s="11">
        <v>8.1585081585081581E-3</v>
      </c>
      <c r="I13" s="14"/>
      <c r="J13" t="s">
        <v>936</v>
      </c>
      <c r="K13">
        <v>90</v>
      </c>
      <c r="L13" s="11">
        <v>3.4965034965034968E-2</v>
      </c>
      <c r="N13" s="9" t="s">
        <v>519</v>
      </c>
      <c r="O13">
        <v>92</v>
      </c>
      <c r="P13" s="11">
        <v>3.5742035742035744E-2</v>
      </c>
    </row>
    <row r="14" spans="1:18">
      <c r="A14" t="s">
        <v>5830</v>
      </c>
      <c r="B14" t="s">
        <v>588</v>
      </c>
      <c r="C14">
        <v>52</v>
      </c>
      <c r="D14" s="11">
        <v>2.0202020202020204E-2</v>
      </c>
      <c r="F14" s="13" t="s">
        <v>31</v>
      </c>
      <c r="G14">
        <v>86</v>
      </c>
      <c r="H14" s="11">
        <v>3.3411033411033408E-2</v>
      </c>
      <c r="I14" s="14"/>
      <c r="J14" t="s">
        <v>233</v>
      </c>
      <c r="K14">
        <v>85</v>
      </c>
      <c r="L14" s="11">
        <v>3.3022533022533024E-2</v>
      </c>
      <c r="N14" s="9" t="s">
        <v>233</v>
      </c>
      <c r="O14">
        <v>85</v>
      </c>
      <c r="P14" s="11">
        <v>3.3022533022533024E-2</v>
      </c>
    </row>
    <row r="15" spans="1:18">
      <c r="A15" t="s">
        <v>5831</v>
      </c>
      <c r="B15" t="s">
        <v>1999</v>
      </c>
      <c r="C15">
        <v>11</v>
      </c>
      <c r="D15" s="11">
        <v>4.2735042735042739E-3</v>
      </c>
      <c r="F15" s="13" t="s">
        <v>193</v>
      </c>
      <c r="G15">
        <v>2</v>
      </c>
      <c r="H15" s="11">
        <v>7.77000777000777E-4</v>
      </c>
      <c r="I15" s="14"/>
      <c r="J15" t="s">
        <v>1312</v>
      </c>
      <c r="K15">
        <v>80</v>
      </c>
      <c r="L15" s="11">
        <v>3.108003108003108E-2</v>
      </c>
      <c r="N15" s="9" t="s">
        <v>1312</v>
      </c>
      <c r="O15">
        <v>80</v>
      </c>
      <c r="P15" s="11">
        <v>3.108003108003108E-2</v>
      </c>
    </row>
    <row r="16" spans="1:18">
      <c r="A16" t="s">
        <v>5832</v>
      </c>
      <c r="B16" t="s">
        <v>1533</v>
      </c>
      <c r="C16">
        <v>24</v>
      </c>
      <c r="D16" s="11">
        <v>9.324009324009324E-3</v>
      </c>
      <c r="F16" s="13" t="s">
        <v>223</v>
      </c>
      <c r="G16">
        <v>2</v>
      </c>
      <c r="H16" s="11">
        <v>7.77000777000777E-4</v>
      </c>
      <c r="I16" s="14"/>
      <c r="J16" t="s">
        <v>59</v>
      </c>
      <c r="K16">
        <v>80</v>
      </c>
      <c r="L16" s="11">
        <v>3.108003108003108E-2</v>
      </c>
      <c r="N16" s="9" t="s">
        <v>956</v>
      </c>
      <c r="O16">
        <v>80</v>
      </c>
      <c r="P16" s="11">
        <v>3.108003108003108E-2</v>
      </c>
    </row>
    <row r="17" spans="2:16">
      <c r="B17" t="s">
        <v>904</v>
      </c>
      <c r="C17">
        <v>263</v>
      </c>
      <c r="D17" s="11">
        <v>0.10217560217560218</v>
      </c>
      <c r="F17" s="13" t="s">
        <v>418</v>
      </c>
      <c r="G17">
        <v>1</v>
      </c>
      <c r="H17" s="11">
        <v>3.885003885003885E-4</v>
      </c>
      <c r="I17" s="14"/>
      <c r="J17" t="s">
        <v>956</v>
      </c>
      <c r="K17">
        <v>80</v>
      </c>
      <c r="L17" s="11">
        <v>3.108003108003108E-2</v>
      </c>
      <c r="N17" s="9" t="s">
        <v>64</v>
      </c>
      <c r="O17">
        <v>65</v>
      </c>
      <c r="P17" s="11">
        <v>2.5252525252525252E-2</v>
      </c>
    </row>
    <row r="18" spans="2:16">
      <c r="B18" t="s">
        <v>132</v>
      </c>
      <c r="C18">
        <v>19</v>
      </c>
      <c r="D18" s="11">
        <v>7.3815073815073819E-3</v>
      </c>
      <c r="F18" s="10" t="s">
        <v>20</v>
      </c>
      <c r="G18">
        <v>104</v>
      </c>
      <c r="H18" s="11">
        <v>4.0404040404040407E-2</v>
      </c>
      <c r="I18" s="14"/>
      <c r="J18" t="s">
        <v>114</v>
      </c>
      <c r="K18">
        <v>76</v>
      </c>
      <c r="L18" s="11">
        <v>2.9526029526029528E-2</v>
      </c>
      <c r="N18" s="9" t="s">
        <v>588</v>
      </c>
      <c r="O18">
        <v>52</v>
      </c>
      <c r="P18" s="11">
        <v>2.0202020202020204E-2</v>
      </c>
    </row>
    <row r="19" spans="2:16">
      <c r="B19" t="s">
        <v>851</v>
      </c>
      <c r="C19">
        <v>11</v>
      </c>
      <c r="D19" s="11">
        <v>4.2735042735042739E-3</v>
      </c>
      <c r="F19" s="10" t="s">
        <v>114</v>
      </c>
      <c r="G19">
        <v>76</v>
      </c>
      <c r="H19" s="11">
        <v>2.9526029526029528E-2</v>
      </c>
      <c r="I19" s="14"/>
      <c r="J19" t="s">
        <v>1344</v>
      </c>
      <c r="K19">
        <v>70</v>
      </c>
      <c r="L19" s="11">
        <v>2.7195027195027196E-2</v>
      </c>
      <c r="N19" s="9" t="s">
        <v>70</v>
      </c>
      <c r="O19">
        <v>50</v>
      </c>
      <c r="P19" s="11">
        <v>1.9425019425019424E-2</v>
      </c>
    </row>
    <row r="20" spans="2:16">
      <c r="B20" t="s">
        <v>1358</v>
      </c>
      <c r="C20">
        <v>17</v>
      </c>
      <c r="D20" s="11">
        <v>6.6045066045066049E-3</v>
      </c>
      <c r="F20" s="10" t="s">
        <v>28</v>
      </c>
      <c r="G20">
        <v>61</v>
      </c>
      <c r="H20" s="11">
        <v>2.36985236985237E-2</v>
      </c>
      <c r="I20" s="14"/>
      <c r="J20" t="s">
        <v>1093</v>
      </c>
      <c r="K20">
        <v>70</v>
      </c>
      <c r="L20" s="11">
        <v>2.7195027195027196E-2</v>
      </c>
      <c r="N20" s="9" t="s">
        <v>557</v>
      </c>
      <c r="O20">
        <v>39</v>
      </c>
      <c r="P20" s="11">
        <v>1.5151515151515152E-2</v>
      </c>
    </row>
    <row r="21" spans="2:16">
      <c r="B21" t="s">
        <v>716</v>
      </c>
      <c r="C21">
        <v>18</v>
      </c>
      <c r="D21" s="11">
        <v>6.993006993006993E-3</v>
      </c>
      <c r="F21" s="10" t="s">
        <v>1056</v>
      </c>
      <c r="G21">
        <v>32</v>
      </c>
      <c r="H21" s="11">
        <v>1.2432012432012432E-2</v>
      </c>
      <c r="I21" s="14"/>
      <c r="J21" t="s">
        <v>244</v>
      </c>
      <c r="K21">
        <v>69</v>
      </c>
      <c r="L21" s="11">
        <v>2.6806526806526808E-2</v>
      </c>
      <c r="N21" s="9" t="s">
        <v>52</v>
      </c>
      <c r="O21">
        <v>38</v>
      </c>
      <c r="P21" s="11">
        <v>1.4763014763014764E-2</v>
      </c>
    </row>
    <row r="22" spans="2:16">
      <c r="B22" t="s">
        <v>52</v>
      </c>
      <c r="C22">
        <v>38</v>
      </c>
      <c r="D22" s="11">
        <v>1.4763014763014764E-2</v>
      </c>
      <c r="F22" s="10" t="s">
        <v>123</v>
      </c>
      <c r="G22">
        <v>32</v>
      </c>
      <c r="H22" s="11">
        <v>1.2432012432012432E-2</v>
      </c>
      <c r="I22" s="14"/>
      <c r="J22" t="s">
        <v>42</v>
      </c>
      <c r="K22">
        <v>67</v>
      </c>
      <c r="L22" s="11">
        <v>2.6029526029526028E-2</v>
      </c>
      <c r="N22" s="9" t="s">
        <v>1730</v>
      </c>
      <c r="O22">
        <v>32</v>
      </c>
      <c r="P22" s="11">
        <v>1.2432012432012432E-2</v>
      </c>
    </row>
    <row r="23" spans="2:16">
      <c r="B23" t="s">
        <v>443</v>
      </c>
      <c r="C23">
        <v>17</v>
      </c>
      <c r="D23" s="11">
        <v>6.6045066045066049E-3</v>
      </c>
      <c r="F23" s="10" t="s">
        <v>227</v>
      </c>
      <c r="G23">
        <v>30</v>
      </c>
      <c r="H23" s="11">
        <v>1.1655011655011656E-2</v>
      </c>
      <c r="I23" s="14"/>
      <c r="J23" t="s">
        <v>64</v>
      </c>
      <c r="K23">
        <v>65</v>
      </c>
      <c r="L23" s="11">
        <v>2.5252525252525252E-2</v>
      </c>
      <c r="N23" s="9" t="s">
        <v>196</v>
      </c>
      <c r="O23">
        <v>30</v>
      </c>
      <c r="P23" s="11">
        <v>1.1655011655011656E-2</v>
      </c>
    </row>
    <row r="24" spans="2:16">
      <c r="B24" t="s">
        <v>571</v>
      </c>
      <c r="C24">
        <v>297</v>
      </c>
      <c r="D24" s="11">
        <v>0.11538461538461539</v>
      </c>
      <c r="F24" s="10" t="s">
        <v>580</v>
      </c>
      <c r="G24">
        <v>22</v>
      </c>
      <c r="H24" s="11">
        <v>8.5470085470085479E-3</v>
      </c>
      <c r="I24" s="14"/>
      <c r="J24" t="s">
        <v>620</v>
      </c>
      <c r="K24">
        <v>63</v>
      </c>
      <c r="L24" s="11">
        <v>2.4475524475524476E-2</v>
      </c>
      <c r="N24" s="9" t="s">
        <v>650</v>
      </c>
      <c r="O24">
        <v>25</v>
      </c>
      <c r="P24" s="11">
        <v>9.7125097125097121E-3</v>
      </c>
    </row>
    <row r="25" spans="2:16">
      <c r="B25" t="s">
        <v>1017</v>
      </c>
      <c r="C25">
        <v>116</v>
      </c>
      <c r="D25" s="11">
        <v>4.5066045066045064E-2</v>
      </c>
      <c r="F25" s="10" t="s">
        <v>1232</v>
      </c>
      <c r="G25">
        <v>21</v>
      </c>
      <c r="H25" s="11">
        <v>8.1585081585081581E-3</v>
      </c>
      <c r="I25" s="14"/>
      <c r="J25" t="s">
        <v>28</v>
      </c>
      <c r="K25">
        <v>61</v>
      </c>
      <c r="L25" s="11">
        <v>2.36985236985237E-2</v>
      </c>
      <c r="N25" s="9" t="s">
        <v>1533</v>
      </c>
      <c r="O25">
        <v>24</v>
      </c>
      <c r="P25" s="11">
        <v>9.324009324009324E-3</v>
      </c>
    </row>
    <row r="26" spans="2:16">
      <c r="B26" t="s">
        <v>650</v>
      </c>
      <c r="C26">
        <v>25</v>
      </c>
      <c r="D26" s="11">
        <v>9.7125097125097121E-3</v>
      </c>
      <c r="F26" s="10" t="s">
        <v>612</v>
      </c>
      <c r="G26">
        <v>15</v>
      </c>
      <c r="H26" s="11">
        <v>5.8275058275058279E-3</v>
      </c>
      <c r="J26" t="s">
        <v>70</v>
      </c>
      <c r="K26">
        <v>50</v>
      </c>
      <c r="L26" s="11">
        <v>1.9425019425019424E-2</v>
      </c>
      <c r="N26" s="9" t="s">
        <v>1163</v>
      </c>
      <c r="O26">
        <v>21</v>
      </c>
      <c r="P26" s="11">
        <v>8.1585081585081581E-3</v>
      </c>
    </row>
    <row r="27" spans="2:16">
      <c r="B27" t="s">
        <v>519</v>
      </c>
      <c r="C27">
        <v>92</v>
      </c>
      <c r="D27" s="11">
        <v>3.5742035742035744E-2</v>
      </c>
      <c r="F27" s="10" t="s">
        <v>873</v>
      </c>
      <c r="G27">
        <v>14</v>
      </c>
      <c r="H27" s="11">
        <v>5.439005439005439E-3</v>
      </c>
      <c r="J27" t="s">
        <v>588</v>
      </c>
      <c r="K27">
        <v>47</v>
      </c>
      <c r="L27" s="11">
        <v>1.825951825951826E-2</v>
      </c>
      <c r="N27" s="9" t="s">
        <v>108</v>
      </c>
      <c r="O27">
        <v>20</v>
      </c>
      <c r="P27" s="11">
        <v>7.77000777000777E-3</v>
      </c>
    </row>
    <row r="28" spans="2:16">
      <c r="B28" t="s">
        <v>108</v>
      </c>
      <c r="C28">
        <v>20</v>
      </c>
      <c r="D28" s="11">
        <v>7.77000777000777E-3</v>
      </c>
      <c r="F28" s="10" t="s">
        <v>2568</v>
      </c>
      <c r="G28">
        <v>7</v>
      </c>
      <c r="H28" s="11">
        <v>2.7195027195027195E-3</v>
      </c>
      <c r="J28" t="s">
        <v>557</v>
      </c>
      <c r="K28">
        <v>39</v>
      </c>
      <c r="L28" s="11">
        <v>1.5151515151515152E-2</v>
      </c>
      <c r="N28" s="9" t="s">
        <v>132</v>
      </c>
      <c r="O28">
        <v>19</v>
      </c>
      <c r="P28" s="11">
        <v>7.3815073815073819E-3</v>
      </c>
    </row>
    <row r="29" spans="2:16">
      <c r="B29" t="s">
        <v>1163</v>
      </c>
      <c r="C29">
        <v>21</v>
      </c>
      <c r="D29" s="11">
        <v>8.1585081585081581E-3</v>
      </c>
      <c r="F29" s="9" t="s">
        <v>571</v>
      </c>
      <c r="G29">
        <v>297</v>
      </c>
      <c r="H29" s="11">
        <v>0.11538461538461539</v>
      </c>
      <c r="J29" t="s">
        <v>52</v>
      </c>
      <c r="K29">
        <v>38</v>
      </c>
      <c r="L29" s="11">
        <v>1.4763014763014764E-2</v>
      </c>
      <c r="N29" s="9" t="s">
        <v>716</v>
      </c>
      <c r="O29">
        <v>18</v>
      </c>
      <c r="P29" s="11">
        <v>6.993006993006993E-3</v>
      </c>
    </row>
    <row r="30" spans="2:16">
      <c r="B30" t="s">
        <v>444</v>
      </c>
      <c r="C30">
        <v>14</v>
      </c>
      <c r="D30" s="11">
        <v>5.439005439005439E-3</v>
      </c>
      <c r="F30" s="9" t="s">
        <v>904</v>
      </c>
      <c r="G30">
        <v>263</v>
      </c>
      <c r="H30" s="11">
        <v>0.10217560217560218</v>
      </c>
      <c r="J30" t="s">
        <v>288</v>
      </c>
      <c r="K30">
        <v>38</v>
      </c>
      <c r="L30" s="11">
        <v>1.4763014763014764E-2</v>
      </c>
      <c r="N30" s="9" t="s">
        <v>443</v>
      </c>
      <c r="O30">
        <v>17</v>
      </c>
      <c r="P30" s="11">
        <v>6.6045066045066049E-3</v>
      </c>
    </row>
    <row r="31" spans="2:16">
      <c r="B31" t="s">
        <v>534</v>
      </c>
      <c r="C31">
        <v>14</v>
      </c>
      <c r="D31" s="11">
        <v>5.439005439005439E-3</v>
      </c>
      <c r="F31" s="9" t="s">
        <v>200</v>
      </c>
      <c r="G31">
        <v>254</v>
      </c>
      <c r="H31" s="11">
        <v>9.8679098679098673E-2</v>
      </c>
      <c r="J31" t="s">
        <v>1056</v>
      </c>
      <c r="K31">
        <v>32</v>
      </c>
      <c r="L31" s="11">
        <v>1.2432012432012432E-2</v>
      </c>
      <c r="N31" s="9" t="s">
        <v>1358</v>
      </c>
      <c r="O31">
        <v>17</v>
      </c>
      <c r="P31" s="11">
        <v>6.6045066045066049E-3</v>
      </c>
    </row>
    <row r="32" spans="2:16">
      <c r="B32" t="s">
        <v>233</v>
      </c>
      <c r="C32">
        <v>85</v>
      </c>
      <c r="D32" s="11">
        <v>3.3022533022533024E-2</v>
      </c>
      <c r="F32" s="9" t="s">
        <v>41</v>
      </c>
      <c r="G32">
        <v>147</v>
      </c>
      <c r="H32" s="11">
        <v>5.7109557109557112E-2</v>
      </c>
      <c r="J32" t="s">
        <v>123</v>
      </c>
      <c r="K32">
        <v>32</v>
      </c>
      <c r="L32" s="11">
        <v>1.2432012432012432E-2</v>
      </c>
      <c r="N32" s="9" t="s">
        <v>534</v>
      </c>
      <c r="O32">
        <v>14</v>
      </c>
      <c r="P32" s="11">
        <v>5.439005439005439E-3</v>
      </c>
    </row>
    <row r="33" spans="2:16">
      <c r="B33" t="s">
        <v>162</v>
      </c>
      <c r="C33">
        <v>101</v>
      </c>
      <c r="D33" s="11">
        <v>3.923853923853924E-2</v>
      </c>
      <c r="F33" s="9" t="s">
        <v>1017</v>
      </c>
      <c r="G33">
        <v>116</v>
      </c>
      <c r="H33" s="11">
        <v>4.5066045066045064E-2</v>
      </c>
      <c r="J33" t="s">
        <v>1730</v>
      </c>
      <c r="K33">
        <v>32</v>
      </c>
      <c r="L33" s="11">
        <v>1.2432012432012432E-2</v>
      </c>
      <c r="N33" s="9" t="s">
        <v>444</v>
      </c>
      <c r="O33">
        <v>14</v>
      </c>
      <c r="P33" s="11">
        <v>5.439005439005439E-3</v>
      </c>
    </row>
    <row r="34" spans="2:16">
      <c r="B34" t="s">
        <v>64</v>
      </c>
      <c r="C34">
        <v>65</v>
      </c>
      <c r="D34" s="11">
        <v>2.5252525252525252E-2</v>
      </c>
      <c r="F34" s="9" t="s">
        <v>162</v>
      </c>
      <c r="G34">
        <v>101</v>
      </c>
      <c r="H34" s="11">
        <v>3.923853923853924E-2</v>
      </c>
      <c r="J34" t="s">
        <v>163</v>
      </c>
      <c r="K34">
        <v>32</v>
      </c>
      <c r="L34" s="11">
        <v>1.2432012432012432E-2</v>
      </c>
      <c r="N34" s="9" t="s">
        <v>851</v>
      </c>
      <c r="O34">
        <v>11</v>
      </c>
      <c r="P34" s="11">
        <v>4.2735042735042739E-3</v>
      </c>
    </row>
    <row r="35" spans="2:16">
      <c r="B35" t="s">
        <v>70</v>
      </c>
      <c r="C35">
        <v>50</v>
      </c>
      <c r="D35" s="11">
        <v>1.9425019425019424E-2</v>
      </c>
      <c r="F35" s="9" t="s">
        <v>519</v>
      </c>
      <c r="G35">
        <v>92</v>
      </c>
      <c r="H35" s="11">
        <v>3.5742035742035744E-2</v>
      </c>
      <c r="J35" t="s">
        <v>810</v>
      </c>
      <c r="K35">
        <v>31</v>
      </c>
      <c r="L35" s="11">
        <v>1.2043512043512044E-2</v>
      </c>
      <c r="N35" s="9" t="s">
        <v>1995</v>
      </c>
      <c r="O35">
        <v>11</v>
      </c>
      <c r="P35" s="11">
        <v>4.2735042735042739E-3</v>
      </c>
    </row>
    <row r="36" spans="2:16">
      <c r="B36" t="s">
        <v>196</v>
      </c>
      <c r="C36">
        <v>30</v>
      </c>
      <c r="D36" s="11">
        <v>1.1655011655011656E-2</v>
      </c>
      <c r="F36" s="9" t="s">
        <v>233</v>
      </c>
      <c r="G36">
        <v>85</v>
      </c>
      <c r="H36" s="11">
        <v>3.3022533022533024E-2</v>
      </c>
      <c r="J36" t="s">
        <v>196</v>
      </c>
      <c r="K36">
        <v>30</v>
      </c>
      <c r="L36" s="11">
        <v>1.1655011655011656E-2</v>
      </c>
      <c r="N36" s="9" t="s">
        <v>1999</v>
      </c>
      <c r="O36">
        <v>11</v>
      </c>
      <c r="P36" s="11">
        <v>4.2735042735042739E-3</v>
      </c>
    </row>
    <row r="37" spans="2:16">
      <c r="B37" t="s">
        <v>1995</v>
      </c>
      <c r="C37">
        <v>11</v>
      </c>
      <c r="D37" s="11">
        <v>4.2735042735042739E-3</v>
      </c>
      <c r="F37" s="9" t="s">
        <v>1312</v>
      </c>
      <c r="G37">
        <v>80</v>
      </c>
      <c r="H37" s="11">
        <v>3.108003108003108E-2</v>
      </c>
      <c r="J37" t="s">
        <v>227</v>
      </c>
      <c r="K37">
        <v>30</v>
      </c>
      <c r="L37" s="11">
        <v>1.1655011655011656E-2</v>
      </c>
      <c r="N37" s="9" t="s">
        <v>3336</v>
      </c>
      <c r="O37">
        <v>3</v>
      </c>
      <c r="P37" s="11">
        <v>1.1655011655011655E-3</v>
      </c>
    </row>
    <row r="38" spans="2:16">
      <c r="B38" t="s">
        <v>5785</v>
      </c>
      <c r="C38">
        <v>2574</v>
      </c>
      <c r="D38" s="11">
        <v>1</v>
      </c>
      <c r="F38" s="9" t="s">
        <v>956</v>
      </c>
      <c r="G38">
        <v>80</v>
      </c>
      <c r="H38" s="11">
        <v>3.108003108003108E-2</v>
      </c>
      <c r="J38" t="s">
        <v>650</v>
      </c>
      <c r="K38">
        <v>25</v>
      </c>
      <c r="L38" s="11">
        <v>9.7125097125097121E-3</v>
      </c>
      <c r="N38" s="9" t="s">
        <v>5785</v>
      </c>
      <c r="O38">
        <v>2574</v>
      </c>
      <c r="P38" s="11">
        <v>1</v>
      </c>
    </row>
    <row r="39" spans="2:16">
      <c r="F39" s="9" t="s">
        <v>64</v>
      </c>
      <c r="G39">
        <v>65</v>
      </c>
      <c r="H39" s="11">
        <v>2.5252525252525252E-2</v>
      </c>
      <c r="J39" t="s">
        <v>1533</v>
      </c>
      <c r="K39">
        <v>24</v>
      </c>
      <c r="L39" s="11">
        <v>9.324009324009324E-3</v>
      </c>
    </row>
    <row r="40" spans="2:16">
      <c r="F40" s="9" t="s">
        <v>588</v>
      </c>
      <c r="G40">
        <v>52</v>
      </c>
      <c r="H40" s="11">
        <v>2.0202020202020204E-2</v>
      </c>
      <c r="J40" t="s">
        <v>905</v>
      </c>
      <c r="K40">
        <v>23</v>
      </c>
      <c r="L40" s="11">
        <v>8.9355089355089359E-3</v>
      </c>
    </row>
    <row r="41" spans="2:16">
      <c r="F41" s="9" t="s">
        <v>70</v>
      </c>
      <c r="G41">
        <v>50</v>
      </c>
      <c r="H41" s="11">
        <v>1.9425019425019424E-2</v>
      </c>
      <c r="J41" t="s">
        <v>580</v>
      </c>
      <c r="K41">
        <v>22</v>
      </c>
      <c r="L41" s="11">
        <v>8.5470085470085479E-3</v>
      </c>
    </row>
    <row r="42" spans="2:16">
      <c r="F42" s="9" t="s">
        <v>557</v>
      </c>
      <c r="G42">
        <v>39</v>
      </c>
      <c r="H42" s="11">
        <v>1.5151515151515152E-2</v>
      </c>
      <c r="J42" t="s">
        <v>987</v>
      </c>
      <c r="K42">
        <v>21</v>
      </c>
      <c r="L42" s="11">
        <v>8.1585081585081581E-3</v>
      </c>
    </row>
    <row r="43" spans="2:16">
      <c r="F43" s="9" t="s">
        <v>52</v>
      </c>
      <c r="G43">
        <v>38</v>
      </c>
      <c r="H43" s="11">
        <v>1.4763014763014764E-2</v>
      </c>
      <c r="J43" t="s">
        <v>1163</v>
      </c>
      <c r="K43">
        <v>21</v>
      </c>
      <c r="L43" s="11">
        <v>8.1585081585081581E-3</v>
      </c>
    </row>
    <row r="44" spans="2:16">
      <c r="F44" s="9" t="s">
        <v>1730</v>
      </c>
      <c r="G44">
        <v>32</v>
      </c>
      <c r="H44" s="11">
        <v>1.2432012432012432E-2</v>
      </c>
      <c r="J44" t="s">
        <v>1232</v>
      </c>
      <c r="K44">
        <v>21</v>
      </c>
      <c r="L44" s="11">
        <v>8.1585081585081581E-3</v>
      </c>
    </row>
    <row r="45" spans="2:16">
      <c r="F45" s="9" t="s">
        <v>196</v>
      </c>
      <c r="G45">
        <v>30</v>
      </c>
      <c r="H45" s="11">
        <v>1.1655011655011656E-2</v>
      </c>
      <c r="J45" t="s">
        <v>108</v>
      </c>
      <c r="K45">
        <v>20</v>
      </c>
      <c r="L45" s="11">
        <v>7.77000777000777E-3</v>
      </c>
    </row>
    <row r="46" spans="2:16">
      <c r="F46" s="9" t="s">
        <v>650</v>
      </c>
      <c r="G46">
        <v>25</v>
      </c>
      <c r="H46" s="11">
        <v>9.7125097125097121E-3</v>
      </c>
      <c r="J46" t="s">
        <v>132</v>
      </c>
      <c r="K46">
        <v>19</v>
      </c>
      <c r="L46" s="11">
        <v>7.3815073815073819E-3</v>
      </c>
    </row>
    <row r="47" spans="2:16">
      <c r="F47" s="9" t="s">
        <v>1533</v>
      </c>
      <c r="G47">
        <v>24</v>
      </c>
      <c r="H47" s="11">
        <v>9.324009324009324E-3</v>
      </c>
      <c r="J47" t="s">
        <v>443</v>
      </c>
      <c r="K47">
        <v>18</v>
      </c>
      <c r="L47" s="11">
        <v>6.993006993006993E-3</v>
      </c>
    </row>
    <row r="48" spans="2:16">
      <c r="F48" s="9" t="s">
        <v>1163</v>
      </c>
      <c r="G48">
        <v>21</v>
      </c>
      <c r="H48" s="11">
        <v>8.1585081585081581E-3</v>
      </c>
      <c r="J48" t="s">
        <v>716</v>
      </c>
      <c r="K48">
        <v>18</v>
      </c>
      <c r="L48" s="11">
        <v>6.993006993006993E-3</v>
      </c>
    </row>
    <row r="49" spans="6:12">
      <c r="F49" s="9" t="s">
        <v>108</v>
      </c>
      <c r="G49">
        <v>20</v>
      </c>
      <c r="H49" s="11">
        <v>7.77000777000777E-3</v>
      </c>
      <c r="J49" t="s">
        <v>1358</v>
      </c>
      <c r="K49">
        <v>17</v>
      </c>
      <c r="L49" s="11">
        <v>6.6045066045066049E-3</v>
      </c>
    </row>
    <row r="50" spans="6:12">
      <c r="F50" s="9" t="s">
        <v>132</v>
      </c>
      <c r="G50">
        <v>19</v>
      </c>
      <c r="H50" s="11">
        <v>7.3815073815073819E-3</v>
      </c>
      <c r="J50" t="s">
        <v>3142</v>
      </c>
      <c r="K50">
        <v>17</v>
      </c>
      <c r="L50" s="11">
        <v>6.6045066045066049E-3</v>
      </c>
    </row>
    <row r="51" spans="6:12">
      <c r="F51" s="9" t="s">
        <v>716</v>
      </c>
      <c r="G51">
        <v>18</v>
      </c>
      <c r="H51" s="11">
        <v>6.993006993006993E-3</v>
      </c>
      <c r="J51" t="s">
        <v>612</v>
      </c>
      <c r="K51">
        <v>15</v>
      </c>
      <c r="L51" s="11">
        <v>5.8275058275058279E-3</v>
      </c>
    </row>
    <row r="52" spans="6:12">
      <c r="F52" s="9" t="s">
        <v>443</v>
      </c>
      <c r="G52">
        <v>17</v>
      </c>
      <c r="H52" s="11">
        <v>6.6045066045066049E-3</v>
      </c>
      <c r="J52" t="s">
        <v>873</v>
      </c>
      <c r="K52">
        <v>14</v>
      </c>
      <c r="L52" s="11">
        <v>5.439005439005439E-3</v>
      </c>
    </row>
    <row r="53" spans="6:12">
      <c r="F53" s="9" t="s">
        <v>1358</v>
      </c>
      <c r="G53">
        <v>17</v>
      </c>
      <c r="H53" s="11">
        <v>6.6045066045066049E-3</v>
      </c>
      <c r="J53" t="s">
        <v>444</v>
      </c>
      <c r="K53">
        <v>13</v>
      </c>
      <c r="L53" s="11">
        <v>5.0505050505050509E-3</v>
      </c>
    </row>
    <row r="54" spans="6:12">
      <c r="F54" s="9" t="s">
        <v>534</v>
      </c>
      <c r="G54">
        <v>14</v>
      </c>
      <c r="H54" s="11">
        <v>5.439005439005439E-3</v>
      </c>
      <c r="J54" t="s">
        <v>1722</v>
      </c>
      <c r="K54">
        <v>11</v>
      </c>
      <c r="L54" s="11">
        <v>4.2735042735042739E-3</v>
      </c>
    </row>
    <row r="55" spans="6:12">
      <c r="F55" s="9" t="s">
        <v>444</v>
      </c>
      <c r="G55">
        <v>14</v>
      </c>
      <c r="H55" s="11">
        <v>5.439005439005439E-3</v>
      </c>
      <c r="J55" t="s">
        <v>851</v>
      </c>
      <c r="K55">
        <v>11</v>
      </c>
      <c r="L55" s="11">
        <v>4.2735042735042739E-3</v>
      </c>
    </row>
    <row r="56" spans="6:12">
      <c r="F56" s="9" t="s">
        <v>851</v>
      </c>
      <c r="G56">
        <v>11</v>
      </c>
      <c r="H56" s="11">
        <v>4.2735042735042739E-3</v>
      </c>
      <c r="J56" t="s">
        <v>1999</v>
      </c>
      <c r="K56">
        <v>11</v>
      </c>
      <c r="L56" s="11">
        <v>4.2735042735042739E-3</v>
      </c>
    </row>
    <row r="57" spans="6:12">
      <c r="F57" s="9" t="s">
        <v>1995</v>
      </c>
      <c r="G57">
        <v>11</v>
      </c>
      <c r="H57" s="11">
        <v>4.2735042735042739E-3</v>
      </c>
      <c r="J57" t="s">
        <v>2180</v>
      </c>
      <c r="K57">
        <v>11</v>
      </c>
      <c r="L57" s="11">
        <v>4.2735042735042739E-3</v>
      </c>
    </row>
    <row r="58" spans="6:12">
      <c r="F58" s="9" t="s">
        <v>1999</v>
      </c>
      <c r="G58">
        <v>11</v>
      </c>
      <c r="H58" s="11">
        <v>4.2735042735042739E-3</v>
      </c>
      <c r="J58" t="s">
        <v>543</v>
      </c>
      <c r="K58">
        <v>8</v>
      </c>
      <c r="L58" s="11">
        <v>3.108003108003108E-3</v>
      </c>
    </row>
    <row r="59" spans="6:12">
      <c r="F59" s="9" t="s">
        <v>3336</v>
      </c>
      <c r="G59">
        <v>3</v>
      </c>
      <c r="H59" s="11">
        <v>1.1655011655011655E-3</v>
      </c>
      <c r="J59" t="s">
        <v>2568</v>
      </c>
      <c r="K59">
        <v>7</v>
      </c>
      <c r="L59" s="11">
        <v>2.7195027195027195E-3</v>
      </c>
    </row>
    <row r="60" spans="6:12">
      <c r="F60" s="9" t="s">
        <v>5785</v>
      </c>
      <c r="G60">
        <v>2574</v>
      </c>
      <c r="H60" s="11">
        <v>1</v>
      </c>
      <c r="J60" t="s">
        <v>535</v>
      </c>
      <c r="K60">
        <v>6</v>
      </c>
      <c r="L60" s="11">
        <v>2.331002331002331E-3</v>
      </c>
    </row>
    <row r="61" spans="6:12">
      <c r="J61" t="s">
        <v>1407</v>
      </c>
      <c r="K61">
        <v>5</v>
      </c>
      <c r="L61" s="11">
        <v>1.9425019425019425E-3</v>
      </c>
    </row>
    <row r="62" spans="6:12">
      <c r="J62" t="s">
        <v>201</v>
      </c>
      <c r="K62">
        <v>4</v>
      </c>
      <c r="L62" s="11">
        <v>1.554001554001554E-3</v>
      </c>
    </row>
    <row r="63" spans="6:12">
      <c r="J63" t="s">
        <v>3336</v>
      </c>
      <c r="K63">
        <v>3</v>
      </c>
      <c r="L63" s="11">
        <v>1.1655011655011655E-3</v>
      </c>
    </row>
    <row r="64" spans="6:12">
      <c r="J64" t="s">
        <v>5785</v>
      </c>
      <c r="K64">
        <v>2574</v>
      </c>
      <c r="L64" s="11">
        <v>1</v>
      </c>
    </row>
  </sheetData>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3EB42-AA3A-464C-8FB2-03D83A28319D}">
  <sheetPr>
    <tabColor theme="9" tint="0.79998168889431442"/>
  </sheetPr>
  <dimension ref="B2:H64"/>
  <sheetViews>
    <sheetView zoomScale="68" workbookViewId="0">
      <selection activeCell="B4" sqref="B4:B33"/>
    </sheetView>
  </sheetViews>
  <sheetFormatPr baseColWidth="10" defaultRowHeight="18"/>
  <cols>
    <col min="1" max="1" width="6" customWidth="1"/>
    <col min="2" max="2" width="37.42578125" bestFit="1" customWidth="1"/>
    <col min="3" max="3" width="26.5703125" bestFit="1" customWidth="1"/>
    <col min="4" max="4" width="9.5703125" bestFit="1" customWidth="1"/>
    <col min="5" max="5" width="8.85546875" customWidth="1"/>
    <col min="6" max="6" width="35.140625" bestFit="1" customWidth="1"/>
    <col min="7" max="7" width="26.5703125" bestFit="1" customWidth="1"/>
    <col min="8" max="8" width="9.5703125" bestFit="1" customWidth="1"/>
    <col min="9" max="38" width="25.140625" bestFit="1" customWidth="1"/>
  </cols>
  <sheetData>
    <row r="2" spans="2:8">
      <c r="B2" s="12" t="s">
        <v>5797</v>
      </c>
      <c r="F2" s="12" t="s">
        <v>5798</v>
      </c>
    </row>
    <row r="3" spans="2:8">
      <c r="B3" s="8" t="s">
        <v>5784</v>
      </c>
      <c r="C3" t="s">
        <v>5789</v>
      </c>
      <c r="D3" t="s">
        <v>5787</v>
      </c>
      <c r="F3" s="8" t="s">
        <v>5784</v>
      </c>
      <c r="G3" t="s">
        <v>5789</v>
      </c>
      <c r="H3" t="s">
        <v>5787</v>
      </c>
    </row>
    <row r="4" spans="2:8">
      <c r="B4" s="9" t="s">
        <v>19</v>
      </c>
      <c r="C4">
        <v>528</v>
      </c>
      <c r="D4" s="11">
        <v>0.20512820512820512</v>
      </c>
      <c r="F4" s="9" t="s">
        <v>910</v>
      </c>
      <c r="G4">
        <v>129</v>
      </c>
      <c r="H4" s="11">
        <v>5.011655011655012E-2</v>
      </c>
    </row>
    <row r="5" spans="2:8">
      <c r="B5" s="10" t="s">
        <v>266</v>
      </c>
      <c r="C5">
        <v>114</v>
      </c>
      <c r="D5" s="11">
        <v>4.4289044289044288E-2</v>
      </c>
      <c r="F5" s="9" t="s">
        <v>571</v>
      </c>
      <c r="G5">
        <v>129</v>
      </c>
      <c r="H5" s="11">
        <v>5.011655011655012E-2</v>
      </c>
    </row>
    <row r="6" spans="2:8">
      <c r="B6" s="10" t="s">
        <v>20</v>
      </c>
      <c r="C6">
        <v>104</v>
      </c>
      <c r="D6" s="11">
        <v>4.0404040404040407E-2</v>
      </c>
      <c r="F6" s="9" t="s">
        <v>914</v>
      </c>
      <c r="G6">
        <v>118</v>
      </c>
      <c r="H6" s="11">
        <v>4.584304584304584E-2</v>
      </c>
    </row>
    <row r="7" spans="2:8">
      <c r="B7" s="10" t="s">
        <v>114</v>
      </c>
      <c r="C7">
        <v>76</v>
      </c>
      <c r="D7" s="11">
        <v>2.9526029526029528E-2</v>
      </c>
      <c r="F7" s="9" t="s">
        <v>1017</v>
      </c>
      <c r="G7">
        <v>116</v>
      </c>
      <c r="H7" s="11">
        <v>4.5066045066045064E-2</v>
      </c>
    </row>
    <row r="8" spans="2:8">
      <c r="B8" s="10" t="s">
        <v>28</v>
      </c>
      <c r="C8">
        <v>61</v>
      </c>
      <c r="D8" s="11">
        <v>2.36985236985237E-2</v>
      </c>
      <c r="F8" s="9" t="s">
        <v>266</v>
      </c>
      <c r="G8">
        <v>114</v>
      </c>
      <c r="H8" s="11">
        <v>4.4289044289044288E-2</v>
      </c>
    </row>
    <row r="9" spans="2:8">
      <c r="B9" s="10" t="s">
        <v>1056</v>
      </c>
      <c r="C9">
        <v>32</v>
      </c>
      <c r="D9" s="11">
        <v>1.2432012432012432E-2</v>
      </c>
      <c r="F9" s="9" t="s">
        <v>20</v>
      </c>
      <c r="G9">
        <v>104</v>
      </c>
      <c r="H9" s="11">
        <v>4.0404040404040407E-2</v>
      </c>
    </row>
    <row r="10" spans="2:8">
      <c r="B10" s="10" t="s">
        <v>123</v>
      </c>
      <c r="C10">
        <v>32</v>
      </c>
      <c r="D10" s="11">
        <v>1.2432012432012432E-2</v>
      </c>
      <c r="F10" s="9" t="s">
        <v>519</v>
      </c>
      <c r="G10">
        <v>92</v>
      </c>
      <c r="H10" s="11">
        <v>3.5742035742035744E-2</v>
      </c>
    </row>
    <row r="11" spans="2:8">
      <c r="B11" s="10" t="s">
        <v>227</v>
      </c>
      <c r="C11">
        <v>30</v>
      </c>
      <c r="D11" s="11">
        <v>1.1655011655011656E-2</v>
      </c>
      <c r="F11" s="9" t="s">
        <v>936</v>
      </c>
      <c r="G11">
        <v>90</v>
      </c>
      <c r="H11" s="11">
        <v>3.4965034965034968E-2</v>
      </c>
    </row>
    <row r="12" spans="2:8">
      <c r="B12" s="10" t="s">
        <v>580</v>
      </c>
      <c r="C12">
        <v>22</v>
      </c>
      <c r="D12" s="11">
        <v>8.5470085470085479E-3</v>
      </c>
      <c r="F12" s="9" t="s">
        <v>233</v>
      </c>
      <c r="G12">
        <v>85</v>
      </c>
      <c r="H12" s="11">
        <v>3.3022533022533024E-2</v>
      </c>
    </row>
    <row r="13" spans="2:8">
      <c r="B13" s="10" t="s">
        <v>1232</v>
      </c>
      <c r="C13">
        <v>21</v>
      </c>
      <c r="D13" s="11">
        <v>8.1585081585081581E-3</v>
      </c>
      <c r="F13" s="9" t="s">
        <v>1312</v>
      </c>
      <c r="G13">
        <v>80</v>
      </c>
      <c r="H13" s="11">
        <v>3.108003108003108E-2</v>
      </c>
    </row>
    <row r="14" spans="2:8">
      <c r="B14" s="10" t="s">
        <v>612</v>
      </c>
      <c r="C14">
        <v>15</v>
      </c>
      <c r="D14" s="11">
        <v>5.8275058275058279E-3</v>
      </c>
      <c r="F14" s="9" t="s">
        <v>59</v>
      </c>
      <c r="G14">
        <v>80</v>
      </c>
      <c r="H14" s="11">
        <v>3.108003108003108E-2</v>
      </c>
    </row>
    <row r="15" spans="2:8">
      <c r="B15" s="10" t="s">
        <v>873</v>
      </c>
      <c r="C15">
        <v>14</v>
      </c>
      <c r="D15" s="11">
        <v>5.439005439005439E-3</v>
      </c>
      <c r="F15" s="9" t="s">
        <v>956</v>
      </c>
      <c r="G15">
        <v>80</v>
      </c>
      <c r="H15" s="11">
        <v>3.108003108003108E-2</v>
      </c>
    </row>
    <row r="16" spans="2:8">
      <c r="B16" s="10" t="s">
        <v>2568</v>
      </c>
      <c r="C16">
        <v>7</v>
      </c>
      <c r="D16" s="11">
        <v>2.7195027195027195E-3</v>
      </c>
      <c r="F16" s="9" t="s">
        <v>114</v>
      </c>
      <c r="G16">
        <v>76</v>
      </c>
      <c r="H16" s="11">
        <v>2.9526029526029528E-2</v>
      </c>
    </row>
    <row r="17" spans="2:8">
      <c r="B17" s="9" t="s">
        <v>571</v>
      </c>
      <c r="C17">
        <v>297</v>
      </c>
      <c r="D17" s="11">
        <v>0.11538461538461539</v>
      </c>
      <c r="F17" s="9" t="s">
        <v>1344</v>
      </c>
      <c r="G17">
        <v>70</v>
      </c>
      <c r="H17" s="11">
        <v>2.7195027195027196E-2</v>
      </c>
    </row>
    <row r="18" spans="2:8">
      <c r="B18" s="10" t="s">
        <v>571</v>
      </c>
      <c r="C18">
        <v>129</v>
      </c>
      <c r="D18" s="11">
        <v>5.011655011655012E-2</v>
      </c>
      <c r="F18" s="9" t="s">
        <v>1093</v>
      </c>
      <c r="G18">
        <v>70</v>
      </c>
      <c r="H18" s="11">
        <v>2.7195027195027196E-2</v>
      </c>
    </row>
    <row r="19" spans="2:8">
      <c r="B19" s="10" t="s">
        <v>1093</v>
      </c>
      <c r="C19">
        <v>70</v>
      </c>
      <c r="D19" s="11">
        <v>2.7195027195027196E-2</v>
      </c>
      <c r="F19" s="9" t="s">
        <v>244</v>
      </c>
      <c r="G19">
        <v>69</v>
      </c>
      <c r="H19" s="11">
        <v>2.6806526806526808E-2</v>
      </c>
    </row>
    <row r="20" spans="2:8">
      <c r="B20" s="10" t="s">
        <v>1344</v>
      </c>
      <c r="C20">
        <v>70</v>
      </c>
      <c r="D20" s="11">
        <v>2.7195027195027196E-2</v>
      </c>
      <c r="F20" s="9" t="s">
        <v>42</v>
      </c>
      <c r="G20">
        <v>67</v>
      </c>
      <c r="H20" s="11">
        <v>2.6029526029526028E-2</v>
      </c>
    </row>
    <row r="21" spans="2:8">
      <c r="B21" s="10" t="s">
        <v>3142</v>
      </c>
      <c r="C21">
        <v>17</v>
      </c>
      <c r="D21" s="11">
        <v>6.6045066045066049E-3</v>
      </c>
      <c r="F21" s="9" t="s">
        <v>64</v>
      </c>
      <c r="G21">
        <v>65</v>
      </c>
      <c r="H21" s="11">
        <v>2.5252525252525252E-2</v>
      </c>
    </row>
    <row r="22" spans="2:8">
      <c r="B22" s="10" t="s">
        <v>2180</v>
      </c>
      <c r="C22">
        <v>11</v>
      </c>
      <c r="D22" s="11">
        <v>4.2735042735042739E-3</v>
      </c>
      <c r="F22" s="9" t="s">
        <v>620</v>
      </c>
      <c r="G22">
        <v>63</v>
      </c>
      <c r="H22" s="11">
        <v>2.4475524475524476E-2</v>
      </c>
    </row>
    <row r="23" spans="2:8">
      <c r="B23" s="9" t="s">
        <v>904</v>
      </c>
      <c r="C23">
        <v>263</v>
      </c>
      <c r="D23" s="11">
        <v>0.10217560217560218</v>
      </c>
      <c r="F23" s="9" t="s">
        <v>28</v>
      </c>
      <c r="G23">
        <v>61</v>
      </c>
      <c r="H23" s="11">
        <v>2.36985236985237E-2</v>
      </c>
    </row>
    <row r="24" spans="2:8">
      <c r="B24" s="10" t="s">
        <v>910</v>
      </c>
      <c r="C24">
        <v>129</v>
      </c>
      <c r="D24" s="11">
        <v>5.011655011655012E-2</v>
      </c>
      <c r="F24" s="9" t="s">
        <v>70</v>
      </c>
      <c r="G24">
        <v>50</v>
      </c>
      <c r="H24" s="11">
        <v>1.9425019425019424E-2</v>
      </c>
    </row>
    <row r="25" spans="2:8">
      <c r="B25" s="10" t="s">
        <v>936</v>
      </c>
      <c r="C25">
        <v>90</v>
      </c>
      <c r="D25" s="11">
        <v>3.4965034965034968E-2</v>
      </c>
      <c r="F25" s="9" t="s">
        <v>588</v>
      </c>
      <c r="G25">
        <v>47</v>
      </c>
      <c r="H25" s="11">
        <v>1.825951825951826E-2</v>
      </c>
    </row>
    <row r="26" spans="2:8">
      <c r="B26" s="10" t="s">
        <v>905</v>
      </c>
      <c r="C26">
        <v>23</v>
      </c>
      <c r="D26" s="11">
        <v>8.9355089355089359E-3</v>
      </c>
      <c r="F26" s="9" t="s">
        <v>557</v>
      </c>
      <c r="G26">
        <v>39</v>
      </c>
      <c r="H26" s="11">
        <v>1.5151515151515152E-2</v>
      </c>
    </row>
    <row r="27" spans="2:8">
      <c r="B27" s="10" t="s">
        <v>987</v>
      </c>
      <c r="C27">
        <v>21</v>
      </c>
      <c r="D27" s="11">
        <v>8.1585081585081581E-3</v>
      </c>
      <c r="F27" s="9" t="s">
        <v>52</v>
      </c>
      <c r="G27">
        <v>38</v>
      </c>
      <c r="H27" s="11">
        <v>1.4763014763014764E-2</v>
      </c>
    </row>
    <row r="28" spans="2:8">
      <c r="B28" s="9" t="s">
        <v>200</v>
      </c>
      <c r="C28">
        <v>254</v>
      </c>
      <c r="D28" s="11">
        <v>9.8679098679098673E-2</v>
      </c>
      <c r="F28" s="9" t="s">
        <v>288</v>
      </c>
      <c r="G28">
        <v>38</v>
      </c>
      <c r="H28" s="11">
        <v>1.4763014763014764E-2</v>
      </c>
    </row>
    <row r="29" spans="2:8">
      <c r="B29" s="10" t="s">
        <v>914</v>
      </c>
      <c r="C29">
        <v>118</v>
      </c>
      <c r="D29" s="11">
        <v>4.584304584304584E-2</v>
      </c>
      <c r="F29" s="9" t="s">
        <v>1056</v>
      </c>
      <c r="G29">
        <v>32</v>
      </c>
      <c r="H29" s="11">
        <v>1.2432012432012432E-2</v>
      </c>
    </row>
    <row r="30" spans="2:8">
      <c r="B30" s="10" t="s">
        <v>620</v>
      </c>
      <c r="C30">
        <v>63</v>
      </c>
      <c r="D30" s="11">
        <v>2.4475524475524476E-2</v>
      </c>
      <c r="F30" s="9" t="s">
        <v>123</v>
      </c>
      <c r="G30">
        <v>32</v>
      </c>
      <c r="H30" s="11">
        <v>1.2432012432012432E-2</v>
      </c>
    </row>
    <row r="31" spans="2:8">
      <c r="B31" s="10" t="s">
        <v>288</v>
      </c>
      <c r="C31">
        <v>38</v>
      </c>
      <c r="D31" s="11">
        <v>1.4763014763014764E-2</v>
      </c>
      <c r="F31" s="9" t="s">
        <v>1730</v>
      </c>
      <c r="G31">
        <v>32</v>
      </c>
      <c r="H31" s="11">
        <v>1.2432012432012432E-2</v>
      </c>
    </row>
    <row r="32" spans="2:8">
      <c r="B32" s="10" t="s">
        <v>810</v>
      </c>
      <c r="C32">
        <v>31</v>
      </c>
      <c r="D32" s="11">
        <v>1.2043512043512044E-2</v>
      </c>
      <c r="F32" s="9" t="s">
        <v>163</v>
      </c>
      <c r="G32">
        <v>32</v>
      </c>
      <c r="H32" s="11">
        <v>1.2432012432012432E-2</v>
      </c>
    </row>
    <row r="33" spans="2:8">
      <c r="B33" s="10" t="s">
        <v>201</v>
      </c>
      <c r="C33">
        <v>4</v>
      </c>
      <c r="D33" s="11">
        <v>1.554001554001554E-3</v>
      </c>
      <c r="F33" s="9" t="s">
        <v>810</v>
      </c>
      <c r="G33">
        <v>31</v>
      </c>
      <c r="H33" s="11">
        <v>1.2043512043512044E-2</v>
      </c>
    </row>
    <row r="34" spans="2:8">
      <c r="B34" s="9" t="s">
        <v>41</v>
      </c>
      <c r="C34">
        <v>147</v>
      </c>
      <c r="D34" s="11">
        <v>5.7109557109557112E-2</v>
      </c>
      <c r="F34" s="9" t="s">
        <v>196</v>
      </c>
      <c r="G34">
        <v>30</v>
      </c>
      <c r="H34" s="11">
        <v>1.1655011655011656E-2</v>
      </c>
    </row>
    <row r="35" spans="2:8">
      <c r="B35" s="9" t="s">
        <v>1017</v>
      </c>
      <c r="C35">
        <v>116</v>
      </c>
      <c r="D35" s="11">
        <v>4.5066045066045064E-2</v>
      </c>
      <c r="F35" s="9" t="s">
        <v>227</v>
      </c>
      <c r="G35">
        <v>30</v>
      </c>
      <c r="H35" s="11">
        <v>1.1655011655011656E-2</v>
      </c>
    </row>
    <row r="36" spans="2:8">
      <c r="B36" s="9" t="s">
        <v>162</v>
      </c>
      <c r="C36">
        <v>101</v>
      </c>
      <c r="D36" s="11">
        <v>3.923853923853924E-2</v>
      </c>
      <c r="F36" s="9" t="s">
        <v>650</v>
      </c>
      <c r="G36">
        <v>25</v>
      </c>
      <c r="H36" s="11">
        <v>9.7125097125097121E-3</v>
      </c>
    </row>
    <row r="37" spans="2:8">
      <c r="B37" s="9" t="s">
        <v>519</v>
      </c>
      <c r="C37">
        <v>92</v>
      </c>
      <c r="D37" s="11">
        <v>3.5742035742035744E-2</v>
      </c>
      <c r="F37" s="9" t="s">
        <v>1533</v>
      </c>
      <c r="G37">
        <v>24</v>
      </c>
      <c r="H37" s="11">
        <v>9.324009324009324E-3</v>
      </c>
    </row>
    <row r="38" spans="2:8">
      <c r="B38" s="9" t="s">
        <v>233</v>
      </c>
      <c r="C38">
        <v>85</v>
      </c>
      <c r="D38" s="11">
        <v>3.3022533022533024E-2</v>
      </c>
      <c r="F38" s="9" t="s">
        <v>905</v>
      </c>
      <c r="G38">
        <v>23</v>
      </c>
      <c r="H38" s="11">
        <v>8.9355089355089359E-3</v>
      </c>
    </row>
    <row r="39" spans="2:8">
      <c r="B39" s="9" t="s">
        <v>1312</v>
      </c>
      <c r="C39">
        <v>80</v>
      </c>
      <c r="D39" s="11">
        <v>3.108003108003108E-2</v>
      </c>
      <c r="F39" s="9" t="s">
        <v>580</v>
      </c>
      <c r="G39">
        <v>22</v>
      </c>
      <c r="H39" s="11">
        <v>8.5470085470085479E-3</v>
      </c>
    </row>
    <row r="40" spans="2:8">
      <c r="B40" s="9" t="s">
        <v>956</v>
      </c>
      <c r="C40">
        <v>80</v>
      </c>
      <c r="D40" s="11">
        <v>3.108003108003108E-2</v>
      </c>
      <c r="F40" s="9" t="s">
        <v>987</v>
      </c>
      <c r="G40">
        <v>21</v>
      </c>
      <c r="H40" s="11">
        <v>8.1585081585081581E-3</v>
      </c>
    </row>
    <row r="41" spans="2:8">
      <c r="B41" s="9" t="s">
        <v>64</v>
      </c>
      <c r="C41">
        <v>65</v>
      </c>
      <c r="D41" s="11">
        <v>2.5252525252525252E-2</v>
      </c>
      <c r="F41" s="9" t="s">
        <v>1163</v>
      </c>
      <c r="G41">
        <v>21</v>
      </c>
      <c r="H41" s="11">
        <v>8.1585081585081581E-3</v>
      </c>
    </row>
    <row r="42" spans="2:8">
      <c r="B42" s="9" t="s">
        <v>588</v>
      </c>
      <c r="C42">
        <v>52</v>
      </c>
      <c r="D42" s="11">
        <v>2.0202020202020204E-2</v>
      </c>
      <c r="F42" s="9" t="s">
        <v>1232</v>
      </c>
      <c r="G42">
        <v>21</v>
      </c>
      <c r="H42" s="11">
        <v>8.1585081585081581E-3</v>
      </c>
    </row>
    <row r="43" spans="2:8">
      <c r="B43" s="9" t="s">
        <v>70</v>
      </c>
      <c r="C43">
        <v>50</v>
      </c>
      <c r="D43" s="11">
        <v>1.9425019425019424E-2</v>
      </c>
      <c r="F43" s="9" t="s">
        <v>108</v>
      </c>
      <c r="G43">
        <v>20</v>
      </c>
      <c r="H43" s="11">
        <v>7.77000777000777E-3</v>
      </c>
    </row>
    <row r="44" spans="2:8">
      <c r="B44" s="9" t="s">
        <v>557</v>
      </c>
      <c r="C44">
        <v>39</v>
      </c>
      <c r="D44" s="11">
        <v>1.5151515151515152E-2</v>
      </c>
      <c r="F44" s="9" t="s">
        <v>132</v>
      </c>
      <c r="G44">
        <v>19</v>
      </c>
      <c r="H44" s="11">
        <v>7.3815073815073819E-3</v>
      </c>
    </row>
    <row r="45" spans="2:8">
      <c r="B45" s="9" t="s">
        <v>52</v>
      </c>
      <c r="C45">
        <v>38</v>
      </c>
      <c r="D45" s="11">
        <v>1.4763014763014764E-2</v>
      </c>
      <c r="F45" s="9" t="s">
        <v>443</v>
      </c>
      <c r="G45">
        <v>18</v>
      </c>
      <c r="H45" s="11">
        <v>6.993006993006993E-3</v>
      </c>
    </row>
    <row r="46" spans="2:8">
      <c r="B46" s="9" t="s">
        <v>1730</v>
      </c>
      <c r="C46">
        <v>32</v>
      </c>
      <c r="D46" s="11">
        <v>1.2432012432012432E-2</v>
      </c>
      <c r="F46" s="9" t="s">
        <v>716</v>
      </c>
      <c r="G46">
        <v>18</v>
      </c>
      <c r="H46" s="11">
        <v>6.993006993006993E-3</v>
      </c>
    </row>
    <row r="47" spans="2:8">
      <c r="B47" s="9" t="s">
        <v>196</v>
      </c>
      <c r="C47">
        <v>30</v>
      </c>
      <c r="D47" s="11">
        <v>1.1655011655011656E-2</v>
      </c>
      <c r="F47" s="9" t="s">
        <v>1358</v>
      </c>
      <c r="G47">
        <v>17</v>
      </c>
      <c r="H47" s="11">
        <v>6.6045066045066049E-3</v>
      </c>
    </row>
    <row r="48" spans="2:8">
      <c r="B48" s="9" t="s">
        <v>650</v>
      </c>
      <c r="C48">
        <v>25</v>
      </c>
      <c r="D48" s="11">
        <v>9.7125097125097121E-3</v>
      </c>
      <c r="F48" s="9" t="s">
        <v>3142</v>
      </c>
      <c r="G48">
        <v>17</v>
      </c>
      <c r="H48" s="11">
        <v>6.6045066045066049E-3</v>
      </c>
    </row>
    <row r="49" spans="2:8">
      <c r="B49" s="9" t="s">
        <v>1533</v>
      </c>
      <c r="C49">
        <v>24</v>
      </c>
      <c r="D49" s="11">
        <v>9.324009324009324E-3</v>
      </c>
      <c r="F49" s="9" t="s">
        <v>612</v>
      </c>
      <c r="G49">
        <v>15</v>
      </c>
      <c r="H49" s="11">
        <v>5.8275058275058279E-3</v>
      </c>
    </row>
    <row r="50" spans="2:8">
      <c r="B50" s="9" t="s">
        <v>1163</v>
      </c>
      <c r="C50">
        <v>21</v>
      </c>
      <c r="D50" s="11">
        <v>8.1585081585081581E-3</v>
      </c>
      <c r="F50" s="9" t="s">
        <v>873</v>
      </c>
      <c r="G50">
        <v>14</v>
      </c>
      <c r="H50" s="11">
        <v>5.439005439005439E-3</v>
      </c>
    </row>
    <row r="51" spans="2:8">
      <c r="B51" s="9" t="s">
        <v>108</v>
      </c>
      <c r="C51">
        <v>20</v>
      </c>
      <c r="D51" s="11">
        <v>7.77000777000777E-3</v>
      </c>
      <c r="F51" s="9" t="s">
        <v>444</v>
      </c>
      <c r="G51">
        <v>13</v>
      </c>
      <c r="H51" s="11">
        <v>5.0505050505050509E-3</v>
      </c>
    </row>
    <row r="52" spans="2:8">
      <c r="B52" s="9" t="s">
        <v>132</v>
      </c>
      <c r="C52">
        <v>19</v>
      </c>
      <c r="D52" s="11">
        <v>7.3815073815073819E-3</v>
      </c>
      <c r="F52" s="9" t="s">
        <v>1722</v>
      </c>
      <c r="G52">
        <v>11</v>
      </c>
      <c r="H52" s="11">
        <v>4.2735042735042739E-3</v>
      </c>
    </row>
    <row r="53" spans="2:8">
      <c r="B53" s="9" t="s">
        <v>716</v>
      </c>
      <c r="C53">
        <v>18</v>
      </c>
      <c r="D53" s="11">
        <v>6.993006993006993E-3</v>
      </c>
      <c r="F53" s="10" t="s">
        <v>1995</v>
      </c>
      <c r="G53">
        <v>2</v>
      </c>
      <c r="H53" s="11">
        <v>7.77000777000777E-4</v>
      </c>
    </row>
    <row r="54" spans="2:8">
      <c r="B54" s="9" t="s">
        <v>443</v>
      </c>
      <c r="C54">
        <v>17</v>
      </c>
      <c r="D54" s="11">
        <v>6.6045066045066049E-3</v>
      </c>
      <c r="F54" s="10" t="s">
        <v>1722</v>
      </c>
      <c r="G54">
        <v>9</v>
      </c>
      <c r="H54" s="11">
        <v>3.4965034965034965E-3</v>
      </c>
    </row>
    <row r="55" spans="2:8">
      <c r="B55" s="9" t="s">
        <v>1358</v>
      </c>
      <c r="C55">
        <v>17</v>
      </c>
      <c r="D55" s="11">
        <v>6.6045066045066049E-3</v>
      </c>
      <c r="F55" s="9" t="s">
        <v>851</v>
      </c>
      <c r="G55">
        <v>11</v>
      </c>
      <c r="H55" s="11">
        <v>4.2735042735042739E-3</v>
      </c>
    </row>
    <row r="56" spans="2:8">
      <c r="B56" s="9" t="s">
        <v>534</v>
      </c>
      <c r="C56">
        <v>14</v>
      </c>
      <c r="D56" s="11">
        <v>5.439005439005439E-3</v>
      </c>
      <c r="F56" s="9" t="s">
        <v>1999</v>
      </c>
      <c r="G56">
        <v>11</v>
      </c>
      <c r="H56" s="11">
        <v>4.2735042735042739E-3</v>
      </c>
    </row>
    <row r="57" spans="2:8">
      <c r="B57" s="9" t="s">
        <v>444</v>
      </c>
      <c r="C57">
        <v>14</v>
      </c>
      <c r="D57" s="11">
        <v>5.439005439005439E-3</v>
      </c>
      <c r="F57" s="9" t="s">
        <v>2180</v>
      </c>
      <c r="G57">
        <v>11</v>
      </c>
      <c r="H57" s="11">
        <v>4.2735042735042739E-3</v>
      </c>
    </row>
    <row r="58" spans="2:8">
      <c r="B58" s="9" t="s">
        <v>851</v>
      </c>
      <c r="C58">
        <v>11</v>
      </c>
      <c r="D58" s="11">
        <v>4.2735042735042739E-3</v>
      </c>
      <c r="F58" s="9" t="s">
        <v>543</v>
      </c>
      <c r="G58">
        <v>8</v>
      </c>
      <c r="H58" s="11">
        <v>3.108003108003108E-3</v>
      </c>
    </row>
    <row r="59" spans="2:8">
      <c r="B59" s="9" t="s">
        <v>1995</v>
      </c>
      <c r="C59">
        <v>11</v>
      </c>
      <c r="D59" s="11">
        <v>4.2735042735042739E-3</v>
      </c>
      <c r="F59" s="9" t="s">
        <v>2568</v>
      </c>
      <c r="G59">
        <v>7</v>
      </c>
      <c r="H59" s="11">
        <v>2.7195027195027195E-3</v>
      </c>
    </row>
    <row r="60" spans="2:8">
      <c r="B60" s="9" t="s">
        <v>1999</v>
      </c>
      <c r="C60">
        <v>11</v>
      </c>
      <c r="D60" s="11">
        <v>4.2735042735042739E-3</v>
      </c>
      <c r="F60" s="9" t="s">
        <v>535</v>
      </c>
      <c r="G60">
        <v>6</v>
      </c>
      <c r="H60" s="11">
        <v>2.331002331002331E-3</v>
      </c>
    </row>
    <row r="61" spans="2:8">
      <c r="B61" s="9" t="s">
        <v>3336</v>
      </c>
      <c r="C61">
        <v>3</v>
      </c>
      <c r="D61" s="11">
        <v>1.1655011655011655E-3</v>
      </c>
      <c r="F61" s="9" t="s">
        <v>1407</v>
      </c>
      <c r="G61">
        <v>5</v>
      </c>
      <c r="H61" s="11">
        <v>1.9425019425019425E-3</v>
      </c>
    </row>
    <row r="62" spans="2:8">
      <c r="B62" s="9" t="s">
        <v>5785</v>
      </c>
      <c r="C62">
        <v>2574</v>
      </c>
      <c r="D62" s="11">
        <v>1</v>
      </c>
      <c r="F62" s="9" t="s">
        <v>201</v>
      </c>
      <c r="G62">
        <v>4</v>
      </c>
      <c r="H62" s="11">
        <v>1.554001554001554E-3</v>
      </c>
    </row>
    <row r="63" spans="2:8">
      <c r="F63" s="9" t="s">
        <v>3336</v>
      </c>
      <c r="G63">
        <v>3</v>
      </c>
      <c r="H63" s="11">
        <v>1.1655011655011655E-3</v>
      </c>
    </row>
    <row r="64" spans="2:8">
      <c r="F64" s="9" t="s">
        <v>5785</v>
      </c>
      <c r="G64">
        <v>2574</v>
      </c>
      <c r="H64" s="11">
        <v>1</v>
      </c>
    </row>
  </sheetData>
  <phoneticPr fontId="2" type="noConversion"/>
  <conditionalFormatting pivot="1" sqref="G4 G5 G6 G7 G8 G9 G10 G11 G12 G13 G15 G14 G16 G17 G18 G19 G20 G21 G22 G23 G24 G25 G45 G26 G28 G27 G30 G31 G32 G33 G29 G34 G35 G36 G37 G38 G39 G41 G40 G42 G43 G44 G46 G48 G47 G49 G50 G55 G56 G57 G58 G59 G60 G61 G62 G51 G63">
    <cfRule type="colorScale" priority="2">
      <colorScale>
        <cfvo type="min"/>
        <cfvo type="max"/>
        <color rgb="FFFCFCFF"/>
        <color rgb="FFF8696B"/>
      </colorScale>
    </cfRule>
  </conditionalFormatting>
  <conditionalFormatting pivot="1" sqref="C4 C23 C17 C28 C34 C35 C36 C37 C38 C39 C40 C41 C43 C42 C54 C44 C45 C46 C47 C56 C48 C49 C50 C51 C52 C53 C55 C60 C58 C61 C57">
    <cfRule type="colorScale" priority="1">
      <colorScale>
        <cfvo type="min"/>
        <cfvo type="max"/>
        <color rgb="FFFCFCFF"/>
        <color rgb="FFF8696B"/>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456C0-9F39-B941-AA53-4C22371F87A0}">
  <sheetPr>
    <tabColor theme="9" tint="0.79998168889431442"/>
  </sheetPr>
  <dimension ref="A4:V64"/>
  <sheetViews>
    <sheetView zoomScale="75" workbookViewId="0">
      <selection activeCell="V6" sqref="V6"/>
    </sheetView>
  </sheetViews>
  <sheetFormatPr baseColWidth="10" defaultRowHeight="18"/>
  <cols>
    <col min="1" max="1" width="32.5703125" bestFit="1" customWidth="1"/>
    <col min="2" max="2" width="12.5703125" bestFit="1" customWidth="1"/>
    <col min="3" max="3" width="11.42578125" bestFit="1" customWidth="1"/>
    <col min="4" max="4" width="5.7109375" bestFit="1" customWidth="1"/>
    <col min="5" max="6" width="7.42578125" bestFit="1" customWidth="1"/>
    <col min="7" max="7" width="5.7109375" bestFit="1" customWidth="1"/>
    <col min="8" max="8" width="13.85546875" bestFit="1" customWidth="1"/>
    <col min="9" max="9" width="7.42578125" bestFit="1" customWidth="1"/>
    <col min="10" max="11" width="11.42578125" bestFit="1" customWidth="1"/>
    <col min="12" max="12" width="13.140625" bestFit="1" customWidth="1"/>
    <col min="13" max="13" width="7.42578125" bestFit="1" customWidth="1"/>
    <col min="14" max="14" width="9.140625" bestFit="1" customWidth="1"/>
    <col min="15" max="15" width="21.7109375" bestFit="1" customWidth="1"/>
    <col min="16" max="16" width="17.7109375" bestFit="1" customWidth="1"/>
    <col min="17" max="17" width="5.7109375" bestFit="1" customWidth="1"/>
    <col min="18" max="18" width="13.85546875" bestFit="1" customWidth="1"/>
    <col min="19" max="21" width="5.7109375" bestFit="1" customWidth="1"/>
    <col min="22" max="22" width="7.42578125" bestFit="1" customWidth="1"/>
  </cols>
  <sheetData>
    <row r="4" spans="1:22">
      <c r="A4" s="8" t="s">
        <v>5808</v>
      </c>
      <c r="B4" s="8" t="s">
        <v>5806</v>
      </c>
    </row>
    <row r="5" spans="1:22">
      <c r="A5" s="8" t="s">
        <v>5784</v>
      </c>
      <c r="B5" t="s">
        <v>246</v>
      </c>
      <c r="C5" t="s">
        <v>36</v>
      </c>
      <c r="D5" t="s">
        <v>88</v>
      </c>
      <c r="E5" t="s">
        <v>512</v>
      </c>
      <c r="F5" t="s">
        <v>31</v>
      </c>
      <c r="G5" t="s">
        <v>24</v>
      </c>
      <c r="H5" t="s">
        <v>193</v>
      </c>
      <c r="I5" t="s">
        <v>66</v>
      </c>
      <c r="J5" t="s">
        <v>525</v>
      </c>
      <c r="K5" t="s">
        <v>223</v>
      </c>
      <c r="L5" t="s">
        <v>692</v>
      </c>
      <c r="M5" t="s">
        <v>1995</v>
      </c>
      <c r="N5" t="s">
        <v>444</v>
      </c>
      <c r="O5" t="s">
        <v>508</v>
      </c>
      <c r="P5" t="s">
        <v>5217</v>
      </c>
      <c r="Q5" t="s">
        <v>864</v>
      </c>
      <c r="R5" t="s">
        <v>418</v>
      </c>
      <c r="S5" t="s">
        <v>72</v>
      </c>
      <c r="T5" t="s">
        <v>1722</v>
      </c>
      <c r="U5" t="s">
        <v>979</v>
      </c>
      <c r="V5" t="s">
        <v>5785</v>
      </c>
    </row>
    <row r="6" spans="1:22">
      <c r="A6" s="9" t="s">
        <v>910</v>
      </c>
      <c r="D6">
        <v>2</v>
      </c>
      <c r="F6">
        <v>126</v>
      </c>
      <c r="N6">
        <v>1</v>
      </c>
      <c r="V6">
        <v>129</v>
      </c>
    </row>
    <row r="7" spans="1:22">
      <c r="A7" s="9" t="s">
        <v>571</v>
      </c>
      <c r="F7">
        <v>125</v>
      </c>
      <c r="G7">
        <v>2</v>
      </c>
      <c r="I7">
        <v>1</v>
      </c>
      <c r="R7">
        <v>1</v>
      </c>
      <c r="V7">
        <v>129</v>
      </c>
    </row>
    <row r="8" spans="1:22">
      <c r="A8" s="9" t="s">
        <v>914</v>
      </c>
      <c r="C8">
        <v>2</v>
      </c>
      <c r="D8">
        <v>2</v>
      </c>
      <c r="E8">
        <v>1</v>
      </c>
      <c r="F8">
        <v>103</v>
      </c>
      <c r="G8">
        <v>1</v>
      </c>
      <c r="H8">
        <v>1</v>
      </c>
      <c r="I8">
        <v>7</v>
      </c>
      <c r="K8">
        <v>1</v>
      </c>
      <c r="V8">
        <v>118</v>
      </c>
    </row>
    <row r="9" spans="1:22">
      <c r="A9" s="9" t="s">
        <v>1017</v>
      </c>
      <c r="B9">
        <v>1</v>
      </c>
      <c r="C9">
        <v>1</v>
      </c>
      <c r="E9">
        <v>1</v>
      </c>
      <c r="F9">
        <v>112</v>
      </c>
      <c r="G9">
        <v>1</v>
      </c>
      <c r="V9">
        <v>116</v>
      </c>
    </row>
    <row r="10" spans="1:22">
      <c r="A10" s="9" t="s">
        <v>266</v>
      </c>
      <c r="C10">
        <v>2</v>
      </c>
      <c r="D10">
        <v>21</v>
      </c>
      <c r="F10">
        <v>86</v>
      </c>
      <c r="H10">
        <v>2</v>
      </c>
      <c r="K10">
        <v>2</v>
      </c>
      <c r="R10">
        <v>1</v>
      </c>
      <c r="V10">
        <v>114</v>
      </c>
    </row>
    <row r="11" spans="1:22">
      <c r="A11" s="9" t="s">
        <v>20</v>
      </c>
      <c r="C11">
        <v>36</v>
      </c>
      <c r="D11">
        <v>11</v>
      </c>
      <c r="F11">
        <v>10</v>
      </c>
      <c r="G11">
        <v>13</v>
      </c>
      <c r="H11">
        <v>8</v>
      </c>
      <c r="K11">
        <v>25</v>
      </c>
      <c r="R11">
        <v>1</v>
      </c>
      <c r="V11">
        <v>104</v>
      </c>
    </row>
    <row r="12" spans="1:22">
      <c r="A12" s="9" t="s">
        <v>519</v>
      </c>
      <c r="C12">
        <v>2</v>
      </c>
      <c r="F12">
        <v>88</v>
      </c>
      <c r="I12">
        <v>1</v>
      </c>
      <c r="R12">
        <v>1</v>
      </c>
      <c r="V12">
        <v>92</v>
      </c>
    </row>
    <row r="13" spans="1:22">
      <c r="A13" s="9" t="s">
        <v>936</v>
      </c>
      <c r="F13">
        <v>90</v>
      </c>
      <c r="V13">
        <v>90</v>
      </c>
    </row>
    <row r="14" spans="1:22">
      <c r="A14" s="9" t="s">
        <v>233</v>
      </c>
      <c r="D14">
        <v>1</v>
      </c>
      <c r="F14">
        <v>80</v>
      </c>
      <c r="G14">
        <v>2</v>
      </c>
      <c r="K14">
        <v>2</v>
      </c>
      <c r="V14">
        <v>85</v>
      </c>
    </row>
    <row r="15" spans="1:22">
      <c r="A15" s="9" t="s">
        <v>1312</v>
      </c>
      <c r="C15">
        <v>13</v>
      </c>
      <c r="D15">
        <v>3</v>
      </c>
      <c r="F15">
        <v>50</v>
      </c>
      <c r="G15">
        <v>9</v>
      </c>
      <c r="I15">
        <v>1</v>
      </c>
      <c r="R15">
        <v>4</v>
      </c>
      <c r="V15">
        <v>80</v>
      </c>
    </row>
    <row r="16" spans="1:22">
      <c r="A16" s="9" t="s">
        <v>59</v>
      </c>
      <c r="F16">
        <v>80</v>
      </c>
      <c r="V16">
        <v>80</v>
      </c>
    </row>
    <row r="17" spans="1:22">
      <c r="A17" s="9" t="s">
        <v>956</v>
      </c>
      <c r="B17">
        <v>1</v>
      </c>
      <c r="C17">
        <v>8</v>
      </c>
      <c r="D17">
        <v>24</v>
      </c>
      <c r="F17">
        <v>34</v>
      </c>
      <c r="G17">
        <v>6</v>
      </c>
      <c r="H17">
        <v>1</v>
      </c>
      <c r="I17">
        <v>1</v>
      </c>
      <c r="K17">
        <v>3</v>
      </c>
      <c r="L17">
        <v>1</v>
      </c>
      <c r="S17">
        <v>1</v>
      </c>
      <c r="V17">
        <v>80</v>
      </c>
    </row>
    <row r="18" spans="1:22">
      <c r="A18" s="9" t="s">
        <v>114</v>
      </c>
      <c r="C18">
        <v>36</v>
      </c>
      <c r="D18">
        <v>8</v>
      </c>
      <c r="F18">
        <v>14</v>
      </c>
      <c r="G18">
        <v>1</v>
      </c>
      <c r="H18">
        <v>1</v>
      </c>
      <c r="I18">
        <v>1</v>
      </c>
      <c r="K18">
        <v>15</v>
      </c>
      <c r="V18">
        <v>76</v>
      </c>
    </row>
    <row r="19" spans="1:22">
      <c r="A19" s="9" t="s">
        <v>1344</v>
      </c>
      <c r="F19">
        <v>70</v>
      </c>
      <c r="V19">
        <v>70</v>
      </c>
    </row>
    <row r="20" spans="1:22">
      <c r="A20" s="9" t="s">
        <v>1093</v>
      </c>
      <c r="C20">
        <v>2</v>
      </c>
      <c r="F20">
        <v>67</v>
      </c>
      <c r="K20">
        <v>1</v>
      </c>
      <c r="V20">
        <v>70</v>
      </c>
    </row>
    <row r="21" spans="1:22">
      <c r="A21" s="9" t="s">
        <v>244</v>
      </c>
      <c r="B21">
        <v>55</v>
      </c>
      <c r="F21">
        <v>13</v>
      </c>
      <c r="U21">
        <v>1</v>
      </c>
      <c r="V21">
        <v>69</v>
      </c>
    </row>
    <row r="22" spans="1:22">
      <c r="A22" s="9" t="s">
        <v>42</v>
      </c>
      <c r="F22">
        <v>67</v>
      </c>
      <c r="V22">
        <v>67</v>
      </c>
    </row>
    <row r="23" spans="1:22">
      <c r="A23" s="9" t="s">
        <v>64</v>
      </c>
      <c r="C23">
        <v>5</v>
      </c>
      <c r="D23">
        <v>2</v>
      </c>
      <c r="F23">
        <v>2</v>
      </c>
      <c r="I23">
        <v>56</v>
      </c>
      <c r="V23">
        <v>65</v>
      </c>
    </row>
    <row r="24" spans="1:22">
      <c r="A24" s="9" t="s">
        <v>620</v>
      </c>
      <c r="B24">
        <v>1</v>
      </c>
      <c r="C24">
        <v>10</v>
      </c>
      <c r="D24">
        <v>6</v>
      </c>
      <c r="E24">
        <v>1</v>
      </c>
      <c r="F24">
        <v>23</v>
      </c>
      <c r="G24">
        <v>16</v>
      </c>
      <c r="I24">
        <v>1</v>
      </c>
      <c r="K24">
        <v>2</v>
      </c>
      <c r="U24">
        <v>3</v>
      </c>
      <c r="V24">
        <v>63</v>
      </c>
    </row>
    <row r="25" spans="1:22">
      <c r="A25" s="9" t="s">
        <v>28</v>
      </c>
      <c r="C25">
        <v>7</v>
      </c>
      <c r="D25">
        <v>7</v>
      </c>
      <c r="F25">
        <v>18</v>
      </c>
      <c r="G25">
        <v>16</v>
      </c>
      <c r="H25">
        <v>9</v>
      </c>
      <c r="K25">
        <v>4</v>
      </c>
      <c r="V25">
        <v>61</v>
      </c>
    </row>
    <row r="26" spans="1:22">
      <c r="A26" s="9" t="s">
        <v>70</v>
      </c>
      <c r="B26">
        <v>1</v>
      </c>
      <c r="F26">
        <v>6</v>
      </c>
      <c r="L26">
        <v>9</v>
      </c>
      <c r="N26">
        <v>1</v>
      </c>
      <c r="O26">
        <v>15</v>
      </c>
      <c r="P26">
        <v>1</v>
      </c>
      <c r="S26">
        <v>8</v>
      </c>
      <c r="U26">
        <v>9</v>
      </c>
      <c r="V26">
        <v>50</v>
      </c>
    </row>
    <row r="27" spans="1:22">
      <c r="A27" s="9" t="s">
        <v>588</v>
      </c>
      <c r="C27">
        <v>12</v>
      </c>
      <c r="D27">
        <v>2</v>
      </c>
      <c r="E27">
        <v>1</v>
      </c>
      <c r="F27">
        <v>24</v>
      </c>
      <c r="G27">
        <v>6</v>
      </c>
      <c r="I27">
        <v>1</v>
      </c>
      <c r="K27">
        <v>1</v>
      </c>
      <c r="V27">
        <v>47</v>
      </c>
    </row>
    <row r="28" spans="1:22">
      <c r="A28" s="9" t="s">
        <v>557</v>
      </c>
      <c r="C28">
        <v>3</v>
      </c>
      <c r="E28">
        <v>1</v>
      </c>
      <c r="F28">
        <v>17</v>
      </c>
      <c r="G28">
        <v>13</v>
      </c>
      <c r="H28">
        <v>4</v>
      </c>
      <c r="R28">
        <v>1</v>
      </c>
      <c r="V28">
        <v>39</v>
      </c>
    </row>
    <row r="29" spans="1:22">
      <c r="A29" s="9" t="s">
        <v>52</v>
      </c>
      <c r="C29">
        <v>20</v>
      </c>
      <c r="F29">
        <v>13</v>
      </c>
      <c r="G29">
        <v>1</v>
      </c>
      <c r="I29">
        <v>4</v>
      </c>
      <c r="V29">
        <v>38</v>
      </c>
    </row>
    <row r="30" spans="1:22">
      <c r="A30" s="9" t="s">
        <v>288</v>
      </c>
      <c r="C30">
        <v>4</v>
      </c>
      <c r="D30">
        <v>3</v>
      </c>
      <c r="F30">
        <v>18</v>
      </c>
      <c r="G30">
        <v>5</v>
      </c>
      <c r="H30">
        <v>7</v>
      </c>
      <c r="K30">
        <v>1</v>
      </c>
      <c r="V30">
        <v>38</v>
      </c>
    </row>
    <row r="31" spans="1:22">
      <c r="A31" s="9" t="s">
        <v>1056</v>
      </c>
      <c r="C31">
        <v>4</v>
      </c>
      <c r="D31">
        <v>1</v>
      </c>
      <c r="F31">
        <v>19</v>
      </c>
      <c r="G31">
        <v>4</v>
      </c>
      <c r="H31">
        <v>2</v>
      </c>
      <c r="I31">
        <v>1</v>
      </c>
      <c r="K31">
        <v>1</v>
      </c>
      <c r="V31">
        <v>32</v>
      </c>
    </row>
    <row r="32" spans="1:22">
      <c r="A32" s="9" t="s">
        <v>123</v>
      </c>
      <c r="C32">
        <v>11</v>
      </c>
      <c r="D32">
        <v>4</v>
      </c>
      <c r="F32">
        <v>8</v>
      </c>
      <c r="G32">
        <v>4</v>
      </c>
      <c r="H32">
        <v>2</v>
      </c>
      <c r="I32">
        <v>1</v>
      </c>
      <c r="K32">
        <v>2</v>
      </c>
      <c r="V32">
        <v>32</v>
      </c>
    </row>
    <row r="33" spans="1:22">
      <c r="A33" s="9" t="s">
        <v>1730</v>
      </c>
      <c r="C33">
        <v>1</v>
      </c>
      <c r="E33">
        <v>1</v>
      </c>
      <c r="F33">
        <v>28</v>
      </c>
      <c r="K33">
        <v>2</v>
      </c>
      <c r="V33">
        <v>32</v>
      </c>
    </row>
    <row r="34" spans="1:22">
      <c r="A34" s="9" t="s">
        <v>163</v>
      </c>
      <c r="B34">
        <v>3</v>
      </c>
      <c r="C34">
        <v>1</v>
      </c>
      <c r="F34">
        <v>24</v>
      </c>
      <c r="G34">
        <v>3</v>
      </c>
      <c r="H34">
        <v>1</v>
      </c>
      <c r="V34">
        <v>32</v>
      </c>
    </row>
    <row r="35" spans="1:22">
      <c r="A35" s="9" t="s">
        <v>810</v>
      </c>
      <c r="C35">
        <v>10</v>
      </c>
      <c r="D35">
        <v>1</v>
      </c>
      <c r="F35">
        <v>7</v>
      </c>
      <c r="G35">
        <v>8</v>
      </c>
      <c r="H35">
        <v>1</v>
      </c>
      <c r="R35">
        <v>4</v>
      </c>
      <c r="V35">
        <v>31</v>
      </c>
    </row>
    <row r="36" spans="1:22">
      <c r="A36" s="9" t="s">
        <v>196</v>
      </c>
      <c r="C36">
        <v>3</v>
      </c>
      <c r="D36">
        <v>1</v>
      </c>
      <c r="F36">
        <v>19</v>
      </c>
      <c r="G36">
        <v>1</v>
      </c>
      <c r="I36">
        <v>2</v>
      </c>
      <c r="K36">
        <v>4</v>
      </c>
      <c r="V36">
        <v>30</v>
      </c>
    </row>
    <row r="37" spans="1:22">
      <c r="A37" s="9" t="s">
        <v>227</v>
      </c>
      <c r="C37">
        <v>6</v>
      </c>
      <c r="D37">
        <v>6</v>
      </c>
      <c r="F37">
        <v>3</v>
      </c>
      <c r="G37">
        <v>13</v>
      </c>
      <c r="H37">
        <v>1</v>
      </c>
      <c r="R37">
        <v>1</v>
      </c>
      <c r="V37">
        <v>30</v>
      </c>
    </row>
    <row r="38" spans="1:22">
      <c r="A38" s="9" t="s">
        <v>650</v>
      </c>
      <c r="C38">
        <v>15</v>
      </c>
      <c r="D38">
        <v>1</v>
      </c>
      <c r="F38">
        <v>4</v>
      </c>
      <c r="G38">
        <v>5</v>
      </c>
      <c r="V38">
        <v>25</v>
      </c>
    </row>
    <row r="39" spans="1:22">
      <c r="A39" s="9" t="s">
        <v>1533</v>
      </c>
      <c r="D39">
        <v>6</v>
      </c>
      <c r="F39">
        <v>16</v>
      </c>
      <c r="G39">
        <v>1</v>
      </c>
      <c r="I39">
        <v>1</v>
      </c>
      <c r="V39">
        <v>24</v>
      </c>
    </row>
    <row r="40" spans="1:22">
      <c r="A40" s="9" t="s">
        <v>905</v>
      </c>
      <c r="F40">
        <v>23</v>
      </c>
      <c r="V40">
        <v>23</v>
      </c>
    </row>
    <row r="41" spans="1:22">
      <c r="A41" s="9" t="s">
        <v>580</v>
      </c>
      <c r="C41">
        <v>2</v>
      </c>
      <c r="D41">
        <v>4</v>
      </c>
      <c r="F41">
        <v>2</v>
      </c>
      <c r="G41">
        <v>13</v>
      </c>
      <c r="K41">
        <v>1</v>
      </c>
      <c r="V41">
        <v>22</v>
      </c>
    </row>
    <row r="42" spans="1:22">
      <c r="A42" s="9" t="s">
        <v>987</v>
      </c>
      <c r="C42">
        <v>1</v>
      </c>
      <c r="F42">
        <v>14</v>
      </c>
      <c r="G42">
        <v>1</v>
      </c>
      <c r="K42">
        <v>2</v>
      </c>
      <c r="U42">
        <v>3</v>
      </c>
      <c r="V42">
        <v>21</v>
      </c>
    </row>
    <row r="43" spans="1:22">
      <c r="A43" s="9" t="s">
        <v>1163</v>
      </c>
      <c r="F43">
        <v>21</v>
      </c>
      <c r="V43">
        <v>21</v>
      </c>
    </row>
    <row r="44" spans="1:22">
      <c r="A44" s="9" t="s">
        <v>1232</v>
      </c>
      <c r="C44">
        <v>5</v>
      </c>
      <c r="D44">
        <v>6</v>
      </c>
      <c r="F44">
        <v>2</v>
      </c>
      <c r="G44">
        <v>2</v>
      </c>
      <c r="H44">
        <v>1</v>
      </c>
      <c r="K44">
        <v>5</v>
      </c>
      <c r="V44">
        <v>21</v>
      </c>
    </row>
    <row r="45" spans="1:22">
      <c r="A45" s="9" t="s">
        <v>108</v>
      </c>
      <c r="C45">
        <v>2</v>
      </c>
      <c r="D45">
        <v>3</v>
      </c>
      <c r="E45">
        <v>1</v>
      </c>
      <c r="F45">
        <v>1</v>
      </c>
      <c r="G45">
        <v>9</v>
      </c>
      <c r="I45">
        <v>3</v>
      </c>
      <c r="K45">
        <v>1</v>
      </c>
      <c r="V45">
        <v>20</v>
      </c>
    </row>
    <row r="46" spans="1:22">
      <c r="A46" s="9" t="s">
        <v>132</v>
      </c>
      <c r="F46">
        <v>3</v>
      </c>
      <c r="G46">
        <v>2</v>
      </c>
      <c r="J46">
        <v>6</v>
      </c>
      <c r="P46">
        <v>1</v>
      </c>
      <c r="Q46">
        <v>6</v>
      </c>
      <c r="S46">
        <v>1</v>
      </c>
      <c r="V46">
        <v>19</v>
      </c>
    </row>
    <row r="47" spans="1:22">
      <c r="A47" s="9" t="s">
        <v>443</v>
      </c>
      <c r="B47">
        <v>1</v>
      </c>
      <c r="D47">
        <v>1</v>
      </c>
      <c r="F47">
        <v>8</v>
      </c>
      <c r="G47">
        <v>1</v>
      </c>
      <c r="K47">
        <v>1</v>
      </c>
      <c r="N47">
        <v>1</v>
      </c>
      <c r="O47">
        <v>1</v>
      </c>
      <c r="R47">
        <v>1</v>
      </c>
      <c r="U47">
        <v>3</v>
      </c>
      <c r="V47">
        <v>18</v>
      </c>
    </row>
    <row r="48" spans="1:22">
      <c r="A48" s="9" t="s">
        <v>716</v>
      </c>
      <c r="C48">
        <v>4</v>
      </c>
      <c r="F48">
        <v>4</v>
      </c>
      <c r="G48">
        <v>5</v>
      </c>
      <c r="K48">
        <v>3</v>
      </c>
      <c r="R48">
        <v>1</v>
      </c>
      <c r="S48">
        <v>1</v>
      </c>
      <c r="V48">
        <v>18</v>
      </c>
    </row>
    <row r="49" spans="1:22">
      <c r="A49" s="9" t="s">
        <v>1358</v>
      </c>
      <c r="F49">
        <v>17</v>
      </c>
      <c r="V49">
        <v>17</v>
      </c>
    </row>
    <row r="50" spans="1:22">
      <c r="A50" s="9" t="s">
        <v>3142</v>
      </c>
      <c r="F50">
        <v>17</v>
      </c>
      <c r="V50">
        <v>17</v>
      </c>
    </row>
    <row r="51" spans="1:22">
      <c r="A51" s="9" t="s">
        <v>612</v>
      </c>
      <c r="C51">
        <v>12</v>
      </c>
      <c r="F51">
        <v>3</v>
      </c>
      <c r="V51">
        <v>15</v>
      </c>
    </row>
    <row r="52" spans="1:22">
      <c r="A52" s="9" t="s">
        <v>873</v>
      </c>
      <c r="C52">
        <v>1</v>
      </c>
      <c r="D52">
        <v>1</v>
      </c>
      <c r="F52">
        <v>1</v>
      </c>
      <c r="K52">
        <v>11</v>
      </c>
      <c r="V52">
        <v>14</v>
      </c>
    </row>
    <row r="53" spans="1:22">
      <c r="A53" s="9" t="s">
        <v>444</v>
      </c>
      <c r="E53">
        <v>1</v>
      </c>
      <c r="N53">
        <v>12</v>
      </c>
      <c r="V53">
        <v>13</v>
      </c>
    </row>
    <row r="54" spans="1:22">
      <c r="A54" s="9" t="s">
        <v>1722</v>
      </c>
      <c r="M54">
        <v>2</v>
      </c>
      <c r="T54">
        <v>9</v>
      </c>
      <c r="V54">
        <v>11</v>
      </c>
    </row>
    <row r="55" spans="1:22">
      <c r="A55" s="9" t="s">
        <v>851</v>
      </c>
      <c r="C55">
        <v>2</v>
      </c>
      <c r="E55">
        <v>2</v>
      </c>
      <c r="F55">
        <v>3</v>
      </c>
      <c r="I55">
        <v>1</v>
      </c>
      <c r="K55">
        <v>1</v>
      </c>
      <c r="R55">
        <v>2</v>
      </c>
      <c r="V55">
        <v>11</v>
      </c>
    </row>
    <row r="56" spans="1:22">
      <c r="A56" s="9" t="s">
        <v>1999</v>
      </c>
      <c r="F56">
        <v>8</v>
      </c>
      <c r="G56">
        <v>1</v>
      </c>
      <c r="H56">
        <v>1</v>
      </c>
      <c r="I56">
        <v>1</v>
      </c>
      <c r="V56">
        <v>11</v>
      </c>
    </row>
    <row r="57" spans="1:22">
      <c r="A57" s="9" t="s">
        <v>2180</v>
      </c>
      <c r="F57">
        <v>11</v>
      </c>
      <c r="V57">
        <v>11</v>
      </c>
    </row>
    <row r="58" spans="1:22">
      <c r="A58" s="9" t="s">
        <v>543</v>
      </c>
      <c r="C58">
        <v>1</v>
      </c>
      <c r="S58">
        <v>2</v>
      </c>
      <c r="U58">
        <v>5</v>
      </c>
      <c r="V58">
        <v>8</v>
      </c>
    </row>
    <row r="59" spans="1:22">
      <c r="A59" s="9" t="s">
        <v>2568</v>
      </c>
      <c r="C59">
        <v>4</v>
      </c>
      <c r="D59">
        <v>3</v>
      </c>
      <c r="V59">
        <v>7</v>
      </c>
    </row>
    <row r="60" spans="1:22">
      <c r="A60" s="9" t="s">
        <v>535</v>
      </c>
      <c r="F60">
        <v>1</v>
      </c>
      <c r="G60">
        <v>3</v>
      </c>
      <c r="R60">
        <v>2</v>
      </c>
      <c r="V60">
        <v>6</v>
      </c>
    </row>
    <row r="61" spans="1:22">
      <c r="A61" s="9" t="s">
        <v>1407</v>
      </c>
      <c r="F61">
        <v>5</v>
      </c>
      <c r="V61">
        <v>5</v>
      </c>
    </row>
    <row r="62" spans="1:22">
      <c r="A62" s="9" t="s">
        <v>201</v>
      </c>
      <c r="D62">
        <v>2</v>
      </c>
      <c r="F62">
        <v>1</v>
      </c>
      <c r="G62">
        <v>1</v>
      </c>
      <c r="V62">
        <v>4</v>
      </c>
    </row>
    <row r="63" spans="1:22">
      <c r="A63" s="9" t="s">
        <v>3336</v>
      </c>
      <c r="D63">
        <v>1</v>
      </c>
      <c r="G63">
        <v>2</v>
      </c>
      <c r="V63">
        <v>3</v>
      </c>
    </row>
    <row r="64" spans="1:22">
      <c r="A64" s="9" t="s">
        <v>5785</v>
      </c>
      <c r="B64">
        <v>63</v>
      </c>
      <c r="C64">
        <v>248</v>
      </c>
      <c r="D64">
        <v>133</v>
      </c>
      <c r="E64">
        <v>10</v>
      </c>
      <c r="F64">
        <v>1609</v>
      </c>
      <c r="G64">
        <v>171</v>
      </c>
      <c r="H64">
        <v>42</v>
      </c>
      <c r="I64">
        <v>84</v>
      </c>
      <c r="J64">
        <v>6</v>
      </c>
      <c r="K64">
        <v>91</v>
      </c>
      <c r="L64">
        <v>10</v>
      </c>
      <c r="M64">
        <v>2</v>
      </c>
      <c r="N64">
        <v>15</v>
      </c>
      <c r="O64">
        <v>16</v>
      </c>
      <c r="P64">
        <v>2</v>
      </c>
      <c r="Q64">
        <v>6</v>
      </c>
      <c r="R64">
        <v>20</v>
      </c>
      <c r="S64">
        <v>13</v>
      </c>
      <c r="T64">
        <v>9</v>
      </c>
      <c r="U64">
        <v>24</v>
      </c>
      <c r="V64">
        <v>2574</v>
      </c>
    </row>
  </sheetData>
  <phoneticPr fontId="2" type="noConversion"/>
  <conditionalFormatting pivot="1" sqref="B6:U53 B55:U63">
    <cfRule type="colorScale" priority="3">
      <colorScale>
        <cfvo type="min"/>
        <cfvo type="max"/>
        <color rgb="FFFCFCFF"/>
        <color rgb="FF63BE7B"/>
      </colorScale>
    </cfRule>
  </conditionalFormatting>
  <conditionalFormatting pivot="1" sqref="V6:V53 V55:V63">
    <cfRule type="colorScale" priority="2">
      <colorScale>
        <cfvo type="min"/>
        <cfvo type="max"/>
        <color rgb="FFFCFCFF"/>
        <color rgb="FFF8696B"/>
      </colorScale>
    </cfRule>
  </conditionalFormatting>
  <conditionalFormatting pivot="1" sqref="B64:U64">
    <cfRule type="colorScale" priority="1">
      <colorScale>
        <cfvo type="min"/>
        <cfvo type="max"/>
        <color rgb="FFFCFCFF"/>
        <color rgb="FFF8696B"/>
      </colorScale>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A0E69-DB45-D240-9F8A-89414D25B7E0}">
  <dimension ref="B1:J24"/>
  <sheetViews>
    <sheetView workbookViewId="0">
      <selection activeCell="F4" sqref="F4"/>
    </sheetView>
  </sheetViews>
  <sheetFormatPr baseColWidth="10" defaultRowHeight="18"/>
  <cols>
    <col min="1" max="1" width="4.85546875" customWidth="1"/>
    <col min="2" max="2" width="20.7109375" bestFit="1" customWidth="1"/>
    <col min="3" max="3" width="5.7109375" bestFit="1" customWidth="1"/>
    <col min="4" max="4" width="8.7109375" bestFit="1" customWidth="1"/>
    <col min="5" max="5" width="10.28515625" bestFit="1" customWidth="1"/>
    <col min="6" max="6" width="22.7109375" bestFit="1" customWidth="1"/>
    <col min="7" max="7" width="5.7109375" bestFit="1" customWidth="1"/>
    <col min="8" max="9" width="8.7109375" bestFit="1" customWidth="1"/>
  </cols>
  <sheetData>
    <row r="1" spans="2:10">
      <c r="B1" s="12" t="s">
        <v>5792</v>
      </c>
      <c r="F1" s="12" t="s">
        <v>5793</v>
      </c>
    </row>
    <row r="3" spans="2:10">
      <c r="B3" s="8" t="s">
        <v>5786</v>
      </c>
      <c r="C3" t="s">
        <v>5788</v>
      </c>
      <c r="D3" t="s">
        <v>5787</v>
      </c>
      <c r="F3" s="8" t="s">
        <v>5784</v>
      </c>
      <c r="G3" t="s">
        <v>5788</v>
      </c>
      <c r="H3" t="s">
        <v>5787</v>
      </c>
    </row>
    <row r="4" spans="2:10">
      <c r="B4" t="s">
        <v>31</v>
      </c>
      <c r="C4">
        <v>1609</v>
      </c>
      <c r="D4" s="11">
        <v>0.62509712509712512</v>
      </c>
      <c r="F4" s="9" t="s">
        <v>31</v>
      </c>
      <c r="G4">
        <v>1609</v>
      </c>
      <c r="H4" s="11">
        <v>0.62509712509712512</v>
      </c>
      <c r="J4" s="12" t="s">
        <v>5833</v>
      </c>
    </row>
    <row r="5" spans="2:10">
      <c r="B5" t="s">
        <v>36</v>
      </c>
      <c r="C5">
        <v>248</v>
      </c>
      <c r="D5" s="11">
        <v>9.6348096348096351E-2</v>
      </c>
      <c r="F5" s="9" t="s">
        <v>36</v>
      </c>
      <c r="G5">
        <v>248</v>
      </c>
      <c r="H5" s="11">
        <v>9.6348096348096351E-2</v>
      </c>
    </row>
    <row r="6" spans="2:10">
      <c r="B6" t="s">
        <v>24</v>
      </c>
      <c r="C6">
        <v>171</v>
      </c>
      <c r="D6" s="11">
        <v>6.6433566433566432E-2</v>
      </c>
      <c r="F6" s="9" t="s">
        <v>24</v>
      </c>
      <c r="G6">
        <v>171</v>
      </c>
      <c r="H6" s="11">
        <v>6.6433566433566432E-2</v>
      </c>
    </row>
    <row r="7" spans="2:10">
      <c r="B7" t="s">
        <v>88</v>
      </c>
      <c r="C7">
        <v>133</v>
      </c>
      <c r="D7" s="11">
        <v>5.1670551670551672E-2</v>
      </c>
      <c r="F7" s="9" t="s">
        <v>88</v>
      </c>
      <c r="G7">
        <v>133</v>
      </c>
      <c r="H7" s="11">
        <v>5.1670551670551672E-2</v>
      </c>
    </row>
    <row r="8" spans="2:10">
      <c r="B8" t="s">
        <v>223</v>
      </c>
      <c r="C8">
        <v>91</v>
      </c>
      <c r="D8" s="11">
        <v>3.5353535353535352E-2</v>
      </c>
      <c r="F8" s="9" t="s">
        <v>223</v>
      </c>
      <c r="G8">
        <v>91</v>
      </c>
      <c r="H8" s="11">
        <v>3.5353535353535352E-2</v>
      </c>
    </row>
    <row r="9" spans="2:10">
      <c r="B9" t="s">
        <v>66</v>
      </c>
      <c r="C9">
        <v>84</v>
      </c>
      <c r="D9" s="11">
        <v>3.2634032634032632E-2</v>
      </c>
      <c r="F9" s="9" t="s">
        <v>66</v>
      </c>
      <c r="G9">
        <v>84</v>
      </c>
      <c r="H9" s="11">
        <v>3.2634032634032632E-2</v>
      </c>
    </row>
    <row r="10" spans="2:10">
      <c r="B10" t="s">
        <v>246</v>
      </c>
      <c r="C10">
        <v>63</v>
      </c>
      <c r="D10" s="11">
        <v>2.4475524475524476E-2</v>
      </c>
      <c r="F10" s="9" t="s">
        <v>246</v>
      </c>
      <c r="G10">
        <v>63</v>
      </c>
      <c r="H10" s="11">
        <v>2.4475524475524476E-2</v>
      </c>
    </row>
    <row r="11" spans="2:10">
      <c r="B11" t="s">
        <v>193</v>
      </c>
      <c r="C11">
        <v>42</v>
      </c>
      <c r="D11" s="11">
        <v>1.6317016317016316E-2</v>
      </c>
      <c r="F11" s="9" t="s">
        <v>193</v>
      </c>
      <c r="G11">
        <v>42</v>
      </c>
      <c r="H11" s="11">
        <v>1.6317016317016316E-2</v>
      </c>
    </row>
    <row r="12" spans="2:10">
      <c r="B12" t="s">
        <v>979</v>
      </c>
      <c r="C12">
        <v>24</v>
      </c>
      <c r="D12" s="11">
        <v>9.324009324009324E-3</v>
      </c>
      <c r="F12" s="9" t="s">
        <v>979</v>
      </c>
      <c r="G12">
        <v>24</v>
      </c>
      <c r="H12" s="11">
        <v>9.324009324009324E-3</v>
      </c>
    </row>
    <row r="13" spans="2:10">
      <c r="B13" t="s">
        <v>418</v>
      </c>
      <c r="C13">
        <v>20</v>
      </c>
      <c r="D13" s="11">
        <v>7.77000777000777E-3</v>
      </c>
      <c r="F13" s="9" t="s">
        <v>418</v>
      </c>
      <c r="G13">
        <v>20</v>
      </c>
      <c r="H13" s="11">
        <v>7.77000777000777E-3</v>
      </c>
    </row>
    <row r="14" spans="2:10">
      <c r="B14" t="s">
        <v>508</v>
      </c>
      <c r="C14">
        <v>16</v>
      </c>
      <c r="D14" s="11">
        <v>6.216006216006216E-3</v>
      </c>
      <c r="F14" s="9" t="s">
        <v>508</v>
      </c>
      <c r="G14">
        <v>16</v>
      </c>
      <c r="H14" s="11">
        <v>6.216006216006216E-3</v>
      </c>
    </row>
    <row r="15" spans="2:10">
      <c r="B15" t="s">
        <v>444</v>
      </c>
      <c r="C15">
        <v>15</v>
      </c>
      <c r="D15" s="11">
        <v>5.8275058275058279E-3</v>
      </c>
      <c r="F15" s="9" t="s">
        <v>444</v>
      </c>
      <c r="G15">
        <v>15</v>
      </c>
      <c r="H15" s="11">
        <v>5.8275058275058279E-3</v>
      </c>
    </row>
    <row r="16" spans="2:10">
      <c r="B16" t="s">
        <v>72</v>
      </c>
      <c r="C16">
        <v>13</v>
      </c>
      <c r="D16" s="11">
        <v>5.0505050505050509E-3</v>
      </c>
      <c r="F16" s="9" t="s">
        <v>72</v>
      </c>
      <c r="G16">
        <v>13</v>
      </c>
      <c r="H16" s="11">
        <v>5.0505050505050509E-3</v>
      </c>
    </row>
    <row r="17" spans="2:8">
      <c r="B17" t="s">
        <v>692</v>
      </c>
      <c r="C17">
        <v>10</v>
      </c>
      <c r="D17" s="11">
        <v>3.885003885003885E-3</v>
      </c>
      <c r="F17" s="9" t="s">
        <v>692</v>
      </c>
      <c r="G17">
        <v>10</v>
      </c>
      <c r="H17" s="11">
        <v>3.885003885003885E-3</v>
      </c>
    </row>
    <row r="18" spans="2:8">
      <c r="B18" t="s">
        <v>512</v>
      </c>
      <c r="C18">
        <v>10</v>
      </c>
      <c r="D18" s="11">
        <v>3.885003885003885E-3</v>
      </c>
      <c r="F18" s="9" t="s">
        <v>512</v>
      </c>
      <c r="G18">
        <v>10</v>
      </c>
      <c r="H18" s="11">
        <v>3.885003885003885E-3</v>
      </c>
    </row>
    <row r="19" spans="2:8">
      <c r="B19" t="s">
        <v>1722</v>
      </c>
      <c r="C19">
        <v>9</v>
      </c>
      <c r="D19" s="11">
        <v>3.4965034965034965E-3</v>
      </c>
      <c r="F19" s="9" t="s">
        <v>1722</v>
      </c>
      <c r="G19">
        <v>9</v>
      </c>
      <c r="H19" s="11">
        <v>3.4965034965034965E-3</v>
      </c>
    </row>
    <row r="20" spans="2:8">
      <c r="B20" t="s">
        <v>525</v>
      </c>
      <c r="C20">
        <v>6</v>
      </c>
      <c r="D20" s="11">
        <v>2.331002331002331E-3</v>
      </c>
      <c r="F20" s="9" t="s">
        <v>525</v>
      </c>
      <c r="G20">
        <v>6</v>
      </c>
      <c r="H20" s="11">
        <v>2.331002331002331E-3</v>
      </c>
    </row>
    <row r="21" spans="2:8">
      <c r="B21" t="s">
        <v>864</v>
      </c>
      <c r="C21">
        <v>6</v>
      </c>
      <c r="D21" s="11">
        <v>2.331002331002331E-3</v>
      </c>
      <c r="F21" s="9" t="s">
        <v>864</v>
      </c>
      <c r="G21">
        <v>6</v>
      </c>
      <c r="H21" s="11">
        <v>2.331002331002331E-3</v>
      </c>
    </row>
    <row r="22" spans="2:8">
      <c r="B22" t="s">
        <v>1995</v>
      </c>
      <c r="C22">
        <v>2</v>
      </c>
      <c r="D22" s="11">
        <v>7.77000777000777E-4</v>
      </c>
      <c r="F22" s="9" t="s">
        <v>1995</v>
      </c>
      <c r="G22">
        <v>2</v>
      </c>
      <c r="H22" s="11">
        <v>7.77000777000777E-4</v>
      </c>
    </row>
    <row r="23" spans="2:8">
      <c r="B23" t="s">
        <v>5217</v>
      </c>
      <c r="C23">
        <v>2</v>
      </c>
      <c r="D23" s="11">
        <v>7.77000777000777E-4</v>
      </c>
      <c r="F23" s="9" t="s">
        <v>5217</v>
      </c>
      <c r="G23">
        <v>2</v>
      </c>
      <c r="H23" s="11">
        <v>7.77000777000777E-4</v>
      </c>
    </row>
    <row r="24" spans="2:8">
      <c r="B24" t="s">
        <v>5785</v>
      </c>
      <c r="C24">
        <v>2574</v>
      </c>
      <c r="D24" s="11">
        <v>1</v>
      </c>
      <c r="F24" s="9" t="s">
        <v>5785</v>
      </c>
      <c r="G24">
        <v>2574</v>
      </c>
      <c r="H24" s="11">
        <v>1</v>
      </c>
    </row>
  </sheetData>
  <phoneticPr fontId="2" type="noConversion"/>
  <conditionalFormatting pivot="1">
    <cfRule type="colorScale" priority="1">
      <colorScale>
        <cfvo type="min"/>
        <cfvo type="max"/>
        <color rgb="FFFCFCFF"/>
        <color rgb="FF63BE7B"/>
      </colorScale>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6EB6B-7B1E-1F49-A0A5-9A5162E2D362}">
  <dimension ref="A1:KV114"/>
  <sheetViews>
    <sheetView workbookViewId="0"/>
  </sheetViews>
  <sheetFormatPr baseColWidth="10" defaultRowHeight="18"/>
  <sheetData>
    <row r="1" spans="1:308">
      <c r="A1" t="s">
        <v>5835</v>
      </c>
      <c r="B1" t="s">
        <v>16</v>
      </c>
      <c r="C1" t="s">
        <v>505</v>
      </c>
      <c r="D1" t="s">
        <v>554</v>
      </c>
      <c r="E1" t="s">
        <v>5839</v>
      </c>
      <c r="F1" t="s">
        <v>5840</v>
      </c>
      <c r="G1" t="s">
        <v>5840</v>
      </c>
      <c r="H1" t="s">
        <v>5901</v>
      </c>
      <c r="I1" t="s">
        <v>4600</v>
      </c>
      <c r="J1" t="s">
        <v>6011</v>
      </c>
      <c r="K1" t="s">
        <v>6012</v>
      </c>
      <c r="L1" t="s">
        <v>6013</v>
      </c>
      <c r="M1" t="s">
        <v>5727</v>
      </c>
      <c r="P1" t="s">
        <v>16</v>
      </c>
      <c r="Q1" t="s">
        <v>1952</v>
      </c>
      <c r="R1" t="s">
        <v>2764</v>
      </c>
      <c r="S1" t="s">
        <v>3127</v>
      </c>
      <c r="T1" t="s">
        <v>4600</v>
      </c>
      <c r="U1" t="s">
        <v>5462</v>
      </c>
      <c r="V1" t="s">
        <v>5586</v>
      </c>
      <c r="W1" t="s">
        <v>5679</v>
      </c>
      <c r="X1" t="s">
        <v>5727</v>
      </c>
      <c r="Y1" t="s">
        <v>505</v>
      </c>
      <c r="Z1" t="s">
        <v>554</v>
      </c>
      <c r="AA1" t="s">
        <v>901</v>
      </c>
      <c r="AB1" s="24" t="s">
        <v>6182</v>
      </c>
      <c r="AC1" s="115" t="s">
        <v>6190</v>
      </c>
      <c r="AD1" s="115" t="s">
        <v>6191</v>
      </c>
      <c r="AE1" s="116" t="s">
        <v>19</v>
      </c>
      <c r="AF1" s="116" t="s">
        <v>904</v>
      </c>
      <c r="AG1" s="116" t="s">
        <v>200</v>
      </c>
      <c r="AH1" s="116" t="s">
        <v>571</v>
      </c>
      <c r="AI1" s="116" t="s">
        <v>41</v>
      </c>
      <c r="AJ1" s="116" t="s">
        <v>1017</v>
      </c>
      <c r="AK1" s="116" t="s">
        <v>266</v>
      </c>
      <c r="AL1" s="116" t="s">
        <v>162</v>
      </c>
      <c r="AM1" s="116" t="s">
        <v>519</v>
      </c>
      <c r="AN1" s="116" t="s">
        <v>233</v>
      </c>
      <c r="AO1" s="116" t="s">
        <v>1312</v>
      </c>
      <c r="AP1" s="116" t="s">
        <v>956</v>
      </c>
      <c r="AQ1" s="116" t="s">
        <v>1093</v>
      </c>
      <c r="AR1" s="116" t="s">
        <v>64</v>
      </c>
      <c r="AS1" s="116" t="s">
        <v>588</v>
      </c>
      <c r="AT1" s="116" t="s">
        <v>70</v>
      </c>
      <c r="AU1" s="116" t="s">
        <v>443</v>
      </c>
      <c r="AV1" s="116" t="s">
        <v>557</v>
      </c>
      <c r="AW1" s="116" t="s">
        <v>52</v>
      </c>
      <c r="AX1" s="116" t="s">
        <v>1730</v>
      </c>
      <c r="AY1" s="116" t="s">
        <v>196</v>
      </c>
      <c r="AZ1" s="116" t="s">
        <v>650</v>
      </c>
      <c r="BA1" s="116" t="s">
        <v>5841</v>
      </c>
      <c r="BB1" s="116" t="s">
        <v>5864</v>
      </c>
      <c r="BC1" s="116" t="s">
        <v>5869</v>
      </c>
      <c r="BD1" s="116" t="s">
        <v>5871</v>
      </c>
      <c r="BE1" s="116" t="s">
        <v>5880</v>
      </c>
      <c r="BF1" s="116" t="s">
        <v>5884</v>
      </c>
      <c r="BG1" s="116" t="s">
        <v>5886</v>
      </c>
      <c r="BH1" s="116" t="s">
        <v>5889</v>
      </c>
      <c r="BI1" s="116" t="s">
        <v>5894</v>
      </c>
      <c r="BJ1" s="116" t="s">
        <v>5847</v>
      </c>
      <c r="BK1" s="116" t="s">
        <v>5850</v>
      </c>
      <c r="BL1" s="116" t="s">
        <v>5856</v>
      </c>
      <c r="BM1" s="118" t="s">
        <v>5841</v>
      </c>
      <c r="BN1" s="117" t="s">
        <v>5864</v>
      </c>
      <c r="BO1" s="117" t="s">
        <v>5869</v>
      </c>
      <c r="BP1" t="s">
        <v>5871</v>
      </c>
      <c r="BQ1" t="s">
        <v>5880</v>
      </c>
      <c r="BR1" t="s">
        <v>5884</v>
      </c>
      <c r="BS1" t="s">
        <v>5886</v>
      </c>
      <c r="BT1" t="s">
        <v>5850</v>
      </c>
      <c r="BU1" t="s">
        <v>5856</v>
      </c>
      <c r="BV1" t="s">
        <v>40</v>
      </c>
      <c r="BW1" t="s">
        <v>5842</v>
      </c>
      <c r="BX1" t="s">
        <v>5843</v>
      </c>
      <c r="BY1" t="s">
        <v>5844</v>
      </c>
      <c r="BZ1" t="s">
        <v>5845</v>
      </c>
      <c r="CA1" t="s">
        <v>5846</v>
      </c>
      <c r="CB1" t="s">
        <v>5848</v>
      </c>
      <c r="CC1" t="s">
        <v>5849</v>
      </c>
      <c r="CD1" t="s">
        <v>5851</v>
      </c>
      <c r="CE1" t="s">
        <v>5852</v>
      </c>
      <c r="CF1" t="s">
        <v>5853</v>
      </c>
      <c r="CG1" t="s">
        <v>5854</v>
      </c>
      <c r="CH1" t="s">
        <v>5855</v>
      </c>
      <c r="CI1" t="s">
        <v>5857</v>
      </c>
      <c r="CJ1" t="s">
        <v>5858</v>
      </c>
      <c r="CK1" t="s">
        <v>5859</v>
      </c>
      <c r="CL1" t="s">
        <v>5860</v>
      </c>
      <c r="CM1" t="s">
        <v>5861</v>
      </c>
      <c r="CN1" t="s">
        <v>5862</v>
      </c>
      <c r="CO1" t="s">
        <v>5863</v>
      </c>
      <c r="CP1" t="s">
        <v>5865</v>
      </c>
      <c r="CQ1" t="s">
        <v>5866</v>
      </c>
      <c r="CR1" t="s">
        <v>5867</v>
      </c>
      <c r="CS1" t="s">
        <v>5868</v>
      </c>
      <c r="CT1" t="s">
        <v>5870</v>
      </c>
      <c r="CU1" t="s">
        <v>5872</v>
      </c>
      <c r="CV1" t="s">
        <v>5873</v>
      </c>
      <c r="CW1" t="s">
        <v>5874</v>
      </c>
      <c r="CX1" t="s">
        <v>5875</v>
      </c>
      <c r="CY1" t="s">
        <v>5876</v>
      </c>
      <c r="CZ1" t="s">
        <v>5877</v>
      </c>
      <c r="DA1" t="s">
        <v>5878</v>
      </c>
      <c r="DB1" t="s">
        <v>5879</v>
      </c>
      <c r="DC1" t="s">
        <v>5881</v>
      </c>
      <c r="DD1" t="s">
        <v>5882</v>
      </c>
      <c r="DE1" t="s">
        <v>5883</v>
      </c>
      <c r="DF1" t="s">
        <v>5885</v>
      </c>
      <c r="DG1" t="s">
        <v>5887</v>
      </c>
      <c r="DH1" t="s">
        <v>5888</v>
      </c>
      <c r="DI1" t="s">
        <v>5890</v>
      </c>
      <c r="DJ1" t="s">
        <v>5891</v>
      </c>
      <c r="DK1" t="s">
        <v>5892</v>
      </c>
      <c r="DL1" t="s">
        <v>5893</v>
      </c>
      <c r="DM1" t="s">
        <v>5895</v>
      </c>
      <c r="DN1" t="s">
        <v>5896</v>
      </c>
      <c r="DO1" t="s">
        <v>5897</v>
      </c>
      <c r="DP1" t="s">
        <v>5898</v>
      </c>
      <c r="DQ1" t="s">
        <v>18</v>
      </c>
      <c r="DR1" t="s">
        <v>47</v>
      </c>
      <c r="DS1" t="s">
        <v>5902</v>
      </c>
      <c r="DT1" t="s">
        <v>5903</v>
      </c>
      <c r="DU1" t="s">
        <v>5904</v>
      </c>
      <c r="DV1" t="s">
        <v>5905</v>
      </c>
      <c r="DW1" t="s">
        <v>5906</v>
      </c>
      <c r="DX1" t="s">
        <v>5907</v>
      </c>
      <c r="DY1" t="s">
        <v>5908</v>
      </c>
      <c r="DZ1" t="s">
        <v>5909</v>
      </c>
      <c r="EA1" t="s">
        <v>5910</v>
      </c>
      <c r="EB1" t="s">
        <v>5911</v>
      </c>
      <c r="EC1" t="s">
        <v>5912</v>
      </c>
      <c r="ED1" t="s">
        <v>5913</v>
      </c>
      <c r="EE1" t="s">
        <v>5914</v>
      </c>
      <c r="EF1" t="s">
        <v>5915</v>
      </c>
      <c r="EG1" t="s">
        <v>5916</v>
      </c>
      <c r="EH1" t="s">
        <v>5948</v>
      </c>
      <c r="EI1" t="s">
        <v>5949</v>
      </c>
      <c r="EJ1" t="s">
        <v>5950</v>
      </c>
      <c r="EK1" t="s">
        <v>5951</v>
      </c>
      <c r="EL1" t="s">
        <v>5952</v>
      </c>
      <c r="EM1" t="s">
        <v>5953</v>
      </c>
      <c r="EN1" t="s">
        <v>5954</v>
      </c>
      <c r="EO1" t="s">
        <v>5955</v>
      </c>
      <c r="EP1" t="s">
        <v>5956</v>
      </c>
      <c r="EQ1" t="s">
        <v>5957</v>
      </c>
      <c r="ER1" t="s">
        <v>5958</v>
      </c>
      <c r="ES1" t="s">
        <v>5959</v>
      </c>
      <c r="ET1" t="s">
        <v>5960</v>
      </c>
      <c r="EU1" t="s">
        <v>5961</v>
      </c>
      <c r="EV1" t="s">
        <v>5962</v>
      </c>
      <c r="EW1" t="s">
        <v>5963</v>
      </c>
      <c r="EX1" t="s">
        <v>5964</v>
      </c>
      <c r="EY1" t="s">
        <v>5965</v>
      </c>
      <c r="EZ1" t="s">
        <v>5966</v>
      </c>
      <c r="FA1" t="s">
        <v>5967</v>
      </c>
      <c r="FB1" t="s">
        <v>5968</v>
      </c>
      <c r="FC1" t="s">
        <v>5969</v>
      </c>
      <c r="FD1" t="s">
        <v>5970</v>
      </c>
      <c r="FE1" t="s">
        <v>5971</v>
      </c>
      <c r="FF1" t="s">
        <v>5972</v>
      </c>
      <c r="FG1" t="s">
        <v>5973</v>
      </c>
      <c r="FH1" t="s">
        <v>5974</v>
      </c>
      <c r="FI1" t="s">
        <v>5975</v>
      </c>
      <c r="FJ1" t="s">
        <v>5976</v>
      </c>
      <c r="FK1" t="s">
        <v>5977</v>
      </c>
      <c r="FL1" t="s">
        <v>5978</v>
      </c>
      <c r="FM1" t="s">
        <v>5979</v>
      </c>
      <c r="FN1" t="s">
        <v>5980</v>
      </c>
      <c r="FO1" t="s">
        <v>5981</v>
      </c>
      <c r="FP1" t="s">
        <v>5982</v>
      </c>
      <c r="FQ1" t="s">
        <v>5983</v>
      </c>
      <c r="FR1" t="s">
        <v>5984</v>
      </c>
      <c r="FS1" t="s">
        <v>5985</v>
      </c>
      <c r="FT1" t="s">
        <v>5986</v>
      </c>
      <c r="FU1" t="s">
        <v>5987</v>
      </c>
      <c r="FV1" t="s">
        <v>5988</v>
      </c>
      <c r="FW1" t="s">
        <v>5989</v>
      </c>
      <c r="FX1" t="s">
        <v>5990</v>
      </c>
      <c r="FY1" t="s">
        <v>5991</v>
      </c>
      <c r="FZ1" t="s">
        <v>5992</v>
      </c>
      <c r="GA1" t="s">
        <v>5993</v>
      </c>
      <c r="GB1" t="s">
        <v>5994</v>
      </c>
      <c r="GC1" t="s">
        <v>5995</v>
      </c>
      <c r="GD1" t="s">
        <v>5996</v>
      </c>
      <c r="GE1" t="s">
        <v>5997</v>
      </c>
      <c r="GF1" t="s">
        <v>5998</v>
      </c>
      <c r="GG1" t="s">
        <v>5999</v>
      </c>
      <c r="GH1" t="s">
        <v>6000</v>
      </c>
      <c r="GI1" t="s">
        <v>6001</v>
      </c>
      <c r="GJ1" t="s">
        <v>6002</v>
      </c>
      <c r="GK1" t="s">
        <v>6003</v>
      </c>
      <c r="GL1" t="s">
        <v>6004</v>
      </c>
      <c r="GM1" t="s">
        <v>6005</v>
      </c>
      <c r="GN1" t="s">
        <v>6006</v>
      </c>
      <c r="GO1" t="s">
        <v>6007</v>
      </c>
      <c r="GP1" t="s">
        <v>6008</v>
      </c>
      <c r="GQ1" t="s">
        <v>6009</v>
      </c>
      <c r="GR1" t="s">
        <v>5917</v>
      </c>
      <c r="GS1" t="s">
        <v>5918</v>
      </c>
      <c r="GT1" t="s">
        <v>5919</v>
      </c>
      <c r="GU1" t="s">
        <v>5920</v>
      </c>
      <c r="GV1" t="s">
        <v>5921</v>
      </c>
      <c r="GW1" t="s">
        <v>5922</v>
      </c>
      <c r="GX1" t="s">
        <v>5923</v>
      </c>
      <c r="GY1" t="s">
        <v>5924</v>
      </c>
      <c r="GZ1" t="s">
        <v>5925</v>
      </c>
      <c r="HA1" t="s">
        <v>5926</v>
      </c>
      <c r="HB1" t="s">
        <v>5927</v>
      </c>
      <c r="HC1" t="s">
        <v>5928</v>
      </c>
      <c r="HD1" t="s">
        <v>5929</v>
      </c>
      <c r="HE1" t="s">
        <v>6226</v>
      </c>
      <c r="HF1" t="s">
        <v>6227</v>
      </c>
      <c r="HG1" t="s">
        <v>6228</v>
      </c>
      <c r="HH1" t="s">
        <v>6229</v>
      </c>
      <c r="HI1" t="s">
        <v>5930</v>
      </c>
      <c r="HJ1" t="s">
        <v>5931</v>
      </c>
      <c r="HK1" t="s">
        <v>5932</v>
      </c>
      <c r="HL1" t="s">
        <v>5933</v>
      </c>
      <c r="HM1" t="s">
        <v>6225</v>
      </c>
      <c r="HN1" t="s">
        <v>5934</v>
      </c>
      <c r="HO1" t="s">
        <v>5935</v>
      </c>
      <c r="HP1" t="s">
        <v>5936</v>
      </c>
      <c r="HQ1" t="s">
        <v>5937</v>
      </c>
      <c r="HR1" t="s">
        <v>5938</v>
      </c>
      <c r="HS1" t="s">
        <v>5939</v>
      </c>
      <c r="HT1" t="s">
        <v>5940</v>
      </c>
      <c r="HU1" t="s">
        <v>5941</v>
      </c>
      <c r="HV1" t="s">
        <v>5942</v>
      </c>
      <c r="HW1" t="s">
        <v>5943</v>
      </c>
      <c r="HX1" t="s">
        <v>5944</v>
      </c>
      <c r="HY1" t="s">
        <v>5945</v>
      </c>
      <c r="HZ1" t="s">
        <v>5946</v>
      </c>
      <c r="IA1" t="s">
        <v>5947</v>
      </c>
      <c r="IB1" t="s">
        <v>40</v>
      </c>
      <c r="IC1" t="s">
        <v>5842</v>
      </c>
      <c r="ID1" t="s">
        <v>5843</v>
      </c>
      <c r="IE1" t="s">
        <v>5844</v>
      </c>
      <c r="IF1" t="s">
        <v>5845</v>
      </c>
      <c r="IG1" t="s">
        <v>5846</v>
      </c>
      <c r="IH1" t="s">
        <v>5865</v>
      </c>
      <c r="II1" t="s">
        <v>5866</v>
      </c>
      <c r="IJ1" t="s">
        <v>5867</v>
      </c>
      <c r="IK1" t="s">
        <v>5868</v>
      </c>
      <c r="IL1" t="s">
        <v>5870</v>
      </c>
      <c r="IM1" t="s">
        <v>5872</v>
      </c>
      <c r="IN1" t="s">
        <v>5873</v>
      </c>
      <c r="IO1" t="s">
        <v>5874</v>
      </c>
      <c r="IP1" t="s">
        <v>5875</v>
      </c>
      <c r="IQ1" t="s">
        <v>5876</v>
      </c>
      <c r="IR1" t="s">
        <v>5877</v>
      </c>
      <c r="IS1" t="s">
        <v>5878</v>
      </c>
      <c r="IT1" t="s">
        <v>5879</v>
      </c>
      <c r="IU1" t="s">
        <v>5881</v>
      </c>
      <c r="IV1" t="s">
        <v>5882</v>
      </c>
      <c r="IW1" t="s">
        <v>5883</v>
      </c>
      <c r="IX1" t="s">
        <v>5885</v>
      </c>
      <c r="IY1" t="s">
        <v>5887</v>
      </c>
      <c r="IZ1" t="s">
        <v>5888</v>
      </c>
      <c r="JA1" t="s">
        <v>5890</v>
      </c>
      <c r="JB1" t="s">
        <v>5891</v>
      </c>
      <c r="JC1" t="s">
        <v>5892</v>
      </c>
      <c r="JD1" t="s">
        <v>5893</v>
      </c>
      <c r="JE1" t="s">
        <v>5895</v>
      </c>
      <c r="JF1" t="s">
        <v>5896</v>
      </c>
      <c r="JG1" t="s">
        <v>5897</v>
      </c>
      <c r="JH1" t="s">
        <v>5898</v>
      </c>
      <c r="JI1" t="s">
        <v>5899</v>
      </c>
      <c r="JJ1" t="s">
        <v>5900</v>
      </c>
      <c r="JK1" t="s">
        <v>5848</v>
      </c>
      <c r="JL1" t="s">
        <v>5849</v>
      </c>
      <c r="JM1" t="s">
        <v>5851</v>
      </c>
      <c r="JN1" t="s">
        <v>5852</v>
      </c>
      <c r="JO1" t="s">
        <v>5853</v>
      </c>
      <c r="JP1" t="s">
        <v>5854</v>
      </c>
      <c r="JQ1" t="s">
        <v>5855</v>
      </c>
      <c r="JR1" t="s">
        <v>5857</v>
      </c>
      <c r="JS1" t="s">
        <v>5858</v>
      </c>
      <c r="JT1" t="s">
        <v>5859</v>
      </c>
      <c r="JU1" t="s">
        <v>5860</v>
      </c>
      <c r="JV1" t="s">
        <v>5861</v>
      </c>
      <c r="JW1" t="s">
        <v>1600</v>
      </c>
      <c r="JX1" t="s">
        <v>1672</v>
      </c>
      <c r="KB1" t="s">
        <v>5689</v>
      </c>
      <c r="KC1" t="s">
        <v>5716</v>
      </c>
      <c r="KD1" t="s">
        <v>5721</v>
      </c>
      <c r="KE1" t="s">
        <v>5728</v>
      </c>
      <c r="KF1" t="s">
        <v>5736</v>
      </c>
      <c r="KG1" t="s">
        <v>5755</v>
      </c>
      <c r="KH1" t="s">
        <v>5770</v>
      </c>
      <c r="KI1" t="s">
        <v>5776</v>
      </c>
      <c r="KJ1" t="s">
        <v>5779</v>
      </c>
      <c r="KK1" t="s">
        <v>16</v>
      </c>
      <c r="KL1" t="s">
        <v>505</v>
      </c>
      <c r="KM1" t="s">
        <v>554</v>
      </c>
      <c r="KN1" t="s">
        <v>901</v>
      </c>
      <c r="KO1" t="s">
        <v>1952</v>
      </c>
      <c r="KP1" t="s">
        <v>2764</v>
      </c>
      <c r="KQ1" t="s">
        <v>3127</v>
      </c>
      <c r="KR1" t="s">
        <v>4600</v>
      </c>
      <c r="KS1" t="s">
        <v>5462</v>
      </c>
      <c r="KT1" t="s">
        <v>5586</v>
      </c>
      <c r="KU1" t="s">
        <v>5679</v>
      </c>
      <c r="KV1" t="s">
        <v>5727</v>
      </c>
    </row>
    <row r="2" spans="1:308">
      <c r="A2" t="s">
        <v>16</v>
      </c>
      <c r="B2" t="s">
        <v>17</v>
      </c>
      <c r="C2" t="s">
        <v>506</v>
      </c>
      <c r="D2" t="s">
        <v>555</v>
      </c>
      <c r="E2" t="s">
        <v>5841</v>
      </c>
      <c r="F2" t="s">
        <v>40</v>
      </c>
      <c r="G2" t="s">
        <v>40</v>
      </c>
      <c r="H2" t="s">
        <v>5902</v>
      </c>
      <c r="I2" t="s">
        <v>4601</v>
      </c>
      <c r="J2" t="s">
        <v>6014</v>
      </c>
      <c r="K2" t="s">
        <v>6015</v>
      </c>
      <c r="L2">
        <v>129</v>
      </c>
      <c r="M2" t="s">
        <v>5728</v>
      </c>
      <c r="P2" t="s">
        <v>17</v>
      </c>
      <c r="Q2" t="s">
        <v>1953</v>
      </c>
      <c r="R2" t="s">
        <v>2765</v>
      </c>
      <c r="S2" t="s">
        <v>3128</v>
      </c>
      <c r="T2" t="s">
        <v>4601</v>
      </c>
      <c r="U2" t="s">
        <v>5463</v>
      </c>
      <c r="V2" t="s">
        <v>5587</v>
      </c>
      <c r="W2" t="s">
        <v>5680</v>
      </c>
      <c r="X2" t="s">
        <v>5728</v>
      </c>
      <c r="Y2" t="s">
        <v>506</v>
      </c>
      <c r="Z2" t="s">
        <v>555</v>
      </c>
      <c r="AA2" t="s">
        <v>902</v>
      </c>
      <c r="AB2" t="s">
        <v>6070</v>
      </c>
      <c r="AC2" t="s">
        <v>6014</v>
      </c>
      <c r="AD2" t="s">
        <v>910</v>
      </c>
      <c r="AE2" t="s">
        <v>1056</v>
      </c>
      <c r="AF2" t="s">
        <v>987</v>
      </c>
      <c r="AG2" t="s">
        <v>201</v>
      </c>
      <c r="AH2" t="s">
        <v>1344</v>
      </c>
      <c r="AI2" t="s">
        <v>42</v>
      </c>
      <c r="AJ2" t="s">
        <v>1017</v>
      </c>
      <c r="AK2" t="s">
        <v>266</v>
      </c>
      <c r="AL2" t="s">
        <v>163</v>
      </c>
      <c r="AM2" t="s">
        <v>519</v>
      </c>
      <c r="AN2" t="s">
        <v>233</v>
      </c>
      <c r="AO2" t="s">
        <v>1312</v>
      </c>
      <c r="AP2" t="s">
        <v>956</v>
      </c>
      <c r="AQ2" t="s">
        <v>1093</v>
      </c>
      <c r="AR2" t="s">
        <v>64</v>
      </c>
      <c r="AS2" t="s">
        <v>1407</v>
      </c>
      <c r="AT2" t="s">
        <v>70</v>
      </c>
      <c r="AU2" t="s">
        <v>443</v>
      </c>
      <c r="AV2" t="s">
        <v>557</v>
      </c>
      <c r="AW2" t="s">
        <v>52</v>
      </c>
      <c r="AX2" t="s">
        <v>1730</v>
      </c>
      <c r="AY2" t="s">
        <v>5841</v>
      </c>
      <c r="AZ2" t="s">
        <v>5841</v>
      </c>
      <c r="BA2" t="s">
        <v>40</v>
      </c>
      <c r="BB2" t="s">
        <v>5865</v>
      </c>
      <c r="BC2" t="s">
        <v>5870</v>
      </c>
      <c r="BD2" t="s">
        <v>5872</v>
      </c>
      <c r="BE2" t="s">
        <v>5881</v>
      </c>
      <c r="BF2" t="s">
        <v>5885</v>
      </c>
      <c r="BG2" t="s">
        <v>5887</v>
      </c>
      <c r="BH2" t="s">
        <v>5890</v>
      </c>
      <c r="BI2" t="s">
        <v>5895</v>
      </c>
      <c r="BJ2" t="s">
        <v>5848</v>
      </c>
      <c r="BK2" t="s">
        <v>5851</v>
      </c>
      <c r="BL2" t="s">
        <v>5857</v>
      </c>
      <c r="BM2" t="s">
        <v>40</v>
      </c>
      <c r="BN2" t="s">
        <v>5865</v>
      </c>
      <c r="BO2" t="s">
        <v>5870</v>
      </c>
      <c r="BP2" t="s">
        <v>5872</v>
      </c>
      <c r="BQ2" t="s">
        <v>5881</v>
      </c>
      <c r="BR2" t="s">
        <v>5885</v>
      </c>
      <c r="BS2" t="s">
        <v>5887</v>
      </c>
      <c r="BT2" t="s">
        <v>5851</v>
      </c>
      <c r="BU2" t="s">
        <v>5857</v>
      </c>
      <c r="BV2" t="s">
        <v>5902</v>
      </c>
      <c r="BW2" t="s">
        <v>5905</v>
      </c>
      <c r="BX2" t="s">
        <v>5909</v>
      </c>
      <c r="BY2" t="s">
        <v>5912</v>
      </c>
      <c r="BZ2" t="s">
        <v>5914</v>
      </c>
      <c r="CA2" t="s">
        <v>5915</v>
      </c>
      <c r="CB2" t="s">
        <v>5917</v>
      </c>
      <c r="CC2" t="s">
        <v>5918</v>
      </c>
      <c r="CD2" t="s">
        <v>5919</v>
      </c>
      <c r="CE2" t="s">
        <v>5921</v>
      </c>
      <c r="CF2" t="s">
        <v>5923</v>
      </c>
      <c r="CG2" t="s">
        <v>5925</v>
      </c>
      <c r="CH2" t="s">
        <v>5927</v>
      </c>
      <c r="CI2" t="s">
        <v>5928</v>
      </c>
      <c r="CJ2" t="s">
        <v>5929</v>
      </c>
      <c r="CK2" t="s">
        <v>5934</v>
      </c>
      <c r="CL2" t="s">
        <v>5940</v>
      </c>
      <c r="CM2" t="s">
        <v>5941</v>
      </c>
      <c r="CN2" t="s">
        <v>5946</v>
      </c>
      <c r="CO2" t="s">
        <v>5947</v>
      </c>
      <c r="CP2" t="s">
        <v>5948</v>
      </c>
      <c r="CQ2" t="s">
        <v>5952</v>
      </c>
      <c r="CR2" t="s">
        <v>5956</v>
      </c>
      <c r="CS2" t="s">
        <v>5959</v>
      </c>
      <c r="CT2" t="s">
        <v>5962</v>
      </c>
      <c r="CU2" t="s">
        <v>5965</v>
      </c>
      <c r="CV2" t="s">
        <v>5968</v>
      </c>
      <c r="CW2" t="s">
        <v>5969</v>
      </c>
      <c r="CX2" t="s">
        <v>5972</v>
      </c>
      <c r="CY2" t="s">
        <v>5975</v>
      </c>
      <c r="CZ2" t="s">
        <v>5977</v>
      </c>
      <c r="DA2" t="s">
        <v>5979</v>
      </c>
      <c r="DB2" t="s">
        <v>5981</v>
      </c>
      <c r="DC2" t="s">
        <v>5983</v>
      </c>
      <c r="DD2" t="s">
        <v>5987</v>
      </c>
      <c r="DE2" t="s">
        <v>5989</v>
      </c>
      <c r="DF2" t="s">
        <v>5991</v>
      </c>
      <c r="DG2" t="s">
        <v>5993</v>
      </c>
      <c r="DH2" t="s">
        <v>5995</v>
      </c>
      <c r="DI2" t="s">
        <v>5996</v>
      </c>
      <c r="DJ2" t="s">
        <v>5998</v>
      </c>
      <c r="DK2" t="s">
        <v>6000</v>
      </c>
      <c r="DL2" t="s">
        <v>6001</v>
      </c>
      <c r="DM2" t="s">
        <v>6002</v>
      </c>
      <c r="DN2" t="s">
        <v>6003</v>
      </c>
      <c r="DO2" t="s">
        <v>6005</v>
      </c>
      <c r="DP2" t="s">
        <v>6007</v>
      </c>
      <c r="DQ2" t="s">
        <v>42</v>
      </c>
      <c r="DR2" t="s">
        <v>59</v>
      </c>
      <c r="DS2" t="s">
        <v>6028</v>
      </c>
      <c r="DT2" t="s">
        <v>6024</v>
      </c>
      <c r="DU2" t="s">
        <v>6020</v>
      </c>
      <c r="DV2" t="s">
        <v>6020</v>
      </c>
      <c r="DW2" t="s">
        <v>6019</v>
      </c>
      <c r="DX2" t="s">
        <v>6020</v>
      </c>
      <c r="DY2" t="s">
        <v>6019</v>
      </c>
      <c r="DZ2" t="s">
        <v>6020</v>
      </c>
      <c r="EA2" t="s">
        <v>6028</v>
      </c>
      <c r="EB2" t="s">
        <v>6067</v>
      </c>
      <c r="EC2" t="s">
        <v>6020</v>
      </c>
      <c r="ED2" t="s">
        <v>6020</v>
      </c>
      <c r="EE2" t="s">
        <v>6055</v>
      </c>
      <c r="EF2" t="s">
        <v>6193</v>
      </c>
      <c r="EG2" t="s">
        <v>6193</v>
      </c>
      <c r="EH2" t="s">
        <v>6043</v>
      </c>
      <c r="EI2" t="s">
        <v>6028</v>
      </c>
      <c r="EJ2" t="s">
        <v>6043</v>
      </c>
      <c r="EK2" t="s">
        <v>6043</v>
      </c>
      <c r="EL2" t="s">
        <v>6045</v>
      </c>
      <c r="EM2" t="s">
        <v>6014</v>
      </c>
      <c r="EN2" t="s">
        <v>6023</v>
      </c>
      <c r="EO2" t="s">
        <v>6014</v>
      </c>
      <c r="EP2" t="s">
        <v>6020</v>
      </c>
      <c r="EQ2" t="s">
        <v>6043</v>
      </c>
      <c r="ER2" t="s">
        <v>6024</v>
      </c>
      <c r="ES2" t="s">
        <v>6028</v>
      </c>
      <c r="ET2" t="s">
        <v>6043</v>
      </c>
      <c r="EU2" t="s">
        <v>6043</v>
      </c>
      <c r="EV2" t="s">
        <v>6024</v>
      </c>
      <c r="EW2" t="s">
        <v>6043</v>
      </c>
      <c r="EX2" t="s">
        <v>6043</v>
      </c>
      <c r="EY2" t="s">
        <v>6028</v>
      </c>
      <c r="EZ2" t="s">
        <v>6024</v>
      </c>
      <c r="FA2" t="s">
        <v>6043</v>
      </c>
      <c r="FB2" t="s">
        <v>6043</v>
      </c>
      <c r="FC2" t="s">
        <v>6188</v>
      </c>
      <c r="FD2" t="s">
        <v>6188</v>
      </c>
      <c r="FE2" t="s">
        <v>6027</v>
      </c>
      <c r="FF2" t="s">
        <v>6188</v>
      </c>
      <c r="FG2" t="s">
        <v>6024</v>
      </c>
      <c r="FH2" t="s">
        <v>6028</v>
      </c>
      <c r="FI2" t="s">
        <v>6043</v>
      </c>
      <c r="FJ2" t="s">
        <v>6043</v>
      </c>
      <c r="FK2" t="s">
        <v>6019</v>
      </c>
      <c r="FL2" t="s">
        <v>6028</v>
      </c>
      <c r="FM2" t="s">
        <v>6043</v>
      </c>
      <c r="FN2" t="s">
        <v>6028</v>
      </c>
      <c r="FO2" t="s">
        <v>6024</v>
      </c>
      <c r="FP2" t="s">
        <v>6043</v>
      </c>
      <c r="FQ2" t="s">
        <v>6024</v>
      </c>
      <c r="FR2" t="s">
        <v>6024</v>
      </c>
      <c r="FS2" t="s">
        <v>6024</v>
      </c>
      <c r="FT2" t="s">
        <v>6043</v>
      </c>
      <c r="FU2" t="s">
        <v>6043</v>
      </c>
      <c r="FV2" t="s">
        <v>6043</v>
      </c>
      <c r="FW2" t="s">
        <v>6028</v>
      </c>
      <c r="FX2" t="s">
        <v>6028</v>
      </c>
      <c r="FY2" t="s">
        <v>6043</v>
      </c>
      <c r="FZ2" t="s">
        <v>6188</v>
      </c>
      <c r="GA2" t="s">
        <v>6041</v>
      </c>
      <c r="GB2" t="s">
        <v>6024</v>
      </c>
      <c r="GC2" t="s">
        <v>6060</v>
      </c>
      <c r="GD2" t="s">
        <v>6023</v>
      </c>
      <c r="GE2" t="s">
        <v>6028</v>
      </c>
      <c r="GF2" t="s">
        <v>6028</v>
      </c>
      <c r="GG2" t="s">
        <v>6060</v>
      </c>
      <c r="GH2" t="s">
        <v>6041</v>
      </c>
      <c r="GI2" t="s">
        <v>6043</v>
      </c>
      <c r="GJ2" t="s">
        <v>6039</v>
      </c>
      <c r="GK2" t="s">
        <v>6055</v>
      </c>
      <c r="GL2" t="s">
        <v>6193</v>
      </c>
      <c r="GM2" t="s">
        <v>6019</v>
      </c>
      <c r="GN2" t="s">
        <v>6026</v>
      </c>
      <c r="GO2" t="s">
        <v>6020</v>
      </c>
      <c r="GP2" t="s">
        <v>6193</v>
      </c>
      <c r="GQ2" t="s">
        <v>6030</v>
      </c>
      <c r="GR2" t="s">
        <v>6034</v>
      </c>
      <c r="GS2" t="s">
        <v>6020</v>
      </c>
      <c r="GT2" t="s">
        <v>6043</v>
      </c>
      <c r="GU2" t="s">
        <v>6020</v>
      </c>
      <c r="GV2" t="s">
        <v>6048</v>
      </c>
      <c r="GW2" t="s">
        <v>6059</v>
      </c>
      <c r="GX2" t="s">
        <v>6020</v>
      </c>
      <c r="GY2" t="s">
        <v>6020</v>
      </c>
      <c r="GZ2" t="s">
        <v>6043</v>
      </c>
      <c r="HA2" t="s">
        <v>6043</v>
      </c>
      <c r="HB2" t="s">
        <v>6042</v>
      </c>
      <c r="HC2" t="s">
        <v>6043</v>
      </c>
      <c r="HD2" t="s">
        <v>6028</v>
      </c>
      <c r="HE2" t="s">
        <v>6024</v>
      </c>
      <c r="HF2" t="s">
        <v>6043</v>
      </c>
      <c r="HG2" t="s">
        <v>6059</v>
      </c>
      <c r="HH2" t="s">
        <v>6027</v>
      </c>
      <c r="HI2" t="s">
        <v>6058</v>
      </c>
      <c r="HJ2" t="s">
        <v>6018</v>
      </c>
      <c r="HK2" t="s">
        <v>6028</v>
      </c>
      <c r="HL2" t="s">
        <v>6014</v>
      </c>
      <c r="HM2" t="s">
        <v>6014</v>
      </c>
      <c r="HN2" t="s">
        <v>6020</v>
      </c>
      <c r="HO2" t="s">
        <v>6056</v>
      </c>
      <c r="HP2" t="s">
        <v>6037</v>
      </c>
      <c r="HQ2" t="s">
        <v>6019</v>
      </c>
      <c r="HR2" t="s">
        <v>6062</v>
      </c>
      <c r="HS2" t="s">
        <v>6037</v>
      </c>
      <c r="HT2" t="s">
        <v>6036</v>
      </c>
      <c r="HU2" t="s">
        <v>6024</v>
      </c>
      <c r="HV2" t="s">
        <v>6036</v>
      </c>
      <c r="HW2" t="s">
        <v>6045</v>
      </c>
      <c r="HX2" t="s">
        <v>6043</v>
      </c>
      <c r="HY2" t="s">
        <v>6019</v>
      </c>
      <c r="HZ2" t="s">
        <v>6060</v>
      </c>
      <c r="IA2" t="s">
        <v>6043</v>
      </c>
      <c r="IB2" t="s">
        <v>6028</v>
      </c>
      <c r="IC2" t="s">
        <v>6019</v>
      </c>
      <c r="ID2" t="s">
        <v>6028</v>
      </c>
      <c r="IE2" t="s">
        <v>6020</v>
      </c>
      <c r="IF2" t="s">
        <v>6055</v>
      </c>
      <c r="IG2" t="s">
        <v>6193</v>
      </c>
      <c r="IH2" t="s">
        <v>6043</v>
      </c>
      <c r="II2" t="s">
        <v>6023</v>
      </c>
      <c r="IJ2" t="s">
        <v>6043</v>
      </c>
      <c r="IK2" t="s">
        <v>6043</v>
      </c>
      <c r="IL2" t="s">
        <v>6043</v>
      </c>
      <c r="IM2" t="s">
        <v>6043</v>
      </c>
      <c r="IN2" t="s">
        <v>6043</v>
      </c>
      <c r="IO2" t="s">
        <v>6188</v>
      </c>
      <c r="IP2" t="s">
        <v>6028</v>
      </c>
      <c r="IQ2" t="s">
        <v>6043</v>
      </c>
      <c r="IR2" t="s">
        <v>6028</v>
      </c>
      <c r="IS2" t="s">
        <v>6043</v>
      </c>
      <c r="IT2" t="s">
        <v>6043</v>
      </c>
      <c r="IU2" t="s">
        <v>6043</v>
      </c>
      <c r="IV2" t="s">
        <v>6043</v>
      </c>
      <c r="IW2" t="s">
        <v>6028</v>
      </c>
      <c r="IX2" t="s">
        <v>6043</v>
      </c>
      <c r="IY2" t="s">
        <v>6024</v>
      </c>
      <c r="IZ2" t="s">
        <v>6060</v>
      </c>
      <c r="JA2" t="s">
        <v>6028</v>
      </c>
      <c r="JB2" t="s">
        <v>6028</v>
      </c>
      <c r="JC2" t="s">
        <v>6041</v>
      </c>
      <c r="JD2" t="s">
        <v>6043</v>
      </c>
      <c r="JE2" t="s">
        <v>6039</v>
      </c>
      <c r="JF2" t="s">
        <v>6193</v>
      </c>
      <c r="JG2" t="s">
        <v>6019</v>
      </c>
      <c r="JH2" t="s">
        <v>6020</v>
      </c>
      <c r="JI2" t="s">
        <v>6193</v>
      </c>
      <c r="JJ2" t="s">
        <v>6030</v>
      </c>
      <c r="JK2" t="s">
        <v>6034</v>
      </c>
      <c r="JL2" t="s">
        <v>6020</v>
      </c>
      <c r="JM2" t="s">
        <v>6043</v>
      </c>
      <c r="JN2" t="s">
        <v>6059</v>
      </c>
      <c r="JO2" t="s">
        <v>6020</v>
      </c>
      <c r="JP2" t="s">
        <v>6043</v>
      </c>
      <c r="JQ2" t="s">
        <v>6042</v>
      </c>
      <c r="JR2" t="s">
        <v>6043</v>
      </c>
      <c r="JS2" t="s">
        <v>6043</v>
      </c>
      <c r="JT2" t="s">
        <v>6019</v>
      </c>
      <c r="JU2" t="s">
        <v>6036</v>
      </c>
      <c r="JV2" t="s">
        <v>6043</v>
      </c>
      <c r="JW2" t="s">
        <v>873</v>
      </c>
      <c r="JX2" t="s">
        <v>557</v>
      </c>
      <c r="KB2" t="s">
        <v>42</v>
      </c>
      <c r="KC2" t="s">
        <v>588</v>
      </c>
      <c r="KD2" t="s">
        <v>557</v>
      </c>
      <c r="KE2" t="s">
        <v>620</v>
      </c>
      <c r="KF2" t="s">
        <v>123</v>
      </c>
      <c r="KG2" t="s">
        <v>266</v>
      </c>
      <c r="KH2" t="s">
        <v>20</v>
      </c>
      <c r="KI2" t="s">
        <v>123</v>
      </c>
      <c r="KJ2" t="s">
        <v>288</v>
      </c>
      <c r="KK2" t="s">
        <v>42</v>
      </c>
      <c r="KL2" t="s">
        <v>20</v>
      </c>
      <c r="KM2" t="s">
        <v>557</v>
      </c>
      <c r="KN2" t="s">
        <v>557</v>
      </c>
      <c r="KO2" t="s">
        <v>557</v>
      </c>
      <c r="KP2" t="s">
        <v>557</v>
      </c>
      <c r="KQ2" t="s">
        <v>557</v>
      </c>
      <c r="KR2" t="s">
        <v>557</v>
      </c>
      <c r="KS2" t="s">
        <v>557</v>
      </c>
      <c r="KT2" t="s">
        <v>59</v>
      </c>
      <c r="KU2" t="s">
        <v>557</v>
      </c>
      <c r="KV2" t="s">
        <v>266</v>
      </c>
    </row>
    <row r="3" spans="1:308">
      <c r="A3" t="s">
        <v>505</v>
      </c>
      <c r="B3" t="s">
        <v>188</v>
      </c>
      <c r="C3" t="s">
        <v>523</v>
      </c>
      <c r="D3" t="s">
        <v>648</v>
      </c>
      <c r="E3" t="s">
        <v>5841</v>
      </c>
      <c r="F3" t="s">
        <v>5842</v>
      </c>
      <c r="G3" t="s">
        <v>40</v>
      </c>
      <c r="H3" t="s">
        <v>5903</v>
      </c>
      <c r="I3" t="s">
        <v>4933</v>
      </c>
      <c r="J3" t="s">
        <v>6016</v>
      </c>
      <c r="K3" t="s">
        <v>6015</v>
      </c>
      <c r="L3">
        <v>129</v>
      </c>
      <c r="M3" t="s">
        <v>5736</v>
      </c>
      <c r="P3" t="s">
        <v>188</v>
      </c>
      <c r="Q3" t="s">
        <v>2349</v>
      </c>
      <c r="S3" t="s">
        <v>3374</v>
      </c>
      <c r="T3" t="s">
        <v>4933</v>
      </c>
      <c r="V3" t="s">
        <v>5632</v>
      </c>
      <c r="W3" t="s">
        <v>5689</v>
      </c>
      <c r="X3" t="s">
        <v>5736</v>
      </c>
      <c r="Y3" t="s">
        <v>523</v>
      </c>
      <c r="Z3" t="s">
        <v>648</v>
      </c>
      <c r="AA3" t="s">
        <v>1161</v>
      </c>
      <c r="AB3" t="s">
        <v>6183</v>
      </c>
      <c r="AC3" t="s">
        <v>6185</v>
      </c>
      <c r="AD3" t="s">
        <v>571</v>
      </c>
      <c r="AE3" t="s">
        <v>873</v>
      </c>
      <c r="AF3" t="s">
        <v>936</v>
      </c>
      <c r="AG3" t="s">
        <v>620</v>
      </c>
      <c r="AH3" t="s">
        <v>571</v>
      </c>
      <c r="AI3" t="s">
        <v>59</v>
      </c>
      <c r="AL3" t="s">
        <v>244</v>
      </c>
      <c r="AS3" t="s">
        <v>588</v>
      </c>
      <c r="AY3" t="s">
        <v>5864</v>
      </c>
      <c r="AZ3" t="s">
        <v>5864</v>
      </c>
      <c r="BA3" t="s">
        <v>5842</v>
      </c>
      <c r="BB3" t="s">
        <v>5866</v>
      </c>
      <c r="BD3" t="s">
        <v>5873</v>
      </c>
      <c r="BE3" t="s">
        <v>5882</v>
      </c>
      <c r="BG3" t="s">
        <v>5888</v>
      </c>
      <c r="BH3" t="s">
        <v>5891</v>
      </c>
      <c r="BI3" t="s">
        <v>5896</v>
      </c>
      <c r="BJ3" t="s">
        <v>5849</v>
      </c>
      <c r="BK3" t="s">
        <v>5852</v>
      </c>
      <c r="BL3" t="s">
        <v>5858</v>
      </c>
      <c r="BM3" t="s">
        <v>5842</v>
      </c>
      <c r="BN3" t="s">
        <v>5866</v>
      </c>
      <c r="BP3" t="s">
        <v>5873</v>
      </c>
      <c r="BQ3" t="s">
        <v>5882</v>
      </c>
      <c r="BS3" t="s">
        <v>5888</v>
      </c>
      <c r="BT3" t="s">
        <v>5852</v>
      </c>
      <c r="BU3" t="s">
        <v>5858</v>
      </c>
      <c r="BV3" t="s">
        <v>5903</v>
      </c>
      <c r="BW3" t="s">
        <v>5906</v>
      </c>
      <c r="BX3" t="s">
        <v>5910</v>
      </c>
      <c r="BY3" t="s">
        <v>5913</v>
      </c>
      <c r="CA3" t="s">
        <v>5916</v>
      </c>
      <c r="CD3" t="s">
        <v>5920</v>
      </c>
      <c r="CE3" t="s">
        <v>5922</v>
      </c>
      <c r="CF3" t="s">
        <v>5924</v>
      </c>
      <c r="CG3" t="s">
        <v>5926</v>
      </c>
      <c r="CJ3" t="s">
        <v>6225</v>
      </c>
      <c r="CK3" t="s">
        <v>5935</v>
      </c>
      <c r="CM3" t="s">
        <v>5942</v>
      </c>
      <c r="CP3" t="s">
        <v>5949</v>
      </c>
      <c r="CQ3" t="s">
        <v>5953</v>
      </c>
      <c r="CR3" t="s">
        <v>5957</v>
      </c>
      <c r="CS3" t="s">
        <v>5960</v>
      </c>
      <c r="CT3" t="s">
        <v>5963</v>
      </c>
      <c r="CU3" t="s">
        <v>5966</v>
      </c>
      <c r="CW3" t="s">
        <v>5970</v>
      </c>
      <c r="CX3" t="s">
        <v>5973</v>
      </c>
      <c r="CY3" t="s">
        <v>5976</v>
      </c>
      <c r="CZ3" t="s">
        <v>5978</v>
      </c>
      <c r="DA3" t="s">
        <v>5980</v>
      </c>
      <c r="DB3" t="s">
        <v>5982</v>
      </c>
      <c r="DC3" t="s">
        <v>5984</v>
      </c>
      <c r="DD3" t="s">
        <v>5988</v>
      </c>
      <c r="DE3" t="s">
        <v>5990</v>
      </c>
      <c r="DF3" t="s">
        <v>5992</v>
      </c>
      <c r="DG3" t="s">
        <v>5994</v>
      </c>
      <c r="DI3" t="s">
        <v>5997</v>
      </c>
      <c r="DJ3" t="s">
        <v>5999</v>
      </c>
      <c r="DN3" t="s">
        <v>6004</v>
      </c>
      <c r="DO3" t="s">
        <v>6006</v>
      </c>
      <c r="DQ3" t="s">
        <v>20</v>
      </c>
      <c r="DR3" t="s">
        <v>20</v>
      </c>
      <c r="DS3" t="s">
        <v>6020</v>
      </c>
      <c r="DT3" t="s">
        <v>6020</v>
      </c>
      <c r="DU3" t="s">
        <v>6193</v>
      </c>
      <c r="DV3" t="s">
        <v>6066</v>
      </c>
      <c r="DW3" t="s">
        <v>6020</v>
      </c>
      <c r="DX3" t="s">
        <v>6055</v>
      </c>
      <c r="DY3" t="s">
        <v>6046</v>
      </c>
      <c r="DZ3" t="s">
        <v>6066</v>
      </c>
      <c r="EA3" t="s">
        <v>6020</v>
      </c>
      <c r="EB3" t="s">
        <v>6029</v>
      </c>
      <c r="EC3" t="s">
        <v>6055</v>
      </c>
      <c r="ED3" t="s">
        <v>6067</v>
      </c>
      <c r="EH3" t="s">
        <v>6028</v>
      </c>
      <c r="EI3" t="s">
        <v>6024</v>
      </c>
      <c r="EJ3" t="s">
        <v>6024</v>
      </c>
      <c r="EK3" t="s">
        <v>6023</v>
      </c>
      <c r="EM3" t="s">
        <v>6062</v>
      </c>
      <c r="EN3" t="s">
        <v>6045</v>
      </c>
      <c r="EO3" t="s">
        <v>6033</v>
      </c>
      <c r="EP3" t="s">
        <v>6054</v>
      </c>
      <c r="EQ3" t="s">
        <v>6024</v>
      </c>
      <c r="ER3" t="s">
        <v>6019</v>
      </c>
      <c r="ES3" t="s">
        <v>6193</v>
      </c>
      <c r="ET3" t="s">
        <v>6028</v>
      </c>
      <c r="EU3" t="s">
        <v>6028</v>
      </c>
      <c r="EV3" t="s">
        <v>6019</v>
      </c>
      <c r="EW3" t="s">
        <v>6028</v>
      </c>
      <c r="EX3" t="s">
        <v>6024</v>
      </c>
      <c r="EY3" t="s">
        <v>6024</v>
      </c>
      <c r="EZ3" t="s">
        <v>6188</v>
      </c>
      <c r="FA3" t="s">
        <v>6028</v>
      </c>
      <c r="FB3" t="s">
        <v>6028</v>
      </c>
      <c r="FC3" t="s">
        <v>6019</v>
      </c>
      <c r="FD3" t="s">
        <v>6061</v>
      </c>
      <c r="FE3" t="s">
        <v>6031</v>
      </c>
      <c r="FF3" t="s">
        <v>6027</v>
      </c>
      <c r="FG3" t="s">
        <v>6188</v>
      </c>
      <c r="FH3" t="s">
        <v>6024</v>
      </c>
      <c r="FI3" t="s">
        <v>6019</v>
      </c>
      <c r="FJ3" t="s">
        <v>6028</v>
      </c>
      <c r="FK3" t="s">
        <v>6039</v>
      </c>
      <c r="FL3" t="s">
        <v>6024</v>
      </c>
      <c r="FM3" t="s">
        <v>6188</v>
      </c>
      <c r="FN3" t="s">
        <v>6024</v>
      </c>
      <c r="FO3" t="s">
        <v>6019</v>
      </c>
      <c r="FP3" t="s">
        <v>6028</v>
      </c>
      <c r="FQ3" t="s">
        <v>6020</v>
      </c>
      <c r="FR3" t="s">
        <v>6023</v>
      </c>
      <c r="FS3" t="s">
        <v>6019</v>
      </c>
      <c r="FT3" t="s">
        <v>6028</v>
      </c>
      <c r="FU3" t="s">
        <v>6028</v>
      </c>
      <c r="FV3" t="s">
        <v>6028</v>
      </c>
      <c r="FW3" t="s">
        <v>6036</v>
      </c>
      <c r="FX3" t="s">
        <v>6024</v>
      </c>
      <c r="FY3" t="s">
        <v>6019</v>
      </c>
      <c r="FZ3" t="s">
        <v>6019</v>
      </c>
      <c r="GA3" t="s">
        <v>6025</v>
      </c>
      <c r="GB3" t="s">
        <v>6020</v>
      </c>
      <c r="GC3" t="s">
        <v>6020</v>
      </c>
      <c r="GF3" t="s">
        <v>6023</v>
      </c>
      <c r="GJ3" t="s">
        <v>6025</v>
      </c>
      <c r="GK3" t="s">
        <v>6022</v>
      </c>
      <c r="GL3" t="s">
        <v>6055</v>
      </c>
      <c r="GM3" t="s">
        <v>6055</v>
      </c>
      <c r="GN3" t="s">
        <v>6044</v>
      </c>
      <c r="GO3" t="s">
        <v>6046</v>
      </c>
      <c r="GR3" t="s">
        <v>6067</v>
      </c>
      <c r="GS3" t="s">
        <v>6193</v>
      </c>
      <c r="GT3" t="s">
        <v>6020</v>
      </c>
      <c r="GU3" t="s">
        <v>6193</v>
      </c>
      <c r="GV3" t="s">
        <v>6025</v>
      </c>
      <c r="GW3" t="s">
        <v>6038</v>
      </c>
      <c r="GY3" t="s">
        <v>6192</v>
      </c>
      <c r="GZ3" t="s">
        <v>6020</v>
      </c>
      <c r="HA3" t="s">
        <v>6060</v>
      </c>
      <c r="HC3" t="s">
        <v>6028</v>
      </c>
      <c r="HD3" t="s">
        <v>6024</v>
      </c>
      <c r="HE3" t="s">
        <v>6014</v>
      </c>
      <c r="HF3" t="s">
        <v>6028</v>
      </c>
      <c r="HG3" t="s">
        <v>6026</v>
      </c>
      <c r="HH3" t="s">
        <v>6014</v>
      </c>
      <c r="HI3" t="s">
        <v>6014</v>
      </c>
      <c r="HJ3" t="s">
        <v>6022</v>
      </c>
      <c r="HK3" t="s">
        <v>6065</v>
      </c>
      <c r="HM3" t="s">
        <v>6018</v>
      </c>
      <c r="HO3" t="s">
        <v>6022</v>
      </c>
      <c r="HQ3" t="s">
        <v>6018</v>
      </c>
      <c r="HT3" t="s">
        <v>6193</v>
      </c>
      <c r="HU3" t="s">
        <v>6045</v>
      </c>
      <c r="HV3" t="s">
        <v>6049</v>
      </c>
      <c r="HW3" t="s">
        <v>6029</v>
      </c>
      <c r="HX3" t="s">
        <v>6034</v>
      </c>
      <c r="HZ3" t="s">
        <v>6020</v>
      </c>
      <c r="IA3" t="s">
        <v>6028</v>
      </c>
      <c r="IB3" t="s">
        <v>6024</v>
      </c>
      <c r="IC3" t="s">
        <v>6020</v>
      </c>
      <c r="ID3" t="s">
        <v>6020</v>
      </c>
      <c r="IE3" t="s">
        <v>6055</v>
      </c>
      <c r="IH3" t="s">
        <v>6028</v>
      </c>
      <c r="II3" t="s">
        <v>6045</v>
      </c>
      <c r="IJ3" t="s">
        <v>6024</v>
      </c>
      <c r="IK3" t="s">
        <v>6028</v>
      </c>
      <c r="IL3" t="s">
        <v>6028</v>
      </c>
      <c r="IM3" t="s">
        <v>6028</v>
      </c>
      <c r="IN3" t="s">
        <v>6028</v>
      </c>
      <c r="IO3" t="s">
        <v>6019</v>
      </c>
      <c r="IP3" t="s">
        <v>6024</v>
      </c>
      <c r="IQ3" t="s">
        <v>6028</v>
      </c>
      <c r="IR3" t="s">
        <v>6024</v>
      </c>
      <c r="IS3" t="s">
        <v>6028</v>
      </c>
      <c r="IT3" t="s">
        <v>6028</v>
      </c>
      <c r="IU3" t="s">
        <v>6028</v>
      </c>
      <c r="IV3" t="s">
        <v>6028</v>
      </c>
      <c r="IW3" t="s">
        <v>6024</v>
      </c>
      <c r="IX3" t="s">
        <v>6188</v>
      </c>
      <c r="IY3" t="s">
        <v>6020</v>
      </c>
      <c r="IZ3" t="s">
        <v>6020</v>
      </c>
      <c r="JA3" t="s">
        <v>6023</v>
      </c>
      <c r="JB3" t="s">
        <v>6023</v>
      </c>
      <c r="JE3" t="s">
        <v>6025</v>
      </c>
      <c r="JF3" t="s">
        <v>6055</v>
      </c>
      <c r="JG3" t="s">
        <v>6055</v>
      </c>
      <c r="JH3" t="s">
        <v>6046</v>
      </c>
      <c r="JK3" t="s">
        <v>6067</v>
      </c>
      <c r="JL3" t="s">
        <v>6193</v>
      </c>
      <c r="JM3" t="s">
        <v>6020</v>
      </c>
      <c r="JN3" t="s">
        <v>6048</v>
      </c>
      <c r="JO3" t="s">
        <v>6192</v>
      </c>
      <c r="JP3" t="s">
        <v>6060</v>
      </c>
      <c r="JR3" t="s">
        <v>6028</v>
      </c>
      <c r="JS3" t="s">
        <v>6028</v>
      </c>
      <c r="JT3" t="s">
        <v>6020</v>
      </c>
      <c r="JU3" t="s">
        <v>6193</v>
      </c>
      <c r="JV3" t="s">
        <v>6024</v>
      </c>
      <c r="JW3" t="s">
        <v>20</v>
      </c>
      <c r="JX3" t="s">
        <v>42</v>
      </c>
      <c r="KB3" t="s">
        <v>1312</v>
      </c>
      <c r="KE3" t="s">
        <v>114</v>
      </c>
      <c r="KF3" t="s">
        <v>108</v>
      </c>
      <c r="KG3" t="s">
        <v>108</v>
      </c>
      <c r="KH3" t="s">
        <v>196</v>
      </c>
      <c r="KK3" t="s">
        <v>59</v>
      </c>
      <c r="KL3" t="s">
        <v>123</v>
      </c>
      <c r="KM3" t="s">
        <v>873</v>
      </c>
      <c r="KN3" t="s">
        <v>42</v>
      </c>
      <c r="KO3" t="s">
        <v>42</v>
      </c>
      <c r="KP3" t="s">
        <v>42</v>
      </c>
      <c r="KQ3" t="s">
        <v>42</v>
      </c>
      <c r="KR3" t="s">
        <v>42</v>
      </c>
      <c r="KS3" t="s">
        <v>1730</v>
      </c>
      <c r="KT3" t="s">
        <v>873</v>
      </c>
      <c r="KU3" t="s">
        <v>42</v>
      </c>
      <c r="KV3" t="s">
        <v>20</v>
      </c>
    </row>
    <row r="4" spans="1:308">
      <c r="A4" t="s">
        <v>554</v>
      </c>
      <c r="B4" t="s">
        <v>323</v>
      </c>
      <c r="D4" t="s">
        <v>670</v>
      </c>
      <c r="E4" t="s">
        <v>5841</v>
      </c>
      <c r="F4" t="s">
        <v>5843</v>
      </c>
      <c r="G4" t="s">
        <v>40</v>
      </c>
      <c r="H4" t="s">
        <v>5904</v>
      </c>
      <c r="I4" t="s">
        <v>5385</v>
      </c>
      <c r="J4" t="s">
        <v>6017</v>
      </c>
      <c r="K4" t="s">
        <v>6015</v>
      </c>
      <c r="L4">
        <v>118</v>
      </c>
      <c r="M4" t="s">
        <v>5755</v>
      </c>
      <c r="P4" t="s">
        <v>323</v>
      </c>
      <c r="Q4" t="s">
        <v>2425</v>
      </c>
      <c r="S4" t="s">
        <v>3506</v>
      </c>
      <c r="T4" t="s">
        <v>5385</v>
      </c>
      <c r="W4" t="s">
        <v>5716</v>
      </c>
      <c r="X4" t="s">
        <v>5755</v>
      </c>
      <c r="Z4" t="s">
        <v>670</v>
      </c>
      <c r="AA4" t="s">
        <v>1414</v>
      </c>
      <c r="AB4" t="s">
        <v>6184</v>
      </c>
      <c r="AC4" t="s">
        <v>6018</v>
      </c>
      <c r="AD4" t="s">
        <v>914</v>
      </c>
      <c r="AE4" t="s">
        <v>20</v>
      </c>
      <c r="AF4" t="s">
        <v>910</v>
      </c>
      <c r="AG4" t="s">
        <v>914</v>
      </c>
      <c r="AH4" t="s">
        <v>2180</v>
      </c>
      <c r="AY4" t="s">
        <v>5869</v>
      </c>
      <c r="AZ4" t="s">
        <v>5869</v>
      </c>
      <c r="BA4" t="s">
        <v>5843</v>
      </c>
      <c r="BB4" t="s">
        <v>5867</v>
      </c>
      <c r="BD4" t="s">
        <v>5874</v>
      </c>
      <c r="BE4" t="s">
        <v>5883</v>
      </c>
      <c r="BH4" t="s">
        <v>5892</v>
      </c>
      <c r="BI4" t="s">
        <v>5897</v>
      </c>
      <c r="BK4" t="s">
        <v>5853</v>
      </c>
      <c r="BL4" t="s">
        <v>5859</v>
      </c>
      <c r="BM4" t="s">
        <v>5843</v>
      </c>
      <c r="BN4" t="s">
        <v>5867</v>
      </c>
      <c r="BP4" t="s">
        <v>5874</v>
      </c>
      <c r="BQ4" t="s">
        <v>5883</v>
      </c>
      <c r="BT4" t="s">
        <v>5853</v>
      </c>
      <c r="BU4" t="s">
        <v>5859</v>
      </c>
      <c r="BV4" t="s">
        <v>5904</v>
      </c>
      <c r="BW4" t="s">
        <v>5907</v>
      </c>
      <c r="BX4" t="s">
        <v>5911</v>
      </c>
      <c r="CJ4" t="s">
        <v>6226</v>
      </c>
      <c r="CK4" t="s">
        <v>5936</v>
      </c>
      <c r="CM4" t="s">
        <v>5943</v>
      </c>
      <c r="CP4" t="s">
        <v>5950</v>
      </c>
      <c r="CQ4" t="s">
        <v>5954</v>
      </c>
      <c r="CR4" t="s">
        <v>5958</v>
      </c>
      <c r="CS4" t="s">
        <v>5961</v>
      </c>
      <c r="CT4" t="s">
        <v>5964</v>
      </c>
      <c r="CU4" t="s">
        <v>5967</v>
      </c>
      <c r="CW4" t="s">
        <v>5971</v>
      </c>
      <c r="CX4" t="s">
        <v>5974</v>
      </c>
      <c r="DC4" t="s">
        <v>5985</v>
      </c>
      <c r="DQ4" t="s">
        <v>28</v>
      </c>
      <c r="DR4" t="s">
        <v>52</v>
      </c>
      <c r="DS4" t="s">
        <v>6029</v>
      </c>
      <c r="DT4" t="s">
        <v>6187</v>
      </c>
      <c r="DU4" t="s">
        <v>6056</v>
      </c>
      <c r="DV4" t="s">
        <v>6029</v>
      </c>
      <c r="DW4" t="s">
        <v>6029</v>
      </c>
      <c r="DX4" t="s">
        <v>6029</v>
      </c>
      <c r="DZ4" t="s">
        <v>6029</v>
      </c>
      <c r="EA4" t="s">
        <v>6029</v>
      </c>
      <c r="EB4" t="s">
        <v>6047</v>
      </c>
      <c r="EC4" t="s">
        <v>6030</v>
      </c>
      <c r="ED4" t="s">
        <v>6030</v>
      </c>
      <c r="EH4" t="s">
        <v>6024</v>
      </c>
      <c r="EI4" t="s">
        <v>6023</v>
      </c>
      <c r="EJ4" t="s">
        <v>6023</v>
      </c>
      <c r="EK4" t="s">
        <v>6014</v>
      </c>
      <c r="EM4" t="s">
        <v>6022</v>
      </c>
      <c r="EN4" t="s">
        <v>6032</v>
      </c>
      <c r="EP4" t="s">
        <v>6044</v>
      </c>
      <c r="EQ4" t="s">
        <v>6188</v>
      </c>
      <c r="ER4" t="s">
        <v>6061</v>
      </c>
      <c r="ES4" t="s">
        <v>6041</v>
      </c>
      <c r="ET4" t="s">
        <v>6024</v>
      </c>
      <c r="EU4" t="s">
        <v>6188</v>
      </c>
      <c r="EV4" t="s">
        <v>6029</v>
      </c>
      <c r="EW4" t="s">
        <v>6024</v>
      </c>
      <c r="EX4" t="s">
        <v>6039</v>
      </c>
      <c r="EY4" t="s">
        <v>6188</v>
      </c>
      <c r="EZ4" t="s">
        <v>6060</v>
      </c>
      <c r="FA4" t="s">
        <v>6024</v>
      </c>
      <c r="FB4" t="s">
        <v>6024</v>
      </c>
      <c r="FC4" t="s">
        <v>6193</v>
      </c>
      <c r="FD4" t="s">
        <v>6014</v>
      </c>
      <c r="FE4" t="s">
        <v>6014</v>
      </c>
      <c r="FF4" t="s">
        <v>6018</v>
      </c>
      <c r="FG4" t="s">
        <v>6019</v>
      </c>
      <c r="FH4" t="s">
        <v>6019</v>
      </c>
      <c r="FI4" t="s">
        <v>6036</v>
      </c>
      <c r="FJ4" t="s">
        <v>6024</v>
      </c>
      <c r="FK4" t="s">
        <v>6014</v>
      </c>
      <c r="FL4" t="s">
        <v>6019</v>
      </c>
      <c r="FM4" t="s">
        <v>6019</v>
      </c>
      <c r="FN4" t="s">
        <v>6019</v>
      </c>
      <c r="FO4" t="s">
        <v>6018</v>
      </c>
      <c r="FP4" t="s">
        <v>6024</v>
      </c>
      <c r="FQ4" t="s">
        <v>6036</v>
      </c>
      <c r="FR4" t="s">
        <v>6188</v>
      </c>
      <c r="FS4" t="s">
        <v>6036</v>
      </c>
      <c r="FT4" t="s">
        <v>6019</v>
      </c>
      <c r="FU4" t="s">
        <v>6188</v>
      </c>
      <c r="FV4" t="s">
        <v>6024</v>
      </c>
      <c r="FW4" t="s">
        <v>6039</v>
      </c>
      <c r="FX4" t="s">
        <v>6020</v>
      </c>
      <c r="FY4" t="s">
        <v>6020</v>
      </c>
      <c r="FZ4" t="s">
        <v>6020</v>
      </c>
      <c r="GB4" t="s">
        <v>6036</v>
      </c>
      <c r="GC4" t="s">
        <v>6065</v>
      </c>
      <c r="GF4" t="s">
        <v>6193</v>
      </c>
      <c r="GL4" t="s">
        <v>6038</v>
      </c>
      <c r="GR4" t="s">
        <v>6025</v>
      </c>
      <c r="GS4" t="s">
        <v>6056</v>
      </c>
      <c r="GT4" t="s">
        <v>6041</v>
      </c>
      <c r="GU4" t="s">
        <v>6034</v>
      </c>
      <c r="GY4" t="s">
        <v>6037</v>
      </c>
      <c r="GZ4" t="s">
        <v>6039</v>
      </c>
      <c r="HA4" t="s">
        <v>6020</v>
      </c>
      <c r="HC4" t="s">
        <v>6024</v>
      </c>
      <c r="HD4" t="s">
        <v>6053</v>
      </c>
      <c r="HE4" t="s">
        <v>6022</v>
      </c>
      <c r="HF4" t="s">
        <v>6023</v>
      </c>
      <c r="HI4" t="s">
        <v>6034</v>
      </c>
      <c r="HJ4" t="s">
        <v>6046</v>
      </c>
      <c r="HK4" t="s">
        <v>6041</v>
      </c>
      <c r="HM4" t="s">
        <v>6030</v>
      </c>
      <c r="HO4" t="s">
        <v>6192</v>
      </c>
      <c r="HU4" t="s">
        <v>6039</v>
      </c>
      <c r="HZ4" t="s">
        <v>6041</v>
      </c>
      <c r="IA4" t="s">
        <v>6024</v>
      </c>
      <c r="IB4" t="s">
        <v>6020</v>
      </c>
      <c r="IC4" t="s">
        <v>6066</v>
      </c>
      <c r="ID4" t="s">
        <v>6066</v>
      </c>
      <c r="IE4" t="s">
        <v>6067</v>
      </c>
      <c r="IH4" t="s">
        <v>6024</v>
      </c>
      <c r="II4" t="s">
        <v>6032</v>
      </c>
      <c r="IJ4" t="s">
        <v>6188</v>
      </c>
      <c r="IK4" t="s">
        <v>6024</v>
      </c>
      <c r="IL4" t="s">
        <v>6024</v>
      </c>
      <c r="IM4" t="s">
        <v>6024</v>
      </c>
      <c r="IN4" t="s">
        <v>6024</v>
      </c>
      <c r="IO4" t="s">
        <v>6193</v>
      </c>
      <c r="IP4" t="s">
        <v>6188</v>
      </c>
      <c r="IQ4" t="s">
        <v>6024</v>
      </c>
      <c r="IR4" t="s">
        <v>6019</v>
      </c>
      <c r="IS4" t="s">
        <v>6024</v>
      </c>
      <c r="IT4" t="s">
        <v>6024</v>
      </c>
      <c r="IU4" t="s">
        <v>6024</v>
      </c>
      <c r="IV4" t="s">
        <v>6024</v>
      </c>
      <c r="IW4" t="s">
        <v>6020</v>
      </c>
      <c r="IX4" t="s">
        <v>6019</v>
      </c>
      <c r="IY4" t="s">
        <v>6036</v>
      </c>
      <c r="IZ4" t="s">
        <v>6065</v>
      </c>
      <c r="JB4" t="s">
        <v>6060</v>
      </c>
      <c r="JF4" t="s">
        <v>6022</v>
      </c>
      <c r="JG4" t="s">
        <v>6026</v>
      </c>
      <c r="JK4" t="s">
        <v>6025</v>
      </c>
      <c r="JL4" t="s">
        <v>6056</v>
      </c>
      <c r="JM4" t="s">
        <v>6193</v>
      </c>
      <c r="JN4" t="s">
        <v>6038</v>
      </c>
      <c r="JO4" t="s">
        <v>6037</v>
      </c>
      <c r="JP4" t="s">
        <v>6020</v>
      </c>
      <c r="JR4" t="s">
        <v>6024</v>
      </c>
      <c r="JS4" t="s">
        <v>6024</v>
      </c>
      <c r="JT4" t="s">
        <v>6056</v>
      </c>
      <c r="JV4" t="s">
        <v>6019</v>
      </c>
      <c r="JW4" t="s">
        <v>588</v>
      </c>
      <c r="JX4" t="s">
        <v>59</v>
      </c>
      <c r="KB4" t="s">
        <v>873</v>
      </c>
      <c r="KF4" t="s">
        <v>233</v>
      </c>
      <c r="KG4" t="s">
        <v>1093</v>
      </c>
      <c r="KK4" t="s">
        <v>266</v>
      </c>
      <c r="KL4" t="s">
        <v>132</v>
      </c>
      <c r="KM4" t="s">
        <v>20</v>
      </c>
      <c r="KN4" t="s">
        <v>59</v>
      </c>
      <c r="KO4" t="s">
        <v>59</v>
      </c>
      <c r="KP4" t="s">
        <v>59</v>
      </c>
      <c r="KQ4" t="s">
        <v>59</v>
      </c>
      <c r="KR4" t="s">
        <v>59</v>
      </c>
      <c r="KS4" t="s">
        <v>266</v>
      </c>
      <c r="KT4" t="s">
        <v>20</v>
      </c>
      <c r="KU4" t="s">
        <v>1312</v>
      </c>
      <c r="KV4" t="s">
        <v>123</v>
      </c>
    </row>
    <row r="5" spans="1:308">
      <c r="A5" t="s">
        <v>901</v>
      </c>
      <c r="B5" t="s">
        <v>462</v>
      </c>
      <c r="D5" t="s">
        <v>696</v>
      </c>
      <c r="E5" t="s">
        <v>5841</v>
      </c>
      <c r="F5" t="s">
        <v>5844</v>
      </c>
      <c r="G5" t="s">
        <v>5842</v>
      </c>
      <c r="H5" t="s">
        <v>5905</v>
      </c>
      <c r="J5" t="s">
        <v>6018</v>
      </c>
      <c r="K5" t="s">
        <v>6015</v>
      </c>
      <c r="L5">
        <v>116</v>
      </c>
      <c r="M5" t="s">
        <v>5770</v>
      </c>
      <c r="P5" t="s">
        <v>462</v>
      </c>
      <c r="Q5" t="s">
        <v>2566</v>
      </c>
      <c r="S5" t="s">
        <v>3597</v>
      </c>
      <c r="W5" t="s">
        <v>5721</v>
      </c>
      <c r="X5" t="s">
        <v>5770</v>
      </c>
      <c r="Z5" t="s">
        <v>696</v>
      </c>
      <c r="AA5" t="s">
        <v>1455</v>
      </c>
      <c r="AB5" t="s">
        <v>6014</v>
      </c>
      <c r="AC5" t="s">
        <v>6019</v>
      </c>
      <c r="AD5" t="s">
        <v>1017</v>
      </c>
      <c r="AE5" t="s">
        <v>123</v>
      </c>
      <c r="AF5" t="s">
        <v>905</v>
      </c>
      <c r="AG5" t="s">
        <v>288</v>
      </c>
      <c r="AY5" t="s">
        <v>5871</v>
      </c>
      <c r="AZ5" t="s">
        <v>5871</v>
      </c>
      <c r="BA5" t="s">
        <v>5844</v>
      </c>
      <c r="BB5" t="s">
        <v>5868</v>
      </c>
      <c r="BD5" t="s">
        <v>5875</v>
      </c>
      <c r="BH5" t="s">
        <v>5893</v>
      </c>
      <c r="BI5" t="s">
        <v>5898</v>
      </c>
      <c r="BK5" t="s">
        <v>5854</v>
      </c>
      <c r="BL5" t="s">
        <v>5860</v>
      </c>
      <c r="BM5" t="s">
        <v>5844</v>
      </c>
      <c r="BN5" t="s">
        <v>5868</v>
      </c>
      <c r="BP5" t="s">
        <v>5875</v>
      </c>
      <c r="BT5" t="s">
        <v>5854</v>
      </c>
      <c r="BU5" t="s">
        <v>5860</v>
      </c>
      <c r="BW5" t="s">
        <v>5908</v>
      </c>
      <c r="CJ5" t="s">
        <v>6227</v>
      </c>
      <c r="CK5" t="s">
        <v>5937</v>
      </c>
      <c r="CM5" t="s">
        <v>5944</v>
      </c>
      <c r="CP5" t="s">
        <v>5951</v>
      </c>
      <c r="CQ5" t="s">
        <v>5955</v>
      </c>
      <c r="DC5" t="s">
        <v>5986</v>
      </c>
      <c r="DR5" t="s">
        <v>108</v>
      </c>
      <c r="DT5" t="s">
        <v>6055</v>
      </c>
      <c r="DU5" t="s">
        <v>6029</v>
      </c>
      <c r="DV5" t="s">
        <v>6046</v>
      </c>
      <c r="DW5" t="s">
        <v>6022</v>
      </c>
      <c r="DX5" t="s">
        <v>6030</v>
      </c>
      <c r="DZ5" t="s">
        <v>6047</v>
      </c>
      <c r="EA5" t="s">
        <v>6047</v>
      </c>
      <c r="EC5" t="s">
        <v>6025</v>
      </c>
      <c r="ED5" t="s">
        <v>6038</v>
      </c>
      <c r="EH5" t="s">
        <v>6023</v>
      </c>
      <c r="EI5" t="s">
        <v>6188</v>
      </c>
      <c r="EJ5" t="s">
        <v>6188</v>
      </c>
      <c r="EK5" t="s">
        <v>6022</v>
      </c>
      <c r="EN5" t="s">
        <v>6033</v>
      </c>
      <c r="EQ5" t="s">
        <v>6019</v>
      </c>
      <c r="ER5" t="s">
        <v>6187</v>
      </c>
      <c r="ES5" t="s">
        <v>6044</v>
      </c>
      <c r="ET5" t="s">
        <v>6023</v>
      </c>
      <c r="EU5" t="s">
        <v>6034</v>
      </c>
      <c r="EV5" t="s">
        <v>6017</v>
      </c>
      <c r="EW5" t="s">
        <v>6188</v>
      </c>
      <c r="EX5" t="s">
        <v>6032</v>
      </c>
      <c r="EY5" t="s">
        <v>6019</v>
      </c>
      <c r="EZ5" t="s">
        <v>6020</v>
      </c>
      <c r="FA5" t="s">
        <v>6023</v>
      </c>
      <c r="FB5" t="s">
        <v>6188</v>
      </c>
      <c r="FC5" t="s">
        <v>6039</v>
      </c>
      <c r="FD5" t="s">
        <v>6062</v>
      </c>
      <c r="FE5" t="s">
        <v>6018</v>
      </c>
      <c r="FF5" t="s">
        <v>6016</v>
      </c>
      <c r="FG5" t="s">
        <v>6039</v>
      </c>
      <c r="FH5" t="s">
        <v>6041</v>
      </c>
      <c r="FI5" t="s">
        <v>6068</v>
      </c>
      <c r="FJ5" t="s">
        <v>6188</v>
      </c>
      <c r="FL5" t="s">
        <v>6027</v>
      </c>
      <c r="FM5" t="s">
        <v>6193</v>
      </c>
      <c r="FN5" t="s">
        <v>6065</v>
      </c>
      <c r="FO5" t="s">
        <v>6034</v>
      </c>
      <c r="FP5" t="s">
        <v>6019</v>
      </c>
      <c r="FQ5" t="s">
        <v>6039</v>
      </c>
      <c r="FR5" t="s">
        <v>6019</v>
      </c>
      <c r="FS5" t="s">
        <v>6041</v>
      </c>
      <c r="FT5" t="s">
        <v>6020</v>
      </c>
      <c r="FU5" t="s">
        <v>6019</v>
      </c>
      <c r="FV5" t="s">
        <v>6188</v>
      </c>
      <c r="FW5" t="s">
        <v>6042</v>
      </c>
      <c r="FX5" t="s">
        <v>6036</v>
      </c>
      <c r="FY5" t="s">
        <v>6193</v>
      </c>
      <c r="FZ5" t="s">
        <v>6039</v>
      </c>
      <c r="GB5" t="s">
        <v>6193</v>
      </c>
      <c r="GC5" t="s">
        <v>6193</v>
      </c>
      <c r="GF5" t="s">
        <v>6014</v>
      </c>
      <c r="GR5" t="s">
        <v>6040</v>
      </c>
      <c r="GS5" t="s">
        <v>6062</v>
      </c>
      <c r="GT5" t="s">
        <v>6039</v>
      </c>
      <c r="GU5" t="s">
        <v>6025</v>
      </c>
      <c r="GY5" t="s">
        <v>6040</v>
      </c>
      <c r="GZ5" t="s">
        <v>6056</v>
      </c>
      <c r="HA5" t="s">
        <v>6041</v>
      </c>
      <c r="HC5" t="s">
        <v>6019</v>
      </c>
      <c r="HF5" t="s">
        <v>6014</v>
      </c>
      <c r="HK5" t="s">
        <v>6058</v>
      </c>
      <c r="HO5" t="s">
        <v>6050</v>
      </c>
      <c r="HU5" t="s">
        <v>6049</v>
      </c>
      <c r="HZ5" t="s">
        <v>6039</v>
      </c>
      <c r="IA5" t="s">
        <v>6023</v>
      </c>
      <c r="IB5" t="s">
        <v>6193</v>
      </c>
      <c r="IC5" t="s">
        <v>6055</v>
      </c>
      <c r="ID5" t="s">
        <v>6067</v>
      </c>
      <c r="IE5" t="s">
        <v>6030</v>
      </c>
      <c r="IH5" t="s">
        <v>6023</v>
      </c>
      <c r="II5" t="s">
        <v>6014</v>
      </c>
      <c r="IJ5" t="s">
        <v>6019</v>
      </c>
      <c r="IK5" t="s">
        <v>6023</v>
      </c>
      <c r="IL5" t="s">
        <v>6188</v>
      </c>
      <c r="IM5" t="s">
        <v>6023</v>
      </c>
      <c r="IN5" t="s">
        <v>6188</v>
      </c>
      <c r="IO5" t="s">
        <v>6039</v>
      </c>
      <c r="IP5" t="s">
        <v>6019</v>
      </c>
      <c r="IQ5" t="s">
        <v>6188</v>
      </c>
      <c r="IR5" t="s">
        <v>6039</v>
      </c>
      <c r="IS5" t="s">
        <v>6188</v>
      </c>
      <c r="IT5" t="s">
        <v>6019</v>
      </c>
      <c r="IU5" t="s">
        <v>6023</v>
      </c>
      <c r="IV5" t="s">
        <v>6188</v>
      </c>
      <c r="IW5" t="s">
        <v>6036</v>
      </c>
      <c r="IX5" t="s">
        <v>6020</v>
      </c>
      <c r="IY5" t="s">
        <v>6193</v>
      </c>
      <c r="IZ5" t="s">
        <v>6193</v>
      </c>
      <c r="JB5" t="s">
        <v>6193</v>
      </c>
      <c r="JF5" t="s">
        <v>6038</v>
      </c>
      <c r="JG5" t="s">
        <v>6044</v>
      </c>
      <c r="JK5" t="s">
        <v>6040</v>
      </c>
      <c r="JL5" t="s">
        <v>6062</v>
      </c>
      <c r="JM5" t="s">
        <v>6041</v>
      </c>
      <c r="JN5" t="s">
        <v>6025</v>
      </c>
      <c r="JO5" t="s">
        <v>6040</v>
      </c>
      <c r="JP5" t="s">
        <v>6041</v>
      </c>
      <c r="JR5" t="s">
        <v>6019</v>
      </c>
      <c r="JS5" t="s">
        <v>6023</v>
      </c>
      <c r="JT5" t="s">
        <v>6018</v>
      </c>
      <c r="JV5" t="s">
        <v>6045</v>
      </c>
      <c r="JW5" t="s">
        <v>620</v>
      </c>
      <c r="JX5" t="s">
        <v>1312</v>
      </c>
      <c r="KB5" t="s">
        <v>123</v>
      </c>
      <c r="KF5" t="s">
        <v>64</v>
      </c>
      <c r="KG5" t="s">
        <v>810</v>
      </c>
      <c r="KK5" t="s">
        <v>20</v>
      </c>
      <c r="KL5" t="s">
        <v>519</v>
      </c>
      <c r="KM5" t="s">
        <v>123</v>
      </c>
      <c r="KN5" t="s">
        <v>1312</v>
      </c>
      <c r="KO5" t="s">
        <v>1312</v>
      </c>
      <c r="KP5" t="s">
        <v>1730</v>
      </c>
      <c r="KQ5" t="s">
        <v>1312</v>
      </c>
      <c r="KR5" t="s">
        <v>1312</v>
      </c>
      <c r="KS5" t="s">
        <v>20</v>
      </c>
      <c r="KT5" t="s">
        <v>956</v>
      </c>
      <c r="KU5" t="s">
        <v>873</v>
      </c>
      <c r="KV5" t="s">
        <v>620</v>
      </c>
    </row>
    <row r="6" spans="1:308">
      <c r="A6" t="s">
        <v>1952</v>
      </c>
      <c r="B6" t="s">
        <v>491</v>
      </c>
      <c r="D6" t="s">
        <v>896</v>
      </c>
      <c r="E6" t="s">
        <v>5841</v>
      </c>
      <c r="F6" t="s">
        <v>5845</v>
      </c>
      <c r="G6" t="s">
        <v>5842</v>
      </c>
      <c r="H6" t="s">
        <v>5906</v>
      </c>
      <c r="J6" t="s">
        <v>6019</v>
      </c>
      <c r="K6" t="s">
        <v>6015</v>
      </c>
      <c r="L6">
        <v>114</v>
      </c>
      <c r="M6" t="s">
        <v>5776</v>
      </c>
      <c r="P6" t="s">
        <v>491</v>
      </c>
      <c r="S6" t="s">
        <v>3789</v>
      </c>
      <c r="X6" t="s">
        <v>5776</v>
      </c>
      <c r="Z6" t="s">
        <v>896</v>
      </c>
      <c r="AA6" t="s">
        <v>1463</v>
      </c>
      <c r="AB6" t="s">
        <v>6185</v>
      </c>
      <c r="AC6" t="s">
        <v>6186</v>
      </c>
      <c r="AD6" t="s">
        <v>266</v>
      </c>
      <c r="AE6" t="s">
        <v>612</v>
      </c>
      <c r="AG6" t="s">
        <v>810</v>
      </c>
      <c r="AY6" t="s">
        <v>5880</v>
      </c>
      <c r="AZ6" t="s">
        <v>5880</v>
      </c>
      <c r="BA6" t="s">
        <v>5845</v>
      </c>
      <c r="BD6" t="s">
        <v>5876</v>
      </c>
      <c r="BI6" t="s">
        <v>5899</v>
      </c>
      <c r="BK6" t="s">
        <v>5855</v>
      </c>
      <c r="BL6" t="s">
        <v>5861</v>
      </c>
      <c r="BM6" t="s">
        <v>5845</v>
      </c>
      <c r="BP6" t="s">
        <v>5876</v>
      </c>
      <c r="BU6" t="s">
        <v>5861</v>
      </c>
      <c r="CJ6" t="s">
        <v>6228</v>
      </c>
      <c r="CK6" t="s">
        <v>5938</v>
      </c>
      <c r="CM6" t="s">
        <v>5945</v>
      </c>
      <c r="DR6" t="s">
        <v>64</v>
      </c>
      <c r="DT6" t="s">
        <v>6038</v>
      </c>
      <c r="DU6" t="s">
        <v>6192</v>
      </c>
      <c r="DW6" t="s">
        <v>6047</v>
      </c>
      <c r="DX6" t="s">
        <v>6046</v>
      </c>
      <c r="EA6" t="s">
        <v>6038</v>
      </c>
      <c r="ED6" t="s">
        <v>6025</v>
      </c>
      <c r="EH6" t="s">
        <v>6045</v>
      </c>
      <c r="EI6" t="s">
        <v>6039</v>
      </c>
      <c r="EJ6" t="s">
        <v>6032</v>
      </c>
      <c r="EN6" t="s">
        <v>6022</v>
      </c>
      <c r="EQ6" t="s">
        <v>6045</v>
      </c>
      <c r="ER6" t="s">
        <v>6042</v>
      </c>
      <c r="ES6" t="s">
        <v>6063</v>
      </c>
      <c r="ET6" t="s">
        <v>6039</v>
      </c>
      <c r="EU6" t="s">
        <v>6052</v>
      </c>
      <c r="EV6" t="s">
        <v>6030</v>
      </c>
      <c r="EW6" t="s">
        <v>6019</v>
      </c>
      <c r="EX6" t="s">
        <v>6034</v>
      </c>
      <c r="EY6" t="s">
        <v>6027</v>
      </c>
      <c r="EZ6" t="s">
        <v>6039</v>
      </c>
      <c r="FA6" t="s">
        <v>6188</v>
      </c>
      <c r="FB6" t="s">
        <v>6019</v>
      </c>
      <c r="FC6" t="s">
        <v>6049</v>
      </c>
      <c r="FD6" t="s">
        <v>6040</v>
      </c>
      <c r="FE6" t="s">
        <v>6034</v>
      </c>
      <c r="FG6" t="s">
        <v>6031</v>
      </c>
      <c r="FH6" t="s">
        <v>6027</v>
      </c>
      <c r="FI6" t="s">
        <v>6039</v>
      </c>
      <c r="FJ6" t="s">
        <v>6019</v>
      </c>
      <c r="FL6" t="s">
        <v>6187</v>
      </c>
      <c r="FM6" t="s">
        <v>6039</v>
      </c>
      <c r="FN6" t="s">
        <v>6039</v>
      </c>
      <c r="FO6" t="s">
        <v>6052</v>
      </c>
      <c r="FP6" t="s">
        <v>6020</v>
      </c>
      <c r="FQ6" t="s">
        <v>6049</v>
      </c>
      <c r="FR6" t="s">
        <v>6060</v>
      </c>
      <c r="FS6" t="s">
        <v>6039</v>
      </c>
      <c r="FT6" t="s">
        <v>6036</v>
      </c>
      <c r="FU6" t="s">
        <v>6020</v>
      </c>
      <c r="FV6" t="s">
        <v>6019</v>
      </c>
      <c r="FW6" t="s">
        <v>6053</v>
      </c>
      <c r="FX6" t="s">
        <v>6068</v>
      </c>
      <c r="FY6" t="s">
        <v>6041</v>
      </c>
      <c r="FZ6" t="s">
        <v>6187</v>
      </c>
      <c r="GB6" t="s">
        <v>6059</v>
      </c>
      <c r="GC6" t="s">
        <v>6041</v>
      </c>
      <c r="GF6" t="s">
        <v>6022</v>
      </c>
      <c r="GS6" t="s">
        <v>6029</v>
      </c>
      <c r="GT6" t="s">
        <v>6059</v>
      </c>
      <c r="GZ6" t="s">
        <v>6057</v>
      </c>
      <c r="HA6" t="s">
        <v>6039</v>
      </c>
      <c r="HC6" t="s">
        <v>6045</v>
      </c>
      <c r="HF6" t="s">
        <v>6034</v>
      </c>
      <c r="HK6" t="s">
        <v>6034</v>
      </c>
      <c r="HU6" t="s">
        <v>6029</v>
      </c>
      <c r="HZ6" t="s">
        <v>6053</v>
      </c>
      <c r="IA6" t="s">
        <v>6188</v>
      </c>
      <c r="IB6" t="s">
        <v>6056</v>
      </c>
      <c r="IC6" t="s">
        <v>6029</v>
      </c>
      <c r="ID6" t="s">
        <v>6029</v>
      </c>
      <c r="IE6" t="s">
        <v>6038</v>
      </c>
      <c r="IH6" t="s">
        <v>6188</v>
      </c>
      <c r="II6" t="s">
        <v>6033</v>
      </c>
      <c r="IJ6" t="s">
        <v>6045</v>
      </c>
      <c r="IK6" t="s">
        <v>6188</v>
      </c>
      <c r="IL6" t="s">
        <v>6019</v>
      </c>
      <c r="IM6" t="s">
        <v>6188</v>
      </c>
      <c r="IN6" t="s">
        <v>6019</v>
      </c>
      <c r="IO6" t="s">
        <v>6027</v>
      </c>
      <c r="IP6" t="s">
        <v>6041</v>
      </c>
      <c r="IQ6" t="s">
        <v>6019</v>
      </c>
      <c r="IR6" t="s">
        <v>6027</v>
      </c>
      <c r="IS6" t="s">
        <v>6019</v>
      </c>
      <c r="IT6" t="s">
        <v>6020</v>
      </c>
      <c r="IU6" t="s">
        <v>6188</v>
      </c>
      <c r="IV6" t="s">
        <v>6019</v>
      </c>
      <c r="IW6" t="s">
        <v>6068</v>
      </c>
      <c r="IX6" t="s">
        <v>6193</v>
      </c>
      <c r="IY6" t="s">
        <v>6041</v>
      </c>
      <c r="IZ6" t="s">
        <v>6041</v>
      </c>
      <c r="JB6" t="s">
        <v>6014</v>
      </c>
      <c r="JL6" t="s">
        <v>6029</v>
      </c>
      <c r="JM6" t="s">
        <v>6039</v>
      </c>
      <c r="JP6" t="s">
        <v>6039</v>
      </c>
      <c r="JR6" t="s">
        <v>6045</v>
      </c>
      <c r="JS6" t="s">
        <v>6065</v>
      </c>
      <c r="JT6" t="s">
        <v>6062</v>
      </c>
      <c r="JV6" t="s">
        <v>6036</v>
      </c>
      <c r="JW6" t="s">
        <v>1163</v>
      </c>
      <c r="JX6" t="s">
        <v>1730</v>
      </c>
      <c r="KB6" t="s">
        <v>571</v>
      </c>
      <c r="KK6" t="s">
        <v>201</v>
      </c>
      <c r="KL6" t="s">
        <v>543</v>
      </c>
      <c r="KM6" t="s">
        <v>588</v>
      </c>
      <c r="KN6" t="s">
        <v>1730</v>
      </c>
      <c r="KO6" t="s">
        <v>1730</v>
      </c>
      <c r="KP6" t="s">
        <v>266</v>
      </c>
      <c r="KQ6" t="s">
        <v>1730</v>
      </c>
      <c r="KR6" t="s">
        <v>1730</v>
      </c>
      <c r="KS6" t="s">
        <v>123</v>
      </c>
      <c r="KT6" t="s">
        <v>1407</v>
      </c>
      <c r="KU6" t="s">
        <v>123</v>
      </c>
      <c r="KV6" t="s">
        <v>108</v>
      </c>
    </row>
    <row r="7" spans="1:308">
      <c r="A7" t="s">
        <v>2764</v>
      </c>
      <c r="B7" t="s">
        <v>496</v>
      </c>
      <c r="E7" t="s">
        <v>5841</v>
      </c>
      <c r="F7" t="s">
        <v>5846</v>
      </c>
      <c r="G7" t="s">
        <v>5842</v>
      </c>
      <c r="H7" t="s">
        <v>5907</v>
      </c>
      <c r="J7" t="s">
        <v>6020</v>
      </c>
      <c r="K7" t="s">
        <v>6015</v>
      </c>
      <c r="L7">
        <v>104</v>
      </c>
      <c r="M7" t="s">
        <v>5779</v>
      </c>
      <c r="P7" t="s">
        <v>496</v>
      </c>
      <c r="S7" t="s">
        <v>3939</v>
      </c>
      <c r="X7" t="s">
        <v>5779</v>
      </c>
      <c r="AA7" t="s">
        <v>1600</v>
      </c>
      <c r="AB7" t="s">
        <v>6018</v>
      </c>
      <c r="AC7" t="s">
        <v>6034</v>
      </c>
      <c r="AD7" t="s">
        <v>20</v>
      </c>
      <c r="AE7" t="s">
        <v>28</v>
      </c>
      <c r="AY7" t="s">
        <v>5884</v>
      </c>
      <c r="AZ7" t="s">
        <v>5884</v>
      </c>
      <c r="BA7" t="s">
        <v>5846</v>
      </c>
      <c r="BD7" t="s">
        <v>5877</v>
      </c>
      <c r="BI7" t="s">
        <v>5900</v>
      </c>
      <c r="BL7" t="s">
        <v>5862</v>
      </c>
      <c r="BM7" t="s">
        <v>5846</v>
      </c>
      <c r="BP7" t="s">
        <v>5877</v>
      </c>
      <c r="BU7" t="s">
        <v>5862</v>
      </c>
      <c r="CJ7" t="s">
        <v>6229</v>
      </c>
      <c r="CK7" t="s">
        <v>5939</v>
      </c>
      <c r="DR7" t="s">
        <v>70</v>
      </c>
      <c r="DT7" t="s">
        <v>6040</v>
      </c>
      <c r="DU7" t="s">
        <v>6038</v>
      </c>
      <c r="DW7" t="s">
        <v>6037</v>
      </c>
      <c r="EH7" t="s">
        <v>6193</v>
      </c>
      <c r="EI7" t="s">
        <v>6032</v>
      </c>
      <c r="EJ7" t="s">
        <v>6061</v>
      </c>
      <c r="EQ7" t="s">
        <v>6020</v>
      </c>
      <c r="ER7" t="s">
        <v>6014</v>
      </c>
      <c r="ES7" t="s">
        <v>6051</v>
      </c>
      <c r="ET7" t="s">
        <v>6032</v>
      </c>
      <c r="EU7" t="s">
        <v>6067</v>
      </c>
      <c r="EV7" t="s">
        <v>6025</v>
      </c>
      <c r="EW7" t="s">
        <v>6193</v>
      </c>
      <c r="EX7" t="s">
        <v>6017</v>
      </c>
      <c r="EY7" t="s">
        <v>6049</v>
      </c>
      <c r="EZ7" t="s">
        <v>6187</v>
      </c>
      <c r="FA7" t="s">
        <v>6019</v>
      </c>
      <c r="FB7" t="s">
        <v>6041</v>
      </c>
      <c r="FC7" t="s">
        <v>6014</v>
      </c>
      <c r="FE7" t="s">
        <v>6052</v>
      </c>
      <c r="FG7" t="s">
        <v>6042</v>
      </c>
      <c r="FH7" t="s">
        <v>6061</v>
      </c>
      <c r="FI7" t="s">
        <v>6049</v>
      </c>
      <c r="FJ7" t="s">
        <v>6060</v>
      </c>
      <c r="FL7" t="s">
        <v>6014</v>
      </c>
      <c r="FM7" t="s">
        <v>6049</v>
      </c>
      <c r="FN7" t="s">
        <v>6027</v>
      </c>
      <c r="FO7" t="s">
        <v>6021</v>
      </c>
      <c r="FP7" t="s">
        <v>6036</v>
      </c>
      <c r="FQ7" t="s">
        <v>6018</v>
      </c>
      <c r="FR7" t="s">
        <v>6020</v>
      </c>
      <c r="FS7" t="s">
        <v>6014</v>
      </c>
      <c r="FT7" t="s">
        <v>6041</v>
      </c>
      <c r="FU7" t="s">
        <v>6036</v>
      </c>
      <c r="FV7" t="s">
        <v>6045</v>
      </c>
      <c r="FW7" t="s">
        <v>6062</v>
      </c>
      <c r="FX7" t="s">
        <v>6053</v>
      </c>
      <c r="FY7" t="s">
        <v>6048</v>
      </c>
      <c r="FZ7" t="s">
        <v>6042</v>
      </c>
      <c r="GB7" t="s">
        <v>6061</v>
      </c>
      <c r="GC7" t="s">
        <v>6059</v>
      </c>
      <c r="GF7" t="s">
        <v>6044</v>
      </c>
      <c r="GS7" t="s">
        <v>6064</v>
      </c>
      <c r="GT7" t="s">
        <v>6042</v>
      </c>
      <c r="GZ7" t="s">
        <v>6187</v>
      </c>
      <c r="HA7" t="s">
        <v>6056</v>
      </c>
      <c r="HC7" t="s">
        <v>6020</v>
      </c>
      <c r="HF7" t="s">
        <v>6029</v>
      </c>
      <c r="HK7" t="s">
        <v>6037</v>
      </c>
      <c r="HU7" t="s">
        <v>6044</v>
      </c>
      <c r="HZ7" t="s">
        <v>6029</v>
      </c>
      <c r="IA7" t="s">
        <v>6019</v>
      </c>
      <c r="IB7" t="s">
        <v>6187</v>
      </c>
      <c r="IC7" t="s">
        <v>6022</v>
      </c>
      <c r="ID7" t="s">
        <v>6047</v>
      </c>
      <c r="IE7" t="s">
        <v>6025</v>
      </c>
      <c r="IH7" t="s">
        <v>6045</v>
      </c>
      <c r="II7" t="s">
        <v>6062</v>
      </c>
      <c r="IJ7" t="s">
        <v>6020</v>
      </c>
      <c r="IK7" t="s">
        <v>6193</v>
      </c>
      <c r="IL7" t="s">
        <v>6193</v>
      </c>
      <c r="IM7" t="s">
        <v>6019</v>
      </c>
      <c r="IN7" t="s">
        <v>6041</v>
      </c>
      <c r="IO7" t="s">
        <v>6049</v>
      </c>
      <c r="IP7" t="s">
        <v>6039</v>
      </c>
      <c r="IQ7" t="s">
        <v>6060</v>
      </c>
      <c r="IR7" t="s">
        <v>6187</v>
      </c>
      <c r="IS7" t="s">
        <v>6065</v>
      </c>
      <c r="IT7" t="s">
        <v>6036</v>
      </c>
      <c r="IU7" t="s">
        <v>6019</v>
      </c>
      <c r="IV7" t="s">
        <v>6045</v>
      </c>
      <c r="IW7" t="s">
        <v>6039</v>
      </c>
      <c r="IX7" t="s">
        <v>6041</v>
      </c>
      <c r="IY7" t="s">
        <v>6059</v>
      </c>
      <c r="IZ7" t="s">
        <v>6059</v>
      </c>
      <c r="JB7" t="s">
        <v>6022</v>
      </c>
      <c r="JL7" t="s">
        <v>6064</v>
      </c>
      <c r="JM7" t="s">
        <v>6059</v>
      </c>
      <c r="JP7" t="s">
        <v>6056</v>
      </c>
      <c r="JR7" t="s">
        <v>6020</v>
      </c>
      <c r="JS7" t="s">
        <v>6041</v>
      </c>
      <c r="JT7" t="s">
        <v>6022</v>
      </c>
      <c r="JV7" t="s">
        <v>6039</v>
      </c>
      <c r="JW7" t="s">
        <v>28</v>
      </c>
      <c r="JX7" t="s">
        <v>266</v>
      </c>
      <c r="KB7" t="s">
        <v>233</v>
      </c>
      <c r="KK7" t="s">
        <v>123</v>
      </c>
      <c r="KL7" t="s">
        <v>444</v>
      </c>
      <c r="KM7" t="s">
        <v>620</v>
      </c>
      <c r="KN7" t="s">
        <v>266</v>
      </c>
      <c r="KO7" t="s">
        <v>266</v>
      </c>
      <c r="KP7" t="s">
        <v>123</v>
      </c>
      <c r="KQ7" t="s">
        <v>266</v>
      </c>
      <c r="KR7" t="s">
        <v>266</v>
      </c>
      <c r="KS7" t="s">
        <v>588</v>
      </c>
      <c r="KT7" t="s">
        <v>123</v>
      </c>
      <c r="KU7" t="s">
        <v>588</v>
      </c>
      <c r="KV7" t="s">
        <v>1093</v>
      </c>
    </row>
    <row r="8" spans="1:308">
      <c r="A8" t="s">
        <v>3127</v>
      </c>
      <c r="E8" t="s">
        <v>5847</v>
      </c>
      <c r="F8" t="s">
        <v>5848</v>
      </c>
      <c r="G8" t="s">
        <v>5842</v>
      </c>
      <c r="H8" t="s">
        <v>5908</v>
      </c>
      <c r="J8" t="s">
        <v>6021</v>
      </c>
      <c r="K8" t="s">
        <v>6015</v>
      </c>
      <c r="L8">
        <v>90</v>
      </c>
      <c r="S8" t="s">
        <v>4035</v>
      </c>
      <c r="AA8" t="s">
        <v>1672</v>
      </c>
      <c r="AB8" t="s">
        <v>6019</v>
      </c>
      <c r="AC8" t="s">
        <v>6022</v>
      </c>
      <c r="AD8" t="s">
        <v>936</v>
      </c>
      <c r="AE8" t="s">
        <v>1232</v>
      </c>
      <c r="AY8" t="s">
        <v>5886</v>
      </c>
      <c r="AZ8" t="s">
        <v>5886</v>
      </c>
      <c r="BD8" t="s">
        <v>5878</v>
      </c>
      <c r="BL8" t="s">
        <v>5863</v>
      </c>
      <c r="BP8" t="s">
        <v>5878</v>
      </c>
      <c r="BU8" t="s">
        <v>5863</v>
      </c>
      <c r="CJ8" t="s">
        <v>5930</v>
      </c>
      <c r="DU8" t="s">
        <v>6025</v>
      </c>
      <c r="DW8" t="s">
        <v>6038</v>
      </c>
      <c r="EH8" t="s">
        <v>6032</v>
      </c>
      <c r="EI8" t="s">
        <v>6049</v>
      </c>
      <c r="EJ8" t="s">
        <v>6187</v>
      </c>
      <c r="EQ8" t="s">
        <v>6014</v>
      </c>
      <c r="ER8" t="s">
        <v>6018</v>
      </c>
      <c r="ES8" t="s">
        <v>6025</v>
      </c>
      <c r="ET8" t="s">
        <v>6049</v>
      </c>
      <c r="EU8" t="s">
        <v>6040</v>
      </c>
      <c r="EW8" t="s">
        <v>6061</v>
      </c>
      <c r="EY8" t="s">
        <v>6031</v>
      </c>
      <c r="EZ8" t="s">
        <v>6014</v>
      </c>
      <c r="FA8" t="s">
        <v>6068</v>
      </c>
      <c r="FB8" t="s">
        <v>6039</v>
      </c>
      <c r="FC8" t="s">
        <v>6034</v>
      </c>
      <c r="FE8" t="s">
        <v>6022</v>
      </c>
      <c r="FG8" t="s">
        <v>6018</v>
      </c>
      <c r="FH8" t="s">
        <v>6014</v>
      </c>
      <c r="FI8" t="s">
        <v>6018</v>
      </c>
      <c r="FJ8" t="s">
        <v>6036</v>
      </c>
      <c r="FL8" t="s">
        <v>6018</v>
      </c>
      <c r="FM8" t="s">
        <v>6042</v>
      </c>
      <c r="FN8" t="s">
        <v>6049</v>
      </c>
      <c r="FO8" t="s">
        <v>6016</v>
      </c>
      <c r="FP8" t="s">
        <v>6041</v>
      </c>
      <c r="FQ8" t="s">
        <v>6029</v>
      </c>
      <c r="FR8" t="s">
        <v>6041</v>
      </c>
      <c r="FS8" t="s">
        <v>6018</v>
      </c>
      <c r="FT8" t="s">
        <v>6014</v>
      </c>
      <c r="FU8" t="s">
        <v>6193</v>
      </c>
      <c r="FV8" t="s">
        <v>6036</v>
      </c>
      <c r="FW8" t="s">
        <v>6022</v>
      </c>
      <c r="FX8" t="s">
        <v>6022</v>
      </c>
      <c r="FY8" t="s">
        <v>6034</v>
      </c>
      <c r="FZ8" t="s">
        <v>6018</v>
      </c>
      <c r="GB8" t="s">
        <v>6025</v>
      </c>
      <c r="GC8" t="s">
        <v>6029</v>
      </c>
      <c r="GT8" t="s">
        <v>6014</v>
      </c>
      <c r="GZ8" t="s">
        <v>6055</v>
      </c>
      <c r="HA8" t="s">
        <v>6061</v>
      </c>
      <c r="HC8" t="s">
        <v>6036</v>
      </c>
      <c r="HF8" t="s">
        <v>6022</v>
      </c>
      <c r="HZ8" t="s">
        <v>6054</v>
      </c>
      <c r="IA8" t="s">
        <v>6060</v>
      </c>
      <c r="IB8" t="s">
        <v>6055</v>
      </c>
      <c r="IC8" t="s">
        <v>6047</v>
      </c>
      <c r="ID8" t="s">
        <v>6038</v>
      </c>
      <c r="IH8" t="s">
        <v>6193</v>
      </c>
      <c r="II8" t="s">
        <v>6022</v>
      </c>
      <c r="IJ8" t="s">
        <v>6061</v>
      </c>
      <c r="IK8" t="s">
        <v>6041</v>
      </c>
      <c r="IL8" t="s">
        <v>6039</v>
      </c>
      <c r="IM8" t="s">
        <v>6060</v>
      </c>
      <c r="IN8" t="s">
        <v>6039</v>
      </c>
      <c r="IO8" t="s">
        <v>6031</v>
      </c>
      <c r="IP8" t="s">
        <v>6027</v>
      </c>
      <c r="IQ8" t="s">
        <v>6036</v>
      </c>
      <c r="IR8" t="s">
        <v>6014</v>
      </c>
      <c r="IS8" t="s">
        <v>6193</v>
      </c>
      <c r="IT8" t="s">
        <v>6041</v>
      </c>
      <c r="IU8" t="s">
        <v>6060</v>
      </c>
      <c r="IV8" t="s">
        <v>6020</v>
      </c>
      <c r="IW8" t="s">
        <v>6042</v>
      </c>
      <c r="IX8" t="s">
        <v>6039</v>
      </c>
      <c r="IY8" t="s">
        <v>6061</v>
      </c>
      <c r="IZ8" t="s">
        <v>6029</v>
      </c>
      <c r="JB8" t="s">
        <v>6044</v>
      </c>
      <c r="JM8" t="s">
        <v>6042</v>
      </c>
      <c r="JP8" t="s">
        <v>6061</v>
      </c>
      <c r="JR8" t="s">
        <v>6036</v>
      </c>
      <c r="JS8" t="s">
        <v>6027</v>
      </c>
      <c r="JT8" t="s">
        <v>6192</v>
      </c>
      <c r="JV8" t="s">
        <v>6049</v>
      </c>
      <c r="JW8" t="s">
        <v>1232</v>
      </c>
      <c r="JX8" t="s">
        <v>873</v>
      </c>
      <c r="KB8" t="s">
        <v>810</v>
      </c>
      <c r="KK8" t="s">
        <v>132</v>
      </c>
      <c r="KL8" t="s">
        <v>28</v>
      </c>
      <c r="KM8" t="s">
        <v>612</v>
      </c>
      <c r="KN8" t="s">
        <v>1056</v>
      </c>
      <c r="KO8" t="s">
        <v>1056</v>
      </c>
      <c r="KP8" t="s">
        <v>620</v>
      </c>
      <c r="KQ8" t="s">
        <v>873</v>
      </c>
      <c r="KR8" t="s">
        <v>1056</v>
      </c>
      <c r="KS8" t="s">
        <v>620</v>
      </c>
      <c r="KT8" t="s">
        <v>588</v>
      </c>
      <c r="KU8" t="s">
        <v>571</v>
      </c>
      <c r="KV8" t="s">
        <v>233</v>
      </c>
    </row>
    <row r="9" spans="1:308">
      <c r="A9" t="s">
        <v>4600</v>
      </c>
      <c r="E9" t="s">
        <v>5847</v>
      </c>
      <c r="F9" t="s">
        <v>5849</v>
      </c>
      <c r="G9" t="s">
        <v>5843</v>
      </c>
      <c r="H9" t="s">
        <v>5909</v>
      </c>
      <c r="J9" t="s">
        <v>6022</v>
      </c>
      <c r="K9" t="s">
        <v>6015</v>
      </c>
      <c r="L9">
        <v>85</v>
      </c>
      <c r="S9" t="s">
        <v>4207</v>
      </c>
      <c r="AB9" t="s">
        <v>6186</v>
      </c>
      <c r="AC9" t="s">
        <v>6023</v>
      </c>
      <c r="AD9" t="s">
        <v>233</v>
      </c>
      <c r="AE9" t="s">
        <v>227</v>
      </c>
      <c r="AY9" t="s">
        <v>5889</v>
      </c>
      <c r="AZ9" t="s">
        <v>5850</v>
      </c>
      <c r="BD9" t="s">
        <v>5879</v>
      </c>
      <c r="BP9" t="s">
        <v>5879</v>
      </c>
      <c r="CJ9" t="s">
        <v>5931</v>
      </c>
      <c r="DW9" t="s">
        <v>6046</v>
      </c>
      <c r="EH9" t="s">
        <v>6058</v>
      </c>
      <c r="EI9" t="s">
        <v>6061</v>
      </c>
      <c r="EJ9" t="s">
        <v>6042</v>
      </c>
      <c r="EQ9" t="s">
        <v>6053</v>
      </c>
      <c r="ER9" t="s">
        <v>6034</v>
      </c>
      <c r="ES9" t="s">
        <v>6214</v>
      </c>
      <c r="ET9" t="s">
        <v>6042</v>
      </c>
      <c r="EW9" t="s">
        <v>6187</v>
      </c>
      <c r="EY9" t="s">
        <v>6014</v>
      </c>
      <c r="EZ9" t="s">
        <v>6018</v>
      </c>
      <c r="FA9" t="s">
        <v>6193</v>
      </c>
      <c r="FB9" t="s">
        <v>6027</v>
      </c>
      <c r="FC9" t="s">
        <v>6054</v>
      </c>
      <c r="FG9" t="s">
        <v>6034</v>
      </c>
      <c r="FH9" t="s">
        <v>6018</v>
      </c>
      <c r="FI9" t="s">
        <v>6021</v>
      </c>
      <c r="FJ9" t="s">
        <v>6041</v>
      </c>
      <c r="FL9" t="s">
        <v>6034</v>
      </c>
      <c r="FM9" t="s">
        <v>6026</v>
      </c>
      <c r="FN9" t="s">
        <v>6031</v>
      </c>
      <c r="FO9" t="s">
        <v>6017</v>
      </c>
      <c r="FP9" t="s">
        <v>6039</v>
      </c>
      <c r="FQ9" t="s">
        <v>6192</v>
      </c>
      <c r="FR9" t="s">
        <v>6039</v>
      </c>
      <c r="FS9" t="s">
        <v>6034</v>
      </c>
      <c r="FT9" t="s">
        <v>6022</v>
      </c>
      <c r="FU9" t="s">
        <v>6041</v>
      </c>
      <c r="FV9" t="s">
        <v>6065</v>
      </c>
      <c r="FW9" t="s">
        <v>6016</v>
      </c>
      <c r="FY9" t="s">
        <v>6037</v>
      </c>
      <c r="FZ9" t="s">
        <v>6048</v>
      </c>
      <c r="GC9" t="s">
        <v>6025</v>
      </c>
      <c r="GT9" t="s">
        <v>6034</v>
      </c>
      <c r="GZ9" t="s">
        <v>6037</v>
      </c>
      <c r="HA9" t="s">
        <v>6057</v>
      </c>
      <c r="HC9" t="s">
        <v>6041</v>
      </c>
      <c r="HF9" t="s">
        <v>6054</v>
      </c>
      <c r="HZ9" t="s">
        <v>6025</v>
      </c>
      <c r="IA9" t="s">
        <v>6020</v>
      </c>
      <c r="IB9" t="s">
        <v>6029</v>
      </c>
      <c r="IC9" t="s">
        <v>6030</v>
      </c>
      <c r="IH9" t="s">
        <v>6039</v>
      </c>
      <c r="IJ9" t="s">
        <v>6187</v>
      </c>
      <c r="IK9" t="s">
        <v>6039</v>
      </c>
      <c r="IL9" t="s">
        <v>6032</v>
      </c>
      <c r="IM9" t="s">
        <v>6020</v>
      </c>
      <c r="IN9" t="s">
        <v>6027</v>
      </c>
      <c r="IO9" t="s">
        <v>6061</v>
      </c>
      <c r="IP9" t="s">
        <v>6031</v>
      </c>
      <c r="IQ9" t="s">
        <v>6068</v>
      </c>
      <c r="IR9" t="s">
        <v>6018</v>
      </c>
      <c r="IS9" t="s">
        <v>6039</v>
      </c>
      <c r="IT9" t="s">
        <v>6039</v>
      </c>
      <c r="IU9" t="s">
        <v>6020</v>
      </c>
      <c r="IV9" t="s">
        <v>6036</v>
      </c>
      <c r="IW9" t="s">
        <v>6053</v>
      </c>
      <c r="IX9" t="s">
        <v>6187</v>
      </c>
      <c r="IY9" t="s">
        <v>6025</v>
      </c>
      <c r="IZ9" t="s">
        <v>6025</v>
      </c>
      <c r="JM9" t="s">
        <v>6014</v>
      </c>
      <c r="JP9" t="s">
        <v>6057</v>
      </c>
      <c r="JR9" t="s">
        <v>6041</v>
      </c>
      <c r="JS9" t="s">
        <v>6059</v>
      </c>
      <c r="JT9" t="s">
        <v>6050</v>
      </c>
      <c r="JV9" t="s">
        <v>6034</v>
      </c>
      <c r="JW9" t="s">
        <v>114</v>
      </c>
      <c r="JX9" t="s">
        <v>20</v>
      </c>
      <c r="KK9" t="s">
        <v>52</v>
      </c>
      <c r="KL9" t="s">
        <v>535</v>
      </c>
      <c r="KM9" t="s">
        <v>132</v>
      </c>
      <c r="KN9" t="s">
        <v>873</v>
      </c>
      <c r="KO9" t="s">
        <v>20</v>
      </c>
      <c r="KP9" t="s">
        <v>1999</v>
      </c>
      <c r="KQ9" t="s">
        <v>20</v>
      </c>
      <c r="KR9" t="s">
        <v>873</v>
      </c>
      <c r="KS9" t="s">
        <v>52</v>
      </c>
      <c r="KT9" t="s">
        <v>612</v>
      </c>
      <c r="KU9" t="s">
        <v>233</v>
      </c>
      <c r="KV9" t="s">
        <v>288</v>
      </c>
    </row>
    <row r="10" spans="1:308">
      <c r="A10" t="s">
        <v>5462</v>
      </c>
      <c r="E10" t="s">
        <v>5850</v>
      </c>
      <c r="F10" t="s">
        <v>5851</v>
      </c>
      <c r="G10" t="s">
        <v>5843</v>
      </c>
      <c r="H10" t="s">
        <v>5910</v>
      </c>
      <c r="J10" t="s">
        <v>6023</v>
      </c>
      <c r="K10" t="s">
        <v>6015</v>
      </c>
      <c r="L10">
        <v>80</v>
      </c>
      <c r="AB10" t="s">
        <v>6034</v>
      </c>
      <c r="AC10" t="s">
        <v>6026</v>
      </c>
      <c r="AD10" t="s">
        <v>59</v>
      </c>
      <c r="AE10" t="s">
        <v>2568</v>
      </c>
      <c r="AY10" t="s">
        <v>5894</v>
      </c>
      <c r="AZ10" t="s">
        <v>5856</v>
      </c>
      <c r="CJ10" t="s">
        <v>5932</v>
      </c>
      <c r="EH10" t="s">
        <v>6014</v>
      </c>
      <c r="EI10" t="s">
        <v>6014</v>
      </c>
      <c r="EJ10" t="s">
        <v>6014</v>
      </c>
      <c r="EQ10" t="s">
        <v>6029</v>
      </c>
      <c r="ER10" t="s">
        <v>6022</v>
      </c>
      <c r="ET10" t="s">
        <v>6014</v>
      </c>
      <c r="EW10" t="s">
        <v>6033</v>
      </c>
      <c r="EY10" t="s">
        <v>6018</v>
      </c>
      <c r="EZ10" t="s">
        <v>6034</v>
      </c>
      <c r="FA10" t="s">
        <v>6041</v>
      </c>
      <c r="FB10" t="s">
        <v>6049</v>
      </c>
      <c r="FG10" t="s">
        <v>6026</v>
      </c>
      <c r="FH10" t="s">
        <v>6034</v>
      </c>
      <c r="FI10" t="s">
        <v>6050</v>
      </c>
      <c r="FJ10" t="s">
        <v>6039</v>
      </c>
      <c r="FL10" t="s">
        <v>6022</v>
      </c>
      <c r="FM10" t="s">
        <v>6054</v>
      </c>
      <c r="FN10" t="s">
        <v>6187</v>
      </c>
      <c r="FO10" t="s">
        <v>6037</v>
      </c>
      <c r="FP10" t="s">
        <v>6027</v>
      </c>
      <c r="FQ10" t="s">
        <v>6016</v>
      </c>
      <c r="FR10" t="s">
        <v>6031</v>
      </c>
      <c r="FS10" t="s">
        <v>6052</v>
      </c>
      <c r="FT10" t="s">
        <v>6192</v>
      </c>
      <c r="FU10" t="s">
        <v>6039</v>
      </c>
      <c r="FV10" t="s">
        <v>6041</v>
      </c>
      <c r="FY10" t="s">
        <v>6025</v>
      </c>
      <c r="FZ10" t="s">
        <v>6055</v>
      </c>
      <c r="GT10" t="s">
        <v>6067</v>
      </c>
      <c r="GZ10" t="s">
        <v>6038</v>
      </c>
      <c r="HA10" t="s">
        <v>6055</v>
      </c>
      <c r="HC10" t="s">
        <v>6039</v>
      </c>
      <c r="HF10" t="s">
        <v>6037</v>
      </c>
      <c r="IA10" t="s">
        <v>6036</v>
      </c>
      <c r="IB10" t="s">
        <v>6192</v>
      </c>
      <c r="IC10" t="s">
        <v>6037</v>
      </c>
      <c r="IH10" t="s">
        <v>6032</v>
      </c>
      <c r="IJ10" t="s">
        <v>6042</v>
      </c>
      <c r="IK10" t="s">
        <v>6032</v>
      </c>
      <c r="IL10" t="s">
        <v>6061</v>
      </c>
      <c r="IM10" t="s">
        <v>6068</v>
      </c>
      <c r="IN10" t="s">
        <v>6049</v>
      </c>
      <c r="IO10" t="s">
        <v>6014</v>
      </c>
      <c r="IP10" t="s">
        <v>6061</v>
      </c>
      <c r="IQ10" t="s">
        <v>6041</v>
      </c>
      <c r="IR10" t="s">
        <v>6034</v>
      </c>
      <c r="IS10" t="s">
        <v>6027</v>
      </c>
      <c r="IT10" t="s">
        <v>6027</v>
      </c>
      <c r="IU10" t="s">
        <v>6036</v>
      </c>
      <c r="IV10" t="s">
        <v>6065</v>
      </c>
      <c r="IW10" t="s">
        <v>6062</v>
      </c>
      <c r="IX10" t="s">
        <v>6042</v>
      </c>
      <c r="JM10" t="s">
        <v>6034</v>
      </c>
      <c r="JP10" t="s">
        <v>6187</v>
      </c>
      <c r="JR10" t="s">
        <v>6039</v>
      </c>
      <c r="JS10" t="s">
        <v>6058</v>
      </c>
      <c r="JT10" t="s">
        <v>6037</v>
      </c>
      <c r="JV10" t="s">
        <v>6029</v>
      </c>
      <c r="JX10" t="s">
        <v>956</v>
      </c>
      <c r="KK10" t="s">
        <v>443</v>
      </c>
      <c r="KL10" t="s">
        <v>114</v>
      </c>
      <c r="KM10" t="s">
        <v>851</v>
      </c>
      <c r="KN10" t="s">
        <v>20</v>
      </c>
      <c r="KO10" t="s">
        <v>123</v>
      </c>
      <c r="KP10" t="s">
        <v>851</v>
      </c>
      <c r="KQ10" t="s">
        <v>956</v>
      </c>
      <c r="KR10" t="s">
        <v>20</v>
      </c>
      <c r="KS10" t="s">
        <v>443</v>
      </c>
      <c r="KT10" t="s">
        <v>851</v>
      </c>
      <c r="KU10" t="s">
        <v>810</v>
      </c>
      <c r="KV10" t="s">
        <v>810</v>
      </c>
    </row>
    <row r="11" spans="1:308">
      <c r="A11" t="s">
        <v>5586</v>
      </c>
      <c r="E11" t="s">
        <v>5850</v>
      </c>
      <c r="F11" t="s">
        <v>5852</v>
      </c>
      <c r="G11" t="s">
        <v>5843</v>
      </c>
      <c r="H11" t="s">
        <v>5911</v>
      </c>
      <c r="J11" t="s">
        <v>6024</v>
      </c>
      <c r="K11" t="s">
        <v>6015</v>
      </c>
      <c r="L11">
        <v>79</v>
      </c>
      <c r="AB11" t="s">
        <v>6022</v>
      </c>
      <c r="AC11" t="s">
        <v>6038</v>
      </c>
      <c r="AD11" t="s">
        <v>1312</v>
      </c>
      <c r="AE11" t="s">
        <v>580</v>
      </c>
      <c r="AY11" t="s">
        <v>5847</v>
      </c>
      <c r="CJ11" t="s">
        <v>5933</v>
      </c>
      <c r="EH11" t="s">
        <v>6034</v>
      </c>
      <c r="EI11" t="s">
        <v>6033</v>
      </c>
      <c r="EJ11" t="s">
        <v>6018</v>
      </c>
      <c r="EQ11" t="s">
        <v>6044</v>
      </c>
      <c r="ER11" t="s">
        <v>6044</v>
      </c>
      <c r="ET11" t="s">
        <v>6033</v>
      </c>
      <c r="EW11" t="s">
        <v>6018</v>
      </c>
      <c r="EY11" t="s">
        <v>6034</v>
      </c>
      <c r="EZ11" t="s">
        <v>6026</v>
      </c>
      <c r="FA11" t="s">
        <v>6039</v>
      </c>
      <c r="FB11" t="s">
        <v>6058</v>
      </c>
      <c r="FG11" t="s">
        <v>6022</v>
      </c>
      <c r="FH11" t="s">
        <v>6026</v>
      </c>
      <c r="FJ11" t="s">
        <v>6049</v>
      </c>
      <c r="FL11" t="s">
        <v>6017</v>
      </c>
      <c r="FM11" t="s">
        <v>6040</v>
      </c>
      <c r="FN11" t="s">
        <v>6042</v>
      </c>
      <c r="FO11" t="s">
        <v>6025</v>
      </c>
      <c r="FP11" t="s">
        <v>6187</v>
      </c>
      <c r="FQ11" t="s">
        <v>6040</v>
      </c>
      <c r="FR11" t="s">
        <v>6061</v>
      </c>
      <c r="FS11" t="s">
        <v>6026</v>
      </c>
      <c r="FT11" t="s">
        <v>6017</v>
      </c>
      <c r="FU11" t="s">
        <v>6057</v>
      </c>
      <c r="FV11" t="s">
        <v>6039</v>
      </c>
      <c r="FZ11" t="s">
        <v>6054</v>
      </c>
      <c r="GT11" t="s">
        <v>6029</v>
      </c>
      <c r="GZ11" t="s">
        <v>6025</v>
      </c>
      <c r="HA11" t="s">
        <v>6064</v>
      </c>
      <c r="HC11" t="s">
        <v>6061</v>
      </c>
      <c r="IA11" t="s">
        <v>6065</v>
      </c>
      <c r="IB11" t="s">
        <v>6038</v>
      </c>
      <c r="IC11" t="s">
        <v>6038</v>
      </c>
      <c r="IH11" t="s">
        <v>6049</v>
      </c>
      <c r="IJ11" t="s">
        <v>6014</v>
      </c>
      <c r="IK11" t="s">
        <v>6049</v>
      </c>
      <c r="IL11" t="s">
        <v>6187</v>
      </c>
      <c r="IM11" t="s">
        <v>6193</v>
      </c>
      <c r="IN11" t="s">
        <v>6058</v>
      </c>
      <c r="IO11" t="s">
        <v>6018</v>
      </c>
      <c r="IP11" t="s">
        <v>6042</v>
      </c>
      <c r="IQ11" t="s">
        <v>6039</v>
      </c>
      <c r="IR11" t="s">
        <v>6022</v>
      </c>
      <c r="IS11" t="s">
        <v>6049</v>
      </c>
      <c r="IT11" t="s">
        <v>6187</v>
      </c>
      <c r="IU11" t="s">
        <v>6041</v>
      </c>
      <c r="IV11" t="s">
        <v>6193</v>
      </c>
      <c r="IW11" t="s">
        <v>6022</v>
      </c>
      <c r="IX11" t="s">
        <v>6018</v>
      </c>
      <c r="JM11" t="s">
        <v>6067</v>
      </c>
      <c r="JP11" t="s">
        <v>6055</v>
      </c>
      <c r="JR11" t="s">
        <v>6061</v>
      </c>
      <c r="JS11" t="s">
        <v>6014</v>
      </c>
      <c r="JV11" t="s">
        <v>6044</v>
      </c>
      <c r="JX11" t="s">
        <v>1407</v>
      </c>
      <c r="KK11" t="s">
        <v>108</v>
      </c>
      <c r="KL11" t="s">
        <v>70</v>
      </c>
      <c r="KM11" t="s">
        <v>716</v>
      </c>
      <c r="KN11" t="s">
        <v>956</v>
      </c>
      <c r="KO11" t="s">
        <v>588</v>
      </c>
      <c r="KP11" t="s">
        <v>52</v>
      </c>
      <c r="KQ11" t="s">
        <v>1407</v>
      </c>
      <c r="KR11" t="s">
        <v>956</v>
      </c>
      <c r="KS11" t="s">
        <v>1017</v>
      </c>
      <c r="KT11" t="s">
        <v>28</v>
      </c>
      <c r="KV11" t="s">
        <v>64</v>
      </c>
    </row>
    <row r="12" spans="1:308">
      <c r="A12" t="s">
        <v>5679</v>
      </c>
      <c r="E12" t="s">
        <v>5850</v>
      </c>
      <c r="F12" t="s">
        <v>5853</v>
      </c>
      <c r="G12" t="s">
        <v>5844</v>
      </c>
      <c r="H12" t="s">
        <v>5912</v>
      </c>
      <c r="J12" t="s">
        <v>6025</v>
      </c>
      <c r="K12" t="s">
        <v>6015</v>
      </c>
      <c r="L12">
        <v>76</v>
      </c>
      <c r="AB12" t="s">
        <v>6023</v>
      </c>
      <c r="AC12" t="s">
        <v>6046</v>
      </c>
      <c r="AD12" t="s">
        <v>114</v>
      </c>
      <c r="AE12" t="s">
        <v>114</v>
      </c>
      <c r="AY12" t="s">
        <v>5850</v>
      </c>
      <c r="EH12" t="s">
        <v>6029</v>
      </c>
      <c r="EI12" t="s">
        <v>6018</v>
      </c>
      <c r="EJ12" t="s">
        <v>6034</v>
      </c>
      <c r="EQ12" t="s">
        <v>6037</v>
      </c>
      <c r="ER12" t="s">
        <v>6037</v>
      </c>
      <c r="ET12" t="s">
        <v>6034</v>
      </c>
      <c r="EW12" t="s">
        <v>6052</v>
      </c>
      <c r="EY12" t="s">
        <v>6053</v>
      </c>
      <c r="EZ12" t="s">
        <v>6022</v>
      </c>
      <c r="FA12" t="s">
        <v>6027</v>
      </c>
      <c r="FB12" t="s">
        <v>6014</v>
      </c>
      <c r="FG12" t="s">
        <v>6017</v>
      </c>
      <c r="FH12" t="s">
        <v>6029</v>
      </c>
      <c r="FJ12" t="s">
        <v>6031</v>
      </c>
      <c r="FL12" t="s">
        <v>6040</v>
      </c>
      <c r="FN12" t="s">
        <v>6014</v>
      </c>
      <c r="FP12" t="s">
        <v>6042</v>
      </c>
      <c r="FR12" t="s">
        <v>6018</v>
      </c>
      <c r="FS12" t="s">
        <v>6022</v>
      </c>
      <c r="FT12" t="s">
        <v>6030</v>
      </c>
      <c r="FU12" t="s">
        <v>6018</v>
      </c>
      <c r="FV12" t="s">
        <v>6027</v>
      </c>
      <c r="FZ12" t="s">
        <v>6030</v>
      </c>
      <c r="GT12" t="s">
        <v>6022</v>
      </c>
      <c r="HA12" t="s">
        <v>6044</v>
      </c>
      <c r="HC12" t="s">
        <v>6057</v>
      </c>
      <c r="IA12" t="s">
        <v>6193</v>
      </c>
      <c r="IB12" t="s">
        <v>6025</v>
      </c>
      <c r="IC12" t="s">
        <v>6046</v>
      </c>
      <c r="IH12" t="s">
        <v>6061</v>
      </c>
      <c r="IJ12" t="s">
        <v>6018</v>
      </c>
      <c r="IK12" t="s">
        <v>6042</v>
      </c>
      <c r="IL12" t="s">
        <v>6033</v>
      </c>
      <c r="IM12" t="s">
        <v>6041</v>
      </c>
      <c r="IN12" t="s">
        <v>6014</v>
      </c>
      <c r="IO12" t="s">
        <v>6034</v>
      </c>
      <c r="IP12" t="s">
        <v>6014</v>
      </c>
      <c r="IQ12" t="s">
        <v>6049</v>
      </c>
      <c r="IR12" t="s">
        <v>6017</v>
      </c>
      <c r="IS12" t="s">
        <v>6031</v>
      </c>
      <c r="IT12" t="s">
        <v>6042</v>
      </c>
      <c r="IU12" t="s">
        <v>6039</v>
      </c>
      <c r="IV12" t="s">
        <v>6041</v>
      </c>
      <c r="IW12" t="s">
        <v>6016</v>
      </c>
      <c r="IX12" t="s">
        <v>6048</v>
      </c>
      <c r="JM12" t="s">
        <v>6029</v>
      </c>
      <c r="JP12" t="s">
        <v>6064</v>
      </c>
      <c r="JR12" t="s">
        <v>6057</v>
      </c>
      <c r="JS12" t="s">
        <v>6018</v>
      </c>
      <c r="JX12" t="s">
        <v>123</v>
      </c>
      <c r="KK12" t="s">
        <v>28</v>
      </c>
      <c r="KM12" t="s">
        <v>52</v>
      </c>
      <c r="KN12" t="s">
        <v>1407</v>
      </c>
      <c r="KO12" t="s">
        <v>620</v>
      </c>
      <c r="KP12" t="s">
        <v>2180</v>
      </c>
      <c r="KQ12" t="s">
        <v>3336</v>
      </c>
      <c r="KR12" t="s">
        <v>1407</v>
      </c>
      <c r="KS12" t="s">
        <v>650</v>
      </c>
      <c r="KT12" t="s">
        <v>114</v>
      </c>
      <c r="KV12" t="s">
        <v>114</v>
      </c>
    </row>
    <row r="13" spans="1:308">
      <c r="A13" t="s">
        <v>5727</v>
      </c>
      <c r="E13" t="s">
        <v>5850</v>
      </c>
      <c r="F13" t="s">
        <v>5854</v>
      </c>
      <c r="G13" t="s">
        <v>5844</v>
      </c>
      <c r="H13" t="s">
        <v>5913</v>
      </c>
      <c r="J13" t="s">
        <v>6026</v>
      </c>
      <c r="K13" t="s">
        <v>6015</v>
      </c>
      <c r="L13">
        <v>70</v>
      </c>
      <c r="AB13" t="s">
        <v>6036</v>
      </c>
      <c r="AC13" t="s">
        <v>6032</v>
      </c>
      <c r="AD13" t="s">
        <v>1344</v>
      </c>
      <c r="AY13" t="s">
        <v>5856</v>
      </c>
      <c r="EH13" t="s">
        <v>6022</v>
      </c>
      <c r="EI13" t="s">
        <v>6034</v>
      </c>
      <c r="EJ13" t="s">
        <v>6026</v>
      </c>
      <c r="ER13" t="s">
        <v>6214</v>
      </c>
      <c r="ET13" t="s">
        <v>6022</v>
      </c>
      <c r="EW13" t="s">
        <v>6026</v>
      </c>
      <c r="EY13" t="s">
        <v>6026</v>
      </c>
      <c r="EZ13" t="s">
        <v>6054</v>
      </c>
      <c r="FA13" t="s">
        <v>6049</v>
      </c>
      <c r="FB13" t="s">
        <v>6018</v>
      </c>
      <c r="FH13" t="s">
        <v>6022</v>
      </c>
      <c r="FJ13" t="s">
        <v>6018</v>
      </c>
      <c r="FN13" t="s">
        <v>6018</v>
      </c>
      <c r="FP13" t="s">
        <v>6014</v>
      </c>
      <c r="FR13" t="s">
        <v>6053</v>
      </c>
      <c r="FS13" t="s">
        <v>6192</v>
      </c>
      <c r="FT13" t="s">
        <v>6037</v>
      </c>
      <c r="FU13" t="s">
        <v>6029</v>
      </c>
      <c r="FV13" t="s">
        <v>6049</v>
      </c>
      <c r="FZ13" t="s">
        <v>6037</v>
      </c>
      <c r="GT13" t="s">
        <v>6051</v>
      </c>
      <c r="HA13" t="s">
        <v>6038</v>
      </c>
      <c r="HC13" t="s">
        <v>6187</v>
      </c>
      <c r="IA13" t="s">
        <v>6041</v>
      </c>
      <c r="IB13" t="s">
        <v>6040</v>
      </c>
      <c r="IH13" t="s">
        <v>6058</v>
      </c>
      <c r="IJ13" t="s">
        <v>6034</v>
      </c>
      <c r="IK13" t="s">
        <v>6014</v>
      </c>
      <c r="IL13" t="s">
        <v>6018</v>
      </c>
      <c r="IM13" t="s">
        <v>6039</v>
      </c>
      <c r="IN13" t="s">
        <v>6018</v>
      </c>
      <c r="IO13" t="s">
        <v>6052</v>
      </c>
      <c r="IP13" t="s">
        <v>6018</v>
      </c>
      <c r="IQ13" t="s">
        <v>6031</v>
      </c>
      <c r="IR13" t="s">
        <v>6040</v>
      </c>
      <c r="IS13" t="s">
        <v>6187</v>
      </c>
      <c r="IT13" t="s">
        <v>6014</v>
      </c>
      <c r="IU13" t="s">
        <v>6049</v>
      </c>
      <c r="IV13" t="s">
        <v>6039</v>
      </c>
      <c r="IX13" t="s">
        <v>6034</v>
      </c>
      <c r="JM13" t="s">
        <v>6022</v>
      </c>
      <c r="JP13" t="s">
        <v>6044</v>
      </c>
      <c r="JR13" t="s">
        <v>6187</v>
      </c>
      <c r="JS13" t="s">
        <v>6034</v>
      </c>
      <c r="JX13" t="s">
        <v>588</v>
      </c>
      <c r="KK13" t="s">
        <v>233</v>
      </c>
      <c r="KM13" t="s">
        <v>443</v>
      </c>
      <c r="KN13" t="s">
        <v>123</v>
      </c>
      <c r="KO13" t="s">
        <v>1999</v>
      </c>
      <c r="KP13" t="s">
        <v>1017</v>
      </c>
      <c r="KQ13" t="s">
        <v>123</v>
      </c>
      <c r="KR13" t="s">
        <v>3336</v>
      </c>
      <c r="KS13" t="s">
        <v>519</v>
      </c>
      <c r="KV13" t="s">
        <v>196</v>
      </c>
    </row>
    <row r="14" spans="1:308">
      <c r="E14" t="s">
        <v>5850</v>
      </c>
      <c r="F14" t="s">
        <v>5855</v>
      </c>
      <c r="G14" t="s">
        <v>5845</v>
      </c>
      <c r="H14" t="s">
        <v>5914</v>
      </c>
      <c r="J14" t="s">
        <v>6027</v>
      </c>
      <c r="K14" t="s">
        <v>6015</v>
      </c>
      <c r="L14">
        <v>70</v>
      </c>
      <c r="AB14" t="s">
        <v>6026</v>
      </c>
      <c r="AD14" t="s">
        <v>1093</v>
      </c>
      <c r="EH14" t="s">
        <v>6054</v>
      </c>
      <c r="EI14" t="s">
        <v>6053</v>
      </c>
      <c r="EJ14" t="s">
        <v>6022</v>
      </c>
      <c r="ET14" t="s">
        <v>6016</v>
      </c>
      <c r="EW14" t="s">
        <v>6029</v>
      </c>
      <c r="EY14" t="s">
        <v>6029</v>
      </c>
      <c r="FA14" t="s">
        <v>6031</v>
      </c>
      <c r="FB14" t="s">
        <v>6034</v>
      </c>
      <c r="FH14" t="s">
        <v>6016</v>
      </c>
      <c r="FJ14" t="s">
        <v>6034</v>
      </c>
      <c r="FN14" t="s">
        <v>6034</v>
      </c>
      <c r="FP14" t="s">
        <v>6018</v>
      </c>
      <c r="FR14" t="s">
        <v>6067</v>
      </c>
      <c r="FS14" t="s">
        <v>6064</v>
      </c>
      <c r="FU14" t="s">
        <v>6022</v>
      </c>
      <c r="FV14" t="s">
        <v>6031</v>
      </c>
      <c r="FZ14" t="s">
        <v>6025</v>
      </c>
      <c r="GT14" t="s">
        <v>6038</v>
      </c>
      <c r="HA14" t="s">
        <v>6025</v>
      </c>
      <c r="HC14" t="s">
        <v>6014</v>
      </c>
      <c r="IA14" t="s">
        <v>6039</v>
      </c>
      <c r="IH14" t="s">
        <v>6187</v>
      </c>
      <c r="IJ14" t="s">
        <v>6053</v>
      </c>
      <c r="IK14" t="s">
        <v>6033</v>
      </c>
      <c r="IL14" t="s">
        <v>6034</v>
      </c>
      <c r="IM14" t="s">
        <v>6027</v>
      </c>
      <c r="IN14" t="s">
        <v>6034</v>
      </c>
      <c r="IO14" t="s">
        <v>6062</v>
      </c>
      <c r="IP14" t="s">
        <v>6034</v>
      </c>
      <c r="IQ14" t="s">
        <v>6018</v>
      </c>
      <c r="IS14" t="s">
        <v>6042</v>
      </c>
      <c r="IT14" t="s">
        <v>6018</v>
      </c>
      <c r="IU14" t="s">
        <v>6031</v>
      </c>
      <c r="IV14" t="s">
        <v>6027</v>
      </c>
      <c r="IX14" t="s">
        <v>6055</v>
      </c>
      <c r="JM14" t="s">
        <v>6051</v>
      </c>
      <c r="JP14" t="s">
        <v>6037</v>
      </c>
      <c r="JR14" t="s">
        <v>6014</v>
      </c>
      <c r="JS14" t="s">
        <v>6053</v>
      </c>
      <c r="JX14" t="s">
        <v>620</v>
      </c>
      <c r="KK14" t="s">
        <v>163</v>
      </c>
      <c r="KM14" t="s">
        <v>571</v>
      </c>
      <c r="KN14" t="s">
        <v>588</v>
      </c>
      <c r="KO14" t="s">
        <v>1533</v>
      </c>
      <c r="KP14" t="s">
        <v>519</v>
      </c>
      <c r="KQ14" t="s">
        <v>588</v>
      </c>
      <c r="KR14" t="s">
        <v>123</v>
      </c>
      <c r="KS14" t="s">
        <v>108</v>
      </c>
    </row>
    <row r="15" spans="1:308">
      <c r="E15" t="s">
        <v>5856</v>
      </c>
      <c r="F15" t="s">
        <v>5857</v>
      </c>
      <c r="G15" t="s">
        <v>5846</v>
      </c>
      <c r="H15" t="s">
        <v>5915</v>
      </c>
      <c r="J15" t="s">
        <v>6028</v>
      </c>
      <c r="K15" t="s">
        <v>6015</v>
      </c>
      <c r="L15">
        <v>67</v>
      </c>
      <c r="AB15" t="s">
        <v>6038</v>
      </c>
      <c r="AD15" t="s">
        <v>42</v>
      </c>
      <c r="EH15" t="s">
        <v>6016</v>
      </c>
      <c r="EI15" t="s">
        <v>6067</v>
      </c>
      <c r="EJ15" t="s">
        <v>6030</v>
      </c>
      <c r="ET15" t="s">
        <v>6017</v>
      </c>
      <c r="EW15" t="s">
        <v>6022</v>
      </c>
      <c r="EY15" t="s">
        <v>6054</v>
      </c>
      <c r="FA15" t="s">
        <v>6056</v>
      </c>
      <c r="FB15" t="s">
        <v>6052</v>
      </c>
      <c r="FH15" t="s">
        <v>6017</v>
      </c>
      <c r="FJ15" t="s">
        <v>6053</v>
      </c>
      <c r="FN15" t="s">
        <v>6026</v>
      </c>
      <c r="FP15" t="s">
        <v>6034</v>
      </c>
      <c r="FR15" t="s">
        <v>6026</v>
      </c>
      <c r="FS15" t="s">
        <v>6016</v>
      </c>
      <c r="FU15" t="s">
        <v>6021</v>
      </c>
      <c r="FV15" t="s">
        <v>6056</v>
      </c>
      <c r="GT15" t="s">
        <v>6025</v>
      </c>
      <c r="HA15" t="s">
        <v>6040</v>
      </c>
      <c r="HC15" t="s">
        <v>6018</v>
      </c>
      <c r="IA15" t="s">
        <v>6056</v>
      </c>
      <c r="IH15" t="s">
        <v>6042</v>
      </c>
      <c r="IJ15" t="s">
        <v>6029</v>
      </c>
      <c r="IK15" t="s">
        <v>6034</v>
      </c>
      <c r="IL15" t="s">
        <v>6052</v>
      </c>
      <c r="IM15" t="s">
        <v>6049</v>
      </c>
      <c r="IN15" t="s">
        <v>6052</v>
      </c>
      <c r="IO15" t="s">
        <v>6022</v>
      </c>
      <c r="IP15" t="s">
        <v>6026</v>
      </c>
      <c r="IQ15" t="s">
        <v>6034</v>
      </c>
      <c r="IS15" t="s">
        <v>6014</v>
      </c>
      <c r="IT15" t="s">
        <v>6034</v>
      </c>
      <c r="IU15" t="s">
        <v>6061</v>
      </c>
      <c r="IV15" t="s">
        <v>6049</v>
      </c>
      <c r="IX15" t="s">
        <v>6054</v>
      </c>
      <c r="JM15" t="s">
        <v>6038</v>
      </c>
      <c r="JP15" t="s">
        <v>6038</v>
      </c>
      <c r="JR15" t="s">
        <v>6018</v>
      </c>
      <c r="JS15" t="s">
        <v>6026</v>
      </c>
      <c r="JX15" t="s">
        <v>132</v>
      </c>
      <c r="KK15" t="s">
        <v>227</v>
      </c>
      <c r="KM15" t="s">
        <v>650</v>
      </c>
      <c r="KN15" t="s">
        <v>620</v>
      </c>
      <c r="KO15" t="s">
        <v>851</v>
      </c>
      <c r="KP15" t="s">
        <v>987</v>
      </c>
      <c r="KQ15" t="s">
        <v>620</v>
      </c>
      <c r="KR15" t="s">
        <v>588</v>
      </c>
      <c r="KS15" t="s">
        <v>1232</v>
      </c>
    </row>
    <row r="16" spans="1:308">
      <c r="E16" t="s">
        <v>5856</v>
      </c>
      <c r="F16" t="s">
        <v>5858</v>
      </c>
      <c r="G16" t="s">
        <v>5846</v>
      </c>
      <c r="H16" t="s">
        <v>5916</v>
      </c>
      <c r="J16" t="s">
        <v>6029</v>
      </c>
      <c r="K16" t="s">
        <v>6015</v>
      </c>
      <c r="L16">
        <v>61</v>
      </c>
      <c r="AB16" t="s">
        <v>6041</v>
      </c>
      <c r="AD16" t="s">
        <v>28</v>
      </c>
      <c r="EH16" t="s">
        <v>6044</v>
      </c>
      <c r="EI16" t="s">
        <v>6029</v>
      </c>
      <c r="EJ16" t="s">
        <v>6044</v>
      </c>
      <c r="ET16" t="s">
        <v>6044</v>
      </c>
      <c r="EW16" t="s">
        <v>6192</v>
      </c>
      <c r="FA16" t="s">
        <v>6187</v>
      </c>
      <c r="FB16" t="s">
        <v>6067</v>
      </c>
      <c r="FJ16" t="s">
        <v>6026</v>
      </c>
      <c r="FN16" t="s">
        <v>6029</v>
      </c>
      <c r="FP16" t="s">
        <v>6053</v>
      </c>
      <c r="FR16" t="s">
        <v>6029</v>
      </c>
      <c r="FS16" t="s">
        <v>6050</v>
      </c>
      <c r="FU16" t="s">
        <v>6016</v>
      </c>
      <c r="FV16" t="s">
        <v>6061</v>
      </c>
      <c r="HA16" t="s">
        <v>6046</v>
      </c>
      <c r="HC16" t="s">
        <v>6034</v>
      </c>
      <c r="IA16" t="s">
        <v>6057</v>
      </c>
      <c r="IH16" t="s">
        <v>6014</v>
      </c>
      <c r="IJ16" t="s">
        <v>6022</v>
      </c>
      <c r="IK16" t="s">
        <v>6052</v>
      </c>
      <c r="IL16" t="s">
        <v>6026</v>
      </c>
      <c r="IM16" t="s">
        <v>6031</v>
      </c>
      <c r="IN16" t="s">
        <v>6067</v>
      </c>
      <c r="IO16" t="s">
        <v>6054</v>
      </c>
      <c r="IP16" t="s">
        <v>6029</v>
      </c>
      <c r="IQ16" t="s">
        <v>6053</v>
      </c>
      <c r="IS16" t="s">
        <v>6018</v>
      </c>
      <c r="IT16" t="s">
        <v>6053</v>
      </c>
      <c r="IU16" t="s">
        <v>6014</v>
      </c>
      <c r="IV16" t="s">
        <v>6031</v>
      </c>
      <c r="IX16" t="s">
        <v>6030</v>
      </c>
      <c r="JM16" t="s">
        <v>6025</v>
      </c>
      <c r="JP16" t="s">
        <v>6025</v>
      </c>
      <c r="JR16" t="s">
        <v>6034</v>
      </c>
      <c r="JS16" t="s">
        <v>6029</v>
      </c>
      <c r="JX16" t="s">
        <v>716</v>
      </c>
      <c r="KK16" t="s">
        <v>288</v>
      </c>
      <c r="KM16" t="s">
        <v>519</v>
      </c>
      <c r="KN16" t="s">
        <v>1344</v>
      </c>
      <c r="KO16" t="s">
        <v>1358</v>
      </c>
      <c r="KP16" t="s">
        <v>1093</v>
      </c>
      <c r="KQ16" t="s">
        <v>1344</v>
      </c>
      <c r="KR16" t="s">
        <v>620</v>
      </c>
      <c r="KS16" t="s">
        <v>288</v>
      </c>
    </row>
    <row r="17" spans="1:305">
      <c r="E17" t="s">
        <v>5856</v>
      </c>
      <c r="F17" t="s">
        <v>5859</v>
      </c>
      <c r="G17" t="s">
        <v>5848</v>
      </c>
      <c r="H17" t="s">
        <v>5917</v>
      </c>
      <c r="J17" t="s">
        <v>6030</v>
      </c>
      <c r="K17" t="s">
        <v>6015</v>
      </c>
      <c r="L17">
        <v>38</v>
      </c>
      <c r="AB17" t="s">
        <v>6040</v>
      </c>
      <c r="AD17" t="s">
        <v>288</v>
      </c>
      <c r="BM17" t="s">
        <v>910</v>
      </c>
      <c r="BN17" t="s">
        <v>6040</v>
      </c>
      <c r="BO17" t="s">
        <v>6195</v>
      </c>
      <c r="BP17" t="s">
        <v>1999</v>
      </c>
      <c r="EH17" t="s">
        <v>6037</v>
      </c>
      <c r="EI17" t="s">
        <v>6022</v>
      </c>
      <c r="EJ17" t="s">
        <v>6038</v>
      </c>
      <c r="ET17" t="s">
        <v>6063</v>
      </c>
      <c r="EW17" t="s">
        <v>6016</v>
      </c>
      <c r="FA17" t="s">
        <v>6014</v>
      </c>
      <c r="FB17" t="s">
        <v>6026</v>
      </c>
      <c r="FJ17" t="s">
        <v>6022</v>
      </c>
      <c r="FN17" t="s">
        <v>6022</v>
      </c>
      <c r="FP17" t="s">
        <v>6052</v>
      </c>
      <c r="FR17" t="s">
        <v>6192</v>
      </c>
      <c r="FS17" t="s">
        <v>6037</v>
      </c>
      <c r="FU17" t="s">
        <v>6025</v>
      </c>
      <c r="FV17" t="s">
        <v>6057</v>
      </c>
      <c r="HC17" t="s">
        <v>6052</v>
      </c>
      <c r="IA17" t="s">
        <v>6042</v>
      </c>
      <c r="IH17" t="s">
        <v>6033</v>
      </c>
      <c r="IJ17" t="s">
        <v>6054</v>
      </c>
      <c r="IK17" t="s">
        <v>6067</v>
      </c>
      <c r="IL17" t="s">
        <v>6029</v>
      </c>
      <c r="IM17" t="s">
        <v>6056</v>
      </c>
      <c r="IN17" t="s">
        <v>6026</v>
      </c>
      <c r="IO17" t="s">
        <v>6040</v>
      </c>
      <c r="IP17" t="s">
        <v>6022</v>
      </c>
      <c r="IQ17" t="s">
        <v>6026</v>
      </c>
      <c r="IS17" t="s">
        <v>6034</v>
      </c>
      <c r="IT17" t="s">
        <v>6052</v>
      </c>
      <c r="IU17" t="s">
        <v>6018</v>
      </c>
      <c r="IV17" t="s">
        <v>6056</v>
      </c>
      <c r="IX17" t="s">
        <v>6037</v>
      </c>
      <c r="JP17" t="s">
        <v>6040</v>
      </c>
      <c r="JR17" t="s">
        <v>6052</v>
      </c>
      <c r="JS17" t="s">
        <v>6022</v>
      </c>
      <c r="JX17" t="s">
        <v>443</v>
      </c>
      <c r="KK17" t="s">
        <v>244</v>
      </c>
      <c r="KM17" t="s">
        <v>108</v>
      </c>
      <c r="KN17" t="s">
        <v>612</v>
      </c>
      <c r="KO17" t="s">
        <v>52</v>
      </c>
      <c r="KP17" t="s">
        <v>28</v>
      </c>
      <c r="KQ17" t="s">
        <v>1533</v>
      </c>
      <c r="KR17" t="s">
        <v>1344</v>
      </c>
      <c r="KS17" t="s">
        <v>244</v>
      </c>
    </row>
    <row r="18" spans="1:305">
      <c r="E18" t="s">
        <v>5856</v>
      </c>
      <c r="F18" t="s">
        <v>5860</v>
      </c>
      <c r="G18" t="s">
        <v>5849</v>
      </c>
      <c r="H18" t="s">
        <v>5918</v>
      </c>
      <c r="J18" t="s">
        <v>6031</v>
      </c>
      <c r="K18" t="s">
        <v>6015</v>
      </c>
      <c r="L18">
        <v>17</v>
      </c>
      <c r="AB18" t="s">
        <v>6042</v>
      </c>
      <c r="AD18" t="s">
        <v>3142</v>
      </c>
      <c r="BM18" t="s">
        <v>571</v>
      </c>
      <c r="BN18" t="s">
        <v>6042</v>
      </c>
      <c r="BO18" t="s">
        <v>6196</v>
      </c>
      <c r="EH18" t="s">
        <v>6025</v>
      </c>
      <c r="EI18" t="s">
        <v>6017</v>
      </c>
      <c r="ET18" t="s">
        <v>6051</v>
      </c>
      <c r="EW18" t="s">
        <v>6050</v>
      </c>
      <c r="FA18" t="s">
        <v>6018</v>
      </c>
      <c r="FB18" t="s">
        <v>6029</v>
      </c>
      <c r="FJ18" t="s">
        <v>6016</v>
      </c>
      <c r="FN18" t="s">
        <v>6064</v>
      </c>
      <c r="FP18" t="s">
        <v>6026</v>
      </c>
      <c r="FR18" t="s">
        <v>6021</v>
      </c>
      <c r="FS18" t="s">
        <v>6038</v>
      </c>
      <c r="FV18" t="s">
        <v>6042</v>
      </c>
      <c r="HC18" t="s">
        <v>6026</v>
      </c>
      <c r="IA18" t="s">
        <v>6014</v>
      </c>
      <c r="IH18" t="s">
        <v>6018</v>
      </c>
      <c r="IJ18" t="s">
        <v>6044</v>
      </c>
      <c r="IK18" t="s">
        <v>6022</v>
      </c>
      <c r="IL18" t="s">
        <v>6022</v>
      </c>
      <c r="IM18" t="s">
        <v>6187</v>
      </c>
      <c r="IN18" t="s">
        <v>6029</v>
      </c>
      <c r="IP18" t="s">
        <v>6016</v>
      </c>
      <c r="IQ18" t="s">
        <v>6022</v>
      </c>
      <c r="IS18" t="s">
        <v>6026</v>
      </c>
      <c r="IT18" t="s">
        <v>6026</v>
      </c>
      <c r="IU18" t="s">
        <v>6034</v>
      </c>
      <c r="IV18" t="s">
        <v>6061</v>
      </c>
      <c r="IX18" t="s">
        <v>6025</v>
      </c>
      <c r="JP18" t="s">
        <v>6046</v>
      </c>
      <c r="JR18" t="s">
        <v>6026</v>
      </c>
      <c r="JS18" t="s">
        <v>6054</v>
      </c>
      <c r="JX18" t="s">
        <v>571</v>
      </c>
      <c r="KK18" t="s">
        <v>64</v>
      </c>
      <c r="KM18" t="s">
        <v>28</v>
      </c>
      <c r="KN18" t="s">
        <v>1533</v>
      </c>
      <c r="KO18" t="s">
        <v>443</v>
      </c>
      <c r="KP18" t="s">
        <v>233</v>
      </c>
      <c r="KQ18" t="s">
        <v>3142</v>
      </c>
      <c r="KR18" t="s">
        <v>1533</v>
      </c>
      <c r="KS18" t="s">
        <v>114</v>
      </c>
    </row>
    <row r="19" spans="1:305">
      <c r="E19" t="s">
        <v>5856</v>
      </c>
      <c r="F19" t="s">
        <v>5861</v>
      </c>
      <c r="G19" t="s">
        <v>5851</v>
      </c>
      <c r="H19" t="s">
        <v>5919</v>
      </c>
      <c r="J19" t="s">
        <v>6032</v>
      </c>
      <c r="K19" t="s">
        <v>6015</v>
      </c>
      <c r="L19">
        <v>11</v>
      </c>
      <c r="AB19" t="s">
        <v>6043</v>
      </c>
      <c r="AD19" t="s">
        <v>1999</v>
      </c>
      <c r="BM19" t="s">
        <v>914</v>
      </c>
      <c r="BN19" t="s">
        <v>6043</v>
      </c>
      <c r="BO19" t="s">
        <v>6197</v>
      </c>
      <c r="EH19" t="s">
        <v>6214</v>
      </c>
      <c r="EI19" t="s">
        <v>6040</v>
      </c>
      <c r="ET19" t="s">
        <v>6046</v>
      </c>
      <c r="EW19" t="s">
        <v>6017</v>
      </c>
      <c r="FA19" t="s">
        <v>6034</v>
      </c>
      <c r="FB19" t="s">
        <v>6021</v>
      </c>
      <c r="FJ19" t="s">
        <v>6017</v>
      </c>
      <c r="FN19" t="s">
        <v>6016</v>
      </c>
      <c r="FP19" t="s">
        <v>6029</v>
      </c>
      <c r="FR19" t="s">
        <v>6016</v>
      </c>
      <c r="FS19" t="s">
        <v>6040</v>
      </c>
      <c r="FV19" t="s">
        <v>6018</v>
      </c>
      <c r="HC19" t="s">
        <v>6029</v>
      </c>
      <c r="IA19" t="s">
        <v>6018</v>
      </c>
      <c r="IH19" t="s">
        <v>6034</v>
      </c>
      <c r="IJ19" t="s">
        <v>6037</v>
      </c>
      <c r="IK19" t="s">
        <v>6016</v>
      </c>
      <c r="IL19" t="s">
        <v>6192</v>
      </c>
      <c r="IM19" t="s">
        <v>6014</v>
      </c>
      <c r="IN19" t="s">
        <v>6021</v>
      </c>
      <c r="IP19" t="s">
        <v>6017</v>
      </c>
      <c r="IQ19" t="s">
        <v>6021</v>
      </c>
      <c r="IS19" t="s">
        <v>6029</v>
      </c>
      <c r="IT19" t="s">
        <v>6029</v>
      </c>
      <c r="IU19" t="s">
        <v>6053</v>
      </c>
      <c r="IV19" t="s">
        <v>6057</v>
      </c>
      <c r="JR19" t="s">
        <v>6029</v>
      </c>
      <c r="JS19" t="s">
        <v>6030</v>
      </c>
      <c r="JX19" t="s">
        <v>1017</v>
      </c>
      <c r="KK19" t="s">
        <v>114</v>
      </c>
      <c r="KM19" t="s">
        <v>233</v>
      </c>
      <c r="KN19" t="s">
        <v>132</v>
      </c>
      <c r="KO19" t="s">
        <v>571</v>
      </c>
      <c r="KP19" t="s">
        <v>163</v>
      </c>
      <c r="KQ19" t="s">
        <v>132</v>
      </c>
      <c r="KR19" t="s">
        <v>3142</v>
      </c>
    </row>
    <row r="20" spans="1:305">
      <c r="A20" t="s">
        <v>17</v>
      </c>
      <c r="B20" t="s">
        <v>188</v>
      </c>
      <c r="C20" t="s">
        <v>323</v>
      </c>
      <c r="D20" t="s">
        <v>462</v>
      </c>
      <c r="E20" t="s">
        <v>5856</v>
      </c>
      <c r="F20" t="s">
        <v>5862</v>
      </c>
      <c r="G20" t="s">
        <v>5851</v>
      </c>
      <c r="H20" t="s">
        <v>5920</v>
      </c>
      <c r="I20" t="s">
        <v>555</v>
      </c>
      <c r="J20" t="s">
        <v>6033</v>
      </c>
      <c r="K20" t="s">
        <v>6015</v>
      </c>
      <c r="L20">
        <v>11</v>
      </c>
      <c r="M20" t="s">
        <v>896</v>
      </c>
      <c r="N20" t="s">
        <v>902</v>
      </c>
      <c r="O20" t="s">
        <v>1161</v>
      </c>
      <c r="S20" t="s">
        <v>1600</v>
      </c>
      <c r="T20" t="s">
        <v>1672</v>
      </c>
      <c r="U20" t="s">
        <v>1953</v>
      </c>
      <c r="V20" t="s">
        <v>2349</v>
      </c>
      <c r="W20" t="s">
        <v>2425</v>
      </c>
      <c r="X20" t="s">
        <v>2566</v>
      </c>
      <c r="Y20" t="s">
        <v>2765</v>
      </c>
      <c r="Z20" t="s">
        <v>3128</v>
      </c>
      <c r="AA20" t="s">
        <v>3374</v>
      </c>
      <c r="AB20" t="s">
        <v>6187</v>
      </c>
      <c r="AC20" t="s">
        <v>3597</v>
      </c>
      <c r="AD20" t="s">
        <v>2180</v>
      </c>
      <c r="BM20" t="s">
        <v>1017</v>
      </c>
      <c r="BN20" t="s">
        <v>6187</v>
      </c>
      <c r="BO20" t="s">
        <v>6198</v>
      </c>
      <c r="EI20" t="s">
        <v>6046</v>
      </c>
      <c r="EW20" t="s">
        <v>6030</v>
      </c>
      <c r="FA20" t="s">
        <v>6055</v>
      </c>
      <c r="FB20" t="s">
        <v>6016</v>
      </c>
      <c r="FN20" t="s">
        <v>6017</v>
      </c>
      <c r="FP20" t="s">
        <v>6022</v>
      </c>
      <c r="FR20" t="s">
        <v>6050</v>
      </c>
      <c r="FV20" t="s">
        <v>6034</v>
      </c>
      <c r="HC20" t="s">
        <v>6022</v>
      </c>
      <c r="IA20" t="s">
        <v>6048</v>
      </c>
      <c r="IH20" t="s">
        <v>6053</v>
      </c>
      <c r="IJ20" t="s">
        <v>6214</v>
      </c>
      <c r="IK20" t="s">
        <v>6017</v>
      </c>
      <c r="IL20" t="s">
        <v>6016</v>
      </c>
      <c r="IM20" t="s">
        <v>6018</v>
      </c>
      <c r="IN20" t="s">
        <v>6016</v>
      </c>
      <c r="IQ20" t="s">
        <v>6016</v>
      </c>
      <c r="IS20" t="s">
        <v>6022</v>
      </c>
      <c r="IT20" t="s">
        <v>6022</v>
      </c>
      <c r="IU20" t="s">
        <v>6052</v>
      </c>
      <c r="IV20" t="s">
        <v>6042</v>
      </c>
      <c r="JR20" t="s">
        <v>6022</v>
      </c>
      <c r="JS20" t="s">
        <v>6037</v>
      </c>
      <c r="JX20" t="s">
        <v>650</v>
      </c>
      <c r="KK20" t="s">
        <v>70</v>
      </c>
      <c r="KM20" t="s">
        <v>163</v>
      </c>
      <c r="KN20" t="s">
        <v>851</v>
      </c>
      <c r="KO20" t="s">
        <v>2180</v>
      </c>
      <c r="KP20" t="s">
        <v>910</v>
      </c>
      <c r="KQ20" t="s">
        <v>851</v>
      </c>
      <c r="KR20" t="s">
        <v>132</v>
      </c>
    </row>
    <row r="21" spans="1:305">
      <c r="A21" t="s">
        <v>18</v>
      </c>
      <c r="B21" t="s">
        <v>189</v>
      </c>
      <c r="C21" t="s">
        <v>324</v>
      </c>
      <c r="D21" t="s">
        <v>463</v>
      </c>
      <c r="E21" t="s">
        <v>5856</v>
      </c>
      <c r="F21" t="s">
        <v>5863</v>
      </c>
      <c r="G21" t="s">
        <v>5852</v>
      </c>
      <c r="H21" t="s">
        <v>5921</v>
      </c>
      <c r="I21" t="s">
        <v>556</v>
      </c>
      <c r="J21" t="s">
        <v>6034</v>
      </c>
      <c r="K21" t="s">
        <v>6035</v>
      </c>
      <c r="L21">
        <v>92</v>
      </c>
      <c r="M21" t="s">
        <v>897</v>
      </c>
      <c r="N21" t="s">
        <v>903</v>
      </c>
      <c r="O21" t="s">
        <v>1162</v>
      </c>
      <c r="S21" t="s">
        <v>1601</v>
      </c>
      <c r="T21" t="s">
        <v>1673</v>
      </c>
      <c r="U21" t="s">
        <v>1954</v>
      </c>
      <c r="V21" t="s">
        <v>2350</v>
      </c>
      <c r="W21" t="s">
        <v>2426</v>
      </c>
      <c r="X21" t="s">
        <v>2567</v>
      </c>
      <c r="Y21" t="s">
        <v>2766</v>
      </c>
      <c r="Z21" t="s">
        <v>3129</v>
      </c>
      <c r="AA21" t="s">
        <v>3375</v>
      </c>
      <c r="AB21" t="s">
        <v>6188</v>
      </c>
      <c r="AC21" t="s">
        <v>3598</v>
      </c>
      <c r="BM21" t="s">
        <v>266</v>
      </c>
      <c r="BN21" t="s">
        <v>6188</v>
      </c>
      <c r="BO21" t="s">
        <v>6199</v>
      </c>
      <c r="FA21" t="s">
        <v>6053</v>
      </c>
      <c r="FB21" t="s">
        <v>6037</v>
      </c>
      <c r="FN21" t="s">
        <v>6037</v>
      </c>
      <c r="FP21" t="s">
        <v>6021</v>
      </c>
      <c r="FR21" t="s">
        <v>6037</v>
      </c>
      <c r="FV21" t="s">
        <v>6055</v>
      </c>
      <c r="HC21" t="s">
        <v>6192</v>
      </c>
      <c r="IA21" t="s">
        <v>6034</v>
      </c>
      <c r="IH21" t="s">
        <v>6067</v>
      </c>
      <c r="IK21" t="s">
        <v>6044</v>
      </c>
      <c r="IL21" t="s">
        <v>6050</v>
      </c>
      <c r="IM21" t="s">
        <v>6034</v>
      </c>
      <c r="IN21" t="s">
        <v>6037</v>
      </c>
      <c r="IQ21" t="s">
        <v>6050</v>
      </c>
      <c r="IS21" t="s">
        <v>6064</v>
      </c>
      <c r="IT21" t="s">
        <v>6021</v>
      </c>
      <c r="IU21" t="s">
        <v>6067</v>
      </c>
      <c r="IV21" t="s">
        <v>6018</v>
      </c>
      <c r="JR21" t="s">
        <v>6192</v>
      </c>
      <c r="JS21" t="s">
        <v>6046</v>
      </c>
      <c r="JX21" t="s">
        <v>519</v>
      </c>
      <c r="KK21" t="s">
        <v>196</v>
      </c>
      <c r="KM21" t="s">
        <v>535</v>
      </c>
      <c r="KN21" t="s">
        <v>1358</v>
      </c>
      <c r="KO21" t="s">
        <v>1017</v>
      </c>
      <c r="KP21" t="s">
        <v>905</v>
      </c>
      <c r="KQ21" t="s">
        <v>1358</v>
      </c>
      <c r="KR21" t="s">
        <v>851</v>
      </c>
    </row>
    <row r="22" spans="1:305">
      <c r="A22" t="s">
        <v>47</v>
      </c>
      <c r="B22" t="s">
        <v>207</v>
      </c>
      <c r="C22" t="s">
        <v>381</v>
      </c>
      <c r="D22" t="s">
        <v>476</v>
      </c>
      <c r="E22" t="s">
        <v>5864</v>
      </c>
      <c r="F22" t="s">
        <v>5865</v>
      </c>
      <c r="G22" t="s">
        <v>5852</v>
      </c>
      <c r="H22" t="s">
        <v>5922</v>
      </c>
      <c r="I22" t="s">
        <v>633</v>
      </c>
      <c r="J22" t="s">
        <v>6036</v>
      </c>
      <c r="K22" t="s">
        <v>6035</v>
      </c>
      <c r="L22">
        <v>80</v>
      </c>
      <c r="O22" t="s">
        <v>1180</v>
      </c>
      <c r="U22" t="s">
        <v>2072</v>
      </c>
      <c r="V22" t="s">
        <v>2354</v>
      </c>
      <c r="W22" t="s">
        <v>2446</v>
      </c>
      <c r="X22" t="s">
        <v>2620</v>
      </c>
      <c r="Y22" t="s">
        <v>2816</v>
      </c>
      <c r="Z22" t="s">
        <v>3190</v>
      </c>
      <c r="AB22" t="s">
        <v>6046</v>
      </c>
      <c r="AC22" t="s">
        <v>3617</v>
      </c>
      <c r="BM22" t="s">
        <v>20</v>
      </c>
      <c r="BN22" t="s">
        <v>6046</v>
      </c>
      <c r="BO22" t="s">
        <v>6200</v>
      </c>
      <c r="FA22" t="s">
        <v>6026</v>
      </c>
      <c r="FB22" t="s">
        <v>6040</v>
      </c>
      <c r="FN22" t="s">
        <v>6025</v>
      </c>
      <c r="FP22" t="s">
        <v>6016</v>
      </c>
      <c r="FR22" t="s">
        <v>6038</v>
      </c>
      <c r="FV22" t="s">
        <v>6053</v>
      </c>
      <c r="HC22" t="s">
        <v>6021</v>
      </c>
      <c r="IA22" t="s">
        <v>6055</v>
      </c>
      <c r="IH22" t="s">
        <v>6026</v>
      </c>
      <c r="IK22" t="s">
        <v>6063</v>
      </c>
      <c r="IL22" t="s">
        <v>6017</v>
      </c>
      <c r="IM22" t="s">
        <v>6055</v>
      </c>
      <c r="IN22" t="s">
        <v>6040</v>
      </c>
      <c r="IQ22" t="s">
        <v>6017</v>
      </c>
      <c r="IS22" t="s">
        <v>6054</v>
      </c>
      <c r="IT22" t="s">
        <v>6016</v>
      </c>
      <c r="IU22" t="s">
        <v>6026</v>
      </c>
      <c r="IV22" t="s">
        <v>6034</v>
      </c>
      <c r="JR22" t="s">
        <v>6021</v>
      </c>
      <c r="JX22" t="s">
        <v>108</v>
      </c>
      <c r="KM22" t="s">
        <v>810</v>
      </c>
      <c r="KN22" t="s">
        <v>716</v>
      </c>
      <c r="KO22" t="s">
        <v>519</v>
      </c>
      <c r="KP22" t="s">
        <v>914</v>
      </c>
      <c r="KQ22" t="s">
        <v>52</v>
      </c>
      <c r="KR22" t="s">
        <v>716</v>
      </c>
    </row>
    <row r="23" spans="1:305">
      <c r="A23" t="s">
        <v>113</v>
      </c>
      <c r="B23" t="s">
        <v>272</v>
      </c>
      <c r="C23" t="s">
        <v>408</v>
      </c>
      <c r="E23" t="s">
        <v>5864</v>
      </c>
      <c r="F23" t="s">
        <v>5866</v>
      </c>
      <c r="G23" t="s">
        <v>5853</v>
      </c>
      <c r="H23" t="s">
        <v>5923</v>
      </c>
      <c r="J23" t="s">
        <v>6037</v>
      </c>
      <c r="K23" t="s">
        <v>6035</v>
      </c>
      <c r="L23">
        <v>69</v>
      </c>
      <c r="O23" t="s">
        <v>1193</v>
      </c>
      <c r="U23" t="s">
        <v>2224</v>
      </c>
      <c r="V23" t="s">
        <v>2364</v>
      </c>
      <c r="W23" t="s">
        <v>2509</v>
      </c>
      <c r="X23" t="s">
        <v>2735</v>
      </c>
      <c r="Y23" t="s">
        <v>3092</v>
      </c>
      <c r="Z23" t="s">
        <v>3247</v>
      </c>
      <c r="AB23" t="s">
        <v>6048</v>
      </c>
      <c r="AC23" t="s">
        <v>3660</v>
      </c>
      <c r="BM23" t="s">
        <v>519</v>
      </c>
      <c r="BN23" t="s">
        <v>6048</v>
      </c>
      <c r="BO23" t="s">
        <v>6201</v>
      </c>
      <c r="FA23" t="s">
        <v>6022</v>
      </c>
      <c r="FN23" t="s">
        <v>6040</v>
      </c>
      <c r="FP23" t="s">
        <v>6050</v>
      </c>
      <c r="FR23" t="s">
        <v>6025</v>
      </c>
      <c r="FV23" t="s">
        <v>6062</v>
      </c>
      <c r="HC23" t="s">
        <v>6016</v>
      </c>
      <c r="IA23" t="s">
        <v>6053</v>
      </c>
      <c r="IH23" t="s">
        <v>6029</v>
      </c>
      <c r="IK23" t="s">
        <v>6051</v>
      </c>
      <c r="IL23" t="s">
        <v>6030</v>
      </c>
      <c r="IM23" t="s">
        <v>6053</v>
      </c>
      <c r="IS23" t="s">
        <v>6016</v>
      </c>
      <c r="IT23" t="s">
        <v>6050</v>
      </c>
      <c r="IU23" t="s">
        <v>6029</v>
      </c>
      <c r="IV23" t="s">
        <v>6055</v>
      </c>
      <c r="JR23" t="s">
        <v>6016</v>
      </c>
      <c r="JX23" t="s">
        <v>1163</v>
      </c>
      <c r="KM23" t="s">
        <v>244</v>
      </c>
      <c r="KN23" t="s">
        <v>52</v>
      </c>
      <c r="KO23" t="s">
        <v>1163</v>
      </c>
      <c r="KP23" t="s">
        <v>288</v>
      </c>
      <c r="KQ23" t="s">
        <v>443</v>
      </c>
      <c r="KR23" t="s">
        <v>443</v>
      </c>
    </row>
    <row r="24" spans="1:305">
      <c r="B24" t="s">
        <v>313</v>
      </c>
      <c r="E24" t="s">
        <v>5864</v>
      </c>
      <c r="F24" t="s">
        <v>5867</v>
      </c>
      <c r="G24" t="s">
        <v>5853</v>
      </c>
      <c r="H24" t="s">
        <v>5924</v>
      </c>
      <c r="J24" t="s">
        <v>6038</v>
      </c>
      <c r="K24" t="s">
        <v>6035</v>
      </c>
      <c r="L24">
        <v>65</v>
      </c>
      <c r="O24" t="s">
        <v>1220</v>
      </c>
      <c r="U24" t="s">
        <v>2326</v>
      </c>
      <c r="V24" t="s">
        <v>2411</v>
      </c>
      <c r="AB24" t="s">
        <v>6049</v>
      </c>
      <c r="BM24" t="s">
        <v>936</v>
      </c>
      <c r="BN24" t="s">
        <v>6049</v>
      </c>
      <c r="BO24" t="s">
        <v>6202</v>
      </c>
      <c r="FA24" t="s">
        <v>6016</v>
      </c>
      <c r="FP24" t="s">
        <v>6017</v>
      </c>
      <c r="FV24" t="s">
        <v>6026</v>
      </c>
      <c r="HC24" t="s">
        <v>6050</v>
      </c>
      <c r="IA24" t="s">
        <v>6062</v>
      </c>
      <c r="IH24" t="s">
        <v>6022</v>
      </c>
      <c r="IK24" t="s">
        <v>6025</v>
      </c>
      <c r="IL24" t="s">
        <v>6025</v>
      </c>
      <c r="IM24" t="s">
        <v>6026</v>
      </c>
      <c r="IS24" t="s">
        <v>6017</v>
      </c>
      <c r="IT24" t="s">
        <v>6017</v>
      </c>
      <c r="IU24" t="s">
        <v>6022</v>
      </c>
      <c r="IV24" t="s">
        <v>6053</v>
      </c>
      <c r="JR24" t="s">
        <v>6050</v>
      </c>
      <c r="JX24" t="s">
        <v>543</v>
      </c>
      <c r="KM24" t="s">
        <v>580</v>
      </c>
      <c r="KN24" t="s">
        <v>443</v>
      </c>
      <c r="KO24" t="s">
        <v>987</v>
      </c>
      <c r="KP24" t="s">
        <v>114</v>
      </c>
      <c r="KQ24" t="s">
        <v>571</v>
      </c>
      <c r="KR24" t="s">
        <v>571</v>
      </c>
    </row>
    <row r="25" spans="1:305">
      <c r="E25" t="s">
        <v>5864</v>
      </c>
      <c r="F25" t="s">
        <v>5868</v>
      </c>
      <c r="G25" t="s">
        <v>5854</v>
      </c>
      <c r="H25" t="s">
        <v>5925</v>
      </c>
      <c r="J25" t="s">
        <v>6039</v>
      </c>
      <c r="K25" t="s">
        <v>6035</v>
      </c>
      <c r="L25">
        <v>63</v>
      </c>
      <c r="O25" t="s">
        <v>1337</v>
      </c>
      <c r="AB25" t="s">
        <v>6053</v>
      </c>
      <c r="BM25" t="s">
        <v>233</v>
      </c>
      <c r="BN25" t="s">
        <v>6053</v>
      </c>
      <c r="BO25" t="s">
        <v>6203</v>
      </c>
      <c r="FA25" t="s">
        <v>6044</v>
      </c>
      <c r="FP25" t="s">
        <v>6030</v>
      </c>
      <c r="FV25" t="s">
        <v>6029</v>
      </c>
      <c r="HC25" t="s">
        <v>6017</v>
      </c>
      <c r="IA25" t="s">
        <v>6067</v>
      </c>
      <c r="IH25" t="s">
        <v>6054</v>
      </c>
      <c r="IK25" t="s">
        <v>6214</v>
      </c>
      <c r="IM25" t="s">
        <v>6029</v>
      </c>
      <c r="IS25" t="s">
        <v>6037</v>
      </c>
      <c r="IT25" t="s">
        <v>6030</v>
      </c>
      <c r="IU25" t="s">
        <v>6192</v>
      </c>
      <c r="IV25" t="s">
        <v>6062</v>
      </c>
      <c r="JR25" t="s">
        <v>6017</v>
      </c>
      <c r="JX25" t="s">
        <v>444</v>
      </c>
      <c r="KM25" t="s">
        <v>64</v>
      </c>
      <c r="KN25" t="s">
        <v>571</v>
      </c>
      <c r="KO25" t="s">
        <v>543</v>
      </c>
      <c r="KQ25" t="s">
        <v>1017</v>
      </c>
      <c r="KR25" t="s">
        <v>1017</v>
      </c>
    </row>
    <row r="26" spans="1:305">
      <c r="E26" t="s">
        <v>5869</v>
      </c>
      <c r="F26" t="s">
        <v>5870</v>
      </c>
      <c r="G26" t="s">
        <v>5854</v>
      </c>
      <c r="H26" t="s">
        <v>5926</v>
      </c>
      <c r="J26" t="s">
        <v>6040</v>
      </c>
      <c r="K26" t="s">
        <v>6035</v>
      </c>
      <c r="L26">
        <v>50</v>
      </c>
      <c r="O26" t="s">
        <v>1342</v>
      </c>
      <c r="AB26" t="s">
        <v>6055</v>
      </c>
      <c r="BM26" t="s">
        <v>59</v>
      </c>
      <c r="BN26" t="s">
        <v>6055</v>
      </c>
      <c r="BO26" t="s">
        <v>6204</v>
      </c>
      <c r="FA26" t="s">
        <v>6037</v>
      </c>
      <c r="FP26" t="s">
        <v>6044</v>
      </c>
      <c r="FV26" t="s">
        <v>6022</v>
      </c>
      <c r="HC26" t="s">
        <v>6044</v>
      </c>
      <c r="IA26" t="s">
        <v>6022</v>
      </c>
      <c r="IH26" t="s">
        <v>6016</v>
      </c>
      <c r="IK26" t="s">
        <v>6040</v>
      </c>
      <c r="IM26" t="s">
        <v>6022</v>
      </c>
      <c r="IS26" t="s">
        <v>6025</v>
      </c>
      <c r="IT26" t="s">
        <v>6044</v>
      </c>
      <c r="IU26" t="s">
        <v>6064</v>
      </c>
      <c r="IV26" t="s">
        <v>6026</v>
      </c>
      <c r="JR26" t="s">
        <v>6044</v>
      </c>
      <c r="JX26" t="s">
        <v>233</v>
      </c>
      <c r="KM26" t="s">
        <v>114</v>
      </c>
      <c r="KN26" t="s">
        <v>1017</v>
      </c>
      <c r="KO26" t="s">
        <v>1093</v>
      </c>
      <c r="KQ26" t="s">
        <v>519</v>
      </c>
      <c r="KR26" t="s">
        <v>519</v>
      </c>
    </row>
    <row r="27" spans="1:305">
      <c r="E27" t="s">
        <v>5871</v>
      </c>
      <c r="F27" t="s">
        <v>5872</v>
      </c>
      <c r="G27" t="s">
        <v>5855</v>
      </c>
      <c r="H27" t="s">
        <v>5927</v>
      </c>
      <c r="J27" t="s">
        <v>6041</v>
      </c>
      <c r="K27" t="s">
        <v>6035</v>
      </c>
      <c r="L27">
        <v>47</v>
      </c>
      <c r="O27" t="s">
        <v>1351</v>
      </c>
      <c r="AB27" t="s">
        <v>6056</v>
      </c>
      <c r="BM27" t="s">
        <v>1312</v>
      </c>
      <c r="BN27" t="s">
        <v>6056</v>
      </c>
      <c r="BO27" t="s">
        <v>6205</v>
      </c>
      <c r="FP27" t="s">
        <v>6037</v>
      </c>
      <c r="FV27" t="s">
        <v>6064</v>
      </c>
      <c r="HC27" t="s">
        <v>6037</v>
      </c>
      <c r="IA27" t="s">
        <v>6054</v>
      </c>
      <c r="IH27" t="s">
        <v>6017</v>
      </c>
      <c r="IK27" t="s">
        <v>6046</v>
      </c>
      <c r="IM27" t="s">
        <v>6054</v>
      </c>
      <c r="IS27" t="s">
        <v>6040</v>
      </c>
      <c r="IT27" t="s">
        <v>6037</v>
      </c>
      <c r="IU27" t="s">
        <v>6021</v>
      </c>
      <c r="IV27" t="s">
        <v>6029</v>
      </c>
      <c r="JR27" t="s">
        <v>6037</v>
      </c>
      <c r="JX27" t="s">
        <v>1232</v>
      </c>
      <c r="KM27" t="s">
        <v>70</v>
      </c>
      <c r="KN27" t="s">
        <v>650</v>
      </c>
      <c r="KO27" t="s">
        <v>28</v>
      </c>
      <c r="KQ27" t="s">
        <v>108</v>
      </c>
      <c r="KR27" t="s">
        <v>108</v>
      </c>
    </row>
    <row r="28" spans="1:305">
      <c r="E28" t="s">
        <v>5871</v>
      </c>
      <c r="F28" t="s">
        <v>5873</v>
      </c>
      <c r="G28" t="s">
        <v>5857</v>
      </c>
      <c r="H28" t="s">
        <v>5928</v>
      </c>
      <c r="J28" t="s">
        <v>6042</v>
      </c>
      <c r="K28" t="s">
        <v>6035</v>
      </c>
      <c r="L28">
        <v>41</v>
      </c>
      <c r="O28" t="s">
        <v>1361</v>
      </c>
      <c r="AB28" t="s">
        <v>6057</v>
      </c>
      <c r="BM28" t="s">
        <v>956</v>
      </c>
      <c r="BN28" t="s">
        <v>6057</v>
      </c>
      <c r="BO28" t="s">
        <v>6206</v>
      </c>
      <c r="FV28" t="s">
        <v>6054</v>
      </c>
      <c r="HC28" t="s">
        <v>6040</v>
      </c>
      <c r="IA28" t="s">
        <v>6016</v>
      </c>
      <c r="IH28" t="s">
        <v>6030</v>
      </c>
      <c r="IM28" t="s">
        <v>6016</v>
      </c>
      <c r="IT28" t="s">
        <v>6025</v>
      </c>
      <c r="IU28" t="s">
        <v>6016</v>
      </c>
      <c r="IV28" t="s">
        <v>6022</v>
      </c>
      <c r="JR28" t="s">
        <v>6040</v>
      </c>
      <c r="JX28" t="s">
        <v>910</v>
      </c>
      <c r="KM28" t="s">
        <v>196</v>
      </c>
      <c r="KN28" t="s">
        <v>519</v>
      </c>
      <c r="KO28" t="s">
        <v>233</v>
      </c>
      <c r="KQ28" t="s">
        <v>1163</v>
      </c>
      <c r="KR28" t="s">
        <v>1163</v>
      </c>
    </row>
    <row r="29" spans="1:305">
      <c r="E29" t="s">
        <v>5871</v>
      </c>
      <c r="F29" t="s">
        <v>5874</v>
      </c>
      <c r="G29" t="s">
        <v>5858</v>
      </c>
      <c r="H29" t="s">
        <v>5929</v>
      </c>
      <c r="J29" t="s">
        <v>6043</v>
      </c>
      <c r="K29" t="s">
        <v>6035</v>
      </c>
      <c r="L29">
        <v>39</v>
      </c>
      <c r="O29" t="s">
        <v>1374</v>
      </c>
      <c r="AB29" t="s">
        <v>6031</v>
      </c>
      <c r="BM29" t="s">
        <v>114</v>
      </c>
      <c r="BN29" t="s">
        <v>6031</v>
      </c>
      <c r="BO29" t="s">
        <v>6207</v>
      </c>
      <c r="FV29" t="s">
        <v>6021</v>
      </c>
      <c r="IA29" t="s">
        <v>6017</v>
      </c>
      <c r="IH29" t="s">
        <v>6044</v>
      </c>
      <c r="IM29" t="s">
        <v>6044</v>
      </c>
      <c r="IU29" t="s">
        <v>6050</v>
      </c>
      <c r="IV29" t="s">
        <v>6064</v>
      </c>
      <c r="JX29" t="s">
        <v>914</v>
      </c>
      <c r="KN29" t="s">
        <v>108</v>
      </c>
      <c r="KO29" t="s">
        <v>1232</v>
      </c>
      <c r="KQ29" t="s">
        <v>987</v>
      </c>
      <c r="KR29" t="s">
        <v>987</v>
      </c>
    </row>
    <row r="30" spans="1:305">
      <c r="A30" t="s">
        <v>17</v>
      </c>
      <c r="B30" t="s">
        <v>188</v>
      </c>
      <c r="C30" t="s">
        <v>323</v>
      </c>
      <c r="D30" t="s">
        <v>462</v>
      </c>
      <c r="E30" t="s">
        <v>5845</v>
      </c>
      <c r="F30" t="s">
        <v>5846</v>
      </c>
      <c r="G30" t="s">
        <v>5865</v>
      </c>
      <c r="H30" t="s">
        <v>5866</v>
      </c>
      <c r="I30" t="s">
        <v>2425</v>
      </c>
      <c r="J30" t="s">
        <v>5868</v>
      </c>
      <c r="K30" t="s">
        <v>5870</v>
      </c>
      <c r="L30" t="s">
        <v>3128</v>
      </c>
      <c r="M30" t="s">
        <v>3374</v>
      </c>
      <c r="N30" t="s">
        <v>3506</v>
      </c>
      <c r="O30" t="s">
        <v>5875</v>
      </c>
      <c r="P30" t="s">
        <v>3789</v>
      </c>
      <c r="Q30" t="s">
        <v>3939</v>
      </c>
      <c r="R30" t="s">
        <v>4035</v>
      </c>
      <c r="S30" t="s">
        <v>4207</v>
      </c>
      <c r="T30" t="s">
        <v>4601</v>
      </c>
      <c r="U30" t="s">
        <v>4933</v>
      </c>
      <c r="V30" t="s">
        <v>5385</v>
      </c>
      <c r="W30" t="s">
        <v>5463</v>
      </c>
      <c r="X30" t="s">
        <v>5587</v>
      </c>
      <c r="Y30" t="s">
        <v>5632</v>
      </c>
      <c r="Z30" t="s">
        <v>5680</v>
      </c>
      <c r="AA30" t="s">
        <v>5689</v>
      </c>
      <c r="AB30" t="s">
        <v>6058</v>
      </c>
      <c r="AC30" t="s">
        <v>5721</v>
      </c>
      <c r="BM30" t="s">
        <v>1344</v>
      </c>
      <c r="BN30" t="s">
        <v>6058</v>
      </c>
      <c r="BO30" t="s">
        <v>6208</v>
      </c>
      <c r="FV30" t="s">
        <v>6016</v>
      </c>
      <c r="IA30" t="s">
        <v>6044</v>
      </c>
      <c r="IH30" t="s">
        <v>6037</v>
      </c>
      <c r="IM30" t="s">
        <v>6037</v>
      </c>
      <c r="IU30" t="s">
        <v>6017</v>
      </c>
      <c r="IV30" t="s">
        <v>6054</v>
      </c>
      <c r="JX30" t="s">
        <v>810</v>
      </c>
      <c r="KN30" t="s">
        <v>1163</v>
      </c>
      <c r="KO30" t="s">
        <v>910</v>
      </c>
      <c r="KQ30" t="s">
        <v>543</v>
      </c>
      <c r="KR30" t="s">
        <v>543</v>
      </c>
    </row>
    <row r="31" spans="1:305">
      <c r="A31" t="s">
        <v>18</v>
      </c>
      <c r="B31" t="s">
        <v>189</v>
      </c>
      <c r="C31" t="s">
        <v>324</v>
      </c>
      <c r="D31" t="s">
        <v>463</v>
      </c>
      <c r="E31" t="s">
        <v>5914</v>
      </c>
      <c r="F31" t="s">
        <v>5915</v>
      </c>
      <c r="G31" t="s">
        <v>5948</v>
      </c>
      <c r="H31" t="s">
        <v>5952</v>
      </c>
      <c r="I31" t="s">
        <v>2426</v>
      </c>
      <c r="J31" t="s">
        <v>5959</v>
      </c>
      <c r="K31" t="s">
        <v>5962</v>
      </c>
      <c r="L31" t="s">
        <v>3129</v>
      </c>
      <c r="M31" t="s">
        <v>3375</v>
      </c>
      <c r="N31" t="s">
        <v>3507</v>
      </c>
      <c r="O31" t="s">
        <v>5972</v>
      </c>
      <c r="P31" t="s">
        <v>3790</v>
      </c>
      <c r="Q31" t="s">
        <v>3940</v>
      </c>
      <c r="R31" t="s">
        <v>4036</v>
      </c>
      <c r="S31" t="s">
        <v>4208</v>
      </c>
      <c r="T31" t="s">
        <v>4602</v>
      </c>
      <c r="U31" t="s">
        <v>4934</v>
      </c>
      <c r="V31" t="s">
        <v>5386</v>
      </c>
      <c r="W31" t="s">
        <v>5464</v>
      </c>
      <c r="X31" t="s">
        <v>5588</v>
      </c>
      <c r="Y31" t="s">
        <v>5633</v>
      </c>
      <c r="Z31" t="s">
        <v>5681</v>
      </c>
      <c r="AA31" t="s">
        <v>5690</v>
      </c>
      <c r="AB31" t="s">
        <v>6189</v>
      </c>
      <c r="AC31" t="s">
        <v>5722</v>
      </c>
      <c r="AE31" t="s">
        <v>6075</v>
      </c>
      <c r="AF31" t="s">
        <v>5756</v>
      </c>
      <c r="AG31" t="s">
        <v>5771</v>
      </c>
      <c r="AH31" t="s">
        <v>5777</v>
      </c>
      <c r="AI31" t="s">
        <v>5780</v>
      </c>
      <c r="AJ31" t="s">
        <v>1017</v>
      </c>
      <c r="AK31">
        <v>0</v>
      </c>
      <c r="AL31">
        <v>4</v>
      </c>
      <c r="AM31">
        <v>4</v>
      </c>
      <c r="AN31">
        <v>54</v>
      </c>
      <c r="AO31">
        <v>39</v>
      </c>
      <c r="AP31">
        <v>4</v>
      </c>
      <c r="AQ31">
        <v>0</v>
      </c>
      <c r="AR31">
        <v>0</v>
      </c>
      <c r="AS31">
        <v>0</v>
      </c>
      <c r="AT31">
        <v>0</v>
      </c>
      <c r="AU31">
        <v>0</v>
      </c>
      <c r="AV31">
        <v>11</v>
      </c>
      <c r="AW31" t="s">
        <v>1673</v>
      </c>
      <c r="BM31" t="s">
        <v>1093</v>
      </c>
      <c r="BN31" t="s">
        <v>6189</v>
      </c>
      <c r="BO31" t="s">
        <v>6209</v>
      </c>
      <c r="FV31" t="s">
        <v>6050</v>
      </c>
      <c r="IA31" t="s">
        <v>6037</v>
      </c>
      <c r="IH31" t="s">
        <v>6038</v>
      </c>
      <c r="IU31" t="s">
        <v>6030</v>
      </c>
      <c r="IV31" t="s">
        <v>6021</v>
      </c>
      <c r="JX31" t="s">
        <v>244</v>
      </c>
      <c r="KN31" t="s">
        <v>987</v>
      </c>
      <c r="KO31" t="s">
        <v>914</v>
      </c>
      <c r="KQ31" t="s">
        <v>1093</v>
      </c>
      <c r="KR31" t="s">
        <v>444</v>
      </c>
    </row>
    <row r="32" spans="1:305">
      <c r="A32" t="s">
        <v>47</v>
      </c>
      <c r="B32" t="s">
        <v>207</v>
      </c>
      <c r="C32" t="s">
        <v>381</v>
      </c>
      <c r="D32" t="s">
        <v>476</v>
      </c>
      <c r="E32" t="s">
        <v>5871</v>
      </c>
      <c r="F32" t="s">
        <v>5916</v>
      </c>
      <c r="G32" t="s">
        <v>5949</v>
      </c>
      <c r="H32" t="s">
        <v>5953</v>
      </c>
      <c r="I32" t="s">
        <v>2446</v>
      </c>
      <c r="J32" t="s">
        <v>5960</v>
      </c>
      <c r="K32" t="s">
        <v>5963</v>
      </c>
      <c r="L32" t="s">
        <v>3190</v>
      </c>
      <c r="N32" t="s">
        <v>3537</v>
      </c>
      <c r="O32" t="s">
        <v>5973</v>
      </c>
      <c r="P32" t="s">
        <v>3815</v>
      </c>
      <c r="Q32" t="s">
        <v>3958</v>
      </c>
      <c r="R32" t="s">
        <v>4080</v>
      </c>
      <c r="S32" t="s">
        <v>4257</v>
      </c>
      <c r="T32" t="s">
        <v>4635</v>
      </c>
      <c r="U32" t="s">
        <v>5014</v>
      </c>
      <c r="V32" t="s">
        <v>5432</v>
      </c>
      <c r="W32" t="s">
        <v>5497</v>
      </c>
      <c r="X32" t="s">
        <v>5596</v>
      </c>
      <c r="Z32" t="s">
        <v>5685</v>
      </c>
      <c r="AA32" t="s">
        <v>5712</v>
      </c>
      <c r="AB32" t="s">
        <v>6061</v>
      </c>
      <c r="AE32" t="s">
        <v>6076</v>
      </c>
      <c r="AF32" t="s">
        <v>5763</v>
      </c>
      <c r="AJ32" t="s">
        <v>650</v>
      </c>
      <c r="AK32">
        <v>0</v>
      </c>
      <c r="AL32">
        <v>0</v>
      </c>
      <c r="AM32">
        <v>0</v>
      </c>
      <c r="AN32">
        <v>0</v>
      </c>
      <c r="AO32">
        <v>0</v>
      </c>
      <c r="AP32">
        <v>20</v>
      </c>
      <c r="AQ32">
        <v>0</v>
      </c>
      <c r="AR32">
        <v>0</v>
      </c>
      <c r="AS32">
        <v>0</v>
      </c>
      <c r="AT32">
        <v>0</v>
      </c>
      <c r="AU32">
        <v>4</v>
      </c>
      <c r="AV32">
        <v>1</v>
      </c>
      <c r="BM32" t="s">
        <v>244</v>
      </c>
      <c r="BN32" t="s">
        <v>6061</v>
      </c>
      <c r="BO32" t="s">
        <v>6210</v>
      </c>
      <c r="FV32" t="s">
        <v>6017</v>
      </c>
      <c r="IA32" t="s">
        <v>6025</v>
      </c>
      <c r="IH32" t="s">
        <v>6025</v>
      </c>
      <c r="IU32" t="s">
        <v>6037</v>
      </c>
      <c r="IV32" t="s">
        <v>6016</v>
      </c>
      <c r="JX32" t="s">
        <v>114</v>
      </c>
      <c r="KN32" t="s">
        <v>543</v>
      </c>
      <c r="KO32" t="s">
        <v>288</v>
      </c>
      <c r="KQ32" t="s">
        <v>28</v>
      </c>
      <c r="KR32" t="s">
        <v>1093</v>
      </c>
    </row>
    <row r="33" spans="1:304">
      <c r="A33" t="s">
        <v>113</v>
      </c>
      <c r="B33" t="s">
        <v>272</v>
      </c>
      <c r="C33" t="s">
        <v>408</v>
      </c>
      <c r="E33" t="s">
        <v>5871</v>
      </c>
      <c r="F33" t="s">
        <v>5878</v>
      </c>
      <c r="G33" t="s">
        <v>5950</v>
      </c>
      <c r="H33" t="s">
        <v>5954</v>
      </c>
      <c r="I33" t="s">
        <v>2509</v>
      </c>
      <c r="J33" t="s">
        <v>5961</v>
      </c>
      <c r="K33" t="s">
        <v>5964</v>
      </c>
      <c r="L33" t="s">
        <v>3247</v>
      </c>
      <c r="N33" t="s">
        <v>3572</v>
      </c>
      <c r="O33" t="s">
        <v>5974</v>
      </c>
      <c r="T33" t="s">
        <v>4748</v>
      </c>
      <c r="AB33" t="s">
        <v>6032</v>
      </c>
      <c r="AE33" t="s">
        <v>6077</v>
      </c>
      <c r="AJ33" t="s">
        <v>519</v>
      </c>
      <c r="AK33">
        <v>0</v>
      </c>
      <c r="AL33">
        <v>19</v>
      </c>
      <c r="AM33">
        <v>3</v>
      </c>
      <c r="AN33">
        <v>40</v>
      </c>
      <c r="AO33">
        <v>2</v>
      </c>
      <c r="AP33">
        <v>1</v>
      </c>
      <c r="AQ33">
        <v>0</v>
      </c>
      <c r="AR33">
        <v>0</v>
      </c>
      <c r="AS33">
        <v>0</v>
      </c>
      <c r="AT33">
        <v>1</v>
      </c>
      <c r="AU33">
        <v>4</v>
      </c>
      <c r="AV33">
        <v>22</v>
      </c>
      <c r="BM33" t="s">
        <v>42</v>
      </c>
      <c r="BN33" t="s">
        <v>6032</v>
      </c>
      <c r="BO33" t="s">
        <v>6211</v>
      </c>
      <c r="FV33" t="s">
        <v>6030</v>
      </c>
      <c r="IA33" t="s">
        <v>6214</v>
      </c>
      <c r="IH33" t="s">
        <v>6214</v>
      </c>
      <c r="IU33" t="s">
        <v>6038</v>
      </c>
      <c r="IV33" t="s">
        <v>6050</v>
      </c>
      <c r="JX33" t="s">
        <v>1722</v>
      </c>
      <c r="KN33" t="s">
        <v>444</v>
      </c>
      <c r="KO33" t="s">
        <v>810</v>
      </c>
      <c r="KQ33" t="s">
        <v>233</v>
      </c>
      <c r="KR33" t="s">
        <v>28</v>
      </c>
    </row>
    <row r="34" spans="1:304">
      <c r="B34" t="s">
        <v>313</v>
      </c>
      <c r="E34" t="s">
        <v>5871</v>
      </c>
      <c r="F34" t="s">
        <v>5879</v>
      </c>
      <c r="G34" t="s">
        <v>5951</v>
      </c>
      <c r="H34" t="s">
        <v>5955</v>
      </c>
      <c r="J34" t="s">
        <v>6044</v>
      </c>
      <c r="K34" t="s">
        <v>6035</v>
      </c>
      <c r="L34">
        <v>31</v>
      </c>
      <c r="T34" t="s">
        <v>4853</v>
      </c>
      <c r="AB34" t="s">
        <v>6068</v>
      </c>
      <c r="AE34" t="s">
        <v>6078</v>
      </c>
      <c r="AJ34" t="s">
        <v>108</v>
      </c>
      <c r="AK34">
        <v>4</v>
      </c>
      <c r="AL34">
        <v>0</v>
      </c>
      <c r="AM34">
        <v>0</v>
      </c>
      <c r="AN34">
        <v>1</v>
      </c>
      <c r="AO34">
        <v>1</v>
      </c>
      <c r="AP34">
        <v>4</v>
      </c>
      <c r="AQ34">
        <v>0</v>
      </c>
      <c r="AR34">
        <v>0</v>
      </c>
      <c r="AS34">
        <v>5</v>
      </c>
      <c r="AT34">
        <v>0</v>
      </c>
      <c r="AU34">
        <v>3</v>
      </c>
      <c r="AV34">
        <v>2</v>
      </c>
      <c r="BM34" t="s">
        <v>64</v>
      </c>
      <c r="BN34" t="s">
        <v>6068</v>
      </c>
      <c r="BO34" t="s">
        <v>6212</v>
      </c>
      <c r="FV34" t="s">
        <v>6037</v>
      </c>
      <c r="IA34" t="s">
        <v>6040</v>
      </c>
      <c r="IH34" t="s">
        <v>6040</v>
      </c>
      <c r="IU34" t="s">
        <v>6025</v>
      </c>
      <c r="IV34" t="s">
        <v>6017</v>
      </c>
      <c r="JX34" t="s">
        <v>70</v>
      </c>
      <c r="KN34" t="s">
        <v>1093</v>
      </c>
      <c r="KO34" t="s">
        <v>244</v>
      </c>
      <c r="KQ34" t="s">
        <v>535</v>
      </c>
      <c r="KR34" t="s">
        <v>233</v>
      </c>
    </row>
    <row r="35" spans="1:304">
      <c r="E35" t="s">
        <v>5880</v>
      </c>
      <c r="F35" t="s">
        <v>5881</v>
      </c>
      <c r="G35" t="s">
        <v>5858</v>
      </c>
      <c r="H35" t="s">
        <v>5930</v>
      </c>
      <c r="J35" t="s">
        <v>6045</v>
      </c>
      <c r="K35" t="s">
        <v>6035</v>
      </c>
      <c r="L35">
        <v>31</v>
      </c>
      <c r="AB35" t="s">
        <v>6067</v>
      </c>
      <c r="AE35" t="s">
        <v>6079</v>
      </c>
      <c r="AJ35" t="s">
        <v>1163</v>
      </c>
      <c r="AK35">
        <v>0</v>
      </c>
      <c r="AL35">
        <v>3</v>
      </c>
      <c r="AM35">
        <v>0</v>
      </c>
      <c r="AN35">
        <v>6</v>
      </c>
      <c r="AO35">
        <v>9</v>
      </c>
      <c r="AP35">
        <v>0</v>
      </c>
      <c r="AQ35">
        <v>0</v>
      </c>
      <c r="AR35">
        <v>0</v>
      </c>
      <c r="AS35">
        <v>0</v>
      </c>
      <c r="AT35">
        <v>0</v>
      </c>
      <c r="AU35">
        <v>0</v>
      </c>
      <c r="AV35">
        <v>3</v>
      </c>
      <c r="BM35" t="s">
        <v>620</v>
      </c>
      <c r="BN35" t="s">
        <v>6067</v>
      </c>
      <c r="BO35" t="s">
        <v>6213</v>
      </c>
      <c r="FV35" t="s">
        <v>6214</v>
      </c>
      <c r="IA35" t="s">
        <v>6046</v>
      </c>
      <c r="IH35" t="s">
        <v>6046</v>
      </c>
      <c r="IU35" t="s">
        <v>6040</v>
      </c>
      <c r="IV35" t="s">
        <v>6030</v>
      </c>
      <c r="JX35" t="s">
        <v>196</v>
      </c>
      <c r="KN35" t="s">
        <v>28</v>
      </c>
      <c r="KO35" t="s">
        <v>2568</v>
      </c>
      <c r="KQ35" t="s">
        <v>1232</v>
      </c>
      <c r="KR35" t="s">
        <v>163</v>
      </c>
    </row>
    <row r="36" spans="1:304">
      <c r="E36" t="s">
        <v>5880</v>
      </c>
      <c r="F36" t="s">
        <v>5882</v>
      </c>
      <c r="G36" t="s">
        <v>5858</v>
      </c>
      <c r="H36" t="s">
        <v>5931</v>
      </c>
      <c r="J36" t="s">
        <v>6046</v>
      </c>
      <c r="K36" t="s">
        <v>6035</v>
      </c>
      <c r="L36">
        <v>30</v>
      </c>
      <c r="AE36" t="s">
        <v>6080</v>
      </c>
      <c r="AJ36" t="s">
        <v>987</v>
      </c>
      <c r="AK36">
        <v>0</v>
      </c>
      <c r="AL36">
        <v>1</v>
      </c>
      <c r="AM36">
        <v>1</v>
      </c>
      <c r="AN36">
        <v>15</v>
      </c>
      <c r="AO36">
        <v>1</v>
      </c>
      <c r="AP36">
        <v>0</v>
      </c>
      <c r="AQ36">
        <v>0</v>
      </c>
      <c r="AR36">
        <v>0</v>
      </c>
      <c r="AS36">
        <v>0</v>
      </c>
      <c r="AT36">
        <v>0</v>
      </c>
      <c r="AU36">
        <v>0</v>
      </c>
      <c r="AV36">
        <v>3</v>
      </c>
      <c r="BM36" t="s">
        <v>28</v>
      </c>
      <c r="FV36" t="s">
        <v>6040</v>
      </c>
      <c r="IV36" t="s">
        <v>6037</v>
      </c>
      <c r="KN36" t="s">
        <v>233</v>
      </c>
      <c r="KO36" t="s">
        <v>580</v>
      </c>
      <c r="KQ36" t="s">
        <v>936</v>
      </c>
      <c r="KR36" t="s">
        <v>535</v>
      </c>
    </row>
    <row r="37" spans="1:304">
      <c r="E37" t="s">
        <v>5880</v>
      </c>
      <c r="F37" t="s">
        <v>5883</v>
      </c>
      <c r="G37" t="s">
        <v>5858</v>
      </c>
      <c r="H37" t="s">
        <v>5932</v>
      </c>
      <c r="J37" t="s">
        <v>6047</v>
      </c>
      <c r="K37" t="s">
        <v>6035</v>
      </c>
      <c r="L37">
        <v>30</v>
      </c>
      <c r="AE37" t="s">
        <v>6081</v>
      </c>
      <c r="AJ37" t="s">
        <v>543</v>
      </c>
      <c r="AK37">
        <v>0</v>
      </c>
      <c r="AL37">
        <v>1</v>
      </c>
      <c r="AM37">
        <v>0</v>
      </c>
      <c r="AN37">
        <v>1</v>
      </c>
      <c r="AO37">
        <v>2</v>
      </c>
      <c r="AP37">
        <v>0</v>
      </c>
      <c r="AQ37">
        <v>0</v>
      </c>
      <c r="AR37">
        <v>0</v>
      </c>
      <c r="AS37">
        <v>0</v>
      </c>
      <c r="AT37">
        <v>1</v>
      </c>
      <c r="AU37">
        <v>0</v>
      </c>
      <c r="AV37">
        <v>3</v>
      </c>
      <c r="BM37" t="s">
        <v>70</v>
      </c>
      <c r="IV37" t="s">
        <v>6025</v>
      </c>
      <c r="KN37" t="s">
        <v>163</v>
      </c>
      <c r="KO37" t="s">
        <v>64</v>
      </c>
      <c r="KQ37" t="s">
        <v>910</v>
      </c>
      <c r="KR37" t="s">
        <v>1232</v>
      </c>
    </row>
    <row r="38" spans="1:304">
      <c r="E38" t="s">
        <v>5884</v>
      </c>
      <c r="F38" t="s">
        <v>5885</v>
      </c>
      <c r="G38" t="s">
        <v>5858</v>
      </c>
      <c r="H38" t="s">
        <v>5933</v>
      </c>
      <c r="J38" t="s">
        <v>6048</v>
      </c>
      <c r="K38" t="s">
        <v>6035</v>
      </c>
      <c r="L38">
        <v>25</v>
      </c>
      <c r="AE38" t="s">
        <v>6082</v>
      </c>
      <c r="AJ38" t="s">
        <v>444</v>
      </c>
      <c r="AK38">
        <v>0</v>
      </c>
      <c r="AL38">
        <v>0</v>
      </c>
      <c r="AM38">
        <v>0</v>
      </c>
      <c r="AN38">
        <v>0</v>
      </c>
      <c r="AO38">
        <v>1</v>
      </c>
      <c r="AP38">
        <v>0</v>
      </c>
      <c r="AQ38">
        <v>0</v>
      </c>
      <c r="AR38">
        <v>0</v>
      </c>
      <c r="AS38">
        <v>0</v>
      </c>
      <c r="AT38">
        <v>1</v>
      </c>
      <c r="AU38">
        <v>0</v>
      </c>
      <c r="AV38">
        <v>1</v>
      </c>
      <c r="BM38" t="s">
        <v>588</v>
      </c>
      <c r="IV38" t="s">
        <v>6214</v>
      </c>
      <c r="KN38" t="s">
        <v>1232</v>
      </c>
      <c r="KO38" t="s">
        <v>114</v>
      </c>
      <c r="KQ38" t="s">
        <v>905</v>
      </c>
      <c r="KR38" t="s">
        <v>936</v>
      </c>
    </row>
    <row r="39" spans="1:304">
      <c r="E39" t="s">
        <v>5886</v>
      </c>
      <c r="F39" t="s">
        <v>5887</v>
      </c>
      <c r="G39" t="s">
        <v>5859</v>
      </c>
      <c r="H39" t="s">
        <v>5934</v>
      </c>
      <c r="J39" t="s">
        <v>6049</v>
      </c>
      <c r="K39" t="s">
        <v>6035</v>
      </c>
      <c r="L39">
        <v>24</v>
      </c>
      <c r="AE39" t="s">
        <v>6083</v>
      </c>
      <c r="AJ39" t="s">
        <v>1093</v>
      </c>
      <c r="AK39">
        <v>0</v>
      </c>
      <c r="AL39">
        <v>2</v>
      </c>
      <c r="AM39">
        <v>3</v>
      </c>
      <c r="AN39">
        <v>42</v>
      </c>
      <c r="AO39">
        <v>20</v>
      </c>
      <c r="AP39">
        <v>0</v>
      </c>
      <c r="AQ39">
        <v>0</v>
      </c>
      <c r="AR39">
        <v>0</v>
      </c>
      <c r="AS39">
        <v>1</v>
      </c>
      <c r="AT39">
        <v>0</v>
      </c>
      <c r="AU39">
        <v>0</v>
      </c>
      <c r="AV39">
        <v>2</v>
      </c>
      <c r="BM39" t="s">
        <v>557</v>
      </c>
      <c r="IV39" t="s">
        <v>6040</v>
      </c>
      <c r="KN39" t="s">
        <v>936</v>
      </c>
      <c r="KO39" t="s">
        <v>70</v>
      </c>
      <c r="KQ39" t="s">
        <v>914</v>
      </c>
      <c r="KR39" t="s">
        <v>910</v>
      </c>
    </row>
    <row r="40" spans="1:304">
      <c r="A40" t="s">
        <v>5836</v>
      </c>
      <c r="B40" t="s">
        <v>5837</v>
      </c>
      <c r="C40" t="s">
        <v>5838</v>
      </c>
      <c r="E40" t="s">
        <v>5886</v>
      </c>
      <c r="F40" t="s">
        <v>5888</v>
      </c>
      <c r="G40" t="s">
        <v>5859</v>
      </c>
      <c r="H40" t="s">
        <v>5935</v>
      </c>
      <c r="J40" t="s">
        <v>6050</v>
      </c>
      <c r="K40" t="s">
        <v>6035</v>
      </c>
      <c r="L40">
        <v>23</v>
      </c>
      <c r="AE40" t="s">
        <v>6084</v>
      </c>
      <c r="AJ40" t="s">
        <v>28</v>
      </c>
      <c r="AK40">
        <v>12</v>
      </c>
      <c r="AL40">
        <v>7</v>
      </c>
      <c r="AM40">
        <v>3</v>
      </c>
      <c r="AN40">
        <v>9</v>
      </c>
      <c r="AO40">
        <v>6</v>
      </c>
      <c r="AP40">
        <v>0</v>
      </c>
      <c r="AQ40">
        <v>1</v>
      </c>
      <c r="AR40">
        <v>0</v>
      </c>
      <c r="AS40">
        <v>0</v>
      </c>
      <c r="AT40">
        <v>1</v>
      </c>
      <c r="AU40">
        <v>1</v>
      </c>
      <c r="AV40">
        <v>21</v>
      </c>
      <c r="BM40" t="s">
        <v>288</v>
      </c>
      <c r="KN40" t="s">
        <v>910</v>
      </c>
      <c r="KO40" t="s">
        <v>196</v>
      </c>
      <c r="KQ40" t="s">
        <v>288</v>
      </c>
      <c r="KR40" t="s">
        <v>905</v>
      </c>
    </row>
    <row r="41" spans="1:304">
      <c r="A41" t="s">
        <v>571</v>
      </c>
      <c r="B41" t="s">
        <v>571</v>
      </c>
      <c r="C41" t="s">
        <v>519</v>
      </c>
      <c r="E41" t="s">
        <v>5889</v>
      </c>
      <c r="F41" t="s">
        <v>5890</v>
      </c>
      <c r="G41" t="s">
        <v>5859</v>
      </c>
      <c r="H41" t="s">
        <v>5936</v>
      </c>
      <c r="J41" t="s">
        <v>6051</v>
      </c>
      <c r="K41" t="s">
        <v>6035</v>
      </c>
      <c r="L41">
        <v>22</v>
      </c>
      <c r="AE41" t="s">
        <v>6085</v>
      </c>
      <c r="AJ41" t="s">
        <v>233</v>
      </c>
      <c r="AK41">
        <v>1</v>
      </c>
      <c r="AL41">
        <v>19</v>
      </c>
      <c r="AM41">
        <v>1</v>
      </c>
      <c r="AN41">
        <v>29</v>
      </c>
      <c r="AO41">
        <v>13</v>
      </c>
      <c r="AP41">
        <v>0</v>
      </c>
      <c r="AQ41">
        <v>0</v>
      </c>
      <c r="AR41">
        <v>1</v>
      </c>
      <c r="AS41">
        <v>1</v>
      </c>
      <c r="AT41">
        <v>0</v>
      </c>
      <c r="AU41">
        <v>1</v>
      </c>
      <c r="AV41">
        <v>19</v>
      </c>
      <c r="BM41" t="s">
        <v>52</v>
      </c>
      <c r="KN41" t="s">
        <v>905</v>
      </c>
      <c r="KQ41" t="s">
        <v>810</v>
      </c>
      <c r="KR41" t="s">
        <v>914</v>
      </c>
    </row>
    <row r="42" spans="1:304">
      <c r="A42" t="s">
        <v>910</v>
      </c>
      <c r="B42" t="s">
        <v>910</v>
      </c>
      <c r="C42" t="s">
        <v>956</v>
      </c>
      <c r="E42" t="s">
        <v>5889</v>
      </c>
      <c r="F42" t="s">
        <v>5891</v>
      </c>
      <c r="G42" t="s">
        <v>5859</v>
      </c>
      <c r="H42" t="s">
        <v>5937</v>
      </c>
      <c r="J42" t="s">
        <v>6052</v>
      </c>
      <c r="K42" t="s">
        <v>6035</v>
      </c>
      <c r="L42">
        <v>21</v>
      </c>
      <c r="AE42" t="s">
        <v>6086</v>
      </c>
      <c r="AJ42" t="s">
        <v>163</v>
      </c>
      <c r="AK42">
        <v>1</v>
      </c>
      <c r="AL42">
        <v>0</v>
      </c>
      <c r="AM42">
        <v>1</v>
      </c>
      <c r="AN42">
        <v>0</v>
      </c>
      <c r="AO42">
        <v>25</v>
      </c>
      <c r="AP42">
        <v>0</v>
      </c>
      <c r="AQ42">
        <v>0</v>
      </c>
      <c r="AR42">
        <v>0</v>
      </c>
      <c r="AS42">
        <v>0</v>
      </c>
      <c r="AT42">
        <v>0</v>
      </c>
      <c r="AU42">
        <v>2</v>
      </c>
      <c r="AV42">
        <v>3</v>
      </c>
      <c r="BM42" t="s">
        <v>123</v>
      </c>
      <c r="IB42" t="s">
        <v>5689</v>
      </c>
      <c r="IC42" t="s">
        <v>6112</v>
      </c>
      <c r="ID42" t="s">
        <v>1438</v>
      </c>
      <c r="IE42" t="s">
        <v>6117</v>
      </c>
      <c r="KN42" t="s">
        <v>914</v>
      </c>
      <c r="KQ42" t="s">
        <v>244</v>
      </c>
      <c r="KR42" t="s">
        <v>288</v>
      </c>
    </row>
    <row r="43" spans="1:304">
      <c r="A43" t="s">
        <v>914</v>
      </c>
      <c r="B43" t="s">
        <v>914</v>
      </c>
      <c r="C43" t="s">
        <v>244</v>
      </c>
      <c r="E43" t="s">
        <v>5889</v>
      </c>
      <c r="F43" t="s">
        <v>5892</v>
      </c>
      <c r="G43" t="s">
        <v>5859</v>
      </c>
      <c r="H43" t="s">
        <v>5938</v>
      </c>
      <c r="J43" t="s">
        <v>6053</v>
      </c>
      <c r="K43" t="s">
        <v>6035</v>
      </c>
      <c r="L43">
        <v>21</v>
      </c>
      <c r="AE43" t="s">
        <v>6087</v>
      </c>
      <c r="AJ43" t="s">
        <v>535</v>
      </c>
      <c r="AK43">
        <v>0</v>
      </c>
      <c r="AL43">
        <v>0</v>
      </c>
      <c r="AM43">
        <v>0</v>
      </c>
      <c r="AN43">
        <v>1</v>
      </c>
      <c r="AO43">
        <v>2</v>
      </c>
      <c r="AP43">
        <v>0</v>
      </c>
      <c r="AQ43">
        <v>0</v>
      </c>
      <c r="AR43">
        <v>0</v>
      </c>
      <c r="AS43">
        <v>0</v>
      </c>
      <c r="AT43">
        <v>1</v>
      </c>
      <c r="AU43">
        <v>2</v>
      </c>
      <c r="AV43">
        <v>0</v>
      </c>
      <c r="BM43" t="s">
        <v>1056</v>
      </c>
      <c r="IB43" t="s">
        <v>5716</v>
      </c>
      <c r="IC43" t="s">
        <v>588</v>
      </c>
      <c r="ID43" t="s">
        <v>1445</v>
      </c>
      <c r="IE43" t="s">
        <v>543</v>
      </c>
      <c r="KN43" t="s">
        <v>288</v>
      </c>
      <c r="KQ43" t="s">
        <v>114</v>
      </c>
      <c r="KR43" t="s">
        <v>244</v>
      </c>
    </row>
    <row r="44" spans="1:304">
      <c r="A44" t="s">
        <v>1017</v>
      </c>
      <c r="B44" t="s">
        <v>1017</v>
      </c>
      <c r="C44" t="s">
        <v>64</v>
      </c>
      <c r="E44" t="s">
        <v>5889</v>
      </c>
      <c r="F44" t="s">
        <v>5893</v>
      </c>
      <c r="G44" t="s">
        <v>5859</v>
      </c>
      <c r="H44" t="s">
        <v>5939</v>
      </c>
      <c r="J44" t="s">
        <v>6054</v>
      </c>
      <c r="K44" t="s">
        <v>6035</v>
      </c>
      <c r="L44">
        <v>21</v>
      </c>
      <c r="AE44" t="s">
        <v>6088</v>
      </c>
      <c r="AJ44" t="s">
        <v>1232</v>
      </c>
      <c r="AK44">
        <v>0</v>
      </c>
      <c r="AL44">
        <v>3</v>
      </c>
      <c r="AM44">
        <v>0</v>
      </c>
      <c r="AN44">
        <v>6</v>
      </c>
      <c r="AO44">
        <v>2</v>
      </c>
      <c r="AP44">
        <v>1</v>
      </c>
      <c r="AQ44">
        <v>0</v>
      </c>
      <c r="AR44">
        <v>0</v>
      </c>
      <c r="AS44">
        <v>0</v>
      </c>
      <c r="AT44">
        <v>0</v>
      </c>
      <c r="AU44">
        <v>0</v>
      </c>
      <c r="AV44">
        <v>9</v>
      </c>
      <c r="BM44" t="s">
        <v>1730</v>
      </c>
      <c r="IB44" t="s">
        <v>5721</v>
      </c>
      <c r="IC44" t="s">
        <v>557</v>
      </c>
      <c r="ID44" t="s">
        <v>1452</v>
      </c>
      <c r="IE44" t="s">
        <v>244</v>
      </c>
      <c r="KN44" t="s">
        <v>810</v>
      </c>
      <c r="KQ44" t="s">
        <v>70</v>
      </c>
      <c r="KR44" t="s">
        <v>64</v>
      </c>
    </row>
    <row r="45" spans="1:304">
      <c r="A45" t="s">
        <v>266</v>
      </c>
      <c r="B45" t="s">
        <v>266</v>
      </c>
      <c r="C45" t="s">
        <v>620</v>
      </c>
      <c r="E45" t="s">
        <v>5894</v>
      </c>
      <c r="F45" t="s">
        <v>5895</v>
      </c>
      <c r="G45" t="s">
        <v>5860</v>
      </c>
      <c r="H45" t="s">
        <v>5940</v>
      </c>
      <c r="J45" t="s">
        <v>6055</v>
      </c>
      <c r="K45" t="s">
        <v>6035</v>
      </c>
      <c r="L45">
        <v>20</v>
      </c>
      <c r="AE45" t="s">
        <v>6089</v>
      </c>
      <c r="AJ45" t="s">
        <v>936</v>
      </c>
      <c r="AK45">
        <v>0</v>
      </c>
      <c r="AL45">
        <v>0</v>
      </c>
      <c r="AM45">
        <v>0</v>
      </c>
      <c r="AN45">
        <v>73</v>
      </c>
      <c r="AO45">
        <v>12</v>
      </c>
      <c r="AP45">
        <v>0</v>
      </c>
      <c r="AQ45">
        <v>0</v>
      </c>
      <c r="AR45">
        <v>0</v>
      </c>
      <c r="AS45">
        <v>0</v>
      </c>
      <c r="AT45">
        <v>0</v>
      </c>
      <c r="AU45">
        <v>0</v>
      </c>
      <c r="AV45">
        <v>5</v>
      </c>
      <c r="BM45" t="s">
        <v>163</v>
      </c>
      <c r="IB45" t="s">
        <v>5728</v>
      </c>
      <c r="IC45" t="s">
        <v>6113</v>
      </c>
      <c r="ID45" t="s">
        <v>1456</v>
      </c>
      <c r="IE45" t="s">
        <v>6107</v>
      </c>
      <c r="KN45" t="s">
        <v>244</v>
      </c>
      <c r="KR45" t="s">
        <v>114</v>
      </c>
    </row>
    <row r="46" spans="1:304">
      <c r="A46" t="s">
        <v>20</v>
      </c>
      <c r="B46" t="s">
        <v>20</v>
      </c>
      <c r="C46" t="s">
        <v>70</v>
      </c>
      <c r="E46" t="s">
        <v>5894</v>
      </c>
      <c r="F46" t="s">
        <v>5896</v>
      </c>
      <c r="G46" t="s">
        <v>5861</v>
      </c>
      <c r="H46" t="s">
        <v>5941</v>
      </c>
      <c r="J46" t="s">
        <v>6056</v>
      </c>
      <c r="K46" t="s">
        <v>6035</v>
      </c>
      <c r="L46">
        <v>19</v>
      </c>
      <c r="AE46" t="s">
        <v>6090</v>
      </c>
      <c r="AJ46" t="s">
        <v>910</v>
      </c>
      <c r="AK46">
        <v>0</v>
      </c>
      <c r="AL46">
        <v>2</v>
      </c>
      <c r="AM46">
        <v>4</v>
      </c>
      <c r="AN46">
        <v>89</v>
      </c>
      <c r="AO46">
        <v>12</v>
      </c>
      <c r="AP46">
        <v>0</v>
      </c>
      <c r="AQ46">
        <v>0</v>
      </c>
      <c r="AR46">
        <v>0</v>
      </c>
      <c r="AS46">
        <v>0</v>
      </c>
      <c r="AT46">
        <v>0</v>
      </c>
      <c r="AU46">
        <v>0</v>
      </c>
      <c r="AV46">
        <v>22</v>
      </c>
      <c r="BM46" t="s">
        <v>810</v>
      </c>
      <c r="IB46" t="s">
        <v>5736</v>
      </c>
      <c r="IC46" t="s">
        <v>6114</v>
      </c>
      <c r="ID46" t="s">
        <v>1464</v>
      </c>
      <c r="IE46" t="s">
        <v>6118</v>
      </c>
      <c r="KN46" t="s">
        <v>114</v>
      </c>
      <c r="KR46" t="s">
        <v>70</v>
      </c>
    </row>
    <row r="47" spans="1:304">
      <c r="A47" t="s">
        <v>519</v>
      </c>
      <c r="B47" t="s">
        <v>936</v>
      </c>
      <c r="C47" t="s">
        <v>588</v>
      </c>
      <c r="E47" t="s">
        <v>5894</v>
      </c>
      <c r="F47" t="s">
        <v>5897</v>
      </c>
      <c r="G47" t="s">
        <v>5861</v>
      </c>
      <c r="H47" t="s">
        <v>5942</v>
      </c>
      <c r="J47" t="s">
        <v>6057</v>
      </c>
      <c r="K47" t="s">
        <v>6035</v>
      </c>
      <c r="L47">
        <v>18</v>
      </c>
      <c r="AE47" t="s">
        <v>6091</v>
      </c>
      <c r="AJ47" t="s">
        <v>227</v>
      </c>
      <c r="AK47">
        <v>30</v>
      </c>
      <c r="AL47">
        <v>0</v>
      </c>
      <c r="AM47">
        <v>0</v>
      </c>
      <c r="AN47">
        <v>0</v>
      </c>
      <c r="AO47">
        <v>0</v>
      </c>
      <c r="AP47">
        <v>0</v>
      </c>
      <c r="AQ47">
        <v>0</v>
      </c>
      <c r="AR47">
        <v>0</v>
      </c>
      <c r="AS47">
        <v>0</v>
      </c>
      <c r="AT47">
        <v>0</v>
      </c>
      <c r="AU47">
        <v>0</v>
      </c>
      <c r="AV47">
        <v>0</v>
      </c>
      <c r="BM47" t="s">
        <v>227</v>
      </c>
      <c r="IB47" t="s">
        <v>5755</v>
      </c>
      <c r="IC47" t="s">
        <v>6115</v>
      </c>
      <c r="ID47" t="s">
        <v>1538</v>
      </c>
      <c r="IE47" t="s">
        <v>6119</v>
      </c>
      <c r="KN47" t="s">
        <v>70</v>
      </c>
    </row>
    <row r="48" spans="1:304">
      <c r="A48" t="s">
        <v>936</v>
      </c>
      <c r="B48" t="s">
        <v>233</v>
      </c>
      <c r="C48" t="s">
        <v>443</v>
      </c>
      <c r="E48" t="s">
        <v>5894</v>
      </c>
      <c r="F48" t="s">
        <v>5898</v>
      </c>
      <c r="G48" t="s">
        <v>5861</v>
      </c>
      <c r="H48" t="s">
        <v>5943</v>
      </c>
      <c r="J48" t="s">
        <v>6058</v>
      </c>
      <c r="K48" t="s">
        <v>6035</v>
      </c>
      <c r="L48">
        <v>17</v>
      </c>
      <c r="AE48" t="s">
        <v>6092</v>
      </c>
      <c r="AJ48" t="s">
        <v>905</v>
      </c>
      <c r="AK48">
        <v>0</v>
      </c>
      <c r="AL48">
        <v>0</v>
      </c>
      <c r="AM48">
        <v>1</v>
      </c>
      <c r="AN48">
        <v>10</v>
      </c>
      <c r="AO48">
        <v>7</v>
      </c>
      <c r="AP48">
        <v>0</v>
      </c>
      <c r="AQ48">
        <v>0</v>
      </c>
      <c r="AR48">
        <v>0</v>
      </c>
      <c r="AS48">
        <v>0</v>
      </c>
      <c r="AT48">
        <v>0</v>
      </c>
      <c r="AU48">
        <v>0</v>
      </c>
      <c r="AV48">
        <v>5</v>
      </c>
      <c r="BM48" t="s">
        <v>196</v>
      </c>
      <c r="IB48" t="s">
        <v>5770</v>
      </c>
      <c r="IC48" t="s">
        <v>6116</v>
      </c>
      <c r="ID48" t="s">
        <v>1557</v>
      </c>
      <c r="IE48" t="s">
        <v>6120</v>
      </c>
      <c r="KN48" t="s">
        <v>196</v>
      </c>
    </row>
    <row r="49" spans="1:239">
      <c r="A49" t="s">
        <v>233</v>
      </c>
      <c r="B49" t="s">
        <v>1312</v>
      </c>
      <c r="C49" t="s">
        <v>557</v>
      </c>
      <c r="E49" t="s">
        <v>5894</v>
      </c>
      <c r="F49" t="s">
        <v>5899</v>
      </c>
      <c r="G49" t="s">
        <v>5861</v>
      </c>
      <c r="H49" t="s">
        <v>5944</v>
      </c>
      <c r="J49" t="s">
        <v>6059</v>
      </c>
      <c r="K49" t="s">
        <v>6035</v>
      </c>
      <c r="L49">
        <v>15</v>
      </c>
      <c r="AE49" t="s">
        <v>6093</v>
      </c>
      <c r="AJ49" t="s">
        <v>914</v>
      </c>
      <c r="AK49">
        <v>0</v>
      </c>
      <c r="AL49">
        <v>8</v>
      </c>
      <c r="AM49">
        <v>78</v>
      </c>
      <c r="AN49">
        <v>19</v>
      </c>
      <c r="AO49">
        <v>3</v>
      </c>
      <c r="AP49">
        <v>0</v>
      </c>
      <c r="AQ49">
        <v>0</v>
      </c>
      <c r="AR49">
        <v>0</v>
      </c>
      <c r="AS49">
        <v>0</v>
      </c>
      <c r="AT49">
        <v>0</v>
      </c>
      <c r="AU49">
        <v>0</v>
      </c>
      <c r="AV49">
        <v>10</v>
      </c>
      <c r="BM49" t="s">
        <v>650</v>
      </c>
      <c r="IB49" t="s">
        <v>5776</v>
      </c>
      <c r="IC49" t="s">
        <v>123</v>
      </c>
      <c r="ID49" t="s">
        <v>1583</v>
      </c>
      <c r="IE49" t="s">
        <v>6121</v>
      </c>
    </row>
    <row r="50" spans="1:239">
      <c r="A50" t="s">
        <v>956</v>
      </c>
      <c r="B50" t="s">
        <v>59</v>
      </c>
      <c r="C50" t="s">
        <v>52</v>
      </c>
      <c r="E50" t="s">
        <v>5894</v>
      </c>
      <c r="F50" t="s">
        <v>5900</v>
      </c>
      <c r="G50" t="s">
        <v>5861</v>
      </c>
      <c r="H50" t="s">
        <v>5945</v>
      </c>
      <c r="J50" t="s">
        <v>6060</v>
      </c>
      <c r="K50" t="s">
        <v>6035</v>
      </c>
      <c r="L50">
        <v>14</v>
      </c>
      <c r="AE50" t="s">
        <v>6094</v>
      </c>
      <c r="AJ50" t="s">
        <v>288</v>
      </c>
      <c r="AK50">
        <v>3</v>
      </c>
      <c r="AL50">
        <v>1</v>
      </c>
      <c r="AM50">
        <v>26</v>
      </c>
      <c r="AN50">
        <v>2</v>
      </c>
      <c r="AO50">
        <v>2</v>
      </c>
      <c r="AP50">
        <v>1</v>
      </c>
      <c r="AQ50">
        <v>0</v>
      </c>
      <c r="AR50">
        <v>0</v>
      </c>
      <c r="AS50">
        <v>1</v>
      </c>
      <c r="AT50">
        <v>0</v>
      </c>
      <c r="AU50">
        <v>0</v>
      </c>
      <c r="AV50">
        <v>2</v>
      </c>
      <c r="BM50" t="s">
        <v>1533</v>
      </c>
      <c r="IB50" t="s">
        <v>5779</v>
      </c>
      <c r="IC50" t="s">
        <v>288</v>
      </c>
      <c r="ID50" t="s">
        <v>1590</v>
      </c>
      <c r="IE50" t="s">
        <v>266</v>
      </c>
    </row>
    <row r="51" spans="1:239">
      <c r="A51" t="s">
        <v>1312</v>
      </c>
      <c r="B51" t="s">
        <v>114</v>
      </c>
      <c r="C51" t="s">
        <v>123</v>
      </c>
      <c r="G51" t="s">
        <v>5862</v>
      </c>
      <c r="H51" t="s">
        <v>5946</v>
      </c>
      <c r="J51" t="s">
        <v>6061</v>
      </c>
      <c r="K51" t="s">
        <v>6035</v>
      </c>
      <c r="L51">
        <v>11</v>
      </c>
      <c r="AJ51" t="s">
        <v>810</v>
      </c>
      <c r="AK51">
        <v>0</v>
      </c>
      <c r="AL51">
        <v>21</v>
      </c>
      <c r="AM51">
        <v>0</v>
      </c>
      <c r="AN51">
        <v>3</v>
      </c>
      <c r="AO51">
        <v>0</v>
      </c>
      <c r="AP51">
        <v>0</v>
      </c>
      <c r="AQ51">
        <v>0</v>
      </c>
      <c r="AR51">
        <v>1</v>
      </c>
      <c r="AS51">
        <v>1</v>
      </c>
      <c r="AT51">
        <v>0</v>
      </c>
      <c r="AU51">
        <v>2</v>
      </c>
      <c r="AV51">
        <v>3</v>
      </c>
      <c r="BM51" t="s">
        <v>905</v>
      </c>
      <c r="ID51" t="s">
        <v>1601</v>
      </c>
      <c r="IE51" t="s">
        <v>6108</v>
      </c>
    </row>
    <row r="52" spans="1:239">
      <c r="A52" t="s">
        <v>59</v>
      </c>
      <c r="B52" t="s">
        <v>1093</v>
      </c>
      <c r="C52" t="s">
        <v>163</v>
      </c>
      <c r="G52" t="s">
        <v>5863</v>
      </c>
      <c r="H52" t="s">
        <v>5947</v>
      </c>
      <c r="J52" t="s">
        <v>6062</v>
      </c>
      <c r="K52" t="s">
        <v>6035</v>
      </c>
      <c r="L52">
        <v>8</v>
      </c>
      <c r="AJ52" t="s">
        <v>244</v>
      </c>
      <c r="AK52">
        <v>1</v>
      </c>
      <c r="AL52">
        <v>3</v>
      </c>
      <c r="AM52">
        <v>0</v>
      </c>
      <c r="AN52">
        <v>7</v>
      </c>
      <c r="AO52">
        <v>34</v>
      </c>
      <c r="AP52">
        <v>5</v>
      </c>
      <c r="AQ52">
        <v>0</v>
      </c>
      <c r="AR52">
        <v>0</v>
      </c>
      <c r="AS52">
        <v>0</v>
      </c>
      <c r="AT52">
        <v>0</v>
      </c>
      <c r="AU52">
        <v>2</v>
      </c>
      <c r="AV52">
        <v>17</v>
      </c>
      <c r="BM52" t="s">
        <v>580</v>
      </c>
      <c r="ID52" t="s">
        <v>1673</v>
      </c>
      <c r="IE52" t="s">
        <v>6109</v>
      </c>
    </row>
    <row r="53" spans="1:239">
      <c r="A53" t="s">
        <v>114</v>
      </c>
      <c r="B53" t="s">
        <v>1344</v>
      </c>
      <c r="C53" t="s">
        <v>1730</v>
      </c>
      <c r="G53" t="s">
        <v>5865</v>
      </c>
      <c r="H53" t="s">
        <v>5948</v>
      </c>
      <c r="J53" t="s">
        <v>6063</v>
      </c>
      <c r="K53" t="s">
        <v>6035</v>
      </c>
      <c r="L53">
        <v>7</v>
      </c>
      <c r="AJ53" t="s">
        <v>2568</v>
      </c>
      <c r="AK53">
        <v>0</v>
      </c>
      <c r="AL53">
        <v>7</v>
      </c>
      <c r="AM53">
        <v>0</v>
      </c>
      <c r="AN53">
        <v>0</v>
      </c>
      <c r="AO53">
        <v>0</v>
      </c>
      <c r="AP53">
        <v>0</v>
      </c>
      <c r="AQ53">
        <v>0</v>
      </c>
      <c r="AR53">
        <v>0</v>
      </c>
      <c r="AS53">
        <v>0</v>
      </c>
      <c r="AT53">
        <v>0</v>
      </c>
      <c r="AU53">
        <v>0</v>
      </c>
      <c r="AV53">
        <v>0</v>
      </c>
      <c r="BM53" t="s">
        <v>1232</v>
      </c>
      <c r="ID53" t="s">
        <v>1954</v>
      </c>
      <c r="IE53" t="s">
        <v>6122</v>
      </c>
    </row>
    <row r="54" spans="1:239">
      <c r="A54" t="s">
        <v>1093</v>
      </c>
      <c r="B54" t="s">
        <v>42</v>
      </c>
      <c r="C54" t="s">
        <v>810</v>
      </c>
      <c r="G54" t="s">
        <v>5865</v>
      </c>
      <c r="H54" t="s">
        <v>5949</v>
      </c>
      <c r="J54" t="s">
        <v>6064</v>
      </c>
      <c r="K54" t="s">
        <v>6035</v>
      </c>
      <c r="L54">
        <v>6</v>
      </c>
      <c r="AJ54" t="s">
        <v>580</v>
      </c>
      <c r="AK54">
        <v>0</v>
      </c>
      <c r="AL54">
        <v>21</v>
      </c>
      <c r="AM54">
        <v>0</v>
      </c>
      <c r="AN54">
        <v>0</v>
      </c>
      <c r="AO54">
        <v>0</v>
      </c>
      <c r="AP54">
        <v>0</v>
      </c>
      <c r="AQ54">
        <v>0</v>
      </c>
      <c r="AR54">
        <v>0</v>
      </c>
      <c r="AS54">
        <v>0</v>
      </c>
      <c r="AT54">
        <v>0</v>
      </c>
      <c r="AU54">
        <v>1</v>
      </c>
      <c r="AV54">
        <v>0</v>
      </c>
      <c r="BM54" t="s">
        <v>987</v>
      </c>
      <c r="ID54" t="s">
        <v>2072</v>
      </c>
      <c r="IE54" t="s">
        <v>6123</v>
      </c>
    </row>
    <row r="55" spans="1:239">
      <c r="A55" t="s">
        <v>1344</v>
      </c>
      <c r="B55" t="s">
        <v>28</v>
      </c>
      <c r="C55" t="s">
        <v>1056</v>
      </c>
      <c r="G55" t="s">
        <v>5865</v>
      </c>
      <c r="H55" t="s">
        <v>5950</v>
      </c>
      <c r="J55" t="s">
        <v>6065</v>
      </c>
      <c r="K55" t="s">
        <v>6035</v>
      </c>
      <c r="L55">
        <v>5</v>
      </c>
      <c r="AJ55" t="s">
        <v>64</v>
      </c>
      <c r="AK55">
        <v>14</v>
      </c>
      <c r="AL55">
        <v>1</v>
      </c>
      <c r="AM55">
        <v>0</v>
      </c>
      <c r="AN55">
        <v>0</v>
      </c>
      <c r="AO55">
        <v>2</v>
      </c>
      <c r="AP55">
        <v>0</v>
      </c>
      <c r="AQ55">
        <v>0</v>
      </c>
      <c r="AR55">
        <v>0</v>
      </c>
      <c r="AS55">
        <v>1</v>
      </c>
      <c r="AT55">
        <v>0</v>
      </c>
      <c r="AU55">
        <v>47</v>
      </c>
      <c r="AV55">
        <v>0</v>
      </c>
      <c r="BM55" t="s">
        <v>1163</v>
      </c>
      <c r="ID55" t="s">
        <v>2224</v>
      </c>
      <c r="IE55" t="s">
        <v>6124</v>
      </c>
    </row>
    <row r="56" spans="1:239">
      <c r="A56" t="s">
        <v>244</v>
      </c>
      <c r="B56" t="s">
        <v>288</v>
      </c>
      <c r="C56" t="s">
        <v>196</v>
      </c>
      <c r="G56" t="s">
        <v>5865</v>
      </c>
      <c r="H56" t="s">
        <v>5951</v>
      </c>
      <c r="J56" t="s">
        <v>6066</v>
      </c>
      <c r="K56" t="s">
        <v>6035</v>
      </c>
      <c r="L56">
        <v>4</v>
      </c>
      <c r="AJ56" t="s">
        <v>114</v>
      </c>
      <c r="AK56">
        <v>17</v>
      </c>
      <c r="AL56">
        <v>2</v>
      </c>
      <c r="AM56">
        <v>1</v>
      </c>
      <c r="AN56">
        <v>2</v>
      </c>
      <c r="AO56">
        <v>3</v>
      </c>
      <c r="AP56">
        <v>4</v>
      </c>
      <c r="AQ56">
        <v>19</v>
      </c>
      <c r="AR56">
        <v>0</v>
      </c>
      <c r="AS56">
        <v>1</v>
      </c>
      <c r="AT56">
        <v>1</v>
      </c>
      <c r="AU56">
        <v>11</v>
      </c>
      <c r="AV56">
        <v>15</v>
      </c>
      <c r="BM56" t="s">
        <v>108</v>
      </c>
      <c r="ID56" t="s">
        <v>2326</v>
      </c>
      <c r="IE56" t="s">
        <v>6125</v>
      </c>
    </row>
    <row r="57" spans="1:239">
      <c r="A57" t="s">
        <v>42</v>
      </c>
      <c r="B57" t="s">
        <v>3142</v>
      </c>
      <c r="C57" t="s">
        <v>227</v>
      </c>
      <c r="G57" t="s">
        <v>5866</v>
      </c>
      <c r="H57" t="s">
        <v>5952</v>
      </c>
      <c r="J57" t="s">
        <v>6067</v>
      </c>
      <c r="K57" t="s">
        <v>6035</v>
      </c>
      <c r="L57">
        <v>3</v>
      </c>
      <c r="AJ57" t="s">
        <v>70</v>
      </c>
      <c r="AK57">
        <v>1</v>
      </c>
      <c r="AL57">
        <v>5</v>
      </c>
      <c r="AM57">
        <v>0</v>
      </c>
      <c r="AN57">
        <v>10</v>
      </c>
      <c r="AO57">
        <v>15</v>
      </c>
      <c r="AP57">
        <v>0</v>
      </c>
      <c r="AQ57">
        <v>0</v>
      </c>
      <c r="AR57">
        <v>0</v>
      </c>
      <c r="AS57">
        <v>0</v>
      </c>
      <c r="AT57">
        <v>1</v>
      </c>
      <c r="AU57">
        <v>6</v>
      </c>
      <c r="AV57">
        <v>12</v>
      </c>
      <c r="BM57" t="s">
        <v>132</v>
      </c>
      <c r="ID57" t="s">
        <v>2350</v>
      </c>
      <c r="IE57" t="s">
        <v>1056</v>
      </c>
    </row>
    <row r="58" spans="1:239">
      <c r="A58" t="s">
        <v>64</v>
      </c>
      <c r="B58" t="s">
        <v>1999</v>
      </c>
      <c r="C58" t="s">
        <v>650</v>
      </c>
      <c r="G58" t="s">
        <v>5866</v>
      </c>
      <c r="H58" t="s">
        <v>5953</v>
      </c>
      <c r="J58" t="s">
        <v>6068</v>
      </c>
      <c r="K58" t="s">
        <v>6035</v>
      </c>
      <c r="L58">
        <v>3</v>
      </c>
      <c r="AJ58" t="s">
        <v>196</v>
      </c>
      <c r="AK58">
        <v>24</v>
      </c>
      <c r="AL58">
        <v>2</v>
      </c>
      <c r="AM58">
        <v>0</v>
      </c>
      <c r="AN58">
        <v>0</v>
      </c>
      <c r="AO58">
        <v>0</v>
      </c>
      <c r="AP58">
        <v>0</v>
      </c>
      <c r="AQ58">
        <v>0</v>
      </c>
      <c r="AR58">
        <v>0</v>
      </c>
      <c r="AS58">
        <v>1</v>
      </c>
      <c r="AT58">
        <v>0</v>
      </c>
      <c r="AU58">
        <v>1</v>
      </c>
      <c r="AV58">
        <v>2</v>
      </c>
      <c r="BM58" t="s">
        <v>716</v>
      </c>
      <c r="ID58" t="s">
        <v>2354</v>
      </c>
      <c r="IE58" t="s">
        <v>6126</v>
      </c>
    </row>
    <row r="59" spans="1:239">
      <c r="A59" t="s">
        <v>620</v>
      </c>
      <c r="B59" t="s">
        <v>2180</v>
      </c>
      <c r="C59" t="s">
        <v>1533</v>
      </c>
      <c r="G59" t="s">
        <v>5866</v>
      </c>
      <c r="H59" t="s">
        <v>5954</v>
      </c>
      <c r="BM59" t="s">
        <v>443</v>
      </c>
      <c r="ID59" t="s">
        <v>2364</v>
      </c>
      <c r="IE59" t="s">
        <v>6127</v>
      </c>
    </row>
    <row r="60" spans="1:239">
      <c r="A60" t="s">
        <v>28</v>
      </c>
      <c r="C60" t="s">
        <v>905</v>
      </c>
      <c r="G60" t="s">
        <v>5866</v>
      </c>
      <c r="H60" t="s">
        <v>5955</v>
      </c>
      <c r="BM60" t="s">
        <v>3142</v>
      </c>
      <c r="ID60" t="s">
        <v>2411</v>
      </c>
      <c r="IE60" t="s">
        <v>6128</v>
      </c>
    </row>
    <row r="61" spans="1:239">
      <c r="A61" t="s">
        <v>70</v>
      </c>
      <c r="C61" t="s">
        <v>580</v>
      </c>
      <c r="G61" t="s">
        <v>5867</v>
      </c>
      <c r="H61" t="s">
        <v>5956</v>
      </c>
      <c r="BM61" t="s">
        <v>1358</v>
      </c>
      <c r="ID61" t="s">
        <v>2426</v>
      </c>
      <c r="IE61" t="s">
        <v>6129</v>
      </c>
    </row>
    <row r="62" spans="1:239">
      <c r="A62" t="s">
        <v>588</v>
      </c>
      <c r="C62" t="s">
        <v>987</v>
      </c>
      <c r="G62" t="s">
        <v>5867</v>
      </c>
      <c r="H62" t="s">
        <v>5957</v>
      </c>
      <c r="BM62" t="s">
        <v>612</v>
      </c>
      <c r="ID62" t="s">
        <v>2446</v>
      </c>
      <c r="IE62" t="s">
        <v>6130</v>
      </c>
    </row>
    <row r="63" spans="1:239">
      <c r="A63" t="s">
        <v>443</v>
      </c>
      <c r="C63" t="s">
        <v>1163</v>
      </c>
      <c r="G63" t="s">
        <v>5867</v>
      </c>
      <c r="H63" t="s">
        <v>5958</v>
      </c>
      <c r="BM63" t="s">
        <v>873</v>
      </c>
      <c r="ID63" t="s">
        <v>2509</v>
      </c>
      <c r="IE63" t="s">
        <v>6131</v>
      </c>
    </row>
    <row r="64" spans="1:239">
      <c r="A64" t="s">
        <v>557</v>
      </c>
      <c r="C64" t="s">
        <v>1232</v>
      </c>
      <c r="G64" t="s">
        <v>5868</v>
      </c>
      <c r="H64" t="s">
        <v>5959</v>
      </c>
      <c r="BM64" t="s">
        <v>444</v>
      </c>
      <c r="ID64" t="s">
        <v>2567</v>
      </c>
      <c r="IE64" t="s">
        <v>6132</v>
      </c>
    </row>
    <row r="65" spans="1:239">
      <c r="A65" t="s">
        <v>52</v>
      </c>
      <c r="C65" t="s">
        <v>108</v>
      </c>
      <c r="G65" t="s">
        <v>5868</v>
      </c>
      <c r="H65" t="s">
        <v>5960</v>
      </c>
      <c r="BM65" t="s">
        <v>1999</v>
      </c>
      <c r="ID65" t="s">
        <v>2620</v>
      </c>
      <c r="IE65" t="s">
        <v>6133</v>
      </c>
    </row>
    <row r="66" spans="1:239">
      <c r="A66" t="s">
        <v>288</v>
      </c>
      <c r="C66" t="s">
        <v>132</v>
      </c>
      <c r="G66" t="s">
        <v>5868</v>
      </c>
      <c r="H66" t="s">
        <v>5961</v>
      </c>
      <c r="BM66" t="s">
        <v>851</v>
      </c>
      <c r="ID66" t="s">
        <v>2735</v>
      </c>
      <c r="IE66" t="s">
        <v>6134</v>
      </c>
    </row>
    <row r="67" spans="1:239">
      <c r="A67" t="s">
        <v>123</v>
      </c>
      <c r="C67" t="s">
        <v>716</v>
      </c>
      <c r="G67" t="s">
        <v>5870</v>
      </c>
      <c r="H67" t="s">
        <v>5962</v>
      </c>
      <c r="BM67" t="s">
        <v>1722</v>
      </c>
      <c r="ID67" t="s">
        <v>2766</v>
      </c>
      <c r="IE67" t="s">
        <v>6135</v>
      </c>
    </row>
    <row r="68" spans="1:239">
      <c r="A68" t="s">
        <v>163</v>
      </c>
      <c r="C68" t="s">
        <v>1358</v>
      </c>
      <c r="G68" t="s">
        <v>5870</v>
      </c>
      <c r="H68" t="s">
        <v>5963</v>
      </c>
      <c r="BM68" t="s">
        <v>2180</v>
      </c>
      <c r="ID68" t="s">
        <v>2816</v>
      </c>
      <c r="IE68" t="s">
        <v>6136</v>
      </c>
    </row>
    <row r="69" spans="1:239">
      <c r="A69" t="s">
        <v>1730</v>
      </c>
      <c r="C69" t="s">
        <v>612</v>
      </c>
      <c r="G69" t="s">
        <v>5870</v>
      </c>
      <c r="H69" t="s">
        <v>5964</v>
      </c>
      <c r="BM69" t="s">
        <v>543</v>
      </c>
      <c r="ID69" t="s">
        <v>3092</v>
      </c>
      <c r="IE69" t="s">
        <v>6137</v>
      </c>
    </row>
    <row r="70" spans="1:239">
      <c r="A70" t="s">
        <v>810</v>
      </c>
      <c r="C70" t="s">
        <v>873</v>
      </c>
      <c r="G70" t="s">
        <v>5872</v>
      </c>
      <c r="H70" t="s">
        <v>5965</v>
      </c>
      <c r="BM70" t="s">
        <v>2568</v>
      </c>
      <c r="ID70" t="s">
        <v>3129</v>
      </c>
      <c r="IE70" t="s">
        <v>6138</v>
      </c>
    </row>
    <row r="71" spans="1:239">
      <c r="A71" t="s">
        <v>1056</v>
      </c>
      <c r="C71" t="s">
        <v>851</v>
      </c>
      <c r="G71" t="s">
        <v>5872</v>
      </c>
      <c r="H71" t="s">
        <v>5966</v>
      </c>
      <c r="BM71" t="s">
        <v>535</v>
      </c>
      <c r="ID71" t="s">
        <v>3190</v>
      </c>
      <c r="IE71" t="s">
        <v>6139</v>
      </c>
    </row>
    <row r="72" spans="1:239">
      <c r="A72" t="s">
        <v>196</v>
      </c>
      <c r="C72" t="s">
        <v>543</v>
      </c>
      <c r="G72" t="s">
        <v>5872</v>
      </c>
      <c r="H72" t="s">
        <v>5967</v>
      </c>
      <c r="BM72" t="s">
        <v>1407</v>
      </c>
      <c r="ID72" t="s">
        <v>3247</v>
      </c>
      <c r="IE72" t="s">
        <v>6140</v>
      </c>
    </row>
    <row r="73" spans="1:239">
      <c r="A73" t="s">
        <v>227</v>
      </c>
      <c r="C73" t="s">
        <v>2568</v>
      </c>
      <c r="G73" t="s">
        <v>5873</v>
      </c>
      <c r="H73" t="s">
        <v>5968</v>
      </c>
      <c r="BM73" t="s">
        <v>201</v>
      </c>
      <c r="ID73" t="s">
        <v>3375</v>
      </c>
      <c r="IE73" t="s">
        <v>6110</v>
      </c>
    </row>
    <row r="74" spans="1:239">
      <c r="A74" t="s">
        <v>650</v>
      </c>
      <c r="C74" t="s">
        <v>535</v>
      </c>
      <c r="G74" t="s">
        <v>5874</v>
      </c>
      <c r="H74" t="s">
        <v>5969</v>
      </c>
      <c r="BM74" t="s">
        <v>3336</v>
      </c>
      <c r="ID74" t="s">
        <v>3507</v>
      </c>
      <c r="IE74" t="s">
        <v>6141</v>
      </c>
    </row>
    <row r="75" spans="1:239">
      <c r="A75" t="s">
        <v>1533</v>
      </c>
      <c r="C75" t="s">
        <v>1407</v>
      </c>
      <c r="G75" t="s">
        <v>5874</v>
      </c>
      <c r="H75" t="s">
        <v>5970</v>
      </c>
      <c r="ID75" t="s">
        <v>3537</v>
      </c>
      <c r="IE75" t="s">
        <v>6142</v>
      </c>
    </row>
    <row r="76" spans="1:239">
      <c r="A76" t="s">
        <v>905</v>
      </c>
      <c r="C76" t="s">
        <v>201</v>
      </c>
      <c r="G76" t="s">
        <v>5874</v>
      </c>
      <c r="H76" t="s">
        <v>5971</v>
      </c>
      <c r="ID76" t="s">
        <v>3572</v>
      </c>
      <c r="IE76" t="s">
        <v>6143</v>
      </c>
    </row>
    <row r="77" spans="1:239">
      <c r="A77" t="s">
        <v>580</v>
      </c>
      <c r="C77" t="s">
        <v>444</v>
      </c>
      <c r="G77" t="s">
        <v>5875</v>
      </c>
      <c r="H77" t="s">
        <v>5972</v>
      </c>
      <c r="ID77" t="s">
        <v>3598</v>
      </c>
      <c r="IE77" t="s">
        <v>6144</v>
      </c>
    </row>
    <row r="78" spans="1:239">
      <c r="A78" t="s">
        <v>987</v>
      </c>
      <c r="C78" t="s">
        <v>3336</v>
      </c>
      <c r="G78" t="s">
        <v>5875</v>
      </c>
      <c r="H78" t="s">
        <v>5973</v>
      </c>
      <c r="ID78" t="s">
        <v>3617</v>
      </c>
      <c r="IE78" t="s">
        <v>6145</v>
      </c>
    </row>
    <row r="79" spans="1:239">
      <c r="A79" t="s">
        <v>1163</v>
      </c>
      <c r="G79" t="s">
        <v>5875</v>
      </c>
      <c r="H79" t="s">
        <v>5974</v>
      </c>
      <c r="ID79" t="s">
        <v>3660</v>
      </c>
      <c r="IE79" t="s">
        <v>6146</v>
      </c>
    </row>
    <row r="80" spans="1:239">
      <c r="A80" t="s">
        <v>1232</v>
      </c>
      <c r="G80" t="s">
        <v>5876</v>
      </c>
      <c r="H80" t="s">
        <v>5975</v>
      </c>
      <c r="ID80" t="s">
        <v>3790</v>
      </c>
      <c r="IE80" t="s">
        <v>6147</v>
      </c>
    </row>
    <row r="81" spans="1:239">
      <c r="A81" t="s">
        <v>108</v>
      </c>
      <c r="G81" t="s">
        <v>5876</v>
      </c>
      <c r="H81" t="s">
        <v>5976</v>
      </c>
      <c r="ID81" t="s">
        <v>3815</v>
      </c>
      <c r="IE81" t="s">
        <v>6148</v>
      </c>
    </row>
    <row r="82" spans="1:239">
      <c r="A82" t="s">
        <v>132</v>
      </c>
      <c r="G82" t="s">
        <v>5877</v>
      </c>
      <c r="H82" t="s">
        <v>5977</v>
      </c>
      <c r="ID82" t="s">
        <v>3940</v>
      </c>
      <c r="IE82" t="s">
        <v>6149</v>
      </c>
    </row>
    <row r="83" spans="1:239">
      <c r="A83" t="s">
        <v>716</v>
      </c>
      <c r="G83" t="s">
        <v>5877</v>
      </c>
      <c r="H83" t="s">
        <v>5978</v>
      </c>
      <c r="ID83" t="s">
        <v>3958</v>
      </c>
      <c r="IE83" t="s">
        <v>6150</v>
      </c>
    </row>
    <row r="84" spans="1:239">
      <c r="A84" t="s">
        <v>1358</v>
      </c>
      <c r="G84" t="s">
        <v>5878</v>
      </c>
      <c r="H84" t="s">
        <v>5979</v>
      </c>
      <c r="ID84" t="s">
        <v>4036</v>
      </c>
      <c r="IE84" t="s">
        <v>6151</v>
      </c>
    </row>
    <row r="85" spans="1:239">
      <c r="A85" t="s">
        <v>3142</v>
      </c>
      <c r="G85" t="s">
        <v>5878</v>
      </c>
      <c r="H85" t="s">
        <v>5980</v>
      </c>
      <c r="ID85" t="s">
        <v>4080</v>
      </c>
      <c r="IE85" t="s">
        <v>6152</v>
      </c>
    </row>
    <row r="86" spans="1:239">
      <c r="A86" t="s">
        <v>612</v>
      </c>
      <c r="G86" t="s">
        <v>5879</v>
      </c>
      <c r="H86" t="s">
        <v>5981</v>
      </c>
      <c r="ID86" t="s">
        <v>4208</v>
      </c>
      <c r="IE86" t="s">
        <v>6153</v>
      </c>
    </row>
    <row r="87" spans="1:239">
      <c r="A87" t="s">
        <v>873</v>
      </c>
      <c r="G87" t="s">
        <v>5879</v>
      </c>
      <c r="H87" t="s">
        <v>5982</v>
      </c>
      <c r="ID87" t="s">
        <v>4257</v>
      </c>
      <c r="IE87" t="s">
        <v>6154</v>
      </c>
    </row>
    <row r="88" spans="1:239">
      <c r="A88" t="s">
        <v>851</v>
      </c>
      <c r="G88" t="s">
        <v>5881</v>
      </c>
      <c r="H88" t="s">
        <v>5983</v>
      </c>
      <c r="ID88" t="s">
        <v>4602</v>
      </c>
      <c r="IE88" t="s">
        <v>6155</v>
      </c>
    </row>
    <row r="89" spans="1:239">
      <c r="A89" t="s">
        <v>1999</v>
      </c>
      <c r="G89" t="s">
        <v>5881</v>
      </c>
      <c r="H89" t="s">
        <v>5984</v>
      </c>
      <c r="ID89" t="s">
        <v>4635</v>
      </c>
      <c r="IE89" t="s">
        <v>6156</v>
      </c>
    </row>
    <row r="90" spans="1:239">
      <c r="A90" t="s">
        <v>2180</v>
      </c>
      <c r="G90" t="s">
        <v>5881</v>
      </c>
      <c r="H90" t="s">
        <v>5985</v>
      </c>
      <c r="ID90" t="s">
        <v>4748</v>
      </c>
      <c r="IE90" t="s">
        <v>6157</v>
      </c>
    </row>
    <row r="91" spans="1:239">
      <c r="A91" t="s">
        <v>543</v>
      </c>
      <c r="G91" t="s">
        <v>5881</v>
      </c>
      <c r="H91" t="s">
        <v>5986</v>
      </c>
      <c r="ID91" t="s">
        <v>4853</v>
      </c>
      <c r="IE91" t="s">
        <v>6158</v>
      </c>
    </row>
    <row r="92" spans="1:239">
      <c r="A92" t="s">
        <v>2568</v>
      </c>
      <c r="G92" t="s">
        <v>5882</v>
      </c>
      <c r="H92" t="s">
        <v>5987</v>
      </c>
      <c r="ID92" t="s">
        <v>4934</v>
      </c>
      <c r="IE92" t="s">
        <v>6159</v>
      </c>
    </row>
    <row r="93" spans="1:239">
      <c r="A93" t="s">
        <v>535</v>
      </c>
      <c r="G93" t="s">
        <v>5882</v>
      </c>
      <c r="H93" t="s">
        <v>5988</v>
      </c>
      <c r="ID93" t="s">
        <v>5014</v>
      </c>
      <c r="IE93" t="s">
        <v>6160</v>
      </c>
    </row>
    <row r="94" spans="1:239">
      <c r="A94" t="s">
        <v>1407</v>
      </c>
      <c r="G94" t="s">
        <v>5883</v>
      </c>
      <c r="H94" t="s">
        <v>5989</v>
      </c>
      <c r="ID94" t="s">
        <v>5386</v>
      </c>
      <c r="IE94" t="s">
        <v>6161</v>
      </c>
    </row>
    <row r="95" spans="1:239">
      <c r="A95" t="s">
        <v>201</v>
      </c>
      <c r="G95" t="s">
        <v>5883</v>
      </c>
      <c r="H95" t="s">
        <v>5990</v>
      </c>
      <c r="ID95" t="s">
        <v>5432</v>
      </c>
      <c r="IE95" t="s">
        <v>6162</v>
      </c>
    </row>
    <row r="96" spans="1:239">
      <c r="A96" t="s">
        <v>444</v>
      </c>
      <c r="G96" t="s">
        <v>5885</v>
      </c>
      <c r="H96" t="s">
        <v>5991</v>
      </c>
      <c r="ID96" t="s">
        <v>5464</v>
      </c>
      <c r="IE96" t="s">
        <v>6163</v>
      </c>
    </row>
    <row r="97" spans="1:239">
      <c r="A97" t="s">
        <v>3336</v>
      </c>
      <c r="G97" t="s">
        <v>5885</v>
      </c>
      <c r="H97" t="s">
        <v>5992</v>
      </c>
      <c r="ID97" t="s">
        <v>5497</v>
      </c>
      <c r="IE97" t="s">
        <v>6164</v>
      </c>
    </row>
    <row r="98" spans="1:239">
      <c r="G98" t="s">
        <v>5887</v>
      </c>
      <c r="H98" t="s">
        <v>5993</v>
      </c>
      <c r="ID98" t="s">
        <v>5588</v>
      </c>
      <c r="IE98" t="s">
        <v>6165</v>
      </c>
    </row>
    <row r="99" spans="1:239">
      <c r="G99" t="s">
        <v>5887</v>
      </c>
      <c r="H99" t="s">
        <v>5994</v>
      </c>
      <c r="ID99" t="s">
        <v>5596</v>
      </c>
      <c r="IE99" t="s">
        <v>6166</v>
      </c>
    </row>
    <row r="100" spans="1:239">
      <c r="G100" t="s">
        <v>5888</v>
      </c>
      <c r="H100" t="s">
        <v>5995</v>
      </c>
      <c r="ID100" t="s">
        <v>5633</v>
      </c>
      <c r="IE100" t="s">
        <v>6111</v>
      </c>
    </row>
    <row r="101" spans="1:239">
      <c r="G101" t="s">
        <v>5890</v>
      </c>
      <c r="H101" t="s">
        <v>5996</v>
      </c>
      <c r="ID101" t="s">
        <v>5681</v>
      </c>
      <c r="IE101" t="s">
        <v>1312</v>
      </c>
    </row>
    <row r="102" spans="1:239">
      <c r="G102" t="s">
        <v>5890</v>
      </c>
      <c r="H102" t="s">
        <v>5997</v>
      </c>
      <c r="ID102" t="s">
        <v>5685</v>
      </c>
      <c r="IE102" t="s">
        <v>42</v>
      </c>
    </row>
    <row r="103" spans="1:239">
      <c r="G103" t="s">
        <v>5891</v>
      </c>
      <c r="H103" t="s">
        <v>5998</v>
      </c>
      <c r="ID103" t="s">
        <v>5690</v>
      </c>
      <c r="IE103" t="s">
        <v>6167</v>
      </c>
    </row>
    <row r="104" spans="1:239">
      <c r="G104" t="s">
        <v>5891</v>
      </c>
      <c r="H104" t="s">
        <v>5999</v>
      </c>
      <c r="ID104" t="s">
        <v>5712</v>
      </c>
      <c r="IE104" t="s">
        <v>873</v>
      </c>
    </row>
    <row r="105" spans="1:239">
      <c r="G105" t="s">
        <v>5892</v>
      </c>
      <c r="H105" t="s">
        <v>6000</v>
      </c>
      <c r="ID105" t="s">
        <v>5717</v>
      </c>
      <c r="IE105" t="s">
        <v>588</v>
      </c>
    </row>
    <row r="106" spans="1:239">
      <c r="G106" t="s">
        <v>5893</v>
      </c>
      <c r="H106" t="s">
        <v>6001</v>
      </c>
      <c r="ID106" t="s">
        <v>5722</v>
      </c>
      <c r="IE106" t="s">
        <v>557</v>
      </c>
    </row>
    <row r="107" spans="1:239">
      <c r="G107" t="s">
        <v>5895</v>
      </c>
      <c r="H107" t="s">
        <v>6002</v>
      </c>
      <c r="ID107" t="s">
        <v>5729</v>
      </c>
      <c r="IE107" t="s">
        <v>6113</v>
      </c>
    </row>
    <row r="108" spans="1:239">
      <c r="G108" t="s">
        <v>5896</v>
      </c>
      <c r="H108" t="s">
        <v>6003</v>
      </c>
      <c r="ID108" t="s">
        <v>5737</v>
      </c>
      <c r="IE108" t="s">
        <v>6168</v>
      </c>
    </row>
    <row r="109" spans="1:239">
      <c r="G109" t="s">
        <v>5896</v>
      </c>
      <c r="H109" t="s">
        <v>6004</v>
      </c>
      <c r="ID109" t="s">
        <v>5744</v>
      </c>
      <c r="IE109" t="s">
        <v>6169</v>
      </c>
    </row>
    <row r="110" spans="1:239">
      <c r="G110" t="s">
        <v>5897</v>
      </c>
      <c r="H110" t="s">
        <v>6005</v>
      </c>
      <c r="ID110" t="s">
        <v>5756</v>
      </c>
      <c r="IE110" t="s">
        <v>6170</v>
      </c>
    </row>
    <row r="111" spans="1:239">
      <c r="G111" t="s">
        <v>5897</v>
      </c>
      <c r="H111" t="s">
        <v>6006</v>
      </c>
      <c r="ID111" t="s">
        <v>5763</v>
      </c>
      <c r="IE111" t="s">
        <v>6171</v>
      </c>
    </row>
    <row r="112" spans="1:239">
      <c r="G112" t="s">
        <v>5898</v>
      </c>
      <c r="H112" t="s">
        <v>6007</v>
      </c>
      <c r="ID112" t="s">
        <v>5771</v>
      </c>
      <c r="IE112" t="s">
        <v>6116</v>
      </c>
    </row>
    <row r="113" spans="7:239">
      <c r="G113" t="s">
        <v>5899</v>
      </c>
      <c r="H113" t="s">
        <v>6008</v>
      </c>
      <c r="ID113" t="s">
        <v>5777</v>
      </c>
      <c r="IE113" t="s">
        <v>123</v>
      </c>
    </row>
    <row r="114" spans="7:239">
      <c r="G114" t="s">
        <v>5900</v>
      </c>
      <c r="H114" t="s">
        <v>6009</v>
      </c>
      <c r="ID114" t="s">
        <v>5780</v>
      </c>
      <c r="IE114" t="s">
        <v>288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워크시트</vt:lpstr>
      </vt:variant>
      <vt:variant>
        <vt:i4>11</vt:i4>
      </vt:variant>
      <vt:variant>
        <vt:lpstr>이름 지정된 범위</vt:lpstr>
      </vt:variant>
      <vt:variant>
        <vt:i4>65</vt:i4>
      </vt:variant>
    </vt:vector>
  </HeadingPairs>
  <TitlesOfParts>
    <vt:vector size="76" baseType="lpstr">
      <vt:lpstr>③공정조회</vt:lpstr>
      <vt:lpstr>③기인물조회</vt:lpstr>
      <vt:lpstr>DB</vt:lpstr>
      <vt:lpstr>공종별 재해건수</vt:lpstr>
      <vt:lpstr>공정별-기인물</vt:lpstr>
      <vt:lpstr>공정별-기인물_분석</vt:lpstr>
      <vt:lpstr>기인물 재해건수</vt:lpstr>
      <vt:lpstr>기인물-재해형태</vt:lpstr>
      <vt:lpstr>기인물-재해형태 분석</vt:lpstr>
      <vt:lpstr>재해형태-기인물 분석</vt:lpstr>
      <vt:lpstr>_드롭다운참조</vt:lpstr>
      <vt:lpstr>기인물_12대</vt:lpstr>
      <vt:lpstr>기인물_일반</vt:lpstr>
      <vt:lpstr>기인물_전체</vt:lpstr>
      <vt:lpstr>기인물분류목록</vt:lpstr>
      <vt:lpstr>GJ_1</vt:lpstr>
      <vt:lpstr>GJ_10</vt:lpstr>
      <vt:lpstr>GJ_11</vt:lpstr>
      <vt:lpstr>GJ_12</vt:lpstr>
      <vt:lpstr>GJ_2</vt:lpstr>
      <vt:lpstr>GJ_3</vt:lpstr>
      <vt:lpstr>GJ_4</vt:lpstr>
      <vt:lpstr>GJ_5</vt:lpstr>
      <vt:lpstr>GJ_6</vt:lpstr>
      <vt:lpstr>GJ_7</vt:lpstr>
      <vt:lpstr>GJ_8</vt:lpstr>
      <vt:lpstr>GJ_9</vt:lpstr>
      <vt:lpstr>JK_1_1</vt:lpstr>
      <vt:lpstr>JK_1_2</vt:lpstr>
      <vt:lpstr>JK_1_3</vt:lpstr>
      <vt:lpstr>JK_1_4</vt:lpstr>
      <vt:lpstr>JK_1_5</vt:lpstr>
      <vt:lpstr>JK_1_6</vt:lpstr>
      <vt:lpstr>JK_10_1</vt:lpstr>
      <vt:lpstr>JK_10_2</vt:lpstr>
      <vt:lpstr>JK_11_1</vt:lpstr>
      <vt:lpstr>JK_11_2</vt:lpstr>
      <vt:lpstr>JK_11_3</vt:lpstr>
      <vt:lpstr>JK_11_4</vt:lpstr>
      <vt:lpstr>JK_11_5</vt:lpstr>
      <vt:lpstr>JK_12_1</vt:lpstr>
      <vt:lpstr>JK_12_2</vt:lpstr>
      <vt:lpstr>JK_12_3</vt:lpstr>
      <vt:lpstr>JK_12_4</vt:lpstr>
      <vt:lpstr>JK_12_5</vt:lpstr>
      <vt:lpstr>JK_12_6</vt:lpstr>
      <vt:lpstr>JK_12_7</vt:lpstr>
      <vt:lpstr>JK_2_1</vt:lpstr>
      <vt:lpstr>JK_2_2</vt:lpstr>
      <vt:lpstr>JK_2_3</vt:lpstr>
      <vt:lpstr>JK_2_4</vt:lpstr>
      <vt:lpstr>JK_3_1</vt:lpstr>
      <vt:lpstr>JK_4_1</vt:lpstr>
      <vt:lpstr>JK_4_2</vt:lpstr>
      <vt:lpstr>JK_4_3</vt:lpstr>
      <vt:lpstr>JK_4_4</vt:lpstr>
      <vt:lpstr>JK_4_5</vt:lpstr>
      <vt:lpstr>JK_4_6</vt:lpstr>
      <vt:lpstr>JK_4_7</vt:lpstr>
      <vt:lpstr>JK_4_8</vt:lpstr>
      <vt:lpstr>JK_5_1</vt:lpstr>
      <vt:lpstr>JK_5_2</vt:lpstr>
      <vt:lpstr>JK_5_3</vt:lpstr>
      <vt:lpstr>JK_6_1</vt:lpstr>
      <vt:lpstr>JK_7_1</vt:lpstr>
      <vt:lpstr>JK_7_2</vt:lpstr>
      <vt:lpstr>JK_8_1</vt:lpstr>
      <vt:lpstr>JK_8_2</vt:lpstr>
      <vt:lpstr>JK_8_3</vt:lpstr>
      <vt:lpstr>JK_8_4</vt:lpstr>
      <vt:lpstr>JK_9_1</vt:lpstr>
      <vt:lpstr>JK_9_2</vt:lpstr>
      <vt:lpstr>JK_9_3</vt:lpstr>
      <vt:lpstr>JK_9_4</vt:lpstr>
      <vt:lpstr>JK_9_5</vt:lpstr>
      <vt:lpstr>JK_9_6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지환 김</dc:creator>
  <cp:lastModifiedBy>김지환</cp:lastModifiedBy>
  <dcterms:created xsi:type="dcterms:W3CDTF">2025-06-22T12:57:45Z</dcterms:created>
  <dcterms:modified xsi:type="dcterms:W3CDTF">2026-03-15T07:00:45Z</dcterms:modified>
</cp:coreProperties>
</file>